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3" codeName="{E5D1E7B1-6628-F0F0-D09B-76B25B5F3CD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oridarmon/Desktop/Bay Harbor 2 buildings/"/>
    </mc:Choice>
  </mc:AlternateContent>
  <xr:revisionPtr revIDLastSave="0" documentId="13_ncr:1_{D1554BC6-46A9-1C40-92F8-C34C25CECBD2}" xr6:coauthVersionLast="47" xr6:coauthVersionMax="47" xr10:uidLastSave="{00000000-0000-0000-0000-000000000000}"/>
  <bookViews>
    <workbookView xWindow="0" yWindow="660" windowWidth="30240" windowHeight="18980" activeTab="7" xr2:uid="{086099BE-769A-4F65-9EE8-413CB085EC0C}"/>
  </bookViews>
  <sheets>
    <sheet name="Sensitivity" sheetId="70" state="hidden" r:id="rId1"/>
    <sheet name="general" sheetId="56" r:id="rId2"/>
    <sheet name="bud_detail" sheetId="39" r:id="rId3"/>
    <sheet name="sales" sheetId="58" r:id="rId4"/>
    <sheet name="Job Cost COA" sheetId="67" state="hidden" r:id="rId5"/>
    <sheet name="financing" sheetId="48" r:id="rId6"/>
    <sheet name="LIBOR" sheetId="65" state="hidden" r:id="rId7"/>
    <sheet name="Budget Presentation" sheetId="41" r:id="rId8"/>
    <sheet name="New Waterfall" sheetId="69" r:id="rId9"/>
    <sheet name="Sensitivity." sheetId="71" r:id="rId10"/>
    <sheet name="reserves" sheetId="53" r:id="rId11"/>
    <sheet name="draws%" sheetId="55" r:id="rId12"/>
    <sheet name="Development Cash Flow" sheetId="51" r:id="rId13"/>
    <sheet name="hard_budget" sheetId="59" r:id="rId14"/>
  </sheets>
  <externalReferences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______al1" localSheetId="8" hidden="1">{"sheet a",#N/A,FALSE,"A";"sheet b 1",#N/A,FALSE,"B";"sheet b 2",#N/A,FALSE,"B"}</definedName>
    <definedName name="_______al1" localSheetId="9" hidden="1">{"sheet a",#N/A,FALSE,"A";"sheet b 1",#N/A,FALSE,"B";"sheet b 2",#N/A,FALSE,"B"}</definedName>
    <definedName name="_______al1" hidden="1">{"sheet a",#N/A,FALSE,"A";"sheet b 1",#N/A,FALSE,"B";"sheet b 2",#N/A,FALSE,"B"}</definedName>
    <definedName name="_____al1" localSheetId="8" hidden="1">{"sheet a",#N/A,FALSE,"A";"sheet b 1",#N/A,FALSE,"B";"sheet b 2",#N/A,FALSE,"B"}</definedName>
    <definedName name="_____al1" localSheetId="9" hidden="1">{"sheet a",#N/A,FALSE,"A";"sheet b 1",#N/A,FALSE,"B";"sheet b 2",#N/A,FALSE,"B"}</definedName>
    <definedName name="_____al1" hidden="1">{"sheet a",#N/A,FALSE,"A";"sheet b 1",#N/A,FALSE,"B";"sheet b 2",#N/A,FALSE,"B"}</definedName>
    <definedName name="____al1" localSheetId="8" hidden="1">{"sheet a",#N/A,FALSE,"A";"sheet b 1",#N/A,FALSE,"B";"sheet b 2",#N/A,FALSE,"B"}</definedName>
    <definedName name="____al1" localSheetId="9" hidden="1">{"sheet a",#N/A,FALSE,"A";"sheet b 1",#N/A,FALSE,"B";"sheet b 2",#N/A,FALSE,"B"}</definedName>
    <definedName name="____al1" hidden="1">{"sheet a",#N/A,FALSE,"A";"sheet b 1",#N/A,FALSE,"B";"sheet b 2",#N/A,FALSE,"B"}</definedName>
    <definedName name="__a1" localSheetId="2" hidden="1">{"Assump",#N/A,TRUE,"Proforma";"first",#N/A,TRUE,"Proforma";"second",#N/A,TRUE,"Proforma";"lease1",#N/A,TRUE,"Proforma";"lease2",#N/A,TRUE,"Proforma"}</definedName>
    <definedName name="__a1" localSheetId="6" hidden="1">{"Assump",#N/A,TRUE,"Proforma";"first",#N/A,TRUE,"Proforma";"second",#N/A,TRUE,"Proforma";"lease1",#N/A,TRUE,"Proforma";"lease2",#N/A,TRUE,"Proforma"}</definedName>
    <definedName name="__a1" localSheetId="8" hidden="1">{"Assump",#N/A,TRUE,"Proforma";"first",#N/A,TRUE,"Proforma";"second",#N/A,TRUE,"Proforma";"lease1",#N/A,TRUE,"Proforma";"lease2",#N/A,TRUE,"Proforma"}</definedName>
    <definedName name="__a1" localSheetId="9" hidden="1">{"Assump",#N/A,TRUE,"Proforma";"first",#N/A,TRUE,"Proforma";"second",#N/A,TRUE,"Proforma";"lease1",#N/A,TRUE,"Proforma";"lease2",#N/A,TRUE,"Proforma"}</definedName>
    <definedName name="__a1" hidden="1">{"Assump",#N/A,TRUE,"Proforma";"first",#N/A,TRUE,"Proforma";"second",#N/A,TRUE,"Proforma";"lease1",#N/A,TRUE,"Proforma";"lease2",#N/A,TRUE,"Proforma"}</definedName>
    <definedName name="__al1" localSheetId="8" hidden="1">{"sheet a",#N/A,FALSE,"A";"sheet b 1",#N/A,FALSE,"B";"sheet b 2",#N/A,FALSE,"B"}</definedName>
    <definedName name="__al1" localSheetId="9" hidden="1">{"sheet a",#N/A,FALSE,"A";"sheet b 1",#N/A,FALSE,"B";"sheet b 2",#N/A,FALSE,"B"}</definedName>
    <definedName name="__al1" hidden="1">{"sheet a",#N/A,FALSE,"A";"sheet b 1",#N/A,FALSE,"B";"sheet b 2",#N/A,FALSE,"B"}</definedName>
    <definedName name="__FDS_HYPERLINK_TOGGLE_STATE__" hidden="1">"ON"</definedName>
    <definedName name="_al1" localSheetId="2" hidden="1">{"sheet a",#N/A,FALSE,"A";"sheet b 1",#N/A,FALSE,"B";"sheet b 2",#N/A,FALSE,"B"}</definedName>
    <definedName name="_al1" localSheetId="6" hidden="1">{"sheet a",#N/A,FALSE,"A";"sheet b 1",#N/A,FALSE,"B";"sheet b 2",#N/A,FALSE,"B"}</definedName>
    <definedName name="_al1" localSheetId="8" hidden="1">{"sheet a",#N/A,FALSE,"A";"sheet b 1",#N/A,FALSE,"B";"sheet b 2",#N/A,FALSE,"B"}</definedName>
    <definedName name="_al1" localSheetId="9" hidden="1">{"sheet a",#N/A,FALSE,"A";"sheet b 1",#N/A,FALSE,"B";"sheet b 2",#N/A,FALSE,"B"}</definedName>
    <definedName name="_al1" hidden="1">{"sheet a",#N/A,FALSE,"A";"sheet b 1",#N/A,FALSE,"B";"sheet b 2",#N/A,FALSE,"B"}</definedName>
    <definedName name="_bdm.04C024BA2CA647408B384C4E8434AF11.edm" hidden="1" xml:space="preserve">       '[1]Historical Financial'!$A:$IV</definedName>
    <definedName name="_bdm.0E3CBD3E264B41B28F3F526873678CBA.edm" hidden="1" xml:space="preserve">         '[2]BP RRI corporate  (2)'!$A:$IV</definedName>
    <definedName name="_bdm.1FA5713C12A349E887E6CE04DE7000C5.edm" hidden="1" xml:space="preserve">    '[1]BP RRI standalone-FORMATTED'!$A:$IV</definedName>
    <definedName name="_bdm.3288F7267AD84412A6BBE42C27EAAEDF.edm" hidden="1" xml:space="preserve">   '[1]BP RRI standalone-FORMATTED'!$A:$IV</definedName>
    <definedName name="_bdm.396E33553A8446A8AA4873AE62900D27.edm" localSheetId="2" hidden="1" xml:space="preserve">              '[3]BP Output'!$A:$IV</definedName>
    <definedName name="_bdm.396E33553A8446A8AA4873AE62900D27.edm" hidden="1" xml:space="preserve">              '[3]BP Output'!$A:$IV</definedName>
    <definedName name="_bdm.3FF9BF0CD07843B6B0C473B9EA33B256.edm" hidden="1" xml:space="preserve">     '[1]BP RRI standalone-SUMMARY'!$A:$IV</definedName>
    <definedName name="_bdm.532855C8713A4ED2BE65859A52DE38A6.edm" hidden="1" xml:space="preserve">    '[1]BP RRI standalone-ProForma'!$A:$IV</definedName>
    <definedName name="_bdm.5AD944435AAB4E59BE5754CEE8639177.edm" hidden="1" xml:space="preserve">            '[2]BP Output'!$A:$IV</definedName>
    <definedName name="_bdm.5B01567551CF4D0F9516DB9616A4CC65.edm" localSheetId="2" hidden="1" xml:space="preserve">              '[4]Owned Hotels'!$A:$IV</definedName>
    <definedName name="_bdm.5B01567551CF4D0F9516DB9616A4CC65.edm" hidden="1" xml:space="preserve">              '[4]Owned Hotels'!$A:$IV</definedName>
    <definedName name="_bdm.63CE9CF74A934A2CABE43E0C9A5325A7.edm" hidden="1" xml:space="preserve">    '[1]BP RRI standalone-ProForma'!$A:$IV</definedName>
    <definedName name="_bdm.654C8EDA268E41A0BB9FEA30B24668CE.edm" localSheetId="2" hidden="1" xml:space="preserve">             '[3]RevPAR Table'!$A:$IV</definedName>
    <definedName name="_bdm.654C8EDA268E41A0BB9FEA30B24668CE.edm" hidden="1" xml:space="preserve">             '[3]RevPAR Table'!$A:$IV</definedName>
    <definedName name="_bdm.6854F5B3A1074E21A7E29A900CF9C0FD.edm" hidden="1">'[1]Stacked Chart'!$IV$1</definedName>
    <definedName name="_bdm.6F69026AB7F74852B6E976FF69BD3B79.edm" hidden="1" xml:space="preserve">     '[1]BP RRI standalone-FORMATTED'!$A:$IV</definedName>
    <definedName name="_bdm.7356D19C508E45D5BCA036988C40826A.edm" hidden="1" xml:space="preserve">     '[1]BP RRI standalone-FORMATTED'!$A:$IV</definedName>
    <definedName name="_bdm.763E9B061D824965ABE00FECE1C119CE.edm" hidden="1" xml:space="preserve">       '[1]Historical Financial'!$A:$IV</definedName>
    <definedName name="_bdm.8DCCCB4B2BC14C1AA84A9FF8A30B1264.edm" hidden="1" xml:space="preserve">    '[1]BP RRI standalone-FORMATTED'!$A:$IV</definedName>
    <definedName name="_bdm.A3A75D4C593949B9B996FE51C9585838.edm" localSheetId="2" hidden="1" xml:space="preserve">             '[3]RevPAR Table'!$A:$IV</definedName>
    <definedName name="_bdm.A3A75D4C593949B9B996FE51C9585838.edm" hidden="1" xml:space="preserve">             '[3]RevPAR Table'!$A:$IV</definedName>
    <definedName name="_bdm.AB5EC28A3C6F4DBBB2909BDAFC1FA969.edm" localSheetId="2" hidden="1" xml:space="preserve">              '[3]RevPAR Table'!$A:$IV</definedName>
    <definedName name="_bdm.AB5EC28A3C6F4DBBB2909BDAFC1FA969.edm" hidden="1" xml:space="preserve">              '[3]RevPAR Table'!$A:$IV</definedName>
    <definedName name="_bdm.B31F0C67559C40CFBA36A3D04EB3FD7C.edm" hidden="1" xml:space="preserve">        '[1]Historical Financial'!$A:$IV</definedName>
    <definedName name="_bdm.C92855286E524CC6AA6FE531BB1AC235.edm" hidden="1">'[1]Stacked Chart'!$IV$1</definedName>
    <definedName name="_bdm.D0423E6A4FFC436AA4D38948B7D7A19E.edm" localSheetId="2" hidden="1" xml:space="preserve">              '[3]BP Output'!$A:$IV</definedName>
    <definedName name="_bdm.D0423E6A4FFC436AA4D38948B7D7A19E.edm" hidden="1" xml:space="preserve">              '[3]BP Output'!$A:$IV</definedName>
    <definedName name="_bdm.D2CCADD4FC5B49ACA9EC2095F713590B.edm" hidden="1" xml:space="preserve">            '[2]BP Output'!$A:$IV</definedName>
    <definedName name="_bdm.E43160091D894E4682594BC359201658.edm" hidden="1" xml:space="preserve">             '[2]BP Output - Summary'!$A:$IV</definedName>
    <definedName name="_bdm.E6EAF6EA2CB94A3988683635710F111D.edm" localSheetId="2" hidden="1" xml:space="preserve">             '[3]BP Output'!$A:$IV</definedName>
    <definedName name="_bdm.E6EAF6EA2CB94A3988683635710F111D.edm" hidden="1" xml:space="preserve">             '[3]BP Output'!$A:$IV</definedName>
    <definedName name="_bdm.E9E307659C3C4FBF897790A0D326B4A8.edm" hidden="1" xml:space="preserve">             '[2]BP Output - Summary'!$A:$IV</definedName>
    <definedName name="_bdm.E9EE559E6F4248D18E2D4C03DF8C296A.edm" hidden="1" xml:space="preserve">         '[2]BP RRI corporate  (2)'!$A:$IV</definedName>
    <definedName name="_bdm.ECD7CD27800F4C01A85872A2A17ACFFB.edm" hidden="1" xml:space="preserve">    '[1]BP RRI standalone-ProForma'!$A:$IV</definedName>
    <definedName name="_Fill" localSheetId="2" hidden="1">#REF!</definedName>
    <definedName name="_Fill" localSheetId="7" hidden="1">#REF!</definedName>
    <definedName name="_Fill" localSheetId="12" hidden="1">#REF!</definedName>
    <definedName name="_Fill" localSheetId="8" hidden="1">#REF!</definedName>
    <definedName name="_Fill" hidden="1">#REF!</definedName>
    <definedName name="_xlnm._FilterDatabase" localSheetId="4" hidden="1">'Job Cost COA'!$A$3:$AI$3</definedName>
    <definedName name="_Key1" localSheetId="2" hidden="1">#REF!</definedName>
    <definedName name="_Key1" localSheetId="7" hidden="1">#REF!</definedName>
    <definedName name="_Key1" localSheetId="12" hidden="1">#REF!</definedName>
    <definedName name="_Key1" localSheetId="8" hidden="1">#REF!</definedName>
    <definedName name="_Key1" hidden="1">#REF!</definedName>
    <definedName name="_Key2" localSheetId="2" hidden="1">#REF!</definedName>
    <definedName name="_Key2" localSheetId="7" hidden="1">#REF!</definedName>
    <definedName name="_Key2" localSheetId="12" hidden="1">#REF!</definedName>
    <definedName name="_Key2" localSheetId="8" hidden="1">#REF!</definedName>
    <definedName name="_Key2" hidden="1">#REF!</definedName>
    <definedName name="_Order1" hidden="1">255</definedName>
    <definedName name="_Order2" hidden="1">255</definedName>
    <definedName name="_Regression_Int" hidden="1">1</definedName>
    <definedName name="_Sort" localSheetId="2" hidden="1">#REF!</definedName>
    <definedName name="_Sort" localSheetId="7" hidden="1">#REF!</definedName>
    <definedName name="_Sort" localSheetId="12" hidden="1">#REF!</definedName>
    <definedName name="_Sort" localSheetId="8" hidden="1">#REF!</definedName>
    <definedName name="_Sort" hidden="1">#REF!</definedName>
    <definedName name="_Table1_In1" localSheetId="2" hidden="1">#REF!</definedName>
    <definedName name="_Table1_In1" localSheetId="7" hidden="1">#REF!</definedName>
    <definedName name="_Table1_In1" localSheetId="12" hidden="1">#REF!</definedName>
    <definedName name="_Table1_In1" localSheetId="8" hidden="1">#REF!</definedName>
    <definedName name="_Table1_In1" hidden="1">#REF!</definedName>
    <definedName name="_Table1_Out" localSheetId="2" hidden="1">#REF!</definedName>
    <definedName name="_Table1_Out" localSheetId="7" hidden="1">#REF!</definedName>
    <definedName name="_Table1_Out" localSheetId="12" hidden="1">#REF!</definedName>
    <definedName name="_Table1_Out" localSheetId="8" hidden="1">#REF!</definedName>
    <definedName name="_Table1_Out" hidden="1">#REF!</definedName>
    <definedName name="_Table2_In1" localSheetId="7" hidden="1">#REF!</definedName>
    <definedName name="_Table2_In1" localSheetId="12" hidden="1">#REF!</definedName>
    <definedName name="_Table2_In1" localSheetId="8" hidden="1">#REF!</definedName>
    <definedName name="_Table2_In1" hidden="1">#REF!</definedName>
    <definedName name="_Table2_In2" localSheetId="7" hidden="1">#REF!</definedName>
    <definedName name="_Table2_In2" localSheetId="12" hidden="1">#REF!</definedName>
    <definedName name="_Table2_In2" localSheetId="8" hidden="1">#REF!</definedName>
    <definedName name="_Table2_In2" hidden="1">#REF!</definedName>
    <definedName name="_Table2_Out" localSheetId="7" hidden="1">#REF!</definedName>
    <definedName name="_Table2_Out" localSheetId="12" hidden="1">#REF!</definedName>
    <definedName name="_Table2_Out" localSheetId="8" hidden="1">#REF!</definedName>
    <definedName name="_Table2_Out" hidden="1">#REF!</definedName>
    <definedName name="a" localSheetId="2" hidden="1">{"Outflow 1",#N/A,FALSE,"Outflows-Inflows";"Outflow 2",#N/A,FALSE,"Outflows-Inflows";"Inflow 1",#N/A,FALSE,"Outflows-Inflows";"Inflow 2",#N/A,FALSE,"Outflows-Inflows"}</definedName>
    <definedName name="a" localSheetId="6" hidden="1">{"Outflow 1",#N/A,FALSE,"Outflows-Inflows";"Outflow 2",#N/A,FALSE,"Outflows-Inflows";"Inflow 1",#N/A,FALSE,"Outflows-Inflows";"Inflow 2",#N/A,FALSE,"Outflows-Inflows"}</definedName>
    <definedName name="a" localSheetId="8" hidden="1">{"Outflow 1",#N/A,FALSE,"Outflows-Inflows";"Outflow 2",#N/A,FALSE,"Outflows-Inflows";"Inflow 1",#N/A,FALSE,"Outflows-Inflows";"Inflow 2",#N/A,FALSE,"Outflows-Inflows"}</definedName>
    <definedName name="a" localSheetId="9" hidden="1">{"Outflow 1",#N/A,FALSE,"Outflows-Inflows";"Outflow 2",#N/A,FALSE,"Outflows-Inflows";"Inflow 1",#N/A,FALSE,"Outflows-Inflows";"Inflow 2",#N/A,FALSE,"Outflows-Inflows"}</definedName>
    <definedName name="a" hidden="1">{"Outflow 1",#N/A,FALSE,"Outflows-Inflows";"Outflow 2",#N/A,FALSE,"Outflows-Inflows";"Inflow 1",#N/A,FALSE,"Outflows-Inflows";"Inflow 2",#N/A,FALSE,"Outflows-Inflows"}</definedName>
    <definedName name="a1a1" localSheetId="2" hidden="1">{"Assump",#N/A,TRUE,"Proforma";"first",#N/A,TRUE,"Proforma";"second",#N/A,TRUE,"Proforma";"lease1",#N/A,TRUE,"Proforma";"lease2",#N/A,TRUE,"Proforma"}</definedName>
    <definedName name="a1a1" localSheetId="6" hidden="1">{"Assump",#N/A,TRUE,"Proforma";"first",#N/A,TRUE,"Proforma";"second",#N/A,TRUE,"Proforma";"lease1",#N/A,TRUE,"Proforma";"lease2",#N/A,TRUE,"Proforma"}</definedName>
    <definedName name="a1a1" localSheetId="8" hidden="1">{"Assump",#N/A,TRUE,"Proforma";"first",#N/A,TRUE,"Proforma";"second",#N/A,TRUE,"Proforma";"lease1",#N/A,TRUE,"Proforma";"lease2",#N/A,TRUE,"Proforma"}</definedName>
    <definedName name="a1a1" localSheetId="9" hidden="1">{"Assump",#N/A,TRUE,"Proforma";"first",#N/A,TRUE,"Proforma";"second",#N/A,TRUE,"Proforma";"lease1",#N/A,TRUE,"Proforma";"lease2",#N/A,TRUE,"Proforma"}</definedName>
    <definedName name="a1a1" hidden="1">{"Assump",#N/A,TRUE,"Proforma";"first",#N/A,TRUE,"Proforma";"second",#N/A,TRUE,"Proforma";"lease1",#N/A,TRUE,"Proforma";"lease2",#N/A,TRUE,"Proforma"}</definedName>
    <definedName name="aa" localSheetId="2" hidden="1">{"AnnualRentRoll",#N/A,FALSE,"RentRoll"}</definedName>
    <definedName name="aa" localSheetId="6" hidden="1">{"AnnualRentRoll",#N/A,FALSE,"RentRoll"}</definedName>
    <definedName name="aa" localSheetId="8" hidden="1">{"AnnualRentRoll",#N/A,FALSE,"RentRoll"}</definedName>
    <definedName name="aa" localSheetId="9" hidden="1">{"AnnualRentRoll",#N/A,FALSE,"RentRoll"}</definedName>
    <definedName name="aa" hidden="1">{"AnnualRentRoll",#N/A,FALSE,"RentRoll"}</definedName>
    <definedName name="aaa" localSheetId="2" hidden="1">{"AnnualRentRoll",#N/A,FALSE,"RentRoll"}</definedName>
    <definedName name="aaa" localSheetId="6" hidden="1">{"AnnualRentRoll",#N/A,FALSE,"RentRoll"}</definedName>
    <definedName name="aaa" localSheetId="8" hidden="1">{"AnnualRentRoll",#N/A,FALSE,"RentRoll"}</definedName>
    <definedName name="aaa" localSheetId="9" hidden="1">{"AnnualRentRoll",#N/A,FALSE,"RentRoll"}</definedName>
    <definedName name="aaa" hidden="1">{"AnnualRentRoll",#N/A,FALSE,"RentRoll"}</definedName>
    <definedName name="aaaaa" localSheetId="2" hidden="1">{"Assump",#N/A,TRUE,"Proforma";"first",#N/A,TRUE,"Proforma";"second",#N/A,TRUE,"Proforma";"lease1",#N/A,TRUE,"Proforma";"lease2",#N/A,TRUE,"Proforma"}</definedName>
    <definedName name="aaaaa" localSheetId="6" hidden="1">{"Assump",#N/A,TRUE,"Proforma";"first",#N/A,TRUE,"Proforma";"second",#N/A,TRUE,"Proforma";"lease1",#N/A,TRUE,"Proforma";"lease2",#N/A,TRUE,"Proforma"}</definedName>
    <definedName name="aaaaa" localSheetId="8" hidden="1">{"Assump",#N/A,TRUE,"Proforma";"first",#N/A,TRUE,"Proforma";"second",#N/A,TRUE,"Proforma";"lease1",#N/A,TRUE,"Proforma";"lease2",#N/A,TRUE,"Proforma"}</definedName>
    <definedName name="aaaaa" localSheetId="9" hidden="1">{"Assump",#N/A,TRUE,"Proforma";"first",#N/A,TRUE,"Proforma";"second",#N/A,TRUE,"Proforma";"lease1",#N/A,TRUE,"Proforma";"lease2",#N/A,TRUE,"Proforma"}</definedName>
    <definedName name="aaaaa" hidden="1">{"Assump",#N/A,TRUE,"Proforma";"first",#N/A,TRUE,"Proforma";"second",#N/A,TRUE,"Proforma";"lease1",#N/A,TRUE,"Proforma";"lease2",#N/A,TRUE,"Proforma"}</definedName>
    <definedName name="aaaaaaa" localSheetId="2" hidden="1">{"Outflow 1",#N/A,FALSE,"Outflows-Inflows";"Outflow 2",#N/A,FALSE,"Outflows-Inflows";"Inflow 1",#N/A,FALSE,"Outflows-Inflows";"Inflow 2",#N/A,FALSE,"Outflows-Inflows"}</definedName>
    <definedName name="aaaaaaa" localSheetId="6" hidden="1">{"Outflow 1",#N/A,FALSE,"Outflows-Inflows";"Outflow 2",#N/A,FALSE,"Outflows-Inflows";"Inflow 1",#N/A,FALSE,"Outflows-Inflows";"Inflow 2",#N/A,FALSE,"Outflows-Inflows"}</definedName>
    <definedName name="aaaaaaa" localSheetId="8" hidden="1">{"Outflow 1",#N/A,FALSE,"Outflows-Inflows";"Outflow 2",#N/A,FALSE,"Outflows-Inflows";"Inflow 1",#N/A,FALSE,"Outflows-Inflows";"Inflow 2",#N/A,FALSE,"Outflows-Inflows"}</definedName>
    <definedName name="aaaaaaa" localSheetId="9" hidden="1">{"Outflow 1",#N/A,FALSE,"Outflows-Inflows";"Outflow 2",#N/A,FALSE,"Outflows-Inflows";"Inflow 1",#N/A,FALSE,"Outflows-Inflows";"Inflow 2",#N/A,FALSE,"Outflows-Inflows"}</definedName>
    <definedName name="aaaaaaa" hidden="1">{"Outflow 1",#N/A,FALSE,"Outflows-Inflows";"Outflow 2",#N/A,FALSE,"Outflows-Inflows";"Inflow 1",#N/A,FALSE,"Outflows-Inflows";"Inflow 2",#N/A,FALSE,"Outflows-Inflows"}</definedName>
    <definedName name="aasdfa" localSheetId="2" hidden="1">{"rtn",#N/A,FALSE,"RTN";"tables",#N/A,FALSE,"RTN";"cf",#N/A,FALSE,"CF";"stats",#N/A,FALSE,"Stats";"prop",#N/A,FALSE,"Prop"}</definedName>
    <definedName name="aasdfa" localSheetId="6" hidden="1">{"rtn",#N/A,FALSE,"RTN";"tables",#N/A,FALSE,"RTN";"cf",#N/A,FALSE,"CF";"stats",#N/A,FALSE,"Stats";"prop",#N/A,FALSE,"Prop"}</definedName>
    <definedName name="aasdfa" localSheetId="8" hidden="1">{"rtn",#N/A,FALSE,"RTN";"tables",#N/A,FALSE,"RTN";"cf",#N/A,FALSE,"CF";"stats",#N/A,FALSE,"Stats";"prop",#N/A,FALSE,"Prop"}</definedName>
    <definedName name="aasdfa" localSheetId="9" hidden="1">{"rtn",#N/A,FALSE,"RTN";"tables",#N/A,FALSE,"RTN";"cf",#N/A,FALSE,"CF";"stats",#N/A,FALSE,"Stats";"prop",#N/A,FALSE,"Prop"}</definedName>
    <definedName name="aasdfa" hidden="1">{"rtn",#N/A,FALSE,"RTN";"tables",#N/A,FALSE,"RTN";"cf",#N/A,FALSE,"CF";"stats",#N/A,FALSE,"Stats";"prop",#N/A,FALSE,"Prop"}</definedName>
    <definedName name="AccessDatabase" hidden="1">"D:\CLIENT FILES\Yacht Club at Portofino\Monday Reports\Monday Morning Report Template 1 10 99.xls"</definedName>
    <definedName name="Al" localSheetId="2" hidden="1">{"sheet a",#N/A,FALSE,"A";"2 9 casflow",#N/A,FALSE,"B"}</definedName>
    <definedName name="Al" localSheetId="6" hidden="1">{"sheet a",#N/A,FALSE,"A";"2 9 casflow",#N/A,FALSE,"B"}</definedName>
    <definedName name="Al" localSheetId="8" hidden="1">{"sheet a",#N/A,FALSE,"A";"2 9 casflow",#N/A,FALSE,"B"}</definedName>
    <definedName name="Al" localSheetId="9" hidden="1">{"sheet a",#N/A,FALSE,"A";"2 9 casflow",#N/A,FALSE,"B"}</definedName>
    <definedName name="Al" hidden="1">{"sheet a",#N/A,FALSE,"A";"2 9 casflow",#N/A,FALSE,"B"}</definedName>
    <definedName name="all" localSheetId="2" hidden="1">{"sheet a",#N/A,FALSE,"A";"2 9 casflow",#N/A,FALSE,"B"}</definedName>
    <definedName name="all" localSheetId="6" hidden="1">{"sheet a",#N/A,FALSE,"A";"2 9 casflow",#N/A,FALSE,"B"}</definedName>
    <definedName name="all" localSheetId="8" hidden="1">{"sheet a",#N/A,FALSE,"A";"2 9 casflow",#N/A,FALSE,"B"}</definedName>
    <definedName name="all" localSheetId="9" hidden="1">{"sheet a",#N/A,FALSE,"A";"2 9 casflow",#N/A,FALSE,"B"}</definedName>
    <definedName name="all" hidden="1">{"sheet a",#N/A,FALSE,"A";"2 9 casflow",#N/A,FALSE,"B"}</definedName>
    <definedName name="anscount" hidden="1">1</definedName>
    <definedName name="as" localSheetId="2" hidden="1">{"Outflow 1",#N/A,FALSE,"Outflows-Inflows";"Outflow 2",#N/A,FALSE,"Outflows-Inflows";"Inflow 1",#N/A,FALSE,"Outflows-Inflows";"Inflow 2",#N/A,FALSE,"Outflows-Inflows"}</definedName>
    <definedName name="as" localSheetId="6" hidden="1">{"Outflow 1",#N/A,FALSE,"Outflows-Inflows";"Outflow 2",#N/A,FALSE,"Outflows-Inflows";"Inflow 1",#N/A,FALSE,"Outflows-Inflows";"Inflow 2",#N/A,FALSE,"Outflows-Inflows"}</definedName>
    <definedName name="as" localSheetId="8" hidden="1">{"Outflow 1",#N/A,FALSE,"Outflows-Inflows";"Outflow 2",#N/A,FALSE,"Outflows-Inflows";"Inflow 1",#N/A,FALSE,"Outflows-Inflows";"Inflow 2",#N/A,FALSE,"Outflows-Inflows"}</definedName>
    <definedName name="as" localSheetId="9" hidden="1">{"Outflow 1",#N/A,FALSE,"Outflows-Inflows";"Outflow 2",#N/A,FALSE,"Outflows-Inflows";"Inflow 1",#N/A,FALSE,"Outflows-Inflows";"Inflow 2",#N/A,FALSE,"Outflows-Inflows"}</definedName>
    <definedName name="as" hidden="1">{"Outflow 1",#N/A,FALSE,"Outflows-Inflows";"Outflow 2",#N/A,FALSE,"Outflows-Inflows";"Inflow 1",#N/A,FALSE,"Outflows-Inflows";"Inflow 2",#N/A,FALSE,"Outflows-Inflows"}</definedName>
    <definedName name="asdfas" localSheetId="2" hidden="1">{"print 1.6",#N/A,FALSE,"Sheet1";"print 2.6",#N/A,FALSE,"Sheet1";"print 3.6",#N/A,FALSE,"Sheet1";"print 4.6",#N/A,FALSE,"Sheet1";"print 5.6",#N/A,FALSE,"Sheet1";"print 6.6",#N/A,FALSE,"Sheet1"}</definedName>
    <definedName name="asdfas" localSheetId="6" hidden="1">{"print 1.6",#N/A,FALSE,"Sheet1";"print 2.6",#N/A,FALSE,"Sheet1";"print 3.6",#N/A,FALSE,"Sheet1";"print 4.6",#N/A,FALSE,"Sheet1";"print 5.6",#N/A,FALSE,"Sheet1";"print 6.6",#N/A,FALSE,"Sheet1"}</definedName>
    <definedName name="asdfas" localSheetId="8" hidden="1">{"print 1.6",#N/A,FALSE,"Sheet1";"print 2.6",#N/A,FALSE,"Sheet1";"print 3.6",#N/A,FALSE,"Sheet1";"print 4.6",#N/A,FALSE,"Sheet1";"print 5.6",#N/A,FALSE,"Sheet1";"print 6.6",#N/A,FALSE,"Sheet1"}</definedName>
    <definedName name="asdfas" localSheetId="9" hidden="1">{"print 1.6",#N/A,FALSE,"Sheet1";"print 2.6",#N/A,FALSE,"Sheet1";"print 3.6",#N/A,FALSE,"Sheet1";"print 4.6",#N/A,FALSE,"Sheet1";"print 5.6",#N/A,FALSE,"Sheet1";"print 6.6",#N/A,FALSE,"Sheet1"}</definedName>
    <definedName name="asdfas" hidden="1">{"print 1.6",#N/A,FALSE,"Sheet1";"print 2.6",#N/A,FALSE,"Sheet1";"print 3.6",#N/A,FALSE,"Sheet1";"print 4.6",#N/A,FALSE,"Sheet1";"print 5.6",#N/A,FALSE,"Sheet1";"print 6.6",#N/A,FALSE,"Sheet1"}</definedName>
    <definedName name="asdfasaa" localSheetId="2" hidden="1">{"print 1.6",#N/A,FALSE,"Sheet1";"print 2.6",#N/A,FALSE,"Sheet1";"print 3.6",#N/A,FALSE,"Sheet1";"print 4.6",#N/A,FALSE,"Sheet1";"print 5.6",#N/A,FALSE,"Sheet1";"print 6.6",#N/A,FALSE,"Sheet1"}</definedName>
    <definedName name="asdfasaa" localSheetId="6" hidden="1">{"print 1.6",#N/A,FALSE,"Sheet1";"print 2.6",#N/A,FALSE,"Sheet1";"print 3.6",#N/A,FALSE,"Sheet1";"print 4.6",#N/A,FALSE,"Sheet1";"print 5.6",#N/A,FALSE,"Sheet1";"print 6.6",#N/A,FALSE,"Sheet1"}</definedName>
    <definedName name="asdfasaa" localSheetId="8" hidden="1">{"print 1.6",#N/A,FALSE,"Sheet1";"print 2.6",#N/A,FALSE,"Sheet1";"print 3.6",#N/A,FALSE,"Sheet1";"print 4.6",#N/A,FALSE,"Sheet1";"print 5.6",#N/A,FALSE,"Sheet1";"print 6.6",#N/A,FALSE,"Sheet1"}</definedName>
    <definedName name="asdfasaa" localSheetId="9" hidden="1">{"print 1.6",#N/A,FALSE,"Sheet1";"print 2.6",#N/A,FALSE,"Sheet1";"print 3.6",#N/A,FALSE,"Sheet1";"print 4.6",#N/A,FALSE,"Sheet1";"print 5.6",#N/A,FALSE,"Sheet1";"print 6.6",#N/A,FALSE,"Sheet1"}</definedName>
    <definedName name="asdfasaa" hidden="1">{"print 1.6",#N/A,FALSE,"Sheet1";"print 2.6",#N/A,FALSE,"Sheet1";"print 3.6",#N/A,FALSE,"Sheet1";"print 4.6",#N/A,FALSE,"Sheet1";"print 5.6",#N/A,FALSE,"Sheet1";"print 6.6",#N/A,FALSE,"Sheet1"}</definedName>
    <definedName name="asdfasdf" localSheetId="2" hidden="1">{"rtn",#N/A,FALSE,"RTN";"tables",#N/A,FALSE,"RTN";"cf",#N/A,FALSE,"CF";"stats",#N/A,FALSE,"Stats";"prop",#N/A,FALSE,"Prop"}</definedName>
    <definedName name="asdfasdf" localSheetId="6" hidden="1">{"rtn",#N/A,FALSE,"RTN";"tables",#N/A,FALSE,"RTN";"cf",#N/A,FALSE,"CF";"stats",#N/A,FALSE,"Stats";"prop",#N/A,FALSE,"Prop"}</definedName>
    <definedName name="asdfasdf" localSheetId="8" hidden="1">{"rtn",#N/A,FALSE,"RTN";"tables",#N/A,FALSE,"RTN";"cf",#N/A,FALSE,"CF";"stats",#N/A,FALSE,"Stats";"prop",#N/A,FALSE,"Prop"}</definedName>
    <definedName name="asdfasdf" localSheetId="9" hidden="1">{"rtn",#N/A,FALSE,"RTN";"tables",#N/A,FALSE,"RTN";"cf",#N/A,FALSE,"CF";"stats",#N/A,FALSE,"Stats";"prop",#N/A,FALSE,"Prop"}</definedName>
    <definedName name="asdfasdf" hidden="1">{"rtn",#N/A,FALSE,"RTN";"tables",#N/A,FALSE,"RTN";"cf",#N/A,FALSE,"CF";"stats",#N/A,FALSE,"Stats";"prop",#N/A,FALSE,"Prop"}</definedName>
    <definedName name="asdfg" localSheetId="2" hidden="1">{"rtn",#N/A,FALSE,"RTN";"tables",#N/A,FALSE,"RTN";"cf",#N/A,FALSE,"CF";"stats",#N/A,FALSE,"Stats";"prop",#N/A,FALSE,"Prop"}</definedName>
    <definedName name="asdfg" localSheetId="6" hidden="1">{"rtn",#N/A,FALSE,"RTN";"tables",#N/A,FALSE,"RTN";"cf",#N/A,FALSE,"CF";"stats",#N/A,FALSE,"Stats";"prop",#N/A,FALSE,"Prop"}</definedName>
    <definedName name="asdfg" localSheetId="8" hidden="1">{"rtn",#N/A,FALSE,"RTN";"tables",#N/A,FALSE,"RTN";"cf",#N/A,FALSE,"CF";"stats",#N/A,FALSE,"Stats";"prop",#N/A,FALSE,"Prop"}</definedName>
    <definedName name="asdfg" localSheetId="9" hidden="1">{"rtn",#N/A,FALSE,"RTN";"tables",#N/A,FALSE,"RTN";"cf",#N/A,FALSE,"CF";"stats",#N/A,FALSE,"Stats";"prop",#N/A,FALSE,"Prop"}</definedName>
    <definedName name="asdfg" hidden="1">{"rtn",#N/A,FALSE,"RTN";"tables",#N/A,FALSE,"RTN";"cf",#N/A,FALSE,"CF";"stats",#N/A,FALSE,"Stats";"prop",#N/A,FALSE,"Prop"}</definedName>
    <definedName name="ass" localSheetId="2" hidden="1">{"print 1.6",#N/A,FALSE,"Sheet1";"print 2.6",#N/A,FALSE,"Sheet1";"print 3.6",#N/A,FALSE,"Sheet1";"print 4.6",#N/A,FALSE,"Sheet1";"print 5.6",#N/A,FALSE,"Sheet1";"print 6.6",#N/A,FALSE,"Sheet1"}</definedName>
    <definedName name="ass" localSheetId="6" hidden="1">{"print 1.6",#N/A,FALSE,"Sheet1";"print 2.6",#N/A,FALSE,"Sheet1";"print 3.6",#N/A,FALSE,"Sheet1";"print 4.6",#N/A,FALSE,"Sheet1";"print 5.6",#N/A,FALSE,"Sheet1";"print 6.6",#N/A,FALSE,"Sheet1"}</definedName>
    <definedName name="ass" localSheetId="8" hidden="1">{"print 1.6",#N/A,FALSE,"Sheet1";"print 2.6",#N/A,FALSE,"Sheet1";"print 3.6",#N/A,FALSE,"Sheet1";"print 4.6",#N/A,FALSE,"Sheet1";"print 5.6",#N/A,FALSE,"Sheet1";"print 6.6",#N/A,FALSE,"Sheet1"}</definedName>
    <definedName name="ass" localSheetId="9" hidden="1">{"print 1.6",#N/A,FALSE,"Sheet1";"print 2.6",#N/A,FALSE,"Sheet1";"print 3.6",#N/A,FALSE,"Sheet1";"print 4.6",#N/A,FALSE,"Sheet1";"print 5.6",#N/A,FALSE,"Sheet1";"print 6.6",#N/A,FALSE,"Sheet1"}</definedName>
    <definedName name="ass" hidden="1">{"print 1.6",#N/A,FALSE,"Sheet1";"print 2.6",#N/A,FALSE,"Sheet1";"print 3.6",#N/A,FALSE,"Sheet1";"print 4.6",#N/A,FALSE,"Sheet1";"print 5.6",#N/A,FALSE,"Sheet1";"print 6.6",#N/A,FALSE,"Sheet1"}</definedName>
    <definedName name="asss" localSheetId="2" hidden="1">{"rtn",#N/A,FALSE,"RTN";"tables",#N/A,FALSE,"RTN";"cf",#N/A,FALSE,"CF";"stats",#N/A,FALSE,"Stats";"prop",#N/A,FALSE,"Prop"}</definedName>
    <definedName name="asss" localSheetId="6" hidden="1">{"rtn",#N/A,FALSE,"RTN";"tables",#N/A,FALSE,"RTN";"cf",#N/A,FALSE,"CF";"stats",#N/A,FALSE,"Stats";"prop",#N/A,FALSE,"Prop"}</definedName>
    <definedName name="asss" localSheetId="8" hidden="1">{"rtn",#N/A,FALSE,"RTN";"tables",#N/A,FALSE,"RTN";"cf",#N/A,FALSE,"CF";"stats",#N/A,FALSE,"Stats";"prop",#N/A,FALSE,"Prop"}</definedName>
    <definedName name="asss" localSheetId="9" hidden="1">{"rtn",#N/A,FALSE,"RTN";"tables",#N/A,FALSE,"RTN";"cf",#N/A,FALSE,"CF";"stats",#N/A,FALSE,"Stats";"prop",#N/A,FALSE,"Prop"}</definedName>
    <definedName name="asss" hidden="1">{"rtn",#N/A,FALSE,"RTN";"tables",#N/A,FALSE,"RTN";"cf",#N/A,FALSE,"CF";"stats",#N/A,FALSE,"Stats";"prop",#N/A,FALSE,"Prop"}</definedName>
    <definedName name="AvgPrice" localSheetId="9">[5]sales!$G$8</definedName>
    <definedName name="AvgPrice">sales!$G$18</definedName>
    <definedName name="b" localSheetId="2" hidden="1">{#N/A,#N/A,FALSE,"ExitStratigy"}</definedName>
    <definedName name="b" localSheetId="6" hidden="1">{#N/A,#N/A,FALSE,"ExitStratigy"}</definedName>
    <definedName name="b" localSheetId="8" hidden="1">{#N/A,#N/A,FALSE,"ExitStratigy"}</definedName>
    <definedName name="b" localSheetId="9" hidden="1">{#N/A,#N/A,FALSE,"ExitStratigy"}</definedName>
    <definedName name="b" hidden="1">{#N/A,#N/A,FALSE,"ExitStratigy"}</definedName>
    <definedName name="bb" localSheetId="2" hidden="1">{#N/A,#N/A,FALSE,"ExitStratigy"}</definedName>
    <definedName name="bb" localSheetId="6" hidden="1">{#N/A,#N/A,FALSE,"ExitStratigy"}</definedName>
    <definedName name="bb" localSheetId="8" hidden="1">{#N/A,#N/A,FALSE,"ExitStratigy"}</definedName>
    <definedName name="bb" localSheetId="9" hidden="1">{#N/A,#N/A,FALSE,"ExitStratigy"}</definedName>
    <definedName name="bb" hidden="1">{#N/A,#N/A,FALSE,"ExitStratigy"}</definedName>
    <definedName name="bbb" localSheetId="2" hidden="1">{#N/A,#N/A,FALSE,"ExitStratigy"}</definedName>
    <definedName name="bbb" localSheetId="6" hidden="1">{#N/A,#N/A,FALSE,"ExitStratigy"}</definedName>
    <definedName name="bbb" localSheetId="8" hidden="1">{#N/A,#N/A,FALSE,"ExitStratigy"}</definedName>
    <definedName name="bbb" localSheetId="9" hidden="1">{#N/A,#N/A,FALSE,"ExitStratigy"}</definedName>
    <definedName name="bbb" hidden="1">{#N/A,#N/A,FALSE,"ExitStratigy"}</definedName>
    <definedName name="BLPH1" localSheetId="2" hidden="1">#REF!</definedName>
    <definedName name="BLPH1" localSheetId="7" hidden="1">#REF!</definedName>
    <definedName name="BLPH1" localSheetId="12" hidden="1">#REF!</definedName>
    <definedName name="BLPH1" localSheetId="8" hidden="1">#REF!</definedName>
    <definedName name="BLPH1" hidden="1">#REF!</definedName>
    <definedName name="BudPaste">hard_budget!$B$1:$J$357</definedName>
    <definedName name="BudRange">bud_detail!$B$1:$J$342</definedName>
    <definedName name="cc" localSheetId="2" hidden="1">{#N/A,#N/A,FALSE,"LoanAssumptions"}</definedName>
    <definedName name="cc" localSheetId="6" hidden="1">{#N/A,#N/A,FALSE,"LoanAssumptions"}</definedName>
    <definedName name="cc" localSheetId="8" hidden="1">{#N/A,#N/A,FALSE,"LoanAssumptions"}</definedName>
    <definedName name="cc" localSheetId="9" hidden="1">{#N/A,#N/A,FALSE,"LoanAssumptions"}</definedName>
    <definedName name="cc" hidden="1">{#N/A,#N/A,FALSE,"LoanAssumptions"}</definedName>
    <definedName name="ccc" localSheetId="2" hidden="1">{#N/A,#N/A,FALSE,"LoanAssumptions"}</definedName>
    <definedName name="ccc" localSheetId="6" hidden="1">{#N/A,#N/A,FALSE,"LoanAssumptions"}</definedName>
    <definedName name="ccc" localSheetId="8" hidden="1">{#N/A,#N/A,FALSE,"LoanAssumptions"}</definedName>
    <definedName name="ccc" localSheetId="9" hidden="1">{#N/A,#N/A,FALSE,"LoanAssumptions"}</definedName>
    <definedName name="ccc" hidden="1">{#N/A,#N/A,FALSE,"LoanAssumptions"}</definedName>
    <definedName name="ConstLoan" localSheetId="9">[5]hard_budget!$F$332</definedName>
    <definedName name="ConstLoan">hard_budget!$F$332</definedName>
    <definedName name="Cost" localSheetId="9">[5]bud_detail!$F$22</definedName>
    <definedName name="Cost">bud_detail!$F$20</definedName>
    <definedName name="costpsf" localSheetId="9">[5]bud_detail!$D$22</definedName>
    <definedName name="costpsf">bud_detail!$D$20</definedName>
    <definedName name="d" localSheetId="2" hidden="1">{#N/A,#N/A,FALSE,"LoanAssumptions"}</definedName>
    <definedName name="d" localSheetId="6" hidden="1">{#N/A,#N/A,FALSE,"LoanAssumptions"}</definedName>
    <definedName name="d" localSheetId="8" hidden="1">{#N/A,#N/A,FALSE,"LoanAssumptions"}</definedName>
    <definedName name="d" localSheetId="9" hidden="1">{#N/A,#N/A,FALSE,"LoanAssumptions"}</definedName>
    <definedName name="d" hidden="1">{#N/A,#N/A,FALSE,"LoanAssumptions"}</definedName>
    <definedName name="dd" localSheetId="2" hidden="1">{"MonthlyRentRoll",#N/A,FALSE,"RentRoll"}</definedName>
    <definedName name="dd" localSheetId="6" hidden="1">{"MonthlyRentRoll",#N/A,FALSE,"RentRoll"}</definedName>
    <definedName name="dd" localSheetId="8" hidden="1">{"MonthlyRentRoll",#N/A,FALSE,"RentRoll"}</definedName>
    <definedName name="dd" localSheetId="9" hidden="1">{"MonthlyRentRoll",#N/A,FALSE,"RentRoll"}</definedName>
    <definedName name="dd" hidden="1">{"MonthlyRentRoll",#N/A,FALSE,"RentRoll"}</definedName>
    <definedName name="ddd" localSheetId="2" hidden="1">{"MonthlyRentRoll",#N/A,FALSE,"RentRoll"}</definedName>
    <definedName name="ddd" localSheetId="6" hidden="1">{"MonthlyRentRoll",#N/A,FALSE,"RentRoll"}</definedName>
    <definedName name="ddd" localSheetId="8" hidden="1">{"MonthlyRentRoll",#N/A,FALSE,"RentRoll"}</definedName>
    <definedName name="ddd" localSheetId="9" hidden="1">{"MonthlyRentRoll",#N/A,FALSE,"RentRoll"}</definedName>
    <definedName name="ddd" hidden="1">{"MonthlyRentRoll",#N/A,FALSE,"RentRoll"}</definedName>
    <definedName name="Delta" localSheetId="9">[5]general!$G$27</definedName>
    <definedName name="Delta">general!$G$27</definedName>
    <definedName name="DevBud1" localSheetId="9">[5]financing!$F$17</definedName>
    <definedName name="DevBud1">financing!$F$17</definedName>
    <definedName name="DevBud2" localSheetId="9">[5]hard_budget!$F$329</definedName>
    <definedName name="DevBud2">hard_budget!$F$329</definedName>
    <definedName name="e" localSheetId="2" hidden="1">{"MonthlyRentRoll",#N/A,FALSE,"RentRoll"}</definedName>
    <definedName name="e" localSheetId="6" hidden="1">{"MonthlyRentRoll",#N/A,FALSE,"RentRoll"}</definedName>
    <definedName name="e" localSheetId="8" hidden="1">{"MonthlyRentRoll",#N/A,FALSE,"RentRoll"}</definedName>
    <definedName name="e" localSheetId="9" hidden="1">{"MonthlyRentRoll",#N/A,FALSE,"RentRoll"}</definedName>
    <definedName name="e" hidden="1">{"MonthlyRentRoll",#N/A,FALSE,"RentRoll"}</definedName>
    <definedName name="ee" localSheetId="2" hidden="1">{#N/A,#N/A,FALSE,"OperatingAssumptions"}</definedName>
    <definedName name="ee" localSheetId="6" hidden="1">{#N/A,#N/A,FALSE,"OperatingAssumptions"}</definedName>
    <definedName name="ee" localSheetId="8" hidden="1">{#N/A,#N/A,FALSE,"OperatingAssumptions"}</definedName>
    <definedName name="ee" localSheetId="9" hidden="1">{#N/A,#N/A,FALSE,"OperatingAssumptions"}</definedName>
    <definedName name="ee" hidden="1">{#N/A,#N/A,FALSE,"OperatingAssumptions"}</definedName>
    <definedName name="eee" localSheetId="2" hidden="1">{#N/A,#N/A,FALSE,"OperatingAssumptions"}</definedName>
    <definedName name="eee" localSheetId="6" hidden="1">{#N/A,#N/A,FALSE,"OperatingAssumptions"}</definedName>
    <definedName name="eee" localSheetId="8" hidden="1">{#N/A,#N/A,FALSE,"OperatingAssumptions"}</definedName>
    <definedName name="eee" localSheetId="9" hidden="1">{#N/A,#N/A,FALSE,"OperatingAssumptions"}</definedName>
    <definedName name="eee" hidden="1">{#N/A,#N/A,FALSE,"OperatingAssumptions"}</definedName>
    <definedName name="f" localSheetId="8" hidden="1">{"sheet a",#N/A,FALSE,"A";"sheet b 1",#N/A,FALSE,"B";"sheet b 2",#N/A,FALSE,"B"}</definedName>
    <definedName name="f" localSheetId="9" hidden="1">{"sheet a",#N/A,FALSE,"A";"sheet b 1",#N/A,FALSE,"B";"sheet b 2",#N/A,FALSE,"B"}</definedName>
    <definedName name="f" hidden="1">{"sheet a",#N/A,FALSE,"A";"sheet b 1",#N/A,FALSE,"B";"sheet b 2",#N/A,FALSE,"B"}</definedName>
    <definedName name="ff" localSheetId="2" hidden="1">{#N/A,#N/A,TRUE,"Summary";"AnnualRentRoll",#N/A,TRUE,"RentRoll";#N/A,#N/A,TRUE,"ExitStratigy";#N/A,#N/A,TRUE,"OperatingAssumptions"}</definedName>
    <definedName name="ff" localSheetId="6" hidden="1">{#N/A,#N/A,TRUE,"Summary";"AnnualRentRoll",#N/A,TRUE,"RentRoll";#N/A,#N/A,TRUE,"ExitStratigy";#N/A,#N/A,TRUE,"OperatingAssumptions"}</definedName>
    <definedName name="ff" localSheetId="8" hidden="1">{#N/A,#N/A,TRUE,"Summary";"AnnualRentRoll",#N/A,TRUE,"RentRoll";#N/A,#N/A,TRUE,"ExitStratigy";#N/A,#N/A,TRUE,"OperatingAssumptions"}</definedName>
    <definedName name="ff" localSheetId="9" hidden="1">{#N/A,#N/A,TRUE,"Summary";"AnnualRentRoll",#N/A,TRUE,"RentRoll";#N/A,#N/A,TRUE,"ExitStratigy";#N/A,#N/A,TRUE,"OperatingAssumptions"}</definedName>
    <definedName name="ff" hidden="1">{#N/A,#N/A,TRUE,"Summary";"AnnualRentRoll",#N/A,TRUE,"RentRoll";#N/A,#N/A,TRUE,"ExitStratigy";#N/A,#N/A,TRUE,"OperatingAssumptions"}</definedName>
    <definedName name="fff" localSheetId="2" hidden="1">{#N/A,#N/A,TRUE,"Summary";"AnnualRentRoll",#N/A,TRUE,"RentRoll";#N/A,#N/A,TRUE,"ExitStratigy";#N/A,#N/A,TRUE,"OperatingAssumptions"}</definedName>
    <definedName name="fff" localSheetId="6" hidden="1">{#N/A,#N/A,TRUE,"Summary";"AnnualRentRoll",#N/A,TRUE,"RentRoll";#N/A,#N/A,TRUE,"ExitStratigy";#N/A,#N/A,TRUE,"OperatingAssumptions"}</definedName>
    <definedName name="fff" localSheetId="8" hidden="1">{#N/A,#N/A,TRUE,"Summary";"AnnualRentRoll",#N/A,TRUE,"RentRoll";#N/A,#N/A,TRUE,"ExitStratigy";#N/A,#N/A,TRUE,"OperatingAssumptions"}</definedName>
    <definedName name="fff" localSheetId="9" hidden="1">{#N/A,#N/A,TRUE,"Summary";"AnnualRentRoll",#N/A,TRUE,"RentRoll";#N/A,#N/A,TRUE,"ExitStratigy";#N/A,#N/A,TRUE,"OperatingAssumptions"}</definedName>
    <definedName name="fff" hidden="1">{#N/A,#N/A,TRUE,"Summary";"AnnualRentRoll",#N/A,TRUE,"RentRoll";#N/A,#N/A,TRUE,"ExitStratigy";#N/A,#N/A,TRUE,"OperatingAssumptions"}</definedName>
    <definedName name="fgsdfsadfsd" localSheetId="8" hidden="1">{"sheet a",#N/A,FALSE,"A";"sheet b 1",#N/A,FALSE,"B";"sheet b 2",#N/A,FALSE,"B"}</definedName>
    <definedName name="fgsdfsadfsd" localSheetId="9" hidden="1">{"sheet a",#N/A,FALSE,"A";"sheet b 1",#N/A,FALSE,"B";"sheet b 2",#N/A,FALSE,"B"}</definedName>
    <definedName name="fgsdfsadfsd" hidden="1">{"sheet a",#N/A,FALSE,"A";"sheet b 1",#N/A,FALSE,"B";"sheet b 2",#N/A,FALSE,"B"}</definedName>
    <definedName name="gg" localSheetId="2" hidden="1">{#N/A,#N/A,FALSE,"PropertyInfo"}</definedName>
    <definedName name="gg" localSheetId="6" hidden="1">{#N/A,#N/A,FALSE,"PropertyInfo"}</definedName>
    <definedName name="gg" localSheetId="8" hidden="1">{#N/A,#N/A,FALSE,"PropertyInfo"}</definedName>
    <definedName name="gg" localSheetId="9" hidden="1">{#N/A,#N/A,FALSE,"PropertyInfo"}</definedName>
    <definedName name="gg" hidden="1">{#N/A,#N/A,FALSE,"PropertyInfo"}</definedName>
    <definedName name="ggg" localSheetId="2" hidden="1">{#N/A,#N/A,FALSE,"PropertyInfo"}</definedName>
    <definedName name="ggg" localSheetId="6" hidden="1">{#N/A,#N/A,FALSE,"PropertyInfo"}</definedName>
    <definedName name="ggg" localSheetId="8" hidden="1">{#N/A,#N/A,FALSE,"PropertyInfo"}</definedName>
    <definedName name="ggg" localSheetId="9" hidden="1">{#N/A,#N/A,FALSE,"PropertyInfo"}</definedName>
    <definedName name="ggg" hidden="1">{#N/A,#N/A,FALSE,"PropertyInfo"}</definedName>
    <definedName name="hardbud">hard_budget!$F$341</definedName>
    <definedName name="hh" localSheetId="2" hidden="1">{#N/A,#N/A,FALSE,"Summary"}</definedName>
    <definedName name="hh" localSheetId="6" hidden="1">{#N/A,#N/A,FALSE,"Summary"}</definedName>
    <definedName name="hh" localSheetId="8" hidden="1">{#N/A,#N/A,FALSE,"Summary"}</definedName>
    <definedName name="hh" localSheetId="9" hidden="1">{#N/A,#N/A,FALSE,"Summary"}</definedName>
    <definedName name="hh" hidden="1">{#N/A,#N/A,FALSE,"Summary"}</definedName>
    <definedName name="hhh" localSheetId="2" hidden="1">{#N/A,#N/A,FALSE,"Summary"}</definedName>
    <definedName name="hhh" localSheetId="6" hidden="1">{#N/A,#N/A,FALSE,"Summary"}</definedName>
    <definedName name="hhh" localSheetId="8" hidden="1">{#N/A,#N/A,FALSE,"Summary"}</definedName>
    <definedName name="hhh" localSheetId="9" hidden="1">{#N/A,#N/A,FALSE,"Summary"}</definedName>
    <definedName name="hhh" hidden="1">{#N/A,#N/A,FALSE,"Summary"}</definedName>
    <definedName name="HTML_CodePage" hidden="1">1252</definedName>
    <definedName name="HTML_Control" localSheetId="2" hidden="1">{"'Sheet1'!$A$1:$I$10","'Sheet1'!$A$1:$I$11"}</definedName>
    <definedName name="HTML_Control" localSheetId="6" hidden="1">{"'Sheet1'!$A$1:$I$10","'Sheet1'!$A$1:$I$11"}</definedName>
    <definedName name="HTML_Control" localSheetId="8" hidden="1">{"'Sheet1'!$A$1:$I$10","'Sheet1'!$A$1:$I$11"}</definedName>
    <definedName name="HTML_Control" localSheetId="9" hidden="1">{"'Sheet1'!$A$1:$I$10","'Sheet1'!$A$1:$I$11"}</definedName>
    <definedName name="HTML_Control" hidden="1">{"'Sheet1'!$A$1:$I$10","'Sheet1'!$A$1:$I$11"}</definedName>
    <definedName name="HTML_Description" hidden="1">""</definedName>
    <definedName name="HTML_Email" hidden="1">""</definedName>
    <definedName name="HTML_Header" hidden="1">""</definedName>
    <definedName name="HTML_LastUpdate" hidden="1">"8/6/01"</definedName>
    <definedName name="HTML_LineAfter" hidden="1">FALSE</definedName>
    <definedName name="HTML_LineBefore" hidden="1">FALSE</definedName>
    <definedName name="HTML_Name" hidden="1">"Michigan Gaming Control Board"</definedName>
    <definedName name="HTML_OBDlg2" hidden="1">TRUE</definedName>
    <definedName name="HTML_OBDlg4" hidden="1">TRUE</definedName>
    <definedName name="HTML_OS" hidden="1">0</definedName>
    <definedName name="HTML_PathFile" hidden="1">"C:\WINDOWS\DESKTOP\Casino Revenues July 2001.htm"</definedName>
    <definedName name="HTML_Title" hidden="1">""</definedName>
    <definedName name="IntReserve1" localSheetId="9">[5]reserves!#REF!</definedName>
    <definedName name="IntReserve1">reserves!#REF!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CUMULATED_PENSION_OBLIGATION_DOMESTIC" hidden="1">"c2657"</definedName>
    <definedName name="IQ_ACCUMULATED_PENSION_OBLIGATION_FOREIGN" hidden="1">"c2665"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J_AVG_BANK_ASSETS" hidden="1">"c2671"</definedName>
    <definedName name="IQ_ADMIN_RATIO" hidden="1">"c2784"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H_EARNED" hidden="1">"c2744"</definedName>
    <definedName name="IQ_AH_POLICY_BENEFITS_EXP" hidden="1">"c2789"</definedName>
    <definedName name="IQ_AIR_AIRPLANES_NOT_IN_SERVICE" hidden="1">"c2842"</definedName>
    <definedName name="IQ_AIR_AIRPLANES_SUBLEASED" hidden="1">"c2841"</definedName>
    <definedName name="IQ_AIR_ASK" hidden="1">"c2813"</definedName>
    <definedName name="IQ_AIR_ASK_INCREASE" hidden="1">"c2826"</definedName>
    <definedName name="IQ_AIR_ASM" hidden="1">"c2812"</definedName>
    <definedName name="IQ_AIR_ASM_INCREASE" hidden="1">"c2825"</definedName>
    <definedName name="IQ_AIR_AVG_AGE" hidden="1">"c2843"</definedName>
    <definedName name="IQ_AIR_BREAK_EVEN_FACTOR" hidden="1">"c2822"</definedName>
    <definedName name="IQ_AIR_CAPITAL_LEASE" hidden="1">"c2833"</definedName>
    <definedName name="IQ_AIR_COMPLETION_FACTOR" hidden="1">"c2824"</definedName>
    <definedName name="IQ_AIR_ENPLANED_PSGRS" hidden="1">"c2809"</definedName>
    <definedName name="IQ_AIR_FUEL_CONSUMED" hidden="1">"c2806"</definedName>
    <definedName name="IQ_AIR_FUEL_CONSUMED_L" hidden="1">"c2807"</definedName>
    <definedName name="IQ_AIR_FUEL_COST" hidden="1">"c2803"</definedName>
    <definedName name="IQ_AIR_FUEL_COST_L" hidden="1">"c2804"</definedName>
    <definedName name="IQ_AIR_FUEL_EXP" hidden="1">"c2802"</definedName>
    <definedName name="IQ_AIR_FUEL_EXP_PERCENT" hidden="1">"c2805"</definedName>
    <definedName name="IQ_AIR_LEASED" hidden="1">"c2835"</definedName>
    <definedName name="IQ_AIR_LOAD_FACTOR" hidden="1">"c2823"</definedName>
    <definedName name="IQ_AIR_NEW_AIRPLANES" hidden="1">"c2839"</definedName>
    <definedName name="IQ_AIR_OPER_EXP_ASK" hidden="1">"c2821"</definedName>
    <definedName name="IQ_AIR_OPER_EXP_ASM" hidden="1">"c2820"</definedName>
    <definedName name="IQ_AIR_OPER_LEASE" hidden="1">"c2834"</definedName>
    <definedName name="IQ_AIR_OPER_REV_YIELD_ASK" hidden="1">"c2819"</definedName>
    <definedName name="IQ_AIR_OPER_REV_YIELD_ASM" hidden="1">"c2818"</definedName>
    <definedName name="IQ_AIR_OPTIONS" hidden="1">"c2837"</definedName>
    <definedName name="IQ_AIR_ORDERS" hidden="1">"c2836"</definedName>
    <definedName name="IQ_AIR_OWNED" hidden="1">"c2832"</definedName>
    <definedName name="IQ_AIR_PSGR_REV_YIELD_ASK" hidden="1">"c2817"</definedName>
    <definedName name="IQ_AIR_PSGR_REV_YIELD_ASM" hidden="1">"c2816"</definedName>
    <definedName name="IQ_AIR_PSGR_REV_YIELD_RPK" hidden="1">"c2815"</definedName>
    <definedName name="IQ_AIR_PSGR_REV_YIELD_RPM" hidden="1">"c2814"</definedName>
    <definedName name="IQ_AIR_PURCHASE_RIGHTS" hidden="1">"c2838"</definedName>
    <definedName name="IQ_AIR_RETIRED_AIRPLANES" hidden="1">"c2840"</definedName>
    <definedName name="IQ_AIR_REV_PSGRS_CARRIED" hidden="1">"c2808"</definedName>
    <definedName name="IQ_AIR_REV_SCHEDULED_SERVICE" hidden="1">"c2830"</definedName>
    <definedName name="IQ_AIR_RPK" hidden="1">"c2811"</definedName>
    <definedName name="IQ_AIR_RPM" hidden="1">"c2810"</definedName>
    <definedName name="IQ_AIR_STAGE_LENGTH" hidden="1">"c2828"</definedName>
    <definedName name="IQ_AIR_STAGE_LENGTH_KM" hidden="1">"c2829"</definedName>
    <definedName name="IQ_AIR_TOTAL" hidden="1">"c2831"</definedName>
    <definedName name="IQ_AIR_UTILIZATION" hidden="1">"c2827"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_DISTRIBUTION_UNIT" hidden="1">"c3004"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SSUMED_AH_EARNED" hidden="1">"c2741"</definedName>
    <definedName name="IQ_ASSUMED_EARNED" hidden="1">"c2731"</definedName>
    <definedName name="IQ_ASSUMED_LIFE_EARNED" hidden="1">"c2736"</definedName>
    <definedName name="IQ_ASSUMED_LIFE_IN_FORCE" hidden="1">"c2766"</definedName>
    <definedName name="IQ_ASSUMED_PC_EARNED" hidden="1">"c2746"</definedName>
    <definedName name="IQ_ASSUMED_WRITTEN" hidden="1">"c2725"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PRICE_TARGET" hidden="1">"c82"</definedName>
    <definedName name="IQ_AVG_SHAREOUTSTANDING" hidden="1">"c83"</definedName>
    <definedName name="IQ_AVG_TEV" hidden="1">"c84"</definedName>
    <definedName name="IQ_AVG_VOLUME" hidden="1">"c1346"</definedName>
    <definedName name="IQ_BANK_DEBT" hidden="1">"c2544"</definedName>
    <definedName name="IQ_BANK_DEBT_PCT" hidden="1">"c2545"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ROK_COMMISSION" hidden="1">"c3514"</definedName>
    <definedName name="IQ_BUILDINGS" hidden="1">"c99"</definedName>
    <definedName name="IQ_BUS_SEG_ASSETS" hidden="1">"c4067"</definedName>
    <definedName name="IQ_BUS_SEG_ASSETS_ABS" hidden="1">"c4089"</definedName>
    <definedName name="IQ_BUS_SEG_ASSETS_TOTAL" hidden="1">"c4112"</definedName>
    <definedName name="IQ_BUS_SEG_CAPEX" hidden="1">"c4079"</definedName>
    <definedName name="IQ_BUS_SEG_CAPEX_ABS" hidden="1">"c4101"</definedName>
    <definedName name="IQ_BUS_SEG_CAPEX_TOTAL" hidden="1">"c4116"</definedName>
    <definedName name="IQ_BUS_SEG_DA" hidden="1">"c4078"</definedName>
    <definedName name="IQ_BUS_SEG_DA_ABS" hidden="1">"c4100"</definedName>
    <definedName name="IQ_BUS_SEG_DA_TOTAL" hidden="1">"c4115"</definedName>
    <definedName name="IQ_BUS_SEG_EARNINGS_OP" hidden="1">"c4063"</definedName>
    <definedName name="IQ_BUS_SEG_EARNINGS_OP_ABS" hidden="1">"c4085"</definedName>
    <definedName name="IQ_BUS_SEG_EARNINGS_OP_TOTAL" hidden="1">"c4108"</definedName>
    <definedName name="IQ_BUS_SEG_EBT" hidden="1">"c4064"</definedName>
    <definedName name="IQ_BUS_SEG_EBT_ABS" hidden="1">"c4086"</definedName>
    <definedName name="IQ_BUS_SEG_EBT_TOTAL" hidden="1">"c4110"</definedName>
    <definedName name="IQ_BUS_SEG_GP" hidden="1">"c4066"</definedName>
    <definedName name="IQ_BUS_SEG_GP_ABS" hidden="1">"c4088"</definedName>
    <definedName name="IQ_BUS_SEG_GP_TOTAL" hidden="1">"c4109"</definedName>
    <definedName name="IQ_BUS_SEG_INC_TAX" hidden="1">"c4077"</definedName>
    <definedName name="IQ_BUS_SEG_INC_TAX_ABS" hidden="1">"c4099"</definedName>
    <definedName name="IQ_BUS_SEG_INC_TAX_TOTAL" hidden="1">"c4114"</definedName>
    <definedName name="IQ_BUS_SEG_INTEREST_EXP" hidden="1">"c4076"</definedName>
    <definedName name="IQ_BUS_SEG_INTEREST_EXP_ABS" hidden="1">"c4098"</definedName>
    <definedName name="IQ_BUS_SEG_INTEREST_EXP_TOTAL" hidden="1">"c4113"</definedName>
    <definedName name="IQ_BUS_SEG_NAME" hidden="1">"c5482"</definedName>
    <definedName name="IQ_BUS_SEG_NAME_ABS" hidden="1">"c5483"</definedName>
    <definedName name="IQ_BUS_SEG_NI" hidden="1">"c4065"</definedName>
    <definedName name="IQ_BUS_SEG_NI_ABS" hidden="1">"c4087"</definedName>
    <definedName name="IQ_BUS_SEG_NI_TOTAL" hidden="1">"c4111"</definedName>
    <definedName name="IQ_BUS_SEG_OPER_INC" hidden="1">"c4062"</definedName>
    <definedName name="IQ_BUS_SEG_OPER_INC_ABS" hidden="1">"c4084"</definedName>
    <definedName name="IQ_BUS_SEG_OPER_INC_TOTAL" hidden="1">"c4107"</definedName>
    <definedName name="IQ_BUS_SEG_REV" hidden="1">"c4068"</definedName>
    <definedName name="IQ_BUS_SEG_REV_ABS" hidden="1">"c4090"</definedName>
    <definedName name="IQ_BUS_SEG_REV_TOTAL" hidden="1">"c4106"</definedName>
    <definedName name="IQ_BUSINESS_DESCRIPTION" hidden="1">"c322"</definedName>
    <definedName name="IQ_BV_OVER_SHARES" hidden="1">"c1349"</definedName>
    <definedName name="IQ_BV_SHARE" hidden="1">"c100"</definedName>
    <definedName name="IQ_CABLE_ARPU" hidden="1">"c2869"</definedName>
    <definedName name="IQ_CABLE_ARPU_ANALOG" hidden="1">"c2864"</definedName>
    <definedName name="IQ_CABLE_ARPU_BASIC" hidden="1">"c2866"</definedName>
    <definedName name="IQ_CABLE_ARPU_BBAND" hidden="1">"c2867"</definedName>
    <definedName name="IQ_CABLE_ARPU_DIG" hidden="1">"c2865"</definedName>
    <definedName name="IQ_CABLE_ARPU_PHONE" hidden="1">"c2868"</definedName>
    <definedName name="IQ_CABLE_BASIC_PENETRATION" hidden="1">"c2850"</definedName>
    <definedName name="IQ_CABLE_BBAND_PENETRATION" hidden="1">"c2852"</definedName>
    <definedName name="IQ_CABLE_BBAND_PENETRATION_THP" hidden="1">"c2851"</definedName>
    <definedName name="IQ_CABLE_CHURN" hidden="1">"c2874"</definedName>
    <definedName name="IQ_CABLE_CHURN_BASIC" hidden="1">"c2871"</definedName>
    <definedName name="IQ_CABLE_CHURN_BBAND" hidden="1">"c2872"</definedName>
    <definedName name="IQ_CABLE_CHURN_DIG" hidden="1">"c2870"</definedName>
    <definedName name="IQ_CABLE_CHURN_PHONE" hidden="1">"c2873"</definedName>
    <definedName name="IQ_CABLE_HOMES_PER_MILE" hidden="1">"c2849"</definedName>
    <definedName name="IQ_CABLE_HP_BBAND" hidden="1">"c2845"</definedName>
    <definedName name="IQ_CABLE_HP_DIG" hidden="1">"c2844"</definedName>
    <definedName name="IQ_CABLE_HP_PHONE" hidden="1">"c2846"</definedName>
    <definedName name="IQ_CABLE_MILES_PASSED" hidden="1">"c2848"</definedName>
    <definedName name="IQ_CABLE_OTHER_REV" hidden="1">"c2882"</definedName>
    <definedName name="IQ_CABLE_PHONE_PENETRATION" hidden="1">"c2853"</definedName>
    <definedName name="IQ_CABLE_PROGRAMMING_COSTS" hidden="1">"c2884"</definedName>
    <definedName name="IQ_CABLE_REV_ADVERT" hidden="1">"c2880"</definedName>
    <definedName name="IQ_CABLE_REV_ANALOG" hidden="1">"c2875"</definedName>
    <definedName name="IQ_CABLE_REV_BASIC" hidden="1">"c2877"</definedName>
    <definedName name="IQ_CABLE_REV_BBAND" hidden="1">"c2878"</definedName>
    <definedName name="IQ_CABLE_REV_COMMERCIAL" hidden="1">"c2881"</definedName>
    <definedName name="IQ_CABLE_REV_DIG" hidden="1">"c2876"</definedName>
    <definedName name="IQ_CABLE_REV_PHONE" hidden="1">"c2879"</definedName>
    <definedName name="IQ_CABLE_RGU" hidden="1">"c2863"</definedName>
    <definedName name="IQ_CABLE_SUBS_ANALOG" hidden="1">"c2855"</definedName>
    <definedName name="IQ_CABLE_SUBS_BASIC" hidden="1">"c2857"</definedName>
    <definedName name="IQ_CABLE_SUBS_BBAND" hidden="1">"c2858"</definedName>
    <definedName name="IQ_CABLE_SUBS_BUNDLED" hidden="1">"c2861"</definedName>
    <definedName name="IQ_CABLE_SUBS_DIG" hidden="1">"c2856"</definedName>
    <definedName name="IQ_CABLE_SUBS_NON_VIDEO" hidden="1">"c2860"</definedName>
    <definedName name="IQ_CABLE_SUBS_PHONE" hidden="1">"c2859"</definedName>
    <definedName name="IQ_CABLE_SUBS_TOTAL" hidden="1">"c2862"</definedName>
    <definedName name="IQ_CABLE_THP" hidden="1">"c2847"</definedName>
    <definedName name="IQ_CABLE_TOTAL_PENETRATION" hidden="1">"c2854"</definedName>
    <definedName name="IQ_CABLE_TOTAL_REV" hidden="1">"c2883"</definedName>
    <definedName name="IQ_CAL_Q" hidden="1">"c101"</definedName>
    <definedName name="IQ_CAL_Y" hidden="1">"c102"</definedName>
    <definedName name="IQ_CALC_TYPE_BS" hidden="1">"c3086"</definedName>
    <definedName name="IQ_CALC_TYPE_CF" hidden="1">"c3085"</definedName>
    <definedName name="IQ_CALC_TYPE_IS" hidden="1">"c3084"</definedName>
    <definedName name="IQ_CALL_DATE_SCHEDULE" hidden="1">"c2481"</definedName>
    <definedName name="IQ_CALL_FEATURE" hidden="1">"c2197"</definedName>
    <definedName name="IQ_CALL_PRICE_SCHEDULE" hidden="1">"c2482"</definedName>
    <definedName name="IQ_CALLABLE" hidden="1">"c2196"</definedName>
    <definedName name="IQ_CAP_LOSS_CF_1YR" hidden="1">"c3474"</definedName>
    <definedName name="IQ_CAP_LOSS_CF_2YR" hidden="1">"c3475"</definedName>
    <definedName name="IQ_CAP_LOSS_CF_3YR" hidden="1">"c3476"</definedName>
    <definedName name="IQ_CAP_LOSS_CF_4YR" hidden="1">"c3477"</definedName>
    <definedName name="IQ_CAP_LOSS_CF_5YR" hidden="1">"c3478"</definedName>
    <definedName name="IQ_CAP_LOSS_CF_AFTER_FIVE" hidden="1">"c3479"</definedName>
    <definedName name="IQ_CAP_LOSS_CF_MAX_YEAR" hidden="1">"c3482"</definedName>
    <definedName name="IQ_CAP_LOSS_CF_NO_EXP" hidden="1">"c3480"</definedName>
    <definedName name="IQ_CAP_LOSS_CF_TOTAL" hidden="1">"c3481"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_LEASES_TOTAL" hidden="1">"c3031"</definedName>
    <definedName name="IQ_CAPITAL_LEASES_TOTAL_PCT" hidden="1">"c2506"</definedName>
    <definedName name="IQ_CAPITALIZED_INTEREST" hidden="1">"c3460"</definedName>
    <definedName name="IQ_CAPITALIZED_INTEREST_BOP" hidden="1">"c3459"</definedName>
    <definedName name="IQ_CAPITALIZED_INTEREST_EOP" hidden="1">"c3464"</definedName>
    <definedName name="IQ_CAPITALIZED_INTEREST_EXP" hidden="1">"c3461"</definedName>
    <definedName name="IQ_CAPITALIZED_INTEREST_OTHER_ADJ" hidden="1">"c3463"</definedName>
    <definedName name="IQ_CAPITALIZED_INTEREST_WRITE_OFF" hidden="1">"c3462"</definedName>
    <definedName name="IQ_CASH" hidden="1">"c1458"</definedName>
    <definedName name="IQ_CASH_ACQUIRE_CF" hidden="1">"c116"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EDED_AH_EARNED" hidden="1">"c2743"</definedName>
    <definedName name="IQ_CEDED_CLAIM_EXP_INCUR" hidden="1">"c2756"</definedName>
    <definedName name="IQ_CEDED_CLAIM_EXP_PAID" hidden="1">"c2759"</definedName>
    <definedName name="IQ_CEDED_CLAIM_EXP_RES" hidden="1">"c2753"</definedName>
    <definedName name="IQ_CEDED_EARNED" hidden="1">"c2733"</definedName>
    <definedName name="IQ_CEDED_LIFE_EARNED" hidden="1">"c2738"</definedName>
    <definedName name="IQ_CEDED_LIFE_IN_FORCE" hidden="1">"c2768"</definedName>
    <definedName name="IQ_CEDED_PC_EARNED" hidden="1">"c2748"</definedName>
    <definedName name="IQ_CEDED_WRITTEN" hidden="1">"c2727"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OPER_ASSETS" hidden="1">"c3592"</definedName>
    <definedName name="IQ_CHANGE_NET_WORKING_CAPITAL" hidden="1">"c1909"</definedName>
    <definedName name="IQ_CHANGE_OTHER_NET_OPER_ASSETS" hidden="1">"c3593"</definedName>
    <definedName name="IQ_CHANGE_OTHER_NET_OPER_ASSETS_BNK" hidden="1">"c3594"</definedName>
    <definedName name="IQ_CHANGE_OTHER_NET_OPER_ASSETS_BR" hidden="1">"c3595"</definedName>
    <definedName name="IQ_CHANGE_OTHER_NET_OPER_ASSETS_FIN" hidden="1">"c3596"</definedName>
    <definedName name="IQ_CHANGE_OTHER_NET_OPER_ASSETS_INS" hidden="1">"c3597"</definedName>
    <definedName name="IQ_CHANGE_OTHER_NET_OPER_ASSETS_REIT" hidden="1">"c3598"</definedName>
    <definedName name="IQ_CHANGE_OTHER_NET_OPER_ASSETS_UTI" hidden="1">"c3599"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_OBLIGATION_IMMEDIATE" hidden="1">"c2253"</definedName>
    <definedName name="IQ_CLASSA_OPTIONS_BEG_OS" hidden="1">"c2679"</definedName>
    <definedName name="IQ_CLASSA_OPTIONS_CANCELLED" hidden="1">"c2682"</definedName>
    <definedName name="IQ_CLASSA_OPTIONS_END_OS" hidden="1">"c2683"</definedName>
    <definedName name="IQ_CLASSA_OPTIONS_EXERCISED" hidden="1">"c2681"</definedName>
    <definedName name="IQ_CLASSA_OPTIONS_GRANTED" hidden="1">"c2680"</definedName>
    <definedName name="IQ_CLASSA_OPTIONS_STRIKE_PRICE_OS" hidden="1">"c2684"</definedName>
    <definedName name="IQ_CLASSA_OUTSTANDING_BS_DATE" hidden="1">"c1971"</definedName>
    <definedName name="IQ_CLASSA_OUTSTANDING_FILING_DATE" hidden="1">"c1973"</definedName>
    <definedName name="IQ_CLASSA_STRIKE_PRICE_GRANTED" hidden="1">"c2685"</definedName>
    <definedName name="IQ_CLASSA_WARRANTS_BEG_OS" hidden="1">"c2705"</definedName>
    <definedName name="IQ_CLASSA_WARRANTS_CANCELLED" hidden="1">"c2708"</definedName>
    <definedName name="IQ_CLASSA_WARRANTS_END_OS" hidden="1">"c2709"</definedName>
    <definedName name="IQ_CLASSA_WARRANTS_EXERCISED" hidden="1">"c2707"</definedName>
    <definedName name="IQ_CLASSA_WARRANTS_ISSUED" hidden="1">"c2706"</definedName>
    <definedName name="IQ_CLASSA_WARRANTS_STRIKE_PRICE_ISSUED" hidden="1">"c2711"</definedName>
    <definedName name="IQ_CLASSA_WARRANTS_STRIKE_PRICE_OS" hidden="1">"c2710"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" hidden="1">"c3006"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ID" hidden="1">"c3513"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EXP_DATE" hidden="1">"c3043"</definedName>
    <definedName name="IQ_CONV_PREMIUM" hidden="1">"c2195"</definedName>
    <definedName name="IQ_CONV_PRICE" hidden="1">"c2193"</definedName>
    <definedName name="IQ_CONV_RATE" hidden="1">"c2192"</definedName>
    <definedName name="IQ_CONV_RATIO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RT" hidden="1">"c2536"</definedName>
    <definedName name="IQ_CONVERT_PCT" hidden="1">"c2537"</definedName>
    <definedName name="IQ_CONVEXITY" hidden="1">"c2182"</definedName>
    <definedName name="IQ_COST_BORROWING" hidden="1">"c2936"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P" hidden="1">"c2495"</definedName>
    <definedName name="IQ_CP_PCT" hidden="1">"c2496"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PORT_PCT" hidden="1">"c2541"</definedName>
    <definedName name="IQ_CURRENT_RATIO" hidden="1">"c246"</definedName>
    <definedName name="IQ_CUSIP" hidden="1">"c2245"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EBITDA" hidden="1">"c5528"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BT_ADJ" hidden="1">"c2515"</definedName>
    <definedName name="IQ_DEBT_ADJ_PCT" hidden="1">"c2516"</definedName>
    <definedName name="IQ_DEBT_EQUIV_NET_PBO" hidden="1">"c2938"</definedName>
    <definedName name="IQ_DEBT_EQUIV_OPER_LEASE" hidden="1">"c2935"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INTEREST_COST_DOMESTIC" hidden="1">"c2652"</definedName>
    <definedName name="IQ_DEF_BENEFIT_INTEREST_COST_FOREIGN" hidden="1">"c2660"</definedName>
    <definedName name="IQ_DEF_BENEFIT_OTHER_COST" hidden="1">"c284"</definedName>
    <definedName name="IQ_DEF_BENEFIT_OTHER_COST_DOMESTIC" hidden="1">"c2654"</definedName>
    <definedName name="IQ_DEF_BENEFIT_OTHER_COST_FOREIGN" hidden="1">"c2662"</definedName>
    <definedName name="IQ_DEF_BENEFIT_ROA" hidden="1">"c285"</definedName>
    <definedName name="IQ_DEF_BENEFIT_ROA_DOMESTIC" hidden="1">"c2653"</definedName>
    <definedName name="IQ_DEF_BENEFIT_ROA_FOREIGN" hidden="1">"c2661"</definedName>
    <definedName name="IQ_DEF_BENEFIT_SERVICE_COST" hidden="1">"c286"</definedName>
    <definedName name="IQ_DEF_BENEFIT_SERVICE_COST_DOMESTIC" hidden="1">"c2651"</definedName>
    <definedName name="IQ_DEF_BENEFIT_SERVICE_COST_FOREIGN" hidden="1">"c2659"</definedName>
    <definedName name="IQ_DEF_BENEFIT_TOTAL_COST" hidden="1">"c287"</definedName>
    <definedName name="IQ_DEF_BENEFIT_TOTAL_COST_DOMESTIC" hidden="1">"c2655"</definedName>
    <definedName name="IQ_DEF_BENEFIT_TOTAL_COST_FOREIGN" hidden="1">"c2663"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OSITS_INTEREST_SECURITIES" hidden="1">"c5509"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RECT_AH_EARNED" hidden="1">"c2740"</definedName>
    <definedName name="IQ_DIRECT_EARNED" hidden="1">"c2730"</definedName>
    <definedName name="IQ_DIRECT_LIFE_EARNED" hidden="1">"c2735"</definedName>
    <definedName name="IQ_DIRECT_LIFE_IN_FORCE" hidden="1">"c2765"</definedName>
    <definedName name="IQ_DIRECT_PC_EARNED" hidden="1">"c2745"</definedName>
    <definedName name="IQ_DIRECT_WRITTEN" hidden="1">"c2724"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STRIBUTABLE_CASH" hidden="1">"c3002"</definedName>
    <definedName name="IQ_DISTRIBUTABLE_CASH_PAYOUT" hidden="1">"c3005"</definedName>
    <definedName name="IQ_DISTRIBUTABLE_CASH_SHARE" hidden="1">"c3003"</definedName>
    <definedName name="IQ_DIV_AMOUNT" hidden="1">"c3041"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AC_ACC" hidden="1">"c2799"</definedName>
    <definedName name="IQ_DPAC_AMORT" hidden="1">"c2795"</definedName>
    <definedName name="IQ_DPAC_BEG" hidden="1">"c2791"</definedName>
    <definedName name="IQ_DPAC_COMMISSIONS" hidden="1">"c2792"</definedName>
    <definedName name="IQ_DPAC_END" hidden="1">"c2801"</definedName>
    <definedName name="IQ_DPAC_FX" hidden="1">"c2798"</definedName>
    <definedName name="IQ_DPAC_OTHER_ADJ" hidden="1">"c2800"</definedName>
    <definedName name="IQ_DPAC_OTHERS" hidden="1">"c2793"</definedName>
    <definedName name="IQ_DPAC_PERIOD" hidden="1">"c2794"</definedName>
    <definedName name="IQ_DPAC_REAL_GAIN" hidden="1">"c2797"</definedName>
    <definedName name="IQ_DPAC_UNREAL_GAIN" hidden="1">"c2796"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EQ_INC" hidden="1">"c3498"</definedName>
    <definedName name="IQ_EBIT_EQ_INC_EXCL_SBC" hidden="1">"c3502"</definedName>
    <definedName name="IQ_EBIT_EXCL_SBC" hidden="1">"c3082"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EQ_INC" hidden="1">"c3497"</definedName>
    <definedName name="IQ_EBITA_EQ_INC_EXCL_SBC" hidden="1">"c3501"</definedName>
    <definedName name="IQ_EBITA_EXCL_SBC" hidden="1">"c3080"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EQ_INC" hidden="1">"c3496"</definedName>
    <definedName name="IQ_EBITDA_EQ_INC_EXCL_SBC" hidden="1">"c3500"</definedName>
    <definedName name="IQ_EBITDA_EXCL_SBC" hidden="1">"c3081"</definedName>
    <definedName name="IQ_EBITDA_INT" hidden="1">"c373"</definedName>
    <definedName name="IQ_EBITDA_MARGIN" hidden="1">"c372"</definedName>
    <definedName name="IQ_EBITDA_OVER_TOTAL_IE" hidden="1">"c1371"</definedName>
    <definedName name="IQ_EBITDAR" hidden="1">"c2989"</definedName>
    <definedName name="IQ_EBITDAR_EQ_INC" hidden="1">"c3499"</definedName>
    <definedName name="IQ_EBITDAR_EQ_INC_EXCL_SBC" hidden="1">"c3503"</definedName>
    <definedName name="IQ_EBITDAR_EXCL_SBC" hidden="1">"c3083"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5YR_HIGH" hidden="1">"c1657"</definedName>
    <definedName name="IQ_EST_EPS_GROWTH_5YR_LOW" hidden="1">"c1658"</definedName>
    <definedName name="IQ_EST_EPS_GROWTH_5YR_MEDIAN" hidden="1">"c1656"</definedName>
    <definedName name="IQ_EST_EPS_GROWTH_5YR_NUM" hidden="1">"c1659"</definedName>
    <definedName name="IQ_EST_EPS_GROWTH_5YR_STDDEV" hidden="1">"c1660"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CISE_TAXES_EXCL_SALES" hidden="1">"c5515"</definedName>
    <definedName name="IQ_EXCISE_TAXES_INCL_SALES" hidden="1">"c5514"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EDFUNDS_SOLD" hidden="1">"c2256"</definedName>
    <definedName name="IQ_FFO" hidden="1">"c1574"</definedName>
    <definedName name="IQ_FFO_PAYOUT_RATIO" hidden="1">"c3492"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LM_RIGHTS" hidden="1">"c2254"</definedName>
    <definedName name="IQ_FIN_DIV_ASSETS_CURRENT" hidden="1">"c427"</definedName>
    <definedName name="IQ_FIN_DIV_ASSETS_LT" hidden="1">"c428"</definedName>
    <definedName name="IQ_FIN_DIV_CURRENT_PORT_DEBT_TOTAL" hidden="1">"c5524"</definedName>
    <definedName name="IQ_FIN_DIV_CURRENT_PORT_LEASES_TOTAL" hidden="1">"c5523"</definedName>
    <definedName name="IQ_FIN_DIV_DEBT_CURRENT" hidden="1">"c429"</definedName>
    <definedName name="IQ_FIN_DIV_DEBT_LT" hidden="1">"c430"</definedName>
    <definedName name="IQ_FIN_DIV_DEBT_LT_TOTAL" hidden="1">"c5526"</definedName>
    <definedName name="IQ_FIN_DIV_EXP" hidden="1">"c431"</definedName>
    <definedName name="IQ_FIN_DIV_INT_EXP" hidden="1">"c432"</definedName>
    <definedName name="IQ_FIN_DIV_LEASES_LT_TOTAL" hidden="1">"c5525"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NOTES_PAY_TOTAL" hidden="1">"c5522"</definedName>
    <definedName name="IQ_FIN_DIV_REV" hidden="1">"c437"</definedName>
    <definedName name="IQ_FIN_DIV_ST_DEBT_TOTAL" hidden="1">"c5527"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RST_YEAR_LIFE_PREM" hidden="1">"c2787"</definedName>
    <definedName name="IQ_FIRST_YEAR_PREM" hidden="1">"c2786"</definedName>
    <definedName name="IQ_FIRSTPRICINGDATE" hidden="1">"c3050"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EO_SEG_ASSETS" hidden="1">"c4069"</definedName>
    <definedName name="IQ_GEO_SEG_ASSETS_ABS" hidden="1">"c4091"</definedName>
    <definedName name="IQ_GEO_SEG_ASSETS_TOTAL" hidden="1">"c4123"</definedName>
    <definedName name="IQ_GEO_SEG_CAPEX" hidden="1">"c4083"</definedName>
    <definedName name="IQ_GEO_SEG_CAPEX_ABS" hidden="1">"c4105"</definedName>
    <definedName name="IQ_GEO_SEG_CAPEX_TOTAL" hidden="1">"c4127"</definedName>
    <definedName name="IQ_GEO_SEG_DA" hidden="1">"c4082"</definedName>
    <definedName name="IQ_GEO_SEG_DA_ABS" hidden="1">"c4104"</definedName>
    <definedName name="IQ_GEO_SEG_DA_TOTAL" hidden="1">"c4126"</definedName>
    <definedName name="IQ_GEO_SEG_EARNINGS_OP" hidden="1">"c4073"</definedName>
    <definedName name="IQ_GEO_SEG_EARNINGS_OP_ABS" hidden="1">"c4095"</definedName>
    <definedName name="IQ_GEO_SEG_EARNINGS_OP_TOTAL" hidden="1">"c4119"</definedName>
    <definedName name="IQ_GEO_SEG_EBT" hidden="1">"c4072"</definedName>
    <definedName name="IQ_GEO_SEG_EBT_ABS" hidden="1">"c4094"</definedName>
    <definedName name="IQ_GEO_SEG_EBT_TOTAL" hidden="1">"c4121"</definedName>
    <definedName name="IQ_GEO_SEG_GP" hidden="1">"c4070"</definedName>
    <definedName name="IQ_GEO_SEG_GP_ABS" hidden="1">"c4092"</definedName>
    <definedName name="IQ_GEO_SEG_GP_TOTAL" hidden="1">"c4120"</definedName>
    <definedName name="IQ_GEO_SEG_INC_TAX" hidden="1">"c4081"</definedName>
    <definedName name="IQ_GEO_SEG_INC_TAX_ABS" hidden="1">"c4103"</definedName>
    <definedName name="IQ_GEO_SEG_INC_TAX_TOTAL" hidden="1">"c4125"</definedName>
    <definedName name="IQ_GEO_SEG_INTEREST_EXP" hidden="1">"c4080"</definedName>
    <definedName name="IQ_GEO_SEG_INTEREST_EXP_ABS" hidden="1">"c4102"</definedName>
    <definedName name="IQ_GEO_SEG_INTEREST_EXP_TOTAL" hidden="1">"c4124"</definedName>
    <definedName name="IQ_GEO_SEG_NAME" hidden="1">"c5484"</definedName>
    <definedName name="IQ_GEO_SEG_NAME_ABS" hidden="1">"c5485"</definedName>
    <definedName name="IQ_GEO_SEG_NI" hidden="1">"c4071"</definedName>
    <definedName name="IQ_GEO_SEG_NI_ABS" hidden="1">"c4093"</definedName>
    <definedName name="IQ_GEO_SEG_NI_TOTAL" hidden="1">"c4122"</definedName>
    <definedName name="IQ_GEO_SEG_OPER_INC" hidden="1">"c4075"</definedName>
    <definedName name="IQ_GEO_SEG_OPER_INC_ABS" hidden="1">"c4097"</definedName>
    <definedName name="IQ_GEO_SEG_OPER_INC_TOTAL" hidden="1">"c4118"</definedName>
    <definedName name="IQ_GEO_SEG_REV" hidden="1">"c4074"</definedName>
    <definedName name="IQ_GEO_SEG_REV_ABS" hidden="1">"c4096"</definedName>
    <definedName name="IQ_GEO_SEG_REV_TOTAL" hidden="1">"c4117"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AH_EARNED" hidden="1">"c2742"</definedName>
    <definedName name="IQ_GROSS_CLAIM_EXP_INCUR" hidden="1">"c2755"</definedName>
    <definedName name="IQ_GROSS_CLAIM_EXP_PAID" hidden="1">"c2758"</definedName>
    <definedName name="IQ_GROSS_CLAIM_EXP_RES" hidden="1">"c2752"</definedName>
    <definedName name="IQ_GROSS_DIVID" hidden="1">"c1446"</definedName>
    <definedName name="IQ_GROSS_EARNED" hidden="1">"c2732"</definedName>
    <definedName name="IQ_GROSS_LIFE_EARNED" hidden="1">"c2737"</definedName>
    <definedName name="IQ_GROSS_LIFE_IN_FORCE" hidden="1">"c2767"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C_EARNED" hidden="1">"c2747"</definedName>
    <definedName name="IQ_GROSS_PROFIT" hidden="1">"c1378"</definedName>
    <definedName name="IQ_GROSS_SPRD" hidden="1">"c2155"</definedName>
    <definedName name="IQ_GROSS_WRITTEN" hidden="1">"c2726"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MPUT_OPER_LEASE_DEPR" hidden="1">"c2987"</definedName>
    <definedName name="IQ_IMPUT_OPER_LEASE_INT_EXP" hidden="1">"c2986"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DUSTRY" hidden="1">"c3601"</definedName>
    <definedName name="IQ_INDUSTRY_GROUP" hidden="1">"c3602"</definedName>
    <definedName name="IQ_INDUSTRY_SECTOR" hidden="1">"c3603"</definedName>
    <definedName name="IQ_INS_ANNUITY_LIAB" hidden="1">"c563"</definedName>
    <definedName name="IQ_INS_ANNUITY_REV" hidden="1">"c2788"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CL_CAP" hidden="1">"c2988"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CASH_DEPOSITS" hidden="1">"c2255"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GOV_SECURITY" hidden="1">"c5510"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MUNI_SECURITY" hidden="1">"c5512"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NVEST_SECURITY_SUPPL" hidden="1">"c5511"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CIQID" hidden="1">"c2258"</definedName>
    <definedName name="IQ_ISSUER_PARENT" hidden="1">"c2144"</definedName>
    <definedName name="IQ_ISSUER_PARENT_CIQID" hidden="1">"c2260"</definedName>
    <definedName name="IQ_ISSUER_PARENT_TICKER" hidden="1">"c2259"</definedName>
    <definedName name="IQ_ISSUER_TICKER" hidden="1">"c2252"</definedName>
    <definedName name="IQ_JR_SUB_DEBT" hidden="1">"c2534"</definedName>
    <definedName name="IQ_JR_SUB_DEBT_EBITDA" hidden="1">"c2560"</definedName>
    <definedName name="IQ_JR_SUB_DEBT_EBITDA_CAPEX" hidden="1">"c2561"</definedName>
    <definedName name="IQ_JR_SUB_DEBT_PCT" hidden="1">"c2535"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PRICINGDATE" hidden="1">"c3051"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H_STATUTORY_SURPLUS" hidden="1">"c2771"</definedName>
    <definedName name="IQ_LICENSED_POPS" hidden="1">"c2123"</definedName>
    <definedName name="IQ_LIFE_EARNED" hidden="1">"c2739"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SS_TO_NET_EARNED" hidden="1">"c2751"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CAPITAL_LEASES" hidden="1">"c2542"</definedName>
    <definedName name="IQ_LT_DEBT_CAPITAL_LEASES_PCT" hidden="1">"c2543"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CAPEX" hidden="1">"c2947"</definedName>
    <definedName name="IQ_MAINT_REPAIR" hidden="1">"c2087"</definedName>
    <definedName name="IQ_MAKE_WHOLE_END_DATE" hidden="1">"c2493"</definedName>
    <definedName name="IQ_MAKE_WHOLE_SPREAD" hidden="1">"c2494"</definedName>
    <definedName name="IQ_MAKE_WHOLE_START_DATE" hidden="1">"c2492"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C_RATIO" hidden="1">"c2783"</definedName>
    <definedName name="IQ_MC_STATUTORY_SURPLUS" hidden="1">"c2772"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CLAIM_EXP_INCUR" hidden="1">"c2757"</definedName>
    <definedName name="IQ_NET_CLAIM_EXP_INCUR_CY" hidden="1">"c2761"</definedName>
    <definedName name="IQ_NET_CLAIM_EXP_INCUR_PY" hidden="1">"c2762"</definedName>
    <definedName name="IQ_NET_CLAIM_EXP_PAID" hidden="1">"c2760"</definedName>
    <definedName name="IQ_NET_CLAIM_EXP_PAID_CY" hidden="1">"c2763"</definedName>
    <definedName name="IQ_NET_CLAIM_EXP_PAID_PY" hidden="1">"c2764"</definedName>
    <definedName name="IQ_NET_CLAIM_EXP_RES" hidden="1">"c2754"</definedName>
    <definedName name="IQ_NET_DEBT" hidden="1">"c1584"</definedName>
    <definedName name="IQ_NET_DEBT_EBITDA" hidden="1">"c750"</definedName>
    <definedName name="IQ_NET_DEBT_EBITDA_CAPEX" hidden="1">"c2949"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EARNED" hidden="1">"c2734"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IFE_INS_IN_FORCE" hidden="1">"c2769"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T_TO_GROSS_EARNED" hidden="1">"c2750"</definedName>
    <definedName name="IQ_NET_TO_GROSS_WRITTEN" hidden="1">"c2729"</definedName>
    <definedName name="IQ_NET_WORKING_CAP" hidden="1">"c3493"</definedName>
    <definedName name="IQ_NET_WRITTEN" hidden="1">"c2728"</definedName>
    <definedName name="IQ_NEW_PREM" hidden="1">"c2785"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EXT_SINK_FUND_AMOUNT" hidden="1">"c2490"</definedName>
    <definedName name="IQ_NEXT_SINK_FUND_DATE" hidden="1">"c2489"</definedName>
    <definedName name="IQ_NEXT_SINK_FUND_PRICE" hidden="1">"c2491"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L_CF_1YR" hidden="1">"c3465"</definedName>
    <definedName name="IQ_NOL_CF_2YR" hidden="1">"c3466"</definedName>
    <definedName name="IQ_NOL_CF_3YR" hidden="1">"c3467"</definedName>
    <definedName name="IQ_NOL_CF_4YR" hidden="1">"c3468"</definedName>
    <definedName name="IQ_NOL_CF_5YR" hidden="1">"c3469"</definedName>
    <definedName name="IQ_NOL_CF_AFTER_FIVE" hidden="1">"c3470"</definedName>
    <definedName name="IQ_NOL_CF_MAX_YEAR" hidden="1">"c3473"</definedName>
    <definedName name="IQ_NOL_CF_NO_EXP" hidden="1">"c3471"</definedName>
    <definedName name="IQ_NOL_CF_TOTAL" hidden="1">"c3472"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CASH_PENSION_EXP" hidden="1">"c3000"</definedName>
    <definedName name="IQ_NONRECOURSE_DEBT" hidden="1">"c2550"</definedName>
    <definedName name="IQ_NONRECOURSE_DEBT_PCT" hidden="1">"c2551"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AVG_DAILY_PROD_GAS" hidden="1">"c2910"</definedName>
    <definedName name="IQ_OG_AVG_DAILY_PROD_NGL" hidden="1">"c2911"</definedName>
    <definedName name="IQ_OG_AVG_DAILY_PROD_OIL" hidden="1">"c2909"</definedName>
    <definedName name="IQ_OG_CLOSE_BALANCE_GAS" hidden="1">"c2049"</definedName>
    <definedName name="IQ_OG_CLOSE_BALANCE_NGL" hidden="1">"c2920"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NGL" hidden="1">"c2922"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NGL" hidden="1">"c2921"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NGL" hidden="1">"c2914"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NGL" hidden="1">"c2915"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NGL" hidden="1">"c2912"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NGL" hidden="1">"c2919"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NGL" hidden="1">"c2918"</definedName>
    <definedName name="IQ_OG_PRODUCTION_OIL" hidden="1">"c2035"</definedName>
    <definedName name="IQ_OG_PURCHASES_GAS" hidden="1">"c2045"</definedName>
    <definedName name="IQ_OG_PURCHASES_NGL" hidden="1">"c2916"</definedName>
    <definedName name="IQ_OG_PURCHASES_OIL" hidden="1">"c2033"</definedName>
    <definedName name="IQ_OG_REVISIONS_GAS" hidden="1">"c2042"</definedName>
    <definedName name="IQ_OG_REVISIONS_NGL" hidden="1">"c2913"</definedName>
    <definedName name="IQ_OG_REVISIONS_OIL" hidden="1">"c2030"</definedName>
    <definedName name="IQ_OG_SALES_IN_PLACE_GAS" hidden="1">"c2046"</definedName>
    <definedName name="IQ_OG_SALES_IN_PLACE_NGL" hidden="1">"c2917"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ION" hidden="1">"c2059"</definedName>
    <definedName name="IQ_OG_TOTAL_OIL_PRODUCTON" hidden="1">"c2059"</definedName>
    <definedName name="IQ_OG_UNDEVELOPED_RESERVES_GAS" hidden="1">"c2051"</definedName>
    <definedName name="IQ_OG_UNDEVELOPED_RESERVES_NGL" hidden="1">"c2923"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B_ACCRUED_LIAB" hidden="1">"c3308"</definedName>
    <definedName name="IQ_OPEB_ACCRUED_LIAB_DOM" hidden="1">"c3306"</definedName>
    <definedName name="IQ_OPEB_ACCRUED_LIAB_FOREIGN" hidden="1">"c3307"</definedName>
    <definedName name="IQ_OPEB_ACCUM_OTHER_CI" hidden="1">"c3314"</definedName>
    <definedName name="IQ_OPEB_ACCUM_OTHER_CI_DOM" hidden="1">"c3312"</definedName>
    <definedName name="IQ_OPEB_ACCUM_OTHER_CI_FOREIGN" hidden="1">"c3313"</definedName>
    <definedName name="IQ_OPEB_ASSETS" hidden="1">"c3356"</definedName>
    <definedName name="IQ_OPEB_ASSETS_ACQ" hidden="1">"c3347"</definedName>
    <definedName name="IQ_OPEB_ASSETS_ACQ_DOM" hidden="1">"c3345"</definedName>
    <definedName name="IQ_OPEB_ASSETS_ACQ_FOREIGN" hidden="1">"c3346"</definedName>
    <definedName name="IQ_OPEB_ASSETS_ACTUAL_RETURN" hidden="1">"c3332"</definedName>
    <definedName name="IQ_OPEB_ASSETS_ACTUAL_RETURN_DOM" hidden="1">"c3330"</definedName>
    <definedName name="IQ_OPEB_ASSETS_ACTUAL_RETURN_FOREIGN" hidden="1">"c3331"</definedName>
    <definedName name="IQ_OPEB_ASSETS_BEG" hidden="1">"c3329"</definedName>
    <definedName name="IQ_OPEB_ASSETS_BEG_DOM" hidden="1">"c3327"</definedName>
    <definedName name="IQ_OPEB_ASSETS_BEG_FOREIGN" hidden="1">"c3328"</definedName>
    <definedName name="IQ_OPEB_ASSETS_BENEFITS_PAID" hidden="1">"c3341"</definedName>
    <definedName name="IQ_OPEB_ASSETS_BENEFITS_PAID_DOM" hidden="1">"c3339"</definedName>
    <definedName name="IQ_OPEB_ASSETS_BENEFITS_PAID_FOREIGN" hidden="1">"c3340"</definedName>
    <definedName name="IQ_OPEB_ASSETS_CURTAIL" hidden="1">"c3350"</definedName>
    <definedName name="IQ_OPEB_ASSETS_CURTAIL_DOM" hidden="1">"c3348"</definedName>
    <definedName name="IQ_OPEB_ASSETS_CURTAIL_FOREIGN" hidden="1">"c3349"</definedName>
    <definedName name="IQ_OPEB_ASSETS_DOM" hidden="1">"c3354"</definedName>
    <definedName name="IQ_OPEB_ASSETS_EMPLOYER_CONTRIBUTIONS" hidden="1">"c3335"</definedName>
    <definedName name="IQ_OPEB_ASSETS_EMPLOYER_CONTRIBUTIONS_DOM" hidden="1">"c3333"</definedName>
    <definedName name="IQ_OPEB_ASSETS_EMPLOYER_CONTRIBUTIONS_FOREIGN" hidden="1">"c3334"</definedName>
    <definedName name="IQ_OPEB_ASSETS_FOREIGN" hidden="1">"c3355"</definedName>
    <definedName name="IQ_OPEB_ASSETS_FX_ADJ" hidden="1">"c3344"</definedName>
    <definedName name="IQ_OPEB_ASSETS_FX_ADJ_DOM" hidden="1">"c3342"</definedName>
    <definedName name="IQ_OPEB_ASSETS_FX_ADJ_FOREIGN" hidden="1">"c3343"</definedName>
    <definedName name="IQ_OPEB_ASSETS_OTHER_PLAN_ADJ" hidden="1">"c3353"</definedName>
    <definedName name="IQ_OPEB_ASSETS_OTHER_PLAN_ADJ_DOM" hidden="1">"c3351"</definedName>
    <definedName name="IQ_OPEB_ASSETS_OTHER_PLAN_ADJ_FOREIGN" hidden="1">"c3352"</definedName>
    <definedName name="IQ_OPEB_ASSETS_PARTICIP_CONTRIBUTIONS" hidden="1">"c3338"</definedName>
    <definedName name="IQ_OPEB_ASSETS_PARTICIP_CONTRIBUTIONS_DOM" hidden="1">"c3336"</definedName>
    <definedName name="IQ_OPEB_ASSETS_PARTICIP_CONTRIBUTIONS_FOREIGN" hidden="1">"c3337"</definedName>
    <definedName name="IQ_OPEB_BENEFIT_INFO_DATE" hidden="1">"c3410"</definedName>
    <definedName name="IQ_OPEB_BENEFIT_INFO_DATE_DOM" hidden="1">"c3408"</definedName>
    <definedName name="IQ_OPEB_BENEFIT_INFO_DATE_FOREIGN" hidden="1">"c3409"</definedName>
    <definedName name="IQ_OPEB_BREAKDOWN_EQ" hidden="1">"c3275"</definedName>
    <definedName name="IQ_OPEB_BREAKDOWN_EQ_DOM" hidden="1">"c3273"</definedName>
    <definedName name="IQ_OPEB_BREAKDOWN_EQ_FOREIGN" hidden="1">"c3274"</definedName>
    <definedName name="IQ_OPEB_BREAKDOWN_FI" hidden="1">"c3278"</definedName>
    <definedName name="IQ_OPEB_BREAKDOWN_FI_DOM" hidden="1">"c3276"</definedName>
    <definedName name="IQ_OPEB_BREAKDOWN_FI_FOREIGN" hidden="1">"c3277"</definedName>
    <definedName name="IQ_OPEB_BREAKDOWN_OTHER" hidden="1">"c3284"</definedName>
    <definedName name="IQ_OPEB_BREAKDOWN_OTHER_DOM" hidden="1">"c3282"</definedName>
    <definedName name="IQ_OPEB_BREAKDOWN_OTHER_FOREIGN" hidden="1">"c3283"</definedName>
    <definedName name="IQ_OPEB_BREAKDOWN_PCT_EQ" hidden="1">"c3263"</definedName>
    <definedName name="IQ_OPEB_BREAKDOWN_PCT_EQ_DOM" hidden="1">"c3261"</definedName>
    <definedName name="IQ_OPEB_BREAKDOWN_PCT_EQ_FOREIGN" hidden="1">"c3262"</definedName>
    <definedName name="IQ_OPEB_BREAKDOWN_PCT_FI" hidden="1">"c3266"</definedName>
    <definedName name="IQ_OPEB_BREAKDOWN_PCT_FI_DOM" hidden="1">"c3264"</definedName>
    <definedName name="IQ_OPEB_BREAKDOWN_PCT_FI_FOREIGN" hidden="1">"c3265"</definedName>
    <definedName name="IQ_OPEB_BREAKDOWN_PCT_OTHER" hidden="1">"c3272"</definedName>
    <definedName name="IQ_OPEB_BREAKDOWN_PCT_OTHER_DOM" hidden="1">"c3270"</definedName>
    <definedName name="IQ_OPEB_BREAKDOWN_PCT_OTHER_FOREIGN" hidden="1">"c3271"</definedName>
    <definedName name="IQ_OPEB_BREAKDOWN_PCT_RE" hidden="1">"c3269"</definedName>
    <definedName name="IQ_OPEB_BREAKDOWN_PCT_RE_DOM" hidden="1">"c3267"</definedName>
    <definedName name="IQ_OPEB_BREAKDOWN_PCT_RE_FOREIGN" hidden="1">"c3268"</definedName>
    <definedName name="IQ_OPEB_BREAKDOWN_RE" hidden="1">"c3281"</definedName>
    <definedName name="IQ_OPEB_BREAKDOWN_RE_DOM" hidden="1">"c3279"</definedName>
    <definedName name="IQ_OPEB_BREAKDOWN_RE_FOREIGN" hidden="1">"c3280"</definedName>
    <definedName name="IQ_OPEB_DECREASE_EFFECT_PBO" hidden="1">"c3458"</definedName>
    <definedName name="IQ_OPEB_DECREASE_EFFECT_PBO_DOM" hidden="1">"c3456"</definedName>
    <definedName name="IQ_OPEB_DECREASE_EFFECT_PBO_FOREIGN" hidden="1">"c3457"</definedName>
    <definedName name="IQ_OPEB_DECREASE_EFFECT_SERVICE_INT_COST" hidden="1">"c3455"</definedName>
    <definedName name="IQ_OPEB_DECREASE_EFFECT_SERVICE_INT_COST_DOM" hidden="1">"c3453"</definedName>
    <definedName name="IQ_OPEB_DECREASE_EFFECT_SERVICE_INT_COST_FOREIGN" hidden="1">"c3454"</definedName>
    <definedName name="IQ_OPEB_DISC_RATE_MAX" hidden="1">"c3422"</definedName>
    <definedName name="IQ_OPEB_DISC_RATE_MAX_DOM" hidden="1">"c3420"</definedName>
    <definedName name="IQ_OPEB_DISC_RATE_MAX_FOREIGN" hidden="1">"c3421"</definedName>
    <definedName name="IQ_OPEB_DISC_RATE_MIN" hidden="1">"c3419"</definedName>
    <definedName name="IQ_OPEB_DISC_RATE_MIN_DOM" hidden="1">"c3417"</definedName>
    <definedName name="IQ_OPEB_DISC_RATE_MIN_FOREIGN" hidden="1">"c3418"</definedName>
    <definedName name="IQ_OPEB_EST_BENEFIT_1YR" hidden="1">"c3287"</definedName>
    <definedName name="IQ_OPEB_EST_BENEFIT_1YR_DOM" hidden="1">"c3285"</definedName>
    <definedName name="IQ_OPEB_EST_BENEFIT_1YR_FOREIGN" hidden="1">"c3286"</definedName>
    <definedName name="IQ_OPEB_EST_BENEFIT_2YR" hidden="1">"c3290"</definedName>
    <definedName name="IQ_OPEB_EST_BENEFIT_2YR_DOM" hidden="1">"c3288"</definedName>
    <definedName name="IQ_OPEB_EST_BENEFIT_2YR_FOREIGN" hidden="1">"c3289"</definedName>
    <definedName name="IQ_OPEB_EST_BENEFIT_3YR" hidden="1">"c3293"</definedName>
    <definedName name="IQ_OPEB_EST_BENEFIT_3YR_DOM" hidden="1">"c3291"</definedName>
    <definedName name="IQ_OPEB_EST_BENEFIT_3YR_FOREIGN" hidden="1">"c3292"</definedName>
    <definedName name="IQ_OPEB_EST_BENEFIT_4YR" hidden="1">"c3296"</definedName>
    <definedName name="IQ_OPEB_EST_BENEFIT_4YR_DOM" hidden="1">"c3294"</definedName>
    <definedName name="IQ_OPEB_EST_BENEFIT_4YR_FOREIGN" hidden="1">"c3295"</definedName>
    <definedName name="IQ_OPEB_EST_BENEFIT_5YR" hidden="1">"c3299"</definedName>
    <definedName name="IQ_OPEB_EST_BENEFIT_5YR_DOM" hidden="1">"c3297"</definedName>
    <definedName name="IQ_OPEB_EST_BENEFIT_5YR_FOREIGN" hidden="1">"c3298"</definedName>
    <definedName name="IQ_OPEB_EST_BENEFIT_AFTER5" hidden="1">"c3302"</definedName>
    <definedName name="IQ_OPEB_EST_BENEFIT_AFTER5_DOM" hidden="1">"c3300"</definedName>
    <definedName name="IQ_OPEB_EST_BENEFIT_AFTER5_FOREIGN" hidden="1">"c3301"</definedName>
    <definedName name="IQ_OPEB_EXP_RATE_RETURN_MAX" hidden="1">"c3434"</definedName>
    <definedName name="IQ_OPEB_EXP_RATE_RETURN_MAX_DOM" hidden="1">"c3432"</definedName>
    <definedName name="IQ_OPEB_EXP_RATE_RETURN_MAX_FOREIGN" hidden="1">"c3433"</definedName>
    <definedName name="IQ_OPEB_EXP_RATE_RETURN_MIN" hidden="1">"c3431"</definedName>
    <definedName name="IQ_OPEB_EXP_RATE_RETURN_MIN_DOM" hidden="1">"c3429"</definedName>
    <definedName name="IQ_OPEB_EXP_RATE_RETURN_MIN_FOREIGN" hidden="1">"c3430"</definedName>
    <definedName name="IQ_OPEB_EXP_RETURN" hidden="1">"c3398"</definedName>
    <definedName name="IQ_OPEB_EXP_RETURN_DOM" hidden="1">"c3396"</definedName>
    <definedName name="IQ_OPEB_EXP_RETURN_FOREIGN" hidden="1">"c3397"</definedName>
    <definedName name="IQ_OPEB_HEALTH_COST_TREND_INITIAL" hidden="1">"c3413"</definedName>
    <definedName name="IQ_OPEB_HEALTH_COST_TREND_INITIAL_DOM" hidden="1">"c3411"</definedName>
    <definedName name="IQ_OPEB_HEALTH_COST_TREND_INITIAL_FOREIGN" hidden="1">"c3412"</definedName>
    <definedName name="IQ_OPEB_HEALTH_COST_TREND_ULTIMATE" hidden="1">"c3416"</definedName>
    <definedName name="IQ_OPEB_HEALTH_COST_TREND_ULTIMATE_DOM" hidden="1">"c3414"</definedName>
    <definedName name="IQ_OPEB_HEALTH_COST_TREND_ULTIMATE_FOREIGN" hidden="1">"c3415"</definedName>
    <definedName name="IQ_OPEB_INCREASE_EFFECT_PBO" hidden="1">"c3452"</definedName>
    <definedName name="IQ_OPEB_INCREASE_EFFECT_PBO_DOM" hidden="1">"c3450"</definedName>
    <definedName name="IQ_OPEB_INCREASE_EFFECT_PBO_FOREIGN" hidden="1">"c3451"</definedName>
    <definedName name="IQ_OPEB_INCREASE_EFFECT_SERVICE_INT_COST" hidden="1">"c3449"</definedName>
    <definedName name="IQ_OPEB_INCREASE_EFFECT_SERVICE_INT_COST_DOM" hidden="1">"c3447"</definedName>
    <definedName name="IQ_OPEB_INCREASE_EFFECT_SERVICE_INT_COST_FOREIGN" hidden="1">"c3448"</definedName>
    <definedName name="IQ_OPEB_INTAN_ASSETS" hidden="1">"c3311"</definedName>
    <definedName name="IQ_OPEB_INTAN_ASSETS_DOM" hidden="1">"c3309"</definedName>
    <definedName name="IQ_OPEB_INTAN_ASSETS_FOREIGN" hidden="1">"c3310"</definedName>
    <definedName name="IQ_OPEB_INTEREST_COST" hidden="1">"c3395"</definedName>
    <definedName name="IQ_OPEB_INTEREST_COST_DOM" hidden="1">"c3393"</definedName>
    <definedName name="IQ_OPEB_INTEREST_COST_FOREIGN" hidden="1">"c3394"</definedName>
    <definedName name="IQ_OPEB_NET_ASSET_RECOG" hidden="1">"c3326"</definedName>
    <definedName name="IQ_OPEB_NET_ASSET_RECOG_DOM" hidden="1">"c3324"</definedName>
    <definedName name="IQ_OPEB_NET_ASSET_RECOG_FOREIGN" hidden="1">"c3325"</definedName>
    <definedName name="IQ_OPEB_OBLIGATION_ACCUMULATED" hidden="1">"c3407"</definedName>
    <definedName name="IQ_OPEB_OBLIGATION_ACCUMULATED_DOM" hidden="1">"c3405"</definedName>
    <definedName name="IQ_OPEB_OBLIGATION_ACCUMULATED_FOREIGN" hidden="1">"c3406"</definedName>
    <definedName name="IQ_OPEB_OBLIGATION_ACQ" hidden="1">"c3380"</definedName>
    <definedName name="IQ_OPEB_OBLIGATION_ACQ_DOM" hidden="1">"c3378"</definedName>
    <definedName name="IQ_OPEB_OBLIGATION_ACQ_FOREIGN" hidden="1">"c3379"</definedName>
    <definedName name="IQ_OPEB_OBLIGATION_ACTUARIAL_GAIN_LOSS" hidden="1">"c3371"</definedName>
    <definedName name="IQ_OPEB_OBLIGATION_ACTUARIAL_GAIN_LOSS_DOM" hidden="1">"c3369"</definedName>
    <definedName name="IQ_OPEB_OBLIGATION_ACTUARIAL_GAIN_LOSS_FOREIGN" hidden="1">"c3370"</definedName>
    <definedName name="IQ_OPEB_OBLIGATION_BEG" hidden="1">"c3359"</definedName>
    <definedName name="IQ_OPEB_OBLIGATION_BEG_DOM" hidden="1">"c3357"</definedName>
    <definedName name="IQ_OPEB_OBLIGATION_BEG_FOREIGN" hidden="1">"c3358"</definedName>
    <definedName name="IQ_OPEB_OBLIGATION_CURTAIL" hidden="1">"c3383"</definedName>
    <definedName name="IQ_OPEB_OBLIGATION_CURTAIL_DOM" hidden="1">"c3381"</definedName>
    <definedName name="IQ_OPEB_OBLIGATION_CURTAIL_FOREIGN" hidden="1">"c3382"</definedName>
    <definedName name="IQ_OPEB_OBLIGATION_EMPLOYEE_CONTRIBUTIONS" hidden="1">"c3368"</definedName>
    <definedName name="IQ_OPEB_OBLIGATION_EMPLOYEE_CONTRIBUTIONS_DOM" hidden="1">"c3366"</definedName>
    <definedName name="IQ_OPEB_OBLIGATION_EMPLOYEE_CONTRIBUTIONS_FOREIGN" hidden="1">"c3367"</definedName>
    <definedName name="IQ_OPEB_OBLIGATION_FX_ADJ" hidden="1">"c3377"</definedName>
    <definedName name="IQ_OPEB_OBLIGATION_FX_ADJ_DOM" hidden="1">"c3375"</definedName>
    <definedName name="IQ_OPEB_OBLIGATION_FX_ADJ_FOREIGN" hidden="1">"c3376"</definedName>
    <definedName name="IQ_OPEB_OBLIGATION_INTEREST_COST" hidden="1">"c3365"</definedName>
    <definedName name="IQ_OPEB_OBLIGATION_INTEREST_COST_DOM" hidden="1">"c3363"</definedName>
    <definedName name="IQ_OPEB_OBLIGATION_INTEREST_COST_FOREIGN" hidden="1">"c3364"</definedName>
    <definedName name="IQ_OPEB_OBLIGATION_OTHER_PLAN_ADJ" hidden="1">"c3386"</definedName>
    <definedName name="IQ_OPEB_OBLIGATION_OTHER_PLAN_ADJ_DOM" hidden="1">"c3384"</definedName>
    <definedName name="IQ_OPEB_OBLIGATION_OTHER_PLAN_ADJ_FOREIGN" hidden="1">"c3385"</definedName>
    <definedName name="IQ_OPEB_OBLIGATION_PAID" hidden="1">"c3374"</definedName>
    <definedName name="IQ_OPEB_OBLIGATION_PAID_DOM" hidden="1">"c3372"</definedName>
    <definedName name="IQ_OPEB_OBLIGATION_PAID_FOREIGN" hidden="1">"c3373"</definedName>
    <definedName name="IQ_OPEB_OBLIGATION_PROJECTED" hidden="1">"c3389"</definedName>
    <definedName name="IQ_OPEB_OBLIGATION_PROJECTED_DOM" hidden="1">"c3387"</definedName>
    <definedName name="IQ_OPEB_OBLIGATION_PROJECTED_FOREIGN" hidden="1">"c3388"</definedName>
    <definedName name="IQ_OPEB_OBLIGATION_SERVICE_COST" hidden="1">"c3362"</definedName>
    <definedName name="IQ_OPEB_OBLIGATION_SERVICE_COST_DOM" hidden="1">"c3360"</definedName>
    <definedName name="IQ_OPEB_OBLIGATION_SERVICE_COST_FOREIGN" hidden="1">"c3361"</definedName>
    <definedName name="IQ_OPEB_OTHER" hidden="1">"c3317"</definedName>
    <definedName name="IQ_OPEB_OTHER_ADJ" hidden="1">"c3323"</definedName>
    <definedName name="IQ_OPEB_OTHER_ADJ_DOM" hidden="1">"c3321"</definedName>
    <definedName name="IQ_OPEB_OTHER_ADJ_FOREIGN" hidden="1">"c3322"</definedName>
    <definedName name="IQ_OPEB_OTHER_COST" hidden="1">"c3401"</definedName>
    <definedName name="IQ_OPEB_OTHER_COST_DOM" hidden="1">"c3399"</definedName>
    <definedName name="IQ_OPEB_OTHER_COST_FOREIGN" hidden="1">"c3400"</definedName>
    <definedName name="IQ_OPEB_OTHER_DOM" hidden="1">"c3315"</definedName>
    <definedName name="IQ_OPEB_OTHER_FOREIGN" hidden="1">"c3316"</definedName>
    <definedName name="IQ_OPEB_PBO_ASSUMED_RATE_RET_MAX" hidden="1">"c3440"</definedName>
    <definedName name="IQ_OPEB_PBO_ASSUMED_RATE_RET_MAX_DOM" hidden="1">"c3438"</definedName>
    <definedName name="IQ_OPEB_PBO_ASSUMED_RATE_RET_MAX_FOREIGN" hidden="1">"c3439"</definedName>
    <definedName name="IQ_OPEB_PBO_ASSUMED_RATE_RET_MIN" hidden="1">"c3437"</definedName>
    <definedName name="IQ_OPEB_PBO_ASSUMED_RATE_RET_MIN_DOM" hidden="1">"c3435"</definedName>
    <definedName name="IQ_OPEB_PBO_ASSUMED_RATE_RET_MIN_FOREIGN" hidden="1">"c3436"</definedName>
    <definedName name="IQ_OPEB_PBO_RATE_COMP_INCREASE_MAX" hidden="1">"c3446"</definedName>
    <definedName name="IQ_OPEB_PBO_RATE_COMP_INCREASE_MAX_DOM" hidden="1">"c3444"</definedName>
    <definedName name="IQ_OPEB_PBO_RATE_COMP_INCREASE_MAX_FOREIGN" hidden="1">"c3445"</definedName>
    <definedName name="IQ_OPEB_PBO_RATE_COMP_INCREASE_MIN" hidden="1">"c3443"</definedName>
    <definedName name="IQ_OPEB_PBO_RATE_COMP_INCREASE_MIN_DOM" hidden="1">"c3441"</definedName>
    <definedName name="IQ_OPEB_PBO_RATE_COMP_INCREASE_MIN_FOREIGN" hidden="1">"c3442"</definedName>
    <definedName name="IQ_OPEB_PREPAID_COST" hidden="1">"c3305"</definedName>
    <definedName name="IQ_OPEB_PREPAID_COST_DOM" hidden="1">"c3303"</definedName>
    <definedName name="IQ_OPEB_PREPAID_COST_FOREIGN" hidden="1">"c3304"</definedName>
    <definedName name="IQ_OPEB_RATE_COMP_INCREASE_MAX" hidden="1">"c3428"</definedName>
    <definedName name="IQ_OPEB_RATE_COMP_INCREASE_MAX_DOM" hidden="1">"c3426"</definedName>
    <definedName name="IQ_OPEB_RATE_COMP_INCREASE_MAX_FOREIGN" hidden="1">"c3427"</definedName>
    <definedName name="IQ_OPEB_RATE_COMP_INCREASE_MIN" hidden="1">"c3425"</definedName>
    <definedName name="IQ_OPEB_RATE_COMP_INCREASE_MIN_DOM" hidden="1">"c3423"</definedName>
    <definedName name="IQ_OPEB_RATE_COMP_INCREASE_MIN_FOREIGN" hidden="1">"c3424"</definedName>
    <definedName name="IQ_OPEB_SERVICE_COST" hidden="1">"c3392"</definedName>
    <definedName name="IQ_OPEB_SERVICE_COST_DOM" hidden="1">"c3390"</definedName>
    <definedName name="IQ_OPEB_SERVICE_COST_FOREIGN" hidden="1">"c3391"</definedName>
    <definedName name="IQ_OPEB_TOTAL_COST" hidden="1">"c3404"</definedName>
    <definedName name="IQ_OPEB_TOTAL_COST_DOM" hidden="1">"c3402"</definedName>
    <definedName name="IQ_OPEB_TOTAL_COST_FOREIGN" hidden="1">"c3403"</definedName>
    <definedName name="IQ_OPEB_UNRECOG_PRIOR" hidden="1">"c3320"</definedName>
    <definedName name="IQ_OPEB_UNRECOG_PRIOR_DOM" hidden="1">"c3318"</definedName>
    <definedName name="IQ_OPEB_UNRECOG_PRIOR_FOREIGN" hidden="1">"c3319"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GRANTED" hidden="1">"c2673"</definedName>
    <definedName name="IQ_OPTIONS_ISSUED" hidden="1">"c857"</definedName>
    <definedName name="IQ_OPTIONS_STRIKE_PRICE_GRANTED" hidden="1">"c2678"</definedName>
    <definedName name="IQ_OPTIONS_STRIKE_PRICE_OS" hidden="1">"c2677"</definedName>
    <definedName name="IQ_ORDER_BACKLOG" hidden="1">"c2090"</definedName>
    <definedName name="IQ_OTHER_ADJUST_GROSS_LOANS" hidden="1">"c859"</definedName>
    <definedName name="IQ_OTHER_AMORT" hidden="1">"c5563"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BT" hidden="1">"c2507"</definedName>
    <definedName name="IQ_OTHER_DEBT_PCT" hidden="1">"c2508"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PTIONS_BEG_OS" hidden="1">"c2686"</definedName>
    <definedName name="IQ_OTHER_OPTIONS_CANCELLED" hidden="1">"c2689"</definedName>
    <definedName name="IQ_OTHER_OPTIONS_END_OS" hidden="1">"c2690"</definedName>
    <definedName name="IQ_OTHER_OPTIONS_EXERCISED" hidden="1">"c2688"</definedName>
    <definedName name="IQ_OTHER_OPTIONS_GRANTED" hidden="1">"c2687"</definedName>
    <definedName name="IQ_OTHER_OPTIONS_STRIKE_PRICE_OS" hidden="1">"c2691"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STRIKE_PRICE_GRANTED" hidden="1">"c2692"</definedName>
    <definedName name="IQ_OTHER_UNDRAWN" hidden="1">"c2522"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THER_WARRANTS_BEG_OS" hidden="1">"c2712"</definedName>
    <definedName name="IQ_OTHER_WARRANTS_CANCELLED" hidden="1">"c2715"</definedName>
    <definedName name="IQ_OTHER_WARRANTS_END_OS" hidden="1">"c2716"</definedName>
    <definedName name="IQ_OTHER_WARRANTS_EXERCISED" hidden="1">"c2714"</definedName>
    <definedName name="IQ_OTHER_WARRANTS_ISSUED" hidden="1">"c2713"</definedName>
    <definedName name="IQ_OTHER_WARRANTS_STRIKE_PRICE_ISSUED" hidden="1">"c2718"</definedName>
    <definedName name="IQ_OTHER_WARRANTS_STRIKE_PRICE_OS" hidden="1">"c2717"</definedName>
    <definedName name="IQ_OUTSTANDING_BS_DATE" hidden="1">"c2128"</definedName>
    <definedName name="IQ_OUTSTANDING_FILING_DATE" hidden="1">"c1023"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EARNED" hidden="1">"c2749"</definedName>
    <definedName name="IQ_PC_GAAP_COMBINED_RATIO" hidden="1">"c2781"</definedName>
    <definedName name="IQ_PC_GAAP_COMBINED_RATIO_EXCL_CL" hidden="1">"c2782"</definedName>
    <definedName name="IQ_PC_GAAP_EXPENSE_RATIO" hidden="1">"c2780"</definedName>
    <definedName name="IQ_PC_GAAP_LOSS" hidden="1">"c2779"</definedName>
    <definedName name="IQ_PC_POLICY_BENEFITS_EXP" hidden="1">"c2790"</definedName>
    <definedName name="IQ_PC_STAT_COMBINED_RATIO" hidden="1">"c2778"</definedName>
    <definedName name="IQ_PC_STAT_COMBINED_RATIO_EXCL_DIV" hidden="1">"c2777"</definedName>
    <definedName name="IQ_PC_STAT_DIVIDEND_RATIO" hidden="1">"c2776"</definedName>
    <definedName name="IQ_PC_STAT_EXPENSE_RATIO" hidden="1">"c2775"</definedName>
    <definedName name="IQ_PC_STAT_LOSS_RATIO" hidden="1">"c2774"</definedName>
    <definedName name="IQ_PC_STATUTORY_SURPLUS" hidden="1">"c2770"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NSION_ACCRUED_LIAB" hidden="1">"c3134"</definedName>
    <definedName name="IQ_PENSION_ACCRUED_LIAB_DOM" hidden="1">"c3132"</definedName>
    <definedName name="IQ_PENSION_ACCRUED_LIAB_FOREIGN" hidden="1">"c3133"</definedName>
    <definedName name="IQ_PENSION_ACCUM_OTHER_CI" hidden="1">"c3140"</definedName>
    <definedName name="IQ_PENSION_ACCUM_OTHER_CI_DOM" hidden="1">"c3138"</definedName>
    <definedName name="IQ_PENSION_ACCUM_OTHER_CI_FOREIGN" hidden="1">"c3139"</definedName>
    <definedName name="IQ_PENSION_ACCUMULATED_OBLIGATION" hidden="1">"c3570"</definedName>
    <definedName name="IQ_PENSION_ACCUMULATED_OBLIGATION_DOMESTIC" hidden="1">"c3568"</definedName>
    <definedName name="IQ_PENSION_ACCUMULATED_OBLIGATION_FOREIGN" hidden="1">"c3569"</definedName>
    <definedName name="IQ_PENSION_ASSETS" hidden="1">"c3182"</definedName>
    <definedName name="IQ_PENSION_ASSETS_ACQ" hidden="1">"c3173"</definedName>
    <definedName name="IQ_PENSION_ASSETS_ACQ_DOM" hidden="1">"c3171"</definedName>
    <definedName name="IQ_PENSION_ASSETS_ACQ_FOREIGN" hidden="1">"c3172"</definedName>
    <definedName name="IQ_PENSION_ASSETS_ACTUAL_RETURN" hidden="1">"c3158"</definedName>
    <definedName name="IQ_PENSION_ASSETS_ACTUAL_RETURN_DOM" hidden="1">"c3156"</definedName>
    <definedName name="IQ_PENSION_ASSETS_ACTUAL_RETURN_FOREIGN" hidden="1">"c3157"</definedName>
    <definedName name="IQ_PENSION_ASSETS_BEG" hidden="1">"c3155"</definedName>
    <definedName name="IQ_PENSION_ASSETS_BEG_DOM" hidden="1">"c3153"</definedName>
    <definedName name="IQ_PENSION_ASSETS_BEG_FOREIGN" hidden="1">"c3154"</definedName>
    <definedName name="IQ_PENSION_ASSETS_BENEFITS_PAID" hidden="1">"c3167"</definedName>
    <definedName name="IQ_PENSION_ASSETS_BENEFITS_PAID_DOM" hidden="1">"c3165"</definedName>
    <definedName name="IQ_PENSION_ASSETS_BENEFITS_PAID_FOREIGN" hidden="1">"c3166"</definedName>
    <definedName name="IQ_PENSION_ASSETS_CURTAIL" hidden="1">"c3176"</definedName>
    <definedName name="IQ_PENSION_ASSETS_CURTAIL_DOM" hidden="1">"c3174"</definedName>
    <definedName name="IQ_PENSION_ASSETS_CURTAIL_FOREIGN" hidden="1">"c3175"</definedName>
    <definedName name="IQ_PENSION_ASSETS_DOM" hidden="1">"c3180"</definedName>
    <definedName name="IQ_PENSION_ASSETS_EMPLOYER_CONTRIBUTIONS" hidden="1">"c3161"</definedName>
    <definedName name="IQ_PENSION_ASSETS_EMPLOYER_CONTRIBUTIONS_DOM" hidden="1">"c3159"</definedName>
    <definedName name="IQ_PENSION_ASSETS_EMPLOYER_CONTRIBUTIONS_FOREIGN" hidden="1">"c3160"</definedName>
    <definedName name="IQ_PENSION_ASSETS_FOREIGN" hidden="1">"c3181"</definedName>
    <definedName name="IQ_PENSION_ASSETS_FX_ADJ" hidden="1">"c3170"</definedName>
    <definedName name="IQ_PENSION_ASSETS_FX_ADJ_DOM" hidden="1">"c3168"</definedName>
    <definedName name="IQ_PENSION_ASSETS_FX_ADJ_FOREIGN" hidden="1">"c3169"</definedName>
    <definedName name="IQ_PENSION_ASSETS_OTHER_PLAN_ADJ" hidden="1">"c3179"</definedName>
    <definedName name="IQ_PENSION_ASSETS_OTHER_PLAN_ADJ_DOM" hidden="1">"c3177"</definedName>
    <definedName name="IQ_PENSION_ASSETS_OTHER_PLAN_ADJ_FOREIGN" hidden="1">"c3178"</definedName>
    <definedName name="IQ_PENSION_ASSETS_PARTICIP_CONTRIBUTIONS" hidden="1">"c3164"</definedName>
    <definedName name="IQ_PENSION_ASSETS_PARTICIP_CONTRIBUTIONS_DOM" hidden="1">"c3162"</definedName>
    <definedName name="IQ_PENSION_ASSETS_PARTICIP_CONTRIBUTIONS_FOREIGN" hidden="1">"c3163"</definedName>
    <definedName name="IQ_PENSION_BENEFIT_INFO_DATE" hidden="1">"c3230"</definedName>
    <definedName name="IQ_PENSION_BENEFIT_INFO_DATE_DOM" hidden="1">"c3228"</definedName>
    <definedName name="IQ_PENSION_BENEFIT_INFO_DATE_FOREIGN" hidden="1">"c3229"</definedName>
    <definedName name="IQ_PENSION_BREAKDOWN_EQ" hidden="1">"c3101"</definedName>
    <definedName name="IQ_PENSION_BREAKDOWN_EQ_DOM" hidden="1">"c3099"</definedName>
    <definedName name="IQ_PENSION_BREAKDOWN_EQ_FOREIGN" hidden="1">"c3100"</definedName>
    <definedName name="IQ_PENSION_BREAKDOWN_FI" hidden="1">"c3104"</definedName>
    <definedName name="IQ_PENSION_BREAKDOWN_FI_DOM" hidden="1">"c3102"</definedName>
    <definedName name="IQ_PENSION_BREAKDOWN_FI_FOREIGN" hidden="1">"c3103"</definedName>
    <definedName name="IQ_PENSION_BREAKDOWN_OTHER" hidden="1">"c3110"</definedName>
    <definedName name="IQ_PENSION_BREAKDOWN_OTHER_DOM" hidden="1">"c3108"</definedName>
    <definedName name="IQ_PENSION_BREAKDOWN_OTHER_FOREIGN" hidden="1">"c3109"</definedName>
    <definedName name="IQ_PENSION_BREAKDOWN_PCT_EQ" hidden="1">"c3089"</definedName>
    <definedName name="IQ_PENSION_BREAKDOWN_PCT_EQ_DOM" hidden="1">"c3087"</definedName>
    <definedName name="IQ_PENSION_BREAKDOWN_PCT_EQ_FOREIGN" hidden="1">"c3088"</definedName>
    <definedName name="IQ_PENSION_BREAKDOWN_PCT_FI" hidden="1">"c3092"</definedName>
    <definedName name="IQ_PENSION_BREAKDOWN_PCT_FI_DOM" hidden="1">"c3090"</definedName>
    <definedName name="IQ_PENSION_BREAKDOWN_PCT_FI_FOREIGN" hidden="1">"c3091"</definedName>
    <definedName name="IQ_PENSION_BREAKDOWN_PCT_OTHER" hidden="1">"c3098"</definedName>
    <definedName name="IQ_PENSION_BREAKDOWN_PCT_OTHER_DOM" hidden="1">"c3096"</definedName>
    <definedName name="IQ_PENSION_BREAKDOWN_PCT_OTHER_FOREIGN" hidden="1">"c3097"</definedName>
    <definedName name="IQ_PENSION_BREAKDOWN_PCT_RE" hidden="1">"c3095"</definedName>
    <definedName name="IQ_PENSION_BREAKDOWN_PCT_RE_DOM" hidden="1">"c3093"</definedName>
    <definedName name="IQ_PENSION_BREAKDOWN_PCT_RE_FOREIGN" hidden="1">"c3094"</definedName>
    <definedName name="IQ_PENSION_BREAKDOWN_RE" hidden="1">"c3107"</definedName>
    <definedName name="IQ_PENSION_BREAKDOWN_RE_DOM" hidden="1">"c3105"</definedName>
    <definedName name="IQ_PENSION_BREAKDOWN_RE_FOREIGN" hidden="1">"c3106"</definedName>
    <definedName name="IQ_PENSION_CONTRIBUTION_TOTAL_COST" hidden="1">"c3559"</definedName>
    <definedName name="IQ_PENSION_DISC_RATE_MAX" hidden="1">"c3236"</definedName>
    <definedName name="IQ_PENSION_DISC_RATE_MAX_DOM" hidden="1">"c3234"</definedName>
    <definedName name="IQ_PENSION_DISC_RATE_MAX_FOREIGN" hidden="1">"c3235"</definedName>
    <definedName name="IQ_PENSION_DISC_RATE_MIN" hidden="1">"c3233"</definedName>
    <definedName name="IQ_PENSION_DISC_RATE_MIN_DOM" hidden="1">"c3231"</definedName>
    <definedName name="IQ_PENSION_DISC_RATE_MIN_FOREIGN" hidden="1">"c3232"</definedName>
    <definedName name="IQ_PENSION_DISCOUNT_RATE_DOMESTIC" hidden="1">"c3573"</definedName>
    <definedName name="IQ_PENSION_DISCOUNT_RATE_FOREIGN" hidden="1">"c3574"</definedName>
    <definedName name="IQ_PENSION_EST_BENEFIT_1YR" hidden="1">"c3113"</definedName>
    <definedName name="IQ_PENSION_EST_BENEFIT_1YR_DOM" hidden="1">"c3111"</definedName>
    <definedName name="IQ_PENSION_EST_BENEFIT_1YR_FOREIGN" hidden="1">"c3112"</definedName>
    <definedName name="IQ_PENSION_EST_BENEFIT_2YR" hidden="1">"c3116"</definedName>
    <definedName name="IQ_PENSION_EST_BENEFIT_2YR_DOM" hidden="1">"c3114"</definedName>
    <definedName name="IQ_PENSION_EST_BENEFIT_2YR_FOREIGN" hidden="1">"c3115"</definedName>
    <definedName name="IQ_PENSION_EST_BENEFIT_3YR" hidden="1">"c3119"</definedName>
    <definedName name="IQ_PENSION_EST_BENEFIT_3YR_DOM" hidden="1">"c3117"</definedName>
    <definedName name="IQ_PENSION_EST_BENEFIT_3YR_FOREIGN" hidden="1">"c3118"</definedName>
    <definedName name="IQ_PENSION_EST_BENEFIT_4YR" hidden="1">"c3122"</definedName>
    <definedName name="IQ_PENSION_EST_BENEFIT_4YR_DOM" hidden="1">"c3120"</definedName>
    <definedName name="IQ_PENSION_EST_BENEFIT_4YR_FOREIGN" hidden="1">"c3121"</definedName>
    <definedName name="IQ_PENSION_EST_BENEFIT_5YR" hidden="1">"c3125"</definedName>
    <definedName name="IQ_PENSION_EST_BENEFIT_5YR_DOM" hidden="1">"c3123"</definedName>
    <definedName name="IQ_PENSION_EST_BENEFIT_5YR_FOREIGN" hidden="1">"c3124"</definedName>
    <definedName name="IQ_PENSION_EST_BENEFIT_AFTER5" hidden="1">"c3128"</definedName>
    <definedName name="IQ_PENSION_EST_BENEFIT_AFTER5_DOM" hidden="1">"c3126"</definedName>
    <definedName name="IQ_PENSION_EST_BENEFIT_AFTER5_FOREIGN" hidden="1">"c3127"</definedName>
    <definedName name="IQ_PENSION_EST_CONTRIBUTIONS_NEXTYR" hidden="1">"c3218"</definedName>
    <definedName name="IQ_PENSION_EST_CONTRIBUTIONS_NEXTYR_DOM" hidden="1">"c3216"</definedName>
    <definedName name="IQ_PENSION_EST_CONTRIBUTIONS_NEXTYR_FOREIGN" hidden="1">"c3217"</definedName>
    <definedName name="IQ_PENSION_EXP_RATE_RETURN_MAX" hidden="1">"c3248"</definedName>
    <definedName name="IQ_PENSION_EXP_RATE_RETURN_MAX_DOM" hidden="1">"c3246"</definedName>
    <definedName name="IQ_PENSION_EXP_RATE_RETURN_MAX_FOREIGN" hidden="1">"c3247"</definedName>
    <definedName name="IQ_PENSION_EXP_RATE_RETURN_MIN" hidden="1">"c3245"</definedName>
    <definedName name="IQ_PENSION_EXP_RATE_RETURN_MIN_DOM" hidden="1">"c3243"</definedName>
    <definedName name="IQ_PENSION_EXP_RATE_RETURN_MIN_FOREIGN" hidden="1">"c3244"</definedName>
    <definedName name="IQ_PENSION_EXP_RETURN_DOMESTIC" hidden="1">"c3571"</definedName>
    <definedName name="IQ_PENSION_EXP_RETURN_FOREIGN" hidden="1">"c3572"</definedName>
    <definedName name="IQ_PENSION_INTAN_ASSETS" hidden="1">"c3137"</definedName>
    <definedName name="IQ_PENSION_INTAN_ASSETS_DOM" hidden="1">"c3135"</definedName>
    <definedName name="IQ_PENSION_INTAN_ASSETS_FOREIGN" hidden="1">"c3136"</definedName>
    <definedName name="IQ_PENSION_INTEREST_COST" hidden="1">"c3582"</definedName>
    <definedName name="IQ_PENSION_INTEREST_COST_DOM" hidden="1">"c3580"</definedName>
    <definedName name="IQ_PENSION_INTEREST_COST_FOREIGN" hidden="1">"c3581"</definedName>
    <definedName name="IQ_PENSION_NET_ASSET_RECOG" hidden="1">"c3152"</definedName>
    <definedName name="IQ_PENSION_NET_ASSET_RECOG_DOM" hidden="1">"c3150"</definedName>
    <definedName name="IQ_PENSION_NET_ASSET_RECOG_FOREIGN" hidden="1">"c3151"</definedName>
    <definedName name="IQ_PENSION_OBLIGATION_ACQ" hidden="1">"c3206"</definedName>
    <definedName name="IQ_PENSION_OBLIGATION_ACQ_DOM" hidden="1">"c3204"</definedName>
    <definedName name="IQ_PENSION_OBLIGATION_ACQ_FOREIGN" hidden="1">"c3205"</definedName>
    <definedName name="IQ_PENSION_OBLIGATION_ACTUARIAL_GAIN_LOSS" hidden="1">"c3197"</definedName>
    <definedName name="IQ_PENSION_OBLIGATION_ACTUARIAL_GAIN_LOSS_DOM" hidden="1">"c3195"</definedName>
    <definedName name="IQ_PENSION_OBLIGATION_ACTUARIAL_GAIN_LOSS_FOREIGN" hidden="1">"c3196"</definedName>
    <definedName name="IQ_PENSION_OBLIGATION_BEG" hidden="1">"c3185"</definedName>
    <definedName name="IQ_PENSION_OBLIGATION_BEG_DOM" hidden="1">"c3183"</definedName>
    <definedName name="IQ_PENSION_OBLIGATION_BEG_FOREIGN" hidden="1">"c3184"</definedName>
    <definedName name="IQ_PENSION_OBLIGATION_CURTAIL" hidden="1">"c3209"</definedName>
    <definedName name="IQ_PENSION_OBLIGATION_CURTAIL_DOM" hidden="1">"c3207"</definedName>
    <definedName name="IQ_PENSION_OBLIGATION_CURTAIL_FOREIGN" hidden="1">"c3208"</definedName>
    <definedName name="IQ_PENSION_OBLIGATION_EMPLOYEE_CONTRIBUTIONS" hidden="1">"c3194"</definedName>
    <definedName name="IQ_PENSION_OBLIGATION_EMPLOYEE_CONTRIBUTIONS_DOM" hidden="1">"c3192"</definedName>
    <definedName name="IQ_PENSION_OBLIGATION_EMPLOYEE_CONTRIBUTIONS_FOREIGN" hidden="1">"c3193"</definedName>
    <definedName name="IQ_PENSION_OBLIGATION_FX_ADJ" hidden="1">"c3203"</definedName>
    <definedName name="IQ_PENSION_OBLIGATION_FX_ADJ_DOM" hidden="1">"c3201"</definedName>
    <definedName name="IQ_PENSION_OBLIGATION_FX_ADJ_FOREIGN" hidden="1">"c3202"</definedName>
    <definedName name="IQ_PENSION_OBLIGATION_INTEREST_COST" hidden="1">"c3191"</definedName>
    <definedName name="IQ_PENSION_OBLIGATION_INTEREST_COST_DOM" hidden="1">"c3189"</definedName>
    <definedName name="IQ_PENSION_OBLIGATION_INTEREST_COST_FOREIGN" hidden="1">"c3190"</definedName>
    <definedName name="IQ_PENSION_OBLIGATION_OTHER_COST" hidden="1">"c3555"</definedName>
    <definedName name="IQ_PENSION_OBLIGATION_OTHER_COST_DOM" hidden="1">"c3553"</definedName>
    <definedName name="IQ_PENSION_OBLIGATION_OTHER_COST_FOREIGN" hidden="1">"c3554"</definedName>
    <definedName name="IQ_PENSION_OBLIGATION_OTHER_PLAN_ADJ" hidden="1">"c3212"</definedName>
    <definedName name="IQ_PENSION_OBLIGATION_OTHER_PLAN_ADJ_DOM" hidden="1">"c3210"</definedName>
    <definedName name="IQ_PENSION_OBLIGATION_OTHER_PLAN_ADJ_FOREIGN" hidden="1">"c3211"</definedName>
    <definedName name="IQ_PENSION_OBLIGATION_PAID" hidden="1">"c3200"</definedName>
    <definedName name="IQ_PENSION_OBLIGATION_PAID_DOM" hidden="1">"c3198"</definedName>
    <definedName name="IQ_PENSION_OBLIGATION_PAID_FOREIGN" hidden="1">"c3199"</definedName>
    <definedName name="IQ_PENSION_OBLIGATION_PROJECTED" hidden="1">"c3215"</definedName>
    <definedName name="IQ_PENSION_OBLIGATION_PROJECTED_DOM" hidden="1">"c3213"</definedName>
    <definedName name="IQ_PENSION_OBLIGATION_PROJECTED_FOREIGN" hidden="1">"c3214"</definedName>
    <definedName name="IQ_PENSION_OBLIGATION_ROA" hidden="1">"c3552"</definedName>
    <definedName name="IQ_PENSION_OBLIGATION_ROA_DOM" hidden="1">"c3550"</definedName>
    <definedName name="IQ_PENSION_OBLIGATION_ROA_FOREIGN" hidden="1">"c3551"</definedName>
    <definedName name="IQ_PENSION_OBLIGATION_SERVICE_COST" hidden="1">"c3188"</definedName>
    <definedName name="IQ_PENSION_OBLIGATION_SERVICE_COST_DOM" hidden="1">"c3186"</definedName>
    <definedName name="IQ_PENSION_OBLIGATION_SERVICE_COST_FOREIGN" hidden="1">"c3187"</definedName>
    <definedName name="IQ_PENSION_OBLIGATION_TOTAL_COST" hidden="1">"c3558"</definedName>
    <definedName name="IQ_PENSION_OBLIGATION_TOTAL_COST_DOM" hidden="1">"c3556"</definedName>
    <definedName name="IQ_PENSION_OBLIGATION_TOTAL_COST_FOREIGN" hidden="1">"c3557"</definedName>
    <definedName name="IQ_PENSION_OTHER" hidden="1">"c3143"</definedName>
    <definedName name="IQ_PENSION_OTHER_ADJ" hidden="1">"c3149"</definedName>
    <definedName name="IQ_PENSION_OTHER_ADJ_DOM" hidden="1">"c3147"</definedName>
    <definedName name="IQ_PENSION_OTHER_ADJ_FOREIGN" hidden="1">"c3148"</definedName>
    <definedName name="IQ_PENSION_OTHER_DOM" hidden="1">"c3141"</definedName>
    <definedName name="IQ_PENSION_OTHER_FOREIGN" hidden="1">"c3142"</definedName>
    <definedName name="IQ_PENSION_PBO_ASSUMED_RATE_RET_MAX" hidden="1">"c3254"</definedName>
    <definedName name="IQ_PENSION_PBO_ASSUMED_RATE_RET_MAX_DOM" hidden="1">"c3252"</definedName>
    <definedName name="IQ_PENSION_PBO_ASSUMED_RATE_RET_MAX_FOREIGN" hidden="1">"c3253"</definedName>
    <definedName name="IQ_PENSION_PBO_ASSUMED_RATE_RET_MIN" hidden="1">"c3251"</definedName>
    <definedName name="IQ_PENSION_PBO_ASSUMED_RATE_RET_MIN_DOM" hidden="1">"c3249"</definedName>
    <definedName name="IQ_PENSION_PBO_ASSUMED_RATE_RET_MIN_FOREIGN" hidden="1">"c3250"</definedName>
    <definedName name="IQ_PENSION_PBO_RATE_COMP_INCREASE_MAX" hidden="1">"c3260"</definedName>
    <definedName name="IQ_PENSION_PBO_RATE_COMP_INCREASE_MAX_DOM" hidden="1">"c3258"</definedName>
    <definedName name="IQ_PENSION_PBO_RATE_COMP_INCREASE_MAX_FOREIGN" hidden="1">"c3259"</definedName>
    <definedName name="IQ_PENSION_PBO_RATE_COMP_INCREASE_MIN" hidden="1">"c3257"</definedName>
    <definedName name="IQ_PENSION_PBO_RATE_COMP_INCREASE_MIN_DOM" hidden="1">"c3255"</definedName>
    <definedName name="IQ_PENSION_PBO_RATE_COMP_INCREASE_MIN_FOREIGN" hidden="1">"c3256"</definedName>
    <definedName name="IQ_PENSION_PREPAID_COST" hidden="1">"c3131"</definedName>
    <definedName name="IQ_PENSION_PREPAID_COST_DOM" hidden="1">"c3129"</definedName>
    <definedName name="IQ_PENSION_PREPAID_COST_FOREIGN" hidden="1">"c3130"</definedName>
    <definedName name="IQ_PENSION_PROJECTED_OBLIGATION" hidden="1">"c3566"</definedName>
    <definedName name="IQ_PENSION_PROJECTED_OBLIGATION_DOMESTIC" hidden="1">"c3564"</definedName>
    <definedName name="IQ_PENSION_PROJECTED_OBLIGATION_FOREIGN" hidden="1">"c3565"</definedName>
    <definedName name="IQ_PENSION_QUART_ADDL_CONTRIBUTIONS_EXP" hidden="1">"c3224"</definedName>
    <definedName name="IQ_PENSION_QUART_ADDL_CONTRIBUTIONS_EXP_DOM" hidden="1">"c3222"</definedName>
    <definedName name="IQ_PENSION_QUART_ADDL_CONTRIBUTIONS_EXP_FOREIGN" hidden="1">"c3223"</definedName>
    <definedName name="IQ_PENSION_QUART_EMPLOYER_CONTRIBUTIONS" hidden="1">"c3221"</definedName>
    <definedName name="IQ_PENSION_QUART_EMPLOYER_CONTRIBUTIONS_DOM" hidden="1">"c3219"</definedName>
    <definedName name="IQ_PENSION_QUART_EMPLOYER_CONTRIBUTIONS_FOREIGN" hidden="1">"c3220"</definedName>
    <definedName name="IQ_PENSION_RATE_COMP_GROWTH_DOMESTIC" hidden="1">"c3575"</definedName>
    <definedName name="IQ_PENSION_RATE_COMP_GROWTH_FOREIGN" hidden="1">"c3576"</definedName>
    <definedName name="IQ_PENSION_RATE_COMP_INCREASE_MAX" hidden="1">"c3242"</definedName>
    <definedName name="IQ_PENSION_RATE_COMP_INCREASE_MAX_DOM" hidden="1">"c3240"</definedName>
    <definedName name="IQ_PENSION_RATE_COMP_INCREASE_MAX_FOREIGN" hidden="1">"c3241"</definedName>
    <definedName name="IQ_PENSION_RATE_COMP_INCREASE_MIN" hidden="1">"c3239"</definedName>
    <definedName name="IQ_PENSION_RATE_COMP_INCREASE_MIN_DOM" hidden="1">"c3237"</definedName>
    <definedName name="IQ_PENSION_RATE_COMP_INCREASE_MIN_FOREIGN" hidden="1">"c3238"</definedName>
    <definedName name="IQ_PENSION_SERVICE_COST" hidden="1">"c3579"</definedName>
    <definedName name="IQ_PENSION_SERVICE_COST_DOM" hidden="1">"c3577"</definedName>
    <definedName name="IQ_PENSION_SERVICE_COST_FOREIGN" hidden="1">"c3578"</definedName>
    <definedName name="IQ_PENSION_TOTAL_ASSETS" hidden="1">"c3563"</definedName>
    <definedName name="IQ_PENSION_TOTAL_ASSETS_DOMESTIC" hidden="1">"c3561"</definedName>
    <definedName name="IQ_PENSION_TOTAL_ASSETS_FOREIGN" hidden="1">"c3562"</definedName>
    <definedName name="IQ_PENSION_TOTAL_EXP" hidden="1">"c3560"</definedName>
    <definedName name="IQ_PENSION_UNFUNDED_ADDL_MIN_LIAB" hidden="1">"c3227"</definedName>
    <definedName name="IQ_PENSION_UNFUNDED_ADDL_MIN_LIAB_DOM" hidden="1">"c3225"</definedName>
    <definedName name="IQ_PENSION_UNFUNDED_ADDL_MIN_LIAB_FOREIGN" hidden="1">"c3226"</definedName>
    <definedName name="IQ_PENSION_UNRECOG_PRIOR" hidden="1">"c3146"</definedName>
    <definedName name="IQ_PENSION_UNRECOG_PRIOR_DOM" hidden="1">"c3144"</definedName>
    <definedName name="IQ_PENSION_UNRECOG_PRIOR_FOREIGN" hidden="1">"c3145"</definedName>
    <definedName name="IQ_PENSION_UV_LIAB" hidden="1">"c3567"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ISON_PUT_EFFECT_DATE" hidden="1">"c2486"</definedName>
    <definedName name="IQ_POISON_PUT_EXPIRATION_DATE" hidden="1">"c2487"</definedName>
    <definedName name="IQ_POISON_PUT_PRICE" hidden="1">"c2488"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JECTED_PENSION_OBLIGATION_DOMESTIC" hidden="1">"c2656"</definedName>
    <definedName name="IQ_PROJECTED_PENSION_OBLIGATION_FOREIGN" hidden="1">"c2664"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PUT_DATE_SCHEDULE" hidden="1">"c2483"</definedName>
    <definedName name="IQ_PUT_NOTIFICATION" hidden="1">"c2485"</definedName>
    <definedName name="IQ_PUT_PRICE_SCHEDULE" hidden="1">"c2484"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C" hidden="1">"c2497"</definedName>
    <definedName name="IQ_RC_PCT" hidden="1">"c2498"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_STOCK_COMP" hidden="1">"c3506"</definedName>
    <definedName name="IQ_RESTR_STOCK_COMP_PRETAX" hidden="1">"c3504"</definedName>
    <definedName name="IQ_RESTR_STOCK_COMP_TAX" hidden="1">"c3505"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CQUIRED_FRANCHISE_STORES" hidden="1">"c2895"</definedName>
    <definedName name="IQ_RETAIL_ACQUIRED_OWNED_STORES" hidden="1">"c2903"</definedName>
    <definedName name="IQ_RETAIL_ACQUIRED_STORES" hidden="1">"c2887"</definedName>
    <definedName name="IQ_RETAIL_AVG_STORE_SIZE_GROSS" hidden="1">"c2066"</definedName>
    <definedName name="IQ_RETAIL_AVG_STORE_SIZE_NET" hidden="1">"c2067"</definedName>
    <definedName name="IQ_RETAIL_AVG_WK_SALES" hidden="1">"c2891"</definedName>
    <definedName name="IQ_RETAIL_AVG_WK_SALES_FRANCHISE" hidden="1">"c2899"</definedName>
    <definedName name="IQ_RETAIL_AVG_WK_SALES_OWNED" hidden="1">"c2907"</definedName>
    <definedName name="IQ_RETAIL_CLOSED_FRANCHISE_STORES" hidden="1">"c2896"</definedName>
    <definedName name="IQ_RETAIL_CLOSED_OWNED_STORES" hidden="1">"c2904"</definedName>
    <definedName name="IQ_RETAIL_CLOSED_STORES" hidden="1">"c2063"</definedName>
    <definedName name="IQ_RETAIL_FRANCHISE_STORES_BEG" hidden="1">"c2893"</definedName>
    <definedName name="IQ_RETAIL_OPENED_FRANCHISE_STORES" hidden="1">"c2894"</definedName>
    <definedName name="IQ_RETAIL_OPENED_OWNED_STORES" hidden="1">"c2902"</definedName>
    <definedName name="IQ_RETAIL_OPENED_STORES" hidden="1">"c2062"</definedName>
    <definedName name="IQ_RETAIL_OWNED_STORES_BEG" hidden="1">"c2901"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OLD_FRANCHISE_STORES" hidden="1">"c2897"</definedName>
    <definedName name="IQ_RETAIL_SOLD_OWNED_STORES" hidden="1">"c2905"</definedName>
    <definedName name="IQ_RETAIL_SOLD_STORES" hidden="1">"c2889"</definedName>
    <definedName name="IQ_RETAIL_SQ_FOOTAGE" hidden="1">"c2064"</definedName>
    <definedName name="IQ_RETAIL_STORE_SELLING_AREA" hidden="1">"c2065"</definedName>
    <definedName name="IQ_RETAIL_STORES_BEG" hidden="1">"c2885"</definedName>
    <definedName name="IQ_RETAIL_TOTAL_FRANCHISE_STORES" hidden="1">"c2898"</definedName>
    <definedName name="IQ_RETAIL_TOTAL_OWNED_STORES" hidden="1">"c2906"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39468.4564814815</definedName>
    <definedName name="IQ_RISK_ADJ_BANK_ASSETS" hidden="1">"c2670"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ME_STORE_FRANCHISE" hidden="1">"c2900"</definedName>
    <definedName name="IQ_SAME_STORE_OWNED" hidden="1">"c2908"</definedName>
    <definedName name="IQ_SAME_STORE_TOTAL" hidden="1">"c2892"</definedName>
    <definedName name="IQ_SAVING_DEP" hidden="1">"c1150"</definedName>
    <definedName name="IQ_SEC_PURCHASED_RESELL" hidden="1">"c5513"</definedName>
    <definedName name="IQ_SECUR_RECEIV" hidden="1">"c1151"</definedName>
    <definedName name="IQ_SECURED_DEBT" hidden="1">"c2546"</definedName>
    <definedName name="IQ_SECURED_DEBT_PCT" hidden="1">"c2547"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PECIAL_DIV_SHARE" hidden="1">"c3007"</definedName>
    <definedName name="IQ_SR_BONDS_NOTES" hidden="1">"c2501"</definedName>
    <definedName name="IQ_SR_BONDS_NOTES_PCT" hidden="1">"c2502"</definedName>
    <definedName name="IQ_SR_DEBT" hidden="1">"c2526"</definedName>
    <definedName name="IQ_SR_DEBT_EBITDA" hidden="1">"c2552"</definedName>
    <definedName name="IQ_SR_DEBT_EBITDA_CAPEX" hidden="1">"c2553"</definedName>
    <definedName name="IQ_SR_DEBT_PCT" hidden="1">"c2527"</definedName>
    <definedName name="IQ_SR_SUB_DEBT" hidden="1">"c2530"</definedName>
    <definedName name="IQ_SR_SUB_DEBT_EBITDA" hidden="1">"c2556"</definedName>
    <definedName name="IQ_SR_SUB_DEBT_EBITDA_CAPEX" hidden="1">"c2557"</definedName>
    <definedName name="IQ_SR_SUB_DEBT_PCT" hidden="1">"c2531"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PCT" hidden="1">"c2539"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AT" hidden="1">"c2999"</definedName>
    <definedName name="IQ_STOCK_BASED_CF" hidden="1">"c1203"</definedName>
    <definedName name="IQ_STOCK_BASED_COGS" hidden="1">"c2990"</definedName>
    <definedName name="IQ_STOCK_BASED_COMP" hidden="1">"c3512"</definedName>
    <definedName name="IQ_STOCK_BASED_COMP_PRETAX" hidden="1">"c3510"</definedName>
    <definedName name="IQ_STOCK_BASED_COMP_TAX" hidden="1">"c3511"</definedName>
    <definedName name="IQ_STOCK_BASED_GA" hidden="1">"c2993"</definedName>
    <definedName name="IQ_STOCK_BASED_OTHER" hidden="1">"c2995"</definedName>
    <definedName name="IQ_STOCK_BASED_RD" hidden="1">"c2991"</definedName>
    <definedName name="IQ_STOCK_BASED_SGA" hidden="1">"c2994"</definedName>
    <definedName name="IQ_STOCK_BASED_SM" hidden="1">"c2992"</definedName>
    <definedName name="IQ_STOCK_BASED_TOTAL" hidden="1">"c3040"</definedName>
    <definedName name="IQ_STOCK_OPTIONS_COMP" hidden="1">"c3509"</definedName>
    <definedName name="IQ_STOCK_OPTIONS_COMP_PRETAX" hidden="1">"c3507"</definedName>
    <definedName name="IQ_STOCK_OPTIONS_COMP_TAX" hidden="1">"c3508"</definedName>
    <definedName name="IQ_STRIKE_PRICE_ISSUED" hidden="1">"c1645"</definedName>
    <definedName name="IQ_STRIKE_PRICE_OS" hidden="1">"c1646"</definedName>
    <definedName name="IQ_STW" hidden="1">"c2166"</definedName>
    <definedName name="IQ_SUB_BONDS_NOTES" hidden="1">"c2503"</definedName>
    <definedName name="IQ_SUB_BONDS_NOTES_PCT" hidden="1">"c2504"</definedName>
    <definedName name="IQ_SUB_DEBT" hidden="1">"c2532"</definedName>
    <definedName name="IQ_SUB_DEBT_EBITDA" hidden="1">"c2558"</definedName>
    <definedName name="IQ_SUB_DEBT_EBITDA_CAPEX" hidden="1">"c2559"</definedName>
    <definedName name="IQ_SUB_DEBT_PCT" hidden="1">"c2533"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CF_1YR" hidden="1">"c3483"</definedName>
    <definedName name="IQ_TAX_BENEFIT_CF_2YR" hidden="1">"c3484"</definedName>
    <definedName name="IQ_TAX_BENEFIT_CF_3YR" hidden="1">"c3485"</definedName>
    <definedName name="IQ_TAX_BENEFIT_CF_4YR" hidden="1">"c3486"</definedName>
    <definedName name="IQ_TAX_BENEFIT_CF_5YR" hidden="1">"c3487"</definedName>
    <definedName name="IQ_TAX_BENEFIT_CF_AFTER_FIVE" hidden="1">"c3488"</definedName>
    <definedName name="IQ_TAX_BENEFIT_CF_MAX_YEAR" hidden="1">"c3491"</definedName>
    <definedName name="IQ_TAX_BENEFIT_CF_NO_EXP" hidden="1">"c3489"</definedName>
    <definedName name="IQ_TAX_BENEFIT_CF_TOTAL" hidden="1">"c3490"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RM_LOANS" hidden="1">"c2499"</definedName>
    <definedName name="IQ_TERM_LOANS_PCT" hidden="1">"c2500"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BITDA_FWD" hidden="1">"c1224"</definedName>
    <definedName name="IQ_TEV_EMPLOYEE_AVG" hidden="1">"c1225"</definedName>
    <definedName name="IQ_TEV_TOTAL_REV" hidden="1">"c1226"</definedName>
    <definedName name="IQ_TEV_TOTAL_REV_AVG" hidden="1">"c1227"</definedName>
    <definedName name="IQ_TEV_TOTAL_REV_FWD" hidden="1">"c1228"</definedName>
    <definedName name="IQ_TEV_UFCF" hidden="1">"c2208"</definedName>
    <definedName name="IQ_TIER_ONE_CAPITAL" hidden="1">"c2667"</definedName>
    <definedName name="IQ_TIER_ONE_RATIO" hidden="1">"c1229"</definedName>
    <definedName name="IQ_TIER_TWO_CAPITAL" hidden="1">"c2669"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BANK_CAPITAL" hidden="1">"c2668"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BITDA_CAPEX" hidden="1">"c2948"</definedName>
    <definedName name="IQ_TOTAL_DEBT_EQUITY" hidden="1">"c1250"</definedName>
    <definedName name="IQ_TOTAL_DEBT_EXCL_FIN" hidden="1">"c2937"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PTIONS_BEG_OS" hidden="1">"c2693"</definedName>
    <definedName name="IQ_TOTAL_OPTIONS_CANCELLED" hidden="1">"c2696"</definedName>
    <definedName name="IQ_TOTAL_OPTIONS_END_OS" hidden="1">"c2697"</definedName>
    <definedName name="IQ_TOTAL_OPTIONS_EXERCISED" hidden="1">"c2695"</definedName>
    <definedName name="IQ_TOTAL_OPTIONS_GRANTED" hidden="1">"c2694"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ASSETS_DOMESTIC" hidden="1">"c2658"</definedName>
    <definedName name="IQ_TOTAL_PENSION_ASSETS_FOREIGN" hidden="1">"c2666"</definedName>
    <definedName name="IQ_TOTAL_PENSION_EXP" hidden="1">"c1291"</definedName>
    <definedName name="IQ_TOTAL_PENSION_OBLIGATION" hidden="1">"c1292"</definedName>
    <definedName name="IQ_TOTAL_PRINCIPAL" hidden="1">"c2509"</definedName>
    <definedName name="IQ_TOTAL_PRINCIPAL_PCT" hidden="1">"c2510"</definedName>
    <definedName name="IQ_TOTAL_PROVED_RESERVES_NGL" hidden="1">"c2924"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_DEBT" hidden="1">"c2528"</definedName>
    <definedName name="IQ_TOTAL_SUB_DEBT_EBITDA" hidden="1">"c2554"</definedName>
    <definedName name="IQ_TOTAL_SUB_DEBT_EBITDA_CAPEX" hidden="1">"c2555"</definedName>
    <definedName name="IQ_TOTAL_SUB_DEBT_PCT" hidden="1">"c2529"</definedName>
    <definedName name="IQ_TOTAL_SUBS" hidden="1">"c2119"</definedName>
    <definedName name="IQ_TOTAL_UNUSUAL" hidden="1">"c1508"</definedName>
    <definedName name="IQ_TOTAL_UNUSUAL_BNK" hidden="1">"c5516"</definedName>
    <definedName name="IQ_TOTAL_UNUSUAL_BR" hidden="1">"c5517"</definedName>
    <definedName name="IQ_TOTAL_UNUSUAL_FIN" hidden="1">"c5518"</definedName>
    <definedName name="IQ_TOTAL_UNUSUAL_INS" hidden="1">"c5519"</definedName>
    <definedName name="IQ_TOTAL_UNUSUAL_REIT" hidden="1">"c5520"</definedName>
    <definedName name="IQ_TOTAL_UNUSUAL_UTI" hidden="1">"c5521"</definedName>
    <definedName name="IQ_TOTAL_WARRANTS_BEG_OS" hidden="1">"c2719"</definedName>
    <definedName name="IQ_TOTAL_WARRANTS_CANCELLED" hidden="1">"c2722"</definedName>
    <definedName name="IQ_TOTAL_WARRANTS_END_OS" hidden="1">"c2723"</definedName>
    <definedName name="IQ_TOTAL_WARRANTS_EXERCISED" hidden="1">"c2721"</definedName>
    <definedName name="IQ_TOTAL_WARRANTS_ISSUED" hidden="1">"c2720"</definedName>
    <definedName name="IQ_TR_ACCT_METHOD" hidden="1">"c2363"</definedName>
    <definedName name="IQ_TR_ACQ_52_WK_HI_PCT" hidden="1">"c2348"</definedName>
    <definedName name="IQ_TR_ACQ_52_WK_LOW_PCT" hidden="1">"c2347"</definedName>
    <definedName name="IQ_TR_ACQ_CASH_ST_INVEST" hidden="1">"c2372"</definedName>
    <definedName name="IQ_TR_ACQ_CLOSEPRICE_1D" hidden="1">"c3027"</definedName>
    <definedName name="IQ_TR_ACQ_DILUT_EPS_EXCL" hidden="1">"c3028"</definedName>
    <definedName name="IQ_TR_ACQ_EARNING_CO" hidden="1">"c2379"</definedName>
    <definedName name="IQ_TR_ACQ_EBIT" hidden="1">"c2380"</definedName>
    <definedName name="IQ_TR_ACQ_EBIT_EQ_INC" hidden="1">"c3611"</definedName>
    <definedName name="IQ_TR_ACQ_EBITDA" hidden="1">"c2381"</definedName>
    <definedName name="IQ_TR_ACQ_EBITDA_EQ_INC" hidden="1">"c3610"</definedName>
    <definedName name="IQ_TR_ACQ_FILING_CURRENCY" hidden="1">"c3033"</definedName>
    <definedName name="IQ_TR_ACQ_FILINGDATE" hidden="1">"c3607"</definedName>
    <definedName name="IQ_TR_ACQ_MCAP_1DAY" hidden="1">"c2345"</definedName>
    <definedName name="IQ_TR_ACQ_MIN_INT" hidden="1">"c2374"</definedName>
    <definedName name="IQ_TR_ACQ_NET_DEBT" hidden="1">"c2373"</definedName>
    <definedName name="IQ_TR_ACQ_NI" hidden="1">"c2378"</definedName>
    <definedName name="IQ_TR_ACQ_PERIODDATE" hidden="1">"c3606"</definedName>
    <definedName name="IQ_TR_ACQ_PRICEDATE_1D" hidden="1">"c2346"</definedName>
    <definedName name="IQ_TR_ACQ_RETURN" hidden="1">"c2349"</definedName>
    <definedName name="IQ_TR_ACQ_STOCKYEARHIGH_1D" hidden="1">"c2343"</definedName>
    <definedName name="IQ_TR_ACQ_STOCKYEARLOW_1D" hidden="1">"c2344"</definedName>
    <definedName name="IQ_TR_ACQ_TOTAL_ASSETS" hidden="1">"c2371"</definedName>
    <definedName name="IQ_TR_ACQ_TOTAL_COMMON_EQ" hidden="1">"c2377"</definedName>
    <definedName name="IQ_TR_ACQ_TOTAL_DEBT" hidden="1">"c2376"</definedName>
    <definedName name="IQ_TR_ACQ_TOTAL_PREF" hidden="1">"c2375"</definedName>
    <definedName name="IQ_TR_ACQ_TOTAL_REV" hidden="1">"c2382"</definedName>
    <definedName name="IQ_TR_ADJ_SIZE" hidden="1">"c3024"</definedName>
    <definedName name="IQ_TR_ANN_DATE" hidden="1">"c2395"</definedName>
    <definedName name="IQ_TR_ANN_DATE_BL" hidden="1">"c2394"</definedName>
    <definedName name="IQ_TR_BID_DATE" hidden="1">"c2357"</definedName>
    <definedName name="IQ_TR_BLUESKY_FEES" hidden="1">"c2277"</definedName>
    <definedName name="IQ_TR_BUY_ACC_ADVISORS" hidden="1">"c3048"</definedName>
    <definedName name="IQ_TR_BUY_FIN_ADVISORS" hidden="1">"c3045"</definedName>
    <definedName name="IQ_TR_BUY_LEG_ADVISORS" hidden="1">"c2387"</definedName>
    <definedName name="IQ_TR_BUYER_ID" hidden="1">"c2404"</definedName>
    <definedName name="IQ_TR_BUYERNAME" hidden="1">"c2401"</definedName>
    <definedName name="IQ_TR_CANCELLED_DATE" hidden="1">"c2284"</definedName>
    <definedName name="IQ_TR_CASH_CONSID_PCT" hidden="1">"c2296"</definedName>
    <definedName name="IQ_TR_CASH_ST_INVEST" hidden="1">"c3025"</definedName>
    <definedName name="IQ_TR_CHANGE_CONTROL" hidden="1">"c2365"</definedName>
    <definedName name="IQ_TR_CLOSED_DATE" hidden="1">"c2283"</definedName>
    <definedName name="IQ_TR_CO_NET_PROCEEDS" hidden="1">"c2268"</definedName>
    <definedName name="IQ_TR_CO_NET_PROCEEDS_PCT" hidden="1">"c2270"</definedName>
    <definedName name="IQ_TR_COMMENTS" hidden="1">"c2383"</definedName>
    <definedName name="IQ_TR_CURRENCY" hidden="1">"c3016"</definedName>
    <definedName name="IQ_TR_DEAL_ATTITUDE" hidden="1">"c2364"</definedName>
    <definedName name="IQ_TR_DEAL_CONDITIONS" hidden="1">"c2367"</definedName>
    <definedName name="IQ_TR_DEAL_RESOLUTION" hidden="1">"c2391"</definedName>
    <definedName name="IQ_TR_DEAL_RESPONSES" hidden="1">"c2366"</definedName>
    <definedName name="IQ_TR_DEBT_CONSID_PCT" hidden="1">"c2299"</definedName>
    <definedName name="IQ_TR_DEF_AGRMT_DATE" hidden="1">"c2285"</definedName>
    <definedName name="IQ_TR_DISCLOSED_FEES_EXP" hidden="1">"c2288"</definedName>
    <definedName name="IQ_TR_EARNOUTS" hidden="1">"c3023"</definedName>
    <definedName name="IQ_TR_EXPIRED_DATE" hidden="1">"c2412"</definedName>
    <definedName name="IQ_TR_GROSS_OFFERING_AMT" hidden="1">"c2262"</definedName>
    <definedName name="IQ_TR_HYBRID_CONSID_PCT" hidden="1">"c2300"</definedName>
    <definedName name="IQ_TR_IMPLIED_EQ" hidden="1">"c3018"</definedName>
    <definedName name="IQ_TR_IMPLIED_EQ_BV" hidden="1">"c3019"</definedName>
    <definedName name="IQ_TR_IMPLIED_EQ_NI_LTM" hidden="1">"c3020"</definedName>
    <definedName name="IQ_TR_IMPLIED_EV" hidden="1">"c2301"</definedName>
    <definedName name="IQ_TR_IMPLIED_EV_BV" hidden="1">"c2306"</definedName>
    <definedName name="IQ_TR_IMPLIED_EV_EBIT" hidden="1">"c2302"</definedName>
    <definedName name="IQ_TR_IMPLIED_EV_EBITDA" hidden="1">"c2303"</definedName>
    <definedName name="IQ_TR_IMPLIED_EV_NI_LTM" hidden="1">"c2307"</definedName>
    <definedName name="IQ_TR_IMPLIED_EV_REV" hidden="1">"c2304"</definedName>
    <definedName name="IQ_TR_INIT_FILED_DATE" hidden="1">"c3495"</definedName>
    <definedName name="IQ_TR_LOI_DATE" hidden="1">"c2282"</definedName>
    <definedName name="IQ_TR_MAJ_MIN_STAKE" hidden="1">"c2389"</definedName>
    <definedName name="IQ_TR_NEGOTIATED_BUYBACK_PRICE" hidden="1">"c2414"</definedName>
    <definedName name="IQ_TR_NET_ASSUM_LIABILITIES" hidden="1">"c2308"</definedName>
    <definedName name="IQ_TR_NET_PROCEEDS" hidden="1">"c2267"</definedName>
    <definedName name="IQ_TR_OFFER_DATE" hidden="1">"c2265"</definedName>
    <definedName name="IQ_TR_OFFER_DATE_MA" hidden="1">"c3035"</definedName>
    <definedName name="IQ_TR_OFFER_PER_SHARE" hidden="1">"c3017"</definedName>
    <definedName name="IQ_TR_OPTIONS_CONSID_PCT" hidden="1">"c2311"</definedName>
    <definedName name="IQ_TR_OTHER_CONSID" hidden="1">"c3022"</definedName>
    <definedName name="IQ_TR_PCT_SOUGHT" hidden="1">"c2309"</definedName>
    <definedName name="IQ_TR_PFEATURES" hidden="1">"c2384"</definedName>
    <definedName name="IQ_TR_PIPE_CONV_PRICE_SHARE" hidden="1">"c2292"</definedName>
    <definedName name="IQ_TR_PIPE_CPN_PCT" hidden="1">"c2291"</definedName>
    <definedName name="IQ_TR_PIPE_NUMBER_SHARES" hidden="1">"c2293"</definedName>
    <definedName name="IQ_TR_PIPE_PPS" hidden="1">"c2290"</definedName>
    <definedName name="IQ_TR_POSTMONEY_VAL" hidden="1">"c2286"</definedName>
    <definedName name="IQ_TR_PREDEAL_SITUATION" hidden="1">"c2390"</definedName>
    <definedName name="IQ_TR_PREF_CONSID_PCT" hidden="1">"c2310"</definedName>
    <definedName name="IQ_TR_PREMONEY_VAL" hidden="1">"c2287"</definedName>
    <definedName name="IQ_TR_PRINTING_FEES" hidden="1">"c2276"</definedName>
    <definedName name="IQ_TR_PT_MONETARY_VALUES" hidden="1">"c2415"</definedName>
    <definedName name="IQ_TR_PT_NUMBER_SHARES" hidden="1">"c2417"</definedName>
    <definedName name="IQ_TR_PT_PCT_SHARES" hidden="1">"c2416"</definedName>
    <definedName name="IQ_TR_RATING_FEES" hidden="1">"c2275"</definedName>
    <definedName name="IQ_TR_REG_EFFECT_DATE" hidden="1">"c2264"</definedName>
    <definedName name="IQ_TR_REG_FILED_DATE" hidden="1">"c2263"</definedName>
    <definedName name="IQ_TR_RENEWAL_BUYBACK" hidden="1">"c2413"</definedName>
    <definedName name="IQ_TR_ROUND_NUMBER" hidden="1">"c2295"</definedName>
    <definedName name="IQ_TR_SEC_FEES" hidden="1">"c2274"</definedName>
    <definedName name="IQ_TR_SECURITY_TYPE_REG" hidden="1">"c2279"</definedName>
    <definedName name="IQ_TR_SELL_ACC_ADVISORS" hidden="1">"c3049"</definedName>
    <definedName name="IQ_TR_SELL_FIN_ADVISORS" hidden="1">"c3046"</definedName>
    <definedName name="IQ_TR_SELL_LEG_ADVISORS" hidden="1">"c2388"</definedName>
    <definedName name="IQ_TR_SELLER_ID" hidden="1">"c2406"</definedName>
    <definedName name="IQ_TR_SELLERNAME" hidden="1">"c2402"</definedName>
    <definedName name="IQ_TR_SFEATURES" hidden="1">"c2385"</definedName>
    <definedName name="IQ_TR_SH_NET_PROCEEDS" hidden="1">"c2269"</definedName>
    <definedName name="IQ_TR_SH_NET_PROCEEDS_PCT" hidden="1">"c2271"</definedName>
    <definedName name="IQ_TR_SPECIAL_COMMITTEE" hidden="1">"c2362"</definedName>
    <definedName name="IQ_TR_STATUS" hidden="1">"c2399"</definedName>
    <definedName name="IQ_TR_STOCK_CONSID_PCT" hidden="1">"c2312"</definedName>
    <definedName name="IQ_TR_SUSPENDED_DATE" hidden="1">"c2407"</definedName>
    <definedName name="IQ_TR_TARGET_52WKHI_PCT" hidden="1">"c2351"</definedName>
    <definedName name="IQ_TR_TARGET_52WKLOW_PCT" hidden="1">"c2350"</definedName>
    <definedName name="IQ_TR_TARGET_ACC_ADVISORS" hidden="1">"c3047"</definedName>
    <definedName name="IQ_TR_TARGET_CASH_ST_INVEST" hidden="1">"c2327"</definedName>
    <definedName name="IQ_TR_TARGET_CLOSEPRICE_1D" hidden="1">"c2352"</definedName>
    <definedName name="IQ_TR_TARGET_CLOSEPRICE_1M" hidden="1">"c2354"</definedName>
    <definedName name="IQ_TR_TARGET_CLOSEPRICE_1W" hidden="1">"c2353"</definedName>
    <definedName name="IQ_TR_TARGET_DILUT_EPS_EXCL" hidden="1">"c2324"</definedName>
    <definedName name="IQ_TR_TARGET_EARNING_CO" hidden="1">"c2332"</definedName>
    <definedName name="IQ_TR_TARGET_EBIT" hidden="1">"c2333"</definedName>
    <definedName name="IQ_TR_TARGET_EBIT_EQ_INC" hidden="1">"c3609"</definedName>
    <definedName name="IQ_TR_TARGET_EBITDA" hidden="1">"c2334"</definedName>
    <definedName name="IQ_TR_TARGET_EBITDA_EQ_INC" hidden="1">"c3608"</definedName>
    <definedName name="IQ_TR_TARGET_FILING_CURRENCY" hidden="1">"c3034"</definedName>
    <definedName name="IQ_TR_TARGET_FILINGDATE" hidden="1">"c3605"</definedName>
    <definedName name="IQ_TR_TARGET_FIN_ADVISORS" hidden="1">"c3044"</definedName>
    <definedName name="IQ_TR_TARGET_ID" hidden="1">"c2405"</definedName>
    <definedName name="IQ_TR_TARGET_LEG_ADVISORS" hidden="1">"c2386"</definedName>
    <definedName name="IQ_TR_TARGET_MARKETCAP" hidden="1">"c2342"</definedName>
    <definedName name="IQ_TR_TARGET_MIN_INT" hidden="1">"c2328"</definedName>
    <definedName name="IQ_TR_TARGET_NET_DEBT" hidden="1">"c2326"</definedName>
    <definedName name="IQ_TR_TARGET_NI" hidden="1">"c2331"</definedName>
    <definedName name="IQ_TR_TARGET_PERIODDATE" hidden="1">"c3604"</definedName>
    <definedName name="IQ_TR_TARGET_PRICEDATE_1D" hidden="1">"c2341"</definedName>
    <definedName name="IQ_TR_TARGET_RETURN" hidden="1">"c2355"</definedName>
    <definedName name="IQ_TR_TARGET_SEC_DETAIL" hidden="1">"c3021"</definedName>
    <definedName name="IQ_TR_TARGET_SEC_TI_ID" hidden="1">"c2368"</definedName>
    <definedName name="IQ_TR_TARGET_SEC_TYPE" hidden="1">"c2369"</definedName>
    <definedName name="IQ_TR_TARGET_SPD" hidden="1">"c2313"</definedName>
    <definedName name="IQ_TR_TARGET_SPD_PCT" hidden="1">"c2314"</definedName>
    <definedName name="IQ_TR_TARGET_STOCKPREMIUM_1D" hidden="1">"c2336"</definedName>
    <definedName name="IQ_TR_TARGET_STOCKPREMIUM_1M" hidden="1">"c2337"</definedName>
    <definedName name="IQ_TR_TARGET_STOCKPREMIUM_1W" hidden="1">"c2338"</definedName>
    <definedName name="IQ_TR_TARGET_STOCKYEARHIGH_1D" hidden="1">"c2339"</definedName>
    <definedName name="IQ_TR_TARGET_STOCKYEARLOW_1D" hidden="1">"c2340"</definedName>
    <definedName name="IQ_TR_TARGET_TOTAL_ASSETS" hidden="1">"c2325"</definedName>
    <definedName name="IQ_TR_TARGET_TOTAL_COMMON_EQ" hidden="1">"c2421"</definedName>
    <definedName name="IQ_TR_TARGET_TOTAL_DEBT" hidden="1">"c2330"</definedName>
    <definedName name="IQ_TR_TARGET_TOTAL_PREF" hidden="1">"c2329"</definedName>
    <definedName name="IQ_TR_TARGET_TOTAL_REV" hidden="1">"c2335"</definedName>
    <definedName name="IQ_TR_TARGETNAME" hidden="1">"c2403"</definedName>
    <definedName name="IQ_TR_TERM_FEE" hidden="1">"c2298"</definedName>
    <definedName name="IQ_TR_TERM_FEE_PCT" hidden="1">"c2297"</definedName>
    <definedName name="IQ_TR_TODATE" hidden="1">"c3036"</definedName>
    <definedName name="IQ_TR_TODATE_MONETARY_VALUE" hidden="1">"c2418"</definedName>
    <definedName name="IQ_TR_TODATE_NUMBER_SHARES" hidden="1">"c2420"</definedName>
    <definedName name="IQ_TR_TODATE_PCT_SHARES" hidden="1">"c2419"</definedName>
    <definedName name="IQ_TR_TOTAL_ACCT_FEES" hidden="1">"c2273"</definedName>
    <definedName name="IQ_TR_TOTAL_CASH" hidden="1">"c2315"</definedName>
    <definedName name="IQ_TR_TOTAL_CONSID_SH" hidden="1">"c2316"</definedName>
    <definedName name="IQ_TR_TOTAL_DEBT" hidden="1">"c2317"</definedName>
    <definedName name="IQ_TR_TOTAL_GROSS_TV" hidden="1">"c2318"</definedName>
    <definedName name="IQ_TR_TOTAL_HYBRID" hidden="1">"c2319"</definedName>
    <definedName name="IQ_TR_TOTAL_LEGAL_FEES" hidden="1">"c2272"</definedName>
    <definedName name="IQ_TR_TOTAL_NET_TV" hidden="1">"c2320"</definedName>
    <definedName name="IQ_TR_TOTAL_NEWMONEY" hidden="1">"c2289"</definedName>
    <definedName name="IQ_TR_TOTAL_OPTIONS" hidden="1">"c2322"</definedName>
    <definedName name="IQ_TR_TOTAL_OPTIONS_BUYER" hidden="1">"c3026"</definedName>
    <definedName name="IQ_TR_TOTAL_PREFERRED" hidden="1">"c2321"</definedName>
    <definedName name="IQ_TR_TOTAL_REG_AMT" hidden="1">"c2261"</definedName>
    <definedName name="IQ_TR_TOTAL_STOCK" hidden="1">"c2323"</definedName>
    <definedName name="IQ_TR_TOTAL_TAKEDOWNS" hidden="1">"c2278"</definedName>
    <definedName name="IQ_TR_TOTAL_UW_COMP" hidden="1">"c2280"</definedName>
    <definedName name="IQ_TR_TOTALVALUE" hidden="1">"c2400"</definedName>
    <definedName name="IQ_TR_TRANSACTION_TYPE" hidden="1">"c2398"</definedName>
    <definedName name="IQ_TR_WITHDRAWN_DTE" hidden="1">"c2266"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TRUST_PREFERRED" hidden="1">"c3029"</definedName>
    <definedName name="IQ_TRUST_PREFERRED_PCT" hidden="1">"c3030"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LT_PARENT" hidden="1">"c3037"</definedName>
    <definedName name="IQ_ULT_PARENT_CIQID" hidden="1">"c3039"</definedName>
    <definedName name="IQ_ULT_PARENT_TICKER" hidden="1">"c3038"</definedName>
    <definedName name="IQ_UNAMORT_DISC" hidden="1">"c2513"</definedName>
    <definedName name="IQ_UNAMORT_DISC_PCT" hidden="1">"c2514"</definedName>
    <definedName name="IQ_UNAMORT_PREMIUM" hidden="1">"c2511"</definedName>
    <definedName name="IQ_UNAMORT_PREMIUM_PCT" hidden="1">"c2512"</definedName>
    <definedName name="IQ_UNDRAWN_CP" hidden="1">"c2518"</definedName>
    <definedName name="IQ_UNDRAWN_CREDIT" hidden="1">"c3032"</definedName>
    <definedName name="IQ_UNDRAWN_RC" hidden="1">"c2517"</definedName>
    <definedName name="IQ_UNDRAWN_TL" hidden="1">"c2519"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SECURED_DEBT" hidden="1">"c2548"</definedName>
    <definedName name="IQ_UNSECURED_DEBT_PCT" hidden="1">"c2549"</definedName>
    <definedName name="IQ_UNUSUAL_EXP" hidden="1">"c1456"</definedName>
    <definedName name="IQ_US_GAAP" hidden="1">"c1331"</definedName>
    <definedName name="IQ_US_GAAP_BASIC_EPS_EXCL" hidden="1">"c2984"</definedName>
    <definedName name="IQ_US_GAAP_BASIC_EPS_INCL" hidden="1">"c2982"</definedName>
    <definedName name="IQ_US_GAAP_BASIC_WEIGHT" hidden="1">"c2980"</definedName>
    <definedName name="IQ_US_GAAP_CA_ADJ" hidden="1">"c2925"</definedName>
    <definedName name="IQ_US_GAAP_CASH_FINAN" hidden="1">"c2945"</definedName>
    <definedName name="IQ_US_GAAP_CASH_FINAN_ADJ" hidden="1">"c2941"</definedName>
    <definedName name="IQ_US_GAAP_CASH_INVEST" hidden="1">"c2944"</definedName>
    <definedName name="IQ_US_GAAP_CASH_INVEST_ADJ" hidden="1">"c2940"</definedName>
    <definedName name="IQ_US_GAAP_CASH_OPER" hidden="1">"c2943"</definedName>
    <definedName name="IQ_US_GAAP_CASH_OPER_ADJ" hidden="1">"c2939"</definedName>
    <definedName name="IQ_US_GAAP_CL_ADJ" hidden="1">"c2927"</definedName>
    <definedName name="IQ_US_GAAP_COST_REV_ADJ" hidden="1">"c2951"</definedName>
    <definedName name="IQ_US_GAAP_DILUT_EPS_EXCL" hidden="1">"c2985"</definedName>
    <definedName name="IQ_US_GAAP_DILUT_EPS_INCL" hidden="1">"c2983"</definedName>
    <definedName name="IQ_US_GAAP_DILUT_NI" hidden="1">"c2979"</definedName>
    <definedName name="IQ_US_GAAP_DILUT_WEIGHT" hidden="1">"c2981"</definedName>
    <definedName name="IQ_US_GAAP_DO_ADJ" hidden="1">"c2959"</definedName>
    <definedName name="IQ_US_GAAP_EXTRA_ACC_ITEMS_ADJ" hidden="1">"c2958"</definedName>
    <definedName name="IQ_US_GAAP_INC_TAX_ADJ" hidden="1">"c2961"</definedName>
    <definedName name="IQ_US_GAAP_INTEREST_EXP_ADJ" hidden="1">"c2957"</definedName>
    <definedName name="IQ_US_GAAP_LIAB_LT_ADJ" hidden="1">"c2928"</definedName>
    <definedName name="IQ_US_GAAP_LIAB_TOTAL_LIAB" hidden="1">"c2933"</definedName>
    <definedName name="IQ_US_GAAP_MINORITY_INTEREST_IS_ADJ" hidden="1">"c2960"</definedName>
    <definedName name="IQ_US_GAAP_NCA_ADJ" hidden="1">"c2926"</definedName>
    <definedName name="IQ_US_GAAP_NET_CHANGE" hidden="1">"c2946"</definedName>
    <definedName name="IQ_US_GAAP_NET_CHANGE_ADJ" hidden="1">"c2942"</definedName>
    <definedName name="IQ_US_GAAP_NI" hidden="1">"c2976"</definedName>
    <definedName name="IQ_US_GAAP_NI_ADJ" hidden="1">"c2963"</definedName>
    <definedName name="IQ_US_GAAP_NI_AVAIL_INCL" hidden="1">"c2978"</definedName>
    <definedName name="IQ_US_GAAP_OTHER_ADJ_ADJ" hidden="1">"c2962"</definedName>
    <definedName name="IQ_US_GAAP_OTHER_NON_OPER_ADJ" hidden="1">"c2955"</definedName>
    <definedName name="IQ_US_GAAP_OTHER_OPER_ADJ" hidden="1">"c2954"</definedName>
    <definedName name="IQ_US_GAAP_RD_ADJ" hidden="1">"c2953"</definedName>
    <definedName name="IQ_US_GAAP_SGA_ADJ" hidden="1">"c2952"</definedName>
    <definedName name="IQ_US_GAAP_TOTAL_ASSETS" hidden="1">"c2931"</definedName>
    <definedName name="IQ_US_GAAP_TOTAL_EQUITY" hidden="1">"c2934"</definedName>
    <definedName name="IQ_US_GAAP_TOTAL_EQUITY_ADJ" hidden="1">"c2929"</definedName>
    <definedName name="IQ_US_GAAP_TOTAL_REV_ADJ" hidden="1">"c2950"</definedName>
    <definedName name="IQ_US_GAAP_TOTAL_UNUSUAL_ADJ" hidden="1">"c2956"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ARRANTS_BEG_OS" hidden="1">"c2698"</definedName>
    <definedName name="IQ_WARRANTS_CANCELLED" hidden="1">"c2701"</definedName>
    <definedName name="IQ_WARRANTS_END_OS" hidden="1">"c2702"</definedName>
    <definedName name="IQ_WARRANTS_EXERCISED" hidden="1">"c2700"</definedName>
    <definedName name="IQ_WARRANTS_ISSUED" hidden="1">"c2699"</definedName>
    <definedName name="IQ_WARRANTS_STRIKE_PRICE_ISSUED" hidden="1">"c2704"</definedName>
    <definedName name="IQ_WARRANTS_STRIKE_PRICE_OS" hidden="1">"c2703"</definedName>
    <definedName name="IQ_WEIGHTED_AVG_PRICE" hidden="1">"c1334"</definedName>
    <definedName name="IQ_WIP_INV" hidden="1">"c1335"</definedName>
    <definedName name="IQ_WORKING_CAP" hidden="1">"c3494"</definedName>
    <definedName name="IQ_WORKMEN_WRITTEN" hidden="1">"c1336"</definedName>
    <definedName name="IQ_XDIV_DATE" hidden="1">"c2203"</definedName>
    <definedName name="IQ_YEARHIGH" hidden="1">"c1337"</definedName>
    <definedName name="IQ_YEARHIGH_DATE" hidden="1">"c2250"</definedName>
    <definedName name="IQ_YEARLOW" hidden="1">"c1338"</definedName>
    <definedName name="IQ_YEARLOW_DATE" hidden="1">"c2251"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j" localSheetId="2" hidden="1">{"new",#N/A,FALSE,"D";"PROFORMA",#N/A,FALSE,"A";"partial 1",#N/A,FALSE,"B";"partial 2",#N/A,FALSE,"B";"partial 3",#N/A,FALSE,"B";"SMALL CF 1",#N/A,FALSE,"C"}</definedName>
    <definedName name="j" localSheetId="6" hidden="1">{"new",#N/A,FALSE,"D";"PROFORMA",#N/A,FALSE,"A";"partial 1",#N/A,FALSE,"B";"partial 2",#N/A,FALSE,"B";"partial 3",#N/A,FALSE,"B";"SMALL CF 1",#N/A,FALSE,"C"}</definedName>
    <definedName name="j" localSheetId="8" hidden="1">{"new",#N/A,FALSE,"D";"PROFORMA",#N/A,FALSE,"A";"partial 1",#N/A,FALSE,"B";"partial 2",#N/A,FALSE,"B";"partial 3",#N/A,FALSE,"B";"SMALL CF 1",#N/A,FALSE,"C"}</definedName>
    <definedName name="j" localSheetId="9" hidden="1">{"new",#N/A,FALSE,"D";"PROFORMA",#N/A,FALSE,"A";"partial 1",#N/A,FALSE,"B";"partial 2",#N/A,FALSE,"B";"partial 3",#N/A,FALSE,"B";"SMALL CF 1",#N/A,FALSE,"C"}</definedName>
    <definedName name="j" hidden="1">{"new",#N/A,FALSE,"D";"PROFORMA",#N/A,FALSE,"A";"partial 1",#N/A,FALSE,"B";"partial 2",#N/A,FALSE,"B";"partial 3",#N/A,FALSE,"B";"SMALL CF 1",#N/A,FALSE,"C"}</definedName>
    <definedName name="k" localSheetId="2" hidden="1">{"sheet a",#N/A,FALSE,"A";"sheet b 1",#N/A,FALSE,"B";"sheet b 2",#N/A,FALSE,"B"}</definedName>
    <definedName name="k" localSheetId="6" hidden="1">{"sheet a",#N/A,FALSE,"A";"sheet b 1",#N/A,FALSE,"B";"sheet b 2",#N/A,FALSE,"B"}</definedName>
    <definedName name="k" localSheetId="8" hidden="1">{"sheet a",#N/A,FALSE,"A";"sheet b 1",#N/A,FALSE,"B";"sheet b 2",#N/A,FALSE,"B"}</definedName>
    <definedName name="k" localSheetId="9" hidden="1">{"sheet a",#N/A,FALSE,"A";"sheet b 1",#N/A,FALSE,"B";"sheet b 2",#N/A,FALSE,"B"}</definedName>
    <definedName name="k" hidden="1">{"sheet a",#N/A,FALSE,"A";"sheet b 1",#N/A,FALSE,"B";"sheet b 2",#N/A,FALSE,"B"}</definedName>
    <definedName name="K2_WBEVMODE" hidden="1">-1</definedName>
    <definedName name="kjjjjkjhk" localSheetId="2" hidden="1">{"sheet a",#N/A,FALSE,"A";"sheet b 1",#N/A,FALSE,"B";"sheet b 2",#N/A,FALSE,"B"}</definedName>
    <definedName name="kjjjjkjhk" localSheetId="6" hidden="1">{"sheet a",#N/A,FALSE,"A";"sheet b 1",#N/A,FALSE,"B";"sheet b 2",#N/A,FALSE,"B"}</definedName>
    <definedName name="kjjjjkjhk" localSheetId="8" hidden="1">{"sheet a",#N/A,FALSE,"A";"sheet b 1",#N/A,FALSE,"B";"sheet b 2",#N/A,FALSE,"B"}</definedName>
    <definedName name="kjjjjkjhk" localSheetId="9" hidden="1">{"sheet a",#N/A,FALSE,"A";"sheet b 1",#N/A,FALSE,"B";"sheet b 2",#N/A,FALSE,"B"}</definedName>
    <definedName name="kjjjjkjhk" hidden="1">{"sheet a",#N/A,FALSE,"A";"sheet b 1",#N/A,FALSE,"B";"sheet b 2",#N/A,FALSE,"B"}</definedName>
    <definedName name="kyd.ChngCell.01." localSheetId="2" hidden="1">#REF!</definedName>
    <definedName name="kyd.ChngCell.01." localSheetId="7" hidden="1">#REF!</definedName>
    <definedName name="kyd.ChngCell.01." localSheetId="12" hidden="1">#REF!</definedName>
    <definedName name="kyd.ChngCell.01." localSheetId="8" hidden="1">#REF!</definedName>
    <definedName name="kyd.ChngCell.01." hidden="1">#REF!</definedName>
    <definedName name="kyd.CounterLimitCell.01." hidden="1">"x"</definedName>
    <definedName name="kyd.Dim.01." hidden="1">"tm1serv:company"</definedName>
    <definedName name="kyd.ElementList.01." localSheetId="2" hidden="1">#REF!</definedName>
    <definedName name="kyd.ElementList.01." localSheetId="7" hidden="1">#REF!</definedName>
    <definedName name="kyd.ElementList.01." localSheetId="12" hidden="1">#REF!</definedName>
    <definedName name="kyd.ElementList.01." localSheetId="8" hidden="1">#REF!</definedName>
    <definedName name="kyd.ElementList.01." hidden="1">#REF!</definedName>
    <definedName name="kyd.ElementType.01." hidden="1">1</definedName>
    <definedName name="kyd.ItemType.01." hidden="1">2</definedName>
    <definedName name="kyd.MacroAtEnd." hidden="1">""</definedName>
    <definedName name="kyd.MacroEachCycle." hidden="1">""</definedName>
    <definedName name="kyd.MacroEndOfEachCycle." hidden="1">""</definedName>
    <definedName name="kyd.NumLevels.01." hidden="1">999</definedName>
    <definedName name="kyd.PanicStop." hidden="1">FALSE</definedName>
    <definedName name="kyd.ParentName.01." hidden="1">""</definedName>
    <definedName name="kyd.PreScreenData." hidden="1">FALSE</definedName>
    <definedName name="kyd.PrintParent.01." hidden="1">TRUE</definedName>
    <definedName name="kyd.PrintStdWhen." hidden="1">1</definedName>
    <definedName name="kyd.SaveAsFile." hidden="1">FALSE</definedName>
    <definedName name="kyd.SelectString.01." hidden="1">"*"</definedName>
    <definedName name="kyd.StdSortHide." hidden="1">FALSE</definedName>
    <definedName name="l" localSheetId="2" hidden="1">{"sheet a",#N/A,FALSE,"A";"2 9 casflow",#N/A,FALSE,"B"}</definedName>
    <definedName name="l" localSheetId="6" hidden="1">{"sheet a",#N/A,FALSE,"A";"2 9 casflow",#N/A,FALSE,"B"}</definedName>
    <definedName name="l" localSheetId="8" hidden="1">{"sheet a",#N/A,FALSE,"A";"2 9 casflow",#N/A,FALSE,"B"}</definedName>
    <definedName name="l" localSheetId="9" hidden="1">{"sheet a",#N/A,FALSE,"A";"2 9 casflow",#N/A,FALSE,"B"}</definedName>
    <definedName name="l" hidden="1">{"sheet a",#N/A,FALSE,"A";"2 9 casflow",#N/A,FALSE,"B"}</definedName>
    <definedName name="LastUpdate">Sensitivity!$C$30:$Q$30</definedName>
    <definedName name="lll" localSheetId="2" hidden="1">{"Outflow 1",#N/A,FALSE,"Outflows-Inflows";"Outflow 2",#N/A,FALSE,"Outflows-Inflows";"Inflow 1",#N/A,FALSE,"Outflows-Inflows";"Inflow 2",#N/A,FALSE,"Outflows-Inflows"}</definedName>
    <definedName name="lll" localSheetId="6" hidden="1">{"Outflow 1",#N/A,FALSE,"Outflows-Inflows";"Outflow 2",#N/A,FALSE,"Outflows-Inflows";"Inflow 1",#N/A,FALSE,"Outflows-Inflows";"Inflow 2",#N/A,FALSE,"Outflows-Inflows"}</definedName>
    <definedName name="lll" localSheetId="8" hidden="1">{"Outflow 1",#N/A,FALSE,"Outflows-Inflows";"Outflow 2",#N/A,FALSE,"Outflows-Inflows";"Inflow 1",#N/A,FALSE,"Outflows-Inflows";"Inflow 2",#N/A,FALSE,"Outflows-Inflows"}</definedName>
    <definedName name="lll" localSheetId="9" hidden="1">{"Outflow 1",#N/A,FALSE,"Outflows-Inflows";"Outflow 2",#N/A,FALSE,"Outflows-Inflows";"Inflow 1",#N/A,FALSE,"Outflows-Inflows";"Inflow 2",#N/A,FALSE,"Outflows-Inflows"}</definedName>
    <definedName name="lll" hidden="1">{"Outflow 1",#N/A,FALSE,"Outflows-Inflows";"Outflow 2",#N/A,FALSE,"Outflows-Inflows";"Inflow 1",#N/A,FALSE,"Outflows-Inflows";"Inflow 2",#N/A,FALSE,"Outflows-Inflows"}</definedName>
    <definedName name="lllll" localSheetId="2" hidden="1">{"sheet a",#N/A,FALSE,"A";"sheet b 1",#N/A,FALSE,"B";"sheet b 2",#N/A,FALSE,"B"}</definedName>
    <definedName name="lllll" localSheetId="6" hidden="1">{"sheet a",#N/A,FALSE,"A";"sheet b 1",#N/A,FALSE,"B";"sheet b 2",#N/A,FALSE,"B"}</definedName>
    <definedName name="lllll" localSheetId="8" hidden="1">{"sheet a",#N/A,FALSE,"A";"sheet b 1",#N/A,FALSE,"B";"sheet b 2",#N/A,FALSE,"B"}</definedName>
    <definedName name="lllll" localSheetId="9" hidden="1">{"sheet a",#N/A,FALSE,"A";"sheet b 1",#N/A,FALSE,"B";"sheet b 2",#N/A,FALSE,"B"}</definedName>
    <definedName name="lllll" hidden="1">{"sheet a",#N/A,FALSE,"A";"sheet b 1",#N/A,FALSE,"B";"sheet b 2",#N/A,FALSE,"B"}</definedName>
    <definedName name="LPIRRCF" localSheetId="6">OFFSET([6]Waterfall!$J$8,[6]general!$D$20,0):'[6]Waterfall'!$J$55</definedName>
    <definedName name="LPIRRCF" localSheetId="9">OFFSET(#REF!,[5]general!$C$22,0):#REF!</definedName>
    <definedName name="LPIRRCF">OFFSET(#REF!,general!$C$22,0):#REF!</definedName>
    <definedName name="LPIRRDates" localSheetId="6">OFFSET([6]Waterfall!$H$8,[6]general!$D$20,0):'[6]Waterfall'!$H$55</definedName>
    <definedName name="LPIRRDates" localSheetId="9">OFFSET(#REF!,[5]general!$C$22,0):#REF!</definedName>
    <definedName name="LPIRRDates">OFFSET(#REF!,general!$C$22,0):#REF!</definedName>
    <definedName name="MSforecast" localSheetId="2" hidden="1">{"'Sheet1'!$A$1:$I$10","'Sheet1'!$A$1:$I$11"}</definedName>
    <definedName name="MSforecast" localSheetId="6" hidden="1">{"'Sheet1'!$A$1:$I$10","'Sheet1'!$A$1:$I$11"}</definedName>
    <definedName name="MSforecast" localSheetId="8" hidden="1">{"'Sheet1'!$A$1:$I$10","'Sheet1'!$A$1:$I$11"}</definedName>
    <definedName name="MSforecast" localSheetId="9" hidden="1">{"'Sheet1'!$A$1:$I$10","'Sheet1'!$A$1:$I$11"}</definedName>
    <definedName name="MSforecast" hidden="1">{"'Sheet1'!$A$1:$I$10","'Sheet1'!$A$1:$I$11"}</definedName>
    <definedName name="o" localSheetId="2" hidden="1">{"sheet a",#N/A,FALSE,"A";"2 9 casflow",#N/A,FALSE,"B"}</definedName>
    <definedName name="o" localSheetId="6" hidden="1">{"sheet a",#N/A,FALSE,"A";"2 9 casflow",#N/A,FALSE,"B"}</definedName>
    <definedName name="o" localSheetId="8" hidden="1">{"sheet a",#N/A,FALSE,"A";"2 9 casflow",#N/A,FALSE,"B"}</definedName>
    <definedName name="o" localSheetId="9" hidden="1">{"sheet a",#N/A,FALSE,"A";"2 9 casflow",#N/A,FALSE,"B"}</definedName>
    <definedName name="o" hidden="1">{"sheet a",#N/A,FALSE,"A";"2 9 casflow",#N/A,FALSE,"B"}</definedName>
    <definedName name="PredevBud1" localSheetId="9">[5]financing!$F$32</definedName>
    <definedName name="PredevBud1">financing!$F$32</definedName>
    <definedName name="PredevBud2" localSheetId="9">[5]general!$G$28</definedName>
    <definedName name="PredevBud2">general!$G$28</definedName>
    <definedName name="print" localSheetId="2" hidden="1">{"page1",#N/A,FALSE,"Sheet1";"page2",#N/A,FALSE,"Sheet1"}</definedName>
    <definedName name="print" localSheetId="6" hidden="1">{"page1",#N/A,FALSE,"Sheet1";"page2",#N/A,FALSE,"Sheet1"}</definedName>
    <definedName name="print" localSheetId="8" hidden="1">{"page1",#N/A,FALSE,"Sheet1";"page2",#N/A,FALSE,"Sheet1"}</definedName>
    <definedName name="print" localSheetId="9" hidden="1">{"page1",#N/A,FALSE,"Sheet1";"page2",#N/A,FALSE,"Sheet1"}</definedName>
    <definedName name="print" hidden="1">{"page1",#N/A,FALSE,"Sheet1";"page2",#N/A,FALSE,"Sheet1"}</definedName>
    <definedName name="_xlnm.Print_Area" localSheetId="2">bud_detail!$B$2:$J$341</definedName>
    <definedName name="_xlnm.Print_Area" localSheetId="7">'Budget Presentation'!$B$2:$O$103</definedName>
    <definedName name="_xlnm.Print_Area" localSheetId="12">'Development Cash Flow'!$C$2:$AL$131,'Development Cash Flow'!$AL$1</definedName>
    <definedName name="_xlnm.Print_Area" localSheetId="11">'draws%'!$C$7:$AG$44</definedName>
    <definedName name="_xlnm.Print_Area" localSheetId="5">financing!$B$2:$I$60</definedName>
    <definedName name="_xlnm.Print_Area" localSheetId="1">general!$B$2:$G$36</definedName>
    <definedName name="_xlnm.Print_Area" localSheetId="4">'Job Cost COA'!$A:$U</definedName>
    <definedName name="_xlnm.Print_Area" localSheetId="8">'New Waterfall'!$C$2:$T$90</definedName>
    <definedName name="_xlnm.Print_Area" localSheetId="10">reserves!$C$2:$BI$129</definedName>
    <definedName name="_xlnm.Print_Area" localSheetId="3">sales!$B$2:$K$65</definedName>
    <definedName name="_xlnm.Print_Titles" localSheetId="2">bud_detail!$2:$4</definedName>
    <definedName name="_xlnm.Print_Titles" localSheetId="4">'Job Cost COA'!$3:$3</definedName>
    <definedName name="PUB_FileID" hidden="1">"L10003649.xls"</definedName>
    <definedName name="PUB_UserID" hidden="1">"MAYERX"</definedName>
    <definedName name="redo" localSheetId="2" hidden="1">{#N/A,#N/A,FALSE,"ACQ_GRAPHS";#N/A,#N/A,FALSE,"T_1 GRAPHS";#N/A,#N/A,FALSE,"T_2 GRAPHS";#N/A,#N/A,FALSE,"COMB_GRAPHS"}</definedName>
    <definedName name="redo" localSheetId="6" hidden="1">{#N/A,#N/A,FALSE,"ACQ_GRAPHS";#N/A,#N/A,FALSE,"T_1 GRAPHS";#N/A,#N/A,FALSE,"T_2 GRAPHS";#N/A,#N/A,FALSE,"COMB_GRAPHS"}</definedName>
    <definedName name="redo" localSheetId="8" hidden="1">{#N/A,#N/A,FALSE,"ACQ_GRAPHS";#N/A,#N/A,FALSE,"T_1 GRAPHS";#N/A,#N/A,FALSE,"T_2 GRAPHS";#N/A,#N/A,FALSE,"COMB_GRAPHS"}</definedName>
    <definedName name="redo" localSheetId="9" hidden="1">{#N/A,#N/A,FALSE,"ACQ_GRAPHS";#N/A,#N/A,FALSE,"T_1 GRAPHS";#N/A,#N/A,FALSE,"T_2 GRAPHS";#N/A,#N/A,FALSE,"COMB_GRAPHS"}</definedName>
    <definedName name="redo" hidden="1">{#N/A,#N/A,FALSE,"ACQ_GRAPHS";#N/A,#N/A,FALSE,"T_1 GRAPHS";#N/A,#N/A,FALSE,"T_2 GRAPHS";#N/A,#N/A,FALSE,"COMB_GRAPHS"}</definedName>
    <definedName name="report" localSheetId="2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report" localSheetId="6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report" localSheetId="8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report" localSheetId="9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report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report1" localSheetId="2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report1" localSheetId="6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report1" localSheetId="8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report1" localSheetId="9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report1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report5" localSheetId="2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report5" localSheetId="6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report5" localSheetId="8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report5" localSheetId="9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report5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Resi">[5]sales!$J$6</definedName>
    <definedName name="ResSales" localSheetId="9">[5]sales!$I$8</definedName>
    <definedName name="ResSales">sales!$I$18</definedName>
    <definedName name="ResSF" localSheetId="9">[5]sales!$J$8</definedName>
    <definedName name="ResSF">sales!$J$18</definedName>
    <definedName name="Results1">Sensitivity!$C$31:$Q$31</definedName>
    <definedName name="ResUnits" localSheetId="9">[5]sales!$E$8</definedName>
    <definedName name="ResUnits">sales!$E$18</definedName>
    <definedName name="revised" localSheetId="8" hidden="1">{"sheet a",#N/A,FALSE,"A";"2 9 casflow",#N/A,FALSE,"B"}</definedName>
    <definedName name="revised" localSheetId="9" hidden="1">{"sheet a",#N/A,FALSE,"A";"2 9 casflow",#N/A,FALSE,"B"}</definedName>
    <definedName name="revised" hidden="1">{"sheet a",#N/A,FALSE,"A";"2 9 casflow",#N/A,FALSE,"B"}</definedName>
    <definedName name="RoundBud">bud_detail!$J$3</definedName>
    <definedName name="saa" localSheetId="2" hidden="1">{"rtn",#N/A,FALSE,"RTN";"tables",#N/A,FALSE,"RTN";"cf",#N/A,FALSE,"CF";"stats",#N/A,FALSE,"Stats";"prop",#N/A,FALSE,"Prop"}</definedName>
    <definedName name="saa" localSheetId="6" hidden="1">{"rtn",#N/A,FALSE,"RTN";"tables",#N/A,FALSE,"RTN";"cf",#N/A,FALSE,"CF";"stats",#N/A,FALSE,"Stats";"prop",#N/A,FALSE,"Prop"}</definedName>
    <definedName name="saa" localSheetId="8" hidden="1">{"rtn",#N/A,FALSE,"RTN";"tables",#N/A,FALSE,"RTN";"cf",#N/A,FALSE,"CF";"stats",#N/A,FALSE,"Stats";"prop",#N/A,FALSE,"Prop"}</definedName>
    <definedName name="saa" localSheetId="9" hidden="1">{"rtn",#N/A,FALSE,"RTN";"tables",#N/A,FALSE,"RTN";"cf",#N/A,FALSE,"CF";"stats",#N/A,FALSE,"Stats";"prop",#N/A,FALSE,"Prop"}</definedName>
    <definedName name="saa" hidden="1">{"rtn",#N/A,FALSE,"RTN";"tables",#N/A,FALSE,"RTN";"cf",#N/A,FALSE,"CF";"stats",#N/A,FALSE,"Stats";"prop",#N/A,FALSE,"Prop"}</definedName>
    <definedName name="sas" localSheetId="2" hidden="1">{"Outflow 1",#N/A,FALSE,"Outflows-Inflows";"Outflow 2",#N/A,FALSE,"Outflows-Inflows";"Inflow 1",#N/A,FALSE,"Outflows-Inflows";"Inflow 2",#N/A,FALSE,"Outflows-Inflows"}</definedName>
    <definedName name="sas" localSheetId="6" hidden="1">{"Outflow 1",#N/A,FALSE,"Outflows-Inflows";"Outflow 2",#N/A,FALSE,"Outflows-Inflows";"Inflow 1",#N/A,FALSE,"Outflows-Inflows";"Inflow 2",#N/A,FALSE,"Outflows-Inflows"}</definedName>
    <definedName name="sas" localSheetId="8" hidden="1">{"Outflow 1",#N/A,FALSE,"Outflows-Inflows";"Outflow 2",#N/A,FALSE,"Outflows-Inflows";"Inflow 1",#N/A,FALSE,"Outflows-Inflows";"Inflow 2",#N/A,FALSE,"Outflows-Inflows"}</definedName>
    <definedName name="sas" localSheetId="9" hidden="1">{"Outflow 1",#N/A,FALSE,"Outflows-Inflows";"Outflow 2",#N/A,FALSE,"Outflows-Inflows";"Inflow 1",#N/A,FALSE,"Outflows-Inflows";"Inflow 2",#N/A,FALSE,"Outflows-Inflows"}</definedName>
    <definedName name="sas" hidden="1">{"Outflow 1",#N/A,FALSE,"Outflows-Inflows";"Outflow 2",#N/A,FALSE,"Outflows-Inflows";"Inflow 1",#N/A,FALSE,"Outflows-Inflows";"Inflow 2",#N/A,FALSE,"Outflows-Inflows"}</definedName>
    <definedName name="SATable1">Sensitivity!$B$11:$Q$11</definedName>
    <definedName name="SATable2">Sensitivity!$B$23:$Q$23</definedName>
    <definedName name="sdfass" localSheetId="2" hidden="1">{"Outflow 1",#N/A,FALSE,"Outflows-Inflows";"Outflow 2",#N/A,FALSE,"Outflows-Inflows";"Inflow 1",#N/A,FALSE,"Outflows-Inflows";"Inflow 2",#N/A,FALSE,"Outflows-Inflows"}</definedName>
    <definedName name="sdfass" localSheetId="6" hidden="1">{"Outflow 1",#N/A,FALSE,"Outflows-Inflows";"Outflow 2",#N/A,FALSE,"Outflows-Inflows";"Inflow 1",#N/A,FALSE,"Outflows-Inflows";"Inflow 2",#N/A,FALSE,"Outflows-Inflows"}</definedName>
    <definedName name="sdfass" localSheetId="8" hidden="1">{"Outflow 1",#N/A,FALSE,"Outflows-Inflows";"Outflow 2",#N/A,FALSE,"Outflows-Inflows";"Inflow 1",#N/A,FALSE,"Outflows-Inflows";"Inflow 2",#N/A,FALSE,"Outflows-Inflows"}</definedName>
    <definedName name="sdfass" localSheetId="9" hidden="1">{"Outflow 1",#N/A,FALSE,"Outflows-Inflows";"Outflow 2",#N/A,FALSE,"Outflows-Inflows";"Inflow 1",#N/A,FALSE,"Outflows-Inflows";"Inflow 2",#N/A,FALSE,"Outflows-Inflows"}</definedName>
    <definedName name="sdfass" hidden="1">{"Outflow 1",#N/A,FALSE,"Outflows-Inflows";"Outflow 2",#N/A,FALSE,"Outflows-Inflows";"Inflow 1",#N/A,FALSE,"Outflows-Inflows";"Inflow 2",#N/A,FALSE,"Outflows-Inflows"}</definedName>
    <definedName name="SelectType" localSheetId="9">[5]bud_detail!$E$8:$E$15,[5]bud_detail!$E$19:$E$30,[5]bud_detail!$E$34:$E$62,[5]bud_detail!$E$72:$E$78,[5]bud_detail!$E$78,[5]bud_detail!$E$79,[5]bud_detail!$E$83:$E$87,[5]bud_detail!$E$91:$E$119,[5]bud_detail!$E$123:$E$138,[5]bud_detail!$E$142:$E$151,[5]bud_detail!$E$155:$E$158,[5]bud_detail!$E$163:$E$164,[5]bud_detail!$E$168:$E$172,[5]bud_detail!$E$176:$E$178,[5]bud_detail!$E$183:$E$184,[5]bud_detail!$E$188:$E$195,[5]bud_detail!$E$206:$E$218,[5]bud_detail!$E$242,[5]bud_detail!$E$246:$E$273,[5]bud_detail!$E$296:$E$298,[5]bud_detail!$E$302:$E$308,[5]bud_detail!$E$314:$E$322,[5]bud_detail!$E$326:$E$327</definedName>
    <definedName name="SelectType">bud_detail!$E$6:$E$13,bud_detail!$E$17:$E$28,bud_detail!$E$32:$E$60,bud_detail!$E$70:$E$76,bud_detail!$E$76,bud_detail!$E$77,bud_detail!$E$81:$E$85,bud_detail!$E$89:$E$117,bud_detail!$E$121:$E$136,bud_detail!$E$140:$E$149,bud_detail!$E$153:$E$156,bud_detail!$E$161:$E$162,bud_detail!$E$166:$E$170,bud_detail!$E$174:$E$176,bud_detail!$E$181:$E$182,bud_detail!$E$186:$E$193,bud_detail!$E$204:$E$216,bud_detail!$E$240,bud_detail!$E$244:$E$271,bud_detail!$E$294:$E$296,bud_detail!$E$300:$E$306,bud_detail!$E$312:$E$319,bud_detail!$E$323:$E$324</definedName>
    <definedName name="solver_adj" localSheetId="11" hidden="1">'draws%'!$Z$28:$Z$52</definedName>
    <definedName name="solver_adj" localSheetId="5" hidden="1">financing!#REF!</definedName>
    <definedName name="solver_cvg" localSheetId="11" hidden="1">0.0001</definedName>
    <definedName name="solver_cvg" localSheetId="5" hidden="1">0.0001</definedName>
    <definedName name="solver_drv" localSheetId="11" hidden="1">1</definedName>
    <definedName name="solver_drv" localSheetId="5" hidden="1">1</definedName>
    <definedName name="solver_eng" localSheetId="11" hidden="1">1</definedName>
    <definedName name="solver_eng" localSheetId="5" hidden="1">1</definedName>
    <definedName name="solver_est" localSheetId="11" hidden="1">1</definedName>
    <definedName name="solver_est" localSheetId="5" hidden="1">1</definedName>
    <definedName name="solver_itr" localSheetId="11" hidden="1">2147483647</definedName>
    <definedName name="solver_itr" localSheetId="5" hidden="1">2147483647</definedName>
    <definedName name="solver_lhs1" localSheetId="5" hidden="1">financing!#REF!</definedName>
    <definedName name="solver_mip" localSheetId="11" hidden="1">2147483647</definedName>
    <definedName name="solver_mip" localSheetId="5" hidden="1">2147483647</definedName>
    <definedName name="solver_mni" localSheetId="11" hidden="1">30</definedName>
    <definedName name="solver_mni" localSheetId="5" hidden="1">30</definedName>
    <definedName name="solver_mrt" localSheetId="11" hidden="1">0.075</definedName>
    <definedName name="solver_mrt" localSheetId="5" hidden="1">0.075</definedName>
    <definedName name="solver_msl" localSheetId="11" hidden="1">2</definedName>
    <definedName name="solver_msl" localSheetId="5" hidden="1">2</definedName>
    <definedName name="solver_neg" localSheetId="11" hidden="1">1</definedName>
    <definedName name="solver_neg" localSheetId="5" hidden="1">1</definedName>
    <definedName name="solver_nod" localSheetId="11" hidden="1">2147483647</definedName>
    <definedName name="solver_nod" localSheetId="5" hidden="1">2147483647</definedName>
    <definedName name="solver_num" localSheetId="11" hidden="1">0</definedName>
    <definedName name="solver_num" localSheetId="5" hidden="1">1</definedName>
    <definedName name="solver_nwt" localSheetId="11" hidden="1">1</definedName>
    <definedName name="solver_nwt" localSheetId="5" hidden="1">1</definedName>
    <definedName name="solver_opt" localSheetId="11" hidden="1">'draws%'!$Z$59</definedName>
    <definedName name="solver_opt" localSheetId="5" hidden="1">financing!$F$16</definedName>
    <definedName name="solver_pre" localSheetId="11" hidden="1">0.000001</definedName>
    <definedName name="solver_pre" localSheetId="5" hidden="1">0.000001</definedName>
    <definedName name="solver_rbv" localSheetId="11" hidden="1">1</definedName>
    <definedName name="solver_rbv" localSheetId="5" hidden="1">1</definedName>
    <definedName name="solver_rel1" localSheetId="5" hidden="1">2</definedName>
    <definedName name="solver_rhs1" localSheetId="5" hidden="1">100%</definedName>
    <definedName name="solver_rlx" localSheetId="11" hidden="1">2</definedName>
    <definedName name="solver_rlx" localSheetId="5" hidden="1">2</definedName>
    <definedName name="solver_rsd" localSheetId="11" hidden="1">0</definedName>
    <definedName name="solver_rsd" localSheetId="5" hidden="1">0</definedName>
    <definedName name="solver_scl" localSheetId="11" hidden="1">1</definedName>
    <definedName name="solver_scl" localSheetId="5" hidden="1">1</definedName>
    <definedName name="solver_sho" localSheetId="11" hidden="1">2</definedName>
    <definedName name="solver_sho" localSheetId="5" hidden="1">2</definedName>
    <definedName name="solver_ssz" localSheetId="11" hidden="1">100</definedName>
    <definedName name="solver_ssz" localSheetId="5" hidden="1">100</definedName>
    <definedName name="solver_tim" localSheetId="11" hidden="1">2147483647</definedName>
    <definedName name="solver_tim" localSheetId="5" hidden="1">2147483647</definedName>
    <definedName name="solver_tol" localSheetId="11" hidden="1">0.01</definedName>
    <definedName name="solver_tol" localSheetId="5" hidden="1">0.01</definedName>
    <definedName name="solver_typ" localSheetId="11" hidden="1">3</definedName>
    <definedName name="solver_typ" localSheetId="5" hidden="1">3</definedName>
    <definedName name="solver_val" localSheetId="11" hidden="1">80137481</definedName>
    <definedName name="solver_val" localSheetId="5" hidden="1">81037481</definedName>
    <definedName name="solver_ver" localSheetId="11" hidden="1">3</definedName>
    <definedName name="solver_ver" localSheetId="5" hidden="1">3</definedName>
    <definedName name="TimeStamp" localSheetId="9">[5]general!$G$29</definedName>
    <definedName name="TimeStamp">general!$G$29</definedName>
    <definedName name="TIRates" localSheetId="6">{100000,0.00575;1000000,0.005;5000000,0.0025;10000000,0.00225;9999999999,0.002}</definedName>
    <definedName name="TIRates" localSheetId="9">{100000,0.00575;1000000,0.005;5000000,0.0025;10000000,0.00225;9999999999,0.002}</definedName>
    <definedName name="TIRates">{100000,0.00575;1000000,0.005;5000000,0.0025;10000000,0.00225;9999999999,0.002}</definedName>
    <definedName name="TotalSales" localSheetId="9">[5]sales!$I$8+[5]sales!$I$18</definedName>
    <definedName name="TotalSales">sales!$I$18+sales!$I$28</definedName>
    <definedName name="trial" localSheetId="2" hidden="1">{"Outflow 1",#N/A,FALSE,"Outflows-Inflows";"Outflow 2",#N/A,FALSE,"Outflows-Inflows";"Inflow 1",#N/A,FALSE,"Outflows-Inflows";"Inflow 2",#N/A,FALSE,"Outflows-Inflows"}</definedName>
    <definedName name="trial" localSheetId="6" hidden="1">{"Outflow 1",#N/A,FALSE,"Outflows-Inflows";"Outflow 2",#N/A,FALSE,"Outflows-Inflows";"Inflow 1",#N/A,FALSE,"Outflows-Inflows";"Inflow 2",#N/A,FALSE,"Outflows-Inflows"}</definedName>
    <definedName name="trial" localSheetId="8" hidden="1">{"Outflow 1",#N/A,FALSE,"Outflows-Inflows";"Outflow 2",#N/A,FALSE,"Outflows-Inflows";"Inflow 1",#N/A,FALSE,"Outflows-Inflows";"Inflow 2",#N/A,FALSE,"Outflows-Inflows"}</definedName>
    <definedName name="trial" localSheetId="9" hidden="1">{"Outflow 1",#N/A,FALSE,"Outflows-Inflows";"Outflow 2",#N/A,FALSE,"Outflows-Inflows";"Inflow 1",#N/A,FALSE,"Outflows-Inflows";"Inflow 2",#N/A,FALSE,"Outflows-Inflows"}</definedName>
    <definedName name="trial" hidden="1">{"Outflow 1",#N/A,FALSE,"Outflows-Inflows";"Outflow 2",#N/A,FALSE,"Outflows-Inflows";"Inflow 1",#N/A,FALSE,"Outflows-Inflows";"Inflow 2",#N/A,FALSE,"Outflows-Inflows"}</definedName>
    <definedName name="Version">general!$G$26</definedName>
    <definedName name="wrn.2._.Yr._.Proforma." localSheetId="11" hidden="1">{"Lease Up 1",#N/A,FALSE,"2 Yr. Monthly";"Lease Up 2",#N/A,FALSE,"2 Yr. Monthly";"Construction 1",#N/A,FALSE,"2 Yr. Monthly";"Construction 2",#N/A,FALSE,"2 Yr. Monthly";"Ind Loan Summ 1",#N/A,FALSE,"2 Yr. Monthly";"Ind Loan Summ 2",#N/A,FALSE,"2 Yr. Monthly";"S&amp;U 1",#N/A,FALSE,"2 Yr. Monthly";"S&amp;U 2",#N/A,FALSE,"2 Yr. Monthly"}</definedName>
    <definedName name="wrn.AGN._.MODELS." localSheetId="2" hidden="1">{"QTRINC1",#N/A,FALSE,"QTRINC";"QTRINC2",#N/A,FALSE,"QTRINC";"QTRSALES",#N/A,FALSE,"QTRSALES";"ANNSALES",#N/A,FALSE,"ANNSALES";"CASHFLOW",#N/A,FALSE,"CASHFLOW"}</definedName>
    <definedName name="wrn.AGN._.MODELS." localSheetId="6" hidden="1">{"QTRINC1",#N/A,FALSE,"QTRINC";"QTRINC2",#N/A,FALSE,"QTRINC";"QTRSALES",#N/A,FALSE,"QTRSALES";"ANNSALES",#N/A,FALSE,"ANNSALES";"CASHFLOW",#N/A,FALSE,"CASHFLOW"}</definedName>
    <definedName name="wrn.AGN._.MODELS." localSheetId="8" hidden="1">{"QTRINC1",#N/A,FALSE,"QTRINC";"QTRINC2",#N/A,FALSE,"QTRINC";"QTRSALES",#N/A,FALSE,"QTRSALES";"ANNSALES",#N/A,FALSE,"ANNSALES";"CASHFLOW",#N/A,FALSE,"CASHFLOW"}</definedName>
    <definedName name="wrn.AGN._.MODELS." localSheetId="9" hidden="1">{"QTRINC1",#N/A,FALSE,"QTRINC";"QTRINC2",#N/A,FALSE,"QTRINC";"QTRSALES",#N/A,FALSE,"QTRSALES";"ANNSALES",#N/A,FALSE,"ANNSALES";"CASHFLOW",#N/A,FALSE,"CASHFLOW"}</definedName>
    <definedName name="wrn.AGN._.MODELS." hidden="1">{"QTRINC1",#N/A,FALSE,"QTRINC";"QTRINC2",#N/A,FALSE,"QTRINC";"QTRSALES",#N/A,FALSE,"QTRSALES";"ANNSALES",#N/A,FALSE,"ANNSALES";"CASHFLOW",#N/A,FALSE,"CASHFLOW"}</definedName>
    <definedName name="wrn.ALL." localSheetId="2" hidden="1">{#N/A,#N/A,FALSE,"INPUTS";#N/A,#N/A,FALSE,"PROFORMA BSHEET";#N/A,#N/A,FALSE,"COMBINED";#N/A,#N/A,FALSE,"ACQUIROR";#N/A,#N/A,FALSE,"TARGET 1";#N/A,#N/A,FALSE,"TARGET 2";#N/A,#N/A,FALSE,"HIGH YIELD";#N/A,#N/A,FALSE,"OVERFUND"}</definedName>
    <definedName name="wrn.ALL." localSheetId="6" hidden="1">{#N/A,#N/A,FALSE,"INPUTS";#N/A,#N/A,FALSE,"PROFORMA BSHEET";#N/A,#N/A,FALSE,"COMBINED";#N/A,#N/A,FALSE,"ACQUIROR";#N/A,#N/A,FALSE,"TARGET 1";#N/A,#N/A,FALSE,"TARGET 2";#N/A,#N/A,FALSE,"HIGH YIELD";#N/A,#N/A,FALSE,"OVERFUND"}</definedName>
    <definedName name="wrn.ALL." localSheetId="8" hidden="1">{#N/A,#N/A,FALSE,"INPUTS";#N/A,#N/A,FALSE,"PROFORMA BSHEET";#N/A,#N/A,FALSE,"COMBINED";#N/A,#N/A,FALSE,"ACQUIROR";#N/A,#N/A,FALSE,"TARGET 1";#N/A,#N/A,FALSE,"TARGET 2";#N/A,#N/A,FALSE,"HIGH YIELD";#N/A,#N/A,FALSE,"OVERFUND"}</definedName>
    <definedName name="wrn.ALL." localSheetId="9" hidden="1">{#N/A,#N/A,FALSE,"INPUTS";#N/A,#N/A,FALSE,"PROFORMA BSHEET";#N/A,#N/A,FALSE,"COMBINED";#N/A,#N/A,FALSE,"ACQUIROR";#N/A,#N/A,FALSE,"TARGET 1";#N/A,#N/A,FALSE,"TARGET 2";#N/A,#N/A,FALSE,"HIGH YIELD";#N/A,#N/A,FALSE,"OVERFUND"}</definedName>
    <definedName name="wrn.ALL." hidden="1">{#N/A,#N/A,FALSE,"INPUTS";#N/A,#N/A,FALSE,"PROFORMA BSHEET";#N/A,#N/A,FALSE,"COMBINED";#N/A,#N/A,FALSE,"ACQUIROR";#N/A,#N/A,FALSE,"TARGET 1";#N/A,#N/A,FALSE,"TARGET 2";#N/A,#N/A,FALSE,"HIGH YIELD";#N/A,#N/A,FALSE,"OVERFUND"}</definedName>
    <definedName name="wrn.All._.Pages." localSheetId="2" hidden="1">{"income statement",#N/A,FALSE,"P&amp;L";"Balance Sheet",#N/A,FALSE,"BS";"Cash Flow",#N/A,FALSE,"CF";"Debt and Interest",#N/A,FALSE,"Debt &amp; Int";"Working Capital",#N/A,FALSE,"Wking Cap";"Capex and Depreciation",#N/A,FALSE,"Capex &amp; Depr";"Tax and Equity",#N/A,FALSE,"Tax &amp; Equity";"DCF",#N/A,FALSE,"DCF";"Sensitivity on Discount Rate",#N/A,FALSE,"Sensit-Rate";"WACC",#N/A,FALSE,"WACC";"Sensitivity on Sales Growth",#N/A,FALSE,"Sensit-Sales"}</definedName>
    <definedName name="wrn.All._.Pages." localSheetId="6" hidden="1">{"income statement",#N/A,FALSE,"P&amp;L";"Balance Sheet",#N/A,FALSE,"BS";"Cash Flow",#N/A,FALSE,"CF";"Debt and Interest",#N/A,FALSE,"Debt &amp; Int";"Working Capital",#N/A,FALSE,"Wking Cap";"Capex and Depreciation",#N/A,FALSE,"Capex &amp; Depr";"Tax and Equity",#N/A,FALSE,"Tax &amp; Equity";"DCF",#N/A,FALSE,"DCF";"Sensitivity on Discount Rate",#N/A,FALSE,"Sensit-Rate";"WACC",#N/A,FALSE,"WACC";"Sensitivity on Sales Growth",#N/A,FALSE,"Sensit-Sales"}</definedName>
    <definedName name="wrn.All._.Pages." localSheetId="8" hidden="1">{"income statement",#N/A,FALSE,"P&amp;L";"Balance Sheet",#N/A,FALSE,"BS";"Cash Flow",#N/A,FALSE,"CF";"Debt and Interest",#N/A,FALSE,"Debt &amp; Int";"Working Capital",#N/A,FALSE,"Wking Cap";"Capex and Depreciation",#N/A,FALSE,"Capex &amp; Depr";"Tax and Equity",#N/A,FALSE,"Tax &amp; Equity";"DCF",#N/A,FALSE,"DCF";"Sensitivity on Discount Rate",#N/A,FALSE,"Sensit-Rate";"WACC",#N/A,FALSE,"WACC";"Sensitivity on Sales Growth",#N/A,FALSE,"Sensit-Sales"}</definedName>
    <definedName name="wrn.All._.Pages." localSheetId="9" hidden="1">{"income statement",#N/A,FALSE,"P&amp;L";"Balance Sheet",#N/A,FALSE,"BS";"Cash Flow",#N/A,FALSE,"CF";"Debt and Interest",#N/A,FALSE,"Debt &amp; Int";"Working Capital",#N/A,FALSE,"Wking Cap";"Capex and Depreciation",#N/A,FALSE,"Capex &amp; Depr";"Tax and Equity",#N/A,FALSE,"Tax &amp; Equity";"DCF",#N/A,FALSE,"DCF";"Sensitivity on Discount Rate",#N/A,FALSE,"Sensit-Rate";"WACC",#N/A,FALSE,"WACC";"Sensitivity on Sales Growth",#N/A,FALSE,"Sensit-Sales"}</definedName>
    <definedName name="wrn.All._.Pages." hidden="1">{"income statement",#N/A,FALSE,"P&amp;L";"Balance Sheet",#N/A,FALSE,"BS";"Cash Flow",#N/A,FALSE,"CF";"Debt and Interest",#N/A,FALSE,"Debt &amp; Int";"Working Capital",#N/A,FALSE,"Wking Cap";"Capex and Depreciation",#N/A,FALSE,"Capex &amp; Depr";"Tax and Equity",#N/A,FALSE,"Tax &amp; Equity";"DCF",#N/A,FALSE,"DCF";"Sensitivity on Discount Rate",#N/A,FALSE,"Sensit-Rate";"WACC",#N/A,FALSE,"WACC";"Sensitivity on Sales Growth",#N/A,FALSE,"Sensit-Sales"}</definedName>
    <definedName name="wrn.AnnualRentRoll." localSheetId="2" hidden="1">{"AnnualRentRoll",#N/A,FALSE,"RentRoll"}</definedName>
    <definedName name="wrn.AnnualRentRoll." localSheetId="6" hidden="1">{"AnnualRentRoll",#N/A,FALSE,"RentRoll"}</definedName>
    <definedName name="wrn.AnnualRentRoll." localSheetId="8" hidden="1">{"AnnualRentRoll",#N/A,FALSE,"RentRoll"}</definedName>
    <definedName name="wrn.AnnualRentRoll." localSheetId="9" hidden="1">{"AnnualRentRoll",#N/A,FALSE,"RentRoll"}</definedName>
    <definedName name="wrn.AnnualRentRoll." hidden="1">{"AnnualRentRoll",#N/A,FALSE,"RentRoll"}</definedName>
    <definedName name="wrn.bankrep." localSheetId="2" hidden="1">{#N/A,#N/A,FALSE,"ExecSum";#N/A,#N/A,FALSE,"Summary";#N/A,#N/A,FALSE,"Budget";#N/A,#N/A,FALSE,"CashFlow"}</definedName>
    <definedName name="wrn.bankrep." localSheetId="6" hidden="1">{#N/A,#N/A,FALSE,"ExecSum";#N/A,#N/A,FALSE,"Summary";#N/A,#N/A,FALSE,"Budget";#N/A,#N/A,FALSE,"CashFlow"}</definedName>
    <definedName name="wrn.bankrep." localSheetId="8" hidden="1">{#N/A,#N/A,FALSE,"ExecSum";#N/A,#N/A,FALSE,"Summary";#N/A,#N/A,FALSE,"Budget";#N/A,#N/A,FALSE,"CashFlow"}</definedName>
    <definedName name="wrn.bankrep." localSheetId="9" hidden="1">{#N/A,#N/A,FALSE,"ExecSum";#N/A,#N/A,FALSE,"Summary";#N/A,#N/A,FALSE,"Budget";#N/A,#N/A,FALSE,"CashFlow"}</definedName>
    <definedName name="wrn.bankrep." hidden="1">{#N/A,#N/A,FALSE,"ExecSum";#N/A,#N/A,FALSE,"Summary";#N/A,#N/A,FALSE,"Budget";#N/A,#N/A,FALSE,"CashFlow"}</definedName>
    <definedName name="wrn.BaseYearDemand." localSheetId="2" hidden="1">{"Base Year Demand",#N/A,FALSE,"Demand-Base Year"}</definedName>
    <definedName name="wrn.BaseYearDemand." localSheetId="6" hidden="1">{"Base Year Demand",#N/A,FALSE,"Demand-Base Year"}</definedName>
    <definedName name="wrn.BaseYearDemand." localSheetId="8" hidden="1">{"Base Year Demand",#N/A,FALSE,"Demand-Base Year"}</definedName>
    <definedName name="wrn.BaseYearDemand." localSheetId="9" hidden="1">{"Base Year Demand",#N/A,FALSE,"Demand-Base Year"}</definedName>
    <definedName name="wrn.BaseYearDemand." hidden="1">{"Base Year Demand",#N/A,FALSE,"Demand-Base Year"}</definedName>
    <definedName name="wrn.BIGGER." localSheetId="2" hidden="1">{"PROFORMA",#N/A,FALSE,"A";"BIGGER 1",#N/A,FALSE,"B";"BIGGER 2",#N/A,FALSE,"B";"BIGGER 3",#N/A,FALSE,"B";"SMALL CF 1",#N/A,FALSE,"C"}</definedName>
    <definedName name="wrn.BIGGER." localSheetId="6" hidden="1">{"PROFORMA",#N/A,FALSE,"A";"BIGGER 1",#N/A,FALSE,"B";"BIGGER 2",#N/A,FALSE,"B";"BIGGER 3",#N/A,FALSE,"B";"SMALL CF 1",#N/A,FALSE,"C"}</definedName>
    <definedName name="wrn.BIGGER." localSheetId="8" hidden="1">{"PROFORMA",#N/A,FALSE,"A";"BIGGER 1",#N/A,FALSE,"B";"BIGGER 2",#N/A,FALSE,"B";"BIGGER 3",#N/A,FALSE,"B";"SMALL CF 1",#N/A,FALSE,"C"}</definedName>
    <definedName name="wrn.BIGGER." localSheetId="9" hidden="1">{"PROFORMA",#N/A,FALSE,"A";"BIGGER 1",#N/A,FALSE,"B";"BIGGER 2",#N/A,FALSE,"B";"BIGGER 3",#N/A,FALSE,"B";"SMALL CF 1",#N/A,FALSE,"C"}</definedName>
    <definedName name="wrn.BIGGER." hidden="1">{"PROFORMA",#N/A,FALSE,"A";"BIGGER 1",#N/A,FALSE,"B";"BIGGER 2",#N/A,FALSE,"B";"BIGGER 3",#N/A,FALSE,"B";"SMALL CF 1",#N/A,FALSE,"C"}</definedName>
    <definedName name="wrn.BlackWhite." localSheetId="2" hidden="1">{#N/A,#N/A,FALSE,"NNN sum";#N/A,#N/A,FALSE,"10-yr Opt. A Sum";#N/A,#N/A,FALSE,"10-yr Opt A Other Costs";#N/A,#N/A,FALSE,"Purchase Sum";#N/A,#N/A,FALSE,"Purchase Other Costs"}</definedName>
    <definedName name="wrn.BlackWhite." localSheetId="6" hidden="1">{#N/A,#N/A,FALSE,"NNN sum";#N/A,#N/A,FALSE,"10-yr Opt. A Sum";#N/A,#N/A,FALSE,"10-yr Opt A Other Costs";#N/A,#N/A,FALSE,"Purchase Sum";#N/A,#N/A,FALSE,"Purchase Other Costs"}</definedName>
    <definedName name="wrn.BlackWhite." localSheetId="8" hidden="1">{#N/A,#N/A,FALSE,"NNN sum";#N/A,#N/A,FALSE,"10-yr Opt. A Sum";#N/A,#N/A,FALSE,"10-yr Opt A Other Costs";#N/A,#N/A,FALSE,"Purchase Sum";#N/A,#N/A,FALSE,"Purchase Other Costs"}</definedName>
    <definedName name="wrn.BlackWhite." localSheetId="9" hidden="1">{#N/A,#N/A,FALSE,"NNN sum";#N/A,#N/A,FALSE,"10-yr Opt. A Sum";#N/A,#N/A,FALSE,"10-yr Opt A Other Costs";#N/A,#N/A,FALSE,"Purchase Sum";#N/A,#N/A,FALSE,"Purchase Other Costs"}</definedName>
    <definedName name="wrn.BlackWhite." hidden="1">{#N/A,#N/A,FALSE,"NNN sum";#N/A,#N/A,FALSE,"10-yr Opt. A Sum";#N/A,#N/A,FALSE,"10-yr Opt A Other Costs";#N/A,#N/A,FALSE,"Purchase Sum";#N/A,#N/A,FALSE,"Purchase Other Costs"}</definedName>
    <definedName name="wrn.BlackWhite5" localSheetId="2" hidden="1">{#N/A,#N/A,FALSE,"NNN sum";#N/A,#N/A,FALSE,"10-yr Opt. A Sum";#N/A,#N/A,FALSE,"10-yr Opt A Other Costs";#N/A,#N/A,FALSE,"Purchase Sum";#N/A,#N/A,FALSE,"Purchase Other Costs"}</definedName>
    <definedName name="wrn.BlackWhite5" localSheetId="6" hidden="1">{#N/A,#N/A,FALSE,"NNN sum";#N/A,#N/A,FALSE,"10-yr Opt. A Sum";#N/A,#N/A,FALSE,"10-yr Opt A Other Costs";#N/A,#N/A,FALSE,"Purchase Sum";#N/A,#N/A,FALSE,"Purchase Other Costs"}</definedName>
    <definedName name="wrn.BlackWhite5" localSheetId="8" hidden="1">{#N/A,#N/A,FALSE,"NNN sum";#N/A,#N/A,FALSE,"10-yr Opt. A Sum";#N/A,#N/A,FALSE,"10-yr Opt A Other Costs";#N/A,#N/A,FALSE,"Purchase Sum";#N/A,#N/A,FALSE,"Purchase Other Costs"}</definedName>
    <definedName name="wrn.BlackWhite5" localSheetId="9" hidden="1">{#N/A,#N/A,FALSE,"NNN sum";#N/A,#N/A,FALSE,"10-yr Opt. A Sum";#N/A,#N/A,FALSE,"10-yr Opt A Other Costs";#N/A,#N/A,FALSE,"Purchase Sum";#N/A,#N/A,FALSE,"Purchase Other Costs"}</definedName>
    <definedName name="wrn.BlackWhite5" hidden="1">{#N/A,#N/A,FALSE,"NNN sum";#N/A,#N/A,FALSE,"10-yr Opt. A Sum";#N/A,#N/A,FALSE,"10-yr Opt A Other Costs";#N/A,#N/A,FALSE,"Purchase Sum";#N/A,#N/A,FALSE,"Purchase Other Costs"}</definedName>
    <definedName name="wrn.Blue._.Book._.Sections." localSheetId="8" hidden="1">{#N/A,#N/A,TRUE,"Summary";#N/A,#N/A,TRUE,"Program Scheme";#N/A,#N/A,TRUE,"Assumptions";#N/A,#N/A,TRUE,"Development Budget &amp; Timing";#N/A,#N/A,TRUE,"Cash Flow";#N/A,#N/A,TRUE,"Cash Flow to Debt &amp; Equity"}</definedName>
    <definedName name="wrn.Blue._.Book._.Sections." localSheetId="9" hidden="1">{#N/A,#N/A,TRUE,"Summary";#N/A,#N/A,TRUE,"Program Scheme";#N/A,#N/A,TRUE,"Assumptions";#N/A,#N/A,TRUE,"Development Budget &amp; Timing";#N/A,#N/A,TRUE,"Cash Flow";#N/A,#N/A,TRUE,"Cash Flow to Debt &amp; Equity"}</definedName>
    <definedName name="wrn.Blue._.Book._.Sections." hidden="1">{#N/A,#N/A,TRUE,"Summary";#N/A,#N/A,TRUE,"Program Scheme";#N/A,#N/A,TRUE,"Assumptions";#N/A,#N/A,TRUE,"Development Budget &amp; Timing";#N/A,#N/A,TRUE,"Cash Flow";#N/A,#N/A,TRUE,"Cash Flow to Debt &amp; Equity"}</definedName>
    <definedName name="wrn.Both._.Outputs." localSheetId="2" hidden="1">{"LTV Output",#N/A,FALSE,"Output";"DCR Output",#N/A,FALSE,"Output"}</definedName>
    <definedName name="wrn.Both._.Outputs." localSheetId="6" hidden="1">{"LTV Output",#N/A,FALSE,"Output";"DCR Output",#N/A,FALSE,"Output"}</definedName>
    <definedName name="wrn.Both._.Outputs." localSheetId="8" hidden="1">{"LTV Output",#N/A,FALSE,"Output";"DCR Output",#N/A,FALSE,"Output"}</definedName>
    <definedName name="wrn.Both._.Outputs." localSheetId="9" hidden="1">{"LTV Output",#N/A,FALSE,"Output";"DCR Output",#N/A,FALSE,"Output"}</definedName>
    <definedName name="wrn.Both._.Outputs." hidden="1">{"LTV Output",#N/A,FALSE,"Output";"DCR Output",#N/A,FALSE,"Output"}</definedName>
    <definedName name="wrn.COMBINED." localSheetId="2" hidden="1">{#N/A,#N/A,FALSE,"INPUTS";#N/A,#N/A,FALSE,"PROFORMA BSHEET";#N/A,#N/A,FALSE,"COMBINED";#N/A,#N/A,FALSE,"HIGH YIELD";#N/A,#N/A,FALSE,"COMB_GRAPHS"}</definedName>
    <definedName name="wrn.COMBINED." localSheetId="6" hidden="1">{#N/A,#N/A,FALSE,"INPUTS";#N/A,#N/A,FALSE,"PROFORMA BSHEET";#N/A,#N/A,FALSE,"COMBINED";#N/A,#N/A,FALSE,"HIGH YIELD";#N/A,#N/A,FALSE,"COMB_GRAPHS"}</definedName>
    <definedName name="wrn.COMBINED." localSheetId="8" hidden="1">{#N/A,#N/A,FALSE,"INPUTS";#N/A,#N/A,FALSE,"PROFORMA BSHEET";#N/A,#N/A,FALSE,"COMBINED";#N/A,#N/A,FALSE,"HIGH YIELD";#N/A,#N/A,FALSE,"COMB_GRAPHS"}</definedName>
    <definedName name="wrn.COMBINED." localSheetId="9" hidden="1">{#N/A,#N/A,FALSE,"INPUTS";#N/A,#N/A,FALSE,"PROFORMA BSHEET";#N/A,#N/A,FALSE,"COMBINED";#N/A,#N/A,FALSE,"HIGH YIELD";#N/A,#N/A,FALSE,"COMB_GRAPHS"}</definedName>
    <definedName name="wrn.COMBINED." hidden="1">{#N/A,#N/A,FALSE,"INPUTS";#N/A,#N/A,FALSE,"PROFORMA BSHEET";#N/A,#N/A,FALSE,"COMBINED";#N/A,#N/A,FALSE,"HIGH YIELD";#N/A,#N/A,FALSE,"COMB_GRAPHS"}</definedName>
    <definedName name="wrn.data." localSheetId="2" hidden="1">{"data",#N/A,FALSE,"INPUT"}</definedName>
    <definedName name="wrn.data." localSheetId="6" hidden="1">{"data",#N/A,FALSE,"INPUT"}</definedName>
    <definedName name="wrn.data." localSheetId="8" hidden="1">{"data",#N/A,FALSE,"INPUT"}</definedName>
    <definedName name="wrn.data." localSheetId="9" hidden="1">{"data",#N/A,FALSE,"INPUT"}</definedName>
    <definedName name="wrn.data." hidden="1">{"data",#N/A,FALSE,"INPUT"}</definedName>
    <definedName name="wrn.data5" localSheetId="2" hidden="1">{"data",#N/A,FALSE,"INPUT"}</definedName>
    <definedName name="wrn.data5" localSheetId="6" hidden="1">{"data",#N/A,FALSE,"INPUT"}</definedName>
    <definedName name="wrn.data5" localSheetId="8" hidden="1">{"data",#N/A,FALSE,"INPUT"}</definedName>
    <definedName name="wrn.data5" localSheetId="9" hidden="1">{"data",#N/A,FALSE,"INPUT"}</definedName>
    <definedName name="wrn.data5" hidden="1">{"data",#N/A,FALSE,"INPUT"}</definedName>
    <definedName name="wrn.DCR._.Output." localSheetId="2" hidden="1">{"DCR Output",#N/A,FALSE,"Output"}</definedName>
    <definedName name="wrn.DCR._.Output." localSheetId="6" hidden="1">{"DCR Output",#N/A,FALSE,"Output"}</definedName>
    <definedName name="wrn.DCR._.Output." localSheetId="8" hidden="1">{"DCR Output",#N/A,FALSE,"Output"}</definedName>
    <definedName name="wrn.DCR._.Output." localSheetId="9" hidden="1">{"DCR Output",#N/A,FALSE,"Output"}</definedName>
    <definedName name="wrn.DCR._.Output." hidden="1">{"DCR Output",#N/A,FALSE,"Output"}</definedName>
    <definedName name="wrn.Demand._.Calcs." localSheetId="2" hidden="1">{#N/A,#N/A,FALSE,"Demand Calcs"}</definedName>
    <definedName name="wrn.Demand._.Calcs." localSheetId="6" hidden="1">{#N/A,#N/A,FALSE,"Demand Calcs"}</definedName>
    <definedName name="wrn.Demand._.Calcs." localSheetId="8" hidden="1">{#N/A,#N/A,FALSE,"Demand Calcs"}</definedName>
    <definedName name="wrn.Demand._.Calcs." localSheetId="9" hidden="1">{#N/A,#N/A,FALSE,"Demand Calcs"}</definedName>
    <definedName name="wrn.Demand._.Calcs." hidden="1">{#N/A,#N/A,FALSE,"Demand Calcs"}</definedName>
    <definedName name="wrn.Demand._.Inputs." localSheetId="2" hidden="1">{#N/A,#N/A,FALSE,"Demand Inputs"}</definedName>
    <definedName name="wrn.Demand._.Inputs." localSheetId="6" hidden="1">{#N/A,#N/A,FALSE,"Demand Inputs"}</definedName>
    <definedName name="wrn.Demand._.Inputs." localSheetId="8" hidden="1">{#N/A,#N/A,FALSE,"Demand Inputs"}</definedName>
    <definedName name="wrn.Demand._.Inputs." localSheetId="9" hidden="1">{#N/A,#N/A,FALSE,"Demand Inputs"}</definedName>
    <definedName name="wrn.Demand._.Inputs." hidden="1">{#N/A,#N/A,FALSE,"Demand Inputs"}</definedName>
    <definedName name="wrn.ExitAndSalesAssumptions." localSheetId="2" hidden="1">{#N/A,#N/A,FALSE,"ExitStratigy"}</definedName>
    <definedName name="wrn.ExitAndSalesAssumptions." localSheetId="6" hidden="1">{#N/A,#N/A,FALSE,"ExitStratigy"}</definedName>
    <definedName name="wrn.ExitAndSalesAssumptions." localSheetId="8" hidden="1">{#N/A,#N/A,FALSE,"ExitStratigy"}</definedName>
    <definedName name="wrn.ExitAndSalesAssumptions." localSheetId="9" hidden="1">{#N/A,#N/A,FALSE,"ExitStratigy"}</definedName>
    <definedName name="wrn.ExitAndSalesAssumptions." hidden="1">{#N/A,#N/A,FALSE,"ExitStratigy"}</definedName>
    <definedName name="wrn.Fair._.Share._.Calcs." localSheetId="2" hidden="1">{#N/A,#N/A,FALSE,"Fair Share"}</definedName>
    <definedName name="wrn.Fair._.Share._.Calcs." localSheetId="6" hidden="1">{#N/A,#N/A,FALSE,"Fair Share"}</definedName>
    <definedName name="wrn.Fair._.Share._.Calcs." localSheetId="8" hidden="1">{#N/A,#N/A,FALSE,"Fair Share"}</definedName>
    <definedName name="wrn.Fair._.Share._.Calcs." localSheetId="9" hidden="1">{#N/A,#N/A,FALSE,"Fair Share"}</definedName>
    <definedName name="wrn.Fair._.Share._.Calcs." hidden="1">{#N/A,#N/A,FALSE,"Fair Share"}</definedName>
    <definedName name="wrn.Feb98." localSheetId="2" hidden="1">{"sheet a",#N/A,FALSE,"A";"2 9 casflow",#N/A,FALSE,"B"}</definedName>
    <definedName name="wrn.Feb98." localSheetId="6" hidden="1">{"sheet a",#N/A,FALSE,"A";"2 9 casflow",#N/A,FALSE,"B"}</definedName>
    <definedName name="wrn.Feb98." localSheetId="8" hidden="1">{"sheet a",#N/A,FALSE,"A";"2 9 casflow",#N/A,FALSE,"B"}</definedName>
    <definedName name="wrn.Feb98." localSheetId="9" hidden="1">{"sheet a",#N/A,FALSE,"A";"2 9 casflow",#N/A,FALSE,"B"}</definedName>
    <definedName name="wrn.Feb98." hidden="1">{"sheet a",#N/A,FALSE,"A";"2 9 casflow",#N/A,FALSE,"B"}</definedName>
    <definedName name="wrn.Final._.Output." localSheetId="2" hidden="1">{#N/A,#N/A,FALSE,"Final Output"}</definedName>
    <definedName name="wrn.Final._.Output." localSheetId="6" hidden="1">{#N/A,#N/A,FALSE,"Final Output"}</definedName>
    <definedName name="wrn.Final._.Output." localSheetId="8" hidden="1">{#N/A,#N/A,FALSE,"Final Output"}</definedName>
    <definedName name="wrn.Final._.Output." localSheetId="9" hidden="1">{#N/A,#N/A,FALSE,"Final Output"}</definedName>
    <definedName name="wrn.Final._.Output." hidden="1">{#N/A,#N/A,FALSE,"Final Output"}</definedName>
    <definedName name="wrn.FY97SBP." localSheetId="2" hidden="1">{#N/A,#N/A,FALSE,"FY97";#N/A,#N/A,FALSE,"FY98";#N/A,#N/A,FALSE,"FY99";#N/A,#N/A,FALSE,"FY00";#N/A,#N/A,FALSE,"FY01"}</definedName>
    <definedName name="wrn.FY97SBP." localSheetId="6" hidden="1">{#N/A,#N/A,FALSE,"FY97";#N/A,#N/A,FALSE,"FY98";#N/A,#N/A,FALSE,"FY99";#N/A,#N/A,FALSE,"FY00";#N/A,#N/A,FALSE,"FY01"}</definedName>
    <definedName name="wrn.FY97SBP." localSheetId="8" hidden="1">{#N/A,#N/A,FALSE,"FY97";#N/A,#N/A,FALSE,"FY98";#N/A,#N/A,FALSE,"FY99";#N/A,#N/A,FALSE,"FY00";#N/A,#N/A,FALSE,"FY01"}</definedName>
    <definedName name="wrn.FY97SBP." localSheetId="9" hidden="1">{#N/A,#N/A,FALSE,"FY97";#N/A,#N/A,FALSE,"FY98";#N/A,#N/A,FALSE,"FY99";#N/A,#N/A,FALSE,"FY00";#N/A,#N/A,FALSE,"FY01"}</definedName>
    <definedName name="wrn.FY97SBP." hidden="1">{#N/A,#N/A,FALSE,"FY97";#N/A,#N/A,FALSE,"FY98";#N/A,#N/A,FALSE,"FY99";#N/A,#N/A,FALSE,"FY00";#N/A,#N/A,FALSE,"FY01"}</definedName>
    <definedName name="wrn.GRAPHS." localSheetId="2" hidden="1">{#N/A,#N/A,FALSE,"ACQ_GRAPHS";#N/A,#N/A,FALSE,"T_1 GRAPHS";#N/A,#N/A,FALSE,"T_2 GRAPHS";#N/A,#N/A,FALSE,"COMB_GRAPHS"}</definedName>
    <definedName name="wrn.GRAPHS." localSheetId="6" hidden="1">{#N/A,#N/A,FALSE,"ACQ_GRAPHS";#N/A,#N/A,FALSE,"T_1 GRAPHS";#N/A,#N/A,FALSE,"T_2 GRAPHS";#N/A,#N/A,FALSE,"COMB_GRAPHS"}</definedName>
    <definedName name="wrn.GRAPHS." localSheetId="8" hidden="1">{#N/A,#N/A,FALSE,"ACQ_GRAPHS";#N/A,#N/A,FALSE,"T_1 GRAPHS";#N/A,#N/A,FALSE,"T_2 GRAPHS";#N/A,#N/A,FALSE,"COMB_GRAPHS"}</definedName>
    <definedName name="wrn.GRAPHS." localSheetId="9" hidden="1">{#N/A,#N/A,FALSE,"ACQ_GRAPHS";#N/A,#N/A,FALSE,"T_1 GRAPHS";#N/A,#N/A,FALSE,"T_2 GRAPHS";#N/A,#N/A,FALSE,"COMB_GRAPHS"}</definedName>
    <definedName name="wrn.GRAPHS." hidden="1">{#N/A,#N/A,FALSE,"ACQ_GRAPHS";#N/A,#N/A,FALSE,"T_1 GRAPHS";#N/A,#N/A,FALSE,"T_2 GRAPHS";#N/A,#N/A,FALSE,"COMB_GRAPHS"}</definedName>
    <definedName name="wrn.GSA._.PRINT." localSheetId="2" hidden="1">{#N/A,#N/A,FALSE,"DEV COSTS";#N/A,#N/A,FALSE,"10-YR C. F."}</definedName>
    <definedName name="wrn.GSA._.PRINT." localSheetId="6" hidden="1">{#N/A,#N/A,FALSE,"DEV COSTS";#N/A,#N/A,FALSE,"10-YR C. F."}</definedName>
    <definedName name="wrn.GSA._.PRINT." localSheetId="8" hidden="1">{#N/A,#N/A,FALSE,"DEV COSTS";#N/A,#N/A,FALSE,"10-YR C. F."}</definedName>
    <definedName name="wrn.GSA._.PRINT." localSheetId="9" hidden="1">{#N/A,#N/A,FALSE,"DEV COSTS";#N/A,#N/A,FALSE,"10-YR C. F."}</definedName>
    <definedName name="wrn.GSA._.PRINT." hidden="1">{#N/A,#N/A,FALSE,"DEV COSTS";#N/A,#N/A,FALSE,"10-YR C. F."}</definedName>
    <definedName name="wrn.gsa._PRINT5" localSheetId="2" hidden="1">{#N/A,#N/A,FALSE,"DEV COSTS";#N/A,#N/A,FALSE,"10-YR C. F."}</definedName>
    <definedName name="wrn.gsa._PRINT5" localSheetId="6" hidden="1">{#N/A,#N/A,FALSE,"DEV COSTS";#N/A,#N/A,FALSE,"10-YR C. F."}</definedName>
    <definedName name="wrn.gsa._PRINT5" localSheetId="8" hidden="1">{#N/A,#N/A,FALSE,"DEV COSTS";#N/A,#N/A,FALSE,"10-YR C. F."}</definedName>
    <definedName name="wrn.gsa._PRINT5" localSheetId="9" hidden="1">{#N/A,#N/A,FALSE,"DEV COSTS";#N/A,#N/A,FALSE,"10-YR C. F."}</definedName>
    <definedName name="wrn.gsa._PRINT5" hidden="1">{#N/A,#N/A,FALSE,"DEV COSTS";#N/A,#N/A,FALSE,"10-YR C. F."}</definedName>
    <definedName name="wrn.Inputs." localSheetId="2" hidden="1">{"Inflation-BaseYear",#N/A,FALSE,"Inputs"}</definedName>
    <definedName name="wrn.Inputs." localSheetId="6" hidden="1">{"Inflation-BaseYear",#N/A,FALSE,"Inputs"}</definedName>
    <definedName name="wrn.Inputs." localSheetId="8" hidden="1">{"Inflation-BaseYear",#N/A,FALSE,"Inputs"}</definedName>
    <definedName name="wrn.Inputs." localSheetId="9" hidden="1">{"Inflation-BaseYear",#N/A,FALSE,"Inputs"}</definedName>
    <definedName name="wrn.Inputs." hidden="1">{"Inflation-BaseYear",#N/A,FALSE,"Inputs"}</definedName>
    <definedName name="wrn.IPO._.Valuation." localSheetId="2" hidden="1">{"assumptions",#N/A,FALSE,"Scenario 1";"valuation",#N/A,FALSE,"Scenario 1"}</definedName>
    <definedName name="wrn.IPO._.Valuation." localSheetId="6" hidden="1">{"assumptions",#N/A,FALSE,"Scenario 1";"valuation",#N/A,FALSE,"Scenario 1"}</definedName>
    <definedName name="wrn.IPO._.Valuation." localSheetId="8" hidden="1">{"assumptions",#N/A,FALSE,"Scenario 1";"valuation",#N/A,FALSE,"Scenario 1"}</definedName>
    <definedName name="wrn.IPO._.Valuation." localSheetId="9" hidden="1">{"assumptions",#N/A,FALSE,"Scenario 1";"valuation",#N/A,FALSE,"Scenario 1"}</definedName>
    <definedName name="wrn.IPO._.Valuation." hidden="1">{"assumptions",#N/A,FALSE,"Scenario 1";"valuation",#N/A,FALSE,"Scenario 1"}</definedName>
    <definedName name="wrn.jan._.98." localSheetId="2" hidden="1">{"sheet a",#N/A,FALSE,"A";"sheet b 1",#N/A,FALSE,"B";"sheet b 2",#N/A,FALSE,"B"}</definedName>
    <definedName name="wrn.jan._.98." localSheetId="6" hidden="1">{"sheet a",#N/A,FALSE,"A";"sheet b 1",#N/A,FALSE,"B";"sheet b 2",#N/A,FALSE,"B"}</definedName>
    <definedName name="wrn.jan._.98." localSheetId="8" hidden="1">{"sheet a",#N/A,FALSE,"A";"sheet b 1",#N/A,FALSE,"B";"sheet b 2",#N/A,FALSE,"B"}</definedName>
    <definedName name="wrn.jan._.98." localSheetId="9" hidden="1">{"sheet a",#N/A,FALSE,"A";"sheet b 1",#N/A,FALSE,"B";"sheet b 2",#N/A,FALSE,"B"}</definedName>
    <definedName name="wrn.jan._.98." hidden="1">{"sheet a",#N/A,FALSE,"A";"sheet b 1",#N/A,FALSE,"B";"sheet b 2",#N/A,FALSE,"B"}</definedName>
    <definedName name="wrn.Latent._.Demand._.Inputs." localSheetId="2" hidden="1">{#N/A,#N/A,FALSE,"Latent"}</definedName>
    <definedName name="wrn.Latent._.Demand._.Inputs." localSheetId="6" hidden="1">{#N/A,#N/A,FALSE,"Latent"}</definedName>
    <definedName name="wrn.Latent._.Demand._.Inputs." localSheetId="8" hidden="1">{#N/A,#N/A,FALSE,"Latent"}</definedName>
    <definedName name="wrn.Latent._.Demand._.Inputs." localSheetId="9" hidden="1">{#N/A,#N/A,FALSE,"Latent"}</definedName>
    <definedName name="wrn.Latent._.Demand._.Inputs." hidden="1">{#N/A,#N/A,FALSE,"Latent"}</definedName>
    <definedName name="wrn.LBO._.Summary." localSheetId="2" hidden="1">{"LBO Summary",#N/A,FALSE,"Summary"}</definedName>
    <definedName name="wrn.LBO._.Summary." localSheetId="6" hidden="1">{"LBO Summary",#N/A,FALSE,"Summary"}</definedName>
    <definedName name="wrn.LBO._.Summary." localSheetId="8" hidden="1">{"LBO Summary",#N/A,FALSE,"Summary"}</definedName>
    <definedName name="wrn.LBO._.Summary." localSheetId="9" hidden="1">{"LBO Summary",#N/A,FALSE,"Summary"}</definedName>
    <definedName name="wrn.LBO._.Summary." hidden="1">{"LBO Summary",#N/A,FALSE,"Summary"}</definedName>
    <definedName name="wrn.LoanInformation." localSheetId="2" hidden="1">{#N/A,#N/A,FALSE,"LoanAssumptions"}</definedName>
    <definedName name="wrn.LoanInformation." localSheetId="6" hidden="1">{#N/A,#N/A,FALSE,"LoanAssumptions"}</definedName>
    <definedName name="wrn.LoanInformation." localSheetId="8" hidden="1">{#N/A,#N/A,FALSE,"LoanAssumptions"}</definedName>
    <definedName name="wrn.LoanInformation." localSheetId="9" hidden="1">{#N/A,#N/A,FALSE,"LoanAssumptions"}</definedName>
    <definedName name="wrn.LoanInformation." hidden="1">{#N/A,#N/A,FALSE,"LoanAssumptions"}</definedName>
    <definedName name="wrn.LTV._.Output." localSheetId="2" hidden="1">{"LTV Output",#N/A,FALSE,"Output"}</definedName>
    <definedName name="wrn.LTV._.Output." localSheetId="6" hidden="1">{"LTV Output",#N/A,FALSE,"Output"}</definedName>
    <definedName name="wrn.LTV._.Output." localSheetId="8" hidden="1">{"LTV Output",#N/A,FALSE,"Output"}</definedName>
    <definedName name="wrn.LTV._.Output." localSheetId="9" hidden="1">{"LTV Output",#N/A,FALSE,"Output"}</definedName>
    <definedName name="wrn.LTV._.Output." hidden="1">{"LTV Output",#N/A,FALSE,"Output"}</definedName>
    <definedName name="wrn.Marks._.Summary." localSheetId="11" hidden="1">{"Assumptions and CF Summary",#N/A,FALSE,"Assu &amp; CF Summary";"Sources and Uses",#N/A,FALSE,"Sources and Uses";"Unit Mix and Pro forma",#N/A,FALSE,"Unit Mix  Pro Forma";"Constr. and Lease Up",#N/A,FALSE,"Constr. &amp; Lease-up";"Details and Assumptions",#N/A,FALSE,"Details &amp; Assumptions";"Detailed Other Costs",#N/A,FALSE,"Detailed Other Cost";"Land Cost",#N/A,FALSE,"Land Cost"}</definedName>
    <definedName name="wrn.MODEL." localSheetId="2" hidden="1">{"IS",#N/A,FALSE,"Income Statement";"ISR",#N/A,FALSE,"Income Statement Ratios";"BS",#N/A,FALSE,"Balance Sheet";"BSR",#N/A,FALSE,"Balance Sheet Ratios";"CF",#N/A,FALSE,"Cash Flow";"SALES",#N/A,FALSE,"Sales Analysis";"RR",#N/A,FALSE,"Recent Results"}</definedName>
    <definedName name="wrn.MODEL." localSheetId="6" hidden="1">{"IS",#N/A,FALSE,"Income Statement";"ISR",#N/A,FALSE,"Income Statement Ratios";"BS",#N/A,FALSE,"Balance Sheet";"BSR",#N/A,FALSE,"Balance Sheet Ratios";"CF",#N/A,FALSE,"Cash Flow";"SALES",#N/A,FALSE,"Sales Analysis";"RR",#N/A,FALSE,"Recent Results"}</definedName>
    <definedName name="wrn.MODEL." localSheetId="8" hidden="1">{"IS",#N/A,FALSE,"Income Statement";"ISR",#N/A,FALSE,"Income Statement Ratios";"BS",#N/A,FALSE,"Balance Sheet";"BSR",#N/A,FALSE,"Balance Sheet Ratios";"CF",#N/A,FALSE,"Cash Flow";"SALES",#N/A,FALSE,"Sales Analysis";"RR",#N/A,FALSE,"Recent Results"}</definedName>
    <definedName name="wrn.MODEL." localSheetId="9" hidden="1">{"IS",#N/A,FALSE,"Income Statement";"ISR",#N/A,FALSE,"Income Statement Ratios";"BS",#N/A,FALSE,"Balance Sheet";"BSR",#N/A,FALSE,"Balance Sheet Ratios";"CF",#N/A,FALSE,"Cash Flow";"SALES",#N/A,FALSE,"Sales Analysis";"RR",#N/A,FALSE,"Recent Results"}</definedName>
    <definedName name="wrn.MODEL." hidden="1">{"IS",#N/A,FALSE,"Income Statement";"ISR",#N/A,FALSE,"Income Statement Ratios";"BS",#N/A,FALSE,"Balance Sheet";"BSR",#N/A,FALSE,"Balance Sheet Ratios";"CF",#N/A,FALSE,"Cash Flow";"SALES",#N/A,FALSE,"Sales Analysis";"RR",#N/A,FALSE,"Recent Results"}</definedName>
    <definedName name="wrn.MODEL5" localSheetId="2" hidden="1">{"IS",#N/A,FALSE,"Income Statement";"ISR",#N/A,FALSE,"Income Statement Ratios";"BS",#N/A,FALSE,"Balance Sheet";"BSR",#N/A,FALSE,"Balance Sheet Ratios";"CF",#N/A,FALSE,"Cash Flow";"SALES",#N/A,FALSE,"Sales Analysis";"RR",#N/A,FALSE,"Recent Results"}</definedName>
    <definedName name="wrn.MODEL5" localSheetId="6" hidden="1">{"IS",#N/A,FALSE,"Income Statement";"ISR",#N/A,FALSE,"Income Statement Ratios";"BS",#N/A,FALSE,"Balance Sheet";"BSR",#N/A,FALSE,"Balance Sheet Ratios";"CF",#N/A,FALSE,"Cash Flow";"SALES",#N/A,FALSE,"Sales Analysis";"RR",#N/A,FALSE,"Recent Results"}</definedName>
    <definedName name="wrn.MODEL5" localSheetId="8" hidden="1">{"IS",#N/A,FALSE,"Income Statement";"ISR",#N/A,FALSE,"Income Statement Ratios";"BS",#N/A,FALSE,"Balance Sheet";"BSR",#N/A,FALSE,"Balance Sheet Ratios";"CF",#N/A,FALSE,"Cash Flow";"SALES",#N/A,FALSE,"Sales Analysis";"RR",#N/A,FALSE,"Recent Results"}</definedName>
    <definedName name="wrn.MODEL5" localSheetId="9" hidden="1">{"IS",#N/A,FALSE,"Income Statement";"ISR",#N/A,FALSE,"Income Statement Ratios";"BS",#N/A,FALSE,"Balance Sheet";"BSR",#N/A,FALSE,"Balance Sheet Ratios";"CF",#N/A,FALSE,"Cash Flow";"SALES",#N/A,FALSE,"Sales Analysis";"RR",#N/A,FALSE,"Recent Results"}</definedName>
    <definedName name="wrn.MODEL5" hidden="1">{"IS",#N/A,FALSE,"Income Statement";"ISR",#N/A,FALSE,"Income Statement Ratios";"BS",#N/A,FALSE,"Balance Sheet";"BSR",#N/A,FALSE,"Balance Sheet Ratios";"CF",#N/A,FALSE,"Cash Flow";"SALES",#N/A,FALSE,"Sales Analysis";"RR",#N/A,FALSE,"Recent Results"}</definedName>
    <definedName name="wrn.MonthlyRentRoll." localSheetId="2" hidden="1">{"MonthlyRentRoll",#N/A,FALSE,"RentRoll"}</definedName>
    <definedName name="wrn.MonthlyRentRoll." localSheetId="6" hidden="1">{"MonthlyRentRoll",#N/A,FALSE,"RentRoll"}</definedName>
    <definedName name="wrn.MonthlyRentRoll." localSheetId="8" hidden="1">{"MonthlyRentRoll",#N/A,FALSE,"RentRoll"}</definedName>
    <definedName name="wrn.MonthlyRentRoll." localSheetId="9" hidden="1">{"MonthlyRentRoll",#N/A,FALSE,"RentRoll"}</definedName>
    <definedName name="wrn.MonthlyRentRoll." hidden="1">{"MonthlyRentRoll",#N/A,FALSE,"RentRoll"}</definedName>
    <definedName name="wrn.Occupancy._.Calcs." localSheetId="2" hidden="1">{#N/A,#N/A,FALSE,"Occ. Calcs"}</definedName>
    <definedName name="wrn.Occupancy._.Calcs." localSheetId="6" hidden="1">{#N/A,#N/A,FALSE,"Occ. Calcs"}</definedName>
    <definedName name="wrn.Occupancy._.Calcs." localSheetId="8" hidden="1">{#N/A,#N/A,FALSE,"Occ. Calcs"}</definedName>
    <definedName name="wrn.Occupancy._.Calcs." localSheetId="9" hidden="1">{#N/A,#N/A,FALSE,"Occ. Calcs"}</definedName>
    <definedName name="wrn.Occupancy._.Calcs." hidden="1">{#N/A,#N/A,FALSE,"Occ. Calcs"}</definedName>
    <definedName name="wrn.OperatingAssumtions." localSheetId="2" hidden="1">{#N/A,#N/A,FALSE,"OperatingAssumptions"}</definedName>
    <definedName name="wrn.OperatingAssumtions." localSheetId="6" hidden="1">{#N/A,#N/A,FALSE,"OperatingAssumptions"}</definedName>
    <definedName name="wrn.OperatingAssumtions." localSheetId="8" hidden="1">{#N/A,#N/A,FALSE,"OperatingAssumptions"}</definedName>
    <definedName name="wrn.OperatingAssumtions." localSheetId="9" hidden="1">{#N/A,#N/A,FALSE,"OperatingAssumptions"}</definedName>
    <definedName name="wrn.OperatingAssumtions." hidden="1">{#N/A,#N/A,FALSE,"OperatingAssumptions"}</definedName>
    <definedName name="wrn.Output3Column." localSheetId="2" hidden="1">{"Output-3Column",#N/A,FALSE,"Output"}</definedName>
    <definedName name="wrn.Output3Column." localSheetId="6" hidden="1">{"Output-3Column",#N/A,FALSE,"Output"}</definedName>
    <definedName name="wrn.Output3Column." localSheetId="8" hidden="1">{"Output-3Column",#N/A,FALSE,"Output"}</definedName>
    <definedName name="wrn.Output3Column." localSheetId="9" hidden="1">{"Output-3Column",#N/A,FALSE,"Output"}</definedName>
    <definedName name="wrn.Output3Column." hidden="1">{"Output-3Column",#N/A,FALSE,"Output"}</definedName>
    <definedName name="wrn.OutputAll." localSheetId="2" hidden="1">{"Output-All",#N/A,FALSE,"Output"}</definedName>
    <definedName name="wrn.OutputAll." localSheetId="6" hidden="1">{"Output-All",#N/A,FALSE,"Output"}</definedName>
    <definedName name="wrn.OutputAll." localSheetId="8" hidden="1">{"Output-All",#N/A,FALSE,"Output"}</definedName>
    <definedName name="wrn.OutputAll." localSheetId="9" hidden="1">{"Output-All",#N/A,FALSE,"Output"}</definedName>
    <definedName name="wrn.OutputAll." hidden="1">{"Output-All",#N/A,FALSE,"Output"}</definedName>
    <definedName name="wrn.OutputBaseYear." localSheetId="2" hidden="1">{"Output-BaseYear",#N/A,FALSE,"Output"}</definedName>
    <definedName name="wrn.OutputBaseYear." localSheetId="6" hidden="1">{"Output-BaseYear",#N/A,FALSE,"Output"}</definedName>
    <definedName name="wrn.OutputBaseYear." localSheetId="8" hidden="1">{"Output-BaseYear",#N/A,FALSE,"Output"}</definedName>
    <definedName name="wrn.OutputBaseYear." localSheetId="9" hidden="1">{"Output-BaseYear",#N/A,FALSE,"Output"}</definedName>
    <definedName name="wrn.OutputBaseYear." hidden="1">{"Output-BaseYear",#N/A,FALSE,"Output"}</definedName>
    <definedName name="wrn.OutputMin." localSheetId="2" hidden="1">{"Output-Min",#N/A,FALSE,"Output"}</definedName>
    <definedName name="wrn.OutputMin." localSheetId="6" hidden="1">{"Output-Min",#N/A,FALSE,"Output"}</definedName>
    <definedName name="wrn.OutputMin." localSheetId="8" hidden="1">{"Output-Min",#N/A,FALSE,"Output"}</definedName>
    <definedName name="wrn.OutputMin." localSheetId="9" hidden="1">{"Output-Min",#N/A,FALSE,"Output"}</definedName>
    <definedName name="wrn.OutputMin." hidden="1">{"Output-Min",#N/A,FALSE,"Output"}</definedName>
    <definedName name="wrn.OutputPercent." localSheetId="2" hidden="1">{"Output%",#N/A,FALSE,"Output"}</definedName>
    <definedName name="wrn.OutputPercent." localSheetId="6" hidden="1">{"Output%",#N/A,FALSE,"Output"}</definedName>
    <definedName name="wrn.OutputPercent." localSheetId="8" hidden="1">{"Output%",#N/A,FALSE,"Output"}</definedName>
    <definedName name="wrn.OutputPercent." localSheetId="9" hidden="1">{"Output%",#N/A,FALSE,"Output"}</definedName>
    <definedName name="wrn.OutputPercent." hidden="1">{"Output%",#N/A,FALSE,"Output"}</definedName>
    <definedName name="wrn.PARTIAL." localSheetId="2" hidden="1">{"new",#N/A,FALSE,"D";"PROFORMA",#N/A,FALSE,"A";"partial 1",#N/A,FALSE,"B";"partial 2",#N/A,FALSE,"B";"partial 3",#N/A,FALSE,"B";"SMALL CF 1",#N/A,FALSE,"C"}</definedName>
    <definedName name="wrn.PARTIAL." localSheetId="6" hidden="1">{"new",#N/A,FALSE,"D";"PROFORMA",#N/A,FALSE,"A";"partial 1",#N/A,FALSE,"B";"partial 2",#N/A,FALSE,"B";"partial 3",#N/A,FALSE,"B";"SMALL CF 1",#N/A,FALSE,"C"}</definedName>
    <definedName name="wrn.PARTIAL." localSheetId="8" hidden="1">{"new",#N/A,FALSE,"D";"PROFORMA",#N/A,FALSE,"A";"partial 1",#N/A,FALSE,"B";"partial 2",#N/A,FALSE,"B";"partial 3",#N/A,FALSE,"B";"SMALL CF 1",#N/A,FALSE,"C"}</definedName>
    <definedName name="wrn.PARTIAL." localSheetId="9" hidden="1">{"new",#N/A,FALSE,"D";"PROFORMA",#N/A,FALSE,"A";"partial 1",#N/A,FALSE,"B";"partial 2",#N/A,FALSE,"B";"partial 3",#N/A,FALSE,"B";"SMALL CF 1",#N/A,FALSE,"C"}</definedName>
    <definedName name="wrn.PARTIAL." hidden="1">{"new",#N/A,FALSE,"D";"PROFORMA",#N/A,FALSE,"A";"partial 1",#N/A,FALSE,"B";"partial 2",#N/A,FALSE,"B";"partial 3",#N/A,FALSE,"B";"SMALL CF 1",#N/A,FALSE,"C"}</definedName>
    <definedName name="wrn.Penetration." localSheetId="2" hidden="1">{#N/A,#N/A,FALSE,"Mkt Pen"}</definedName>
    <definedName name="wrn.Penetration." localSheetId="6" hidden="1">{#N/A,#N/A,FALSE,"Mkt Pen"}</definedName>
    <definedName name="wrn.Penetration." localSheetId="8" hidden="1">{#N/A,#N/A,FALSE,"Mkt Pen"}</definedName>
    <definedName name="wrn.Penetration." localSheetId="9" hidden="1">{#N/A,#N/A,FALSE,"Mkt Pen"}</definedName>
    <definedName name="wrn.Penetration." hidden="1">{#N/A,#N/A,FALSE,"Mkt Pen"}</definedName>
    <definedName name="wrn.PRES_OUT." localSheetId="2" hidden="1">{"page1",#N/A,FALSE,"PRESENTATION";"page2",#N/A,FALSE,"PRESENTATION";#N/A,#N/A,FALSE,"Valuation Summary"}</definedName>
    <definedName name="wrn.PRES_OUT." localSheetId="6" hidden="1">{"page1",#N/A,FALSE,"PRESENTATION";"page2",#N/A,FALSE,"PRESENTATION";#N/A,#N/A,FALSE,"Valuation Summary"}</definedName>
    <definedName name="wrn.PRES_OUT." localSheetId="8" hidden="1">{"page1",#N/A,FALSE,"PRESENTATION";"page2",#N/A,FALSE,"PRESENTATION";#N/A,#N/A,FALSE,"Valuation Summary"}</definedName>
    <definedName name="wrn.PRES_OUT." localSheetId="9" hidden="1">{"page1",#N/A,FALSE,"PRESENTATION";"page2",#N/A,FALSE,"PRESENTATION";#N/A,#N/A,FALSE,"Valuation Summary"}</definedName>
    <definedName name="wrn.PRES_OUT." hidden="1">{"page1",#N/A,FALSE,"PRESENTATION";"page2",#N/A,FALSE,"PRESENTATION";#N/A,#N/A,FALSE,"Valuation Summary"}</definedName>
    <definedName name="wrn.Presentation." localSheetId="2" hidden="1">{#N/A,#N/A,TRUE,"Summary";"AnnualRentRoll",#N/A,TRUE,"RentRoll";#N/A,#N/A,TRUE,"ExitStratigy";#N/A,#N/A,TRUE,"OperatingAssumptions"}</definedName>
    <definedName name="wrn.Presentation." localSheetId="6" hidden="1">{#N/A,#N/A,TRUE,"Summary";"AnnualRentRoll",#N/A,TRUE,"RentRoll";#N/A,#N/A,TRUE,"ExitStratigy";#N/A,#N/A,TRUE,"OperatingAssumptions"}</definedName>
    <definedName name="wrn.Presentation." localSheetId="8" hidden="1">{#N/A,#N/A,TRUE,"Summary";"AnnualRentRoll",#N/A,TRUE,"RentRoll";#N/A,#N/A,TRUE,"ExitStratigy";#N/A,#N/A,TRUE,"OperatingAssumptions"}</definedName>
    <definedName name="wrn.Presentation." localSheetId="9" hidden="1">{#N/A,#N/A,TRUE,"Summary";"AnnualRentRoll",#N/A,TRUE,"RentRoll";#N/A,#N/A,TRUE,"ExitStratigy";#N/A,#N/A,TRUE,"OperatingAssumptions"}</definedName>
    <definedName name="wrn.Presentation." hidden="1">{#N/A,#N/A,TRUE,"Summary";"AnnualRentRoll",#N/A,TRUE,"RentRoll";#N/A,#N/A,TRUE,"ExitStratigy";#N/A,#N/A,TRUE,"OperatingAssumptions"}</definedName>
    <definedName name="wrn.Primary._.Competition." localSheetId="2" hidden="1">{#N/A,#N/A,FALSE,"Primary"}</definedName>
    <definedName name="wrn.Primary._.Competition." localSheetId="6" hidden="1">{#N/A,#N/A,FALSE,"Primary"}</definedName>
    <definedName name="wrn.Primary._.Competition." localSheetId="8" hidden="1">{#N/A,#N/A,FALSE,"Primary"}</definedName>
    <definedName name="wrn.Primary._.Competition." localSheetId="9" hidden="1">{#N/A,#N/A,FALSE,"Primary"}</definedName>
    <definedName name="wrn.Primary._.Competition." hidden="1">{#N/A,#N/A,FALSE,"Primary"}</definedName>
    <definedName name="wrn.Print." localSheetId="2" hidden="1">{#N/A,#N/A,TRUE,"Cover";#N/A,#N/A,TRUE,"Stack";#N/A,#N/A,TRUE,"Cost S";#N/A,#N/A,TRUE,"Financing";#N/A,#N/A,TRUE," CF";#N/A,#N/A,TRUE,"CF Mnthly";#N/A,#N/A,TRUE,"CF assum";#N/A,#N/A,TRUE,"Unit Sales";#N/A,#N/A,TRUE,"REV";#N/A,#N/A,TRUE,"Bdgt Backup"}</definedName>
    <definedName name="wrn.Print." localSheetId="6" hidden="1">{#N/A,#N/A,TRUE,"Cover";#N/A,#N/A,TRUE,"Stack";#N/A,#N/A,TRUE,"Cost S";#N/A,#N/A,TRUE,"Financing";#N/A,#N/A,TRUE," CF";#N/A,#N/A,TRUE,"CF Mnthly";#N/A,#N/A,TRUE,"CF assum";#N/A,#N/A,TRUE,"Unit Sales";#N/A,#N/A,TRUE,"REV";#N/A,#N/A,TRUE,"Bdgt Backup"}</definedName>
    <definedName name="wrn.Print." localSheetId="8" hidden="1">{#N/A,#N/A,TRUE,"Cover";#N/A,#N/A,TRUE,"Stack";#N/A,#N/A,TRUE,"Cost S";#N/A,#N/A,TRUE,"Financing";#N/A,#N/A,TRUE," CF";#N/A,#N/A,TRUE,"CF Mnthly";#N/A,#N/A,TRUE,"CF assum";#N/A,#N/A,TRUE,"Unit Sales";#N/A,#N/A,TRUE,"REV";#N/A,#N/A,TRUE,"Bdgt Backup"}</definedName>
    <definedName name="wrn.Print." localSheetId="9" hidden="1">{#N/A,#N/A,TRUE,"Cover";#N/A,#N/A,TRUE,"Stack";#N/A,#N/A,TRUE,"Cost S";#N/A,#N/A,TRUE,"Financing";#N/A,#N/A,TRUE," CF";#N/A,#N/A,TRUE,"CF Mnthly";#N/A,#N/A,TRUE,"CF assum";#N/A,#N/A,TRUE,"Unit Sales";#N/A,#N/A,TRUE,"REV";#N/A,#N/A,TRUE,"Bdgt Backup"}</definedName>
    <definedName name="wrn.Print." hidden="1">{#N/A,#N/A,TRUE,"Cover";#N/A,#N/A,TRUE,"Stack";#N/A,#N/A,TRUE,"Cost S";#N/A,#N/A,TRUE,"Financing";#N/A,#N/A,TRUE," CF";#N/A,#N/A,TRUE,"CF Mnthly";#N/A,#N/A,TRUE,"CF assum";#N/A,#N/A,TRUE,"Unit Sales";#N/A,#N/A,TRUE,"REV";#N/A,#N/A,TRUE,"Bdgt Backup"}</definedName>
    <definedName name="wrn.Print._.4." localSheetId="2" hidden="1">{"Outflow 1",#N/A,FALSE,"Outflows-Inflows";"Outflow 2",#N/A,FALSE,"Outflows-Inflows";"Inflow 1",#N/A,FALSE,"Outflows-Inflows";"Inflow 2",#N/A,FALSE,"Outflows-Inflows"}</definedName>
    <definedName name="wrn.Print._.4." localSheetId="6" hidden="1">{"Outflow 1",#N/A,FALSE,"Outflows-Inflows";"Outflow 2",#N/A,FALSE,"Outflows-Inflows";"Inflow 1",#N/A,FALSE,"Outflows-Inflows";"Inflow 2",#N/A,FALSE,"Outflows-Inflows"}</definedName>
    <definedName name="wrn.Print._.4." localSheetId="8" hidden="1">{"Outflow 1",#N/A,FALSE,"Outflows-Inflows";"Outflow 2",#N/A,FALSE,"Outflows-Inflows";"Inflow 1",#N/A,FALSE,"Outflows-Inflows";"Inflow 2",#N/A,FALSE,"Outflows-Inflows"}</definedName>
    <definedName name="wrn.Print._.4." localSheetId="9" hidden="1">{"Outflow 1",#N/A,FALSE,"Outflows-Inflows";"Outflow 2",#N/A,FALSE,"Outflows-Inflows";"Inflow 1",#N/A,FALSE,"Outflows-Inflows";"Inflow 2",#N/A,FALSE,"Outflows-Inflows"}</definedName>
    <definedName name="wrn.Print._.4." hidden="1">{"Outflow 1",#N/A,FALSE,"Outflows-Inflows";"Outflow 2",#N/A,FALSE,"Outflows-Inflows";"Inflow 1",#N/A,FALSE,"Outflows-Inflows";"Inflow 2",#N/A,FALSE,"Outflows-Inflows"}</definedName>
    <definedName name="wrn.Print._.6." localSheetId="2" hidden="1">{"print 1.6",#N/A,FALSE,"Sheet1";"print 2.6",#N/A,FALSE,"Sheet1";"print 3.6",#N/A,FALSE,"Sheet1";"print 4.6",#N/A,FALSE,"Sheet1";"print 5.6",#N/A,FALSE,"Sheet1";"print 6.6",#N/A,FALSE,"Sheet1"}</definedName>
    <definedName name="wrn.Print._.6." localSheetId="6" hidden="1">{"print 1.6",#N/A,FALSE,"Sheet1";"print 2.6",#N/A,FALSE,"Sheet1";"print 3.6",#N/A,FALSE,"Sheet1";"print 4.6",#N/A,FALSE,"Sheet1";"print 5.6",#N/A,FALSE,"Sheet1";"print 6.6",#N/A,FALSE,"Sheet1"}</definedName>
    <definedName name="wrn.Print._.6." localSheetId="8" hidden="1">{"print 1.6",#N/A,FALSE,"Sheet1";"print 2.6",#N/A,FALSE,"Sheet1";"print 3.6",#N/A,FALSE,"Sheet1";"print 4.6",#N/A,FALSE,"Sheet1";"print 5.6",#N/A,FALSE,"Sheet1";"print 6.6",#N/A,FALSE,"Sheet1"}</definedName>
    <definedName name="wrn.Print._.6." localSheetId="9" hidden="1">{"print 1.6",#N/A,FALSE,"Sheet1";"print 2.6",#N/A,FALSE,"Sheet1";"print 3.6",#N/A,FALSE,"Sheet1";"print 4.6",#N/A,FALSE,"Sheet1";"print 5.6",#N/A,FALSE,"Sheet1";"print 6.6",#N/A,FALSE,"Sheet1"}</definedName>
    <definedName name="wrn.Print._.6." hidden="1">{"print 1.6",#N/A,FALSE,"Sheet1";"print 2.6",#N/A,FALSE,"Sheet1";"print 3.6",#N/A,FALSE,"Sheet1";"print 4.6",#N/A,FALSE,"Sheet1";"print 5.6",#N/A,FALSE,"Sheet1";"print 6.6",#N/A,FALSE,"Sheet1"}</definedName>
    <definedName name="wrn.Print._.All._.Pages." localSheetId="2" hidden="1">{"LBO Summary",#N/A,FALSE,"Summary";"Income Statement",#N/A,FALSE,"Model";"Cash Flow",#N/A,FALSE,"Model";"Balance Sheet",#N/A,FALSE,"Model";"Working Capital",#N/A,FALSE,"Model";"Pro Forma Balance Sheets",#N/A,FALSE,"PFBS";"Debt Balances",#N/A,FALSE,"Model";"Fee Schedules",#N/A,FALSE,"Model"}</definedName>
    <definedName name="wrn.Print._.All._.Pages." localSheetId="6" hidden="1">{"LBO Summary",#N/A,FALSE,"Summary";"Income Statement",#N/A,FALSE,"Model";"Cash Flow",#N/A,FALSE,"Model";"Balance Sheet",#N/A,FALSE,"Model";"Working Capital",#N/A,FALSE,"Model";"Pro Forma Balance Sheets",#N/A,FALSE,"PFBS";"Debt Balances",#N/A,FALSE,"Model";"Fee Schedules",#N/A,FALSE,"Model"}</definedName>
    <definedName name="wrn.Print._.All._.Pages." localSheetId="8" hidden="1">{"LBO Summary",#N/A,FALSE,"Summary";"Income Statement",#N/A,FALSE,"Model";"Cash Flow",#N/A,FALSE,"Model";"Balance Sheet",#N/A,FALSE,"Model";"Working Capital",#N/A,FALSE,"Model";"Pro Forma Balance Sheets",#N/A,FALSE,"PFBS";"Debt Balances",#N/A,FALSE,"Model";"Fee Schedules",#N/A,FALSE,"Model"}</definedName>
    <definedName name="wrn.Print._.All._.Pages." localSheetId="9" hidden="1">{"LBO Summary",#N/A,FALSE,"Summary";"Income Statement",#N/A,FALSE,"Model";"Cash Flow",#N/A,FALSE,"Model";"Balance Sheet",#N/A,FALSE,"Model";"Working Capital",#N/A,FALSE,"Model";"Pro Forma Balance Sheets",#N/A,FALSE,"PFBS";"Debt Balances",#N/A,FALSE,"Model";"Fee Schedules",#N/A,FALSE,"Model"}</definedName>
    <definedName name="wrn.Print._.All._.Pages." hidden="1">{"LBO Summary",#N/A,FALSE,"Summary";"Income Statement",#N/A,FALSE,"Model";"Cash Flow",#N/A,FALSE,"Model";"Balance Sheet",#N/A,FALSE,"Model";"Working Capital",#N/A,FALSE,"Model";"Pro Forma Balance Sheets",#N/A,FALSE,"PFBS";"Debt Balances",#N/A,FALSE,"Model";"Fee Schedules",#N/A,FALSE,"Model"}</definedName>
    <definedName name="wrn.print2." localSheetId="2" hidden="1">{"Assump",#N/A,TRUE,"Proforma";"first",#N/A,TRUE,"Proforma";"second",#N/A,TRUE,"Proforma";"lease1",#N/A,TRUE,"Proforma";"lease2",#N/A,TRUE,"Proforma"}</definedName>
    <definedName name="wrn.print2." localSheetId="6" hidden="1">{"Assump",#N/A,TRUE,"Proforma";"first",#N/A,TRUE,"Proforma";"second",#N/A,TRUE,"Proforma";"lease1",#N/A,TRUE,"Proforma";"lease2",#N/A,TRUE,"Proforma"}</definedName>
    <definedName name="wrn.print2." localSheetId="8" hidden="1">{"Assump",#N/A,TRUE,"Proforma";"first",#N/A,TRUE,"Proforma";"second",#N/A,TRUE,"Proforma";"lease1",#N/A,TRUE,"Proforma";"lease2",#N/A,TRUE,"Proforma"}</definedName>
    <definedName name="wrn.print2." localSheetId="9" hidden="1">{"Assump",#N/A,TRUE,"Proforma";"first",#N/A,TRUE,"Proforma";"second",#N/A,TRUE,"Proforma";"lease1",#N/A,TRUE,"Proforma";"lease2",#N/A,TRUE,"Proforma"}</definedName>
    <definedName name="wrn.print2." hidden="1">{"Assump",#N/A,TRUE,"Proforma";"first",#N/A,TRUE,"Proforma";"second",#N/A,TRUE,"Proforma";"lease1",#N/A,TRUE,"Proforma";"lease2",#N/A,TRUE,"Proforma"}</definedName>
    <definedName name="wrn.print5" localSheetId="2" hidden="1">{"Assump",#N/A,TRUE,"Proforma";"first",#N/A,TRUE,"Proforma";"second",#N/A,TRUE,"Proforma";"lease1",#N/A,TRUE,"Proforma";"lease2",#N/A,TRUE,"Proforma"}</definedName>
    <definedName name="wrn.print5" localSheetId="6" hidden="1">{"Assump",#N/A,TRUE,"Proforma";"first",#N/A,TRUE,"Proforma";"second",#N/A,TRUE,"Proforma";"lease1",#N/A,TRUE,"Proforma";"lease2",#N/A,TRUE,"Proforma"}</definedName>
    <definedName name="wrn.print5" localSheetId="8" hidden="1">{"Assump",#N/A,TRUE,"Proforma";"first",#N/A,TRUE,"Proforma";"second",#N/A,TRUE,"Proforma";"lease1",#N/A,TRUE,"Proforma";"lease2",#N/A,TRUE,"Proforma"}</definedName>
    <definedName name="wrn.print5" localSheetId="9" hidden="1">{"Assump",#N/A,TRUE,"Proforma";"first",#N/A,TRUE,"Proforma";"second",#N/A,TRUE,"Proforma";"lease1",#N/A,TRUE,"Proforma";"lease2",#N/A,TRUE,"Proforma"}</definedName>
    <definedName name="wrn.print5" hidden="1">{"Assump",#N/A,TRUE,"Proforma";"first",#N/A,TRUE,"Proforma";"second",#N/A,TRUE,"Proforma";"lease1",#N/A,TRUE,"Proforma";"lease2",#N/A,TRUE,"Proforma"}</definedName>
    <definedName name="wrn.PropertyInformation." localSheetId="2" hidden="1">{#N/A,#N/A,FALSE,"PropertyInfo"}</definedName>
    <definedName name="wrn.PropertyInformation." localSheetId="6" hidden="1">{#N/A,#N/A,FALSE,"PropertyInfo"}</definedName>
    <definedName name="wrn.PropertyInformation." localSheetId="8" hidden="1">{#N/A,#N/A,FALSE,"PropertyInfo"}</definedName>
    <definedName name="wrn.PropertyInformation." localSheetId="9" hidden="1">{#N/A,#N/A,FALSE,"PropertyInfo"}</definedName>
    <definedName name="wrn.PropertyInformation." hidden="1">{#N/A,#N/A,FALSE,"PropertyInfo"}</definedName>
    <definedName name="wrn.Relevant._.Sections." localSheetId="8" hidden="1">{#N/A,#N/A,FALSE,"Summary";#N/A,#N/A,FALSE,"Program Scheme";#N/A,#N/A,FALSE,"Assumptions";#N/A,#N/A,FALSE,"Development Budget";#N/A,#N/A,FALSE,"Timing";#N/A,#N/A,FALSE,"Development Costs &amp; Revenues";#N/A,#N/A,FALSE,"Cash Flow to Debt &amp; Equity";#N/A,#N/A,FALSE,"Cash Flow to Athena LP"}</definedName>
    <definedName name="wrn.Relevant._.Sections." localSheetId="9" hidden="1">{#N/A,#N/A,FALSE,"Summary";#N/A,#N/A,FALSE,"Program Scheme";#N/A,#N/A,FALSE,"Assumptions";#N/A,#N/A,FALSE,"Development Budget";#N/A,#N/A,FALSE,"Timing";#N/A,#N/A,FALSE,"Development Costs &amp; Revenues";#N/A,#N/A,FALSE,"Cash Flow to Debt &amp; Equity";#N/A,#N/A,FALSE,"Cash Flow to Athena LP"}</definedName>
    <definedName name="wrn.Relevant._.Sections." hidden="1">{#N/A,#N/A,FALSE,"Summary";#N/A,#N/A,FALSE,"Program Scheme";#N/A,#N/A,FALSE,"Assumptions";#N/A,#N/A,FALSE,"Development Budget";#N/A,#N/A,FALSE,"Timing";#N/A,#N/A,FALSE,"Development Costs &amp; Revenues";#N/A,#N/A,FALSE,"Cash Flow to Debt &amp; Equity";#N/A,#N/A,FALSE,"Cash Flow to Athena LP"}</definedName>
    <definedName name="wrn.Report." localSheetId="2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wrn.Report." localSheetId="6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wrn.Report." localSheetId="8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wrn.Report." localSheetId="9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wrn.Report.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wrn.Report1." localSheetId="2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wrn.Report1." localSheetId="6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wrn.Report1." localSheetId="8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wrn.Report1." localSheetId="9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wrn.Report1.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wrn.Report5" localSheetId="2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wrn.Report5" localSheetId="6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wrn.Report5" localSheetId="8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wrn.Report5" localSheetId="9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wrn.Report5" hidden="1">{#N/A,#N/A,FALSE,"Summary";#N/A,#N/A,FALSE,"Assumptions";#N/A,#N/A,FALSE,"Cash Flow";#N/A,#N/A,FALSE,"Residual Calculation";#N/A,#N/A,FALSE,"Pricing Matrix";#N/A,#N/A,FALSE,"Pricing Matrix II";#N/A,#N/A,FALSE,"Expiration Schedule"}</definedName>
    <definedName name="wrn.Secondary._.Competition." localSheetId="2" hidden="1">{#N/A,#N/A,FALSE,"Secondary"}</definedName>
    <definedName name="wrn.Secondary._.Competition." localSheetId="6" hidden="1">{#N/A,#N/A,FALSE,"Secondary"}</definedName>
    <definedName name="wrn.Secondary._.Competition." localSheetId="8" hidden="1">{#N/A,#N/A,FALSE,"Secondary"}</definedName>
    <definedName name="wrn.Secondary._.Competition." localSheetId="9" hidden="1">{#N/A,#N/A,FALSE,"Secondary"}</definedName>
    <definedName name="wrn.Secondary._.Competition." hidden="1">{#N/A,#N/A,FALSE,"Secondary"}</definedName>
    <definedName name="wrn.Short._.Print." localSheetId="2" hidden="1">{#N/A,#N/A,FALSE,"Cover";#N/A,#N/A,FALSE,"Stack";#N/A,#N/A,FALSE,"Cost S";#N/A,#N/A,FALSE," CF";#N/A,#N/A,FALSE,"Investor"}</definedName>
    <definedName name="wrn.Short._.Print." localSheetId="6" hidden="1">{#N/A,#N/A,FALSE,"Cover";#N/A,#N/A,FALSE,"Stack";#N/A,#N/A,FALSE,"Cost S";#N/A,#N/A,FALSE," CF";#N/A,#N/A,FALSE,"Investor"}</definedName>
    <definedName name="wrn.Short._.Print." localSheetId="8" hidden="1">{#N/A,#N/A,FALSE,"Cover";#N/A,#N/A,FALSE,"Stack";#N/A,#N/A,FALSE,"Cost S";#N/A,#N/A,FALSE," CF";#N/A,#N/A,FALSE,"Investor"}</definedName>
    <definedName name="wrn.Short._.Print." localSheetId="9" hidden="1">{#N/A,#N/A,FALSE,"Cover";#N/A,#N/A,FALSE,"Stack";#N/A,#N/A,FALSE,"Cost S";#N/A,#N/A,FALSE," CF";#N/A,#N/A,FALSE,"Investor"}</definedName>
    <definedName name="wrn.Short._.Print." hidden="1">{#N/A,#N/A,FALSE,"Cover";#N/A,#N/A,FALSE,"Stack";#N/A,#N/A,FALSE,"Cost S";#N/A,#N/A,FALSE," CF";#N/A,#N/A,FALSE,"Investor"}</definedName>
    <definedName name="wrn.Summary." localSheetId="2" hidden="1">{#N/A,#N/A,FALSE,"Summary"}</definedName>
    <definedName name="wrn.Summary." localSheetId="6" hidden="1">{#N/A,#N/A,FALSE,"Summary"}</definedName>
    <definedName name="wrn.Summary." localSheetId="8" hidden="1">{#N/A,#N/A,FALSE,"Summary"}</definedName>
    <definedName name="wrn.Summary." localSheetId="9" hidden="1">{#N/A,#N/A,FALSE,"Summary"}</definedName>
    <definedName name="wrn.Summary." hidden="1">{#N/A,#N/A,FALSE,"Summary"}</definedName>
    <definedName name="wrn.SUN1." localSheetId="2" hidden="1">{#N/A,#N/A,FALSE,"Assumptions";#N/A,#N/A,FALSE,"office";#N/A,#N/A,FALSE,"monthly"}</definedName>
    <definedName name="wrn.SUN1." localSheetId="6" hidden="1">{#N/A,#N/A,FALSE,"Assumptions";#N/A,#N/A,FALSE,"office";#N/A,#N/A,FALSE,"monthly"}</definedName>
    <definedName name="wrn.SUN1." localSheetId="8" hidden="1">{#N/A,#N/A,FALSE,"Assumptions";#N/A,#N/A,FALSE,"office";#N/A,#N/A,FALSE,"monthly"}</definedName>
    <definedName name="wrn.SUN1." localSheetId="9" hidden="1">{#N/A,#N/A,FALSE,"Assumptions";#N/A,#N/A,FALSE,"office";#N/A,#N/A,FALSE,"monthly"}</definedName>
    <definedName name="wrn.SUN1." hidden="1">{#N/A,#N/A,FALSE,"Assumptions";#N/A,#N/A,FALSE,"office";#N/A,#N/A,FALSE,"monthly"}</definedName>
    <definedName name="wrn.sun2" localSheetId="2" hidden="1">{#N/A,#N/A,FALSE,"Assumptions";#N/A,#N/A,FALSE,"office";#N/A,#N/A,FALSE,"monthly"}</definedName>
    <definedName name="wrn.sun2" localSheetId="6" hidden="1">{#N/A,#N/A,FALSE,"Assumptions";#N/A,#N/A,FALSE,"office";#N/A,#N/A,FALSE,"monthly"}</definedName>
    <definedName name="wrn.sun2" localSheetId="8" hidden="1">{#N/A,#N/A,FALSE,"Assumptions";#N/A,#N/A,FALSE,"office";#N/A,#N/A,FALSE,"monthly"}</definedName>
    <definedName name="wrn.sun2" localSheetId="9" hidden="1">{#N/A,#N/A,FALSE,"Assumptions";#N/A,#N/A,FALSE,"office";#N/A,#N/A,FALSE,"monthly"}</definedName>
    <definedName name="wrn.sun2" hidden="1">{#N/A,#N/A,FALSE,"Assumptions";#N/A,#N/A,FALSE,"office";#N/A,#N/A,FALSE,"monthly"}</definedName>
    <definedName name="wrn.Supply._.Additions." localSheetId="2" hidden="1">{#N/A,#N/A,FALSE,"Supply Addn"}</definedName>
    <definedName name="wrn.Supply._.Additions." localSheetId="6" hidden="1">{#N/A,#N/A,FALSE,"Supply Addn"}</definedName>
    <definedName name="wrn.Supply._.Additions." localSheetId="8" hidden="1">{#N/A,#N/A,FALSE,"Supply Addn"}</definedName>
    <definedName name="wrn.Supply._.Additions." localSheetId="9" hidden="1">{#N/A,#N/A,FALSE,"Supply Addn"}</definedName>
    <definedName name="wrn.Supply._.Additions." hidden="1">{#N/A,#N/A,FALSE,"Supply Addn"}</definedName>
    <definedName name="wrn.Total." localSheetId="2" hidden="1">{#N/A,#N/A,FALSE,"Exec Sum";#N/A,#N/A,FALSE,"Rent Rate Comp";#N/A,#N/A,FALSE,"Rate, NPV Comp";#N/A,#N/A,FALSE,"Opt A NNN";#N/A,#N/A,FALSE,"15-yr Opt. A Sum";#N/A,#N/A,FALSE,"15-yr Opt A Other Costs";#N/A,#N/A,FALSE,"10-yr Opt. A Sum";#N/A,#N/A,FALSE,"10-yr Opt A Other Costs";#N/A,#N/A,FALSE,"NPV Calc"}</definedName>
    <definedName name="wrn.Total." localSheetId="6" hidden="1">{#N/A,#N/A,FALSE,"Exec Sum";#N/A,#N/A,FALSE,"Rent Rate Comp";#N/A,#N/A,FALSE,"Rate, NPV Comp";#N/A,#N/A,FALSE,"Opt A NNN";#N/A,#N/A,FALSE,"15-yr Opt. A Sum";#N/A,#N/A,FALSE,"15-yr Opt A Other Costs";#N/A,#N/A,FALSE,"10-yr Opt. A Sum";#N/A,#N/A,FALSE,"10-yr Opt A Other Costs";#N/A,#N/A,FALSE,"NPV Calc"}</definedName>
    <definedName name="wrn.Total." localSheetId="8" hidden="1">{#N/A,#N/A,FALSE,"Exec Sum";#N/A,#N/A,FALSE,"Rent Rate Comp";#N/A,#N/A,FALSE,"Rate, NPV Comp";#N/A,#N/A,FALSE,"Opt A NNN";#N/A,#N/A,FALSE,"15-yr Opt. A Sum";#N/A,#N/A,FALSE,"15-yr Opt A Other Costs";#N/A,#N/A,FALSE,"10-yr Opt. A Sum";#N/A,#N/A,FALSE,"10-yr Opt A Other Costs";#N/A,#N/A,FALSE,"NPV Calc"}</definedName>
    <definedName name="wrn.Total." localSheetId="9" hidden="1">{#N/A,#N/A,FALSE,"Exec Sum";#N/A,#N/A,FALSE,"Rent Rate Comp";#N/A,#N/A,FALSE,"Rate, NPV Comp";#N/A,#N/A,FALSE,"Opt A NNN";#N/A,#N/A,FALSE,"15-yr Opt. A Sum";#N/A,#N/A,FALSE,"15-yr Opt A Other Costs";#N/A,#N/A,FALSE,"10-yr Opt. A Sum";#N/A,#N/A,FALSE,"10-yr Opt A Other Costs";#N/A,#N/A,FALSE,"NPV Calc"}</definedName>
    <definedName name="wrn.Total." hidden="1">{#N/A,#N/A,FALSE,"Exec Sum";#N/A,#N/A,FALSE,"Rent Rate Comp";#N/A,#N/A,FALSE,"Rate, NPV Comp";#N/A,#N/A,FALSE,"Opt A NNN";#N/A,#N/A,FALSE,"15-yr Opt. A Sum";#N/A,#N/A,FALSE,"15-yr Opt A Other Costs";#N/A,#N/A,FALSE,"10-yr Opt. A Sum";#N/A,#N/A,FALSE,"10-yr Opt A Other Costs";#N/A,#N/A,FALSE,"NPV Calc"}</definedName>
    <definedName name="wrn.TOTAL._.SHEETS." localSheetId="2" hidden="1">{#N/A,#N/A,FALSE,"DEV COSTS";#N/A,#N/A,FALSE,"10-YR C. F."}</definedName>
    <definedName name="wrn.TOTAL._.SHEETS." localSheetId="6" hidden="1">{#N/A,#N/A,FALSE,"DEV COSTS";#N/A,#N/A,FALSE,"10-YR C. F."}</definedName>
    <definedName name="wrn.TOTAL._.SHEETS." localSheetId="8" hidden="1">{#N/A,#N/A,FALSE,"DEV COSTS";#N/A,#N/A,FALSE,"10-YR C. F."}</definedName>
    <definedName name="wrn.TOTAL._.SHEETS." localSheetId="9" hidden="1">{#N/A,#N/A,FALSE,"DEV COSTS";#N/A,#N/A,FALSE,"10-YR C. F."}</definedName>
    <definedName name="wrn.TOTAL._.SHEETS." hidden="1">{#N/A,#N/A,FALSE,"DEV COSTS";#N/A,#N/A,FALSE,"10-YR C. F."}</definedName>
    <definedName name="wrn.TOTAL._.SHEETS5" localSheetId="2" hidden="1">{#N/A,#N/A,FALSE,"DEV COSTS";#N/A,#N/A,FALSE,"10-YR C. F."}</definedName>
    <definedName name="wrn.TOTAL._.SHEETS5" localSheetId="6" hidden="1">{#N/A,#N/A,FALSE,"DEV COSTS";#N/A,#N/A,FALSE,"10-YR C. F."}</definedName>
    <definedName name="wrn.TOTAL._.SHEETS5" localSheetId="8" hidden="1">{#N/A,#N/A,FALSE,"DEV COSTS";#N/A,#N/A,FALSE,"10-YR C. F."}</definedName>
    <definedName name="wrn.TOTAL._.SHEETS5" localSheetId="9" hidden="1">{#N/A,#N/A,FALSE,"DEV COSTS";#N/A,#N/A,FALSE,"10-YR C. F."}</definedName>
    <definedName name="wrn.TOTAL._.SHEETS5" hidden="1">{#N/A,#N/A,FALSE,"DEV COSTS";#N/A,#N/A,FALSE,"10-YR C. F."}</definedName>
    <definedName name="wrn.Total5" localSheetId="2" hidden="1">{#N/A,#N/A,FALSE,"Exec Sum";#N/A,#N/A,FALSE,"Rent Rate Comp";#N/A,#N/A,FALSE,"Rate, NPV Comp";#N/A,#N/A,FALSE,"Opt A NNN";#N/A,#N/A,FALSE,"15-yr Opt. A Sum";#N/A,#N/A,FALSE,"15-yr Opt A Other Costs";#N/A,#N/A,FALSE,"10-yr Opt. A Sum";#N/A,#N/A,FALSE,"10-yr Opt A Other Costs";#N/A,#N/A,FALSE,"NPV Calc"}</definedName>
    <definedName name="wrn.Total5" localSheetId="6" hidden="1">{#N/A,#N/A,FALSE,"Exec Sum";#N/A,#N/A,FALSE,"Rent Rate Comp";#N/A,#N/A,FALSE,"Rate, NPV Comp";#N/A,#N/A,FALSE,"Opt A NNN";#N/A,#N/A,FALSE,"15-yr Opt. A Sum";#N/A,#N/A,FALSE,"15-yr Opt A Other Costs";#N/A,#N/A,FALSE,"10-yr Opt. A Sum";#N/A,#N/A,FALSE,"10-yr Opt A Other Costs";#N/A,#N/A,FALSE,"NPV Calc"}</definedName>
    <definedName name="wrn.Total5" localSheetId="8" hidden="1">{#N/A,#N/A,FALSE,"Exec Sum";#N/A,#N/A,FALSE,"Rent Rate Comp";#N/A,#N/A,FALSE,"Rate, NPV Comp";#N/A,#N/A,FALSE,"Opt A NNN";#N/A,#N/A,FALSE,"15-yr Opt. A Sum";#N/A,#N/A,FALSE,"15-yr Opt A Other Costs";#N/A,#N/A,FALSE,"10-yr Opt. A Sum";#N/A,#N/A,FALSE,"10-yr Opt A Other Costs";#N/A,#N/A,FALSE,"NPV Calc"}</definedName>
    <definedName name="wrn.Total5" localSheetId="9" hidden="1">{#N/A,#N/A,FALSE,"Exec Sum";#N/A,#N/A,FALSE,"Rent Rate Comp";#N/A,#N/A,FALSE,"Rate, NPV Comp";#N/A,#N/A,FALSE,"Opt A NNN";#N/A,#N/A,FALSE,"15-yr Opt. A Sum";#N/A,#N/A,FALSE,"15-yr Opt A Other Costs";#N/A,#N/A,FALSE,"10-yr Opt. A Sum";#N/A,#N/A,FALSE,"10-yr Opt A Other Costs";#N/A,#N/A,FALSE,"NPV Calc"}</definedName>
    <definedName name="wrn.Total5" hidden="1">{#N/A,#N/A,FALSE,"Exec Sum";#N/A,#N/A,FALSE,"Rent Rate Comp";#N/A,#N/A,FALSE,"Rate, NPV Comp";#N/A,#N/A,FALSE,"Opt A NNN";#N/A,#N/A,FALSE,"15-yr Opt. A Sum";#N/A,#N/A,FALSE,"15-yr Opt A Other Costs";#N/A,#N/A,FALSE,"10-yr Opt. A Sum";#N/A,#N/A,FALSE,"10-yr Opt A Other Costs";#N/A,#N/A,FALSE,"NPV Calc"}</definedName>
    <definedName name="wrn.Tycon._.Model." localSheetId="2" hidden="1">{"rtn",#N/A,FALSE,"RTN";"tables",#N/A,FALSE,"RTN";"cf",#N/A,FALSE,"CF";"stats",#N/A,FALSE,"Stats";"prop",#N/A,FALSE,"Prop"}</definedName>
    <definedName name="wrn.Tycon._.Model." localSheetId="6" hidden="1">{"rtn",#N/A,FALSE,"RTN";"tables",#N/A,FALSE,"RTN";"cf",#N/A,FALSE,"CF";"stats",#N/A,FALSE,"Stats";"prop",#N/A,FALSE,"Prop"}</definedName>
    <definedName name="wrn.Tycon._.Model." localSheetId="8" hidden="1">{"rtn",#N/A,FALSE,"RTN";"tables",#N/A,FALSE,"RTN";"cf",#N/A,FALSE,"CF";"stats",#N/A,FALSE,"Stats";"prop",#N/A,FALSE,"Prop"}</definedName>
    <definedName name="wrn.Tycon._.Model." localSheetId="9" hidden="1">{"rtn",#N/A,FALSE,"RTN";"tables",#N/A,FALSE,"RTN";"cf",#N/A,FALSE,"CF";"stats",#N/A,FALSE,"Stats";"prop",#N/A,FALSE,"Prop"}</definedName>
    <definedName name="wrn.Tycon._.Model." hidden="1">{"rtn",#N/A,FALSE,"RTN";"tables",#N/A,FALSE,"RTN";"cf",#N/A,FALSE,"CF";"stats",#N/A,FALSE,"Stats";"prop",#N/A,FALSE,"Prop"}</definedName>
    <definedName name="wrn.VALUATION." localSheetId="2" hidden="1">{#N/A,#N/A,FALSE,"Valuation Assumptions";#N/A,#N/A,FALSE,"Summary";#N/A,#N/A,FALSE,"DCF";#N/A,#N/A,FALSE,"Valuation";#N/A,#N/A,FALSE,"WACC";#N/A,#N/A,FALSE,"UBVH";#N/A,#N/A,FALSE,"Free Cash Flow"}</definedName>
    <definedName name="wrn.VALUATION." localSheetId="6" hidden="1">{#N/A,#N/A,FALSE,"Valuation Assumptions";#N/A,#N/A,FALSE,"Summary";#N/A,#N/A,FALSE,"DCF";#N/A,#N/A,FALSE,"Valuation";#N/A,#N/A,FALSE,"WACC";#N/A,#N/A,FALSE,"UBVH";#N/A,#N/A,FALSE,"Free Cash Flow"}</definedName>
    <definedName name="wrn.VALUATION." localSheetId="8" hidden="1">{#N/A,#N/A,FALSE,"Valuation Assumptions";#N/A,#N/A,FALSE,"Summary";#N/A,#N/A,FALSE,"DCF";#N/A,#N/A,FALSE,"Valuation";#N/A,#N/A,FALSE,"WACC";#N/A,#N/A,FALSE,"UBVH";#N/A,#N/A,FALSE,"Free Cash Flow"}</definedName>
    <definedName name="wrn.VALUATION." localSheetId="9" hidden="1">{#N/A,#N/A,FALSE,"Valuation Assumptions";#N/A,#N/A,FALSE,"Summary";#N/A,#N/A,FALSE,"DCF";#N/A,#N/A,FALSE,"Valuation";#N/A,#N/A,FALSE,"WACC";#N/A,#N/A,FALSE,"UBVH";#N/A,#N/A,FALSE,"Free Cash Flow"}</definedName>
    <definedName name="wrn.VALUATION." hidden="1">{#N/A,#N/A,FALSE,"Valuation Assumptions";#N/A,#N/A,FALSE,"Summary";#N/A,#N/A,FALSE,"DCF";#N/A,#N/A,FALSE,"Valuation";#N/A,#N/A,FALSE,"WACC";#N/A,#N/A,FALSE,"UBVH";#N/A,#N/A,FALSE,"Free Cash Flow"}</definedName>
    <definedName name="zsfsdsdfs" localSheetId="8" hidden="1">{#N/A,#N/A,FALSE,"Summary";#N/A,#N/A,FALSE,"Program Scheme";#N/A,#N/A,FALSE,"Assumptions";#N/A,#N/A,FALSE,"Development Budget";#N/A,#N/A,FALSE,"Timing";#N/A,#N/A,FALSE,"Development Costs &amp; Revenues";#N/A,#N/A,FALSE,"Cash Flow to Debt &amp; Equity";#N/A,#N/A,FALSE,"Cash Flow to Athena LP"}</definedName>
    <definedName name="zsfsdsdfs" localSheetId="9" hidden="1">{#N/A,#N/A,FALSE,"Summary";#N/A,#N/A,FALSE,"Program Scheme";#N/A,#N/A,FALSE,"Assumptions";#N/A,#N/A,FALSE,"Development Budget";#N/A,#N/A,FALSE,"Timing";#N/A,#N/A,FALSE,"Development Costs &amp; Revenues";#N/A,#N/A,FALSE,"Cash Flow to Debt &amp; Equity";#N/A,#N/A,FALSE,"Cash Flow to Athena LP"}</definedName>
    <definedName name="zsfsdsdfs" hidden="1">{#N/A,#N/A,FALSE,"Summary";#N/A,#N/A,FALSE,"Program Scheme";#N/A,#N/A,FALSE,"Assumptions";#N/A,#N/A,FALSE,"Development Budget";#N/A,#N/A,FALSE,"Timing";#N/A,#N/A,FALSE,"Development Costs &amp; Revenues";#N/A,#N/A,FALSE,"Cash Flow to Debt &amp; Equity";#N/A,#N/A,FALSE,"Cash Flow to Athena LP"}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9" i="56" l="1"/>
  <c r="D40" i="56" l="1"/>
  <c r="F316" i="39" s="1"/>
  <c r="B23" i="71"/>
  <c r="B22" i="71" s="1"/>
  <c r="B21" i="71" s="1"/>
  <c r="B20" i="71" s="1"/>
  <c r="B19" i="71" s="1"/>
  <c r="B11" i="71"/>
  <c r="B12" i="71" s="1"/>
  <c r="B13" i="71" s="1"/>
  <c r="B14" i="71" s="1"/>
  <c r="B15" i="71" s="1"/>
  <c r="E11" i="71"/>
  <c r="D34" i="71"/>
  <c r="C34" i="71" s="1"/>
  <c r="F31" i="71"/>
  <c r="E31" i="71"/>
  <c r="D31" i="71"/>
  <c r="C31" i="71"/>
  <c r="F27" i="71"/>
  <c r="F26" i="71"/>
  <c r="D26" i="71"/>
  <c r="F25" i="71"/>
  <c r="D25" i="71"/>
  <c r="F24" i="71"/>
  <c r="F22" i="71"/>
  <c r="D22" i="71"/>
  <c r="F21" i="71"/>
  <c r="D21" i="71"/>
  <c r="C21" i="71"/>
  <c r="F20" i="71"/>
  <c r="D20" i="71"/>
  <c r="F19" i="71"/>
  <c r="D19" i="71"/>
  <c r="E15" i="71"/>
  <c r="E19" i="71" s="1"/>
  <c r="E14" i="71"/>
  <c r="E20" i="71" s="1"/>
  <c r="E13" i="71"/>
  <c r="E21" i="71" s="1"/>
  <c r="C13" i="71"/>
  <c r="E23" i="71"/>
  <c r="E10" i="71"/>
  <c r="C10" i="71" s="1"/>
  <c r="C24" i="71" s="1"/>
  <c r="D10" i="71"/>
  <c r="D24" i="71" s="1"/>
  <c r="E9" i="71"/>
  <c r="C9" i="71" s="1"/>
  <c r="C25" i="71" s="1"/>
  <c r="D9" i="71"/>
  <c r="E8" i="71"/>
  <c r="E26" i="71" s="1"/>
  <c r="D8" i="71"/>
  <c r="E7" i="71"/>
  <c r="C7" i="71" s="1"/>
  <c r="C27" i="71" s="1"/>
  <c r="D7" i="71"/>
  <c r="D27" i="71" s="1"/>
  <c r="D33" i="56"/>
  <c r="D66" i="48"/>
  <c r="D56" i="48"/>
  <c r="D55" i="48"/>
  <c r="D68" i="48"/>
  <c r="D65" i="48"/>
  <c r="F30" i="48"/>
  <c r="F9" i="39"/>
  <c r="D15" i="56"/>
  <c r="F289" i="39"/>
  <c r="B10" i="71" l="1"/>
  <c r="B9" i="71" s="1"/>
  <c r="B8" i="71" s="1"/>
  <c r="B7" i="71" s="1"/>
  <c r="B24" i="71"/>
  <c r="B25" i="71" s="1"/>
  <c r="B26" i="71" s="1"/>
  <c r="B27" i="71" s="1"/>
  <c r="C14" i="71"/>
  <c r="C20" i="71" s="1"/>
  <c r="E12" i="71"/>
  <c r="C15" i="71"/>
  <c r="C19" i="71" s="1"/>
  <c r="E27" i="71"/>
  <c r="E25" i="71"/>
  <c r="E24" i="71"/>
  <c r="C8" i="71"/>
  <c r="C26" i="71" s="1"/>
  <c r="C12" i="71" l="1"/>
  <c r="C22" i="71" s="1"/>
  <c r="E22" i="71"/>
  <c r="F34" i="41"/>
  <c r="E34" i="41"/>
  <c r="B221" i="39"/>
  <c r="B220" i="39"/>
  <c r="C25" i="41" l="1"/>
  <c r="C34" i="41"/>
  <c r="C33" i="41"/>
  <c r="C32" i="41"/>
  <c r="C31" i="41"/>
  <c r="C30" i="41"/>
  <c r="C29" i="41"/>
  <c r="C28" i="41"/>
  <c r="C27" i="41"/>
  <c r="C26" i="41"/>
  <c r="N101" i="41"/>
  <c r="M101" i="41"/>
  <c r="L101" i="41"/>
  <c r="N100" i="41"/>
  <c r="M100" i="41"/>
  <c r="L100" i="41"/>
  <c r="N96" i="41"/>
  <c r="M96" i="41"/>
  <c r="L96" i="41"/>
  <c r="N95" i="41"/>
  <c r="M95" i="41"/>
  <c r="L95" i="41"/>
  <c r="N94" i="41"/>
  <c r="M94" i="41"/>
  <c r="L94" i="41"/>
  <c r="N92" i="41"/>
  <c r="M92" i="41"/>
  <c r="L92" i="41"/>
  <c r="N86" i="41"/>
  <c r="M86" i="41"/>
  <c r="L86" i="41"/>
  <c r="N99" i="41"/>
  <c r="N98" i="41"/>
  <c r="N97" i="41"/>
  <c r="M99" i="41"/>
  <c r="M98" i="41"/>
  <c r="M97" i="41"/>
  <c r="L99" i="41"/>
  <c r="L98" i="41"/>
  <c r="L97" i="41"/>
  <c r="K98" i="41"/>
  <c r="N91" i="41"/>
  <c r="N90" i="41"/>
  <c r="N89" i="41"/>
  <c r="N88" i="41"/>
  <c r="N87" i="41"/>
  <c r="M91" i="41"/>
  <c r="M90" i="41"/>
  <c r="M89" i="41"/>
  <c r="M88" i="41"/>
  <c r="M87" i="41"/>
  <c r="L91" i="41"/>
  <c r="L90" i="41"/>
  <c r="L89" i="41"/>
  <c r="L88" i="41"/>
  <c r="L87" i="41"/>
  <c r="K89" i="41"/>
  <c r="C50" i="41" l="1"/>
  <c r="C27" i="39"/>
  <c r="J9" i="58" l="1"/>
  <c r="H9" i="58"/>
  <c r="I9" i="58" s="1"/>
  <c r="D28" i="41" s="1"/>
  <c r="J8" i="58"/>
  <c r="H8" i="58"/>
  <c r="I8" i="58" s="1"/>
  <c r="D27" i="41" s="1"/>
  <c r="S12" i="39"/>
  <c r="T12" i="39" s="1"/>
  <c r="U12" i="39" s="1"/>
  <c r="V12" i="39" s="1"/>
  <c r="P13" i="39"/>
  <c r="Q13" i="39" s="1"/>
  <c r="C49" i="41"/>
  <c r="F230" i="39"/>
  <c r="B229" i="39"/>
  <c r="B228" i="39"/>
  <c r="B226" i="39"/>
  <c r="B224" i="39"/>
  <c r="B223" i="39"/>
  <c r="B222" i="39"/>
  <c r="F192" i="39"/>
  <c r="F193" i="39" s="1"/>
  <c r="F185" i="39"/>
  <c r="F184" i="39"/>
  <c r="F183" i="39"/>
  <c r="P155" i="39"/>
  <c r="F177" i="39"/>
  <c r="F28" i="41" l="1"/>
  <c r="E28" i="41"/>
  <c r="E27" i="41"/>
  <c r="F27" i="41"/>
  <c r="U13" i="39"/>
  <c r="T13" i="39"/>
  <c r="R13" i="39"/>
  <c r="S13" i="39"/>
  <c r="W12" i="39"/>
  <c r="V13" i="39"/>
  <c r="U81" i="41"/>
  <c r="H76" i="41"/>
  <c r="I28" i="39"/>
  <c r="I26" i="39"/>
  <c r="I25" i="39"/>
  <c r="I24" i="39"/>
  <c r="I23" i="39"/>
  <c r="I22" i="39"/>
  <c r="I21" i="39"/>
  <c r="I19" i="39"/>
  <c r="I18" i="39"/>
  <c r="C37" i="41"/>
  <c r="F37" i="41" s="1"/>
  <c r="I17" i="39"/>
  <c r="D34" i="70"/>
  <c r="C34" i="70" s="1"/>
  <c r="G15" i="56"/>
  <c r="H15" i="56" s="1"/>
  <c r="B12" i="70"/>
  <c r="B10" i="70"/>
  <c r="B24" i="70"/>
  <c r="B22" i="70"/>
  <c r="K31" i="70"/>
  <c r="G7" i="69"/>
  <c r="F7" i="69"/>
  <c r="C10" i="69"/>
  <c r="G26" i="69" s="1"/>
  <c r="G46" i="69" s="1"/>
  <c r="C9" i="69"/>
  <c r="S7" i="69" s="1"/>
  <c r="C8" i="69"/>
  <c r="R7" i="69" s="1"/>
  <c r="E23" i="69"/>
  <c r="G18" i="69"/>
  <c r="E18" i="69"/>
  <c r="D18" i="69"/>
  <c r="D115" i="69" s="1"/>
  <c r="G17" i="69"/>
  <c r="E17" i="69"/>
  <c r="D17" i="69"/>
  <c r="D114" i="69" s="1"/>
  <c r="G16" i="69"/>
  <c r="E16" i="69"/>
  <c r="D16" i="69"/>
  <c r="D113" i="69" s="1"/>
  <c r="G15" i="69"/>
  <c r="E15" i="69"/>
  <c r="D15" i="69"/>
  <c r="G14" i="69"/>
  <c r="E14" i="69"/>
  <c r="D14" i="69"/>
  <c r="G13" i="69"/>
  <c r="E9" i="69"/>
  <c r="E13" i="69" s="1"/>
  <c r="E8" i="69"/>
  <c r="D13" i="69" s="1"/>
  <c r="C3" i="69"/>
  <c r="AB7" i="69"/>
  <c r="AM7" i="69"/>
  <c r="O39" i="69"/>
  <c r="D46" i="69"/>
  <c r="C62" i="69"/>
  <c r="P85" i="69"/>
  <c r="Q85" i="69"/>
  <c r="V85" i="69"/>
  <c r="AA85" i="69"/>
  <c r="AL85" i="69"/>
  <c r="AW85" i="69"/>
  <c r="BH85" i="69"/>
  <c r="BS85" i="69"/>
  <c r="CD85" i="69"/>
  <c r="CO85" i="69"/>
  <c r="CP85" i="69"/>
  <c r="CQ85" i="69"/>
  <c r="O96" i="69"/>
  <c r="O97" i="69"/>
  <c r="O98" i="69"/>
  <c r="O99" i="69"/>
  <c r="O100" i="69"/>
  <c r="O101" i="69"/>
  <c r="O102" i="69"/>
  <c r="O103" i="69"/>
  <c r="O104" i="69"/>
  <c r="O105" i="69"/>
  <c r="D98" i="69"/>
  <c r="AB85" i="69"/>
  <c r="AG85" i="69"/>
  <c r="AX7" i="69"/>
  <c r="AM85" i="69"/>
  <c r="AR85" i="69"/>
  <c r="BI7" i="69"/>
  <c r="AX85" i="69"/>
  <c r="BC85" i="69"/>
  <c r="BT7" i="69"/>
  <c r="BI85" i="69"/>
  <c r="BN85" i="69"/>
  <c r="BT85" i="69"/>
  <c r="BY85" i="69"/>
  <c r="CE7" i="69"/>
  <c r="CE85" i="69"/>
  <c r="P13" i="58"/>
  <c r="P12" i="58"/>
  <c r="P11" i="58"/>
  <c r="P10" i="58"/>
  <c r="P9" i="58"/>
  <c r="A155" i="39"/>
  <c r="A154" i="39"/>
  <c r="A170" i="39"/>
  <c r="A294" i="39"/>
  <c r="A293" i="39"/>
  <c r="A58" i="39"/>
  <c r="A57" i="39"/>
  <c r="A56" i="39"/>
  <c r="A55" i="39"/>
  <c r="A47" i="39"/>
  <c r="A46" i="39"/>
  <c r="A45" i="39"/>
  <c r="A44" i="39"/>
  <c r="A13" i="39"/>
  <c r="A11" i="39"/>
  <c r="L11" i="39"/>
  <c r="L186" i="39"/>
  <c r="A191" i="39"/>
  <c r="A190" i="39"/>
  <c r="A12" i="39"/>
  <c r="L327" i="39"/>
  <c r="A304" i="39"/>
  <c r="A303" i="39"/>
  <c r="A302" i="39"/>
  <c r="A292" i="39"/>
  <c r="A234" i="39"/>
  <c r="A233" i="39"/>
  <c r="A232" i="39"/>
  <c r="A231" i="39"/>
  <c r="A230" i="39"/>
  <c r="L230" i="39" s="1"/>
  <c r="A215" i="39"/>
  <c r="A214" i="39"/>
  <c r="A213" i="39"/>
  <c r="A169" i="39"/>
  <c r="A168" i="39"/>
  <c r="A167" i="39"/>
  <c r="A162" i="39"/>
  <c r="A161" i="39"/>
  <c r="A147" i="39"/>
  <c r="A146" i="39"/>
  <c r="A145" i="39"/>
  <c r="A134" i="39"/>
  <c r="A133" i="39"/>
  <c r="A114" i="39"/>
  <c r="A113" i="39"/>
  <c r="A111" i="39"/>
  <c r="A83" i="39"/>
  <c r="A75" i="39"/>
  <c r="A74" i="39"/>
  <c r="L64" i="39"/>
  <c r="L324" i="39"/>
  <c r="L323" i="39"/>
  <c r="L319" i="39"/>
  <c r="L318" i="39"/>
  <c r="L317" i="39"/>
  <c r="L315" i="39"/>
  <c r="L314" i="39"/>
  <c r="L313" i="39"/>
  <c r="L312" i="39"/>
  <c r="L311" i="39"/>
  <c r="L306" i="39"/>
  <c r="L305" i="39"/>
  <c r="L304" i="39"/>
  <c r="L303" i="39"/>
  <c r="L302" i="39"/>
  <c r="L301" i="39"/>
  <c r="L300" i="39"/>
  <c r="L296" i="39"/>
  <c r="L295" i="39"/>
  <c r="L294" i="39"/>
  <c r="L288" i="39"/>
  <c r="L287" i="39"/>
  <c r="L286" i="39"/>
  <c r="L285" i="39"/>
  <c r="L284" i="39"/>
  <c r="L283" i="39"/>
  <c r="L282" i="39"/>
  <c r="L281" i="39"/>
  <c r="L280" i="39"/>
  <c r="L279" i="39"/>
  <c r="L278" i="39"/>
  <c r="L277" i="39"/>
  <c r="L276" i="39"/>
  <c r="L275" i="39"/>
  <c r="L271" i="39"/>
  <c r="L270" i="39"/>
  <c r="L269" i="39"/>
  <c r="L268" i="39"/>
  <c r="L267" i="39"/>
  <c r="L266" i="39"/>
  <c r="L265" i="39"/>
  <c r="L264" i="39"/>
  <c r="L263" i="39"/>
  <c r="L262" i="39"/>
  <c r="L261" i="39"/>
  <c r="L260" i="39"/>
  <c r="L259" i="39"/>
  <c r="L258" i="39"/>
  <c r="L257" i="39"/>
  <c r="L256" i="39"/>
  <c r="L255" i="39"/>
  <c r="L254" i="39"/>
  <c r="L253" i="39"/>
  <c r="L252" i="39"/>
  <c r="L251" i="39"/>
  <c r="L250" i="39"/>
  <c r="L249" i="39"/>
  <c r="L248" i="39"/>
  <c r="L247" i="39"/>
  <c r="L246" i="39"/>
  <c r="L245" i="39"/>
  <c r="L244" i="39"/>
  <c r="L240" i="39"/>
  <c r="L239" i="39"/>
  <c r="L238" i="39"/>
  <c r="L229" i="39"/>
  <c r="L228" i="39"/>
  <c r="L227" i="39"/>
  <c r="L226" i="39"/>
  <c r="L225" i="39"/>
  <c r="L224" i="39"/>
  <c r="L223" i="39"/>
  <c r="L222" i="39"/>
  <c r="L221" i="39"/>
  <c r="L220" i="39"/>
  <c r="L216" i="39"/>
  <c r="L215" i="39"/>
  <c r="L214" i="39"/>
  <c r="L213" i="39"/>
  <c r="L212" i="39"/>
  <c r="L211" i="39"/>
  <c r="L210" i="39"/>
  <c r="L209" i="39"/>
  <c r="L208" i="39"/>
  <c r="L207" i="39"/>
  <c r="L206" i="39"/>
  <c r="L205" i="39"/>
  <c r="L204" i="39"/>
  <c r="L200" i="39"/>
  <c r="L199" i="39"/>
  <c r="L198" i="39"/>
  <c r="L197" i="39"/>
  <c r="L193" i="39"/>
  <c r="L192" i="39"/>
  <c r="L191" i="39"/>
  <c r="L190" i="39"/>
  <c r="L189" i="39"/>
  <c r="L188" i="39"/>
  <c r="L187" i="39"/>
  <c r="L185" i="39"/>
  <c r="L184" i="39"/>
  <c r="L183" i="39"/>
  <c r="L182" i="39"/>
  <c r="L181" i="39"/>
  <c r="L180" i="39"/>
  <c r="L179" i="39"/>
  <c r="L178" i="39"/>
  <c r="L177" i="39"/>
  <c r="L176" i="39"/>
  <c r="L175" i="39"/>
  <c r="L174" i="39"/>
  <c r="L170" i="39"/>
  <c r="L169" i="39"/>
  <c r="L168" i="39"/>
  <c r="L167" i="39"/>
  <c r="L166" i="39"/>
  <c r="L162" i="39"/>
  <c r="L161" i="39"/>
  <c r="L160" i="39"/>
  <c r="L156" i="39"/>
  <c r="L155" i="39"/>
  <c r="L154" i="39"/>
  <c r="L153" i="39"/>
  <c r="L149" i="39"/>
  <c r="L148" i="39"/>
  <c r="L147" i="39"/>
  <c r="L146" i="39"/>
  <c r="L145" i="39"/>
  <c r="L144" i="39"/>
  <c r="L143" i="39"/>
  <c r="L142" i="39"/>
  <c r="L141" i="39"/>
  <c r="L140" i="39"/>
  <c r="L132" i="39"/>
  <c r="L131" i="39"/>
  <c r="L130" i="39"/>
  <c r="L129" i="39"/>
  <c r="L128" i="39"/>
  <c r="L127" i="39"/>
  <c r="L126" i="39"/>
  <c r="L125" i="39"/>
  <c r="L124" i="39"/>
  <c r="L123" i="39"/>
  <c r="L122" i="39"/>
  <c r="L121" i="39"/>
  <c r="L117" i="39"/>
  <c r="L116" i="39"/>
  <c r="L115" i="39"/>
  <c r="L114" i="39"/>
  <c r="L113" i="39"/>
  <c r="L112" i="39"/>
  <c r="L111" i="39"/>
  <c r="L110" i="39"/>
  <c r="L109" i="39"/>
  <c r="L108" i="39"/>
  <c r="L107" i="39"/>
  <c r="L106" i="39"/>
  <c r="L105" i="39"/>
  <c r="L104" i="39"/>
  <c r="L103" i="39"/>
  <c r="L102" i="39"/>
  <c r="L101" i="39"/>
  <c r="L100" i="39"/>
  <c r="L99" i="39"/>
  <c r="L98" i="39"/>
  <c r="L97" i="39"/>
  <c r="L96" i="39"/>
  <c r="L95" i="39"/>
  <c r="L94" i="39"/>
  <c r="L93" i="39"/>
  <c r="L92" i="39"/>
  <c r="L91" i="39"/>
  <c r="L90" i="39"/>
  <c r="L89" i="39"/>
  <c r="L85" i="39"/>
  <c r="L84" i="39"/>
  <c r="L83" i="39"/>
  <c r="L82" i="39"/>
  <c r="L81" i="39"/>
  <c r="L77" i="39"/>
  <c r="L76" i="39"/>
  <c r="L75" i="39"/>
  <c r="L74" i="39"/>
  <c r="L73" i="39"/>
  <c r="L72" i="39"/>
  <c r="L71" i="39"/>
  <c r="L70" i="39"/>
  <c r="L60" i="39"/>
  <c r="L59" i="39"/>
  <c r="L58" i="39"/>
  <c r="L57" i="39"/>
  <c r="L56" i="39"/>
  <c r="L55" i="39"/>
  <c r="L54" i="39"/>
  <c r="L53" i="39"/>
  <c r="L52" i="39"/>
  <c r="L51" i="39"/>
  <c r="L50" i="39"/>
  <c r="L49" i="39"/>
  <c r="L48" i="39"/>
  <c r="L47" i="39"/>
  <c r="L46" i="39"/>
  <c r="L45" i="39"/>
  <c r="L44" i="39"/>
  <c r="L43" i="39"/>
  <c r="L42" i="39"/>
  <c r="L41" i="39"/>
  <c r="L40" i="39"/>
  <c r="L39" i="39"/>
  <c r="L38" i="39"/>
  <c r="L37" i="39"/>
  <c r="L36" i="39"/>
  <c r="L35" i="39"/>
  <c r="L34" i="39"/>
  <c r="L33" i="39"/>
  <c r="L32" i="39"/>
  <c r="L28" i="39"/>
  <c r="L27" i="39"/>
  <c r="L26" i="39"/>
  <c r="L25" i="39"/>
  <c r="L24" i="39"/>
  <c r="L23" i="39"/>
  <c r="L22" i="39"/>
  <c r="L21" i="39"/>
  <c r="L20" i="39"/>
  <c r="L19" i="39"/>
  <c r="L18" i="39"/>
  <c r="L17" i="39"/>
  <c r="L13" i="39"/>
  <c r="L9" i="39"/>
  <c r="L8" i="39"/>
  <c r="L7" i="39"/>
  <c r="L6" i="39"/>
  <c r="L12" i="39"/>
  <c r="L10" i="39"/>
  <c r="J6" i="58"/>
  <c r="J7" i="58"/>
  <c r="J10" i="58"/>
  <c r="J11" i="58"/>
  <c r="J12" i="58"/>
  <c r="F27" i="39"/>
  <c r="D50" i="41" s="1"/>
  <c r="J13" i="58"/>
  <c r="J14" i="58"/>
  <c r="J15" i="58"/>
  <c r="J16" i="58"/>
  <c r="J17" i="58"/>
  <c r="C27" i="56"/>
  <c r="AA10" i="55" s="1"/>
  <c r="D6" i="51"/>
  <c r="E36" i="58"/>
  <c r="D6" i="53"/>
  <c r="BK6" i="53" s="1"/>
  <c r="D23" i="56"/>
  <c r="D24" i="56" s="1"/>
  <c r="D25" i="56" s="1"/>
  <c r="U6" i="53"/>
  <c r="BF6" i="53" s="1"/>
  <c r="BH6" i="53" s="1"/>
  <c r="T7" i="65"/>
  <c r="U7" i="65"/>
  <c r="T8" i="65"/>
  <c r="U8" i="65"/>
  <c r="T9" i="65"/>
  <c r="U9" i="65"/>
  <c r="V7" i="65"/>
  <c r="V8" i="65"/>
  <c r="V9" i="65"/>
  <c r="T10" i="65"/>
  <c r="U10" i="65"/>
  <c r="V10" i="65"/>
  <c r="T11" i="65"/>
  <c r="U11" i="65"/>
  <c r="V11" i="65"/>
  <c r="T12" i="65"/>
  <c r="U12" i="65"/>
  <c r="V12" i="65"/>
  <c r="T13" i="65"/>
  <c r="U13" i="65"/>
  <c r="V13" i="65"/>
  <c r="T14" i="65"/>
  <c r="U14" i="65"/>
  <c r="V14" i="65"/>
  <c r="T15" i="65"/>
  <c r="U15" i="65"/>
  <c r="V15" i="65"/>
  <c r="T16" i="65"/>
  <c r="U16" i="65"/>
  <c r="V16" i="65"/>
  <c r="T17" i="65"/>
  <c r="U17" i="65"/>
  <c r="V17" i="65"/>
  <c r="T18" i="65"/>
  <c r="U18" i="65"/>
  <c r="V18" i="65"/>
  <c r="T19" i="65"/>
  <c r="U19" i="65"/>
  <c r="V19" i="65"/>
  <c r="T20" i="65"/>
  <c r="U20" i="65"/>
  <c r="V20" i="65"/>
  <c r="T21" i="65"/>
  <c r="U21" i="65"/>
  <c r="V21" i="65"/>
  <c r="T22" i="65"/>
  <c r="U22" i="65"/>
  <c r="V22" i="65"/>
  <c r="T23" i="65"/>
  <c r="U23" i="65"/>
  <c r="V23" i="65"/>
  <c r="T24" i="65"/>
  <c r="U24" i="65"/>
  <c r="V24" i="65"/>
  <c r="T25" i="65"/>
  <c r="U25" i="65"/>
  <c r="V25" i="65"/>
  <c r="T26" i="65"/>
  <c r="U26" i="65"/>
  <c r="V26" i="65"/>
  <c r="T27" i="65"/>
  <c r="U27" i="65"/>
  <c r="V27" i="65"/>
  <c r="T28" i="65"/>
  <c r="U28" i="65"/>
  <c r="V28" i="65"/>
  <c r="T29" i="65"/>
  <c r="U29" i="65"/>
  <c r="V29" i="65"/>
  <c r="T30" i="65"/>
  <c r="U30" i="65"/>
  <c r="V30" i="65"/>
  <c r="T31" i="65"/>
  <c r="U31" i="65"/>
  <c r="V31" i="65"/>
  <c r="T32" i="65"/>
  <c r="U32" i="65"/>
  <c r="V32" i="65"/>
  <c r="T33" i="65"/>
  <c r="U33" i="65"/>
  <c r="V33" i="65"/>
  <c r="T34" i="65"/>
  <c r="U34" i="65"/>
  <c r="V34" i="65"/>
  <c r="T35" i="65"/>
  <c r="U35" i="65"/>
  <c r="V35" i="65"/>
  <c r="T36" i="65"/>
  <c r="U36" i="65"/>
  <c r="V36" i="65"/>
  <c r="T37" i="65"/>
  <c r="U37" i="65"/>
  <c r="V37" i="65"/>
  <c r="T38" i="65"/>
  <c r="U38" i="65"/>
  <c r="V38" i="65"/>
  <c r="T39" i="65"/>
  <c r="U39" i="65"/>
  <c r="V39" i="65"/>
  <c r="T40" i="65"/>
  <c r="U40" i="65"/>
  <c r="V40" i="65"/>
  <c r="T41" i="65"/>
  <c r="U41" i="65"/>
  <c r="V41" i="65"/>
  <c r="T42" i="65"/>
  <c r="U42" i="65"/>
  <c r="V42" i="65"/>
  <c r="T43" i="65"/>
  <c r="U43" i="65"/>
  <c r="V43" i="65"/>
  <c r="T44" i="65"/>
  <c r="U44" i="65"/>
  <c r="V44" i="65"/>
  <c r="T45" i="65"/>
  <c r="U45" i="65"/>
  <c r="V45" i="65"/>
  <c r="T46" i="65"/>
  <c r="U46" i="65"/>
  <c r="V46" i="65"/>
  <c r="T47" i="65"/>
  <c r="U47" i="65"/>
  <c r="V47" i="65"/>
  <c r="T48" i="65"/>
  <c r="U48" i="65"/>
  <c r="V48" i="65"/>
  <c r="T49" i="65"/>
  <c r="U49" i="65"/>
  <c r="V49" i="65"/>
  <c r="T50" i="65"/>
  <c r="U50" i="65"/>
  <c r="V50" i="65"/>
  <c r="T51" i="65"/>
  <c r="U51" i="65"/>
  <c r="V51" i="65"/>
  <c r="T52" i="65"/>
  <c r="U52" i="65"/>
  <c r="V52" i="65"/>
  <c r="T53" i="65"/>
  <c r="U53" i="65"/>
  <c r="V53" i="65"/>
  <c r="T54" i="65"/>
  <c r="U54" i="65"/>
  <c r="V54" i="65"/>
  <c r="T55" i="65"/>
  <c r="U55" i="65"/>
  <c r="V55" i="65"/>
  <c r="T56" i="65"/>
  <c r="U56" i="65"/>
  <c r="V56" i="65"/>
  <c r="T57" i="65"/>
  <c r="U57" i="65"/>
  <c r="V57" i="65"/>
  <c r="T58" i="65"/>
  <c r="U58" i="65"/>
  <c r="V58" i="65"/>
  <c r="T59" i="65"/>
  <c r="U59" i="65"/>
  <c r="V59" i="65"/>
  <c r="T60" i="65"/>
  <c r="U60" i="65"/>
  <c r="V60" i="65"/>
  <c r="T61" i="65"/>
  <c r="U61" i="65"/>
  <c r="V61" i="65"/>
  <c r="T62" i="65"/>
  <c r="U62" i="65"/>
  <c r="V62" i="65"/>
  <c r="T63" i="65"/>
  <c r="U63" i="65"/>
  <c r="V63" i="65"/>
  <c r="T64" i="65"/>
  <c r="U64" i="65"/>
  <c r="V64" i="65"/>
  <c r="T65" i="65"/>
  <c r="U65" i="65"/>
  <c r="V65" i="65"/>
  <c r="T66" i="65"/>
  <c r="U66" i="65"/>
  <c r="V66" i="65"/>
  <c r="T67" i="65"/>
  <c r="U67" i="65"/>
  <c r="V67" i="65"/>
  <c r="T68" i="65"/>
  <c r="U68" i="65"/>
  <c r="V68" i="65"/>
  <c r="T69" i="65"/>
  <c r="U69" i="65"/>
  <c r="V69" i="65"/>
  <c r="T70" i="65"/>
  <c r="U70" i="65"/>
  <c r="V70" i="65"/>
  <c r="T71" i="65"/>
  <c r="U71" i="65"/>
  <c r="V71" i="65"/>
  <c r="T72" i="65"/>
  <c r="U72" i="65"/>
  <c r="V72" i="65"/>
  <c r="T73" i="65"/>
  <c r="U73" i="65"/>
  <c r="V73" i="65"/>
  <c r="T74" i="65"/>
  <c r="U74" i="65"/>
  <c r="V74" i="65"/>
  <c r="T75" i="65"/>
  <c r="U75" i="65"/>
  <c r="V75" i="65"/>
  <c r="T76" i="65"/>
  <c r="U76" i="65"/>
  <c r="V76" i="65"/>
  <c r="T77" i="65"/>
  <c r="U77" i="65"/>
  <c r="V77" i="65"/>
  <c r="T78" i="65"/>
  <c r="U78" i="65"/>
  <c r="V78" i="65"/>
  <c r="T79" i="65"/>
  <c r="U79" i="65"/>
  <c r="V79" i="65"/>
  <c r="T80" i="65"/>
  <c r="U80" i="65"/>
  <c r="V80" i="65"/>
  <c r="T81" i="65"/>
  <c r="U81" i="65"/>
  <c r="V81" i="65"/>
  <c r="T82" i="65"/>
  <c r="U82" i="65"/>
  <c r="V82" i="65"/>
  <c r="T83" i="65"/>
  <c r="U83" i="65"/>
  <c r="V83" i="65"/>
  <c r="T84" i="65"/>
  <c r="U84" i="65"/>
  <c r="V84" i="65"/>
  <c r="T85" i="65"/>
  <c r="U85" i="65"/>
  <c r="V85" i="65"/>
  <c r="T86" i="65"/>
  <c r="U86" i="65"/>
  <c r="V86" i="65"/>
  <c r="T87" i="65"/>
  <c r="U87" i="65"/>
  <c r="V87" i="65"/>
  <c r="T88" i="65"/>
  <c r="U88" i="65"/>
  <c r="V88" i="65"/>
  <c r="T89" i="65"/>
  <c r="U89" i="65"/>
  <c r="V89" i="65"/>
  <c r="T90" i="65"/>
  <c r="U90" i="65"/>
  <c r="V90" i="65"/>
  <c r="T91" i="65"/>
  <c r="U91" i="65"/>
  <c r="V91" i="65"/>
  <c r="T92" i="65"/>
  <c r="U92" i="65"/>
  <c r="V92" i="65"/>
  <c r="T93" i="65"/>
  <c r="U93" i="65"/>
  <c r="V93" i="65"/>
  <c r="T94" i="65"/>
  <c r="U94" i="65"/>
  <c r="V94" i="65"/>
  <c r="T95" i="65"/>
  <c r="U95" i="65"/>
  <c r="V95" i="65"/>
  <c r="T96" i="65"/>
  <c r="U96" i="65"/>
  <c r="V96" i="65"/>
  <c r="T97" i="65"/>
  <c r="U97" i="65"/>
  <c r="V97" i="65"/>
  <c r="T98" i="65"/>
  <c r="U98" i="65"/>
  <c r="V98" i="65"/>
  <c r="T99" i="65"/>
  <c r="U99" i="65"/>
  <c r="V99" i="65"/>
  <c r="T100" i="65"/>
  <c r="U100" i="65"/>
  <c r="V100" i="65"/>
  <c r="T101" i="65"/>
  <c r="U101" i="65"/>
  <c r="V101" i="65"/>
  <c r="T102" i="65"/>
  <c r="U102" i="65"/>
  <c r="V102" i="65"/>
  <c r="T103" i="65"/>
  <c r="U103" i="65"/>
  <c r="V103" i="65"/>
  <c r="T104" i="65"/>
  <c r="U104" i="65"/>
  <c r="V104" i="65"/>
  <c r="T105" i="65"/>
  <c r="U105" i="65"/>
  <c r="V105" i="65"/>
  <c r="T106" i="65"/>
  <c r="U106" i="65"/>
  <c r="V106" i="65"/>
  <c r="T107" i="65"/>
  <c r="U107" i="65"/>
  <c r="V107" i="65"/>
  <c r="T108" i="65"/>
  <c r="U108" i="65"/>
  <c r="V108" i="65"/>
  <c r="T109" i="65"/>
  <c r="U109" i="65"/>
  <c r="V109" i="65"/>
  <c r="T110" i="65"/>
  <c r="U110" i="65"/>
  <c r="V110" i="65"/>
  <c r="T111" i="65"/>
  <c r="U111" i="65"/>
  <c r="V111" i="65"/>
  <c r="T112" i="65"/>
  <c r="U112" i="65"/>
  <c r="V112" i="65"/>
  <c r="T113" i="65"/>
  <c r="U113" i="65"/>
  <c r="V113" i="65"/>
  <c r="T114" i="65"/>
  <c r="U114" i="65"/>
  <c r="V114" i="65"/>
  <c r="T115" i="65"/>
  <c r="U115" i="65"/>
  <c r="V115" i="65"/>
  <c r="T116" i="65"/>
  <c r="U116" i="65"/>
  <c r="V116" i="65"/>
  <c r="T117" i="65"/>
  <c r="U117" i="65"/>
  <c r="V117" i="65"/>
  <c r="T118" i="65"/>
  <c r="U118" i="65"/>
  <c r="V118" i="65"/>
  <c r="T119" i="65"/>
  <c r="U119" i="65"/>
  <c r="V119" i="65"/>
  <c r="T120" i="65"/>
  <c r="U120" i="65"/>
  <c r="V120" i="65"/>
  <c r="T121" i="65"/>
  <c r="U121" i="65"/>
  <c r="V121" i="65"/>
  <c r="T122" i="65"/>
  <c r="U122" i="65"/>
  <c r="V122" i="65"/>
  <c r="T123" i="65"/>
  <c r="U123" i="65"/>
  <c r="V123" i="65"/>
  <c r="T124" i="65"/>
  <c r="U124" i="65"/>
  <c r="V124" i="65"/>
  <c r="X4" i="65"/>
  <c r="C21" i="56"/>
  <c r="D21" i="56" s="1"/>
  <c r="N78" i="41" s="1"/>
  <c r="D4" i="53"/>
  <c r="AB6" i="55"/>
  <c r="F86" i="39"/>
  <c r="I86" i="39" s="1"/>
  <c r="F118" i="39"/>
  <c r="S129" i="51" s="1"/>
  <c r="AD6" i="55"/>
  <c r="X8" i="55"/>
  <c r="F4" i="53"/>
  <c r="C9" i="55"/>
  <c r="T9" i="55"/>
  <c r="D33" i="58"/>
  <c r="F32" i="58"/>
  <c r="V133" i="65"/>
  <c r="V132" i="65"/>
  <c r="V131" i="65"/>
  <c r="V130" i="65"/>
  <c r="V129" i="65"/>
  <c r="V128" i="65"/>
  <c r="V127" i="65"/>
  <c r="V126" i="65"/>
  <c r="V125" i="65"/>
  <c r="T129" i="65"/>
  <c r="T128" i="65"/>
  <c r="T127" i="65"/>
  <c r="T126" i="65"/>
  <c r="T125" i="65"/>
  <c r="F17" i="48"/>
  <c r="I183" i="39"/>
  <c r="I185" i="39"/>
  <c r="F178" i="39"/>
  <c r="F179" i="39"/>
  <c r="I179" i="39" s="1"/>
  <c r="F180" i="39"/>
  <c r="I180" i="39" s="1"/>
  <c r="AJ129" i="51"/>
  <c r="AK129" i="51"/>
  <c r="F157" i="39"/>
  <c r="F217" i="39"/>
  <c r="Z129" i="51" s="1"/>
  <c r="Z6" i="51" s="1"/>
  <c r="I230" i="39"/>
  <c r="F231" i="39"/>
  <c r="I231" i="39" s="1"/>
  <c r="L231" i="39"/>
  <c r="F232" i="39"/>
  <c r="I232" i="39" s="1"/>
  <c r="F233" i="39"/>
  <c r="L233" i="39" s="1"/>
  <c r="F234" i="39"/>
  <c r="L234" i="39" s="1"/>
  <c r="F235" i="39"/>
  <c r="L235" i="39" s="1"/>
  <c r="F236" i="39"/>
  <c r="I236" i="39" s="1"/>
  <c r="D34" i="58"/>
  <c r="F34" i="58" s="1"/>
  <c r="F275" i="39"/>
  <c r="F276" i="39"/>
  <c r="I276" i="39" s="1"/>
  <c r="F277" i="39"/>
  <c r="I277" i="39" s="1"/>
  <c r="F278" i="39"/>
  <c r="F279" i="39"/>
  <c r="I279" i="39"/>
  <c r="F280" i="39"/>
  <c r="I280" i="39" s="1"/>
  <c r="F281" i="39"/>
  <c r="I281" i="39" s="1"/>
  <c r="F282" i="39"/>
  <c r="I282" i="39"/>
  <c r="F283" i="39"/>
  <c r="I283" i="39" s="1"/>
  <c r="F284" i="39"/>
  <c r="I284" i="39" s="1"/>
  <c r="F285" i="39"/>
  <c r="I285" i="39" s="1"/>
  <c r="F286" i="39"/>
  <c r="I286" i="39"/>
  <c r="F287" i="39"/>
  <c r="I287" i="39" s="1"/>
  <c r="F288" i="39"/>
  <c r="I288" i="39" s="1"/>
  <c r="L289" i="39"/>
  <c r="L290" i="39"/>
  <c r="L291" i="39"/>
  <c r="L292" i="39"/>
  <c r="L293" i="39"/>
  <c r="F307" i="39"/>
  <c r="AE129" i="51" s="1"/>
  <c r="Y6" i="55"/>
  <c r="F310" i="39"/>
  <c r="I310" i="39" s="1"/>
  <c r="L310" i="39"/>
  <c r="F311" i="39"/>
  <c r="I311" i="39" s="1"/>
  <c r="R6" i="55"/>
  <c r="AG6" i="55"/>
  <c r="Q6" i="55"/>
  <c r="T6" i="53"/>
  <c r="D54" i="48"/>
  <c r="E18" i="58"/>
  <c r="C3" i="55"/>
  <c r="F1" i="55" s="1"/>
  <c r="F2" i="55" s="1"/>
  <c r="AM6" i="53"/>
  <c r="K6" i="53"/>
  <c r="L15" i="48"/>
  <c r="D42" i="41"/>
  <c r="H47" i="41" s="1"/>
  <c r="D43" i="41"/>
  <c r="F43" i="41" s="1"/>
  <c r="D44" i="41"/>
  <c r="M66" i="41"/>
  <c r="M41" i="58"/>
  <c r="M42" i="58"/>
  <c r="M43" i="58"/>
  <c r="M44" i="58"/>
  <c r="C45" i="58"/>
  <c r="C46" i="58"/>
  <c r="E45" i="58"/>
  <c r="M45" i="58" s="1"/>
  <c r="B340" i="39"/>
  <c r="B22" i="48"/>
  <c r="L38" i="41" s="1"/>
  <c r="B21" i="48"/>
  <c r="L39" i="41" s="1"/>
  <c r="D9" i="48"/>
  <c r="C72" i="48" s="1"/>
  <c r="F7" i="48"/>
  <c r="F339" i="39" s="1"/>
  <c r="L339" i="59" s="1"/>
  <c r="L54" i="41"/>
  <c r="L45" i="41"/>
  <c r="L53" i="41"/>
  <c r="L52" i="41"/>
  <c r="L50" i="41"/>
  <c r="L49" i="41"/>
  <c r="L48" i="41"/>
  <c r="B23" i="48"/>
  <c r="L40" i="41" s="1"/>
  <c r="B25" i="48"/>
  <c r="L36" i="41" s="1"/>
  <c r="B26" i="48"/>
  <c r="L37" i="41" s="1"/>
  <c r="L47" i="41"/>
  <c r="L46" i="41"/>
  <c r="G4" i="51"/>
  <c r="AQ6" i="53"/>
  <c r="G22" i="58"/>
  <c r="I22" i="58" s="1"/>
  <c r="I28" i="58" s="1"/>
  <c r="G23" i="58"/>
  <c r="G24" i="58"/>
  <c r="G25" i="58"/>
  <c r="G26" i="58"/>
  <c r="G27" i="58"/>
  <c r="E28" i="48"/>
  <c r="F8" i="48"/>
  <c r="F338" i="39" s="1"/>
  <c r="D22" i="56"/>
  <c r="P8" i="69" s="1"/>
  <c r="E142" i="53"/>
  <c r="F142" i="53" s="1"/>
  <c r="G142" i="53" s="1"/>
  <c r="H142" i="53" s="1"/>
  <c r="I142" i="53" s="1"/>
  <c r="J142" i="53" s="1"/>
  <c r="K142" i="53" s="1"/>
  <c r="L142" i="53" s="1"/>
  <c r="M142" i="53" s="1"/>
  <c r="N142" i="53" s="1"/>
  <c r="O142" i="53" s="1"/>
  <c r="P142" i="53" s="1"/>
  <c r="Q142" i="53" s="1"/>
  <c r="R142" i="53" s="1"/>
  <c r="S142" i="53" s="1"/>
  <c r="T142" i="53" s="1"/>
  <c r="U142" i="53" s="1"/>
  <c r="V142" i="53" s="1"/>
  <c r="W142" i="53" s="1"/>
  <c r="X142" i="53" s="1"/>
  <c r="Y142" i="53" s="1"/>
  <c r="Z142" i="53" s="1"/>
  <c r="AA142" i="53" s="1"/>
  <c r="AB142" i="53" s="1"/>
  <c r="AC142" i="53" s="1"/>
  <c r="AD142" i="53" s="1"/>
  <c r="AE142" i="53" s="1"/>
  <c r="AF142" i="53" s="1"/>
  <c r="AH142" i="53" s="1"/>
  <c r="AG142" i="53" s="1"/>
  <c r="AI142" i="53" s="1"/>
  <c r="AJ142" i="53" s="1"/>
  <c r="AK142" i="53" s="1"/>
  <c r="AL142" i="53" s="1"/>
  <c r="AM142" i="53" s="1"/>
  <c r="AN142" i="53" s="1"/>
  <c r="AO142" i="53" s="1"/>
  <c r="AP142" i="53" s="1"/>
  <c r="AQ142" i="53" s="1"/>
  <c r="AR142" i="53" s="1"/>
  <c r="AS142" i="53" s="1"/>
  <c r="AT142" i="53" s="1"/>
  <c r="AU142" i="53" s="1"/>
  <c r="AV142" i="53" s="1"/>
  <c r="AW142" i="53" s="1"/>
  <c r="AX142" i="53" s="1"/>
  <c r="AY142" i="53" s="1"/>
  <c r="AZ142" i="53" s="1"/>
  <c r="BA142" i="53" s="1"/>
  <c r="BB142" i="53" s="1"/>
  <c r="BC142" i="53" s="1"/>
  <c r="BD142" i="53" s="1"/>
  <c r="BE142" i="53" s="1"/>
  <c r="BF142" i="53" s="1"/>
  <c r="BG142" i="53" s="1"/>
  <c r="BH142" i="53" s="1"/>
  <c r="BI142" i="53" s="1"/>
  <c r="BJ142" i="53" s="1"/>
  <c r="BK142" i="53" s="1"/>
  <c r="BL142" i="53" s="1"/>
  <c r="BM142" i="53" s="1"/>
  <c r="BN142" i="53" s="1"/>
  <c r="BO142" i="53" s="1"/>
  <c r="BP142" i="53" s="1"/>
  <c r="BQ142" i="53" s="1"/>
  <c r="BR142" i="53" s="1"/>
  <c r="BS142" i="53" s="1"/>
  <c r="BT142" i="53" s="1"/>
  <c r="BU142" i="53" s="1"/>
  <c r="BV142" i="53" s="1"/>
  <c r="BW142" i="53" s="1"/>
  <c r="BX142" i="53" s="1"/>
  <c r="BY142" i="53" s="1"/>
  <c r="BZ142" i="53" s="1"/>
  <c r="CA142" i="53" s="1"/>
  <c r="CB142" i="53" s="1"/>
  <c r="CC142" i="53" s="1"/>
  <c r="CD142" i="53" s="1"/>
  <c r="CE142" i="53" s="1"/>
  <c r="CF142" i="53" s="1"/>
  <c r="F337" i="39"/>
  <c r="S137" i="53" s="1"/>
  <c r="L337" i="39"/>
  <c r="B28" i="48"/>
  <c r="B27" i="48"/>
  <c r="I58" i="58"/>
  <c r="G58" i="58"/>
  <c r="F58" i="58"/>
  <c r="E58" i="58"/>
  <c r="D58" i="58"/>
  <c r="C58" i="58"/>
  <c r="H58" i="58"/>
  <c r="D14" i="56"/>
  <c r="G12" i="56"/>
  <c r="G11" i="56"/>
  <c r="G10" i="56"/>
  <c r="S98" i="41"/>
  <c r="R99" i="41" s="1"/>
  <c r="S99" i="41"/>
  <c r="R100" i="41" s="1"/>
  <c r="U99" i="41"/>
  <c r="S100" i="41"/>
  <c r="R101" i="41" s="1"/>
  <c r="U100" i="41"/>
  <c r="S101" i="41"/>
  <c r="R102" i="41" s="1"/>
  <c r="U101" i="41"/>
  <c r="S102" i="41"/>
  <c r="R103" i="41" s="1"/>
  <c r="U102" i="41"/>
  <c r="S103" i="41"/>
  <c r="U103" i="41"/>
  <c r="B19" i="41"/>
  <c r="D34" i="48"/>
  <c r="L51" i="41" s="1"/>
  <c r="D91" i="41"/>
  <c r="B5" i="41"/>
  <c r="C75" i="58"/>
  <c r="C354" i="39"/>
  <c r="C353" i="39"/>
  <c r="X7" i="65"/>
  <c r="AA6" i="55"/>
  <c r="AC6" i="55"/>
  <c r="AH8" i="55"/>
  <c r="C34" i="48"/>
  <c r="E34" i="48"/>
  <c r="E60" i="58"/>
  <c r="F60" i="58" s="1"/>
  <c r="AN6" i="51" a="1"/>
  <c r="AN11" i="51"/>
  <c r="K21" i="41"/>
  <c r="K22" i="41"/>
  <c r="N15" i="41"/>
  <c r="J137" i="53"/>
  <c r="U498" i="53"/>
  <c r="T498" i="53"/>
  <c r="U497" i="53"/>
  <c r="T497" i="53"/>
  <c r="U496" i="53"/>
  <c r="T496" i="53"/>
  <c r="U495" i="53"/>
  <c r="T495" i="53"/>
  <c r="U494" i="53"/>
  <c r="T494" i="53"/>
  <c r="U493" i="53"/>
  <c r="T493" i="53"/>
  <c r="U492" i="53"/>
  <c r="T492" i="53"/>
  <c r="U491" i="53"/>
  <c r="T491" i="53"/>
  <c r="U490" i="53"/>
  <c r="T490" i="53"/>
  <c r="U489" i="53"/>
  <c r="T489" i="53"/>
  <c r="U488" i="53"/>
  <c r="T488" i="53"/>
  <c r="U487" i="53"/>
  <c r="T487" i="53"/>
  <c r="U486" i="53"/>
  <c r="T486" i="53"/>
  <c r="U485" i="53"/>
  <c r="T485" i="53"/>
  <c r="U484" i="53"/>
  <c r="T484" i="53"/>
  <c r="U483" i="53"/>
  <c r="T483" i="53"/>
  <c r="U482" i="53"/>
  <c r="T482" i="53"/>
  <c r="U481" i="53"/>
  <c r="T481" i="53"/>
  <c r="U480" i="53"/>
  <c r="T480" i="53"/>
  <c r="U479" i="53"/>
  <c r="T479" i="53"/>
  <c r="U478" i="53"/>
  <c r="T478" i="53"/>
  <c r="U477" i="53"/>
  <c r="T477" i="53"/>
  <c r="U476" i="53"/>
  <c r="T476" i="53"/>
  <c r="U475" i="53"/>
  <c r="T475" i="53"/>
  <c r="U474" i="53"/>
  <c r="T474" i="53"/>
  <c r="U473" i="53"/>
  <c r="T473" i="53"/>
  <c r="U472" i="53"/>
  <c r="T472" i="53"/>
  <c r="U471" i="53"/>
  <c r="T471" i="53"/>
  <c r="U470" i="53"/>
  <c r="T470" i="53"/>
  <c r="U469" i="53"/>
  <c r="T469" i="53"/>
  <c r="U468" i="53"/>
  <c r="T468" i="53"/>
  <c r="U467" i="53"/>
  <c r="T467" i="53"/>
  <c r="U466" i="53"/>
  <c r="T466" i="53"/>
  <c r="U465" i="53"/>
  <c r="T465" i="53"/>
  <c r="U464" i="53"/>
  <c r="T464" i="53"/>
  <c r="U463" i="53"/>
  <c r="T463" i="53"/>
  <c r="U462" i="53"/>
  <c r="T462" i="53"/>
  <c r="U461" i="53"/>
  <c r="T461" i="53"/>
  <c r="U460" i="53"/>
  <c r="T460" i="53"/>
  <c r="U459" i="53"/>
  <c r="T459" i="53"/>
  <c r="U458" i="53"/>
  <c r="T458" i="53"/>
  <c r="U457" i="53"/>
  <c r="T457" i="53"/>
  <c r="U456" i="53"/>
  <c r="T456" i="53"/>
  <c r="U455" i="53"/>
  <c r="T455" i="53"/>
  <c r="U454" i="53"/>
  <c r="T454" i="53"/>
  <c r="U453" i="53"/>
  <c r="T453" i="53"/>
  <c r="U452" i="53"/>
  <c r="T452" i="53"/>
  <c r="U451" i="53"/>
  <c r="T451" i="53"/>
  <c r="U450" i="53"/>
  <c r="T450" i="53"/>
  <c r="U449" i="53"/>
  <c r="T449" i="53"/>
  <c r="U448" i="53"/>
  <c r="T448" i="53"/>
  <c r="U447" i="53"/>
  <c r="T447" i="53"/>
  <c r="U446" i="53"/>
  <c r="T446" i="53"/>
  <c r="U445" i="53"/>
  <c r="T445" i="53"/>
  <c r="U444" i="53"/>
  <c r="T444" i="53"/>
  <c r="U443" i="53"/>
  <c r="T443" i="53"/>
  <c r="U442" i="53"/>
  <c r="T442" i="53"/>
  <c r="U441" i="53"/>
  <c r="T441" i="53"/>
  <c r="U440" i="53"/>
  <c r="T440" i="53"/>
  <c r="U439" i="53"/>
  <c r="T439" i="53"/>
  <c r="U438" i="53"/>
  <c r="T438" i="53"/>
  <c r="U437" i="53"/>
  <c r="T437" i="53"/>
  <c r="U436" i="53"/>
  <c r="T436" i="53"/>
  <c r="U435" i="53"/>
  <c r="T435" i="53"/>
  <c r="U434" i="53"/>
  <c r="T434" i="53"/>
  <c r="U433" i="53"/>
  <c r="T433" i="53"/>
  <c r="U432" i="53"/>
  <c r="T432" i="53"/>
  <c r="U431" i="53"/>
  <c r="T431" i="53"/>
  <c r="U430" i="53"/>
  <c r="T430" i="53"/>
  <c r="U429" i="53"/>
  <c r="T429" i="53"/>
  <c r="U428" i="53"/>
  <c r="T428" i="53"/>
  <c r="U427" i="53"/>
  <c r="T427" i="53"/>
  <c r="U426" i="53"/>
  <c r="T426" i="53"/>
  <c r="U425" i="53"/>
  <c r="T425" i="53"/>
  <c r="U424" i="53"/>
  <c r="T424" i="53"/>
  <c r="U423" i="53"/>
  <c r="T423" i="53"/>
  <c r="U422" i="53"/>
  <c r="T422" i="53"/>
  <c r="U421" i="53"/>
  <c r="T421" i="53"/>
  <c r="U420" i="53"/>
  <c r="T420" i="53"/>
  <c r="U419" i="53"/>
  <c r="T419" i="53"/>
  <c r="U418" i="53"/>
  <c r="T418" i="53"/>
  <c r="U417" i="53"/>
  <c r="T417" i="53"/>
  <c r="U416" i="53"/>
  <c r="T416" i="53"/>
  <c r="U415" i="53"/>
  <c r="T415" i="53"/>
  <c r="U414" i="53"/>
  <c r="T414" i="53"/>
  <c r="U413" i="53"/>
  <c r="T413" i="53"/>
  <c r="U412" i="53"/>
  <c r="T412" i="53"/>
  <c r="U411" i="53"/>
  <c r="T411" i="53"/>
  <c r="U410" i="53"/>
  <c r="T410" i="53"/>
  <c r="U409" i="53"/>
  <c r="T409" i="53"/>
  <c r="U408" i="53"/>
  <c r="T408" i="53"/>
  <c r="U407" i="53"/>
  <c r="T407" i="53"/>
  <c r="U406" i="53"/>
  <c r="T406" i="53"/>
  <c r="U405" i="53"/>
  <c r="T405" i="53"/>
  <c r="U404" i="53"/>
  <c r="T404" i="53"/>
  <c r="U403" i="53"/>
  <c r="T403" i="53"/>
  <c r="U402" i="53"/>
  <c r="T402" i="53"/>
  <c r="U401" i="53"/>
  <c r="T401" i="53"/>
  <c r="U400" i="53"/>
  <c r="T400" i="53"/>
  <c r="U399" i="53"/>
  <c r="T399" i="53"/>
  <c r="U398" i="53"/>
  <c r="T398" i="53"/>
  <c r="U397" i="53"/>
  <c r="T397" i="53"/>
  <c r="U396" i="53"/>
  <c r="T396" i="53"/>
  <c r="U395" i="53"/>
  <c r="T395" i="53"/>
  <c r="U394" i="53"/>
  <c r="T394" i="53"/>
  <c r="U393" i="53"/>
  <c r="T393" i="53"/>
  <c r="U392" i="53"/>
  <c r="T392" i="53"/>
  <c r="U391" i="53"/>
  <c r="T391" i="53"/>
  <c r="U390" i="53"/>
  <c r="T390" i="53"/>
  <c r="U389" i="53"/>
  <c r="T389" i="53"/>
  <c r="U388" i="53"/>
  <c r="T388" i="53"/>
  <c r="U387" i="53"/>
  <c r="T387" i="53"/>
  <c r="U386" i="53"/>
  <c r="T386" i="53"/>
  <c r="U385" i="53"/>
  <c r="T385" i="53"/>
  <c r="U384" i="53"/>
  <c r="T384" i="53"/>
  <c r="U383" i="53"/>
  <c r="T383" i="53"/>
  <c r="U382" i="53"/>
  <c r="T382" i="53"/>
  <c r="U381" i="53"/>
  <c r="T381" i="53"/>
  <c r="U380" i="53"/>
  <c r="T380" i="53"/>
  <c r="U379" i="53"/>
  <c r="T379" i="53"/>
  <c r="U378" i="53"/>
  <c r="T378" i="53"/>
  <c r="U377" i="53"/>
  <c r="T377" i="53"/>
  <c r="U376" i="53"/>
  <c r="T376" i="53"/>
  <c r="U375" i="53"/>
  <c r="T375" i="53"/>
  <c r="U374" i="53"/>
  <c r="T374" i="53"/>
  <c r="U373" i="53"/>
  <c r="T373" i="53"/>
  <c r="U372" i="53"/>
  <c r="T372" i="53"/>
  <c r="U371" i="53"/>
  <c r="T371" i="53"/>
  <c r="U370" i="53"/>
  <c r="T370" i="53"/>
  <c r="U369" i="53"/>
  <c r="T369" i="53"/>
  <c r="U368" i="53"/>
  <c r="T368" i="53"/>
  <c r="U367" i="53"/>
  <c r="T367" i="53"/>
  <c r="U366" i="53"/>
  <c r="T366" i="53"/>
  <c r="U365" i="53"/>
  <c r="T365" i="53"/>
  <c r="U364" i="53"/>
  <c r="T364" i="53"/>
  <c r="U363" i="53"/>
  <c r="T363" i="53"/>
  <c r="U362" i="53"/>
  <c r="T362" i="53"/>
  <c r="U361" i="53"/>
  <c r="T361" i="53"/>
  <c r="U360" i="53"/>
  <c r="T360" i="53"/>
  <c r="U359" i="53"/>
  <c r="T359" i="53"/>
  <c r="U358" i="53"/>
  <c r="T358" i="53"/>
  <c r="U357" i="53"/>
  <c r="T357" i="53"/>
  <c r="U356" i="53"/>
  <c r="T356" i="53"/>
  <c r="U355" i="53"/>
  <c r="T355" i="53"/>
  <c r="U354" i="53"/>
  <c r="T354" i="53"/>
  <c r="U353" i="53"/>
  <c r="T353" i="53"/>
  <c r="U352" i="53"/>
  <c r="T352" i="53"/>
  <c r="U351" i="53"/>
  <c r="T351" i="53"/>
  <c r="U350" i="53"/>
  <c r="T350" i="53"/>
  <c r="U349" i="53"/>
  <c r="T349" i="53"/>
  <c r="U348" i="53"/>
  <c r="T348" i="53"/>
  <c r="U347" i="53"/>
  <c r="T347" i="53"/>
  <c r="U346" i="53"/>
  <c r="T346" i="53"/>
  <c r="U345" i="53"/>
  <c r="T345" i="53"/>
  <c r="U344" i="53"/>
  <c r="T344" i="53"/>
  <c r="U343" i="53"/>
  <c r="T343" i="53"/>
  <c r="U342" i="53"/>
  <c r="T342" i="53"/>
  <c r="U341" i="53"/>
  <c r="T341" i="53"/>
  <c r="U340" i="53"/>
  <c r="T340" i="53"/>
  <c r="U339" i="53"/>
  <c r="T339" i="53"/>
  <c r="U338" i="53"/>
  <c r="T338" i="53"/>
  <c r="U337" i="53"/>
  <c r="T337" i="53"/>
  <c r="U336" i="53"/>
  <c r="T336" i="53"/>
  <c r="U335" i="53"/>
  <c r="T335" i="53"/>
  <c r="U334" i="53"/>
  <c r="T334" i="53"/>
  <c r="U333" i="53"/>
  <c r="T333" i="53"/>
  <c r="U332" i="53"/>
  <c r="T332" i="53"/>
  <c r="U331" i="53"/>
  <c r="T331" i="53"/>
  <c r="U330" i="53"/>
  <c r="T330" i="53"/>
  <c r="U329" i="53"/>
  <c r="T329" i="53"/>
  <c r="U328" i="53"/>
  <c r="T328" i="53"/>
  <c r="U327" i="53"/>
  <c r="T327" i="53"/>
  <c r="U326" i="53"/>
  <c r="T326" i="53"/>
  <c r="U325" i="53"/>
  <c r="T325" i="53"/>
  <c r="U324" i="53"/>
  <c r="T324" i="53"/>
  <c r="U323" i="53"/>
  <c r="T323" i="53"/>
  <c r="U322" i="53"/>
  <c r="T322" i="53"/>
  <c r="U321" i="53"/>
  <c r="T321" i="53"/>
  <c r="U320" i="53"/>
  <c r="T320" i="53"/>
  <c r="U319" i="53"/>
  <c r="T319" i="53"/>
  <c r="U318" i="53"/>
  <c r="T318" i="53"/>
  <c r="U317" i="53"/>
  <c r="T317" i="53"/>
  <c r="U316" i="53"/>
  <c r="T316" i="53"/>
  <c r="U315" i="53"/>
  <c r="T315" i="53"/>
  <c r="U314" i="53"/>
  <c r="T314" i="53"/>
  <c r="U313" i="53"/>
  <c r="T313" i="53"/>
  <c r="U312" i="53"/>
  <c r="T312" i="53"/>
  <c r="U311" i="53"/>
  <c r="T311" i="53"/>
  <c r="U310" i="53"/>
  <c r="T310" i="53"/>
  <c r="U309" i="53"/>
  <c r="T309" i="53"/>
  <c r="U308" i="53"/>
  <c r="T308" i="53"/>
  <c r="U307" i="53"/>
  <c r="T307" i="53"/>
  <c r="U306" i="53"/>
  <c r="T306" i="53"/>
  <c r="U305" i="53"/>
  <c r="T305" i="53"/>
  <c r="U304" i="53"/>
  <c r="T304" i="53"/>
  <c r="U303" i="53"/>
  <c r="T303" i="53"/>
  <c r="U302" i="53"/>
  <c r="T302" i="53"/>
  <c r="U301" i="53"/>
  <c r="T301" i="53"/>
  <c r="U300" i="53"/>
  <c r="T300" i="53"/>
  <c r="U299" i="53"/>
  <c r="T299" i="53"/>
  <c r="U298" i="53"/>
  <c r="T298" i="53"/>
  <c r="U297" i="53"/>
  <c r="T297" i="53"/>
  <c r="U296" i="53"/>
  <c r="T296" i="53"/>
  <c r="U295" i="53"/>
  <c r="T295" i="53"/>
  <c r="U294" i="53"/>
  <c r="T294" i="53"/>
  <c r="U293" i="53"/>
  <c r="T293" i="53"/>
  <c r="U292" i="53"/>
  <c r="T292" i="53"/>
  <c r="U291" i="53"/>
  <c r="T291" i="53"/>
  <c r="U290" i="53"/>
  <c r="T290" i="53"/>
  <c r="U289" i="53"/>
  <c r="T289" i="53"/>
  <c r="U288" i="53"/>
  <c r="T288" i="53"/>
  <c r="U287" i="53"/>
  <c r="T287" i="53"/>
  <c r="U286" i="53"/>
  <c r="T286" i="53"/>
  <c r="U285" i="53"/>
  <c r="T285" i="53"/>
  <c r="U284" i="53"/>
  <c r="T284" i="53"/>
  <c r="U283" i="53"/>
  <c r="T283" i="53"/>
  <c r="U282" i="53"/>
  <c r="T282" i="53"/>
  <c r="U281" i="53"/>
  <c r="T281" i="53"/>
  <c r="U280" i="53"/>
  <c r="T280" i="53"/>
  <c r="U279" i="53"/>
  <c r="T279" i="53"/>
  <c r="U278" i="53"/>
  <c r="T278" i="53"/>
  <c r="U277" i="53"/>
  <c r="T277" i="53"/>
  <c r="U276" i="53"/>
  <c r="T276" i="53"/>
  <c r="U275" i="53"/>
  <c r="T275" i="53"/>
  <c r="U274" i="53"/>
  <c r="T274" i="53"/>
  <c r="U273" i="53"/>
  <c r="T273" i="53"/>
  <c r="U272" i="53"/>
  <c r="T272" i="53"/>
  <c r="U271" i="53"/>
  <c r="T271" i="53"/>
  <c r="U270" i="53"/>
  <c r="T270" i="53"/>
  <c r="U269" i="53"/>
  <c r="T269" i="53"/>
  <c r="U268" i="53"/>
  <c r="T268" i="53"/>
  <c r="U267" i="53"/>
  <c r="T267" i="53"/>
  <c r="U266" i="53"/>
  <c r="T266" i="53"/>
  <c r="U265" i="53"/>
  <c r="T265" i="53"/>
  <c r="U264" i="53"/>
  <c r="T264" i="53"/>
  <c r="U263" i="53"/>
  <c r="T263" i="53"/>
  <c r="U262" i="53"/>
  <c r="T262" i="53"/>
  <c r="U261" i="53"/>
  <c r="T261" i="53"/>
  <c r="U260" i="53"/>
  <c r="T260" i="53"/>
  <c r="K78" i="41"/>
  <c r="K82" i="41"/>
  <c r="K81" i="41"/>
  <c r="K80" i="41"/>
  <c r="K79" i="41"/>
  <c r="K77" i="41"/>
  <c r="C8" i="39"/>
  <c r="H49" i="41"/>
  <c r="E28" i="58"/>
  <c r="D12" i="56"/>
  <c r="G12" i="41"/>
  <c r="N77" i="41"/>
  <c r="N9" i="41"/>
  <c r="N8" i="41"/>
  <c r="N14" i="41"/>
  <c r="K25" i="41"/>
  <c r="K24" i="41"/>
  <c r="K23" i="41"/>
  <c r="L60" i="41"/>
  <c r="L59" i="41"/>
  <c r="L58" i="41"/>
  <c r="W8" i="55"/>
  <c r="H17" i="58"/>
  <c r="I17" i="58"/>
  <c r="H16" i="58"/>
  <c r="I16" i="58"/>
  <c r="H15" i="58"/>
  <c r="I15" i="58" s="1"/>
  <c r="D34" i="41" s="1"/>
  <c r="H14" i="58"/>
  <c r="I14" i="58" s="1"/>
  <c r="D33" i="41" s="1"/>
  <c r="H13" i="58"/>
  <c r="I13" i="58" s="1"/>
  <c r="D32" i="41" s="1"/>
  <c r="H10" i="58"/>
  <c r="I10" i="58" s="1"/>
  <c r="D29" i="41" s="1"/>
  <c r="H7" i="58"/>
  <c r="I7" i="58" s="1"/>
  <c r="D26" i="41" s="1"/>
  <c r="H11" i="58"/>
  <c r="I11" i="58" s="1"/>
  <c r="D30" i="41" s="1"/>
  <c r="H12" i="58"/>
  <c r="I12" i="58" s="1"/>
  <c r="D31" i="41" s="1"/>
  <c r="D64" i="58"/>
  <c r="D63" i="58"/>
  <c r="D62" i="58"/>
  <c r="D61" i="58"/>
  <c r="D60" i="58"/>
  <c r="D59" i="58"/>
  <c r="I278" i="39"/>
  <c r="D6" i="41"/>
  <c r="D7" i="41" s="1"/>
  <c r="C36" i="58"/>
  <c r="C37" i="58" s="1"/>
  <c r="K26" i="41" s="1"/>
  <c r="B45" i="58"/>
  <c r="B44" i="58"/>
  <c r="B43" i="58"/>
  <c r="B42" i="58"/>
  <c r="B41" i="58"/>
  <c r="C64" i="58"/>
  <c r="C63" i="58"/>
  <c r="C62" i="58"/>
  <c r="C61" i="58"/>
  <c r="C60" i="58"/>
  <c r="C59" i="58"/>
  <c r="E64" i="58"/>
  <c r="F64" i="58" s="1"/>
  <c r="E63" i="58"/>
  <c r="E62" i="58"/>
  <c r="E61" i="58"/>
  <c r="F61" i="58" s="1"/>
  <c r="E59" i="58"/>
  <c r="F59" i="58" s="1"/>
  <c r="I269" i="39"/>
  <c r="I169" i="39"/>
  <c r="I168" i="39"/>
  <c r="I11" i="39"/>
  <c r="I12" i="39"/>
  <c r="I13" i="39"/>
  <c r="W13" i="55"/>
  <c r="W12" i="55"/>
  <c r="W11" i="55"/>
  <c r="W10" i="55"/>
  <c r="W9" i="55"/>
  <c r="D130" i="55"/>
  <c r="D131" i="55"/>
  <c r="O14" i="55"/>
  <c r="O13" i="55"/>
  <c r="O12" i="55"/>
  <c r="O11" i="55"/>
  <c r="O10" i="55"/>
  <c r="O9" i="55"/>
  <c r="C95" i="41"/>
  <c r="F91" i="41"/>
  <c r="E91" i="41"/>
  <c r="H69" i="41"/>
  <c r="H78" i="41"/>
  <c r="H77" i="41"/>
  <c r="H75" i="41"/>
  <c r="H74" i="41"/>
  <c r="H72" i="41"/>
  <c r="H70" i="41"/>
  <c r="H68" i="41"/>
  <c r="H67" i="41"/>
  <c r="H66" i="41"/>
  <c r="H65" i="41"/>
  <c r="I128" i="53"/>
  <c r="H128" i="53"/>
  <c r="H6" i="58"/>
  <c r="D55" i="58"/>
  <c r="H71" i="41"/>
  <c r="AA8" i="55"/>
  <c r="I170" i="39"/>
  <c r="H4" i="51"/>
  <c r="I4" i="51"/>
  <c r="J4" i="51"/>
  <c r="D97" i="41"/>
  <c r="F97" i="41"/>
  <c r="E97" i="41"/>
  <c r="H81" i="41"/>
  <c r="N6" i="41"/>
  <c r="O137" i="53"/>
  <c r="AX137" i="53"/>
  <c r="L338" i="39"/>
  <c r="AN35" i="51"/>
  <c r="AN16" i="51"/>
  <c r="AN37" i="51"/>
  <c r="AN27" i="51"/>
  <c r="AN9" i="51"/>
  <c r="AN14" i="51"/>
  <c r="AN12" i="51"/>
  <c r="C10" i="55"/>
  <c r="T10" i="55"/>
  <c r="AN38" i="51"/>
  <c r="AN13" i="51"/>
  <c r="AN26" i="51"/>
  <c r="AN17" i="51"/>
  <c r="AN32" i="51"/>
  <c r="AN36" i="51"/>
  <c r="AN23" i="51"/>
  <c r="AN7" i="51"/>
  <c r="AN33" i="51"/>
  <c r="AN29" i="51"/>
  <c r="AN15" i="51"/>
  <c r="AN28" i="51"/>
  <c r="AN6" i="51"/>
  <c r="AN25" i="51"/>
  <c r="AN30" i="51"/>
  <c r="AN24" i="51"/>
  <c r="AN31" i="51"/>
  <c r="AN18" i="51"/>
  <c r="AN8" i="51"/>
  <c r="AN19" i="51"/>
  <c r="AN34" i="51"/>
  <c r="AN22" i="51"/>
  <c r="AN10" i="51"/>
  <c r="AN21" i="51"/>
  <c r="AN20" i="51"/>
  <c r="AH9" i="55"/>
  <c r="O130" i="55"/>
  <c r="O131" i="55"/>
  <c r="AH10" i="55"/>
  <c r="AC9" i="55"/>
  <c r="U10" i="55"/>
  <c r="AA9" i="55"/>
  <c r="A6" i="51"/>
  <c r="W7" i="65" s="1"/>
  <c r="R10" i="55"/>
  <c r="AU6" i="53"/>
  <c r="I27" i="58"/>
  <c r="I26" i="58"/>
  <c r="I24" i="58"/>
  <c r="I23" i="58"/>
  <c r="I25" i="58"/>
  <c r="F33" i="58"/>
  <c r="I184" i="39"/>
  <c r="I233" i="39"/>
  <c r="I275" i="39"/>
  <c r="I157" i="39"/>
  <c r="I177" i="39"/>
  <c r="AB10" i="55"/>
  <c r="C11" i="55"/>
  <c r="X10" i="55"/>
  <c r="X9" i="55"/>
  <c r="AD8" i="55"/>
  <c r="AB8" i="55"/>
  <c r="F23" i="69"/>
  <c r="C41" i="48"/>
  <c r="D23" i="69" s="1"/>
  <c r="L340" i="39"/>
  <c r="L339" i="39"/>
  <c r="C12" i="55"/>
  <c r="AD11" i="55"/>
  <c r="R11" i="55"/>
  <c r="S11" i="55"/>
  <c r="X11" i="55"/>
  <c r="AB11" i="55"/>
  <c r="Y11" i="55"/>
  <c r="AH11" i="55"/>
  <c r="T11" i="55"/>
  <c r="AC11" i="55"/>
  <c r="U11" i="55"/>
  <c r="AA11" i="55"/>
  <c r="L316" i="39"/>
  <c r="C13" i="55"/>
  <c r="X12" i="55"/>
  <c r="Y12" i="55"/>
  <c r="AD12" i="55"/>
  <c r="R12" i="55"/>
  <c r="S12" i="55"/>
  <c r="AC12" i="55"/>
  <c r="AH12" i="55"/>
  <c r="U12" i="55"/>
  <c r="T12" i="55"/>
  <c r="C14" i="55"/>
  <c r="AD13" i="55"/>
  <c r="R13" i="55"/>
  <c r="S13" i="55"/>
  <c r="X13" i="55"/>
  <c r="AB13" i="55"/>
  <c r="Y13" i="55"/>
  <c r="T13" i="55"/>
  <c r="AC13" i="55"/>
  <c r="U13" i="55"/>
  <c r="AA13" i="55"/>
  <c r="AH13" i="55"/>
  <c r="C15" i="55"/>
  <c r="X14" i="55"/>
  <c r="AB14" i="55"/>
  <c r="Y14" i="55"/>
  <c r="AD14" i="55"/>
  <c r="R14" i="55"/>
  <c r="S14" i="55"/>
  <c r="T14" i="55"/>
  <c r="AA14" i="55"/>
  <c r="AC14" i="55"/>
  <c r="AH14" i="55"/>
  <c r="U14" i="55"/>
  <c r="I46" i="58"/>
  <c r="C16" i="55"/>
  <c r="AD15" i="55"/>
  <c r="R15" i="55"/>
  <c r="S15" i="55"/>
  <c r="X15" i="55"/>
  <c r="AB15" i="55"/>
  <c r="Y15" i="55"/>
  <c r="AA15" i="55"/>
  <c r="T15" i="55"/>
  <c r="AH15" i="55"/>
  <c r="U15" i="55"/>
  <c r="AC15" i="55"/>
  <c r="C17" i="55"/>
  <c r="X16" i="55"/>
  <c r="AB16" i="55"/>
  <c r="Y16" i="55"/>
  <c r="AD16" i="55"/>
  <c r="R16" i="55"/>
  <c r="S16" i="55"/>
  <c r="AH16" i="55"/>
  <c r="T16" i="55"/>
  <c r="U16" i="55"/>
  <c r="AA16" i="55"/>
  <c r="AC16" i="55"/>
  <c r="C18" i="55"/>
  <c r="AD17" i="55"/>
  <c r="R17" i="55"/>
  <c r="S17" i="55"/>
  <c r="X17" i="55"/>
  <c r="AB17" i="55"/>
  <c r="Y17" i="55"/>
  <c r="AA17" i="55"/>
  <c r="T17" i="55"/>
  <c r="U17" i="55"/>
  <c r="AH17" i="55"/>
  <c r="AC17" i="55"/>
  <c r="C19" i="55"/>
  <c r="X18" i="55"/>
  <c r="AB18" i="55"/>
  <c r="Y18" i="55"/>
  <c r="AD18" i="55"/>
  <c r="R18" i="55"/>
  <c r="S18" i="55"/>
  <c r="AA18" i="55"/>
  <c r="T18" i="55"/>
  <c r="U18" i="55"/>
  <c r="AH18" i="55"/>
  <c r="AC18" i="55"/>
  <c r="C20" i="55"/>
  <c r="AD19" i="55"/>
  <c r="R19" i="55"/>
  <c r="S19" i="55"/>
  <c r="X19" i="55"/>
  <c r="AB19" i="55"/>
  <c r="Y19" i="55"/>
  <c r="T19" i="55"/>
  <c r="U19" i="55"/>
  <c r="AC19" i="55"/>
  <c r="AA19" i="55"/>
  <c r="AH19" i="55"/>
  <c r="C21" i="55"/>
  <c r="S20" i="55"/>
  <c r="X20" i="55"/>
  <c r="AB20" i="55"/>
  <c r="Y20" i="55"/>
  <c r="AD20" i="55"/>
  <c r="R20" i="55"/>
  <c r="T20" i="55"/>
  <c r="AA20" i="55"/>
  <c r="AH20" i="55"/>
  <c r="AC20" i="55"/>
  <c r="U20" i="55"/>
  <c r="C22" i="55"/>
  <c r="AB21" i="55"/>
  <c r="Y21" i="55"/>
  <c r="AD21" i="55"/>
  <c r="R21" i="55"/>
  <c r="S21" i="55"/>
  <c r="X21" i="55"/>
  <c r="AA21" i="55"/>
  <c r="AH21" i="55"/>
  <c r="AC21" i="55"/>
  <c r="U21" i="55"/>
  <c r="T21" i="55"/>
  <c r="C23" i="55"/>
  <c r="S22" i="55"/>
  <c r="X22" i="55"/>
  <c r="AB22" i="55"/>
  <c r="Y22" i="55"/>
  <c r="AD22" i="55"/>
  <c r="R22" i="55"/>
  <c r="AH22" i="55"/>
  <c r="U22" i="55"/>
  <c r="AC22" i="55"/>
  <c r="AA22" i="55"/>
  <c r="T22" i="55"/>
  <c r="C24" i="55"/>
  <c r="AB23" i="55"/>
  <c r="Y23" i="55"/>
  <c r="AD23" i="55"/>
  <c r="R23" i="55"/>
  <c r="S23" i="55"/>
  <c r="X23" i="55"/>
  <c r="T23" i="55"/>
  <c r="AC23" i="55"/>
  <c r="U23" i="55"/>
  <c r="AH23" i="55"/>
  <c r="AA23" i="55"/>
  <c r="C25" i="55"/>
  <c r="S24" i="55"/>
  <c r="X24" i="55"/>
  <c r="AB24" i="55"/>
  <c r="Y24" i="55"/>
  <c r="AD24" i="55"/>
  <c r="R24" i="55"/>
  <c r="T24" i="55"/>
  <c r="AA24" i="55"/>
  <c r="AC24" i="55"/>
  <c r="AH24" i="55"/>
  <c r="U24" i="55"/>
  <c r="C26" i="55"/>
  <c r="AB25" i="55"/>
  <c r="Y25" i="55"/>
  <c r="AD25" i="55"/>
  <c r="R25" i="55"/>
  <c r="S25" i="55"/>
  <c r="X25" i="55"/>
  <c r="U25" i="55"/>
  <c r="AA25" i="55"/>
  <c r="AC25" i="55"/>
  <c r="AH25" i="55"/>
  <c r="T25" i="55"/>
  <c r="C27" i="55"/>
  <c r="X26" i="55"/>
  <c r="AB26" i="55"/>
  <c r="AD26" i="55"/>
  <c r="R26" i="55"/>
  <c r="S26" i="55"/>
  <c r="U26" i="55"/>
  <c r="Y26" i="55"/>
  <c r="AH26" i="55"/>
  <c r="AA26" i="55"/>
  <c r="AC26" i="55"/>
  <c r="T26" i="55"/>
  <c r="C28" i="55"/>
  <c r="S27" i="55"/>
  <c r="AB27" i="55"/>
  <c r="AD27" i="55"/>
  <c r="R27" i="55"/>
  <c r="X27" i="55"/>
  <c r="U27" i="55"/>
  <c r="AH27" i="55"/>
  <c r="T27" i="55"/>
  <c r="AC27" i="55"/>
  <c r="AA27" i="55"/>
  <c r="Y27" i="55"/>
  <c r="C29" i="55"/>
  <c r="AD28" i="55"/>
  <c r="R28" i="55"/>
  <c r="S28" i="55"/>
  <c r="AB28" i="55"/>
  <c r="Y28" i="55"/>
  <c r="U28" i="55"/>
  <c r="AA28" i="55"/>
  <c r="X28" i="55"/>
  <c r="AC28" i="55"/>
  <c r="T28" i="55"/>
  <c r="AH28" i="55"/>
  <c r="C30" i="55"/>
  <c r="AB29" i="55"/>
  <c r="AD29" i="55"/>
  <c r="R29" i="55"/>
  <c r="S29" i="55"/>
  <c r="AC29" i="55"/>
  <c r="Y29" i="55"/>
  <c r="U29" i="55"/>
  <c r="T29" i="55"/>
  <c r="X29" i="55"/>
  <c r="AH29" i="55"/>
  <c r="AA29" i="55"/>
  <c r="C31" i="55"/>
  <c r="AB30" i="55"/>
  <c r="AD30" i="55"/>
  <c r="R30" i="55"/>
  <c r="S30" i="55"/>
  <c r="Y30" i="55"/>
  <c r="AA30" i="55"/>
  <c r="AH30" i="55"/>
  <c r="T30" i="55"/>
  <c r="U30" i="55"/>
  <c r="AC30" i="55"/>
  <c r="X30" i="55"/>
  <c r="C32" i="55"/>
  <c r="S31" i="55"/>
  <c r="AB31" i="55"/>
  <c r="AD31" i="55"/>
  <c r="R31" i="55"/>
  <c r="AA31" i="55"/>
  <c r="Y31" i="55"/>
  <c r="T31" i="55"/>
  <c r="AH31" i="55"/>
  <c r="AC31" i="55"/>
  <c r="X31" i="55"/>
  <c r="U31" i="55"/>
  <c r="C33" i="55"/>
  <c r="AD32" i="55"/>
  <c r="R32" i="55"/>
  <c r="AB32" i="55"/>
  <c r="S32" i="55"/>
  <c r="AA32" i="55"/>
  <c r="AC32" i="55"/>
  <c r="AH32" i="55"/>
  <c r="X32" i="55"/>
  <c r="T32" i="55"/>
  <c r="Y32" i="55"/>
  <c r="U32" i="55"/>
  <c r="C34" i="55"/>
  <c r="AB33" i="55"/>
  <c r="S33" i="55"/>
  <c r="AD33" i="55"/>
  <c r="R33" i="55"/>
  <c r="Y33" i="55"/>
  <c r="AA33" i="55"/>
  <c r="T33" i="55"/>
  <c r="AH33" i="55"/>
  <c r="U33" i="55"/>
  <c r="X33" i="55"/>
  <c r="AC33" i="55"/>
  <c r="C35" i="55"/>
  <c r="AD34" i="55"/>
  <c r="R34" i="55"/>
  <c r="S34" i="55"/>
  <c r="AB34" i="55"/>
  <c r="U34" i="55"/>
  <c r="AA34" i="55"/>
  <c r="X34" i="55"/>
  <c r="Y34" i="55"/>
  <c r="AH34" i="55"/>
  <c r="T34" i="55"/>
  <c r="AC34" i="55"/>
  <c r="C36" i="55"/>
  <c r="S35" i="55"/>
  <c r="AB35" i="55"/>
  <c r="AD35" i="55"/>
  <c r="R35" i="55"/>
  <c r="AH35" i="55"/>
  <c r="AA35" i="55"/>
  <c r="AC35" i="55"/>
  <c r="T35" i="55"/>
  <c r="U35" i="55"/>
  <c r="Y35" i="55"/>
  <c r="X35" i="55"/>
  <c r="C37" i="55"/>
  <c r="AD36" i="55"/>
  <c r="R36" i="55"/>
  <c r="AB36" i="55"/>
  <c r="S36" i="55"/>
  <c r="AC36" i="55"/>
  <c r="X36" i="55"/>
  <c r="U36" i="55"/>
  <c r="AH36" i="55"/>
  <c r="T36" i="55"/>
  <c r="Y36" i="55"/>
  <c r="AA36" i="55"/>
  <c r="C38" i="55"/>
  <c r="AB37" i="55"/>
  <c r="S37" i="55"/>
  <c r="AD37" i="55"/>
  <c r="R37" i="55"/>
  <c r="AA37" i="55"/>
  <c r="AC37" i="55"/>
  <c r="AH37" i="55"/>
  <c r="T37" i="55"/>
  <c r="Y37" i="55"/>
  <c r="X37" i="55"/>
  <c r="U37" i="55"/>
  <c r="C39" i="55"/>
  <c r="AD38" i="55"/>
  <c r="R38" i="55"/>
  <c r="S38" i="55"/>
  <c r="AB38" i="55"/>
  <c r="AC38" i="55"/>
  <c r="X38" i="55"/>
  <c r="AH38" i="55"/>
  <c r="T38" i="55"/>
  <c r="AA38" i="55"/>
  <c r="U38" i="55"/>
  <c r="Y38" i="55"/>
  <c r="C40" i="55"/>
  <c r="S39" i="55"/>
  <c r="AB39" i="55"/>
  <c r="AD39" i="55"/>
  <c r="R39" i="55"/>
  <c r="Y39" i="55"/>
  <c r="AH39" i="55"/>
  <c r="T39" i="55"/>
  <c r="U39" i="55"/>
  <c r="AC39" i="55"/>
  <c r="AA39" i="55"/>
  <c r="X39" i="55"/>
  <c r="C41" i="55"/>
  <c r="AD40" i="55"/>
  <c r="R40" i="55"/>
  <c r="AB40" i="55"/>
  <c r="S40" i="55"/>
  <c r="X40" i="55"/>
  <c r="AA40" i="55"/>
  <c r="AH40" i="55"/>
  <c r="T40" i="55"/>
  <c r="AC40" i="55"/>
  <c r="U40" i="55"/>
  <c r="Y40" i="55"/>
  <c r="C42" i="55"/>
  <c r="AB41" i="55"/>
  <c r="S41" i="55"/>
  <c r="AD41" i="55"/>
  <c r="R41" i="55"/>
  <c r="AC41" i="55"/>
  <c r="AH41" i="55"/>
  <c r="U41" i="55"/>
  <c r="X41" i="55"/>
  <c r="T41" i="55"/>
  <c r="Y41" i="55"/>
  <c r="AA41" i="55"/>
  <c r="C43" i="55"/>
  <c r="AD42" i="55"/>
  <c r="R42" i="55"/>
  <c r="S42" i="55"/>
  <c r="AB42" i="55"/>
  <c r="AA42" i="55"/>
  <c r="U42" i="55"/>
  <c r="AH42" i="55"/>
  <c r="X42" i="55"/>
  <c r="AC42" i="55"/>
  <c r="Y42" i="55"/>
  <c r="T42" i="55"/>
  <c r="C44" i="55"/>
  <c r="AB43" i="55"/>
  <c r="AD43" i="55"/>
  <c r="R43" i="55"/>
  <c r="S43" i="55"/>
  <c r="X43" i="55"/>
  <c r="T43" i="55"/>
  <c r="AA43" i="55"/>
  <c r="Y43" i="55"/>
  <c r="U43" i="55"/>
  <c r="AC43" i="55"/>
  <c r="AH43" i="55"/>
  <c r="C45" i="55"/>
  <c r="S44" i="55"/>
  <c r="AB44" i="55"/>
  <c r="AD44" i="55"/>
  <c r="R44" i="55"/>
  <c r="T44" i="55"/>
  <c r="U44" i="55"/>
  <c r="AH44" i="55"/>
  <c r="Y44" i="55"/>
  <c r="X44" i="55"/>
  <c r="AC44" i="55"/>
  <c r="AA44" i="55"/>
  <c r="C46" i="55"/>
  <c r="AD45" i="55"/>
  <c r="S45" i="55"/>
  <c r="AB45" i="55"/>
  <c r="Y45" i="55"/>
  <c r="AC45" i="55"/>
  <c r="X45" i="55"/>
  <c r="AH45" i="55"/>
  <c r="U45" i="55"/>
  <c r="AA45" i="55"/>
  <c r="T45" i="55"/>
  <c r="R45" i="55"/>
  <c r="C47" i="55"/>
  <c r="AB46" i="55"/>
  <c r="AA46" i="55"/>
  <c r="AH46" i="55"/>
  <c r="S46" i="55"/>
  <c r="X46" i="55"/>
  <c r="R46" i="55"/>
  <c r="T46" i="55"/>
  <c r="Y46" i="55"/>
  <c r="AD46" i="55"/>
  <c r="AC46" i="55"/>
  <c r="U46" i="55"/>
  <c r="C48" i="55"/>
  <c r="X47" i="55"/>
  <c r="R47" i="55"/>
  <c r="S47" i="55"/>
  <c r="U47" i="55"/>
  <c r="AA47" i="55"/>
  <c r="AH47" i="55"/>
  <c r="AB47" i="55"/>
  <c r="AD47" i="55"/>
  <c r="AC47" i="55"/>
  <c r="Y47" i="55"/>
  <c r="T47" i="55"/>
  <c r="C49" i="55"/>
  <c r="AB48" i="55"/>
  <c r="AC48" i="55"/>
  <c r="R48" i="55"/>
  <c r="S48" i="55"/>
  <c r="X48" i="55"/>
  <c r="AA48" i="55"/>
  <c r="AH48" i="55"/>
  <c r="Y48" i="55"/>
  <c r="U48" i="55"/>
  <c r="AD48" i="55"/>
  <c r="T48" i="55"/>
  <c r="C50" i="55"/>
  <c r="X49" i="55"/>
  <c r="R49" i="55"/>
  <c r="S49" i="55"/>
  <c r="AB49" i="55"/>
  <c r="T49" i="55"/>
  <c r="AC49" i="55"/>
  <c r="Y49" i="55"/>
  <c r="AH49" i="55"/>
  <c r="AA49" i="55"/>
  <c r="AD49" i="55"/>
  <c r="C51" i="55"/>
  <c r="S50" i="55"/>
  <c r="Y50" i="55"/>
  <c r="X50" i="55"/>
  <c r="R50" i="55"/>
  <c r="AA50" i="55"/>
  <c r="U50" i="55"/>
  <c r="AC50" i="55"/>
  <c r="T50" i="55"/>
  <c r="AB50" i="55"/>
  <c r="AH50" i="55"/>
  <c r="AD50" i="55"/>
  <c r="C52" i="55"/>
  <c r="Y51" i="55"/>
  <c r="T51" i="55"/>
  <c r="S51" i="55"/>
  <c r="AH51" i="55"/>
  <c r="AB51" i="55"/>
  <c r="AD51" i="55"/>
  <c r="AA51" i="55"/>
  <c r="AC51" i="55"/>
  <c r="R51" i="55"/>
  <c r="X51" i="55"/>
  <c r="U51" i="55"/>
  <c r="C53" i="55"/>
  <c r="AH52" i="55"/>
  <c r="T52" i="55"/>
  <c r="AB52" i="55"/>
  <c r="U52" i="55"/>
  <c r="R52" i="55"/>
  <c r="Y52" i="55"/>
  <c r="AA52" i="55"/>
  <c r="X52" i="55"/>
  <c r="S52" i="55"/>
  <c r="AD52" i="55"/>
  <c r="AC52" i="55"/>
  <c r="C54" i="55"/>
  <c r="S53" i="55"/>
  <c r="AA53" i="55"/>
  <c r="AC53" i="55"/>
  <c r="R53" i="55"/>
  <c r="T53" i="55"/>
  <c r="U53" i="55"/>
  <c r="Y53" i="55"/>
  <c r="AH53" i="55"/>
  <c r="X53" i="55"/>
  <c r="AB53" i="55"/>
  <c r="AD53" i="55"/>
  <c r="C55" i="55"/>
  <c r="AC54" i="55"/>
  <c r="AH54" i="55"/>
  <c r="AA54" i="55"/>
  <c r="T54" i="55"/>
  <c r="AD54" i="55"/>
  <c r="AB54" i="55"/>
  <c r="U54" i="55"/>
  <c r="S54" i="55"/>
  <c r="X54" i="55"/>
  <c r="Y54" i="55"/>
  <c r="R54" i="55"/>
  <c r="C56" i="55"/>
  <c r="AD55" i="55"/>
  <c r="AH55" i="55"/>
  <c r="X55" i="55"/>
  <c r="AC55" i="55"/>
  <c r="AB55" i="55"/>
  <c r="Y55" i="55"/>
  <c r="S55" i="55"/>
  <c r="T55" i="55"/>
  <c r="R55" i="55"/>
  <c r="U55" i="55"/>
  <c r="AA55" i="55"/>
  <c r="C57" i="55"/>
  <c r="R56" i="55"/>
  <c r="Y56" i="55"/>
  <c r="AC56" i="55"/>
  <c r="S56" i="55"/>
  <c r="AB56" i="55"/>
  <c r="X56" i="55"/>
  <c r="AA56" i="55"/>
  <c r="AH56" i="55"/>
  <c r="AD56" i="55"/>
  <c r="U56" i="55"/>
  <c r="T56" i="55"/>
  <c r="C58" i="55"/>
  <c r="AA57" i="55"/>
  <c r="AD57" i="55"/>
  <c r="X57" i="55"/>
  <c r="AC57" i="55"/>
  <c r="AB57" i="55"/>
  <c r="S57" i="55"/>
  <c r="Y57" i="55"/>
  <c r="AH57" i="55"/>
  <c r="R57" i="55"/>
  <c r="T57" i="55"/>
  <c r="U57" i="55"/>
  <c r="C59" i="55"/>
  <c r="AA58" i="55"/>
  <c r="X58" i="55"/>
  <c r="AD58" i="55"/>
  <c r="T58" i="55"/>
  <c r="AH58" i="55"/>
  <c r="S58" i="55"/>
  <c r="U58" i="55"/>
  <c r="AB58" i="55"/>
  <c r="R58" i="55"/>
  <c r="Y58" i="55"/>
  <c r="AC58" i="55"/>
  <c r="C60" i="55"/>
  <c r="AA59" i="55"/>
  <c r="AC59" i="55"/>
  <c r="AH59" i="55"/>
  <c r="X59" i="55"/>
  <c r="S59" i="55"/>
  <c r="AD59" i="55"/>
  <c r="AB59" i="55"/>
  <c r="Y59" i="55"/>
  <c r="T59" i="55"/>
  <c r="U59" i="55"/>
  <c r="R59" i="55"/>
  <c r="C61" i="55"/>
  <c r="R60" i="55"/>
  <c r="Y60" i="55"/>
  <c r="AD60" i="55"/>
  <c r="X60" i="55"/>
  <c r="AA60" i="55"/>
  <c r="S60" i="55"/>
  <c r="T60" i="55"/>
  <c r="U60" i="55"/>
  <c r="AB60" i="55"/>
  <c r="AH60" i="55"/>
  <c r="AC60" i="55"/>
  <c r="C62" i="55"/>
  <c r="S61" i="55"/>
  <c r="R61" i="55"/>
  <c r="AB61" i="55"/>
  <c r="X61" i="55"/>
  <c r="AC61" i="55"/>
  <c r="Y61" i="55"/>
  <c r="AA61" i="55"/>
  <c r="AH61" i="55"/>
  <c r="AD61" i="55"/>
  <c r="U61" i="55"/>
  <c r="T61" i="55"/>
  <c r="C63" i="55"/>
  <c r="AB62" i="55"/>
  <c r="T62" i="55"/>
  <c r="S62" i="55"/>
  <c r="AH62" i="55"/>
  <c r="Y62" i="55"/>
  <c r="X62" i="55"/>
  <c r="U62" i="55"/>
  <c r="AD62" i="55"/>
  <c r="R62" i="55"/>
  <c r="AC62" i="55"/>
  <c r="AA62" i="55"/>
  <c r="C64" i="55"/>
  <c r="AC63" i="55"/>
  <c r="AB63" i="55"/>
  <c r="S63" i="55"/>
  <c r="AH63" i="55"/>
  <c r="T63" i="55"/>
  <c r="X63" i="55"/>
  <c r="Y63" i="55"/>
  <c r="AD63" i="55"/>
  <c r="R63" i="55"/>
  <c r="U63" i="55"/>
  <c r="AA63" i="55"/>
  <c r="C65" i="55"/>
  <c r="T64" i="55"/>
  <c r="Y64" i="55"/>
  <c r="X64" i="55"/>
  <c r="S64" i="55"/>
  <c r="AA64" i="55"/>
  <c r="R64" i="55"/>
  <c r="AC64" i="55"/>
  <c r="AH64" i="55"/>
  <c r="AB64" i="55"/>
  <c r="U64" i="55"/>
  <c r="AD64" i="55"/>
  <c r="C66" i="55"/>
  <c r="AA65" i="55"/>
  <c r="Y65" i="55"/>
  <c r="U65" i="55"/>
  <c r="AB65" i="55"/>
  <c r="AD65" i="55"/>
  <c r="R65" i="55"/>
  <c r="AC65" i="55"/>
  <c r="S65" i="55"/>
  <c r="AH65" i="55"/>
  <c r="T65" i="55"/>
  <c r="X65" i="55"/>
  <c r="C67" i="55"/>
  <c r="AH66" i="55"/>
  <c r="R66" i="55"/>
  <c r="S66" i="55"/>
  <c r="Y66" i="55"/>
  <c r="AA66" i="55"/>
  <c r="T66" i="55"/>
  <c r="AD66" i="55"/>
  <c r="U66" i="55"/>
  <c r="X66" i="55"/>
  <c r="AC66" i="55"/>
  <c r="AB66" i="55"/>
  <c r="C68" i="55"/>
  <c r="AH67" i="55"/>
  <c r="AD67" i="55"/>
  <c r="S67" i="55"/>
  <c r="U67" i="55"/>
  <c r="X67" i="55"/>
  <c r="T67" i="55"/>
  <c r="AA67" i="55"/>
  <c r="AC67" i="55"/>
  <c r="AB67" i="55"/>
  <c r="Y67" i="55"/>
  <c r="R67" i="55"/>
  <c r="C69" i="55"/>
  <c r="AH68" i="55"/>
  <c r="X68" i="55"/>
  <c r="AC68" i="55"/>
  <c r="T68" i="55"/>
  <c r="R68" i="55"/>
  <c r="S68" i="55"/>
  <c r="Y68" i="55"/>
  <c r="AA68" i="55"/>
  <c r="AD68" i="55"/>
  <c r="AB68" i="55"/>
  <c r="U68" i="55"/>
  <c r="C70" i="55"/>
  <c r="AB69" i="55"/>
  <c r="AD69" i="55"/>
  <c r="U69" i="55"/>
  <c r="AH69" i="55"/>
  <c r="S69" i="55"/>
  <c r="X69" i="55"/>
  <c r="AA69" i="55"/>
  <c r="Y69" i="55"/>
  <c r="AC69" i="55"/>
  <c r="R69" i="55"/>
  <c r="T69" i="55"/>
  <c r="C71" i="55"/>
  <c r="S70" i="55"/>
  <c r="T70" i="55"/>
  <c r="AD70" i="55"/>
  <c r="AH70" i="55"/>
  <c r="X70" i="55"/>
  <c r="AB70" i="55"/>
  <c r="AC70" i="55"/>
  <c r="Y70" i="55"/>
  <c r="R70" i="55"/>
  <c r="AA70" i="55"/>
  <c r="U70" i="55"/>
  <c r="C72" i="55"/>
  <c r="S71" i="55"/>
  <c r="T71" i="55"/>
  <c r="AA71" i="55"/>
  <c r="AD71" i="55"/>
  <c r="X71" i="55"/>
  <c r="U71" i="55"/>
  <c r="AC71" i="55"/>
  <c r="R71" i="55"/>
  <c r="Y71" i="55"/>
  <c r="AB71" i="55"/>
  <c r="AH71" i="55"/>
  <c r="C73" i="55"/>
  <c r="S72" i="55"/>
  <c r="AD72" i="55"/>
  <c r="U72" i="55"/>
  <c r="Y72" i="55"/>
  <c r="T72" i="55"/>
  <c r="AC72" i="55"/>
  <c r="X72" i="55"/>
  <c r="R72" i="55"/>
  <c r="AH72" i="55"/>
  <c r="AA72" i="55"/>
  <c r="AB72" i="55"/>
  <c r="C74" i="55"/>
  <c r="S73" i="55"/>
  <c r="U73" i="55"/>
  <c r="X73" i="55"/>
  <c r="AH73" i="55"/>
  <c r="AD73" i="55"/>
  <c r="Y73" i="55"/>
  <c r="AB73" i="55"/>
  <c r="R73" i="55"/>
  <c r="AC73" i="55"/>
  <c r="T73" i="55"/>
  <c r="AA73" i="55"/>
  <c r="C75" i="55"/>
  <c r="R74" i="55"/>
  <c r="AD74" i="55"/>
  <c r="AC74" i="55"/>
  <c r="AA74" i="55"/>
  <c r="T74" i="55"/>
  <c r="Y74" i="55"/>
  <c r="X74" i="55"/>
  <c r="AB74" i="55"/>
  <c r="AH74" i="55"/>
  <c r="U74" i="55"/>
  <c r="S74" i="55"/>
  <c r="C76" i="55"/>
  <c r="R75" i="55"/>
  <c r="AH75" i="55"/>
  <c r="AC75" i="55"/>
  <c r="U75" i="55"/>
  <c r="AD75" i="55"/>
  <c r="X75" i="55"/>
  <c r="S75" i="55"/>
  <c r="AB75" i="55"/>
  <c r="Y75" i="55"/>
  <c r="T75" i="55"/>
  <c r="AA75" i="55"/>
  <c r="C77" i="55"/>
  <c r="AD76" i="55"/>
  <c r="AH76" i="55"/>
  <c r="Y76" i="55"/>
  <c r="T76" i="55"/>
  <c r="S76" i="55"/>
  <c r="X76" i="55"/>
  <c r="AA76" i="55"/>
  <c r="U76" i="55"/>
  <c r="R76" i="55"/>
  <c r="AC76" i="55"/>
  <c r="AB76" i="55"/>
  <c r="C78" i="55"/>
  <c r="S77" i="55"/>
  <c r="AA77" i="55"/>
  <c r="Y77" i="55"/>
  <c r="U77" i="55"/>
  <c r="X77" i="55"/>
  <c r="R77" i="55"/>
  <c r="AC77" i="55"/>
  <c r="AB77" i="55"/>
  <c r="AD77" i="55"/>
  <c r="AH77" i="55"/>
  <c r="T77" i="55"/>
  <c r="C79" i="55"/>
  <c r="S78" i="55"/>
  <c r="T78" i="55"/>
  <c r="U78" i="55"/>
  <c r="X78" i="55"/>
  <c r="AC78" i="55"/>
  <c r="AD78" i="55"/>
  <c r="Y78" i="55"/>
  <c r="R78" i="55"/>
  <c r="AA78" i="55"/>
  <c r="AB78" i="55"/>
  <c r="AH78" i="55"/>
  <c r="C80" i="55"/>
  <c r="AB79" i="55"/>
  <c r="T79" i="55"/>
  <c r="X79" i="55"/>
  <c r="S79" i="55"/>
  <c r="AA79" i="55"/>
  <c r="AD79" i="55"/>
  <c r="R79" i="55"/>
  <c r="AH79" i="55"/>
  <c r="U79" i="55"/>
  <c r="Y79" i="55"/>
  <c r="AC79" i="55"/>
  <c r="C81" i="55"/>
  <c r="U80" i="55"/>
  <c r="Y80" i="55"/>
  <c r="AC80" i="55"/>
  <c r="AD80" i="55"/>
  <c r="AH80" i="55"/>
  <c r="AB80" i="55"/>
  <c r="T80" i="55"/>
  <c r="S80" i="55"/>
  <c r="AA80" i="55"/>
  <c r="R80" i="55"/>
  <c r="X80" i="55"/>
  <c r="C82" i="55"/>
  <c r="S81" i="55"/>
  <c r="AH81" i="55"/>
  <c r="X81" i="55"/>
  <c r="R81" i="55"/>
  <c r="T81" i="55"/>
  <c r="U81" i="55"/>
  <c r="AC81" i="55"/>
  <c r="AB81" i="55"/>
  <c r="AA81" i="55"/>
  <c r="Y81" i="55"/>
  <c r="AD81" i="55"/>
  <c r="C83" i="55"/>
  <c r="X82" i="55"/>
  <c r="T82" i="55"/>
  <c r="AD82" i="55"/>
  <c r="R82" i="55"/>
  <c r="AA82" i="55"/>
  <c r="Y82" i="55"/>
  <c r="AC82" i="55"/>
  <c r="AH82" i="55"/>
  <c r="AB82" i="55"/>
  <c r="S82" i="55"/>
  <c r="U82" i="55"/>
  <c r="C84" i="55"/>
  <c r="S83" i="55"/>
  <c r="R83" i="55"/>
  <c r="AH83" i="55"/>
  <c r="AD83" i="55"/>
  <c r="T83" i="55"/>
  <c r="AC83" i="55"/>
  <c r="Y83" i="55"/>
  <c r="U83" i="55"/>
  <c r="AB83" i="55"/>
  <c r="X83" i="55"/>
  <c r="AA83" i="55"/>
  <c r="C85" i="55"/>
  <c r="S84" i="55"/>
  <c r="U84" i="55"/>
  <c r="AB84" i="55"/>
  <c r="AC84" i="55"/>
  <c r="X84" i="55"/>
  <c r="AD84" i="55"/>
  <c r="R84" i="55"/>
  <c r="T84" i="55"/>
  <c r="AA84" i="55"/>
  <c r="Y84" i="55"/>
  <c r="AH84" i="55"/>
  <c r="C86" i="55"/>
  <c r="S85" i="55"/>
  <c r="AC85" i="55"/>
  <c r="Y85" i="55"/>
  <c r="T85" i="55"/>
  <c r="AD85" i="55"/>
  <c r="AA85" i="55"/>
  <c r="U85" i="55"/>
  <c r="AH85" i="55"/>
  <c r="X85" i="55"/>
  <c r="AB85" i="55"/>
  <c r="R85" i="55"/>
  <c r="C87" i="55"/>
  <c r="AD86" i="55"/>
  <c r="X86" i="55"/>
  <c r="U86" i="55"/>
  <c r="T86" i="55"/>
  <c r="AA86" i="55"/>
  <c r="AH86" i="55"/>
  <c r="AC86" i="55"/>
  <c r="Y86" i="55"/>
  <c r="S86" i="55"/>
  <c r="AB86" i="55"/>
  <c r="R86" i="55"/>
  <c r="C88" i="55"/>
  <c r="U87" i="55"/>
  <c r="AD87" i="55"/>
  <c r="AB87" i="55"/>
  <c r="S87" i="55"/>
  <c r="AA87" i="55"/>
  <c r="Y87" i="55"/>
  <c r="AH87" i="55"/>
  <c r="X87" i="55"/>
  <c r="R87" i="55"/>
  <c r="AC87" i="55"/>
  <c r="T87" i="55"/>
  <c r="C89" i="55"/>
  <c r="AB88" i="55"/>
  <c r="AC88" i="55"/>
  <c r="R88" i="55"/>
  <c r="Y88" i="55"/>
  <c r="AA88" i="55"/>
  <c r="S88" i="55"/>
  <c r="AD88" i="55"/>
  <c r="U88" i="55"/>
  <c r="X88" i="55"/>
  <c r="T88" i="55"/>
  <c r="AH88" i="55"/>
  <c r="C90" i="55"/>
  <c r="U89" i="55"/>
  <c r="R89" i="55"/>
  <c r="AB89" i="55"/>
  <c r="X89" i="55"/>
  <c r="AA89" i="55"/>
  <c r="AC89" i="55"/>
  <c r="AD89" i="55"/>
  <c r="AH89" i="55"/>
  <c r="S89" i="55"/>
  <c r="T89" i="55"/>
  <c r="Y89" i="55"/>
  <c r="C91" i="55"/>
  <c r="AC90" i="55"/>
  <c r="T90" i="55"/>
  <c r="U90" i="55"/>
  <c r="S90" i="55"/>
  <c r="R90" i="55"/>
  <c r="AB90" i="55"/>
  <c r="AA90" i="55"/>
  <c r="X90" i="55"/>
  <c r="AD90" i="55"/>
  <c r="Y90" i="55"/>
  <c r="AH90" i="55"/>
  <c r="C92" i="55"/>
  <c r="AC91" i="55"/>
  <c r="U91" i="55"/>
  <c r="AH91" i="55"/>
  <c r="T91" i="55"/>
  <c r="AD91" i="55"/>
  <c r="S91" i="55"/>
  <c r="R91" i="55"/>
  <c r="Y91" i="55"/>
  <c r="X91" i="55"/>
  <c r="AA91" i="55"/>
  <c r="AB91" i="55"/>
  <c r="C93" i="55"/>
  <c r="AD92" i="55"/>
  <c r="X92" i="55"/>
  <c r="AC92" i="55"/>
  <c r="Y92" i="55"/>
  <c r="R92" i="55"/>
  <c r="S92" i="55"/>
  <c r="AA92" i="55"/>
  <c r="AH92" i="55"/>
  <c r="T92" i="55"/>
  <c r="AB92" i="55"/>
  <c r="U92" i="55"/>
  <c r="C94" i="55"/>
  <c r="T93" i="55"/>
  <c r="AD93" i="55"/>
  <c r="AB93" i="55"/>
  <c r="AA93" i="55"/>
  <c r="X93" i="55"/>
  <c r="Y93" i="55"/>
  <c r="R93" i="55"/>
  <c r="AH93" i="55"/>
  <c r="S93" i="55"/>
  <c r="AC93" i="55"/>
  <c r="U93" i="55"/>
  <c r="C95" i="55"/>
  <c r="T94" i="55"/>
  <c r="AH94" i="55"/>
  <c r="AD94" i="55"/>
  <c r="Y94" i="55"/>
  <c r="R94" i="55"/>
  <c r="AA94" i="55"/>
  <c r="U94" i="55"/>
  <c r="X94" i="55"/>
  <c r="S94" i="55"/>
  <c r="AB94" i="55"/>
  <c r="AC94" i="55"/>
  <c r="C96" i="55"/>
  <c r="AA95" i="55"/>
  <c r="AC95" i="55"/>
  <c r="AB95" i="55"/>
  <c r="S95" i="55"/>
  <c r="T95" i="55"/>
  <c r="AH95" i="55"/>
  <c r="X95" i="55"/>
  <c r="R95" i="55"/>
  <c r="U95" i="55"/>
  <c r="AD95" i="55"/>
  <c r="Y95" i="55"/>
  <c r="C97" i="55"/>
  <c r="AH96" i="55"/>
  <c r="Y96" i="55"/>
  <c r="AA96" i="55"/>
  <c r="S96" i="55"/>
  <c r="R96" i="55"/>
  <c r="AD96" i="55"/>
  <c r="X96" i="55"/>
  <c r="AC96" i="55"/>
  <c r="T96" i="55"/>
  <c r="U96" i="55"/>
  <c r="AB96" i="55"/>
  <c r="C98" i="55"/>
  <c r="AA97" i="55"/>
  <c r="AC97" i="55"/>
  <c r="AB97" i="55"/>
  <c r="X97" i="55"/>
  <c r="Y97" i="55"/>
  <c r="AH97" i="55"/>
  <c r="T97" i="55"/>
  <c r="S97" i="55"/>
  <c r="AD97" i="55"/>
  <c r="R97" i="55"/>
  <c r="U97" i="55"/>
  <c r="C99" i="55"/>
  <c r="T98" i="55"/>
  <c r="X98" i="55"/>
  <c r="Y98" i="55"/>
  <c r="AC98" i="55"/>
  <c r="AH98" i="55"/>
  <c r="AB98" i="55"/>
  <c r="AA98" i="55"/>
  <c r="R98" i="55"/>
  <c r="U98" i="55"/>
  <c r="S98" i="55"/>
  <c r="AD98" i="55"/>
  <c r="C100" i="55"/>
  <c r="R99" i="55"/>
  <c r="AC99" i="55"/>
  <c r="AD99" i="55"/>
  <c r="S99" i="55"/>
  <c r="AA99" i="55"/>
  <c r="AB99" i="55"/>
  <c r="U99" i="55"/>
  <c r="AH99" i="55"/>
  <c r="T99" i="55"/>
  <c r="X99" i="55"/>
  <c r="Y99" i="55"/>
  <c r="C101" i="55"/>
  <c r="T100" i="55"/>
  <c r="S100" i="55"/>
  <c r="AH100" i="55"/>
  <c r="U100" i="55"/>
  <c r="X100" i="55"/>
  <c r="AA100" i="55"/>
  <c r="R100" i="55"/>
  <c r="Y100" i="55"/>
  <c r="AD100" i="55"/>
  <c r="AC100" i="55"/>
  <c r="AB100" i="55"/>
  <c r="C102" i="55"/>
  <c r="AA101" i="55"/>
  <c r="Y101" i="55"/>
  <c r="U101" i="55"/>
  <c r="AC101" i="55"/>
  <c r="AB101" i="55"/>
  <c r="AD101" i="55"/>
  <c r="X101" i="55"/>
  <c r="S101" i="55"/>
  <c r="AH101" i="55"/>
  <c r="T101" i="55"/>
  <c r="R101" i="55"/>
  <c r="C103" i="55"/>
  <c r="T102" i="55"/>
  <c r="AH102" i="55"/>
  <c r="AA102" i="55"/>
  <c r="AD102" i="55"/>
  <c r="Y102" i="55"/>
  <c r="X102" i="55"/>
  <c r="R102" i="55"/>
  <c r="AB102" i="55"/>
  <c r="U102" i="55"/>
  <c r="S102" i="55"/>
  <c r="AC102" i="55"/>
  <c r="C104" i="55"/>
  <c r="X103" i="55"/>
  <c r="S103" i="55"/>
  <c r="T103" i="55"/>
  <c r="AC103" i="55"/>
  <c r="AH103" i="55"/>
  <c r="AD103" i="55"/>
  <c r="R103" i="55"/>
  <c r="U103" i="55"/>
  <c r="Y103" i="55"/>
  <c r="AB103" i="55"/>
  <c r="AA103" i="55"/>
  <c r="C105" i="55"/>
  <c r="AB104" i="55"/>
  <c r="Y104" i="55"/>
  <c r="AA104" i="55"/>
  <c r="AD104" i="55"/>
  <c r="T104" i="55"/>
  <c r="S104" i="55"/>
  <c r="U104" i="55"/>
  <c r="X104" i="55"/>
  <c r="AH104" i="55"/>
  <c r="R104" i="55"/>
  <c r="AC104" i="55"/>
  <c r="C106" i="55"/>
  <c r="AD105" i="55"/>
  <c r="AH105" i="55"/>
  <c r="U105" i="55"/>
  <c r="AC105" i="55"/>
  <c r="Y105" i="55"/>
  <c r="R105" i="55"/>
  <c r="S105" i="55"/>
  <c r="AB105" i="55"/>
  <c r="X105" i="55"/>
  <c r="T105" i="55"/>
  <c r="AA105" i="55"/>
  <c r="C107" i="55"/>
  <c r="AB106" i="55"/>
  <c r="Y106" i="55"/>
  <c r="X106" i="55"/>
  <c r="AD106" i="55"/>
  <c r="U106" i="55"/>
  <c r="AC106" i="55"/>
  <c r="R106" i="55"/>
  <c r="AA106" i="55"/>
  <c r="S106" i="55"/>
  <c r="AH106" i="55"/>
  <c r="T106" i="55"/>
  <c r="C108" i="55"/>
  <c r="U107" i="55"/>
  <c r="X107" i="55"/>
  <c r="Y107" i="55"/>
  <c r="AB107" i="55"/>
  <c r="AD107" i="55"/>
  <c r="AA107" i="55"/>
  <c r="AC107" i="55"/>
  <c r="T107" i="55"/>
  <c r="S107" i="55"/>
  <c r="AH107" i="55"/>
  <c r="R107" i="55"/>
  <c r="C109" i="55"/>
  <c r="S108" i="55"/>
  <c r="AB108" i="55"/>
  <c r="T108" i="55"/>
  <c r="Y108" i="55"/>
  <c r="AH108" i="55"/>
  <c r="U108" i="55"/>
  <c r="AD108" i="55"/>
  <c r="R108" i="55"/>
  <c r="AC108" i="55"/>
  <c r="X108" i="55"/>
  <c r="AA108" i="55"/>
  <c r="C110" i="55"/>
  <c r="AA109" i="55"/>
  <c r="AD109" i="55"/>
  <c r="X109" i="55"/>
  <c r="T109" i="55"/>
  <c r="AB109" i="55"/>
  <c r="S109" i="55"/>
  <c r="AH109" i="55"/>
  <c r="U109" i="55"/>
  <c r="Y109" i="55"/>
  <c r="R109" i="55"/>
  <c r="AC109" i="55"/>
  <c r="C111" i="55"/>
  <c r="AC110" i="55"/>
  <c r="X110" i="55"/>
  <c r="AB110" i="55"/>
  <c r="AH110" i="55"/>
  <c r="U110" i="55"/>
  <c r="S110" i="55"/>
  <c r="Y110" i="55"/>
  <c r="AD110" i="55"/>
  <c r="T110" i="55"/>
  <c r="AA110" i="55"/>
  <c r="R110" i="55"/>
  <c r="C112" i="55"/>
  <c r="S111" i="55"/>
  <c r="U111" i="55"/>
  <c r="AD111" i="55"/>
  <c r="AH111" i="55"/>
  <c r="AA111" i="55"/>
  <c r="X111" i="55"/>
  <c r="AC111" i="55"/>
  <c r="AB111" i="55"/>
  <c r="Y111" i="55"/>
  <c r="T111" i="55"/>
  <c r="R111" i="55"/>
  <c r="C113" i="55"/>
  <c r="S112" i="55"/>
  <c r="U112" i="55"/>
  <c r="Y112" i="55"/>
  <c r="AD112" i="55"/>
  <c r="X112" i="55"/>
  <c r="AC112" i="55"/>
  <c r="AA112" i="55"/>
  <c r="AB112" i="55"/>
  <c r="T112" i="55"/>
  <c r="AH112" i="55"/>
  <c r="R112" i="55"/>
  <c r="C114" i="55"/>
  <c r="T113" i="55"/>
  <c r="U113" i="55"/>
  <c r="AB113" i="55"/>
  <c r="AD113" i="55"/>
  <c r="AC113" i="55"/>
  <c r="Y113" i="55"/>
  <c r="S113" i="55"/>
  <c r="X113" i="55"/>
  <c r="AA113" i="55"/>
  <c r="AH113" i="55"/>
  <c r="R113" i="55"/>
  <c r="C115" i="55"/>
  <c r="X114" i="55"/>
  <c r="R114" i="55"/>
  <c r="AA114" i="55"/>
  <c r="AD114" i="55"/>
  <c r="AH114" i="55"/>
  <c r="T114" i="55"/>
  <c r="Y114" i="55"/>
  <c r="S114" i="55"/>
  <c r="AC114" i="55"/>
  <c r="AB114" i="55"/>
  <c r="U114" i="55"/>
  <c r="C116" i="55"/>
  <c r="T115" i="55"/>
  <c r="AA115" i="55"/>
  <c r="AD115" i="55"/>
  <c r="AB115" i="55"/>
  <c r="AH115" i="55"/>
  <c r="X115" i="55"/>
  <c r="AC115" i="55"/>
  <c r="S115" i="55"/>
  <c r="R115" i="55"/>
  <c r="Y115" i="55"/>
  <c r="U115" i="55"/>
  <c r="C117" i="55"/>
  <c r="S116" i="55"/>
  <c r="Y116" i="55"/>
  <c r="T116" i="55"/>
  <c r="X116" i="55"/>
  <c r="AA116" i="55"/>
  <c r="R116" i="55"/>
  <c r="AD116" i="55"/>
  <c r="AC116" i="55"/>
  <c r="U116" i="55"/>
  <c r="AH116" i="55"/>
  <c r="AB116" i="55"/>
  <c r="C118" i="55"/>
  <c r="X117" i="55"/>
  <c r="AH117" i="55"/>
  <c r="T117" i="55"/>
  <c r="AB117" i="55"/>
  <c r="U117" i="55"/>
  <c r="R117" i="55"/>
  <c r="S117" i="55"/>
  <c r="AD117" i="55"/>
  <c r="AA117" i="55"/>
  <c r="Y117" i="55"/>
  <c r="AC117" i="55"/>
  <c r="C119" i="55"/>
  <c r="AA118" i="55"/>
  <c r="U118" i="55"/>
  <c r="X118" i="55"/>
  <c r="S118" i="55"/>
  <c r="AB118" i="55"/>
  <c r="Y118" i="55"/>
  <c r="T118" i="55"/>
  <c r="R118" i="55"/>
  <c r="AH118" i="55"/>
  <c r="AD118" i="55"/>
  <c r="AC118" i="55"/>
  <c r="C120" i="55"/>
  <c r="U119" i="55"/>
  <c r="X119" i="55"/>
  <c r="R119" i="55"/>
  <c r="AH119" i="55"/>
  <c r="AC119" i="55"/>
  <c r="S119" i="55"/>
  <c r="AD119" i="55"/>
  <c r="Y119" i="55"/>
  <c r="AA119" i="55"/>
  <c r="T119" i="55"/>
  <c r="AB119" i="55"/>
  <c r="C121" i="55"/>
  <c r="S120" i="55"/>
  <c r="Y120" i="55"/>
  <c r="T120" i="55"/>
  <c r="AB120" i="55"/>
  <c r="AD120" i="55"/>
  <c r="X120" i="55"/>
  <c r="AA120" i="55"/>
  <c r="R120" i="55"/>
  <c r="U120" i="55"/>
  <c r="AC120" i="55"/>
  <c r="AH120" i="55"/>
  <c r="C122" i="55"/>
  <c r="S121" i="55"/>
  <c r="Y121" i="55"/>
  <c r="AC121" i="55"/>
  <c r="X121" i="55"/>
  <c r="AA121" i="55"/>
  <c r="T121" i="55"/>
  <c r="AD121" i="55"/>
  <c r="R121" i="55"/>
  <c r="U121" i="55"/>
  <c r="AB121" i="55"/>
  <c r="AH121" i="55"/>
  <c r="C123" i="55"/>
  <c r="R122" i="55"/>
  <c r="Y122" i="55"/>
  <c r="AC122" i="55"/>
  <c r="S122" i="55"/>
  <c r="AB122" i="55"/>
  <c r="T122" i="55"/>
  <c r="X122" i="55"/>
  <c r="AA122" i="55"/>
  <c r="AD122" i="55"/>
  <c r="U122" i="55"/>
  <c r="AH122" i="55"/>
  <c r="C124" i="55"/>
  <c r="AD123" i="55"/>
  <c r="AB123" i="55"/>
  <c r="AC123" i="55"/>
  <c r="Y123" i="55"/>
  <c r="S123" i="55"/>
  <c r="AA123" i="55"/>
  <c r="AH123" i="55"/>
  <c r="T123" i="55"/>
  <c r="X123" i="55"/>
  <c r="R123" i="55"/>
  <c r="U123" i="55"/>
  <c r="C125" i="55"/>
  <c r="T124" i="55"/>
  <c r="R124" i="55"/>
  <c r="Y124" i="55"/>
  <c r="AC124" i="55"/>
  <c r="AH124" i="55"/>
  <c r="S124" i="55"/>
  <c r="AD124" i="55"/>
  <c r="AA124" i="55"/>
  <c r="U124" i="55"/>
  <c r="X124" i="55"/>
  <c r="AB124" i="55"/>
  <c r="C126" i="55"/>
  <c r="S125" i="55"/>
  <c r="AB125" i="55"/>
  <c r="T125" i="55"/>
  <c r="AH125" i="55"/>
  <c r="R125" i="55"/>
  <c r="AD125" i="55"/>
  <c r="U125" i="55"/>
  <c r="AA125" i="55"/>
  <c r="AC125" i="55"/>
  <c r="X125" i="55"/>
  <c r="Y125" i="55"/>
  <c r="C127" i="55"/>
  <c r="R126" i="55"/>
  <c r="AH126" i="55"/>
  <c r="X126" i="55"/>
  <c r="AD126" i="55"/>
  <c r="U126" i="55"/>
  <c r="AB126" i="55"/>
  <c r="S126" i="55"/>
  <c r="AA126" i="55"/>
  <c r="AC126" i="55"/>
  <c r="Y126" i="55"/>
  <c r="T126" i="55"/>
  <c r="C128" i="55"/>
  <c r="T127" i="55"/>
  <c r="AB127" i="55"/>
  <c r="R127" i="55"/>
  <c r="S127" i="55"/>
  <c r="U127" i="55"/>
  <c r="AA127" i="55"/>
  <c r="X127" i="55"/>
  <c r="AC127" i="55"/>
  <c r="AD127" i="55"/>
  <c r="Y127" i="55"/>
  <c r="AH127" i="55"/>
  <c r="AH128" i="55"/>
  <c r="AB128" i="55"/>
  <c r="T128" i="55"/>
  <c r="AC128" i="55"/>
  <c r="X128" i="55"/>
  <c r="Y128" i="55"/>
  <c r="R128" i="55"/>
  <c r="S128" i="55"/>
  <c r="U128" i="55"/>
  <c r="AA128" i="55"/>
  <c r="AD128" i="55"/>
  <c r="L335" i="39"/>
  <c r="L336" i="39"/>
  <c r="L334" i="39"/>
  <c r="L332" i="39"/>
  <c r="L333" i="39"/>
  <c r="D46" i="48"/>
  <c r="C46" i="48"/>
  <c r="E46" i="48"/>
  <c r="C47" i="48"/>
  <c r="C45" i="48"/>
  <c r="E47" i="48"/>
  <c r="D47" i="48"/>
  <c r="C80" i="48" s="1"/>
  <c r="E45" i="48"/>
  <c r="D45" i="48"/>
  <c r="D111" i="41"/>
  <c r="D111" i="69"/>
  <c r="D112" i="69"/>
  <c r="V129" i="51" l="1"/>
  <c r="D62" i="41"/>
  <c r="T65" i="41" s="1"/>
  <c r="V65" i="41" s="1"/>
  <c r="F33" i="41"/>
  <c r="E33" i="41"/>
  <c r="F32" i="41"/>
  <c r="E32" i="41"/>
  <c r="F31" i="41"/>
  <c r="E31" i="41"/>
  <c r="F30" i="41"/>
  <c r="E30" i="41"/>
  <c r="F29" i="41"/>
  <c r="E29" i="41"/>
  <c r="F26" i="41"/>
  <c r="E26" i="41"/>
  <c r="BB6" i="53"/>
  <c r="BD6" i="53" s="1"/>
  <c r="J7" i="53" s="1"/>
  <c r="L232" i="39"/>
  <c r="AH130" i="55"/>
  <c r="AH131" i="55" s="1"/>
  <c r="M78" i="41"/>
  <c r="G1" i="55"/>
  <c r="G2" i="55" s="1"/>
  <c r="E15" i="48"/>
  <c r="D59" i="48" s="1"/>
  <c r="L236" i="39"/>
  <c r="I234" i="39"/>
  <c r="BH8" i="69"/>
  <c r="AA8" i="69"/>
  <c r="AL8" i="69"/>
  <c r="P9" i="69"/>
  <c r="I235" i="39"/>
  <c r="D30" i="48"/>
  <c r="E42" i="48"/>
  <c r="C42" i="48" s="1"/>
  <c r="S18" i="39"/>
  <c r="S16" i="39"/>
  <c r="S15" i="39"/>
  <c r="S14" i="39"/>
  <c r="R18" i="39"/>
  <c r="R15" i="39"/>
  <c r="R16" i="39"/>
  <c r="V18" i="39"/>
  <c r="V16" i="39"/>
  <c r="V15" i="39"/>
  <c r="V14" i="39"/>
  <c r="T18" i="39"/>
  <c r="T16" i="39"/>
  <c r="T15" i="39"/>
  <c r="T14" i="39"/>
  <c r="U18" i="39"/>
  <c r="U16" i="39"/>
  <c r="U15" i="39"/>
  <c r="U14" i="39"/>
  <c r="F194" i="39"/>
  <c r="D65" i="41" s="1"/>
  <c r="T68" i="41" s="1"/>
  <c r="V68" i="41" s="1"/>
  <c r="BS8" i="69"/>
  <c r="AW8" i="69"/>
  <c r="CD8" i="69"/>
  <c r="I8" i="69"/>
  <c r="D68" i="41"/>
  <c r="T71" i="41" s="1"/>
  <c r="V71" i="41" s="1"/>
  <c r="F135" i="39"/>
  <c r="I135" i="39" s="1"/>
  <c r="F131" i="39"/>
  <c r="I131" i="39" s="1"/>
  <c r="F127" i="39"/>
  <c r="F130" i="39"/>
  <c r="F126" i="39"/>
  <c r="I126" i="39" s="1"/>
  <c r="F129" i="39"/>
  <c r="I129" i="39" s="1"/>
  <c r="F125" i="39"/>
  <c r="F124" i="39"/>
  <c r="F134" i="39"/>
  <c r="I134" i="39" s="1"/>
  <c r="F133" i="39"/>
  <c r="L133" i="39" s="1"/>
  <c r="F136" i="39"/>
  <c r="I136" i="39" s="1"/>
  <c r="F132" i="39"/>
  <c r="F123" i="39"/>
  <c r="I123" i="39" s="1"/>
  <c r="I127" i="39"/>
  <c r="I10" i="48"/>
  <c r="F14" i="39"/>
  <c r="D37" i="41"/>
  <c r="C60" i="39"/>
  <c r="L135" i="39"/>
  <c r="E37" i="41"/>
  <c r="E22" i="69"/>
  <c r="F9" i="48"/>
  <c r="G10" i="69" s="1"/>
  <c r="G41" i="69" s="1"/>
  <c r="F12" i="69"/>
  <c r="T7" i="69"/>
  <c r="AE7" i="69" s="1"/>
  <c r="S85" i="69"/>
  <c r="X85" i="69" s="1"/>
  <c r="L7" i="69"/>
  <c r="AD7" i="69"/>
  <c r="F98" i="69"/>
  <c r="E12" i="69"/>
  <c r="B338" i="39"/>
  <c r="F26" i="69"/>
  <c r="F46" i="69" s="1"/>
  <c r="E43" i="41"/>
  <c r="G43" i="41"/>
  <c r="I217" i="39"/>
  <c r="L337" i="59"/>
  <c r="B21" i="70"/>
  <c r="K97" i="41"/>
  <c r="B25" i="70"/>
  <c r="K100" i="41" s="1"/>
  <c r="K99" i="41"/>
  <c r="T130" i="55"/>
  <c r="T131" i="55" s="1"/>
  <c r="E1" i="55"/>
  <c r="E2" i="55" s="1"/>
  <c r="B9" i="70"/>
  <c r="K88" i="41"/>
  <c r="B13" i="70"/>
  <c r="K90" i="41"/>
  <c r="N52" i="41"/>
  <c r="G8" i="69"/>
  <c r="E41" i="69" s="1"/>
  <c r="E26" i="69"/>
  <c r="E46" i="69" s="1"/>
  <c r="AB137" i="53"/>
  <c r="G316" i="39"/>
  <c r="G28" i="58"/>
  <c r="G13" i="41" s="1"/>
  <c r="R14" i="39"/>
  <c r="X12" i="39"/>
  <c r="W13" i="39"/>
  <c r="E46" i="58"/>
  <c r="I27" i="39"/>
  <c r="I337" i="39"/>
  <c r="H50" i="41"/>
  <c r="R129" i="51"/>
  <c r="R6" i="51" s="1"/>
  <c r="I10" i="39"/>
  <c r="G35" i="39"/>
  <c r="P141" i="39"/>
  <c r="I339" i="39"/>
  <c r="N80" i="41"/>
  <c r="M80" i="41" s="1"/>
  <c r="X130" i="55"/>
  <c r="X131" i="55" s="1"/>
  <c r="N79" i="41"/>
  <c r="M79" i="41" s="1"/>
  <c r="L338" i="59"/>
  <c r="I338" i="39"/>
  <c r="N51" i="41"/>
  <c r="G9" i="69"/>
  <c r="F41" i="69" s="1"/>
  <c r="E10" i="69"/>
  <c r="E43" i="48"/>
  <c r="C43" i="48" s="1"/>
  <c r="E44" i="48"/>
  <c r="C44" i="48" s="1"/>
  <c r="F22" i="69"/>
  <c r="R85" i="69"/>
  <c r="W85" i="69" s="1"/>
  <c r="AC7" i="69"/>
  <c r="K7" i="69"/>
  <c r="E98" i="69"/>
  <c r="D22" i="69"/>
  <c r="B339" i="39"/>
  <c r="D12" i="69"/>
  <c r="I178" i="39"/>
  <c r="M46" i="58"/>
  <c r="D73" i="41"/>
  <c r="T76" i="41" s="1"/>
  <c r="V76" i="41" s="1"/>
  <c r="I307" i="39"/>
  <c r="I118" i="39"/>
  <c r="D59" i="41"/>
  <c r="T62" i="41" s="1"/>
  <c r="V62" i="41" s="1"/>
  <c r="S6" i="51"/>
  <c r="D58" i="41"/>
  <c r="T61" i="41" s="1"/>
  <c r="V61" i="41" s="1"/>
  <c r="I6" i="58"/>
  <c r="H63" i="58"/>
  <c r="G217" i="39"/>
  <c r="C65" i="58"/>
  <c r="F63" i="58"/>
  <c r="G191" i="39"/>
  <c r="G113" i="39"/>
  <c r="G215" i="39"/>
  <c r="G44" i="39"/>
  <c r="G263" i="39"/>
  <c r="G235" i="39"/>
  <c r="G75" i="39"/>
  <c r="G306" i="39"/>
  <c r="G206" i="39"/>
  <c r="G46" i="39"/>
  <c r="G314" i="39"/>
  <c r="G190" i="39"/>
  <c r="G262" i="39"/>
  <c r="G174" i="39"/>
  <c r="G53" i="39"/>
  <c r="G10" i="39"/>
  <c r="G50" i="39"/>
  <c r="E65" i="58"/>
  <c r="J62" i="58"/>
  <c r="G189" i="39"/>
  <c r="G47" i="39"/>
  <c r="G8" i="48"/>
  <c r="G231" i="39"/>
  <c r="G90" i="39"/>
  <c r="G302" i="39"/>
  <c r="G153" i="39"/>
  <c r="G162" i="39"/>
  <c r="G89" i="39"/>
  <c r="G118" i="39"/>
  <c r="G339" i="39"/>
  <c r="G177" i="39"/>
  <c r="G184" i="39"/>
  <c r="G311" i="39"/>
  <c r="G213" i="39"/>
  <c r="G170" i="39"/>
  <c r="G216" i="39"/>
  <c r="G107" i="39"/>
  <c r="G167" i="39"/>
  <c r="G84" i="39"/>
  <c r="G230" i="39"/>
  <c r="G86" i="39"/>
  <c r="E51" i="58"/>
  <c r="G169" i="39"/>
  <c r="G149" i="39"/>
  <c r="E129" i="51"/>
  <c r="G95" i="39"/>
  <c r="G6" i="39"/>
  <c r="G115" i="39"/>
  <c r="G258" i="39"/>
  <c r="G180" i="39"/>
  <c r="G40" i="39"/>
  <c r="G234" i="39"/>
  <c r="G280" i="39"/>
  <c r="G293" i="39"/>
  <c r="G185" i="39"/>
  <c r="G277" i="39"/>
  <c r="G1" i="39"/>
  <c r="G148" i="39"/>
  <c r="G92" i="39"/>
  <c r="G182" i="39"/>
  <c r="G315" i="39"/>
  <c r="G283" i="39"/>
  <c r="G111" i="39"/>
  <c r="E50" i="58"/>
  <c r="G188" i="39"/>
  <c r="G42" i="39"/>
  <c r="G9" i="39"/>
  <c r="G310" i="39"/>
  <c r="G290" i="39"/>
  <c r="E6" i="51"/>
  <c r="G13" i="39"/>
  <c r="G49" i="39"/>
  <c r="G253" i="39"/>
  <c r="G168" i="39"/>
  <c r="G300" i="39"/>
  <c r="G145" i="39"/>
  <c r="G43" i="39"/>
  <c r="G233" i="39"/>
  <c r="G183" i="39"/>
  <c r="G193" i="39"/>
  <c r="G281" i="39"/>
  <c r="G286" i="39"/>
  <c r="G317" i="39"/>
  <c r="G278" i="39"/>
  <c r="G155" i="39"/>
  <c r="G270" i="39"/>
  <c r="G7" i="39"/>
  <c r="G257" i="39"/>
  <c r="G22" i="39"/>
  <c r="F62" i="58"/>
  <c r="D65" i="58"/>
  <c r="G81" i="39"/>
  <c r="G74" i="39"/>
  <c r="G128" i="39"/>
  <c r="G38" i="39"/>
  <c r="G72" i="39"/>
  <c r="G255" i="39"/>
  <c r="G307" i="39"/>
  <c r="G24" i="39"/>
  <c r="G37" i="39"/>
  <c r="G98" i="39"/>
  <c r="G259" i="39"/>
  <c r="G236" i="39"/>
  <c r="G303" i="39"/>
  <c r="G52" i="39"/>
  <c r="G100" i="39"/>
  <c r="G282" i="39"/>
  <c r="G337" i="39"/>
  <c r="G304" i="39"/>
  <c r="G305" i="39"/>
  <c r="G26" i="39"/>
  <c r="H61" i="58"/>
  <c r="G61" i="58" s="1"/>
  <c r="I61" i="58" s="1"/>
  <c r="G45" i="39"/>
  <c r="G275" i="39"/>
  <c r="G292" i="39"/>
  <c r="G285" i="39"/>
  <c r="G265" i="39"/>
  <c r="G176" i="39"/>
  <c r="G51" i="39"/>
  <c r="G318" i="39"/>
  <c r="G48" i="39"/>
  <c r="G175" i="39"/>
  <c r="G34" i="39"/>
  <c r="G252" i="39"/>
  <c r="G204" i="39"/>
  <c r="G116" i="39"/>
  <c r="G211" i="39"/>
  <c r="G77" i="39"/>
  <c r="G266" i="39"/>
  <c r="G27" i="39"/>
  <c r="G294" i="39"/>
  <c r="G208" i="39"/>
  <c r="G103" i="39"/>
  <c r="G232" i="39"/>
  <c r="D10" i="56"/>
  <c r="G301" i="39"/>
  <c r="G154" i="39"/>
  <c r="G58" i="39"/>
  <c r="E54" i="58"/>
  <c r="G269" i="39"/>
  <c r="G147" i="39"/>
  <c r="G33" i="39"/>
  <c r="G85" i="39"/>
  <c r="G261" i="39"/>
  <c r="G143" i="39"/>
  <c r="G99" i="39"/>
  <c r="G94" i="39"/>
  <c r="G214" i="39"/>
  <c r="G97" i="39"/>
  <c r="G6" i="41"/>
  <c r="L66" i="41" s="1"/>
  <c r="G264" i="39"/>
  <c r="G279" i="39"/>
  <c r="G112" i="39"/>
  <c r="G11" i="39"/>
  <c r="E53" i="58"/>
  <c r="G157" i="39"/>
  <c r="G114" i="39"/>
  <c r="G57" i="39"/>
  <c r="G12" i="39"/>
  <c r="G209" i="39"/>
  <c r="G268" i="39"/>
  <c r="J64" i="58"/>
  <c r="G97" i="41"/>
  <c r="G144" i="39"/>
  <c r="G17" i="39"/>
  <c r="J59" i="58"/>
  <c r="G146" i="39"/>
  <c r="G324" i="39"/>
  <c r="F18" i="58"/>
  <c r="F65" i="58" s="1"/>
  <c r="G28" i="39"/>
  <c r="J63" i="58"/>
  <c r="G32" i="39"/>
  <c r="J61" i="58"/>
  <c r="G296" i="39"/>
  <c r="G82" i="39"/>
  <c r="G39" i="39"/>
  <c r="G108" i="39"/>
  <c r="G76" i="39"/>
  <c r="G30" i="48"/>
  <c r="G181" i="39"/>
  <c r="G156" i="39"/>
  <c r="G101" i="39"/>
  <c r="G110" i="39"/>
  <c r="G205" i="39"/>
  <c r="G254" i="39"/>
  <c r="G187" i="39"/>
  <c r="G287" i="39"/>
  <c r="G178" i="39"/>
  <c r="G109" i="39"/>
  <c r="G212" i="39"/>
  <c r="G19" i="39"/>
  <c r="G56" i="39"/>
  <c r="G8" i="39"/>
  <c r="G338" i="39"/>
  <c r="G41" i="39"/>
  <c r="G284" i="39"/>
  <c r="G288" i="39"/>
  <c r="G289" i="39"/>
  <c r="G7" i="48"/>
  <c r="G260" i="39"/>
  <c r="G36" i="39"/>
  <c r="G249" i="39"/>
  <c r="G54" i="39"/>
  <c r="E52" i="58"/>
  <c r="G106" i="39"/>
  <c r="G91" i="39"/>
  <c r="G102" i="39"/>
  <c r="G96" i="39"/>
  <c r="G117" i="39"/>
  <c r="G55" i="39"/>
  <c r="G271" i="39"/>
  <c r="G186" i="39"/>
  <c r="G295" i="39"/>
  <c r="G141" i="39"/>
  <c r="G142" i="39"/>
  <c r="G122" i="39"/>
  <c r="G256" i="39"/>
  <c r="G210" i="39"/>
  <c r="G21" i="39"/>
  <c r="G319" i="39"/>
  <c r="G192" i="39"/>
  <c r="G23" i="39"/>
  <c r="G104" i="39"/>
  <c r="G105" i="39"/>
  <c r="G59" i="39"/>
  <c r="G245" i="39"/>
  <c r="G93" i="39"/>
  <c r="G207" i="39"/>
  <c r="G276" i="39"/>
  <c r="G179" i="39"/>
  <c r="G18" i="39"/>
  <c r="G25" i="39"/>
  <c r="G161" i="39"/>
  <c r="G83" i="39"/>
  <c r="H59" i="58"/>
  <c r="G59" i="58" s="1"/>
  <c r="I59" i="58" s="1"/>
  <c r="H64" i="58"/>
  <c r="G64" i="58" s="1"/>
  <c r="I64" i="58" s="1"/>
  <c r="H62" i="58"/>
  <c r="H60" i="58"/>
  <c r="G60" i="58" s="1"/>
  <c r="I60" i="58" s="1"/>
  <c r="H18" i="58"/>
  <c r="J18" i="58"/>
  <c r="C20" i="39" s="1"/>
  <c r="J60" i="58"/>
  <c r="AA12" i="55"/>
  <c r="AA130" i="55" s="1"/>
  <c r="AA131" i="55" s="1"/>
  <c r="AB12" i="55"/>
  <c r="AB9" i="55"/>
  <c r="S10" i="55"/>
  <c r="AC8" i="55"/>
  <c r="Y8" i="55"/>
  <c r="AE6" i="51" s="1"/>
  <c r="AD9" i="55"/>
  <c r="R9" i="55"/>
  <c r="R130" i="55" s="1"/>
  <c r="R131" i="55" s="1"/>
  <c r="A6" i="53"/>
  <c r="I182" i="39"/>
  <c r="I143" i="39"/>
  <c r="I7" i="48"/>
  <c r="I255" i="39"/>
  <c r="I304" i="39"/>
  <c r="I82" i="39"/>
  <c r="I39" i="39"/>
  <c r="I128" i="39"/>
  <c r="I41" i="39"/>
  <c r="I292" i="39"/>
  <c r="I210" i="39"/>
  <c r="I303" i="39"/>
  <c r="I142" i="39"/>
  <c r="I263" i="39"/>
  <c r="I116" i="39"/>
  <c r="I215" i="39"/>
  <c r="I40" i="39"/>
  <c r="I293" i="39"/>
  <c r="I211" i="39"/>
  <c r="I265" i="39"/>
  <c r="I59" i="39"/>
  <c r="I105" i="39"/>
  <c r="I77" i="39"/>
  <c r="I42" i="39"/>
  <c r="I294" i="39"/>
  <c r="I154" i="39"/>
  <c r="I254" i="39"/>
  <c r="I109" i="39"/>
  <c r="I216" i="39"/>
  <c r="I85" i="39"/>
  <c r="I6" i="39"/>
  <c r="I1" i="39"/>
  <c r="I44" i="39"/>
  <c r="I207" i="39"/>
  <c r="I93" i="39"/>
  <c r="I192" i="39"/>
  <c r="I72" i="39"/>
  <c r="I161" i="39"/>
  <c r="I46" i="39"/>
  <c r="D10" i="48"/>
  <c r="I270" i="39"/>
  <c r="I108" i="39"/>
  <c r="I208" i="39"/>
  <c r="I81" i="39"/>
  <c r="I176" i="39"/>
  <c r="I7" i="39"/>
  <c r="N45" i="41"/>
  <c r="I266" i="39"/>
  <c r="I34" i="39"/>
  <c r="I32" i="39"/>
  <c r="I149" i="39"/>
  <c r="I95" i="39"/>
  <c r="I96" i="39"/>
  <c r="I75" i="39"/>
  <c r="C77" i="48"/>
  <c r="I167" i="39"/>
  <c r="I122" i="39"/>
  <c r="I301" i="39"/>
  <c r="I115" i="39"/>
  <c r="I33" i="39"/>
  <c r="I314" i="39"/>
  <c r="I213" i="39"/>
  <c r="I261" i="39"/>
  <c r="I190" i="39"/>
  <c r="I146" i="39"/>
  <c r="I101" i="39"/>
  <c r="I117" i="39"/>
  <c r="I259" i="39"/>
  <c r="I187" i="39"/>
  <c r="I144" i="39"/>
  <c r="I98" i="39"/>
  <c r="I271" i="39"/>
  <c r="I110" i="39"/>
  <c r="I260" i="39"/>
  <c r="I8" i="39"/>
  <c r="I112" i="39"/>
  <c r="I148" i="39"/>
  <c r="I90" i="39"/>
  <c r="I302" i="39"/>
  <c r="I189" i="39"/>
  <c r="I43" i="39"/>
  <c r="I193" i="39"/>
  <c r="I262" i="39"/>
  <c r="I191" i="39"/>
  <c r="I99" i="39"/>
  <c r="C352" i="39"/>
  <c r="I257" i="39"/>
  <c r="I174" i="39"/>
  <c r="I106" i="39"/>
  <c r="I76" i="39"/>
  <c r="I268" i="39"/>
  <c r="I156" i="39"/>
  <c r="I102" i="39"/>
  <c r="I58" i="39"/>
  <c r="I89" i="39"/>
  <c r="I54" i="39"/>
  <c r="I188" i="39"/>
  <c r="I296" i="39"/>
  <c r="I38" i="39"/>
  <c r="I107" i="39"/>
  <c r="I45" i="39"/>
  <c r="I290" i="39"/>
  <c r="I256" i="39"/>
  <c r="I186" i="39"/>
  <c r="I315" i="39"/>
  <c r="I258" i="39"/>
  <c r="I162" i="39"/>
  <c r="I97" i="39"/>
  <c r="I53" i="39"/>
  <c r="I300" i="39"/>
  <c r="I252" i="39"/>
  <c r="I153" i="39"/>
  <c r="I94" i="39"/>
  <c r="I51" i="39"/>
  <c r="I50" i="39"/>
  <c r="I253" i="39"/>
  <c r="I317" i="39"/>
  <c r="I52" i="39"/>
  <c r="I56" i="39"/>
  <c r="I47" i="39"/>
  <c r="I289" i="39"/>
  <c r="I55" i="39"/>
  <c r="I175" i="39"/>
  <c r="I103" i="39"/>
  <c r="I318" i="39"/>
  <c r="I245" i="39"/>
  <c r="I83" i="39"/>
  <c r="I49" i="39"/>
  <c r="I305" i="39"/>
  <c r="I212" i="39"/>
  <c r="I74" i="39"/>
  <c r="I92" i="39"/>
  <c r="I147" i="39"/>
  <c r="I145" i="39"/>
  <c r="I206" i="39"/>
  <c r="I264" i="39"/>
  <c r="I37" i="39"/>
  <c r="I205" i="39"/>
  <c r="I9" i="39"/>
  <c r="I8" i="48"/>
  <c r="I319" i="39"/>
  <c r="I249" i="39"/>
  <c r="I84" i="39"/>
  <c r="I295" i="39"/>
  <c r="I209" i="39"/>
  <c r="I113" i="39"/>
  <c r="I57" i="39"/>
  <c r="I214" i="39"/>
  <c r="I111" i="39"/>
  <c r="I36" i="39"/>
  <c r="I91" i="39"/>
  <c r="I100" i="39"/>
  <c r="I204" i="39"/>
  <c r="I141" i="39"/>
  <c r="I35" i="39"/>
  <c r="I114" i="39"/>
  <c r="I306" i="39"/>
  <c r="I48" i="39"/>
  <c r="I104" i="39"/>
  <c r="I155" i="39"/>
  <c r="I181" i="39"/>
  <c r="Y10" i="55"/>
  <c r="D27" i="56"/>
  <c r="N81" i="41" s="1"/>
  <c r="M81" i="41" s="1"/>
  <c r="S8" i="55"/>
  <c r="AC10" i="55"/>
  <c r="D36" i="58"/>
  <c r="C2" i="55"/>
  <c r="AD10" i="55"/>
  <c r="Y9" i="55"/>
  <c r="U9" i="55"/>
  <c r="S9" i="55"/>
  <c r="D26" i="56"/>
  <c r="A8" i="55"/>
  <c r="Y7" i="65"/>
  <c r="Z7" i="65" s="1"/>
  <c r="AA7" i="65" s="1"/>
  <c r="O6" i="53"/>
  <c r="D7" i="53"/>
  <c r="D7" i="51"/>
  <c r="BS9" i="69" l="1"/>
  <c r="CD9" i="69"/>
  <c r="AL9" i="69"/>
  <c r="I133" i="39"/>
  <c r="G18" i="58"/>
  <c r="D39" i="41" s="1"/>
  <c r="G44" i="41" s="1"/>
  <c r="F71" i="39"/>
  <c r="F70" i="39"/>
  <c r="F73" i="39"/>
  <c r="D25" i="41"/>
  <c r="E25" i="41" s="1"/>
  <c r="D31" i="56"/>
  <c r="L134" i="39"/>
  <c r="AC130" i="55"/>
  <c r="AC131" i="55" s="1"/>
  <c r="I316" i="39"/>
  <c r="AA9" i="69"/>
  <c r="I9" i="69"/>
  <c r="P10" i="69"/>
  <c r="BH9" i="69"/>
  <c r="AW9" i="69"/>
  <c r="Y129" i="51"/>
  <c r="Y6" i="51" s="1"/>
  <c r="W18" i="39"/>
  <c r="W14" i="39"/>
  <c r="W15" i="39"/>
  <c r="W16" i="39"/>
  <c r="G194" i="39"/>
  <c r="I194" i="39"/>
  <c r="F44" i="41"/>
  <c r="I14" i="39"/>
  <c r="U5" i="55"/>
  <c r="U6" i="55" s="1"/>
  <c r="U49" i="55" s="1"/>
  <c r="H132" i="39"/>
  <c r="H124" i="39"/>
  <c r="H130" i="39"/>
  <c r="H136" i="39"/>
  <c r="H125" i="39"/>
  <c r="H127" i="39"/>
  <c r="I125" i="39"/>
  <c r="I132" i="39"/>
  <c r="I130" i="39"/>
  <c r="H133" i="39"/>
  <c r="H129" i="39"/>
  <c r="H131" i="39"/>
  <c r="F20" i="39"/>
  <c r="D49" i="41" s="1"/>
  <c r="F60" i="39"/>
  <c r="L136" i="39"/>
  <c r="I124" i="39"/>
  <c r="H123" i="39"/>
  <c r="H134" i="39"/>
  <c r="H126" i="39"/>
  <c r="H135" i="39"/>
  <c r="D45" i="41"/>
  <c r="D46" i="41" s="1"/>
  <c r="F46" i="41" s="1"/>
  <c r="G14" i="39"/>
  <c r="O129" i="51"/>
  <c r="O6" i="51" s="1"/>
  <c r="I9" i="48"/>
  <c r="N53" i="41"/>
  <c r="M53" i="41" s="1"/>
  <c r="G9" i="48"/>
  <c r="G10" i="48" s="1"/>
  <c r="C78" i="48"/>
  <c r="F340" i="39"/>
  <c r="G340" i="39" s="1"/>
  <c r="M7" i="69"/>
  <c r="G98" i="69"/>
  <c r="T85" i="69"/>
  <c r="Y85" i="69" s="1"/>
  <c r="AO7" i="69"/>
  <c r="AD85" i="69"/>
  <c r="AI85" i="69" s="1"/>
  <c r="B20" i="70"/>
  <c r="K96" i="41"/>
  <c r="B26" i="70"/>
  <c r="B14" i="70"/>
  <c r="K91" i="41"/>
  <c r="B8" i="70"/>
  <c r="K87" i="41"/>
  <c r="O141" i="39"/>
  <c r="K9" i="58"/>
  <c r="K8" i="58"/>
  <c r="Y12" i="39"/>
  <c r="X13" i="39"/>
  <c r="G62" i="58"/>
  <c r="I62" i="58" s="1"/>
  <c r="O143" i="39"/>
  <c r="G63" i="58"/>
  <c r="I63" i="58" s="1"/>
  <c r="O144" i="39"/>
  <c r="O140" i="39"/>
  <c r="O142" i="39"/>
  <c r="H65" i="58"/>
  <c r="AB130" i="55"/>
  <c r="AB131" i="55" s="1"/>
  <c r="D41" i="69"/>
  <c r="E61" i="69" s="1"/>
  <c r="F92" i="69"/>
  <c r="E92" i="69" s="1"/>
  <c r="C79" i="48"/>
  <c r="F17" i="69"/>
  <c r="F18" i="69"/>
  <c r="F15" i="69"/>
  <c r="F14" i="69"/>
  <c r="F13" i="69"/>
  <c r="F16" i="69"/>
  <c r="AE85" i="69"/>
  <c r="AJ85" i="69" s="1"/>
  <c r="AP7" i="69"/>
  <c r="AN7" i="69"/>
  <c r="AC85" i="69"/>
  <c r="AH85" i="69" s="1"/>
  <c r="F58" i="41"/>
  <c r="F68" i="41"/>
  <c r="J65" i="58"/>
  <c r="F73" i="41"/>
  <c r="F59" i="41"/>
  <c r="F65" i="41"/>
  <c r="F50" i="41"/>
  <c r="F42" i="41"/>
  <c r="F62" i="41"/>
  <c r="E55" i="58"/>
  <c r="H28" i="39"/>
  <c r="H21" i="39"/>
  <c r="H292" i="39"/>
  <c r="H44" i="39"/>
  <c r="G7" i="41"/>
  <c r="E44" i="41" s="1"/>
  <c r="H265" i="39"/>
  <c r="H104" i="39"/>
  <c r="H113" i="39"/>
  <c r="H141" i="39"/>
  <c r="H282" i="39"/>
  <c r="H1" i="39"/>
  <c r="H30" i="48"/>
  <c r="H24" i="39"/>
  <c r="H6" i="39"/>
  <c r="H42" i="39"/>
  <c r="H262" i="39"/>
  <c r="H260" i="39"/>
  <c r="H51" i="39"/>
  <c r="H102" i="39"/>
  <c r="H285" i="39"/>
  <c r="H234" i="39"/>
  <c r="H259" i="39"/>
  <c r="H175" i="39"/>
  <c r="H191" i="39"/>
  <c r="H77" i="39"/>
  <c r="H9" i="48"/>
  <c r="H22" i="39"/>
  <c r="D11" i="56"/>
  <c r="H339" i="39"/>
  <c r="H41" i="39"/>
  <c r="H214" i="39"/>
  <c r="H174" i="39"/>
  <c r="H38" i="39"/>
  <c r="H83" i="39"/>
  <c r="H11" i="39"/>
  <c r="H284" i="39"/>
  <c r="K14" i="58"/>
  <c r="H156" i="39"/>
  <c r="H188" i="39"/>
  <c r="H184" i="39"/>
  <c r="K13" i="58"/>
  <c r="H302" i="39"/>
  <c r="H211" i="39"/>
  <c r="H56" i="39"/>
  <c r="H111" i="39"/>
  <c r="H17" i="39"/>
  <c r="H205" i="39"/>
  <c r="H305" i="39"/>
  <c r="H18" i="39"/>
  <c r="H293" i="39"/>
  <c r="H194" i="39"/>
  <c r="H40" i="39"/>
  <c r="H204" i="39"/>
  <c r="H296" i="39"/>
  <c r="H115" i="39"/>
  <c r="H35" i="39"/>
  <c r="H53" i="39"/>
  <c r="H55" i="39"/>
  <c r="H319" i="39"/>
  <c r="H112" i="39"/>
  <c r="H149" i="39"/>
  <c r="K11" i="58"/>
  <c r="H255" i="39"/>
  <c r="H155" i="39"/>
  <c r="H187" i="39"/>
  <c r="H32" i="39"/>
  <c r="H307" i="39"/>
  <c r="H256" i="39"/>
  <c r="H275" i="39"/>
  <c r="H210" i="39"/>
  <c r="H270" i="39"/>
  <c r="H154" i="39"/>
  <c r="H9" i="39"/>
  <c r="H36" i="39"/>
  <c r="H281" i="39"/>
  <c r="H27" i="39"/>
  <c r="H289" i="39"/>
  <c r="H189" i="39"/>
  <c r="H47" i="39"/>
  <c r="K15" i="58"/>
  <c r="H207" i="39"/>
  <c r="H190" i="39"/>
  <c r="H50" i="39"/>
  <c r="H99" i="39"/>
  <c r="H103" i="39"/>
  <c r="H169" i="39"/>
  <c r="H8" i="48"/>
  <c r="H301" i="39"/>
  <c r="H245" i="39"/>
  <c r="H96" i="39"/>
  <c r="H105" i="39"/>
  <c r="H283" i="39"/>
  <c r="H268" i="39"/>
  <c r="H213" i="39"/>
  <c r="H128" i="39"/>
  <c r="H148" i="39"/>
  <c r="H181" i="39"/>
  <c r="H183" i="39"/>
  <c r="H232" i="39"/>
  <c r="H143" i="39"/>
  <c r="H269" i="39"/>
  <c r="H116" i="39"/>
  <c r="H8" i="39"/>
  <c r="H257" i="39"/>
  <c r="H279" i="39"/>
  <c r="H310" i="39"/>
  <c r="H91" i="39"/>
  <c r="H186" i="39"/>
  <c r="H25" i="39"/>
  <c r="H290" i="39"/>
  <c r="H46" i="39"/>
  <c r="K7" i="58"/>
  <c r="H147" i="39"/>
  <c r="H176" i="39"/>
  <c r="H54" i="39"/>
  <c r="H185" i="39"/>
  <c r="H231" i="39"/>
  <c r="K16" i="58"/>
  <c r="H254" i="39"/>
  <c r="H295" i="39"/>
  <c r="H74" i="39"/>
  <c r="H82" i="39"/>
  <c r="H110" i="39"/>
  <c r="H276" i="39"/>
  <c r="H315" i="39"/>
  <c r="H300" i="39"/>
  <c r="H108" i="39"/>
  <c r="H145" i="39"/>
  <c r="H277" i="39"/>
  <c r="H86" i="39"/>
  <c r="H37" i="39"/>
  <c r="H13" i="39"/>
  <c r="H146" i="39"/>
  <c r="H286" i="39"/>
  <c r="H261" i="39"/>
  <c r="H278" i="39"/>
  <c r="H258" i="39"/>
  <c r="H177" i="39"/>
  <c r="H318" i="39"/>
  <c r="H117" i="39"/>
  <c r="H252" i="39"/>
  <c r="H57" i="39"/>
  <c r="H106" i="39"/>
  <c r="H230" i="39"/>
  <c r="K12" i="58"/>
  <c r="H170" i="39"/>
  <c r="H311" i="39"/>
  <c r="K10" i="58"/>
  <c r="H337" i="39"/>
  <c r="H314" i="39"/>
  <c r="H253" i="39"/>
  <c r="H304" i="39"/>
  <c r="H157" i="39"/>
  <c r="H193" i="39"/>
  <c r="H206" i="39"/>
  <c r="H94" i="39"/>
  <c r="H208" i="39"/>
  <c r="H182" i="39"/>
  <c r="H90" i="39"/>
  <c r="H288" i="39"/>
  <c r="C71" i="58"/>
  <c r="K6" i="58"/>
  <c r="H217" i="39"/>
  <c r="H263" i="39"/>
  <c r="H179" i="39"/>
  <c r="H26" i="39"/>
  <c r="H294" i="39"/>
  <c r="H85" i="39"/>
  <c r="H235" i="39"/>
  <c r="H249" i="39"/>
  <c r="H72" i="39"/>
  <c r="H215" i="39"/>
  <c r="H59" i="39"/>
  <c r="H216" i="39"/>
  <c r="H317" i="39"/>
  <c r="H167" i="39"/>
  <c r="H233" i="39"/>
  <c r="H10" i="39"/>
  <c r="H178" i="39"/>
  <c r="H23" i="39"/>
  <c r="H45" i="39"/>
  <c r="H144" i="39"/>
  <c r="H7" i="48"/>
  <c r="H33" i="39"/>
  <c r="H142" i="39"/>
  <c r="H101" i="39"/>
  <c r="H280" i="39"/>
  <c r="H161" i="39"/>
  <c r="H100" i="39"/>
  <c r="H89" i="39"/>
  <c r="H303" i="39"/>
  <c r="H180" i="39"/>
  <c r="H19" i="39"/>
  <c r="H43" i="39"/>
  <c r="H97" i="39"/>
  <c r="H264" i="39"/>
  <c r="H75" i="39"/>
  <c r="H287" i="39"/>
  <c r="H58" i="39"/>
  <c r="H34" i="39"/>
  <c r="H107" i="39"/>
  <c r="H118" i="39"/>
  <c r="H93" i="39"/>
  <c r="H12" i="39"/>
  <c r="K17" i="58"/>
  <c r="H162" i="39"/>
  <c r="H212" i="39"/>
  <c r="H95" i="39"/>
  <c r="H168" i="39"/>
  <c r="H48" i="39"/>
  <c r="H7" i="39"/>
  <c r="H192" i="39"/>
  <c r="H153" i="39"/>
  <c r="H109" i="39"/>
  <c r="H81" i="39"/>
  <c r="H122" i="39"/>
  <c r="H52" i="39"/>
  <c r="H39" i="39"/>
  <c r="H98" i="39"/>
  <c r="H76" i="39"/>
  <c r="H114" i="39"/>
  <c r="H338" i="39"/>
  <c r="H209" i="39"/>
  <c r="H236" i="39"/>
  <c r="H306" i="39"/>
  <c r="H49" i="39"/>
  <c r="H266" i="39"/>
  <c r="H92" i="39"/>
  <c r="H271" i="39"/>
  <c r="H14" i="39"/>
  <c r="H324" i="39"/>
  <c r="H316" i="39"/>
  <c r="H84" i="39"/>
  <c r="AD130" i="55"/>
  <c r="AD131" i="55" s="1"/>
  <c r="M52" i="41"/>
  <c r="M51" i="41"/>
  <c r="F171" i="39"/>
  <c r="H166" i="39"/>
  <c r="I166" i="39"/>
  <c r="G166" i="39"/>
  <c r="P8" i="55"/>
  <c r="K10" i="55"/>
  <c r="H1" i="55"/>
  <c r="P11" i="55"/>
  <c r="N12" i="55"/>
  <c r="F13" i="55"/>
  <c r="P15" i="55"/>
  <c r="E15" i="55"/>
  <c r="G16" i="55"/>
  <c r="N16" i="55"/>
  <c r="M21" i="55"/>
  <c r="G25" i="55"/>
  <c r="N25" i="55"/>
  <c r="G9" i="55"/>
  <c r="K9" i="55"/>
  <c r="H2" i="55"/>
  <c r="H16" i="55" s="1"/>
  <c r="E11" i="55"/>
  <c r="F12" i="55"/>
  <c r="P16" i="55"/>
  <c r="L16" i="55"/>
  <c r="E16" i="55"/>
  <c r="M18" i="55"/>
  <c r="L19" i="55"/>
  <c r="M20" i="55"/>
  <c r="K20" i="55"/>
  <c r="P21" i="55"/>
  <c r="F21" i="55"/>
  <c r="K21" i="55"/>
  <c r="F22" i="55"/>
  <c r="G22" i="55"/>
  <c r="N22" i="55"/>
  <c r="M23" i="55"/>
  <c r="L23" i="55"/>
  <c r="M25" i="55"/>
  <c r="K26" i="55"/>
  <c r="F27" i="55"/>
  <c r="L27" i="55"/>
  <c r="P29" i="55"/>
  <c r="G10" i="55"/>
  <c r="M9" i="55"/>
  <c r="L9" i="55"/>
  <c r="K13" i="55"/>
  <c r="E13" i="55"/>
  <c r="F14" i="55"/>
  <c r="E14" i="55"/>
  <c r="M15" i="55"/>
  <c r="M16" i="55"/>
  <c r="P17" i="55"/>
  <c r="L18" i="55"/>
  <c r="E18" i="55"/>
  <c r="G19" i="55"/>
  <c r="N19" i="55"/>
  <c r="P20" i="55"/>
  <c r="W20" i="55"/>
  <c r="W22" i="55"/>
  <c r="F26" i="55"/>
  <c r="N27" i="55"/>
  <c r="K28" i="55"/>
  <c r="L8" i="55"/>
  <c r="L10" i="55"/>
  <c r="E9" i="55"/>
  <c r="E39" i="55" s="1"/>
  <c r="G11" i="55"/>
  <c r="M11" i="55"/>
  <c r="G12" i="55"/>
  <c r="E12" i="55"/>
  <c r="P13" i="55"/>
  <c r="N13" i="55"/>
  <c r="N14" i="55"/>
  <c r="G15" i="55"/>
  <c r="N15" i="55"/>
  <c r="K16" i="55"/>
  <c r="M17" i="55"/>
  <c r="F18" i="55"/>
  <c r="P23" i="55"/>
  <c r="F23" i="55"/>
  <c r="F24" i="55"/>
  <c r="G24" i="55"/>
  <c r="N24" i="55"/>
  <c r="L25" i="55"/>
  <c r="W25" i="55"/>
  <c r="W26" i="55"/>
  <c r="P28" i="55"/>
  <c r="W29" i="55"/>
  <c r="M30" i="55"/>
  <c r="L31" i="55"/>
  <c r="N32" i="55"/>
  <c r="K33" i="55"/>
  <c r="G34" i="55"/>
  <c r="W34" i="55"/>
  <c r="K35" i="55"/>
  <c r="W36" i="55"/>
  <c r="L36" i="55"/>
  <c r="G37" i="55"/>
  <c r="M38" i="55"/>
  <c r="M10" i="55"/>
  <c r="N11" i="55"/>
  <c r="I1" i="55"/>
  <c r="I2" i="55" s="1"/>
  <c r="L11" i="55"/>
  <c r="P12" i="55"/>
  <c r="G14" i="55"/>
  <c r="K14" i="55"/>
  <c r="K15" i="55"/>
  <c r="K17" i="55"/>
  <c r="F19" i="55"/>
  <c r="K19" i="55"/>
  <c r="L20" i="55"/>
  <c r="E20" i="55"/>
  <c r="G21" i="55"/>
  <c r="L21" i="55"/>
  <c r="N21" i="55"/>
  <c r="P22" i="55"/>
  <c r="K22" i="55"/>
  <c r="E24" i="55"/>
  <c r="E25" i="55"/>
  <c r="G26" i="55"/>
  <c r="P27" i="55"/>
  <c r="W27" i="55"/>
  <c r="M29" i="55"/>
  <c r="N29" i="55"/>
  <c r="G31" i="55"/>
  <c r="E31" i="55"/>
  <c r="M32" i="55"/>
  <c r="W32" i="55"/>
  <c r="M33" i="55"/>
  <c r="P10" i="55"/>
  <c r="N9" i="55"/>
  <c r="J1" i="55"/>
  <c r="J2" i="55" s="1"/>
  <c r="J28" i="55" s="1"/>
  <c r="F11" i="55"/>
  <c r="M12" i="55"/>
  <c r="L12" i="55"/>
  <c r="P14" i="55"/>
  <c r="L14" i="55"/>
  <c r="F15" i="55"/>
  <c r="W16" i="55"/>
  <c r="G17" i="55"/>
  <c r="W17" i="55"/>
  <c r="N17" i="55"/>
  <c r="G18" i="55"/>
  <c r="W18" i="55"/>
  <c r="N18" i="55"/>
  <c r="M19" i="55"/>
  <c r="W21" i="55"/>
  <c r="E22" i="55"/>
  <c r="M22" i="55"/>
  <c r="W23" i="55"/>
  <c r="M24" i="55"/>
  <c r="P25" i="55"/>
  <c r="F25" i="55"/>
  <c r="L26" i="55"/>
  <c r="N26" i="55"/>
  <c r="G28" i="55"/>
  <c r="M28" i="55"/>
  <c r="E29" i="55"/>
  <c r="E30" i="55"/>
  <c r="F31" i="55"/>
  <c r="P32" i="55"/>
  <c r="G32" i="55"/>
  <c r="P33" i="55"/>
  <c r="N34" i="55"/>
  <c r="W35" i="55"/>
  <c r="N10" i="55"/>
  <c r="F9" i="55"/>
  <c r="F39" i="55" s="1"/>
  <c r="F10" i="55"/>
  <c r="G13" i="55"/>
  <c r="G45" i="55" s="1"/>
  <c r="L15" i="55"/>
  <c r="F16" i="55"/>
  <c r="F46" i="55" s="1"/>
  <c r="P18" i="55"/>
  <c r="W19" i="55"/>
  <c r="E19" i="55"/>
  <c r="L22" i="55"/>
  <c r="G23" i="55"/>
  <c r="E23" i="55"/>
  <c r="N23" i="55"/>
  <c r="P24" i="55"/>
  <c r="W24" i="55"/>
  <c r="E26" i="55"/>
  <c r="E27" i="55"/>
  <c r="K27" i="55"/>
  <c r="W28" i="55"/>
  <c r="F30" i="55"/>
  <c r="N31" i="55"/>
  <c r="L32" i="55"/>
  <c r="M34" i="55"/>
  <c r="E34" i="55"/>
  <c r="F35" i="55"/>
  <c r="F36" i="55"/>
  <c r="W37" i="55"/>
  <c r="P9" i="55"/>
  <c r="E10" i="55"/>
  <c r="K11" i="55"/>
  <c r="K12" i="55"/>
  <c r="L13" i="55"/>
  <c r="M13" i="55"/>
  <c r="M14" i="55"/>
  <c r="W15" i="55"/>
  <c r="F17" i="55"/>
  <c r="L17" i="55"/>
  <c r="E17" i="55"/>
  <c r="E45" i="55" s="1"/>
  <c r="K18" i="55"/>
  <c r="P19" i="55"/>
  <c r="F20" i="55"/>
  <c r="G20" i="55"/>
  <c r="N20" i="55"/>
  <c r="E21" i="55"/>
  <c r="K23" i="55"/>
  <c r="L24" i="55"/>
  <c r="K24" i="55"/>
  <c r="K25" i="55"/>
  <c r="P26" i="55"/>
  <c r="M26" i="55"/>
  <c r="M27" i="55"/>
  <c r="L28" i="55"/>
  <c r="N28" i="55"/>
  <c r="F29" i="55"/>
  <c r="G30" i="55"/>
  <c r="W30" i="55"/>
  <c r="K32" i="55"/>
  <c r="W33" i="55"/>
  <c r="L34" i="55"/>
  <c r="E36" i="55"/>
  <c r="N36" i="55"/>
  <c r="G38" i="55"/>
  <c r="G27" i="55"/>
  <c r="K30" i="55"/>
  <c r="F32" i="55"/>
  <c r="E33" i="55"/>
  <c r="G35" i="55"/>
  <c r="F37" i="55"/>
  <c r="M37" i="55"/>
  <c r="L38" i="55"/>
  <c r="F40" i="55"/>
  <c r="E40" i="55"/>
  <c r="L41" i="55"/>
  <c r="K42" i="55"/>
  <c r="K43" i="55"/>
  <c r="K44" i="55"/>
  <c r="K45" i="55"/>
  <c r="N45" i="55"/>
  <c r="G47" i="55"/>
  <c r="L47" i="55"/>
  <c r="L48" i="55"/>
  <c r="K48" i="55"/>
  <c r="J50" i="55"/>
  <c r="L52" i="55"/>
  <c r="F53" i="55"/>
  <c r="P53" i="55"/>
  <c r="N53" i="55"/>
  <c r="P55" i="55"/>
  <c r="E55" i="55"/>
  <c r="K56" i="55"/>
  <c r="G57" i="55"/>
  <c r="F58" i="55"/>
  <c r="K59" i="55"/>
  <c r="L59" i="55"/>
  <c r="J60" i="55"/>
  <c r="F61" i="55"/>
  <c r="N61" i="55"/>
  <c r="G63" i="55"/>
  <c r="L63" i="55"/>
  <c r="G65" i="55"/>
  <c r="G66" i="55"/>
  <c r="F66" i="55"/>
  <c r="L67" i="55"/>
  <c r="W68" i="55"/>
  <c r="E69" i="55"/>
  <c r="N69" i="55"/>
  <c r="F71" i="55"/>
  <c r="H71" i="55"/>
  <c r="J72" i="55"/>
  <c r="P35" i="55"/>
  <c r="M36" i="55"/>
  <c r="N37" i="55"/>
  <c r="N38" i="55"/>
  <c r="K39" i="55"/>
  <c r="L39" i="55"/>
  <c r="W40" i="55"/>
  <c r="P41" i="55"/>
  <c r="N42" i="55"/>
  <c r="G44" i="55"/>
  <c r="P46" i="55"/>
  <c r="K49" i="55"/>
  <c r="L49" i="55"/>
  <c r="F50" i="55"/>
  <c r="N50" i="55"/>
  <c r="F51" i="55"/>
  <c r="W52" i="55"/>
  <c r="P54" i="55"/>
  <c r="K54" i="55"/>
  <c r="G54" i="55"/>
  <c r="F55" i="55"/>
  <c r="F57" i="55"/>
  <c r="H57" i="55"/>
  <c r="J58" i="55"/>
  <c r="G58" i="55"/>
  <c r="N58" i="55"/>
  <c r="J59" i="55"/>
  <c r="E60" i="55"/>
  <c r="P61" i="55"/>
  <c r="L61" i="55"/>
  <c r="E62" i="55"/>
  <c r="J63" i="55"/>
  <c r="J64" i="55"/>
  <c r="G64" i="55"/>
  <c r="L30" i="55"/>
  <c r="L33" i="55"/>
  <c r="P34" i="55"/>
  <c r="P36" i="55"/>
  <c r="P38" i="55"/>
  <c r="P40" i="55"/>
  <c r="G41" i="55"/>
  <c r="E41" i="55"/>
  <c r="W43" i="55"/>
  <c r="F44" i="55"/>
  <c r="E46" i="55"/>
  <c r="F47" i="55"/>
  <c r="N47" i="55"/>
  <c r="I48" i="55"/>
  <c r="L50" i="55"/>
  <c r="H50" i="55"/>
  <c r="I51" i="55"/>
  <c r="H52" i="55"/>
  <c r="K52" i="55"/>
  <c r="H54" i="55"/>
  <c r="N55" i="55"/>
  <c r="H56" i="55"/>
  <c r="L57" i="55"/>
  <c r="H58" i="55"/>
  <c r="I59" i="55"/>
  <c r="K60" i="55"/>
  <c r="I60" i="55"/>
  <c r="L62" i="55"/>
  <c r="E63" i="55"/>
  <c r="N63" i="55"/>
  <c r="N30" i="55"/>
  <c r="K31" i="55"/>
  <c r="G33" i="55"/>
  <c r="N33" i="55"/>
  <c r="F38" i="55"/>
  <c r="E38" i="55"/>
  <c r="G39" i="55"/>
  <c r="K40" i="55"/>
  <c r="K41" i="55"/>
  <c r="P42" i="55"/>
  <c r="L42" i="55"/>
  <c r="F43" i="55"/>
  <c r="E43" i="55"/>
  <c r="E44" i="55"/>
  <c r="N44" i="55"/>
  <c r="P45" i="55"/>
  <c r="W45" i="55"/>
  <c r="L46" i="55"/>
  <c r="W47" i="55"/>
  <c r="E48" i="55"/>
  <c r="F48" i="55"/>
  <c r="W49" i="55"/>
  <c r="H51" i="55"/>
  <c r="E52" i="55"/>
  <c r="N52" i="55"/>
  <c r="E53" i="55"/>
  <c r="J53" i="55"/>
  <c r="W54" i="55"/>
  <c r="K55" i="55"/>
  <c r="I55" i="55"/>
  <c r="G56" i="55"/>
  <c r="I57" i="55"/>
  <c r="K58" i="55"/>
  <c r="P59" i="55"/>
  <c r="H59" i="55"/>
  <c r="G60" i="55"/>
  <c r="F60" i="55"/>
  <c r="N60" i="55"/>
  <c r="E61" i="55"/>
  <c r="K63" i="55"/>
  <c r="I63" i="55"/>
  <c r="P63" i="55"/>
  <c r="F64" i="55"/>
  <c r="K65" i="55"/>
  <c r="H65" i="55"/>
  <c r="I65" i="55"/>
  <c r="W67" i="55"/>
  <c r="I68" i="55"/>
  <c r="N68" i="55"/>
  <c r="I69" i="55"/>
  <c r="J70" i="55"/>
  <c r="H70" i="55"/>
  <c r="K70" i="55"/>
  <c r="J73" i="55"/>
  <c r="F73" i="55"/>
  <c r="P73" i="55"/>
  <c r="E28" i="55"/>
  <c r="K29" i="55"/>
  <c r="P30" i="55"/>
  <c r="W31" i="55"/>
  <c r="E32" i="55"/>
  <c r="F33" i="55"/>
  <c r="E35" i="55"/>
  <c r="P37" i="55"/>
  <c r="K37" i="55"/>
  <c r="N39" i="55"/>
  <c r="L40" i="55"/>
  <c r="N41" i="55"/>
  <c r="E42" i="55"/>
  <c r="G43" i="55"/>
  <c r="L44" i="55"/>
  <c r="H44" i="55"/>
  <c r="W46" i="55"/>
  <c r="P47" i="55"/>
  <c r="I47" i="55"/>
  <c r="N49" i="55"/>
  <c r="E50" i="55"/>
  <c r="K50" i="55"/>
  <c r="J51" i="55"/>
  <c r="L51" i="55"/>
  <c r="J52" i="55"/>
  <c r="K53" i="55"/>
  <c r="G53" i="55"/>
  <c r="I54" i="55"/>
  <c r="W55" i="55"/>
  <c r="L55" i="55"/>
  <c r="W56" i="55"/>
  <c r="F56" i="55"/>
  <c r="W57" i="55"/>
  <c r="P57" i="55"/>
  <c r="N57" i="55"/>
  <c r="W59" i="55"/>
  <c r="W60" i="55"/>
  <c r="I61" i="55"/>
  <c r="H61" i="55"/>
  <c r="P62" i="55"/>
  <c r="G62" i="55"/>
  <c r="L64" i="55"/>
  <c r="H64" i="55"/>
  <c r="F28" i="55"/>
  <c r="L29" i="55"/>
  <c r="M31" i="55"/>
  <c r="F34" i="55"/>
  <c r="K34" i="55"/>
  <c r="L35" i="55"/>
  <c r="N35" i="55"/>
  <c r="E37" i="55"/>
  <c r="W38" i="55"/>
  <c r="P39" i="55"/>
  <c r="W39" i="55"/>
  <c r="F41" i="55"/>
  <c r="M42" i="55"/>
  <c r="P44" i="55"/>
  <c r="N46" i="55"/>
  <c r="E47" i="55"/>
  <c r="J47" i="55"/>
  <c r="G48" i="55"/>
  <c r="W48" i="55"/>
  <c r="P49" i="55"/>
  <c r="I50" i="55"/>
  <c r="E51" i="55"/>
  <c r="K51" i="55"/>
  <c r="F52" i="55"/>
  <c r="H53" i="55"/>
  <c r="L54" i="55"/>
  <c r="J54" i="55"/>
  <c r="N54" i="55"/>
  <c r="G55" i="55"/>
  <c r="E56" i="55"/>
  <c r="L56" i="55"/>
  <c r="E57" i="55"/>
  <c r="E58" i="55"/>
  <c r="W58" i="55"/>
  <c r="G59" i="55"/>
  <c r="F59" i="55"/>
  <c r="E59" i="55"/>
  <c r="W62" i="55"/>
  <c r="N62" i="55"/>
  <c r="F63" i="55"/>
  <c r="G29" i="55"/>
  <c r="P31" i="55"/>
  <c r="G36" i="55"/>
  <c r="G46" i="55" s="1"/>
  <c r="K36" i="55"/>
  <c r="L37" i="55"/>
  <c r="K38" i="55"/>
  <c r="G40" i="55"/>
  <c r="W41" i="55"/>
  <c r="F42" i="55"/>
  <c r="W42" i="55"/>
  <c r="P43" i="55"/>
  <c r="L43" i="55"/>
  <c r="N43" i="55"/>
  <c r="L45" i="55"/>
  <c r="K46" i="55"/>
  <c r="H47" i="55"/>
  <c r="K47" i="55"/>
  <c r="G50" i="55"/>
  <c r="P51" i="55"/>
  <c r="G51" i="55"/>
  <c r="N51" i="55"/>
  <c r="G52" i="55"/>
  <c r="I53" i="55"/>
  <c r="F54" i="55"/>
  <c r="H55" i="55"/>
  <c r="I56" i="55"/>
  <c r="J56" i="55"/>
  <c r="P56" i="55"/>
  <c r="J57" i="55"/>
  <c r="L58" i="55"/>
  <c r="N59" i="55"/>
  <c r="L60" i="55"/>
  <c r="H60" i="55"/>
  <c r="P60" i="55"/>
  <c r="G61" i="55"/>
  <c r="K61" i="55"/>
  <c r="J61" i="55"/>
  <c r="F62" i="55"/>
  <c r="H62" i="55"/>
  <c r="P64" i="55"/>
  <c r="W64" i="55"/>
  <c r="K64" i="55"/>
  <c r="K66" i="55"/>
  <c r="P66" i="55"/>
  <c r="G67" i="55"/>
  <c r="N67" i="55"/>
  <c r="H68" i="55"/>
  <c r="P68" i="55"/>
  <c r="J69" i="55"/>
  <c r="G71" i="55"/>
  <c r="P48" i="55"/>
  <c r="W50" i="55"/>
  <c r="P52" i="55"/>
  <c r="J62" i="55"/>
  <c r="E64" i="55"/>
  <c r="N64" i="55"/>
  <c r="N65" i="55"/>
  <c r="J67" i="55"/>
  <c r="F68" i="55"/>
  <c r="P69" i="55"/>
  <c r="L69" i="55"/>
  <c r="L70" i="55"/>
  <c r="N70" i="55"/>
  <c r="E72" i="55"/>
  <c r="H72" i="55"/>
  <c r="W73" i="55"/>
  <c r="E73" i="55"/>
  <c r="P76" i="55"/>
  <c r="G77" i="55"/>
  <c r="J77" i="55"/>
  <c r="N77" i="55"/>
  <c r="G78" i="55"/>
  <c r="L79" i="55"/>
  <c r="I79" i="55"/>
  <c r="H80" i="55"/>
  <c r="L80" i="55"/>
  <c r="I81" i="55"/>
  <c r="J82" i="55"/>
  <c r="W82" i="55"/>
  <c r="E83" i="55"/>
  <c r="N85" i="55"/>
  <c r="E86" i="55"/>
  <c r="L86" i="55"/>
  <c r="L89" i="55"/>
  <c r="J55" i="55"/>
  <c r="P65" i="55"/>
  <c r="H67" i="55"/>
  <c r="E68" i="55"/>
  <c r="J68" i="55"/>
  <c r="K69" i="55"/>
  <c r="H69" i="55"/>
  <c r="F70" i="55"/>
  <c r="P71" i="55"/>
  <c r="I72" i="55"/>
  <c r="H73" i="55"/>
  <c r="K74" i="55"/>
  <c r="F74" i="55"/>
  <c r="J74" i="55"/>
  <c r="N74" i="55"/>
  <c r="P75" i="55"/>
  <c r="F75" i="55"/>
  <c r="I76" i="55"/>
  <c r="F77" i="55"/>
  <c r="K78" i="55"/>
  <c r="P78" i="55"/>
  <c r="F79" i="55"/>
  <c r="P80" i="55"/>
  <c r="K81" i="55"/>
  <c r="H82" i="55"/>
  <c r="G82" i="55"/>
  <c r="N82" i="55"/>
  <c r="J83" i="55"/>
  <c r="H84" i="55"/>
  <c r="K85" i="55"/>
  <c r="M35" i="55"/>
  <c r="W44" i="55"/>
  <c r="W51" i="55"/>
  <c r="K57" i="55"/>
  <c r="P58" i="55"/>
  <c r="I58" i="55"/>
  <c r="W65" i="55"/>
  <c r="J65" i="55"/>
  <c r="J66" i="55"/>
  <c r="L68" i="55"/>
  <c r="G70" i="55"/>
  <c r="G72" i="55"/>
  <c r="F72" i="55"/>
  <c r="N72" i="55"/>
  <c r="G73" i="55"/>
  <c r="K73" i="55"/>
  <c r="L74" i="55"/>
  <c r="E75" i="55"/>
  <c r="L75" i="55"/>
  <c r="H75" i="55"/>
  <c r="E76" i="55"/>
  <c r="N79" i="55"/>
  <c r="E80" i="55"/>
  <c r="F80" i="55"/>
  <c r="F81" i="55"/>
  <c r="W81" i="55"/>
  <c r="F82" i="55"/>
  <c r="L84" i="55"/>
  <c r="J85" i="55"/>
  <c r="J86" i="55"/>
  <c r="G86" i="55"/>
  <c r="N87" i="55"/>
  <c r="J88" i="55"/>
  <c r="G89" i="55"/>
  <c r="I91" i="55"/>
  <c r="N40" i="55"/>
  <c r="W53" i="55"/>
  <c r="H63" i="55"/>
  <c r="E65" i="55"/>
  <c r="F65" i="55"/>
  <c r="H66" i="55"/>
  <c r="K67" i="55"/>
  <c r="W69" i="55"/>
  <c r="W70" i="55"/>
  <c r="P70" i="55"/>
  <c r="L71" i="55"/>
  <c r="P72" i="55"/>
  <c r="H74" i="55"/>
  <c r="E74" i="55"/>
  <c r="N76" i="55"/>
  <c r="K77" i="55"/>
  <c r="L77" i="55"/>
  <c r="J78" i="55"/>
  <c r="I78" i="55"/>
  <c r="E79" i="55"/>
  <c r="G80" i="55"/>
  <c r="H81" i="55"/>
  <c r="H83" i="55"/>
  <c r="K84" i="55"/>
  <c r="I84" i="55"/>
  <c r="J84" i="55"/>
  <c r="N84" i="55"/>
  <c r="P85" i="55"/>
  <c r="H85" i="55"/>
  <c r="F86" i="55"/>
  <c r="H87" i="55"/>
  <c r="J87" i="55"/>
  <c r="I87" i="55"/>
  <c r="L88" i="55"/>
  <c r="F89" i="55"/>
  <c r="J48" i="55"/>
  <c r="N48" i="55"/>
  <c r="E54" i="55"/>
  <c r="W61" i="55"/>
  <c r="K62" i="55"/>
  <c r="I67" i="55"/>
  <c r="I70" i="55"/>
  <c r="J71" i="55"/>
  <c r="N73" i="55"/>
  <c r="I74" i="55"/>
  <c r="G74" i="55"/>
  <c r="P74" i="55"/>
  <c r="K75" i="55"/>
  <c r="W75" i="55"/>
  <c r="W76" i="55"/>
  <c r="G76" i="55"/>
  <c r="E78" i="55"/>
  <c r="F78" i="55"/>
  <c r="L78" i="55"/>
  <c r="H78" i="55"/>
  <c r="H79" i="55"/>
  <c r="J81" i="55"/>
  <c r="N81" i="55"/>
  <c r="E82" i="55"/>
  <c r="M39" i="55"/>
  <c r="P50" i="55"/>
  <c r="I52" i="55"/>
  <c r="N56" i="55"/>
  <c r="I66" i="55"/>
  <c r="W66" i="55"/>
  <c r="L66" i="55"/>
  <c r="P67" i="55"/>
  <c r="K68" i="55"/>
  <c r="F69" i="55"/>
  <c r="E70" i="55"/>
  <c r="E71" i="55"/>
  <c r="K71" i="55"/>
  <c r="I73" i="55"/>
  <c r="L73" i="55"/>
  <c r="G75" i="55"/>
  <c r="J75" i="55"/>
  <c r="L76" i="55"/>
  <c r="F76" i="55"/>
  <c r="W77" i="55"/>
  <c r="W78" i="55"/>
  <c r="N78" i="55"/>
  <c r="W79" i="55"/>
  <c r="J80" i="55"/>
  <c r="I80" i="55"/>
  <c r="G81" i="55"/>
  <c r="K82" i="55"/>
  <c r="W83" i="55"/>
  <c r="K83" i="55"/>
  <c r="E84" i="55"/>
  <c r="E85" i="55"/>
  <c r="F85" i="55"/>
  <c r="P86" i="55"/>
  <c r="W86" i="55"/>
  <c r="N86" i="55"/>
  <c r="W87" i="55"/>
  <c r="G88" i="55"/>
  <c r="P89" i="55"/>
  <c r="E90" i="55"/>
  <c r="H90" i="55"/>
  <c r="E91" i="55"/>
  <c r="K91" i="55"/>
  <c r="I92" i="55"/>
  <c r="E93" i="55"/>
  <c r="K94" i="55"/>
  <c r="E94" i="55"/>
  <c r="N94" i="55"/>
  <c r="L97" i="55"/>
  <c r="I99" i="55"/>
  <c r="G42" i="55"/>
  <c r="H48" i="55"/>
  <c r="L53" i="55"/>
  <c r="I62" i="55"/>
  <c r="W63" i="55"/>
  <c r="I64" i="55"/>
  <c r="L65" i="55"/>
  <c r="E66" i="55"/>
  <c r="E67" i="55"/>
  <c r="G68" i="55"/>
  <c r="G69" i="55"/>
  <c r="N71" i="55"/>
  <c r="L72" i="55"/>
  <c r="W72" i="55"/>
  <c r="W74" i="55"/>
  <c r="K76" i="55"/>
  <c r="P77" i="55"/>
  <c r="H77" i="55"/>
  <c r="J79" i="55"/>
  <c r="W80" i="55"/>
  <c r="N80" i="55"/>
  <c r="L81" i="55"/>
  <c r="P82" i="55"/>
  <c r="G83" i="55"/>
  <c r="F84" i="55"/>
  <c r="W84" i="55"/>
  <c r="W85" i="55"/>
  <c r="L87" i="55"/>
  <c r="E88" i="55"/>
  <c r="F88" i="55"/>
  <c r="N88" i="55"/>
  <c r="E89" i="55"/>
  <c r="J89" i="55"/>
  <c r="H89" i="55"/>
  <c r="F90" i="55"/>
  <c r="P91" i="55"/>
  <c r="G92" i="55"/>
  <c r="W92" i="55"/>
  <c r="P93" i="55"/>
  <c r="I93" i="55"/>
  <c r="W94" i="55"/>
  <c r="L95" i="55"/>
  <c r="N96" i="55"/>
  <c r="W97" i="55"/>
  <c r="L98" i="55"/>
  <c r="G99" i="55"/>
  <c r="E99" i="55"/>
  <c r="J99" i="55"/>
  <c r="E77" i="55"/>
  <c r="E81" i="55"/>
  <c r="I82" i="55"/>
  <c r="K86" i="55"/>
  <c r="G87" i="55"/>
  <c r="K89" i="55"/>
  <c r="P90" i="55"/>
  <c r="F91" i="55"/>
  <c r="L92" i="55"/>
  <c r="N93" i="55"/>
  <c r="K95" i="55"/>
  <c r="F96" i="55"/>
  <c r="F97" i="55"/>
  <c r="N97" i="55"/>
  <c r="E98" i="55"/>
  <c r="W99" i="55"/>
  <c r="F99" i="55"/>
  <c r="K100" i="55"/>
  <c r="I100" i="55"/>
  <c r="K101" i="55"/>
  <c r="I102" i="55"/>
  <c r="G102" i="55"/>
  <c r="N102" i="55"/>
  <c r="G104" i="55"/>
  <c r="G106" i="55"/>
  <c r="F106" i="55"/>
  <c r="L106" i="55"/>
  <c r="P79" i="55"/>
  <c r="P81" i="55"/>
  <c r="L83" i="55"/>
  <c r="W89" i="55"/>
  <c r="I89" i="55"/>
  <c r="L90" i="55"/>
  <c r="W90" i="55"/>
  <c r="N91" i="55"/>
  <c r="J92" i="55"/>
  <c r="N92" i="55"/>
  <c r="F94" i="55"/>
  <c r="G95" i="55"/>
  <c r="I95" i="55"/>
  <c r="F95" i="55"/>
  <c r="J96" i="55"/>
  <c r="F98" i="55"/>
  <c r="N98" i="55"/>
  <c r="J101" i="55"/>
  <c r="E101" i="55"/>
  <c r="L101" i="55"/>
  <c r="L102" i="55"/>
  <c r="I103" i="55"/>
  <c r="K104" i="55"/>
  <c r="I104" i="55"/>
  <c r="G105" i="55"/>
  <c r="P106" i="55"/>
  <c r="N107" i="55"/>
  <c r="H108" i="55"/>
  <c r="H110" i="55"/>
  <c r="J110" i="55"/>
  <c r="G111" i="55"/>
  <c r="W111" i="55"/>
  <c r="H112" i="55"/>
  <c r="W112" i="55"/>
  <c r="J115" i="55"/>
  <c r="N115" i="55"/>
  <c r="H116" i="55"/>
  <c r="E116" i="55"/>
  <c r="E118" i="55"/>
  <c r="J118" i="55"/>
  <c r="J119" i="55"/>
  <c r="J120" i="55"/>
  <c r="F121" i="55"/>
  <c r="J122" i="55"/>
  <c r="K122" i="55"/>
  <c r="K123" i="55"/>
  <c r="L123" i="55"/>
  <c r="F123" i="55"/>
  <c r="N123" i="55"/>
  <c r="L124" i="55"/>
  <c r="N66" i="55"/>
  <c r="I71" i="55"/>
  <c r="N75" i="55"/>
  <c r="H76" i="55"/>
  <c r="N83" i="55"/>
  <c r="I85" i="55"/>
  <c r="L85" i="55"/>
  <c r="P87" i="55"/>
  <c r="E87" i="55"/>
  <c r="W88" i="55"/>
  <c r="J90" i="55"/>
  <c r="N90" i="55"/>
  <c r="J91" i="55"/>
  <c r="H95" i="55"/>
  <c r="J95" i="55"/>
  <c r="K97" i="55"/>
  <c r="H97" i="55"/>
  <c r="I97" i="55"/>
  <c r="I98" i="55"/>
  <c r="H98" i="55"/>
  <c r="P99" i="55"/>
  <c r="N99" i="55"/>
  <c r="I101" i="55"/>
  <c r="E102" i="55"/>
  <c r="K102" i="55"/>
  <c r="J102" i="55"/>
  <c r="L103" i="55"/>
  <c r="J103" i="55"/>
  <c r="J104" i="55"/>
  <c r="N104" i="55"/>
  <c r="L105" i="55"/>
  <c r="K105" i="55"/>
  <c r="K106" i="55"/>
  <c r="J106" i="55"/>
  <c r="J107" i="55"/>
  <c r="W108" i="55"/>
  <c r="J109" i="55"/>
  <c r="H109" i="55"/>
  <c r="H111" i="55"/>
  <c r="K111" i="55"/>
  <c r="K112" i="55"/>
  <c r="E112" i="55"/>
  <c r="G112" i="55"/>
  <c r="N112" i="55"/>
  <c r="W113" i="55"/>
  <c r="E114" i="55"/>
  <c r="K114" i="55"/>
  <c r="J116" i="55"/>
  <c r="P116" i="55"/>
  <c r="H119" i="55"/>
  <c r="K120" i="55"/>
  <c r="N120" i="55"/>
  <c r="L121" i="55"/>
  <c r="I122" i="55"/>
  <c r="G122" i="55"/>
  <c r="H123" i="55"/>
  <c r="K124" i="55"/>
  <c r="G124" i="55"/>
  <c r="I125" i="55"/>
  <c r="G125" i="55"/>
  <c r="L82" i="55"/>
  <c r="P83" i="55"/>
  <c r="P84" i="55"/>
  <c r="K87" i="55"/>
  <c r="I90" i="55"/>
  <c r="K90" i="55"/>
  <c r="G91" i="55"/>
  <c r="E92" i="55"/>
  <c r="L93" i="55"/>
  <c r="P94" i="55"/>
  <c r="G94" i="55"/>
  <c r="P95" i="55"/>
  <c r="N95" i="55"/>
  <c r="H96" i="55"/>
  <c r="W96" i="55"/>
  <c r="J98" i="55"/>
  <c r="H99" i="55"/>
  <c r="P100" i="55"/>
  <c r="W101" i="55"/>
  <c r="N101" i="55"/>
  <c r="W102" i="55"/>
  <c r="K103" i="55"/>
  <c r="P105" i="55"/>
  <c r="J105" i="55"/>
  <c r="E105" i="55"/>
  <c r="P107" i="55"/>
  <c r="I108" i="55"/>
  <c r="G108" i="55"/>
  <c r="I109" i="55"/>
  <c r="N109" i="55"/>
  <c r="P111" i="55"/>
  <c r="I113" i="55"/>
  <c r="G113" i="55"/>
  <c r="W114" i="55"/>
  <c r="K115" i="55"/>
  <c r="N117" i="55"/>
  <c r="I118" i="55"/>
  <c r="W120" i="55"/>
  <c r="I121" i="55"/>
  <c r="L122" i="55"/>
  <c r="W123" i="55"/>
  <c r="P125" i="55"/>
  <c r="N125" i="55"/>
  <c r="F67" i="55"/>
  <c r="I77" i="55"/>
  <c r="K79" i="55"/>
  <c r="G79" i="55"/>
  <c r="K88" i="55"/>
  <c r="N89" i="55"/>
  <c r="L91" i="55"/>
  <c r="H92" i="55"/>
  <c r="G93" i="55"/>
  <c r="H93" i="55"/>
  <c r="I96" i="55"/>
  <c r="P98" i="55"/>
  <c r="K99" i="55"/>
  <c r="G100" i="55"/>
  <c r="J100" i="55"/>
  <c r="L100" i="55"/>
  <c r="H103" i="55"/>
  <c r="P103" i="55"/>
  <c r="E104" i="55"/>
  <c r="F105" i="55"/>
  <c r="W106" i="55"/>
  <c r="F83" i="55"/>
  <c r="H86" i="55"/>
  <c r="H88" i="55"/>
  <c r="W91" i="55"/>
  <c r="P92" i="55"/>
  <c r="J93" i="55"/>
  <c r="W93" i="55"/>
  <c r="K93" i="55"/>
  <c r="J94" i="55"/>
  <c r="H94" i="55"/>
  <c r="L94" i="55"/>
  <c r="K96" i="55"/>
  <c r="P96" i="55"/>
  <c r="G97" i="55"/>
  <c r="G98" i="55"/>
  <c r="E100" i="55"/>
  <c r="F100" i="55"/>
  <c r="P101" i="55"/>
  <c r="H102" i="55"/>
  <c r="N103" i="55"/>
  <c r="F104" i="55"/>
  <c r="W105" i="55"/>
  <c r="I106" i="55"/>
  <c r="H107" i="55"/>
  <c r="J76" i="55"/>
  <c r="K80" i="55"/>
  <c r="I83" i="55"/>
  <c r="G85" i="55"/>
  <c r="I86" i="55"/>
  <c r="H91" i="55"/>
  <c r="F93" i="55"/>
  <c r="I94" i="55"/>
  <c r="E95" i="55"/>
  <c r="J97" i="55"/>
  <c r="K98" i="55"/>
  <c r="W98" i="55"/>
  <c r="L99" i="55"/>
  <c r="N100" i="55"/>
  <c r="F101" i="55"/>
  <c r="F102" i="55"/>
  <c r="G103" i="55"/>
  <c r="P104" i="55"/>
  <c r="L104" i="55"/>
  <c r="I105" i="55"/>
  <c r="H105" i="55"/>
  <c r="E106" i="55"/>
  <c r="H106" i="55"/>
  <c r="E107" i="55"/>
  <c r="K108" i="55"/>
  <c r="N108" i="55"/>
  <c r="K110" i="55"/>
  <c r="W110" i="55"/>
  <c r="I111" i="55"/>
  <c r="J111" i="55"/>
  <c r="J112" i="55"/>
  <c r="H113" i="55"/>
  <c r="K113" i="55"/>
  <c r="L114" i="55"/>
  <c r="H114" i="55"/>
  <c r="G115" i="55"/>
  <c r="W116" i="55"/>
  <c r="N116" i="55"/>
  <c r="K117" i="55"/>
  <c r="P117" i="55"/>
  <c r="F117" i="55"/>
  <c r="K119" i="55"/>
  <c r="H120" i="55"/>
  <c r="G121" i="55"/>
  <c r="P121" i="55"/>
  <c r="P123" i="55"/>
  <c r="I123" i="55"/>
  <c r="F92" i="55"/>
  <c r="W95" i="55"/>
  <c r="W100" i="55"/>
  <c r="W104" i="55"/>
  <c r="L107" i="55"/>
  <c r="P108" i="55"/>
  <c r="E109" i="55"/>
  <c r="F110" i="55"/>
  <c r="E111" i="55"/>
  <c r="L113" i="55"/>
  <c r="G114" i="55"/>
  <c r="W115" i="55"/>
  <c r="L116" i="55"/>
  <c r="W117" i="55"/>
  <c r="W121" i="55"/>
  <c r="H122" i="55"/>
  <c r="N122" i="55"/>
  <c r="E124" i="55"/>
  <c r="H124" i="55"/>
  <c r="W124" i="55"/>
  <c r="W125" i="55"/>
  <c r="E126" i="55"/>
  <c r="P127" i="55"/>
  <c r="J128" i="55"/>
  <c r="P128" i="55"/>
  <c r="N128" i="55"/>
  <c r="I75" i="55"/>
  <c r="E103" i="55"/>
  <c r="G107" i="55"/>
  <c r="L108" i="55"/>
  <c r="F109" i="55"/>
  <c r="L110" i="55"/>
  <c r="N110" i="55"/>
  <c r="F113" i="55"/>
  <c r="P115" i="55"/>
  <c r="K116" i="55"/>
  <c r="E117" i="55"/>
  <c r="L117" i="55"/>
  <c r="I119" i="55"/>
  <c r="N119" i="55"/>
  <c r="I120" i="55"/>
  <c r="J121" i="55"/>
  <c r="W122" i="55"/>
  <c r="G123" i="55"/>
  <c r="P126" i="55"/>
  <c r="L126" i="55"/>
  <c r="N126" i="55"/>
  <c r="L127" i="55"/>
  <c r="L128" i="55"/>
  <c r="H128" i="55"/>
  <c r="L115" i="55"/>
  <c r="H117" i="55"/>
  <c r="F118" i="55"/>
  <c r="F119" i="55"/>
  <c r="K72" i="55"/>
  <c r="E96" i="55"/>
  <c r="K107" i="55"/>
  <c r="W107" i="55"/>
  <c r="I112" i="55"/>
  <c r="N113" i="55"/>
  <c r="H118" i="55"/>
  <c r="N118" i="55"/>
  <c r="E121" i="55"/>
  <c r="E125" i="55"/>
  <c r="J126" i="55"/>
  <c r="F126" i="55"/>
  <c r="H127" i="55"/>
  <c r="F128" i="55"/>
  <c r="F127" i="55"/>
  <c r="K128" i="55"/>
  <c r="P124" i="55"/>
  <c r="J125" i="55"/>
  <c r="W71" i="55"/>
  <c r="I107" i="55"/>
  <c r="K109" i="55"/>
  <c r="E110" i="55"/>
  <c r="P110" i="55"/>
  <c r="P112" i="55"/>
  <c r="P113" i="55"/>
  <c r="J114" i="55"/>
  <c r="I115" i="55"/>
  <c r="E115" i="55"/>
  <c r="J117" i="55"/>
  <c r="G118" i="55"/>
  <c r="P119" i="55"/>
  <c r="K121" i="55"/>
  <c r="H121" i="55"/>
  <c r="E122" i="55"/>
  <c r="E123" i="55"/>
  <c r="J123" i="55"/>
  <c r="J124" i="55"/>
  <c r="M125" i="55"/>
  <c r="I126" i="55"/>
  <c r="G127" i="55"/>
  <c r="N121" i="55"/>
  <c r="K125" i="55"/>
  <c r="F125" i="55"/>
  <c r="W126" i="55"/>
  <c r="W127" i="55"/>
  <c r="J127" i="55"/>
  <c r="F87" i="55"/>
  <c r="G96" i="55"/>
  <c r="H100" i="55"/>
  <c r="H101" i="55"/>
  <c r="F103" i="55"/>
  <c r="H104" i="55"/>
  <c r="F107" i="55"/>
  <c r="F108" i="55"/>
  <c r="L109" i="55"/>
  <c r="F111" i="55"/>
  <c r="N111" i="55"/>
  <c r="F112" i="55"/>
  <c r="E113" i="55"/>
  <c r="P114" i="55"/>
  <c r="G117" i="55"/>
  <c r="P118" i="55"/>
  <c r="L118" i="55"/>
  <c r="E119" i="55"/>
  <c r="G120" i="55"/>
  <c r="K126" i="55"/>
  <c r="E128" i="55"/>
  <c r="G128" i="55"/>
  <c r="P88" i="55"/>
  <c r="K92" i="55"/>
  <c r="E97" i="55"/>
  <c r="G101" i="55"/>
  <c r="P102" i="55"/>
  <c r="E108" i="55"/>
  <c r="W109" i="55"/>
  <c r="J113" i="55"/>
  <c r="F114" i="55"/>
  <c r="I114" i="55"/>
  <c r="N114" i="55"/>
  <c r="F115" i="55"/>
  <c r="G116" i="55"/>
  <c r="M117" i="55"/>
  <c r="G119" i="55"/>
  <c r="W119" i="55"/>
  <c r="L120" i="55"/>
  <c r="E120" i="55"/>
  <c r="P122" i="55"/>
  <c r="N124" i="55"/>
  <c r="E127" i="55"/>
  <c r="P97" i="55"/>
  <c r="N106" i="55"/>
  <c r="J108" i="55"/>
  <c r="P109" i="55"/>
  <c r="I110" i="55"/>
  <c r="G110" i="55"/>
  <c r="L111" i="55"/>
  <c r="L112" i="55"/>
  <c r="H115" i="55"/>
  <c r="F116" i="55"/>
  <c r="I116" i="55"/>
  <c r="I117" i="55"/>
  <c r="K118" i="55"/>
  <c r="L119" i="55"/>
  <c r="F120" i="55"/>
  <c r="P120" i="55"/>
  <c r="F122" i="55"/>
  <c r="I124" i="55"/>
  <c r="F124" i="55"/>
  <c r="H125" i="55"/>
  <c r="L125" i="55"/>
  <c r="H126" i="55"/>
  <c r="G126" i="55"/>
  <c r="K127" i="55"/>
  <c r="I127" i="55"/>
  <c r="N127" i="55"/>
  <c r="I128" i="55"/>
  <c r="G84" i="55"/>
  <c r="I88" i="55"/>
  <c r="G90" i="55"/>
  <c r="L96" i="55"/>
  <c r="W103" i="55"/>
  <c r="N105" i="55"/>
  <c r="G109" i="55"/>
  <c r="W118" i="55"/>
  <c r="W128" i="55"/>
  <c r="D35" i="58"/>
  <c r="C50" i="58"/>
  <c r="R6" i="53"/>
  <c r="Y6" i="53" s="1"/>
  <c r="F36" i="58"/>
  <c r="C28" i="56" s="1"/>
  <c r="Y130" i="55"/>
  <c r="Y131" i="55" s="1"/>
  <c r="S130" i="55"/>
  <c r="S131" i="55" s="1"/>
  <c r="AM8" i="55"/>
  <c r="AK8" i="55"/>
  <c r="A9" i="55"/>
  <c r="O7" i="53"/>
  <c r="AX7" i="53" s="1"/>
  <c r="D8" i="53"/>
  <c r="Y8" i="65"/>
  <c r="Z8" i="65" s="1"/>
  <c r="AA8" i="65" s="1"/>
  <c r="D8" i="51"/>
  <c r="AX6" i="53"/>
  <c r="CD10" i="69" l="1"/>
  <c r="AA10" i="69"/>
  <c r="BS10" i="69"/>
  <c r="F25" i="41"/>
  <c r="E49" i="55"/>
  <c r="E221" i="39"/>
  <c r="E222" i="39"/>
  <c r="G49" i="55"/>
  <c r="P11" i="69"/>
  <c r="BH10" i="69"/>
  <c r="AL10" i="69"/>
  <c r="I10" i="69"/>
  <c r="AW10" i="69"/>
  <c r="Y13" i="39"/>
  <c r="Z12" i="39"/>
  <c r="X18" i="39"/>
  <c r="X16" i="39"/>
  <c r="X15" i="39"/>
  <c r="X14" i="39"/>
  <c r="G70" i="39"/>
  <c r="F78" i="39"/>
  <c r="I70" i="39"/>
  <c r="D13" i="56"/>
  <c r="D16" i="56"/>
  <c r="D17" i="56" s="1"/>
  <c r="G71" i="39"/>
  <c r="I71" i="39"/>
  <c r="G73" i="39"/>
  <c r="I73" i="39"/>
  <c r="U8" i="55"/>
  <c r="U130" i="55" s="1"/>
  <c r="U131" i="55" s="1"/>
  <c r="F49" i="41"/>
  <c r="F45" i="41"/>
  <c r="F29" i="39"/>
  <c r="H29" i="39" s="1"/>
  <c r="H20" i="39"/>
  <c r="I20" i="39"/>
  <c r="H64" i="41"/>
  <c r="H63" i="41"/>
  <c r="G20" i="39"/>
  <c r="H60" i="39"/>
  <c r="I60" i="39"/>
  <c r="F61" i="39"/>
  <c r="H340" i="39"/>
  <c r="I340" i="39"/>
  <c r="L340" i="59"/>
  <c r="AO85" i="69"/>
  <c r="AT85" i="69" s="1"/>
  <c r="AZ7" i="69"/>
  <c r="F52" i="58"/>
  <c r="G30" i="41"/>
  <c r="G27" i="41"/>
  <c r="G31" i="41"/>
  <c r="G29" i="41"/>
  <c r="G28" i="41"/>
  <c r="G34" i="41"/>
  <c r="G32" i="41"/>
  <c r="G33" i="41"/>
  <c r="B27" i="70"/>
  <c r="K101" i="41"/>
  <c r="B19" i="70"/>
  <c r="K94" i="41" s="1"/>
  <c r="K95" i="41"/>
  <c r="B7" i="70"/>
  <c r="K86" i="41"/>
  <c r="B15" i="70"/>
  <c r="K92" i="41"/>
  <c r="F61" i="69"/>
  <c r="D61" i="69"/>
  <c r="O145" i="39"/>
  <c r="F140" i="39" s="1"/>
  <c r="E225" i="39"/>
  <c r="F225" i="39" s="1"/>
  <c r="E229" i="39"/>
  <c r="F229" i="39" s="1"/>
  <c r="E227" i="39"/>
  <c r="F227" i="39" s="1"/>
  <c r="E226" i="39"/>
  <c r="F226" i="39" s="1"/>
  <c r="F221" i="39"/>
  <c r="E220" i="39"/>
  <c r="F220" i="39" s="1"/>
  <c r="F223" i="39"/>
  <c r="E228" i="39"/>
  <c r="F228" i="39" s="1"/>
  <c r="F224" i="39"/>
  <c r="F222" i="39"/>
  <c r="F45" i="55"/>
  <c r="M109" i="55"/>
  <c r="M59" i="55"/>
  <c r="G61" i="69"/>
  <c r="BA7" i="69"/>
  <c r="AP85" i="69"/>
  <c r="AU85" i="69" s="1"/>
  <c r="AN85" i="69"/>
  <c r="AS85" i="69" s="1"/>
  <c r="AY7" i="69"/>
  <c r="G65" i="58"/>
  <c r="F50" i="58"/>
  <c r="F53" i="58"/>
  <c r="F51" i="58"/>
  <c r="I18" i="58"/>
  <c r="G8" i="41"/>
  <c r="H10" i="48"/>
  <c r="K18" i="58"/>
  <c r="F54" i="58"/>
  <c r="E65" i="41"/>
  <c r="E62" i="41"/>
  <c r="E50" i="41"/>
  <c r="E73" i="41"/>
  <c r="E68" i="41"/>
  <c r="G9" i="41"/>
  <c r="E42" i="41"/>
  <c r="E58" i="41"/>
  <c r="E59" i="41"/>
  <c r="E45" i="41"/>
  <c r="E46" i="41"/>
  <c r="G15" i="41"/>
  <c r="N7" i="41" s="1"/>
  <c r="E49" i="41"/>
  <c r="M127" i="55"/>
  <c r="M103" i="55"/>
  <c r="M41" i="55"/>
  <c r="M45" i="55"/>
  <c r="M123" i="55"/>
  <c r="M98" i="55"/>
  <c r="M44" i="55"/>
  <c r="M40" i="55"/>
  <c r="M55" i="55"/>
  <c r="M90" i="55"/>
  <c r="M104" i="55"/>
  <c r="M46" i="55"/>
  <c r="H19" i="55"/>
  <c r="M120" i="55"/>
  <c r="M112" i="55"/>
  <c r="M115" i="55"/>
  <c r="M105" i="55"/>
  <c r="M43" i="55"/>
  <c r="M77" i="55"/>
  <c r="M113" i="55"/>
  <c r="M128" i="55"/>
  <c r="M66" i="55"/>
  <c r="H17" i="55"/>
  <c r="G171" i="39"/>
  <c r="X129" i="51"/>
  <c r="X6" i="51" s="1"/>
  <c r="I171" i="39"/>
  <c r="H171" i="39"/>
  <c r="D64" i="41"/>
  <c r="I23" i="55"/>
  <c r="I9" i="55"/>
  <c r="I21" i="55"/>
  <c r="I27" i="55"/>
  <c r="I33" i="55"/>
  <c r="I24" i="55"/>
  <c r="I28" i="55"/>
  <c r="I38" i="55"/>
  <c r="I12" i="55"/>
  <c r="I41" i="55"/>
  <c r="I36" i="55"/>
  <c r="I19" i="55"/>
  <c r="I42" i="55"/>
  <c r="I44" i="55"/>
  <c r="I16" i="55"/>
  <c r="I34" i="55"/>
  <c r="I13" i="55"/>
  <c r="I37" i="55"/>
  <c r="I35" i="55"/>
  <c r="I20" i="55"/>
  <c r="I18" i="55"/>
  <c r="I30" i="55"/>
  <c r="I29" i="55"/>
  <c r="I43" i="55"/>
  <c r="I11" i="55"/>
  <c r="I17" i="55"/>
  <c r="I22" i="55"/>
  <c r="I25" i="55"/>
  <c r="I26" i="55"/>
  <c r="I31" i="55"/>
  <c r="I15" i="55"/>
  <c r="I14" i="55"/>
  <c r="I10" i="55"/>
  <c r="I45" i="55" s="1"/>
  <c r="I32" i="55"/>
  <c r="I40" i="55"/>
  <c r="F35" i="58"/>
  <c r="M83" i="55"/>
  <c r="M93" i="55"/>
  <c r="M79" i="55"/>
  <c r="M92" i="55"/>
  <c r="J38" i="55"/>
  <c r="M87" i="55"/>
  <c r="J32" i="55"/>
  <c r="H34" i="55"/>
  <c r="H28" i="55"/>
  <c r="M56" i="55"/>
  <c r="J43" i="55"/>
  <c r="H29" i="55"/>
  <c r="H21" i="55"/>
  <c r="H30" i="55"/>
  <c r="J31" i="55"/>
  <c r="H20" i="55"/>
  <c r="E130" i="55"/>
  <c r="E131" i="55" s="1"/>
  <c r="H22" i="55"/>
  <c r="H12" i="55"/>
  <c r="H45" i="55" s="1"/>
  <c r="N130" i="55"/>
  <c r="N131" i="55" s="1"/>
  <c r="C51" i="58"/>
  <c r="M116" i="55"/>
  <c r="M111" i="55"/>
  <c r="M65" i="55"/>
  <c r="M119" i="55"/>
  <c r="M97" i="55"/>
  <c r="M75" i="55"/>
  <c r="M100" i="55"/>
  <c r="M82" i="55"/>
  <c r="M78" i="55"/>
  <c r="M96" i="55"/>
  <c r="M91" i="55"/>
  <c r="M89" i="55"/>
  <c r="M74" i="55"/>
  <c r="H40" i="55"/>
  <c r="M72" i="55"/>
  <c r="M54" i="55"/>
  <c r="M51" i="55"/>
  <c r="H38" i="55"/>
  <c r="M60" i="55"/>
  <c r="J9" i="55"/>
  <c r="J25" i="55"/>
  <c r="J21" i="55"/>
  <c r="H13" i="55"/>
  <c r="J24" i="55"/>
  <c r="L130" i="55"/>
  <c r="L131" i="55" s="1"/>
  <c r="J20" i="55"/>
  <c r="K130" i="55"/>
  <c r="K131" i="55" s="1"/>
  <c r="M67" i="55"/>
  <c r="W130" i="55"/>
  <c r="W131" i="55" s="1"/>
  <c r="J33" i="55"/>
  <c r="J30" i="55"/>
  <c r="J40" i="55"/>
  <c r="J29" i="55"/>
  <c r="G130" i="55"/>
  <c r="G131" i="55" s="1"/>
  <c r="H18" i="55"/>
  <c r="H14" i="55"/>
  <c r="H39" i="55" s="1"/>
  <c r="M84" i="55"/>
  <c r="M107" i="55"/>
  <c r="M71" i="55"/>
  <c r="M88" i="55"/>
  <c r="M53" i="55"/>
  <c r="M85" i="55"/>
  <c r="M61" i="55"/>
  <c r="H36" i="55"/>
  <c r="H42" i="55"/>
  <c r="M70" i="55"/>
  <c r="H41" i="55"/>
  <c r="J15" i="55"/>
  <c r="H33" i="55"/>
  <c r="J22" i="55"/>
  <c r="H24" i="55"/>
  <c r="J18" i="55"/>
  <c r="J14" i="55"/>
  <c r="M118" i="55"/>
  <c r="M108" i="55"/>
  <c r="M102" i="55"/>
  <c r="M94" i="55"/>
  <c r="M86" i="55"/>
  <c r="M124" i="55"/>
  <c r="M73" i="55"/>
  <c r="M49" i="55"/>
  <c r="J44" i="55"/>
  <c r="H35" i="55"/>
  <c r="H43" i="55"/>
  <c r="M57" i="55"/>
  <c r="J42" i="55"/>
  <c r="M58" i="55"/>
  <c r="J19" i="55"/>
  <c r="H32" i="55"/>
  <c r="H15" i="55"/>
  <c r="H9" i="55"/>
  <c r="J10" i="55"/>
  <c r="H27" i="55"/>
  <c r="J11" i="55"/>
  <c r="J12" i="55"/>
  <c r="J17" i="55"/>
  <c r="J13" i="55"/>
  <c r="AK6" i="51"/>
  <c r="P130" i="55"/>
  <c r="P131" i="55" s="1"/>
  <c r="AJ6" i="51"/>
  <c r="M99" i="55"/>
  <c r="H37" i="55"/>
  <c r="M95" i="55"/>
  <c r="J35" i="55"/>
  <c r="M68" i="55"/>
  <c r="M62" i="55"/>
  <c r="M48" i="55"/>
  <c r="M47" i="55"/>
  <c r="M52" i="55"/>
  <c r="J41" i="55"/>
  <c r="M63" i="55"/>
  <c r="J36" i="55"/>
  <c r="J26" i="55"/>
  <c r="H11" i="55"/>
  <c r="H10" i="55"/>
  <c r="H25" i="55"/>
  <c r="Q16" i="55"/>
  <c r="V17" i="55"/>
  <c r="V20" i="55"/>
  <c r="D28" i="56"/>
  <c r="D22" i="58"/>
  <c r="V13" i="55"/>
  <c r="Q17" i="55"/>
  <c r="Q20" i="55"/>
  <c r="AG23" i="55"/>
  <c r="AG24" i="55"/>
  <c r="V28" i="55"/>
  <c r="Q29" i="55"/>
  <c r="AG10" i="55"/>
  <c r="V12" i="55"/>
  <c r="AG12" i="55"/>
  <c r="Q13" i="55"/>
  <c r="AG19" i="55"/>
  <c r="V21" i="55"/>
  <c r="V22" i="55"/>
  <c r="V27" i="55"/>
  <c r="Q28" i="55"/>
  <c r="AG9" i="55"/>
  <c r="AG11" i="55"/>
  <c r="Q12" i="55"/>
  <c r="V14" i="55"/>
  <c r="AG14" i="55"/>
  <c r="AG15" i="55"/>
  <c r="Q21" i="55"/>
  <c r="Q22" i="55"/>
  <c r="AG25" i="55"/>
  <c r="V26" i="55"/>
  <c r="AG26" i="55"/>
  <c r="Q27" i="55"/>
  <c r="V32" i="55"/>
  <c r="Q33" i="55"/>
  <c r="V34" i="55"/>
  <c r="V40" i="55"/>
  <c r="V9" i="55"/>
  <c r="Q14" i="55"/>
  <c r="V18" i="55"/>
  <c r="AG18" i="55"/>
  <c r="V23" i="55"/>
  <c r="V24" i="55"/>
  <c r="Q26" i="55"/>
  <c r="AG31" i="55"/>
  <c r="Q32" i="55"/>
  <c r="Q34" i="55"/>
  <c r="Q10" i="55"/>
  <c r="V10" i="55"/>
  <c r="AG17" i="55"/>
  <c r="Q18" i="55"/>
  <c r="V19" i="55"/>
  <c r="AG20" i="55"/>
  <c r="Q23" i="55"/>
  <c r="Q24" i="55"/>
  <c r="Q35" i="55"/>
  <c r="F160" i="39"/>
  <c r="Q9" i="55"/>
  <c r="V11" i="55"/>
  <c r="AG13" i="55"/>
  <c r="V15" i="55"/>
  <c r="Q19" i="55"/>
  <c r="V25" i="55"/>
  <c r="AG29" i="55"/>
  <c r="AG30" i="55"/>
  <c r="V31" i="55"/>
  <c r="V37" i="55"/>
  <c r="V8" i="55"/>
  <c r="Q11" i="55"/>
  <c r="Q15" i="55"/>
  <c r="V16" i="55"/>
  <c r="AG16" i="55"/>
  <c r="AG21" i="55"/>
  <c r="AG22" i="55"/>
  <c r="Q25" i="55"/>
  <c r="AG28" i="55"/>
  <c r="V30" i="55"/>
  <c r="Q31" i="55"/>
  <c r="V35" i="55"/>
  <c r="V36" i="55"/>
  <c r="Q37" i="55"/>
  <c r="V38" i="55"/>
  <c r="AG35" i="55"/>
  <c r="AG38" i="55"/>
  <c r="Q45" i="55"/>
  <c r="Q46" i="55"/>
  <c r="Q49" i="55"/>
  <c r="Q50" i="55"/>
  <c r="AG51" i="55"/>
  <c r="Q51" i="55"/>
  <c r="AG52" i="55"/>
  <c r="AG55" i="55"/>
  <c r="V55" i="55"/>
  <c r="Q60" i="55"/>
  <c r="AG61" i="55"/>
  <c r="Q63" i="55"/>
  <c r="V64" i="55"/>
  <c r="Q66" i="55"/>
  <c r="AG34" i="55"/>
  <c r="Q36" i="55"/>
  <c r="V39" i="55"/>
  <c r="Q40" i="55"/>
  <c r="AG44" i="55"/>
  <c r="AG49" i="55"/>
  <c r="V51" i="55"/>
  <c r="V52" i="55"/>
  <c r="AG56" i="55"/>
  <c r="Q39" i="55"/>
  <c r="AG43" i="55"/>
  <c r="V45" i="55"/>
  <c r="V46" i="55"/>
  <c r="Q47" i="55"/>
  <c r="AG50" i="55"/>
  <c r="Q55" i="55"/>
  <c r="V56" i="55"/>
  <c r="Q57" i="55"/>
  <c r="V58" i="55"/>
  <c r="V59" i="55"/>
  <c r="V61" i="55"/>
  <c r="V63" i="55"/>
  <c r="Q30" i="55"/>
  <c r="AG32" i="55"/>
  <c r="AG33" i="55"/>
  <c r="V44" i="55"/>
  <c r="AG46" i="55"/>
  <c r="AG48" i="55"/>
  <c r="V49" i="55"/>
  <c r="Q53" i="55"/>
  <c r="AG54" i="55"/>
  <c r="V57" i="55"/>
  <c r="AG58" i="55"/>
  <c r="AG60" i="55"/>
  <c r="V62" i="55"/>
  <c r="AG62" i="55"/>
  <c r="Q64" i="55"/>
  <c r="Q71" i="55"/>
  <c r="AG27" i="55"/>
  <c r="Q38" i="55"/>
  <c r="AG39" i="55"/>
  <c r="AG40" i="55"/>
  <c r="AG41" i="55"/>
  <c r="AG42" i="55"/>
  <c r="V43" i="55"/>
  <c r="Q44" i="55"/>
  <c r="V48" i="55"/>
  <c r="V50" i="55"/>
  <c r="Q52" i="55"/>
  <c r="V54" i="55"/>
  <c r="AG57" i="55"/>
  <c r="AG59" i="55"/>
  <c r="V60" i="55"/>
  <c r="Q62" i="55"/>
  <c r="AG63" i="55"/>
  <c r="AG64" i="55"/>
  <c r="V29" i="55"/>
  <c r="V33" i="55"/>
  <c r="AG36" i="55"/>
  <c r="Q43" i="55"/>
  <c r="Q56" i="55"/>
  <c r="V41" i="55"/>
  <c r="Q42" i="55"/>
  <c r="AG45" i="55"/>
  <c r="Q48" i="55"/>
  <c r="V53" i="55"/>
  <c r="Q61" i="55"/>
  <c r="AG66" i="55"/>
  <c r="V67" i="55"/>
  <c r="AG70" i="55"/>
  <c r="AG71" i="55"/>
  <c r="V47" i="55"/>
  <c r="Q54" i="55"/>
  <c r="V74" i="55"/>
  <c r="V76" i="55"/>
  <c r="AG79" i="55"/>
  <c r="AG83" i="55"/>
  <c r="Q85" i="55"/>
  <c r="AG85" i="55"/>
  <c r="AG65" i="55"/>
  <c r="V66" i="55"/>
  <c r="AG67" i="55"/>
  <c r="AG76" i="55"/>
  <c r="Q77" i="55"/>
  <c r="Q79" i="55"/>
  <c r="V81" i="55"/>
  <c r="AG37" i="55"/>
  <c r="V42" i="55"/>
  <c r="V69" i="55"/>
  <c r="Q72" i="55"/>
  <c r="Q76" i="55"/>
  <c r="Q78" i="55"/>
  <c r="V79" i="55"/>
  <c r="AG80" i="55"/>
  <c r="Q81" i="55"/>
  <c r="Q83" i="55"/>
  <c r="V83" i="55"/>
  <c r="AG84" i="55"/>
  <c r="Q87" i="55"/>
  <c r="AG87" i="55"/>
  <c r="V89" i="55"/>
  <c r="V90" i="55"/>
  <c r="Q67" i="55"/>
  <c r="V71" i="55"/>
  <c r="V72" i="55"/>
  <c r="AG74" i="55"/>
  <c r="Q75" i="55"/>
  <c r="AG77" i="55"/>
  <c r="AG78" i="55"/>
  <c r="AG82" i="55"/>
  <c r="Q82" i="55"/>
  <c r="Q86" i="55"/>
  <c r="AG86" i="55"/>
  <c r="V88" i="55"/>
  <c r="V68" i="55"/>
  <c r="Q73" i="55"/>
  <c r="AG75" i="55"/>
  <c r="V75" i="55"/>
  <c r="V80" i="55"/>
  <c r="Q65" i="55"/>
  <c r="AG81" i="55"/>
  <c r="V82" i="55"/>
  <c r="AG88" i="55"/>
  <c r="V93" i="55"/>
  <c r="Q41" i="55"/>
  <c r="AG47" i="55"/>
  <c r="V65" i="55"/>
  <c r="Q68" i="55"/>
  <c r="AG68" i="55"/>
  <c r="AG69" i="55"/>
  <c r="AG73" i="55"/>
  <c r="Q74" i="55"/>
  <c r="V77" i="55"/>
  <c r="Q80" i="55"/>
  <c r="V85" i="55"/>
  <c r="AG90" i="55"/>
  <c r="Q90" i="55"/>
  <c r="Q92" i="55"/>
  <c r="AG93" i="55"/>
  <c r="AG95" i="55"/>
  <c r="V96" i="55"/>
  <c r="AG98" i="55"/>
  <c r="AG100" i="55"/>
  <c r="V78" i="55"/>
  <c r="Q91" i="55"/>
  <c r="V91" i="55"/>
  <c r="Q93" i="55"/>
  <c r="Q105" i="55"/>
  <c r="V70" i="55"/>
  <c r="Q84" i="55"/>
  <c r="Q88" i="55"/>
  <c r="V92" i="55"/>
  <c r="AG94" i="55"/>
  <c r="AG97" i="55"/>
  <c r="AG99" i="55"/>
  <c r="AG102" i="55"/>
  <c r="Q103" i="55"/>
  <c r="V104" i="55"/>
  <c r="AG106" i="55"/>
  <c r="AG109" i="55"/>
  <c r="AG112" i="55"/>
  <c r="Q113" i="55"/>
  <c r="V114" i="55"/>
  <c r="AG115" i="55"/>
  <c r="V117" i="55"/>
  <c r="AG119" i="55"/>
  <c r="V120" i="55"/>
  <c r="AG72" i="55"/>
  <c r="Q96" i="55"/>
  <c r="V99" i="55"/>
  <c r="V105" i="55"/>
  <c r="Q108" i="55"/>
  <c r="AG113" i="55"/>
  <c r="AG117" i="55"/>
  <c r="Q118" i="55"/>
  <c r="Q59" i="55"/>
  <c r="AG89" i="55"/>
  <c r="V101" i="55"/>
  <c r="AG103" i="55"/>
  <c r="AG104" i="55"/>
  <c r="Q106" i="55"/>
  <c r="V107" i="55"/>
  <c r="V109" i="55"/>
  <c r="Q110" i="55"/>
  <c r="AG110" i="55"/>
  <c r="Q112" i="55"/>
  <c r="Q114" i="55"/>
  <c r="V115" i="55"/>
  <c r="Q115" i="55"/>
  <c r="Q117" i="55"/>
  <c r="AG120" i="55"/>
  <c r="AG122" i="55"/>
  <c r="AG123" i="55"/>
  <c r="V125" i="55"/>
  <c r="V97" i="55"/>
  <c r="Q99" i="55"/>
  <c r="V103" i="55"/>
  <c r="Q58" i="55"/>
  <c r="Q70" i="55"/>
  <c r="V73" i="55"/>
  <c r="V87" i="55"/>
  <c r="Q89" i="55"/>
  <c r="AG92" i="55"/>
  <c r="V95" i="55"/>
  <c r="AG96" i="55"/>
  <c r="V98" i="55"/>
  <c r="Q100" i="55"/>
  <c r="Q101" i="55"/>
  <c r="AG105" i="55"/>
  <c r="AG91" i="55"/>
  <c r="V94" i="55"/>
  <c r="Q97" i="55"/>
  <c r="V102" i="55"/>
  <c r="Q104" i="55"/>
  <c r="Q109" i="55"/>
  <c r="V110" i="55"/>
  <c r="V111" i="55"/>
  <c r="V113" i="55"/>
  <c r="Q116" i="55"/>
  <c r="Q122" i="55"/>
  <c r="V86" i="55"/>
  <c r="Q95" i="55"/>
  <c r="AG101" i="55"/>
  <c r="V108" i="55"/>
  <c r="AG114" i="55"/>
  <c r="Q119" i="55"/>
  <c r="V122" i="55"/>
  <c r="Q126" i="55"/>
  <c r="V127" i="55"/>
  <c r="V84" i="55"/>
  <c r="V118" i="55"/>
  <c r="V123" i="55"/>
  <c r="AG125" i="55"/>
  <c r="AG127" i="55"/>
  <c r="AG128" i="55"/>
  <c r="AG107" i="55"/>
  <c r="V106" i="55"/>
  <c r="AG111" i="55"/>
  <c r="V112" i="55"/>
  <c r="AG116" i="55"/>
  <c r="Q121" i="55"/>
  <c r="AG124" i="55"/>
  <c r="Q125" i="55"/>
  <c r="V128" i="55"/>
  <c r="Q94" i="55"/>
  <c r="Q98" i="55"/>
  <c r="V100" i="55"/>
  <c r="Q111" i="55"/>
  <c r="AG126" i="55"/>
  <c r="Q127" i="55"/>
  <c r="Q128" i="55"/>
  <c r="AG121" i="55"/>
  <c r="Q123" i="55"/>
  <c r="Q124" i="55"/>
  <c r="AG53" i="55"/>
  <c r="Q102" i="55"/>
  <c r="AG108" i="55"/>
  <c r="V116" i="55"/>
  <c r="V119" i="55"/>
  <c r="Q120" i="55"/>
  <c r="AG118" i="55"/>
  <c r="V126" i="55"/>
  <c r="Q69" i="55"/>
  <c r="Q107" i="55"/>
  <c r="V121" i="55"/>
  <c r="V124" i="55"/>
  <c r="M126" i="55"/>
  <c r="M121" i="55"/>
  <c r="M101" i="55"/>
  <c r="M114" i="55"/>
  <c r="M106" i="55"/>
  <c r="M122" i="55"/>
  <c r="M110" i="55"/>
  <c r="M80" i="55"/>
  <c r="J34" i="55"/>
  <c r="M81" i="55"/>
  <c r="M76" i="55"/>
  <c r="J37" i="55"/>
  <c r="M69" i="55"/>
  <c r="M64" i="55"/>
  <c r="M50" i="55"/>
  <c r="H23" i="55"/>
  <c r="H31" i="55"/>
  <c r="J27" i="55"/>
  <c r="H26" i="55"/>
  <c r="J16" i="55"/>
  <c r="J23" i="55"/>
  <c r="AE8" i="55"/>
  <c r="AL8" i="55"/>
  <c r="AZ6" i="53"/>
  <c r="AK9" i="55"/>
  <c r="AM9" i="55"/>
  <c r="A10" i="55"/>
  <c r="D9" i="51"/>
  <c r="Y9" i="65"/>
  <c r="Z9" i="65" s="1"/>
  <c r="AA9" i="65" s="1"/>
  <c r="O8" i="53"/>
  <c r="D9" i="53"/>
  <c r="CD11" i="69" l="1"/>
  <c r="AL11" i="69"/>
  <c r="AA11" i="69"/>
  <c r="BS11" i="69"/>
  <c r="AW11" i="69"/>
  <c r="I11" i="69"/>
  <c r="P12" i="69"/>
  <c r="BH11" i="69"/>
  <c r="F327" i="39"/>
  <c r="J327" i="39" s="1"/>
  <c r="J245" i="39"/>
  <c r="AA12" i="39"/>
  <c r="Z13" i="39"/>
  <c r="Y18" i="39"/>
  <c r="Y16" i="39"/>
  <c r="Y15" i="39"/>
  <c r="Y14" i="39"/>
  <c r="D57" i="41"/>
  <c r="G57" i="41" s="1"/>
  <c r="Q129" i="51"/>
  <c r="Q6" i="51" s="1"/>
  <c r="I78" i="39"/>
  <c r="G78" i="39"/>
  <c r="H78" i="39"/>
  <c r="F247" i="39"/>
  <c r="F250" i="39"/>
  <c r="F251" i="39"/>
  <c r="F248" i="39"/>
  <c r="F246" i="39"/>
  <c r="J73" i="39"/>
  <c r="J70" i="39"/>
  <c r="J71" i="39"/>
  <c r="D51" i="41"/>
  <c r="E51" i="41" s="1"/>
  <c r="G29" i="39"/>
  <c r="F63" i="39"/>
  <c r="H63" i="39" s="1"/>
  <c r="I29" i="39"/>
  <c r="F121" i="39"/>
  <c r="H121" i="39" s="1"/>
  <c r="G61" i="39"/>
  <c r="D52" i="41"/>
  <c r="G52" i="41" s="1"/>
  <c r="H61" i="39"/>
  <c r="I61" i="39"/>
  <c r="F244" i="39"/>
  <c r="J124" i="39"/>
  <c r="J123" i="39"/>
  <c r="J131" i="39"/>
  <c r="J135" i="39"/>
  <c r="J129" i="39"/>
  <c r="J136" i="39"/>
  <c r="J132" i="39"/>
  <c r="J126" i="39"/>
  <c r="J133" i="39"/>
  <c r="J130" i="39"/>
  <c r="J127" i="39"/>
  <c r="J134" i="39"/>
  <c r="J125" i="39"/>
  <c r="J60" i="39"/>
  <c r="BK7" i="69"/>
  <c r="AZ85" i="69"/>
  <c r="BE85" i="69" s="1"/>
  <c r="J161" i="39"/>
  <c r="J240" i="39"/>
  <c r="J39" i="55"/>
  <c r="I39" i="55"/>
  <c r="F49" i="55"/>
  <c r="F130" i="55" s="1"/>
  <c r="F131" i="55" s="1"/>
  <c r="G37" i="41"/>
  <c r="G26" i="41"/>
  <c r="G50" i="41"/>
  <c r="G62" i="41"/>
  <c r="G58" i="41"/>
  <c r="F39" i="41"/>
  <c r="G25" i="41"/>
  <c r="G65" i="41"/>
  <c r="N67" i="41"/>
  <c r="G49" i="41"/>
  <c r="G45" i="41"/>
  <c r="E39" i="41"/>
  <c r="G73" i="41"/>
  <c r="G68" i="41"/>
  <c r="G39" i="41"/>
  <c r="D110" i="41"/>
  <c r="G42" i="41"/>
  <c r="G46" i="41"/>
  <c r="G59" i="41"/>
  <c r="F150" i="39"/>
  <c r="J150" i="39" s="1"/>
  <c r="G140" i="39"/>
  <c r="I140" i="39"/>
  <c r="H140" i="39"/>
  <c r="I222" i="39"/>
  <c r="G222" i="39"/>
  <c r="H222" i="39"/>
  <c r="I224" i="39"/>
  <c r="G224" i="39"/>
  <c r="H224" i="39"/>
  <c r="J45" i="55"/>
  <c r="I228" i="39"/>
  <c r="G228" i="39"/>
  <c r="H228" i="39"/>
  <c r="I223" i="39"/>
  <c r="G223" i="39"/>
  <c r="H223" i="39"/>
  <c r="I220" i="39"/>
  <c r="F237" i="39"/>
  <c r="J237" i="39" s="1"/>
  <c r="G220" i="39"/>
  <c r="H220" i="39"/>
  <c r="I221" i="39"/>
  <c r="G221" i="39"/>
  <c r="H221" i="39"/>
  <c r="I226" i="39"/>
  <c r="G226" i="39"/>
  <c r="H226" i="39"/>
  <c r="I227" i="39"/>
  <c r="G227" i="39"/>
  <c r="H227" i="39"/>
  <c r="I229" i="39"/>
  <c r="G229" i="39"/>
  <c r="H229" i="39"/>
  <c r="I225" i="39"/>
  <c r="G225" i="39"/>
  <c r="H225" i="39"/>
  <c r="BL7" i="69"/>
  <c r="BA85" i="69"/>
  <c r="BF85" i="69" s="1"/>
  <c r="AY85" i="69"/>
  <c r="BD85" i="69" s="1"/>
  <c r="BJ7" i="69"/>
  <c r="J305" i="39"/>
  <c r="J104" i="39"/>
  <c r="J224" i="39"/>
  <c r="J306" i="39"/>
  <c r="J50" i="39"/>
  <c r="J183" i="39"/>
  <c r="J146" i="39"/>
  <c r="J227" i="39"/>
  <c r="J177" i="39"/>
  <c r="G10" i="41"/>
  <c r="J169" i="39"/>
  <c r="J10" i="39"/>
  <c r="J78" i="39"/>
  <c r="J20" i="39"/>
  <c r="J157" i="39"/>
  <c r="J49" i="39"/>
  <c r="J268" i="39"/>
  <c r="J28" i="39"/>
  <c r="J107" i="39"/>
  <c r="J302" i="39"/>
  <c r="J252" i="39"/>
  <c r="J61" i="39"/>
  <c r="F312" i="39"/>
  <c r="G312" i="39" s="1"/>
  <c r="J162" i="39"/>
  <c r="D41" i="58"/>
  <c r="J9" i="39"/>
  <c r="J304" i="39"/>
  <c r="J19" i="39"/>
  <c r="J278" i="39"/>
  <c r="G32" i="58"/>
  <c r="I32" i="58" s="1"/>
  <c r="J58" i="39"/>
  <c r="J43" i="39"/>
  <c r="J55" i="39"/>
  <c r="J300" i="39"/>
  <c r="J94" i="39"/>
  <c r="J317" i="39"/>
  <c r="J128" i="39"/>
  <c r="F55" i="58"/>
  <c r="AT6" i="53" s="1"/>
  <c r="AV6" i="53" s="1"/>
  <c r="J29" i="39"/>
  <c r="J48" i="39"/>
  <c r="J208" i="39"/>
  <c r="J204" i="39"/>
  <c r="J314" i="39"/>
  <c r="N66" i="41"/>
  <c r="N72" i="41" s="1"/>
  <c r="F43" i="58"/>
  <c r="J148" i="39"/>
  <c r="F64" i="39"/>
  <c r="J220" i="39"/>
  <c r="J185" i="39"/>
  <c r="J178" i="39"/>
  <c r="J153" i="39"/>
  <c r="J56" i="39"/>
  <c r="J190" i="39"/>
  <c r="J213" i="39"/>
  <c r="J77" i="39"/>
  <c r="J212" i="39"/>
  <c r="J226" i="39"/>
  <c r="J234" i="39"/>
  <c r="F41" i="58"/>
  <c r="J207" i="39"/>
  <c r="J191" i="39"/>
  <c r="J114" i="39"/>
  <c r="J209" i="39"/>
  <c r="J253" i="39"/>
  <c r="J115" i="39"/>
  <c r="J256" i="39"/>
  <c r="J122" i="39"/>
  <c r="J221" i="39"/>
  <c r="J279" i="39"/>
  <c r="J167" i="39"/>
  <c r="J293" i="39"/>
  <c r="J260" i="39"/>
  <c r="J32" i="39"/>
  <c r="J180" i="39"/>
  <c r="J171" i="39"/>
  <c r="J283" i="39"/>
  <c r="J214" i="39"/>
  <c r="J89" i="39"/>
  <c r="F313" i="39"/>
  <c r="J313" i="39" s="1"/>
  <c r="J99" i="39"/>
  <c r="J262" i="39"/>
  <c r="J108" i="39"/>
  <c r="J232" i="39"/>
  <c r="J181" i="39"/>
  <c r="J255" i="39"/>
  <c r="J118" i="39"/>
  <c r="J53" i="39"/>
  <c r="J270" i="39"/>
  <c r="J52" i="39"/>
  <c r="J216" i="39"/>
  <c r="J170" i="39"/>
  <c r="J18" i="39"/>
  <c r="J93" i="39"/>
  <c r="J194" i="39"/>
  <c r="J264" i="39"/>
  <c r="J98" i="39"/>
  <c r="J75" i="39"/>
  <c r="G33" i="58"/>
  <c r="K33" i="58" s="1"/>
  <c r="J290" i="39"/>
  <c r="J76" i="39"/>
  <c r="J206" i="39"/>
  <c r="J249" i="39"/>
  <c r="J155" i="39"/>
  <c r="J280" i="39"/>
  <c r="J189" i="39"/>
  <c r="J156" i="39"/>
  <c r="J230" i="39"/>
  <c r="J36" i="39"/>
  <c r="F267" i="39"/>
  <c r="G267" i="39" s="1"/>
  <c r="J303" i="39"/>
  <c r="J74" i="39"/>
  <c r="J106" i="39"/>
  <c r="J24" i="39"/>
  <c r="J82" i="39"/>
  <c r="J257" i="39"/>
  <c r="J225" i="39"/>
  <c r="J168" i="39"/>
  <c r="J184" i="39"/>
  <c r="J311" i="39"/>
  <c r="J22" i="39"/>
  <c r="J288" i="39"/>
  <c r="J282" i="39"/>
  <c r="J289" i="39"/>
  <c r="J23" i="39"/>
  <c r="J72" i="39"/>
  <c r="J324" i="39"/>
  <c r="J215" i="39"/>
  <c r="J182" i="39"/>
  <c r="J211" i="39"/>
  <c r="D44" i="58"/>
  <c r="J301" i="39"/>
  <c r="J105" i="39"/>
  <c r="J275" i="39"/>
  <c r="J236" i="39"/>
  <c r="J35" i="39"/>
  <c r="J84" i="39"/>
  <c r="J316" i="39"/>
  <c r="J205" i="39"/>
  <c r="J174" i="39"/>
  <c r="J145" i="39"/>
  <c r="J292" i="39"/>
  <c r="J147" i="39"/>
  <c r="J83" i="39"/>
  <c r="J33" i="39"/>
  <c r="J113" i="39"/>
  <c r="J338" i="39"/>
  <c r="J265" i="39"/>
  <c r="J91" i="39"/>
  <c r="J188" i="39"/>
  <c r="J116" i="39"/>
  <c r="J263" i="39"/>
  <c r="I65" i="58"/>
  <c r="F129" i="51" s="1"/>
  <c r="J27" i="39"/>
  <c r="J310" i="39"/>
  <c r="J117" i="39"/>
  <c r="J337" i="39"/>
  <c r="J318" i="39"/>
  <c r="J103" i="39"/>
  <c r="J210" i="39"/>
  <c r="J8" i="39"/>
  <c r="J90" i="39"/>
  <c r="G35" i="58"/>
  <c r="K35" i="58" s="1"/>
  <c r="J109" i="39"/>
  <c r="J81" i="39"/>
  <c r="J14" i="39"/>
  <c r="J269" i="39"/>
  <c r="J85" i="39"/>
  <c r="J51" i="39"/>
  <c r="J217" i="39"/>
  <c r="J142" i="39"/>
  <c r="J294" i="39"/>
  <c r="J96" i="39"/>
  <c r="J38" i="39"/>
  <c r="J45" i="39"/>
  <c r="J144" i="39"/>
  <c r="J41" i="39"/>
  <c r="F42" i="58"/>
  <c r="J46" i="39"/>
  <c r="J193" i="39"/>
  <c r="J21" i="39"/>
  <c r="F6" i="51"/>
  <c r="J315" i="39"/>
  <c r="J101" i="39"/>
  <c r="J11" i="39"/>
  <c r="J284" i="39"/>
  <c r="J233" i="39"/>
  <c r="J47" i="39"/>
  <c r="J186" i="39"/>
  <c r="J13" i="39"/>
  <c r="J59" i="39"/>
  <c r="J37" i="39"/>
  <c r="J231" i="39"/>
  <c r="J175" i="39"/>
  <c r="J340" i="39"/>
  <c r="J1" i="39"/>
  <c r="J307" i="39"/>
  <c r="J6" i="39"/>
  <c r="J97" i="39"/>
  <c r="G34" i="58"/>
  <c r="K34" i="58" s="1"/>
  <c r="J229" i="39"/>
  <c r="F44" i="58"/>
  <c r="J285" i="39"/>
  <c r="J143" i="39"/>
  <c r="J287" i="39"/>
  <c r="J102" i="39"/>
  <c r="J176" i="39"/>
  <c r="J261" i="39"/>
  <c r="J12" i="39"/>
  <c r="J192" i="39"/>
  <c r="J187" i="39"/>
  <c r="J149" i="39"/>
  <c r="J228" i="39"/>
  <c r="J100" i="39"/>
  <c r="J277" i="39"/>
  <c r="F323" i="39"/>
  <c r="H323" i="39" s="1"/>
  <c r="G36" i="58"/>
  <c r="I36" i="58" s="1"/>
  <c r="J42" i="39"/>
  <c r="J112" i="39"/>
  <c r="J223" i="39"/>
  <c r="J179" i="39"/>
  <c r="J57" i="39"/>
  <c r="J111" i="39"/>
  <c r="J222" i="39"/>
  <c r="J166" i="39"/>
  <c r="D42" i="58"/>
  <c r="J154" i="39"/>
  <c r="J7" i="39"/>
  <c r="J25" i="39"/>
  <c r="J254" i="39"/>
  <c r="J259" i="39"/>
  <c r="J339" i="39"/>
  <c r="J26" i="39"/>
  <c r="J296" i="39"/>
  <c r="J319" i="39"/>
  <c r="J86" i="39"/>
  <c r="J295" i="39"/>
  <c r="J39" i="39"/>
  <c r="J266" i="39"/>
  <c r="J95" i="39"/>
  <c r="J17" i="39"/>
  <c r="J92" i="39"/>
  <c r="J34" i="39"/>
  <c r="J110" i="39"/>
  <c r="J276" i="39"/>
  <c r="J40" i="39"/>
  <c r="J281" i="39"/>
  <c r="D43" i="58"/>
  <c r="J258" i="39"/>
  <c r="J235" i="39"/>
  <c r="J271" i="39"/>
  <c r="J286" i="39"/>
  <c r="J141" i="39"/>
  <c r="J44" i="39"/>
  <c r="J54" i="39"/>
  <c r="J140" i="39"/>
  <c r="M130" i="55"/>
  <c r="M131" i="55" s="1"/>
  <c r="E64" i="41"/>
  <c r="G64" i="41"/>
  <c r="F64" i="41"/>
  <c r="T67" i="41"/>
  <c r="V67" i="41" s="1"/>
  <c r="J46" i="55"/>
  <c r="C52" i="58"/>
  <c r="D23" i="58"/>
  <c r="D24" i="58" s="1"/>
  <c r="AG130" i="55"/>
  <c r="AG131" i="55" s="1"/>
  <c r="H46" i="55"/>
  <c r="V6" i="51"/>
  <c r="V130" i="55"/>
  <c r="V131" i="55" s="1"/>
  <c r="C7" i="53"/>
  <c r="C7" i="51"/>
  <c r="N82" i="41"/>
  <c r="M82" i="41" s="1"/>
  <c r="Q130" i="55"/>
  <c r="Q131" i="55" s="1"/>
  <c r="I46" i="55"/>
  <c r="I49" i="55" s="1"/>
  <c r="G160" i="39"/>
  <c r="H160" i="39"/>
  <c r="J160" i="39"/>
  <c r="I160" i="39"/>
  <c r="F163" i="39"/>
  <c r="AY7" i="53"/>
  <c r="AE9" i="55"/>
  <c r="AL9" i="55"/>
  <c r="D10" i="53"/>
  <c r="O9" i="53"/>
  <c r="AX9" i="53" s="1"/>
  <c r="D10" i="51"/>
  <c r="Y10" i="65"/>
  <c r="Z10" i="65" s="1"/>
  <c r="AA10" i="65" s="1"/>
  <c r="AX8" i="53"/>
  <c r="AM10" i="55"/>
  <c r="A11" i="55"/>
  <c r="AK10" i="55"/>
  <c r="P13" i="69" l="1"/>
  <c r="AA12" i="69"/>
  <c r="BH12" i="69"/>
  <c r="CD12" i="69"/>
  <c r="AL12" i="69"/>
  <c r="I12" i="69"/>
  <c r="BS12" i="69"/>
  <c r="AW12" i="69"/>
  <c r="J49" i="55"/>
  <c r="Z18" i="39"/>
  <c r="Z16" i="39"/>
  <c r="Z15" i="39"/>
  <c r="Z14" i="39"/>
  <c r="AB12" i="39"/>
  <c r="AA13" i="39"/>
  <c r="T60" i="41"/>
  <c r="V60" i="41" s="1"/>
  <c r="F57" i="41"/>
  <c r="H62" i="41"/>
  <c r="E57" i="41"/>
  <c r="H246" i="39"/>
  <c r="G246" i="39"/>
  <c r="I246" i="39"/>
  <c r="H248" i="39"/>
  <c r="G248" i="39"/>
  <c r="I248" i="39"/>
  <c r="G251" i="39"/>
  <c r="H251" i="39"/>
  <c r="I251" i="39"/>
  <c r="G250" i="39"/>
  <c r="H250" i="39"/>
  <c r="I250" i="39"/>
  <c r="G247" i="39"/>
  <c r="H247" i="39"/>
  <c r="I247" i="39"/>
  <c r="I63" i="39"/>
  <c r="F137" i="39"/>
  <c r="F137" i="53" s="1"/>
  <c r="I121" i="39"/>
  <c r="J121" i="39"/>
  <c r="P129" i="51"/>
  <c r="P6" i="51" s="1"/>
  <c r="P7" i="51" s="1"/>
  <c r="J63" i="39"/>
  <c r="F66" i="39"/>
  <c r="I66" i="39" s="1"/>
  <c r="G121" i="39"/>
  <c r="F51" i="41"/>
  <c r="G51" i="41"/>
  <c r="G63" i="39"/>
  <c r="F52" i="41"/>
  <c r="E52" i="41"/>
  <c r="G244" i="39"/>
  <c r="H244" i="39"/>
  <c r="I244" i="39"/>
  <c r="BK85" i="69"/>
  <c r="BP85" i="69" s="1"/>
  <c r="BV7" i="69"/>
  <c r="I240" i="39"/>
  <c r="G240" i="39"/>
  <c r="H240" i="39"/>
  <c r="I130" i="55"/>
  <c r="I131" i="55" s="1"/>
  <c r="J130" i="55"/>
  <c r="J131" i="55" s="1"/>
  <c r="H49" i="55"/>
  <c r="H130" i="55" s="1"/>
  <c r="H131" i="55" s="1"/>
  <c r="I312" i="39"/>
  <c r="J312" i="39"/>
  <c r="H79" i="41" s="1"/>
  <c r="H312" i="39"/>
  <c r="I267" i="39"/>
  <c r="J44" i="58"/>
  <c r="J41" i="58"/>
  <c r="I150" i="39"/>
  <c r="D61" i="41"/>
  <c r="U129" i="51"/>
  <c r="U6" i="51" s="1"/>
  <c r="U7" i="51" s="1"/>
  <c r="G150" i="39"/>
  <c r="H150" i="39"/>
  <c r="N150" i="39" s="1"/>
  <c r="K32" i="58"/>
  <c r="AP137" i="53" s="1"/>
  <c r="G42" i="58"/>
  <c r="H32" i="58"/>
  <c r="H33" i="58"/>
  <c r="AJ7" i="51"/>
  <c r="O7" i="51"/>
  <c r="F238" i="39"/>
  <c r="G237" i="39"/>
  <c r="H237" i="39"/>
  <c r="I237" i="39"/>
  <c r="F239" i="39"/>
  <c r="BL85" i="69"/>
  <c r="BQ85" i="69" s="1"/>
  <c r="BW7" i="69"/>
  <c r="BJ85" i="69"/>
  <c r="BO85" i="69" s="1"/>
  <c r="BU7" i="69"/>
  <c r="J267" i="39"/>
  <c r="J45" i="58"/>
  <c r="J42" i="58"/>
  <c r="H36" i="58"/>
  <c r="I33" i="58"/>
  <c r="N68" i="41"/>
  <c r="H327" i="39"/>
  <c r="J43" i="58"/>
  <c r="G323" i="39"/>
  <c r="H267" i="39"/>
  <c r="AF129" i="51"/>
  <c r="F272" i="39"/>
  <c r="F291" i="39" s="1"/>
  <c r="AC129" i="51"/>
  <c r="D71" i="41"/>
  <c r="G71" i="41" s="1"/>
  <c r="G41" i="58"/>
  <c r="G313" i="39"/>
  <c r="G43" i="58"/>
  <c r="H64" i="39"/>
  <c r="N28" i="41"/>
  <c r="I64" i="39"/>
  <c r="D53" i="41"/>
  <c r="G53" i="41" s="1"/>
  <c r="J64" i="39"/>
  <c r="W137" i="53"/>
  <c r="G64" i="39"/>
  <c r="H35" i="58"/>
  <c r="J323" i="39"/>
  <c r="I35" i="58"/>
  <c r="D76" i="41"/>
  <c r="T79" i="41" s="1"/>
  <c r="V79" i="41" s="1"/>
  <c r="I327" i="39"/>
  <c r="G327" i="39"/>
  <c r="D45" i="58"/>
  <c r="D46" i="58" s="1"/>
  <c r="I313" i="39"/>
  <c r="G44" i="58"/>
  <c r="I34" i="58"/>
  <c r="H313" i="39"/>
  <c r="AG129" i="51"/>
  <c r="F320" i="39"/>
  <c r="J320" i="39" s="1"/>
  <c r="F45" i="58"/>
  <c r="F46" i="58" s="1"/>
  <c r="F325" i="39"/>
  <c r="I325" i="39" s="1"/>
  <c r="H34" i="58"/>
  <c r="G37" i="58"/>
  <c r="I37" i="58" s="1"/>
  <c r="I323" i="39"/>
  <c r="H6" i="51"/>
  <c r="H129" i="51"/>
  <c r="I129" i="51"/>
  <c r="I6" i="51"/>
  <c r="J129" i="51"/>
  <c r="J6" i="51"/>
  <c r="C8" i="53"/>
  <c r="K8" i="53" s="1"/>
  <c r="C8" i="51"/>
  <c r="V7" i="51"/>
  <c r="AB6" i="53" a="1"/>
  <c r="AB6" i="53" s="1"/>
  <c r="AE7" i="51"/>
  <c r="Q7" i="51"/>
  <c r="S7" i="51"/>
  <c r="Y7" i="51"/>
  <c r="J7" i="51"/>
  <c r="F7" i="51"/>
  <c r="X8" i="65"/>
  <c r="Z7" i="51"/>
  <c r="A7" i="51"/>
  <c r="H7" i="51"/>
  <c r="R7" i="51"/>
  <c r="I7" i="51"/>
  <c r="E7" i="51"/>
  <c r="X7" i="51"/>
  <c r="AK7" i="51"/>
  <c r="C53" i="58"/>
  <c r="W129" i="51"/>
  <c r="D63" i="41"/>
  <c r="G163" i="39"/>
  <c r="I163" i="39"/>
  <c r="H163" i="39"/>
  <c r="J163" i="39"/>
  <c r="T7" i="53"/>
  <c r="BB7" i="53" s="1"/>
  <c r="U7" i="53"/>
  <c r="BF7" i="53" s="1"/>
  <c r="AB7" i="53" a="1"/>
  <c r="AB7" i="53" s="1"/>
  <c r="BK7" i="53"/>
  <c r="R7" i="53"/>
  <c r="Y7" i="53" s="1"/>
  <c r="D28" i="58"/>
  <c r="AK11" i="55"/>
  <c r="AM11" i="55"/>
  <c r="A12" i="55"/>
  <c r="O10" i="53"/>
  <c r="D11" i="53"/>
  <c r="Y11" i="65"/>
  <c r="Z11" i="65" s="1"/>
  <c r="AA11" i="65" s="1"/>
  <c r="D11" i="51"/>
  <c r="AL10" i="55"/>
  <c r="AE10" i="55"/>
  <c r="BH13" i="69" l="1"/>
  <c r="P14" i="69"/>
  <c r="AL13" i="69"/>
  <c r="AW13" i="69"/>
  <c r="CD13" i="69"/>
  <c r="BS13" i="69"/>
  <c r="AA13" i="69"/>
  <c r="I13" i="69"/>
  <c r="AA18" i="39"/>
  <c r="AA16" i="39"/>
  <c r="AA15" i="39"/>
  <c r="AA14" i="39"/>
  <c r="AB13" i="39"/>
  <c r="AC12" i="39"/>
  <c r="I137" i="39"/>
  <c r="T129" i="51"/>
  <c r="T6" i="51" s="1"/>
  <c r="T7" i="51" s="1"/>
  <c r="F7" i="53" s="1"/>
  <c r="H137" i="39"/>
  <c r="J137" i="39"/>
  <c r="G137" i="39"/>
  <c r="D60" i="41"/>
  <c r="E60" i="41" s="1"/>
  <c r="H66" i="39"/>
  <c r="G66" i="39"/>
  <c r="J66" i="39"/>
  <c r="CG7" i="69"/>
  <c r="CG85" i="69" s="1"/>
  <c r="BV85" i="69"/>
  <c r="CA85" i="69" s="1"/>
  <c r="G6" i="51"/>
  <c r="M6" i="51" s="1"/>
  <c r="AL6" i="53" s="1"/>
  <c r="AN6" i="53" s="1"/>
  <c r="G129" i="51"/>
  <c r="F241" i="39"/>
  <c r="H241" i="39" s="1"/>
  <c r="G7" i="51"/>
  <c r="M7" i="51" s="1"/>
  <c r="AL7" i="53" s="1"/>
  <c r="T64" i="41"/>
  <c r="V64" i="41" s="1"/>
  <c r="F61" i="41"/>
  <c r="E61" i="41"/>
  <c r="G61" i="41"/>
  <c r="AC7" i="51"/>
  <c r="F76" i="41"/>
  <c r="AJ8" i="51"/>
  <c r="O8" i="51"/>
  <c r="O9" i="51" s="1"/>
  <c r="A8" i="51"/>
  <c r="C9" i="53"/>
  <c r="X9" i="65"/>
  <c r="I8" i="51"/>
  <c r="C9" i="51"/>
  <c r="AC8" i="51"/>
  <c r="F8" i="51"/>
  <c r="E8" i="51"/>
  <c r="H239" i="39"/>
  <c r="I239" i="39"/>
  <c r="G239" i="39"/>
  <c r="J239" i="39"/>
  <c r="H8" i="51"/>
  <c r="J8" i="51"/>
  <c r="V8" i="51"/>
  <c r="I238" i="39"/>
  <c r="G238" i="39"/>
  <c r="H238" i="39"/>
  <c r="J238" i="39"/>
  <c r="AG8" i="51"/>
  <c r="CH7" i="69"/>
  <c r="CH85" i="69" s="1"/>
  <c r="BW85" i="69"/>
  <c r="CB85" i="69" s="1"/>
  <c r="BU85" i="69"/>
  <c r="BZ85" i="69" s="1"/>
  <c r="CF7" i="69"/>
  <c r="CF85" i="69" s="1"/>
  <c r="E71" i="41"/>
  <c r="J272" i="39"/>
  <c r="J46" i="58"/>
  <c r="AC6" i="51"/>
  <c r="D54" i="41"/>
  <c r="E54" i="41" s="1"/>
  <c r="D70" i="41"/>
  <c r="T73" i="41" s="1"/>
  <c r="V73" i="41" s="1"/>
  <c r="AH129" i="51"/>
  <c r="AH6" i="51" s="1"/>
  <c r="F71" i="41"/>
  <c r="I272" i="39"/>
  <c r="G272" i="39"/>
  <c r="H272" i="39"/>
  <c r="AB129" i="51"/>
  <c r="AB6" i="51" s="1"/>
  <c r="AB7" i="51" s="1"/>
  <c r="E76" i="41"/>
  <c r="T74" i="41"/>
  <c r="V74" i="41" s="1"/>
  <c r="G45" i="58"/>
  <c r="G46" i="58" s="1"/>
  <c r="F53" i="41"/>
  <c r="G76" i="41"/>
  <c r="AL137" i="53"/>
  <c r="G31" i="70"/>
  <c r="E53" i="41"/>
  <c r="I58" i="41" s="1"/>
  <c r="H58" i="41"/>
  <c r="AH128" i="51"/>
  <c r="C72" i="58"/>
  <c r="AF7" i="51"/>
  <c r="AF6" i="51"/>
  <c r="G320" i="39"/>
  <c r="K36" i="58"/>
  <c r="K129" i="51" s="1"/>
  <c r="AF8" i="51"/>
  <c r="AG7" i="51"/>
  <c r="AG6" i="51"/>
  <c r="H37" i="58"/>
  <c r="Q137" i="53"/>
  <c r="H320" i="39"/>
  <c r="D74" i="41"/>
  <c r="F74" i="41" s="1"/>
  <c r="I320" i="39"/>
  <c r="G325" i="39"/>
  <c r="H325" i="39"/>
  <c r="AI129" i="51"/>
  <c r="D75" i="41"/>
  <c r="T78" i="41" s="1"/>
  <c r="V78" i="41" s="1"/>
  <c r="J325" i="39"/>
  <c r="J291" i="39"/>
  <c r="H291" i="39"/>
  <c r="G291" i="39"/>
  <c r="F297" i="39"/>
  <c r="I291" i="39"/>
  <c r="AB8" i="53" a="1"/>
  <c r="AB8" i="53" s="1"/>
  <c r="BK8" i="53"/>
  <c r="U8" i="53"/>
  <c r="BF8" i="53" s="1"/>
  <c r="R8" i="53"/>
  <c r="Y8" i="53" s="1"/>
  <c r="G8" i="51"/>
  <c r="M8" i="51" s="1"/>
  <c r="AL8" i="53" s="1"/>
  <c r="Z8" i="51"/>
  <c r="Y8" i="51"/>
  <c r="T8" i="53"/>
  <c r="BB8" i="53" s="1"/>
  <c r="U8" i="51"/>
  <c r="W6" i="51"/>
  <c r="C54" i="58"/>
  <c r="AF15" i="55" s="1"/>
  <c r="Z15" i="55" s="1"/>
  <c r="AF14" i="55"/>
  <c r="Z14" i="55" s="1"/>
  <c r="AF17" i="55"/>
  <c r="Z17" i="55" s="1"/>
  <c r="AF68" i="55"/>
  <c r="Z68" i="55" s="1"/>
  <c r="AF19" i="55"/>
  <c r="Z19" i="55" s="1"/>
  <c r="AF9" i="55"/>
  <c r="Z9" i="55" s="1"/>
  <c r="AF18" i="55"/>
  <c r="Z18" i="55" s="1"/>
  <c r="AF20" i="55"/>
  <c r="Z20" i="55" s="1"/>
  <c r="R8" i="51"/>
  <c r="AK8" i="51"/>
  <c r="S8" i="51"/>
  <c r="Q8" i="51"/>
  <c r="X8" i="51"/>
  <c r="W8" i="65"/>
  <c r="A7" i="53"/>
  <c r="AE8" i="51"/>
  <c r="F63" i="41"/>
  <c r="E63" i="41"/>
  <c r="T66" i="41"/>
  <c r="V66" i="41" s="1"/>
  <c r="G63" i="41"/>
  <c r="P8" i="51"/>
  <c r="AM12" i="55"/>
  <c r="A13" i="55"/>
  <c r="AK12" i="55"/>
  <c r="D12" i="53"/>
  <c r="O11" i="53"/>
  <c r="AX11" i="53" s="1"/>
  <c r="AX10" i="53"/>
  <c r="Y12" i="65"/>
  <c r="Z12" i="65" s="1"/>
  <c r="AA12" i="65" s="1"/>
  <c r="D12" i="51"/>
  <c r="BH14" i="69" l="1"/>
  <c r="CD14" i="69"/>
  <c r="AA14" i="69"/>
  <c r="AW14" i="69"/>
  <c r="P15" i="69"/>
  <c r="AL14" i="69"/>
  <c r="I14" i="69"/>
  <c r="BS14" i="69"/>
  <c r="A8" i="53"/>
  <c r="W9" i="65"/>
  <c r="R9" i="53"/>
  <c r="Y9" i="53" s="1"/>
  <c r="W9" i="53"/>
  <c r="C10" i="53"/>
  <c r="E9" i="51"/>
  <c r="AC9" i="51"/>
  <c r="X10" i="65"/>
  <c r="U9" i="53"/>
  <c r="BF9" i="53" s="1"/>
  <c r="AD12" i="39"/>
  <c r="AD13" i="39" s="1"/>
  <c r="AC13" i="39"/>
  <c r="AB18" i="39"/>
  <c r="AB16" i="39"/>
  <c r="AB15" i="39"/>
  <c r="AB14" i="39"/>
  <c r="G9" i="51"/>
  <c r="M9" i="51" s="1"/>
  <c r="AL9" i="53" s="1"/>
  <c r="AF9" i="51"/>
  <c r="Y9" i="51"/>
  <c r="U9" i="51"/>
  <c r="P9" i="51"/>
  <c r="X9" i="51"/>
  <c r="I9" i="51"/>
  <c r="J9" i="51"/>
  <c r="F9" i="51"/>
  <c r="AK9" i="51"/>
  <c r="Z9" i="51"/>
  <c r="V9" i="51"/>
  <c r="AE9" i="51"/>
  <c r="Q9" i="51"/>
  <c r="H9" i="51"/>
  <c r="AG9" i="51"/>
  <c r="C10" i="51"/>
  <c r="F6" i="53"/>
  <c r="T63" i="41"/>
  <c r="V63" i="41" s="1"/>
  <c r="G60" i="41"/>
  <c r="F60" i="41"/>
  <c r="AJ9" i="51"/>
  <c r="A9" i="51"/>
  <c r="AP6" i="53"/>
  <c r="AR6" i="53" s="1"/>
  <c r="M129" i="51"/>
  <c r="AA129" i="51"/>
  <c r="AA6" i="51" s="1"/>
  <c r="D69" i="41"/>
  <c r="F69" i="41" s="1"/>
  <c r="G241" i="39"/>
  <c r="I241" i="39"/>
  <c r="J241" i="39"/>
  <c r="G54" i="41"/>
  <c r="F54" i="41"/>
  <c r="T8" i="51"/>
  <c r="T9" i="51" s="1"/>
  <c r="BK9" i="53"/>
  <c r="AF22" i="55"/>
  <c r="Z22" i="55" s="1"/>
  <c r="AB9" i="53" a="1"/>
  <c r="AB9" i="53" s="1"/>
  <c r="O10" i="51"/>
  <c r="K9" i="53"/>
  <c r="AF11" i="55"/>
  <c r="Z11" i="55" s="1"/>
  <c r="K6" i="51"/>
  <c r="G70" i="41"/>
  <c r="F70" i="41"/>
  <c r="E70" i="41"/>
  <c r="AH130" i="51"/>
  <c r="AH132" i="51"/>
  <c r="AB8" i="51"/>
  <c r="AB9" i="51" s="1"/>
  <c r="K8" i="51"/>
  <c r="E74" i="41"/>
  <c r="K37" i="58"/>
  <c r="J37" i="58" s="1"/>
  <c r="K9" i="51"/>
  <c r="G74" i="41"/>
  <c r="T77" i="41"/>
  <c r="V77" i="41" s="1"/>
  <c r="F75" i="41"/>
  <c r="E75" i="41"/>
  <c r="G75" i="41"/>
  <c r="J297" i="39"/>
  <c r="I297" i="39"/>
  <c r="D72" i="41"/>
  <c r="H297" i="39"/>
  <c r="G297" i="39"/>
  <c r="AD129" i="51"/>
  <c r="AH7" i="51"/>
  <c r="AF24" i="55"/>
  <c r="Z24" i="55" s="1"/>
  <c r="T9" i="53"/>
  <c r="BB9" i="53" s="1"/>
  <c r="AP7" i="53"/>
  <c r="U10" i="53"/>
  <c r="BF10" i="53" s="1"/>
  <c r="K10" i="53"/>
  <c r="AB10" i="53" a="1"/>
  <c r="AB10" i="53" s="1"/>
  <c r="BK10" i="53"/>
  <c r="W10" i="53"/>
  <c r="R10" i="53"/>
  <c r="Y10" i="53" s="1"/>
  <c r="W11" i="65"/>
  <c r="A10" i="53"/>
  <c r="BY7" i="53"/>
  <c r="O9" i="69"/>
  <c r="O10" i="69"/>
  <c r="BY8" i="53"/>
  <c r="G10" i="51"/>
  <c r="M10" i="51" s="1"/>
  <c r="AL10" i="53" s="1"/>
  <c r="H10" i="51"/>
  <c r="AF71" i="55"/>
  <c r="Z71" i="55" s="1"/>
  <c r="AF43" i="55"/>
  <c r="Z43" i="55" s="1"/>
  <c r="AF51" i="55"/>
  <c r="Z51" i="55" s="1"/>
  <c r="AF82" i="55"/>
  <c r="Z82" i="55" s="1"/>
  <c r="AF62" i="55"/>
  <c r="Z62" i="55" s="1"/>
  <c r="AF106" i="55"/>
  <c r="Z106" i="55" s="1"/>
  <c r="AF42" i="55"/>
  <c r="Z42" i="55" s="1"/>
  <c r="AF114" i="55"/>
  <c r="Z114" i="55" s="1"/>
  <c r="AF52" i="55"/>
  <c r="Z52" i="55" s="1"/>
  <c r="AF118" i="55"/>
  <c r="Z118" i="55" s="1"/>
  <c r="AF25" i="55"/>
  <c r="Z25" i="55" s="1"/>
  <c r="AF101" i="55"/>
  <c r="Z101" i="55" s="1"/>
  <c r="AF40" i="55"/>
  <c r="Z40" i="55" s="1"/>
  <c r="AF125" i="55"/>
  <c r="Z125" i="55" s="1"/>
  <c r="W7" i="53"/>
  <c r="AF35" i="55"/>
  <c r="Z35" i="55" s="1"/>
  <c r="AF91" i="55"/>
  <c r="Z91" i="55" s="1"/>
  <c r="AF77" i="55"/>
  <c r="Z77" i="55" s="1"/>
  <c r="AF64" i="55"/>
  <c r="Z64" i="55" s="1"/>
  <c r="AF59" i="55"/>
  <c r="Z59" i="55" s="1"/>
  <c r="AF105" i="55"/>
  <c r="Z105" i="55" s="1"/>
  <c r="AF55" i="55"/>
  <c r="Z55" i="55" s="1"/>
  <c r="AF107" i="55"/>
  <c r="Z107" i="55" s="1"/>
  <c r="AF60" i="55"/>
  <c r="Z60" i="55" s="1"/>
  <c r="AF48" i="55"/>
  <c r="Z48" i="55" s="1"/>
  <c r="AF63" i="55"/>
  <c r="Z63" i="55" s="1"/>
  <c r="AF123" i="55"/>
  <c r="Z123" i="55" s="1"/>
  <c r="AF46" i="55"/>
  <c r="Z46" i="55" s="1"/>
  <c r="AF122" i="55"/>
  <c r="Z122" i="55" s="1"/>
  <c r="AF56" i="55"/>
  <c r="Z56" i="55" s="1"/>
  <c r="AF127" i="55"/>
  <c r="Z127" i="55" s="1"/>
  <c r="AF75" i="55"/>
  <c r="Z75" i="55" s="1"/>
  <c r="AF50" i="55"/>
  <c r="Z50" i="55" s="1"/>
  <c r="AF110" i="55"/>
  <c r="Z110" i="55" s="1"/>
  <c r="AF66" i="55"/>
  <c r="Z66" i="55" s="1"/>
  <c r="AF74" i="55"/>
  <c r="Z74" i="55" s="1"/>
  <c r="AF8" i="55"/>
  <c r="AF86" i="55"/>
  <c r="Z86" i="55" s="1"/>
  <c r="AF10" i="55"/>
  <c r="Z10" i="55" s="1"/>
  <c r="AF69" i="55"/>
  <c r="Z69" i="55" s="1"/>
  <c r="AF108" i="55"/>
  <c r="Z108" i="55" s="1"/>
  <c r="AF85" i="55"/>
  <c r="Z85" i="55" s="1"/>
  <c r="AF45" i="55"/>
  <c r="Z45" i="55" s="1"/>
  <c r="AF54" i="55"/>
  <c r="Z54" i="55" s="1"/>
  <c r="AF126" i="55"/>
  <c r="Z126" i="55" s="1"/>
  <c r="AF53" i="55"/>
  <c r="Z53" i="55" s="1"/>
  <c r="AF128" i="55"/>
  <c r="Z128" i="55" s="1"/>
  <c r="AF87" i="55"/>
  <c r="Z87" i="55" s="1"/>
  <c r="AF36" i="55"/>
  <c r="Z36" i="55" s="1"/>
  <c r="AF112" i="55"/>
  <c r="Z112" i="55" s="1"/>
  <c r="AF116" i="55"/>
  <c r="Z116" i="55" s="1"/>
  <c r="AF21" i="55"/>
  <c r="Z21" i="55" s="1"/>
  <c r="AF96" i="55"/>
  <c r="Z96" i="55" s="1"/>
  <c r="AF26" i="55"/>
  <c r="Z26" i="55" s="1"/>
  <c r="AF78" i="55"/>
  <c r="Z78" i="55" s="1"/>
  <c r="AF117" i="55"/>
  <c r="Z117" i="55" s="1"/>
  <c r="AF89" i="55"/>
  <c r="Z89" i="55" s="1"/>
  <c r="AF92" i="55"/>
  <c r="Z92" i="55" s="1"/>
  <c r="AF90" i="55"/>
  <c r="Z90" i="55" s="1"/>
  <c r="AF124" i="55"/>
  <c r="Z124" i="55" s="1"/>
  <c r="AF79" i="55"/>
  <c r="Z79" i="55" s="1"/>
  <c r="AF33" i="55"/>
  <c r="Z33" i="55" s="1"/>
  <c r="AF61" i="55"/>
  <c r="Z61" i="55" s="1"/>
  <c r="AF31" i="55"/>
  <c r="Z31" i="55" s="1"/>
  <c r="AF67" i="55"/>
  <c r="Z67" i="55" s="1"/>
  <c r="AF93" i="55"/>
  <c r="Z93" i="55" s="1"/>
  <c r="AF94" i="55"/>
  <c r="Z94" i="55" s="1"/>
  <c r="AF103" i="55"/>
  <c r="Z103" i="55" s="1"/>
  <c r="AF65" i="55"/>
  <c r="Z65" i="55" s="1"/>
  <c r="AF111" i="55"/>
  <c r="Z111" i="55" s="1"/>
  <c r="AF28" i="55"/>
  <c r="Z28" i="55" s="1"/>
  <c r="AF81" i="55"/>
  <c r="Z81" i="55" s="1"/>
  <c r="AF34" i="55"/>
  <c r="Z34" i="55" s="1"/>
  <c r="AF80" i="55"/>
  <c r="Z80" i="55" s="1"/>
  <c r="AF27" i="55"/>
  <c r="Z27" i="55" s="1"/>
  <c r="AF109" i="55"/>
  <c r="Z109" i="55" s="1"/>
  <c r="AF13" i="55"/>
  <c r="Z13" i="55" s="1"/>
  <c r="AF88" i="55"/>
  <c r="Z88" i="55" s="1"/>
  <c r="AF84" i="55"/>
  <c r="Z84" i="55" s="1"/>
  <c r="AF32" i="55"/>
  <c r="Z32" i="55" s="1"/>
  <c r="AF72" i="55"/>
  <c r="Z72" i="55" s="1"/>
  <c r="AF73" i="55"/>
  <c r="Z73" i="55" s="1"/>
  <c r="AF16" i="55"/>
  <c r="Z16" i="55" s="1"/>
  <c r="AF37" i="55"/>
  <c r="Z37" i="55" s="1"/>
  <c r="K7" i="51"/>
  <c r="AF41" i="55"/>
  <c r="Z41" i="55" s="1"/>
  <c r="AF104" i="55"/>
  <c r="Z104" i="55" s="1"/>
  <c r="AF30" i="55"/>
  <c r="Z30" i="55" s="1"/>
  <c r="AF100" i="55"/>
  <c r="Z100" i="55" s="1"/>
  <c r="AF12" i="55"/>
  <c r="Z12" i="55" s="1"/>
  <c r="AF83" i="55"/>
  <c r="Z83" i="55" s="1"/>
  <c r="AF44" i="55"/>
  <c r="Z44" i="55" s="1"/>
  <c r="AF102" i="55"/>
  <c r="Z102" i="55" s="1"/>
  <c r="AF97" i="55"/>
  <c r="Z97" i="55" s="1"/>
  <c r="AF38" i="55"/>
  <c r="Z38" i="55" s="1"/>
  <c r="AF57" i="55"/>
  <c r="Z57" i="55" s="1"/>
  <c r="AF76" i="55"/>
  <c r="Z76" i="55" s="1"/>
  <c r="AF49" i="55"/>
  <c r="Z49" i="55" s="1"/>
  <c r="AF99" i="55"/>
  <c r="Z99" i="55" s="1"/>
  <c r="AF29" i="55"/>
  <c r="Z29" i="55" s="1"/>
  <c r="AF120" i="55"/>
  <c r="Z120" i="55" s="1"/>
  <c r="AF58" i="55"/>
  <c r="Z58" i="55" s="1"/>
  <c r="AF115" i="55"/>
  <c r="Z115" i="55" s="1"/>
  <c r="AF47" i="55"/>
  <c r="Z47" i="55" s="1"/>
  <c r="AF119" i="55"/>
  <c r="Z119" i="55" s="1"/>
  <c r="AF23" i="55"/>
  <c r="Z23" i="55" s="1"/>
  <c r="AF98" i="55"/>
  <c r="Z98" i="55" s="1"/>
  <c r="AF39" i="55"/>
  <c r="Z39" i="55" s="1"/>
  <c r="AF95" i="55"/>
  <c r="Z95" i="55" s="1"/>
  <c r="W6" i="53"/>
  <c r="AF121" i="55"/>
  <c r="Z121" i="55" s="1"/>
  <c r="AF70" i="55"/>
  <c r="Z70" i="55" s="1"/>
  <c r="AF113" i="55"/>
  <c r="Z113" i="55" s="1"/>
  <c r="W8" i="53"/>
  <c r="W7" i="51"/>
  <c r="AP8" i="53"/>
  <c r="S9" i="51"/>
  <c r="R9" i="51"/>
  <c r="D13" i="51"/>
  <c r="Y13" i="65"/>
  <c r="Z13" i="65" s="1"/>
  <c r="AA13" i="65" s="1"/>
  <c r="D13" i="53"/>
  <c r="O12" i="53"/>
  <c r="AL12" i="55"/>
  <c r="AE12" i="55"/>
  <c r="AM13" i="55"/>
  <c r="A14" i="55"/>
  <c r="AK13" i="55"/>
  <c r="S10" i="51" l="1"/>
  <c r="S11" i="51" s="1"/>
  <c r="AL15" i="69"/>
  <c r="AA15" i="69"/>
  <c r="CD15" i="69"/>
  <c r="I15" i="69"/>
  <c r="AW15" i="69"/>
  <c r="BS15" i="69"/>
  <c r="P16" i="69"/>
  <c r="BH15" i="69"/>
  <c r="A10" i="51"/>
  <c r="AC10" i="51"/>
  <c r="K10" i="51"/>
  <c r="C11" i="53"/>
  <c r="AF10" i="51"/>
  <c r="X11" i="65"/>
  <c r="I10" i="51"/>
  <c r="F10" i="51"/>
  <c r="E10" i="51"/>
  <c r="AG10" i="51"/>
  <c r="C11" i="51"/>
  <c r="J10" i="51"/>
  <c r="AP10" i="53" s="1"/>
  <c r="AB10" i="51"/>
  <c r="AB11" i="51" s="1"/>
  <c r="AE10" i="51"/>
  <c r="AE11" i="51" s="1"/>
  <c r="P10" i="51"/>
  <c r="P11" i="51" s="1"/>
  <c r="V10" i="51"/>
  <c r="V11" i="51" s="1"/>
  <c r="U10" i="51"/>
  <c r="U11" i="51" s="1"/>
  <c r="Z10" i="51"/>
  <c r="Y10" i="51"/>
  <c r="AJ10" i="51"/>
  <c r="Q10" i="51"/>
  <c r="Q11" i="51" s="1"/>
  <c r="AK10" i="51"/>
  <c r="X10" i="51"/>
  <c r="AC16" i="39"/>
  <c r="AC15" i="39"/>
  <c r="AC14" i="39"/>
  <c r="AC18" i="39"/>
  <c r="AD18" i="39"/>
  <c r="AD16" i="39"/>
  <c r="AD15" i="39"/>
  <c r="AD14" i="39"/>
  <c r="P7" i="53"/>
  <c r="AQ7" i="53" s="1"/>
  <c r="AR7" i="53" s="1"/>
  <c r="W10" i="65"/>
  <c r="A9" i="53"/>
  <c r="E69" i="41"/>
  <c r="T72" i="41"/>
  <c r="V72" i="41" s="1"/>
  <c r="G69" i="41"/>
  <c r="T10" i="51"/>
  <c r="F8" i="53"/>
  <c r="AA7" i="51"/>
  <c r="AA8" i="51" s="1"/>
  <c r="AA9" i="51" s="1"/>
  <c r="O11" i="51"/>
  <c r="F9" i="53"/>
  <c r="T75" i="41"/>
  <c r="V75" i="41" s="1"/>
  <c r="F72" i="41"/>
  <c r="E72" i="41"/>
  <c r="G72" i="41"/>
  <c r="AD6" i="51"/>
  <c r="AL129" i="51"/>
  <c r="AH8" i="51"/>
  <c r="AH9" i="51" s="1"/>
  <c r="AP9" i="53"/>
  <c r="T10" i="53"/>
  <c r="BB10" i="53" s="1"/>
  <c r="AT7" i="53"/>
  <c r="AT8" i="53" s="1"/>
  <c r="AT9" i="53" s="1"/>
  <c r="AT10" i="53" s="1"/>
  <c r="AT11" i="53" s="1"/>
  <c r="X6" i="53"/>
  <c r="Z6" i="53" s="1"/>
  <c r="R10" i="51"/>
  <c r="W8" i="51"/>
  <c r="Z8" i="55"/>
  <c r="AF130" i="55"/>
  <c r="AF131" i="55" s="1"/>
  <c r="O12" i="69"/>
  <c r="BY10" i="53"/>
  <c r="AK14" i="55"/>
  <c r="A15" i="55"/>
  <c r="AM14" i="55"/>
  <c r="AX12" i="53"/>
  <c r="Y14" i="65"/>
  <c r="Z14" i="65" s="1"/>
  <c r="AA14" i="65" s="1"/>
  <c r="D14" i="51"/>
  <c r="AE13" i="55"/>
  <c r="AL13" i="55"/>
  <c r="D14" i="53"/>
  <c r="O13" i="53"/>
  <c r="AX13" i="53" s="1"/>
  <c r="Y11" i="51" l="1"/>
  <c r="Y12" i="51" s="1"/>
  <c r="AJ11" i="51"/>
  <c r="AK11" i="51"/>
  <c r="AK12" i="51" s="1"/>
  <c r="X11" i="51"/>
  <c r="T11" i="51"/>
  <c r="T12" i="51" s="1"/>
  <c r="P17" i="69"/>
  <c r="AW16" i="69"/>
  <c r="BH16" i="69"/>
  <c r="I16" i="69"/>
  <c r="CD16" i="69"/>
  <c r="BS16" i="69"/>
  <c r="AA16" i="69"/>
  <c r="AL16" i="69"/>
  <c r="R11" i="53"/>
  <c r="Y11" i="53" s="1"/>
  <c r="AB11" i="53" a="1"/>
  <c r="AB11" i="53" s="1"/>
  <c r="K11" i="53"/>
  <c r="BK11" i="53"/>
  <c r="W11" i="53"/>
  <c r="AT12" i="53" s="1"/>
  <c r="U11" i="53"/>
  <c r="BF11" i="53" s="1"/>
  <c r="A11" i="51"/>
  <c r="E11" i="51"/>
  <c r="G11" i="51"/>
  <c r="M11" i="51" s="1"/>
  <c r="AL11" i="53" s="1"/>
  <c r="K11" i="51"/>
  <c r="H11" i="51"/>
  <c r="J11" i="51"/>
  <c r="AG11" i="51"/>
  <c r="I11" i="51"/>
  <c r="X12" i="65"/>
  <c r="C12" i="51"/>
  <c r="AF11" i="51"/>
  <c r="F11" i="51"/>
  <c r="C12" i="53"/>
  <c r="AC11" i="51"/>
  <c r="Z11" i="51"/>
  <c r="Z12" i="51" s="1"/>
  <c r="U12" i="51"/>
  <c r="O11" i="69"/>
  <c r="BY9" i="53"/>
  <c r="P8" i="53"/>
  <c r="AQ8" i="53" s="1"/>
  <c r="AR8" i="53" s="1"/>
  <c r="F10" i="53"/>
  <c r="O12" i="51"/>
  <c r="S12" i="51"/>
  <c r="AA10" i="51"/>
  <c r="AA11" i="51" s="1"/>
  <c r="AA12" i="51" s="1"/>
  <c r="AD7" i="51"/>
  <c r="AD8" i="51" s="1"/>
  <c r="AD9" i="51" s="1"/>
  <c r="AH10" i="51"/>
  <c r="T11" i="53"/>
  <c r="BB11" i="53" s="1"/>
  <c r="X12" i="51"/>
  <c r="AJ12" i="51"/>
  <c r="R11" i="51"/>
  <c r="F11" i="53" s="1"/>
  <c r="W12" i="53"/>
  <c r="AB12" i="53" a="1"/>
  <c r="AB12" i="53" s="1"/>
  <c r="R12" i="53"/>
  <c r="Y12" i="53" s="1"/>
  <c r="BK12" i="53"/>
  <c r="X13" i="65"/>
  <c r="AG12" i="51"/>
  <c r="AF12" i="51"/>
  <c r="K12" i="51"/>
  <c r="I12" i="51"/>
  <c r="AC12" i="51"/>
  <c r="AI6" i="51"/>
  <c r="Z130" i="55"/>
  <c r="Z131" i="55" s="1"/>
  <c r="D15" i="53"/>
  <c r="O14" i="53"/>
  <c r="AX14" i="53" s="1"/>
  <c r="AM15" i="55"/>
  <c r="A16" i="55"/>
  <c r="AK15" i="55"/>
  <c r="AE14" i="55"/>
  <c r="AL14" i="55"/>
  <c r="D15" i="51"/>
  <c r="Y15" i="65"/>
  <c r="Z15" i="65" s="1"/>
  <c r="AA15" i="65" s="1"/>
  <c r="AL17" i="69" l="1"/>
  <c r="BH17" i="69"/>
  <c r="BS17" i="69"/>
  <c r="I17" i="69"/>
  <c r="AA17" i="69"/>
  <c r="P18" i="69"/>
  <c r="CD17" i="69"/>
  <c r="AW17" i="69"/>
  <c r="A11" i="53"/>
  <c r="W12" i="65"/>
  <c r="A12" i="51"/>
  <c r="AE12" i="51"/>
  <c r="AB12" i="51"/>
  <c r="P12" i="51"/>
  <c r="P13" i="51" s="1"/>
  <c r="Q12" i="51"/>
  <c r="Q13" i="51" s="1"/>
  <c r="E12" i="51"/>
  <c r="J12" i="51"/>
  <c r="C13" i="51"/>
  <c r="F12" i="51"/>
  <c r="H12" i="51"/>
  <c r="V12" i="51"/>
  <c r="V13" i="51" s="1"/>
  <c r="C13" i="53"/>
  <c r="G12" i="51"/>
  <c r="M12" i="51" s="1"/>
  <c r="AL12" i="53" s="1"/>
  <c r="Y13" i="51"/>
  <c r="O13" i="51"/>
  <c r="R12" i="51"/>
  <c r="R13" i="51" s="1"/>
  <c r="AP12" i="53"/>
  <c r="AH11" i="51"/>
  <c r="AD10" i="51"/>
  <c r="AT13" i="53"/>
  <c r="AP11" i="53"/>
  <c r="AA13" i="51"/>
  <c r="C14" i="51"/>
  <c r="K13" i="51"/>
  <c r="A13" i="51"/>
  <c r="F13" i="51"/>
  <c r="J13" i="51"/>
  <c r="C14" i="53"/>
  <c r="E13" i="51"/>
  <c r="AG13" i="51"/>
  <c r="AJ13" i="51"/>
  <c r="AJ14" i="51" s="1"/>
  <c r="AC13" i="51"/>
  <c r="AB13" i="51"/>
  <c r="BY11" i="53"/>
  <c r="O13" i="69"/>
  <c r="AE13" i="51"/>
  <c r="AI7" i="51"/>
  <c r="AL7" i="51" s="1"/>
  <c r="G7" i="53" s="1"/>
  <c r="AL6" i="51"/>
  <c r="G6" i="53" s="1"/>
  <c r="Y16" i="65"/>
  <c r="Z16" i="65" s="1"/>
  <c r="AA16" i="65" s="1"/>
  <c r="D16" i="51"/>
  <c r="AM16" i="55"/>
  <c r="A17" i="55"/>
  <c r="AK16" i="55"/>
  <c r="D16" i="53"/>
  <c r="O15" i="53"/>
  <c r="AX15" i="53" s="1"/>
  <c r="AL15" i="55"/>
  <c r="AE15" i="55"/>
  <c r="P9" i="53"/>
  <c r="A12" i="53" l="1"/>
  <c r="O14" i="69" s="1"/>
  <c r="W13" i="65"/>
  <c r="BS18" i="69"/>
  <c r="AW18" i="69"/>
  <c r="P19" i="69"/>
  <c r="AA18" i="69"/>
  <c r="AL18" i="69"/>
  <c r="BH18" i="69"/>
  <c r="I18" i="69"/>
  <c r="CD18" i="69"/>
  <c r="AF13" i="51"/>
  <c r="T13" i="51"/>
  <c r="S13" i="51"/>
  <c r="X13" i="51"/>
  <c r="X14" i="51" s="1"/>
  <c r="AK13" i="51"/>
  <c r="AK14" i="51" s="1"/>
  <c r="I13" i="51"/>
  <c r="H13" i="51"/>
  <c r="Z13" i="51"/>
  <c r="U13" i="51"/>
  <c r="U14" i="51" s="1"/>
  <c r="G13" i="51"/>
  <c r="M13" i="51" s="1"/>
  <c r="AL13" i="53" s="1"/>
  <c r="X14" i="65"/>
  <c r="K13" i="53"/>
  <c r="BK13" i="53"/>
  <c r="W13" i="53"/>
  <c r="R13" i="53"/>
  <c r="Y13" i="53" s="1"/>
  <c r="AB13" i="53" a="1"/>
  <c r="AB13" i="53" s="1"/>
  <c r="AE14" i="51"/>
  <c r="AT14" i="53"/>
  <c r="O14" i="51"/>
  <c r="F12" i="53"/>
  <c r="AD11" i="51"/>
  <c r="AH12" i="51"/>
  <c r="AH13" i="51" s="1"/>
  <c r="AB14" i="51"/>
  <c r="A14" i="51"/>
  <c r="W15" i="65" s="1"/>
  <c r="AA14" i="51"/>
  <c r="T14" i="51"/>
  <c r="W14" i="53"/>
  <c r="BK14" i="53"/>
  <c r="AB14" i="53" a="1"/>
  <c r="AB14" i="53" s="1"/>
  <c r="R14" i="53"/>
  <c r="Y14" i="53" s="1"/>
  <c r="K14" i="53"/>
  <c r="H14" i="51"/>
  <c r="K14" i="51"/>
  <c r="C15" i="53"/>
  <c r="X15" i="65"/>
  <c r="I14" i="51"/>
  <c r="AC14" i="51"/>
  <c r="E14" i="51"/>
  <c r="AF14" i="51"/>
  <c r="F14" i="51"/>
  <c r="AG14" i="51"/>
  <c r="G14" i="51"/>
  <c r="M14" i="51" s="1"/>
  <c r="AL14" i="53" s="1"/>
  <c r="C15" i="51"/>
  <c r="J14" i="51"/>
  <c r="Z14" i="51"/>
  <c r="Z15" i="51" s="1"/>
  <c r="Q7" i="53"/>
  <c r="AM7" i="53" s="1"/>
  <c r="M6" i="53"/>
  <c r="P14" i="51"/>
  <c r="Y14" i="51"/>
  <c r="Q14" i="51"/>
  <c r="V14" i="51"/>
  <c r="AI8" i="51"/>
  <c r="AL8" i="51" s="1"/>
  <c r="G8" i="53" s="1"/>
  <c r="A13" i="53"/>
  <c r="O15" i="69" s="1"/>
  <c r="W14" i="65"/>
  <c r="R14" i="51"/>
  <c r="Y17" i="65"/>
  <c r="Z17" i="65" s="1"/>
  <c r="AA17" i="65" s="1"/>
  <c r="D17" i="51"/>
  <c r="AL16" i="55"/>
  <c r="AE16" i="55"/>
  <c r="D17" i="53"/>
  <c r="O16" i="53"/>
  <c r="AX16" i="53" s="1"/>
  <c r="AK17" i="55"/>
  <c r="AM17" i="55"/>
  <c r="A18" i="55"/>
  <c r="AW19" i="69"/>
  <c r="BH19" i="69"/>
  <c r="AA19" i="69"/>
  <c r="I19" i="69"/>
  <c r="BS19" i="69"/>
  <c r="AL19" i="69"/>
  <c r="P20" i="69"/>
  <c r="CD19" i="69"/>
  <c r="AQ9" i="53"/>
  <c r="Q15" i="51" l="1"/>
  <c r="S14" i="51"/>
  <c r="F13" i="53"/>
  <c r="AE15" i="51"/>
  <c r="R15" i="51"/>
  <c r="T15" i="51"/>
  <c r="AA15" i="51"/>
  <c r="V15" i="51"/>
  <c r="AT15" i="53"/>
  <c r="AK15" i="51"/>
  <c r="A14" i="53"/>
  <c r="O16" i="69" s="1"/>
  <c r="Y15" i="51"/>
  <c r="O15" i="51"/>
  <c r="AP13" i="53"/>
  <c r="AH14" i="51"/>
  <c r="AD12" i="51"/>
  <c r="AD13" i="51" s="1"/>
  <c r="AD14" i="51" s="1"/>
  <c r="X15" i="51"/>
  <c r="AB15" i="51"/>
  <c r="AP14" i="53"/>
  <c r="AU7" i="53"/>
  <c r="AV7" i="53" s="1"/>
  <c r="X7" i="53" s="1"/>
  <c r="Z7" i="53" s="1"/>
  <c r="AN7" i="53"/>
  <c r="U15" i="51"/>
  <c r="AJ15" i="51"/>
  <c r="S6" i="53"/>
  <c r="BP6" i="53" s="1"/>
  <c r="P15" i="51"/>
  <c r="F14" i="53"/>
  <c r="H15" i="51"/>
  <c r="A15" i="51"/>
  <c r="J15" i="51"/>
  <c r="AC15" i="51"/>
  <c r="I15" i="51"/>
  <c r="S15" i="51"/>
  <c r="E15" i="51"/>
  <c r="X16" i="65"/>
  <c r="AG15" i="51"/>
  <c r="C16" i="53"/>
  <c r="K15" i="51"/>
  <c r="AF15" i="51"/>
  <c r="C16" i="51"/>
  <c r="G15" i="51"/>
  <c r="F15" i="51"/>
  <c r="AI9" i="51"/>
  <c r="K15" i="53"/>
  <c r="R15" i="53"/>
  <c r="Y15" i="53" s="1"/>
  <c r="AB15" i="53" a="1"/>
  <c r="AB15" i="53" s="1"/>
  <c r="BK15" i="53"/>
  <c r="W15" i="53"/>
  <c r="O17" i="53"/>
  <c r="AX17" i="53" s="1"/>
  <c r="D18" i="53"/>
  <c r="Y18" i="65"/>
  <c r="Z18" i="65" s="1"/>
  <c r="AA18" i="65" s="1"/>
  <c r="D18" i="51"/>
  <c r="AR9" i="53"/>
  <c r="AM18" i="55"/>
  <c r="A19" i="55"/>
  <c r="AK18" i="55"/>
  <c r="CD20" i="69"/>
  <c r="BH20" i="69"/>
  <c r="AA20" i="69"/>
  <c r="AW20" i="69"/>
  <c r="AL20" i="69"/>
  <c r="BS20" i="69"/>
  <c r="P21" i="69"/>
  <c r="I20" i="69"/>
  <c r="AE17" i="55"/>
  <c r="AL17" i="55"/>
  <c r="AE16" i="51" l="1"/>
  <c r="AT16" i="53"/>
  <c r="T16" i="51"/>
  <c r="O16" i="51"/>
  <c r="AD15" i="51"/>
  <c r="AD16" i="51" s="1"/>
  <c r="AH15" i="51"/>
  <c r="P16" i="51"/>
  <c r="M15" i="51"/>
  <c r="AL15" i="53" s="1"/>
  <c r="S16" i="51"/>
  <c r="R16" i="51"/>
  <c r="Q8" i="53"/>
  <c r="AM8" i="53" s="1"/>
  <c r="AU8" i="53" s="1"/>
  <c r="AV8" i="53" s="1"/>
  <c r="X8" i="53" s="1"/>
  <c r="Z8" i="53" s="1"/>
  <c r="AK16" i="51"/>
  <c r="Q16" i="51"/>
  <c r="AA16" i="51"/>
  <c r="W16" i="53"/>
  <c r="R16" i="53"/>
  <c r="Y16" i="53" s="1"/>
  <c r="AB16" i="53" a="1"/>
  <c r="AB16" i="53" s="1"/>
  <c r="BK16" i="53"/>
  <c r="K16" i="53"/>
  <c r="A15" i="53"/>
  <c r="O17" i="69" s="1"/>
  <c r="W16" i="65"/>
  <c r="AD6" i="53"/>
  <c r="AJ6" i="53" s="1"/>
  <c r="BL6" i="53" s="1"/>
  <c r="Q8" i="69"/>
  <c r="BU6" i="53"/>
  <c r="CF6" i="53"/>
  <c r="CD6" i="53"/>
  <c r="AI10" i="51"/>
  <c r="V16" i="51"/>
  <c r="X16" i="51"/>
  <c r="Z16" i="51"/>
  <c r="AJ16" i="51"/>
  <c r="F16" i="51"/>
  <c r="H16" i="51"/>
  <c r="K16" i="51"/>
  <c r="I16" i="51"/>
  <c r="C17" i="53"/>
  <c r="C17" i="51"/>
  <c r="AG16" i="51"/>
  <c r="J16" i="51"/>
  <c r="AC16" i="51"/>
  <c r="X17" i="65"/>
  <c r="G16" i="51"/>
  <c r="AF16" i="51"/>
  <c r="A16" i="51"/>
  <c r="E16" i="51"/>
  <c r="AB16" i="51"/>
  <c r="F15" i="53"/>
  <c r="Y16" i="51"/>
  <c r="U16" i="51"/>
  <c r="D19" i="53"/>
  <c r="O18" i="53"/>
  <c r="AX18" i="53" s="1"/>
  <c r="BH21" i="69"/>
  <c r="AA21" i="69"/>
  <c r="AW21" i="69"/>
  <c r="P22" i="69"/>
  <c r="AL21" i="69"/>
  <c r="CD21" i="69"/>
  <c r="BS21" i="69"/>
  <c r="I21" i="69"/>
  <c r="AE18" i="55"/>
  <c r="AL18" i="55"/>
  <c r="AM19" i="55"/>
  <c r="A20" i="55"/>
  <c r="AK19" i="55"/>
  <c r="D19" i="51"/>
  <c r="Y19" i="65"/>
  <c r="Z19" i="65" s="1"/>
  <c r="AA19" i="65" s="1"/>
  <c r="P10" i="53"/>
  <c r="AD17" i="51" l="1"/>
  <c r="S17" i="51"/>
  <c r="AT17" i="53"/>
  <c r="O17" i="51"/>
  <c r="AP15" i="53"/>
  <c r="AH16" i="51"/>
  <c r="AH17" i="51" s="1"/>
  <c r="AH18" i="51" s="1"/>
  <c r="Z17" i="51"/>
  <c r="X17" i="51"/>
  <c r="T17" i="51"/>
  <c r="U17" i="51"/>
  <c r="V17" i="51"/>
  <c r="BN6" i="53"/>
  <c r="Q17" i="51"/>
  <c r="AA17" i="51"/>
  <c r="AG17" i="51"/>
  <c r="H17" i="51"/>
  <c r="C18" i="51"/>
  <c r="K17" i="51"/>
  <c r="G17" i="51"/>
  <c r="AC17" i="51"/>
  <c r="X18" i="65"/>
  <c r="F17" i="51"/>
  <c r="J17" i="51"/>
  <c r="E17" i="51"/>
  <c r="AF17" i="51"/>
  <c r="C18" i="53"/>
  <c r="I17" i="51"/>
  <c r="W17" i="65"/>
  <c r="A16" i="53"/>
  <c r="O18" i="69" s="1"/>
  <c r="AK17" i="51"/>
  <c r="A17" i="51"/>
  <c r="AN8" i="53"/>
  <c r="AE17" i="51"/>
  <c r="AE18" i="51" s="1"/>
  <c r="AI11" i="51"/>
  <c r="P17" i="51"/>
  <c r="AM8" i="69"/>
  <c r="BT8" i="69" s="1"/>
  <c r="J8" i="69"/>
  <c r="S8" i="69"/>
  <c r="T8" i="69"/>
  <c r="AX8" i="69"/>
  <c r="CE8" i="69" s="1"/>
  <c r="R8" i="69"/>
  <c r="W17" i="53"/>
  <c r="R17" i="53"/>
  <c r="Y17" i="53" s="1"/>
  <c r="BK17" i="53"/>
  <c r="K17" i="53"/>
  <c r="AB17" i="53" a="1"/>
  <c r="AB17" i="53" s="1"/>
  <c r="Y17" i="51"/>
  <c r="M16" i="51"/>
  <c r="AL16" i="53" s="1"/>
  <c r="AB17" i="51"/>
  <c r="AJ17" i="51"/>
  <c r="R17" i="51"/>
  <c r="F16" i="53"/>
  <c r="Y20" i="65"/>
  <c r="Z20" i="65" s="1"/>
  <c r="AA20" i="65" s="1"/>
  <c r="D20" i="51"/>
  <c r="AM20" i="55"/>
  <c r="AK20" i="55"/>
  <c r="A21" i="55"/>
  <c r="AQ10" i="53"/>
  <c r="D20" i="53"/>
  <c r="O19" i="53"/>
  <c r="AX19" i="53" s="1"/>
  <c r="AA22" i="69"/>
  <c r="CD22" i="69"/>
  <c r="I22" i="69"/>
  <c r="AL22" i="69"/>
  <c r="P23" i="69"/>
  <c r="BS22" i="69"/>
  <c r="BH22" i="69"/>
  <c r="AW22" i="69"/>
  <c r="AB18" i="51" l="1"/>
  <c r="Q18" i="51"/>
  <c r="AD18" i="51"/>
  <c r="AT18" i="53"/>
  <c r="O18" i="51"/>
  <c r="V18" i="51"/>
  <c r="F17" i="53"/>
  <c r="P18" i="51"/>
  <c r="A18" i="51"/>
  <c r="AK18" i="51"/>
  <c r="U18" i="51"/>
  <c r="R18" i="51"/>
  <c r="AP16" i="53"/>
  <c r="AI12" i="51"/>
  <c r="Z18" i="51"/>
  <c r="A17" i="53"/>
  <c r="O19" i="69" s="1"/>
  <c r="W18" i="65"/>
  <c r="AA18" i="51"/>
  <c r="T18" i="51"/>
  <c r="AB18" i="53" a="1"/>
  <c r="AB18" i="53" s="1"/>
  <c r="BK18" i="53"/>
  <c r="W18" i="53"/>
  <c r="R18" i="53"/>
  <c r="Y18" i="53" s="1"/>
  <c r="X19" i="65"/>
  <c r="E18" i="51"/>
  <c r="F18" i="51"/>
  <c r="AF18" i="51"/>
  <c r="G18" i="51"/>
  <c r="C19" i="53"/>
  <c r="AC18" i="51"/>
  <c r="H18" i="51"/>
  <c r="J18" i="51"/>
  <c r="K18" i="51"/>
  <c r="C19" i="51"/>
  <c r="AG18" i="51"/>
  <c r="I18" i="51"/>
  <c r="AY8" i="69"/>
  <c r="AC8" i="69"/>
  <c r="AN8" i="69"/>
  <c r="K8" i="69"/>
  <c r="X18" i="51"/>
  <c r="X19" i="51" s="1"/>
  <c r="AJ18" i="51"/>
  <c r="AJ19" i="51" s="1"/>
  <c r="Y18" i="51"/>
  <c r="Y19" i="51" s="1"/>
  <c r="AP8" i="69"/>
  <c r="BW8" i="69" s="1"/>
  <c r="AE8" i="69"/>
  <c r="BL8" i="69" s="1"/>
  <c r="M8" i="69"/>
  <c r="BA8" i="69"/>
  <c r="CH8" i="69" s="1"/>
  <c r="AZ8" i="69"/>
  <c r="CG8" i="69" s="1"/>
  <c r="L8" i="69"/>
  <c r="AO8" i="69"/>
  <c r="BV8" i="69" s="1"/>
  <c r="AD8" i="69"/>
  <c r="BK8" i="69" s="1"/>
  <c r="M17" i="51"/>
  <c r="AL17" i="53" s="1"/>
  <c r="S18" i="51"/>
  <c r="AR10" i="53"/>
  <c r="AK21" i="55"/>
  <c r="AM21" i="55"/>
  <c r="A22" i="55"/>
  <c r="BS23" i="69"/>
  <c r="AL23" i="69"/>
  <c r="AW23" i="69"/>
  <c r="P24" i="69"/>
  <c r="AA23" i="69"/>
  <c r="CD23" i="69"/>
  <c r="BH23" i="69"/>
  <c r="I23" i="69"/>
  <c r="D21" i="53"/>
  <c r="O20" i="53"/>
  <c r="AX20" i="53" s="1"/>
  <c r="AL20" i="55"/>
  <c r="AE20" i="55"/>
  <c r="D21" i="51"/>
  <c r="Y21" i="65"/>
  <c r="Z21" i="65" s="1"/>
  <c r="AA21" i="65" s="1"/>
  <c r="Q19" i="51" l="1"/>
  <c r="T19" i="51"/>
  <c r="AH19" i="51"/>
  <c r="AT19" i="53"/>
  <c r="O19" i="51"/>
  <c r="R19" i="51"/>
  <c r="AE19" i="51"/>
  <c r="CF8" i="69"/>
  <c r="BU8" i="69"/>
  <c r="AP17" i="53"/>
  <c r="AD19" i="51"/>
  <c r="AB19" i="51"/>
  <c r="F18" i="53"/>
  <c r="AA19" i="51"/>
  <c r="U19" i="51"/>
  <c r="V19" i="51"/>
  <c r="AK19" i="51"/>
  <c r="S19" i="51"/>
  <c r="AF19" i="51"/>
  <c r="J19" i="51"/>
  <c r="C20" i="51"/>
  <c r="X20" i="51" s="1"/>
  <c r="K19" i="51"/>
  <c r="X20" i="65"/>
  <c r="G19" i="51"/>
  <c r="C20" i="53"/>
  <c r="AC19" i="51"/>
  <c r="H19" i="51"/>
  <c r="I19" i="51"/>
  <c r="E19" i="51"/>
  <c r="AG19" i="51"/>
  <c r="F19" i="51"/>
  <c r="Z19" i="51"/>
  <c r="W19" i="65"/>
  <c r="A18" i="53"/>
  <c r="O20" i="69" s="1"/>
  <c r="AB8" i="69"/>
  <c r="BI8" i="69" s="1"/>
  <c r="BJ8" i="69"/>
  <c r="AI13" i="51"/>
  <c r="P19" i="51"/>
  <c r="A19" i="51"/>
  <c r="AB19" i="53" a="1"/>
  <c r="AB19" i="53" s="1"/>
  <c r="BK19" i="53"/>
  <c r="W19" i="53"/>
  <c r="R19" i="53"/>
  <c r="Y19" i="53" s="1"/>
  <c r="M18" i="51"/>
  <c r="AL18" i="53" s="1"/>
  <c r="D22" i="51"/>
  <c r="Y22" i="65"/>
  <c r="Z22" i="65" s="1"/>
  <c r="AA22" i="65" s="1"/>
  <c r="AM22" i="55"/>
  <c r="A23" i="55"/>
  <c r="AK22" i="55"/>
  <c r="D22" i="53"/>
  <c r="O21" i="53"/>
  <c r="AX21" i="53" s="1"/>
  <c r="AL21" i="55"/>
  <c r="AE21" i="55"/>
  <c r="P25" i="69"/>
  <c r="BS24" i="69"/>
  <c r="AA24" i="69"/>
  <c r="CD24" i="69"/>
  <c r="AL24" i="69"/>
  <c r="BH24" i="69"/>
  <c r="AW24" i="69"/>
  <c r="I24" i="69"/>
  <c r="P11" i="53"/>
  <c r="T20" i="51" l="1"/>
  <c r="Z20" i="51"/>
  <c r="AE20" i="51"/>
  <c r="S20" i="51"/>
  <c r="AH20" i="51"/>
  <c r="AT20" i="53"/>
  <c r="Y20" i="51"/>
  <c r="O20" i="51"/>
  <c r="AP18" i="53"/>
  <c r="F19" i="53"/>
  <c r="AK20" i="51"/>
  <c r="R20" i="51"/>
  <c r="A20" i="51"/>
  <c r="A20" i="53" s="1"/>
  <c r="O22" i="69" s="1"/>
  <c r="AA20" i="51"/>
  <c r="M19" i="51"/>
  <c r="AL19" i="53" s="1"/>
  <c r="P20" i="51"/>
  <c r="U20" i="51"/>
  <c r="G20" i="51"/>
  <c r="C21" i="51"/>
  <c r="AG20" i="51"/>
  <c r="V20" i="51"/>
  <c r="I20" i="51"/>
  <c r="AF20" i="51"/>
  <c r="H20" i="51"/>
  <c r="AB20" i="51"/>
  <c r="X21" i="65"/>
  <c r="F20" i="51"/>
  <c r="J20" i="51"/>
  <c r="K20" i="51"/>
  <c r="AC20" i="51"/>
  <c r="C21" i="53"/>
  <c r="E20" i="51"/>
  <c r="Q20" i="51"/>
  <c r="W20" i="65"/>
  <c r="A19" i="53"/>
  <c r="O21" i="69" s="1"/>
  <c r="AD20" i="51"/>
  <c r="AI14" i="51"/>
  <c r="K20" i="53"/>
  <c r="W20" i="53"/>
  <c r="BK20" i="53"/>
  <c r="R20" i="53"/>
  <c r="Y20" i="53" s="1"/>
  <c r="AB20" i="53" a="1"/>
  <c r="AB20" i="53" s="1"/>
  <c r="AJ20" i="51"/>
  <c r="BS25" i="69"/>
  <c r="BH25" i="69"/>
  <c r="CD25" i="69"/>
  <c r="AA25" i="69"/>
  <c r="I25" i="69"/>
  <c r="AW25" i="69"/>
  <c r="AL25" i="69"/>
  <c r="P26" i="69"/>
  <c r="D23" i="51"/>
  <c r="Y23" i="65"/>
  <c r="Z23" i="65" s="1"/>
  <c r="AA23" i="65" s="1"/>
  <c r="D23" i="53"/>
  <c r="O22" i="53"/>
  <c r="AX22" i="53" s="1"/>
  <c r="AQ11" i="53"/>
  <c r="AE22" i="55"/>
  <c r="AL22" i="55"/>
  <c r="A24" i="55"/>
  <c r="AK23" i="55"/>
  <c r="AM23" i="55"/>
  <c r="T21" i="51" l="1"/>
  <c r="W21" i="65"/>
  <c r="AJ21" i="51"/>
  <c r="AH21" i="51"/>
  <c r="AT21" i="53"/>
  <c r="U21" i="51"/>
  <c r="O21" i="51"/>
  <c r="Y21" i="51"/>
  <c r="AB21" i="51"/>
  <c r="AE21" i="51"/>
  <c r="X21" i="51"/>
  <c r="AD21" i="51"/>
  <c r="Q21" i="51"/>
  <c r="AP19" i="53"/>
  <c r="AA21" i="51"/>
  <c r="V21" i="51"/>
  <c r="K21" i="51"/>
  <c r="E21" i="51"/>
  <c r="A21" i="51"/>
  <c r="AC21" i="51"/>
  <c r="C22" i="53"/>
  <c r="X22" i="65"/>
  <c r="I21" i="51"/>
  <c r="S21" i="51"/>
  <c r="C22" i="51"/>
  <c r="G21" i="51"/>
  <c r="AG21" i="51"/>
  <c r="Z21" i="51"/>
  <c r="F21" i="51"/>
  <c r="J21" i="51"/>
  <c r="H21" i="51"/>
  <c r="AF21" i="51"/>
  <c r="M20" i="51"/>
  <c r="AL20" i="53" s="1"/>
  <c r="R21" i="51"/>
  <c r="AI15" i="51"/>
  <c r="P21" i="51"/>
  <c r="F20" i="53"/>
  <c r="K21" i="53"/>
  <c r="R21" i="53"/>
  <c r="Y21" i="53" s="1"/>
  <c r="AB21" i="53" a="1"/>
  <c r="AB21" i="53" s="1"/>
  <c r="BK21" i="53"/>
  <c r="W21" i="53"/>
  <c r="AK21" i="51"/>
  <c r="AM24" i="55"/>
  <c r="A25" i="55"/>
  <c r="AK24" i="55"/>
  <c r="O23" i="53"/>
  <c r="AX23" i="53" s="1"/>
  <c r="D24" i="53"/>
  <c r="AR11" i="53"/>
  <c r="D24" i="51"/>
  <c r="Y24" i="65"/>
  <c r="Z24" i="65" s="1"/>
  <c r="AA24" i="65" s="1"/>
  <c r="CD26" i="69"/>
  <c r="AA26" i="69"/>
  <c r="I26" i="69"/>
  <c r="BH26" i="69"/>
  <c r="AL26" i="69"/>
  <c r="BS26" i="69"/>
  <c r="AW26" i="69"/>
  <c r="P27" i="69"/>
  <c r="T22" i="51" l="1"/>
  <c r="AK22" i="51"/>
  <c r="AA22" i="51"/>
  <c r="X22" i="51"/>
  <c r="Q22" i="51"/>
  <c r="AH22" i="51"/>
  <c r="AH23" i="51" s="1"/>
  <c r="AE22" i="51"/>
  <c r="AB22" i="51"/>
  <c r="V22" i="51"/>
  <c r="Y22" i="51"/>
  <c r="AT22" i="53"/>
  <c r="O22" i="51"/>
  <c r="AI16" i="51"/>
  <c r="AI17" i="51" s="1"/>
  <c r="AI18" i="51" s="1"/>
  <c r="AI19" i="51" s="1"/>
  <c r="AI20" i="51" s="1"/>
  <c r="AP20" i="53"/>
  <c r="W22" i="65"/>
  <c r="A21" i="53"/>
  <c r="O23" i="69" s="1"/>
  <c r="M21" i="51"/>
  <c r="AL21" i="53" s="1"/>
  <c r="H22" i="51"/>
  <c r="X23" i="65"/>
  <c r="C23" i="51"/>
  <c r="I22" i="51"/>
  <c r="C23" i="53"/>
  <c r="J22" i="51"/>
  <c r="A22" i="51"/>
  <c r="F22" i="51"/>
  <c r="G22" i="51"/>
  <c r="AG22" i="51"/>
  <c r="E22" i="51"/>
  <c r="K22" i="51"/>
  <c r="AF22" i="51"/>
  <c r="AC22" i="51"/>
  <c r="S22" i="51"/>
  <c r="S23" i="51" s="1"/>
  <c r="R22" i="51"/>
  <c r="R23" i="51" s="1"/>
  <c r="AJ22" i="51"/>
  <c r="U22" i="51"/>
  <c r="AD22" i="51"/>
  <c r="R22" i="53"/>
  <c r="Y22" i="53" s="1"/>
  <c r="K22" i="53"/>
  <c r="BK22" i="53"/>
  <c r="AB22" i="53" a="1"/>
  <c r="AB22" i="53" s="1"/>
  <c r="W22" i="53"/>
  <c r="F21" i="53"/>
  <c r="P22" i="51"/>
  <c r="Z22" i="51"/>
  <c r="D25" i="51"/>
  <c r="Y25" i="65"/>
  <c r="Z25" i="65" s="1"/>
  <c r="AA25" i="65" s="1"/>
  <c r="AL24" i="55"/>
  <c r="AE24" i="55"/>
  <c r="A26" i="55"/>
  <c r="AK25" i="55"/>
  <c r="AM25" i="55"/>
  <c r="P12" i="53"/>
  <c r="AQ12" i="53" s="1"/>
  <c r="AR12" i="53" s="1"/>
  <c r="P28" i="69"/>
  <c r="BS27" i="69"/>
  <c r="I27" i="69"/>
  <c r="AW27" i="69"/>
  <c r="AA27" i="69"/>
  <c r="BH27" i="69"/>
  <c r="CD27" i="69"/>
  <c r="AL27" i="69"/>
  <c r="D25" i="53"/>
  <c r="O24" i="53"/>
  <c r="AX24" i="53" s="1"/>
  <c r="AK23" i="51" l="1"/>
  <c r="AA23" i="51"/>
  <c r="V23" i="51"/>
  <c r="AJ23" i="51"/>
  <c r="AB23" i="51"/>
  <c r="Z23" i="51"/>
  <c r="AE23" i="51"/>
  <c r="AE24" i="51" s="1"/>
  <c r="AE25" i="51" s="1"/>
  <c r="AE26" i="51" s="1"/>
  <c r="AE27" i="51" s="1"/>
  <c r="AE28" i="51" s="1"/>
  <c r="AE29" i="51" s="1"/>
  <c r="AE30" i="51" s="1"/>
  <c r="AE31" i="51" s="1"/>
  <c r="AE32" i="51" s="1"/>
  <c r="AE33" i="51" s="1"/>
  <c r="AE34" i="51" s="1"/>
  <c r="AE35" i="51" s="1"/>
  <c r="AE36" i="51" s="1"/>
  <c r="AE37" i="51" s="1"/>
  <c r="AE38" i="51" s="1"/>
  <c r="AE39" i="51" s="1"/>
  <c r="AE40" i="51" s="1"/>
  <c r="AE41" i="51" s="1"/>
  <c r="AE42" i="51" s="1"/>
  <c r="AE43" i="51" s="1"/>
  <c r="AE44" i="51" s="1"/>
  <c r="AE45" i="51" s="1"/>
  <c r="AE46" i="51" s="1"/>
  <c r="AE47" i="51" s="1"/>
  <c r="AE48" i="51" s="1"/>
  <c r="AE49" i="51" s="1"/>
  <c r="AE50" i="51" s="1"/>
  <c r="AE51" i="51" s="1"/>
  <c r="AE52" i="51" s="1"/>
  <c r="AE53" i="51" s="1"/>
  <c r="AE54" i="51" s="1"/>
  <c r="AE55" i="51" s="1"/>
  <c r="AE56" i="51" s="1"/>
  <c r="AE57" i="51" s="1"/>
  <c r="AE58" i="51" s="1"/>
  <c r="AE59" i="51" s="1"/>
  <c r="AE60" i="51" s="1"/>
  <c r="AE61" i="51" s="1"/>
  <c r="AE62" i="51" s="1"/>
  <c r="AE63" i="51" s="1"/>
  <c r="AE64" i="51" s="1"/>
  <c r="AE65" i="51" s="1"/>
  <c r="AE66" i="51" s="1"/>
  <c r="AE67" i="51" s="1"/>
  <c r="AE68" i="51" s="1"/>
  <c r="AE69" i="51" s="1"/>
  <c r="AE70" i="51" s="1"/>
  <c r="AE71" i="51" s="1"/>
  <c r="AE72" i="51" s="1"/>
  <c r="AE73" i="51" s="1"/>
  <c r="AE74" i="51" s="1"/>
  <c r="AE75" i="51" s="1"/>
  <c r="AE76" i="51" s="1"/>
  <c r="AE77" i="51" s="1"/>
  <c r="AE78" i="51" s="1"/>
  <c r="AE79" i="51" s="1"/>
  <c r="AE80" i="51" s="1"/>
  <c r="AE81" i="51" s="1"/>
  <c r="AE82" i="51" s="1"/>
  <c r="AE83" i="51" s="1"/>
  <c r="AE84" i="51" s="1"/>
  <c r="AE85" i="51" s="1"/>
  <c r="AE86" i="51" s="1"/>
  <c r="AE87" i="51" s="1"/>
  <c r="AE88" i="51" s="1"/>
  <c r="AE89" i="51" s="1"/>
  <c r="AE90" i="51" s="1"/>
  <c r="AE91" i="51" s="1"/>
  <c r="AE92" i="51" s="1"/>
  <c r="AE93" i="51" s="1"/>
  <c r="AE94" i="51" s="1"/>
  <c r="AE95" i="51" s="1"/>
  <c r="AE96" i="51" s="1"/>
  <c r="AE97" i="51" s="1"/>
  <c r="AE98" i="51" s="1"/>
  <c r="AE99" i="51" s="1"/>
  <c r="AE100" i="51" s="1"/>
  <c r="AE101" i="51" s="1"/>
  <c r="AE102" i="51" s="1"/>
  <c r="AE103" i="51" s="1"/>
  <c r="AE104" i="51" s="1"/>
  <c r="AE105" i="51" s="1"/>
  <c r="AE106" i="51" s="1"/>
  <c r="AE107" i="51" s="1"/>
  <c r="AE108" i="51" s="1"/>
  <c r="AE109" i="51" s="1"/>
  <c r="AE110" i="51" s="1"/>
  <c r="AE111" i="51" s="1"/>
  <c r="AE112" i="51" s="1"/>
  <c r="AE113" i="51" s="1"/>
  <c r="AE114" i="51" s="1"/>
  <c r="AE115" i="51" s="1"/>
  <c r="AE116" i="51" s="1"/>
  <c r="AE117" i="51" s="1"/>
  <c r="AE118" i="51" s="1"/>
  <c r="AE119" i="51" s="1"/>
  <c r="AE120" i="51" s="1"/>
  <c r="AE121" i="51" s="1"/>
  <c r="AE122" i="51" s="1"/>
  <c r="AE123" i="51" s="1"/>
  <c r="AE124" i="51" s="1"/>
  <c r="AE125" i="51" s="1"/>
  <c r="AE126" i="51" s="1"/>
  <c r="AE128" i="51" s="1"/>
  <c r="AE132" i="51" s="1"/>
  <c r="Q23" i="51"/>
  <c r="AH24" i="51"/>
  <c r="AT23" i="53"/>
  <c r="Y23" i="51"/>
  <c r="A23" i="51"/>
  <c r="W24" i="65" s="1"/>
  <c r="X23" i="51"/>
  <c r="O23" i="51"/>
  <c r="T23" i="51"/>
  <c r="AB23" i="53" a="1"/>
  <c r="AB23" i="53" s="1"/>
  <c r="K23" i="53"/>
  <c r="R23" i="53"/>
  <c r="Y23" i="53" s="1"/>
  <c r="BK23" i="53"/>
  <c r="W23" i="53"/>
  <c r="J23" i="51"/>
  <c r="C24" i="53"/>
  <c r="E23" i="51"/>
  <c r="C24" i="51"/>
  <c r="S24" i="51" s="1"/>
  <c r="G23" i="51"/>
  <c r="I23" i="51"/>
  <c r="X24" i="65"/>
  <c r="K23" i="51"/>
  <c r="H23" i="51"/>
  <c r="AC23" i="51"/>
  <c r="AG23" i="51"/>
  <c r="F23" i="51"/>
  <c r="AF23" i="51"/>
  <c r="AI21" i="51"/>
  <c r="AI22" i="51" s="1"/>
  <c r="F22" i="53"/>
  <c r="P23" i="51"/>
  <c r="M22" i="51"/>
  <c r="AL22" i="53" s="1"/>
  <c r="AD23" i="51"/>
  <c r="AP21" i="53"/>
  <c r="U23" i="51"/>
  <c r="A22" i="53"/>
  <c r="O24" i="69" s="1"/>
  <c r="W23" i="65"/>
  <c r="P13" i="53"/>
  <c r="AQ13" i="53" s="1"/>
  <c r="AR13" i="53" s="1"/>
  <c r="D26" i="53"/>
  <c r="O25" i="53"/>
  <c r="AX25" i="53" s="1"/>
  <c r="AL25" i="55"/>
  <c r="AE25" i="55"/>
  <c r="AM26" i="55"/>
  <c r="AK26" i="55"/>
  <c r="A27" i="55"/>
  <c r="I28" i="69"/>
  <c r="P29" i="69"/>
  <c r="AL28" i="69"/>
  <c r="AA28" i="69"/>
  <c r="AW28" i="69"/>
  <c r="CD28" i="69"/>
  <c r="BH28" i="69"/>
  <c r="BS28" i="69"/>
  <c r="D26" i="51"/>
  <c r="Y26" i="65"/>
  <c r="Z26" i="65" s="1"/>
  <c r="AA26" i="65" s="1"/>
  <c r="V24" i="51" l="1"/>
  <c r="AJ24" i="51"/>
  <c r="AE130" i="51"/>
  <c r="A23" i="53"/>
  <c r="O25" i="69" s="1"/>
  <c r="AT24" i="53"/>
  <c r="O24" i="51"/>
  <c r="O25" i="51" s="1"/>
  <c r="O26" i="51" s="1"/>
  <c r="T24" i="51"/>
  <c r="T25" i="51" s="1"/>
  <c r="T26" i="51" s="1"/>
  <c r="T27" i="51" s="1"/>
  <c r="T28" i="51" s="1"/>
  <c r="T29" i="51" s="1"/>
  <c r="T30" i="51" s="1"/>
  <c r="T31" i="51" s="1"/>
  <c r="T32" i="51" s="1"/>
  <c r="X24" i="51"/>
  <c r="X25" i="51" s="1"/>
  <c r="X26" i="51" s="1"/>
  <c r="X27" i="51" s="1"/>
  <c r="X28" i="51" s="1"/>
  <c r="X29" i="51" s="1"/>
  <c r="X30" i="51" s="1"/>
  <c r="X31" i="51" s="1"/>
  <c r="X32" i="51" s="1"/>
  <c r="X33" i="51" s="1"/>
  <c r="X34" i="51" s="1"/>
  <c r="X35" i="51" s="1"/>
  <c r="X36" i="51" s="1"/>
  <c r="X37" i="51" s="1"/>
  <c r="X38" i="51" s="1"/>
  <c r="X39" i="51" s="1"/>
  <c r="X40" i="51" s="1"/>
  <c r="X41" i="51" s="1"/>
  <c r="X42" i="51" s="1"/>
  <c r="X43" i="51" s="1"/>
  <c r="X44" i="51" s="1"/>
  <c r="X45" i="51" s="1"/>
  <c r="X46" i="51" s="1"/>
  <c r="X47" i="51" s="1"/>
  <c r="X48" i="51" s="1"/>
  <c r="X49" i="51" s="1"/>
  <c r="X50" i="51" s="1"/>
  <c r="X51" i="51" s="1"/>
  <c r="X52" i="51" s="1"/>
  <c r="X53" i="51" s="1"/>
  <c r="X54" i="51" s="1"/>
  <c r="X55" i="51" s="1"/>
  <c r="X56" i="51" s="1"/>
  <c r="X57" i="51" s="1"/>
  <c r="X58" i="51" s="1"/>
  <c r="X59" i="51" s="1"/>
  <c r="X60" i="51" s="1"/>
  <c r="X61" i="51" s="1"/>
  <c r="X62" i="51" s="1"/>
  <c r="X63" i="51" s="1"/>
  <c r="X64" i="51" s="1"/>
  <c r="X65" i="51" s="1"/>
  <c r="X66" i="51" s="1"/>
  <c r="X67" i="51" s="1"/>
  <c r="X68" i="51" s="1"/>
  <c r="X69" i="51" s="1"/>
  <c r="X70" i="51" s="1"/>
  <c r="X71" i="51" s="1"/>
  <c r="X72" i="51" s="1"/>
  <c r="X73" i="51" s="1"/>
  <c r="X74" i="51" s="1"/>
  <c r="X75" i="51" s="1"/>
  <c r="X76" i="51" s="1"/>
  <c r="X77" i="51" s="1"/>
  <c r="X78" i="51" s="1"/>
  <c r="X79" i="51" s="1"/>
  <c r="X80" i="51" s="1"/>
  <c r="X81" i="51" s="1"/>
  <c r="X82" i="51" s="1"/>
  <c r="X83" i="51" s="1"/>
  <c r="X84" i="51" s="1"/>
  <c r="X85" i="51" s="1"/>
  <c r="X86" i="51" s="1"/>
  <c r="X87" i="51" s="1"/>
  <c r="X88" i="51" s="1"/>
  <c r="X89" i="51" s="1"/>
  <c r="X90" i="51" s="1"/>
  <c r="X91" i="51" s="1"/>
  <c r="X92" i="51" s="1"/>
  <c r="X93" i="51" s="1"/>
  <c r="X94" i="51" s="1"/>
  <c r="X95" i="51" s="1"/>
  <c r="X96" i="51" s="1"/>
  <c r="X97" i="51" s="1"/>
  <c r="X98" i="51" s="1"/>
  <c r="X99" i="51" s="1"/>
  <c r="X100" i="51" s="1"/>
  <c r="X101" i="51" s="1"/>
  <c r="X102" i="51" s="1"/>
  <c r="X103" i="51" s="1"/>
  <c r="X104" i="51" s="1"/>
  <c r="X105" i="51" s="1"/>
  <c r="X106" i="51" s="1"/>
  <c r="X107" i="51" s="1"/>
  <c r="X108" i="51" s="1"/>
  <c r="X109" i="51" s="1"/>
  <c r="X110" i="51" s="1"/>
  <c r="X111" i="51" s="1"/>
  <c r="X112" i="51" s="1"/>
  <c r="X113" i="51" s="1"/>
  <c r="X114" i="51" s="1"/>
  <c r="X115" i="51" s="1"/>
  <c r="X116" i="51" s="1"/>
  <c r="X117" i="51" s="1"/>
  <c r="X118" i="51" s="1"/>
  <c r="X119" i="51" s="1"/>
  <c r="X120" i="51" s="1"/>
  <c r="X121" i="51" s="1"/>
  <c r="X122" i="51" s="1"/>
  <c r="X123" i="51" s="1"/>
  <c r="X124" i="51" s="1"/>
  <c r="X125" i="51" s="1"/>
  <c r="X126" i="51" s="1"/>
  <c r="X128" i="51" s="1"/>
  <c r="Z24" i="51"/>
  <c r="Y24" i="51"/>
  <c r="Y25" i="51" s="1"/>
  <c r="Y26" i="51" s="1"/>
  <c r="Y27" i="51" s="1"/>
  <c r="Y28" i="51" s="1"/>
  <c r="Y29" i="51" s="1"/>
  <c r="Y30" i="51" s="1"/>
  <c r="Y31" i="51" s="1"/>
  <c r="Y32" i="51" s="1"/>
  <c r="Y33" i="51" s="1"/>
  <c r="Y34" i="51" s="1"/>
  <c r="Y35" i="51" s="1"/>
  <c r="Y36" i="51" s="1"/>
  <c r="Y37" i="51" s="1"/>
  <c r="Y38" i="51" s="1"/>
  <c r="Y39" i="51" s="1"/>
  <c r="Y40" i="51" s="1"/>
  <c r="Y41" i="51" s="1"/>
  <c r="Y42" i="51" s="1"/>
  <c r="Y43" i="51" s="1"/>
  <c r="Y44" i="51" s="1"/>
  <c r="Y45" i="51" s="1"/>
  <c r="Y46" i="51" s="1"/>
  <c r="Y47" i="51" s="1"/>
  <c r="Y48" i="51" s="1"/>
  <c r="Y49" i="51" s="1"/>
  <c r="Y50" i="51" s="1"/>
  <c r="Y51" i="51" s="1"/>
  <c r="Y52" i="51" s="1"/>
  <c r="Y53" i="51" s="1"/>
  <c r="Y54" i="51" s="1"/>
  <c r="Y55" i="51" s="1"/>
  <c r="Y56" i="51" s="1"/>
  <c r="Y57" i="51" s="1"/>
  <c r="Y58" i="51" s="1"/>
  <c r="Y59" i="51" s="1"/>
  <c r="Y60" i="51" s="1"/>
  <c r="Y61" i="51" s="1"/>
  <c r="Y62" i="51" s="1"/>
  <c r="Y63" i="51" s="1"/>
  <c r="Y64" i="51" s="1"/>
  <c r="Y65" i="51" s="1"/>
  <c r="Y66" i="51" s="1"/>
  <c r="Y67" i="51" s="1"/>
  <c r="Y68" i="51" s="1"/>
  <c r="Y69" i="51" s="1"/>
  <c r="Y70" i="51" s="1"/>
  <c r="Y71" i="51" s="1"/>
  <c r="Y72" i="51" s="1"/>
  <c r="Y73" i="51" s="1"/>
  <c r="Y74" i="51" s="1"/>
  <c r="Y75" i="51" s="1"/>
  <c r="Y76" i="51" s="1"/>
  <c r="Y77" i="51" s="1"/>
  <c r="Y78" i="51" s="1"/>
  <c r="Y79" i="51" s="1"/>
  <c r="Y80" i="51" s="1"/>
  <c r="Y81" i="51" s="1"/>
  <c r="Y82" i="51" s="1"/>
  <c r="Y83" i="51" s="1"/>
  <c r="Y84" i="51" s="1"/>
  <c r="Y85" i="51" s="1"/>
  <c r="Y86" i="51" s="1"/>
  <c r="Y87" i="51" s="1"/>
  <c r="Y88" i="51" s="1"/>
  <c r="Y89" i="51" s="1"/>
  <c r="Y90" i="51" s="1"/>
  <c r="Y91" i="51" s="1"/>
  <c r="Y92" i="51" s="1"/>
  <c r="Y93" i="51" s="1"/>
  <c r="Y94" i="51" s="1"/>
  <c r="Y95" i="51" s="1"/>
  <c r="Y96" i="51" s="1"/>
  <c r="Y97" i="51" s="1"/>
  <c r="Y98" i="51" s="1"/>
  <c r="Y99" i="51" s="1"/>
  <c r="Y100" i="51" s="1"/>
  <c r="Y101" i="51" s="1"/>
  <c r="Y102" i="51" s="1"/>
  <c r="Y103" i="51" s="1"/>
  <c r="Y104" i="51" s="1"/>
  <c r="Y105" i="51" s="1"/>
  <c r="Y106" i="51" s="1"/>
  <c r="Y107" i="51" s="1"/>
  <c r="Y108" i="51" s="1"/>
  <c r="Y109" i="51" s="1"/>
  <c r="Y110" i="51" s="1"/>
  <c r="Y111" i="51" s="1"/>
  <c r="Y112" i="51" s="1"/>
  <c r="Y113" i="51" s="1"/>
  <c r="Y114" i="51" s="1"/>
  <c r="Y115" i="51" s="1"/>
  <c r="Y116" i="51" s="1"/>
  <c r="Y117" i="51" s="1"/>
  <c r="Y118" i="51" s="1"/>
  <c r="Y119" i="51" s="1"/>
  <c r="Y120" i="51" s="1"/>
  <c r="Y121" i="51" s="1"/>
  <c r="Y122" i="51" s="1"/>
  <c r="Y123" i="51" s="1"/>
  <c r="Y124" i="51" s="1"/>
  <c r="Y125" i="51" s="1"/>
  <c r="Y126" i="51" s="1"/>
  <c r="Y128" i="51" s="1"/>
  <c r="U24" i="51"/>
  <c r="AD24" i="51"/>
  <c r="Q24" i="51"/>
  <c r="F23" i="53"/>
  <c r="AP22" i="53"/>
  <c r="AI23" i="51"/>
  <c r="AI24" i="51" s="1"/>
  <c r="P24" i="51"/>
  <c r="A24" i="51"/>
  <c r="AF24" i="51"/>
  <c r="AG24" i="51"/>
  <c r="AC24" i="51"/>
  <c r="H24" i="51"/>
  <c r="E24" i="51"/>
  <c r="F24" i="51"/>
  <c r="G24" i="51"/>
  <c r="C25" i="51"/>
  <c r="A25" i="51" s="1"/>
  <c r="I24" i="51"/>
  <c r="AK24" i="51"/>
  <c r="K24" i="51"/>
  <c r="AB24" i="51"/>
  <c r="C25" i="53"/>
  <c r="X25" i="65"/>
  <c r="AA24" i="51"/>
  <c r="J24" i="51"/>
  <c r="BK24" i="53"/>
  <c r="R24" i="53"/>
  <c r="Y24" i="53" s="1"/>
  <c r="W24" i="53"/>
  <c r="AB24" i="53" a="1"/>
  <c r="AB24" i="53" s="1"/>
  <c r="R24" i="51"/>
  <c r="M23" i="51"/>
  <c r="AL23" i="53" s="1"/>
  <c r="P14" i="53"/>
  <c r="AQ14" i="53" s="1"/>
  <c r="AR14" i="53" s="1"/>
  <c r="D27" i="51"/>
  <c r="Y27" i="65"/>
  <c r="Z27" i="65" s="1"/>
  <c r="AA27" i="65" s="1"/>
  <c r="AL26" i="55"/>
  <c r="AE26" i="55"/>
  <c r="AK27" i="55"/>
  <c r="AM27" i="55"/>
  <c r="A28" i="55"/>
  <c r="BH29" i="69"/>
  <c r="AW29" i="69"/>
  <c r="P30" i="69"/>
  <c r="BS29" i="69"/>
  <c r="CD29" i="69"/>
  <c r="AL29" i="69"/>
  <c r="AA29" i="69"/>
  <c r="I29" i="69"/>
  <c r="O26" i="53"/>
  <c r="AX26" i="53" s="1"/>
  <c r="D27" i="53"/>
  <c r="V25" i="51" l="1"/>
  <c r="Z25" i="51"/>
  <c r="S25" i="51"/>
  <c r="AA25" i="51"/>
  <c r="AB25" i="51"/>
  <c r="Q25" i="51"/>
  <c r="AD25" i="51"/>
  <c r="AH25" i="51"/>
  <c r="U25" i="51"/>
  <c r="AT25" i="53"/>
  <c r="Y132" i="51"/>
  <c r="Y130" i="51"/>
  <c r="X130" i="51"/>
  <c r="X132" i="51"/>
  <c r="T33" i="51"/>
  <c r="T34" i="51" s="1"/>
  <c r="T35" i="51" s="1"/>
  <c r="T36" i="51" s="1"/>
  <c r="T37" i="51" s="1"/>
  <c r="T38" i="51" s="1"/>
  <c r="T39" i="51" s="1"/>
  <c r="T40" i="51" s="1"/>
  <c r="T41" i="51" s="1"/>
  <c r="T42" i="51" s="1"/>
  <c r="T43" i="51" s="1"/>
  <c r="T44" i="51" s="1"/>
  <c r="T45" i="51" s="1"/>
  <c r="T46" i="51" s="1"/>
  <c r="T47" i="51" s="1"/>
  <c r="T48" i="51" s="1"/>
  <c r="T49" i="51" s="1"/>
  <c r="T50" i="51" s="1"/>
  <c r="T51" i="51" s="1"/>
  <c r="T52" i="51" s="1"/>
  <c r="T53" i="51" s="1"/>
  <c r="T54" i="51" s="1"/>
  <c r="T55" i="51" s="1"/>
  <c r="T56" i="51" s="1"/>
  <c r="T57" i="51" s="1"/>
  <c r="T58" i="51" s="1"/>
  <c r="T59" i="51" s="1"/>
  <c r="T60" i="51" s="1"/>
  <c r="T61" i="51" s="1"/>
  <c r="T62" i="51" s="1"/>
  <c r="T63" i="51" s="1"/>
  <c r="T64" i="51" s="1"/>
  <c r="T65" i="51" s="1"/>
  <c r="T66" i="51" s="1"/>
  <c r="T67" i="51" s="1"/>
  <c r="T68" i="51" s="1"/>
  <c r="T69" i="51" s="1"/>
  <c r="T70" i="51" s="1"/>
  <c r="T71" i="51" s="1"/>
  <c r="T72" i="51" s="1"/>
  <c r="T73" i="51" s="1"/>
  <c r="T74" i="51" s="1"/>
  <c r="T75" i="51" s="1"/>
  <c r="T76" i="51" s="1"/>
  <c r="T77" i="51" s="1"/>
  <c r="T78" i="51" s="1"/>
  <c r="T79" i="51" s="1"/>
  <c r="T80" i="51" s="1"/>
  <c r="T81" i="51" s="1"/>
  <c r="T82" i="51" s="1"/>
  <c r="T83" i="51" s="1"/>
  <c r="T84" i="51" s="1"/>
  <c r="T85" i="51" s="1"/>
  <c r="T86" i="51" s="1"/>
  <c r="T87" i="51" s="1"/>
  <c r="T88" i="51" s="1"/>
  <c r="T89" i="51" s="1"/>
  <c r="T90" i="51" s="1"/>
  <c r="T91" i="51" s="1"/>
  <c r="T92" i="51" s="1"/>
  <c r="T93" i="51" s="1"/>
  <c r="T94" i="51" s="1"/>
  <c r="T95" i="51" s="1"/>
  <c r="T96" i="51" s="1"/>
  <c r="T97" i="51" s="1"/>
  <c r="T98" i="51" s="1"/>
  <c r="T99" i="51" s="1"/>
  <c r="T100" i="51" s="1"/>
  <c r="T101" i="51" s="1"/>
  <c r="T102" i="51" s="1"/>
  <c r="T103" i="51" s="1"/>
  <c r="T104" i="51" s="1"/>
  <c r="T105" i="51" s="1"/>
  <c r="T106" i="51" s="1"/>
  <c r="T107" i="51" s="1"/>
  <c r="T108" i="51" s="1"/>
  <c r="T109" i="51" s="1"/>
  <c r="T110" i="51" s="1"/>
  <c r="T111" i="51" s="1"/>
  <c r="T112" i="51" s="1"/>
  <c r="T113" i="51" s="1"/>
  <c r="T114" i="51" s="1"/>
  <c r="T115" i="51" s="1"/>
  <c r="T116" i="51" s="1"/>
  <c r="T117" i="51" s="1"/>
  <c r="T118" i="51" s="1"/>
  <c r="T119" i="51" s="1"/>
  <c r="T120" i="51" s="1"/>
  <c r="T121" i="51" s="1"/>
  <c r="T122" i="51" s="1"/>
  <c r="T123" i="51" s="1"/>
  <c r="T124" i="51" s="1"/>
  <c r="T125" i="51" s="1"/>
  <c r="T126" i="51" s="1"/>
  <c r="T128" i="51" s="1"/>
  <c r="O27" i="51"/>
  <c r="AP23" i="53"/>
  <c r="F24" i="53"/>
  <c r="W26" i="65"/>
  <c r="A25" i="53"/>
  <c r="O27" i="69" s="1"/>
  <c r="K25" i="51"/>
  <c r="X26" i="65"/>
  <c r="F25" i="51"/>
  <c r="I25" i="51"/>
  <c r="C26" i="53"/>
  <c r="AC25" i="51"/>
  <c r="G25" i="51"/>
  <c r="AG25" i="51"/>
  <c r="J25" i="51"/>
  <c r="C26" i="51"/>
  <c r="A26" i="51" s="1"/>
  <c r="H25" i="51"/>
  <c r="AF25" i="51"/>
  <c r="E25" i="51"/>
  <c r="W25" i="65"/>
  <c r="A24" i="53"/>
  <c r="O26" i="69" s="1"/>
  <c r="M24" i="51"/>
  <c r="AL24" i="53" s="1"/>
  <c r="P25" i="51"/>
  <c r="K25" i="53"/>
  <c r="R25" i="53"/>
  <c r="Y25" i="53" s="1"/>
  <c r="AB25" i="53" a="1"/>
  <c r="AB25" i="53" s="1"/>
  <c r="W25" i="53"/>
  <c r="BK25" i="53"/>
  <c r="AI25" i="51"/>
  <c r="R25" i="51"/>
  <c r="AK25" i="51"/>
  <c r="AJ25" i="51"/>
  <c r="P15" i="53"/>
  <c r="AQ15" i="53" s="1"/>
  <c r="AR15" i="53" s="1"/>
  <c r="O27" i="53"/>
  <c r="AX27" i="53" s="1"/>
  <c r="D28" i="53"/>
  <c r="AM28" i="55"/>
  <c r="A29" i="55"/>
  <c r="AK28" i="55"/>
  <c r="BS30" i="69"/>
  <c r="AW30" i="69"/>
  <c r="P31" i="69"/>
  <c r="CD30" i="69"/>
  <c r="AA30" i="69"/>
  <c r="BH30" i="69"/>
  <c r="I30" i="69"/>
  <c r="AL30" i="69"/>
  <c r="AE27" i="55"/>
  <c r="AL27" i="55"/>
  <c r="Y28" i="65"/>
  <c r="Z28" i="65" s="1"/>
  <c r="AA28" i="65" s="1"/>
  <c r="D28" i="51"/>
  <c r="AH26" i="51" l="1"/>
  <c r="AT26" i="53"/>
  <c r="O28" i="51"/>
  <c r="T130" i="51"/>
  <c r="T132" i="51"/>
  <c r="AJ26" i="51"/>
  <c r="Q26" i="51"/>
  <c r="U26" i="51"/>
  <c r="R26" i="51"/>
  <c r="AI26" i="51"/>
  <c r="AP24" i="53"/>
  <c r="Z26" i="51"/>
  <c r="V26" i="51"/>
  <c r="W27" i="65"/>
  <c r="A26" i="53"/>
  <c r="O28" i="69" s="1"/>
  <c r="M25" i="51"/>
  <c r="AL25" i="53" s="1"/>
  <c r="AD26" i="51"/>
  <c r="F25" i="53"/>
  <c r="P26" i="51"/>
  <c r="R26" i="53"/>
  <c r="Y26" i="53" s="1"/>
  <c r="K26" i="53"/>
  <c r="W26" i="53"/>
  <c r="AB26" i="53" a="1"/>
  <c r="AB26" i="53" s="1"/>
  <c r="BK26" i="53"/>
  <c r="AA26" i="51"/>
  <c r="J26" i="51"/>
  <c r="C27" i="53"/>
  <c r="S26" i="51"/>
  <c r="AC26" i="51"/>
  <c r="K26" i="51"/>
  <c r="AB26" i="51"/>
  <c r="AF26" i="51"/>
  <c r="X27" i="65"/>
  <c r="AG26" i="51"/>
  <c r="F26" i="51"/>
  <c r="I26" i="51"/>
  <c r="C27" i="51"/>
  <c r="E26" i="51"/>
  <c r="G26" i="51"/>
  <c r="H26" i="51"/>
  <c r="A27" i="51"/>
  <c r="AK26" i="51"/>
  <c r="O28" i="53"/>
  <c r="AX28" i="53" s="1"/>
  <c r="D29" i="53"/>
  <c r="D29" i="51"/>
  <c r="Y29" i="65"/>
  <c r="Z29" i="65" s="1"/>
  <c r="AA29" i="65" s="1"/>
  <c r="AA31" i="69"/>
  <c r="BS31" i="69"/>
  <c r="I31" i="69"/>
  <c r="P32" i="69"/>
  <c r="AL31" i="69"/>
  <c r="CD31" i="69"/>
  <c r="BH31" i="69"/>
  <c r="AW31" i="69"/>
  <c r="AL28" i="55"/>
  <c r="AE28" i="55"/>
  <c r="AK29" i="55"/>
  <c r="A30" i="55"/>
  <c r="AM29" i="55"/>
  <c r="P16" i="53"/>
  <c r="AQ16" i="53" s="1"/>
  <c r="AR16" i="53" s="1"/>
  <c r="AA27" i="51" l="1"/>
  <c r="AD27" i="51"/>
  <c r="AJ27" i="51"/>
  <c r="AI27" i="51"/>
  <c r="AH27" i="51"/>
  <c r="AT27" i="53"/>
  <c r="U27" i="51"/>
  <c r="O29" i="51"/>
  <c r="Q27" i="51"/>
  <c r="Z27" i="51"/>
  <c r="A27" i="53"/>
  <c r="O29" i="69" s="1"/>
  <c r="W28" i="65"/>
  <c r="AK27" i="51"/>
  <c r="AB27" i="51"/>
  <c r="M26" i="51"/>
  <c r="AL26" i="53" s="1"/>
  <c r="F26" i="53"/>
  <c r="P27" i="51"/>
  <c r="I27" i="51"/>
  <c r="J27" i="51"/>
  <c r="AF27" i="51"/>
  <c r="F27" i="51"/>
  <c r="AG27" i="51"/>
  <c r="K27" i="51"/>
  <c r="G27" i="51"/>
  <c r="AC27" i="51"/>
  <c r="H27" i="51"/>
  <c r="C28" i="53"/>
  <c r="E27" i="51"/>
  <c r="X28" i="65"/>
  <c r="C28" i="51"/>
  <c r="R27" i="51"/>
  <c r="V27" i="51"/>
  <c r="S27" i="51"/>
  <c r="S28" i="51" s="1"/>
  <c r="AB27" i="53" a="1"/>
  <c r="AB27" i="53" s="1"/>
  <c r="K27" i="53"/>
  <c r="W27" i="53"/>
  <c r="BK27" i="53"/>
  <c r="R27" i="53"/>
  <c r="Y27" i="53" s="1"/>
  <c r="AP25" i="53"/>
  <c r="P17" i="53"/>
  <c r="AQ17" i="53" s="1"/>
  <c r="AR17" i="53" s="1"/>
  <c r="AM30" i="55"/>
  <c r="A31" i="55"/>
  <c r="AK30" i="55"/>
  <c r="AL29" i="55"/>
  <c r="AE29" i="55"/>
  <c r="Y30" i="65"/>
  <c r="Z30" i="65" s="1"/>
  <c r="AA30" i="65" s="1"/>
  <c r="D30" i="51"/>
  <c r="I32" i="69"/>
  <c r="AA32" i="69"/>
  <c r="AL32" i="69"/>
  <c r="BS32" i="69"/>
  <c r="AW32" i="69"/>
  <c r="P33" i="69"/>
  <c r="CD32" i="69"/>
  <c r="BH32" i="69"/>
  <c r="O29" i="53"/>
  <c r="AX29" i="53" s="1"/>
  <c r="D30" i="53"/>
  <c r="AT28" i="53" l="1"/>
  <c r="AJ28" i="51"/>
  <c r="AH28" i="51"/>
  <c r="AH29" i="51" s="1"/>
  <c r="O30" i="51"/>
  <c r="O31" i="51" s="1"/>
  <c r="AP26" i="53"/>
  <c r="AB28" i="51"/>
  <c r="AK28" i="51"/>
  <c r="V28" i="51"/>
  <c r="Z28" i="51"/>
  <c r="AA28" i="51"/>
  <c r="A28" i="51"/>
  <c r="Q28" i="51"/>
  <c r="K28" i="53"/>
  <c r="W28" i="53"/>
  <c r="AB28" i="53" a="1"/>
  <c r="AB28" i="53" s="1"/>
  <c r="BK28" i="53"/>
  <c r="R28" i="53"/>
  <c r="Y28" i="53" s="1"/>
  <c r="K28" i="51"/>
  <c r="G28" i="51"/>
  <c r="AI28" i="51"/>
  <c r="E28" i="51"/>
  <c r="AF28" i="51"/>
  <c r="J28" i="51"/>
  <c r="F28" i="51"/>
  <c r="C29" i="53"/>
  <c r="AC28" i="51"/>
  <c r="I28" i="51"/>
  <c r="X29" i="65"/>
  <c r="C29" i="51"/>
  <c r="AG28" i="51"/>
  <c r="H28" i="51"/>
  <c r="U28" i="51"/>
  <c r="M27" i="51"/>
  <c r="AL27" i="53" s="1"/>
  <c r="P28" i="51"/>
  <c r="F27" i="53"/>
  <c r="AD28" i="51"/>
  <c r="R28" i="51"/>
  <c r="AK31" i="55"/>
  <c r="AM31" i="55"/>
  <c r="A32" i="55"/>
  <c r="BH33" i="69"/>
  <c r="P34" i="69"/>
  <c r="CD33" i="69"/>
  <c r="I33" i="69"/>
  <c r="BS33" i="69"/>
  <c r="AL33" i="69"/>
  <c r="AA33" i="69"/>
  <c r="AW33" i="69"/>
  <c r="AE30" i="55"/>
  <c r="AL30" i="55"/>
  <c r="D31" i="53"/>
  <c r="O30" i="53"/>
  <c r="AX30" i="53" s="1"/>
  <c r="D31" i="51"/>
  <c r="Y31" i="65"/>
  <c r="Z31" i="65" s="1"/>
  <c r="AA31" i="65" s="1"/>
  <c r="P18" i="53"/>
  <c r="AQ18" i="53" s="1"/>
  <c r="AR18" i="53" s="1"/>
  <c r="AK29" i="51" l="1"/>
  <c r="Z29" i="51"/>
  <c r="AT29" i="53"/>
  <c r="AJ29" i="51"/>
  <c r="O32" i="51"/>
  <c r="AP27" i="53"/>
  <c r="M28" i="51"/>
  <c r="AL28" i="53" s="1"/>
  <c r="Q29" i="51"/>
  <c r="AI29" i="51"/>
  <c r="U29" i="51"/>
  <c r="A28" i="53"/>
  <c r="O30" i="69" s="1"/>
  <c r="W29" i="65"/>
  <c r="F28" i="53"/>
  <c r="P29" i="51"/>
  <c r="K29" i="51"/>
  <c r="E29" i="51"/>
  <c r="AC29" i="51"/>
  <c r="F29" i="51"/>
  <c r="J29" i="51"/>
  <c r="C30" i="53"/>
  <c r="G29" i="51"/>
  <c r="X30" i="65"/>
  <c r="AF29" i="51"/>
  <c r="H29" i="51"/>
  <c r="AG29" i="51"/>
  <c r="C30" i="51"/>
  <c r="A30" i="51" s="1"/>
  <c r="I29" i="51"/>
  <c r="R29" i="51"/>
  <c r="A29" i="51"/>
  <c r="K29" i="53"/>
  <c r="W29" i="53"/>
  <c r="BK29" i="53"/>
  <c r="AB29" i="53" a="1"/>
  <c r="AB29" i="53" s="1"/>
  <c r="R29" i="53"/>
  <c r="Y29" i="53" s="1"/>
  <c r="AA29" i="51"/>
  <c r="AB29" i="51"/>
  <c r="S29" i="51"/>
  <c r="AD29" i="51"/>
  <c r="V29" i="51"/>
  <c r="P19" i="53"/>
  <c r="AQ19" i="53" s="1"/>
  <c r="AR19" i="53" s="1"/>
  <c r="A33" i="55"/>
  <c r="AK32" i="55"/>
  <c r="AM32" i="55"/>
  <c r="D32" i="51"/>
  <c r="Y32" i="65"/>
  <c r="Z32" i="65" s="1"/>
  <c r="AA32" i="65" s="1"/>
  <c r="AA34" i="69"/>
  <c r="BS34" i="69"/>
  <c r="AW34" i="69"/>
  <c r="P35" i="69"/>
  <c r="I34" i="69"/>
  <c r="AL34" i="69"/>
  <c r="CD34" i="69"/>
  <c r="BH34" i="69"/>
  <c r="D32" i="53"/>
  <c r="O31" i="53"/>
  <c r="AX31" i="53" s="1"/>
  <c r="AT30" i="53" l="1"/>
  <c r="AH30" i="51"/>
  <c r="AD30" i="51"/>
  <c r="P30" i="51"/>
  <c r="AI30" i="51"/>
  <c r="Q30" i="51"/>
  <c r="R30" i="51"/>
  <c r="O33" i="51"/>
  <c r="V30" i="51"/>
  <c r="A30" i="53"/>
  <c r="O32" i="69" s="1"/>
  <c r="W31" i="65"/>
  <c r="A29" i="53"/>
  <c r="O31" i="69" s="1"/>
  <c r="W30" i="65"/>
  <c r="AB30" i="51"/>
  <c r="F29" i="53"/>
  <c r="AP28" i="53"/>
  <c r="AA30" i="51"/>
  <c r="Z30" i="51"/>
  <c r="AB30" i="53" a="1"/>
  <c r="AB30" i="53" s="1"/>
  <c r="R30" i="53"/>
  <c r="Y30" i="53" s="1"/>
  <c r="W30" i="53"/>
  <c r="AT31" i="53" s="1"/>
  <c r="BK30" i="53"/>
  <c r="AK30" i="51"/>
  <c r="F30" i="51"/>
  <c r="H30" i="51"/>
  <c r="K30" i="51"/>
  <c r="E30" i="51"/>
  <c r="J30" i="51"/>
  <c r="C31" i="51"/>
  <c r="A31" i="51" s="1"/>
  <c r="AC30" i="51"/>
  <c r="AG30" i="51"/>
  <c r="G30" i="51"/>
  <c r="X31" i="65"/>
  <c r="I30" i="51"/>
  <c r="C31" i="53"/>
  <c r="AF30" i="51"/>
  <c r="U30" i="51"/>
  <c r="AJ30" i="51"/>
  <c r="M29" i="51"/>
  <c r="AL29" i="53" s="1"/>
  <c r="S30" i="51"/>
  <c r="D33" i="53"/>
  <c r="O32" i="53"/>
  <c r="AX32" i="53" s="1"/>
  <c r="BS35" i="69"/>
  <c r="AL35" i="69"/>
  <c r="AW35" i="69"/>
  <c r="BH35" i="69"/>
  <c r="AA35" i="69"/>
  <c r="I35" i="69"/>
  <c r="CD35" i="69"/>
  <c r="P36" i="69"/>
  <c r="AE32" i="55"/>
  <c r="AL32" i="55"/>
  <c r="AK33" i="55"/>
  <c r="AM33" i="55"/>
  <c r="A34" i="55"/>
  <c r="Y33" i="65"/>
  <c r="Z33" i="65" s="1"/>
  <c r="AA33" i="65" s="1"/>
  <c r="D33" i="51"/>
  <c r="P20" i="53"/>
  <c r="AQ20" i="53" s="1"/>
  <c r="AR20" i="53" s="1"/>
  <c r="U31" i="51" l="1"/>
  <c r="AD31" i="51"/>
  <c r="R31" i="51"/>
  <c r="AB31" i="51"/>
  <c r="AH31" i="51"/>
  <c r="AH32" i="51" s="1"/>
  <c r="O34" i="51"/>
  <c r="AP29" i="53"/>
  <c r="AF31" i="51"/>
  <c r="J31" i="51"/>
  <c r="C32" i="53"/>
  <c r="I31" i="51"/>
  <c r="H31" i="51"/>
  <c r="K31" i="51"/>
  <c r="G31" i="51"/>
  <c r="C32" i="51"/>
  <c r="E31" i="51"/>
  <c r="AG31" i="51"/>
  <c r="X32" i="65"/>
  <c r="F31" i="51"/>
  <c r="AC31" i="51"/>
  <c r="V31" i="51"/>
  <c r="P31" i="51"/>
  <c r="AK31" i="51"/>
  <c r="AK32" i="51" s="1"/>
  <c r="AA31" i="51"/>
  <c r="AA32" i="51" s="1"/>
  <c r="Q31" i="51"/>
  <c r="R31" i="53"/>
  <c r="Y31" i="53" s="1"/>
  <c r="W31" i="53"/>
  <c r="AT32" i="53" s="1"/>
  <c r="AB31" i="53" a="1"/>
  <c r="AB31" i="53" s="1"/>
  <c r="BK31" i="53"/>
  <c r="AI31" i="51"/>
  <c r="W32" i="65"/>
  <c r="A31" i="53"/>
  <c r="O33" i="69" s="1"/>
  <c r="S31" i="51"/>
  <c r="Z31" i="51"/>
  <c r="M30" i="51"/>
  <c r="AL30" i="53" s="1"/>
  <c r="AJ31" i="51"/>
  <c r="F30" i="53"/>
  <c r="P21" i="53"/>
  <c r="AQ21" i="53" s="1"/>
  <c r="AR21" i="53" s="1"/>
  <c r="Y34" i="65"/>
  <c r="Z34" i="65" s="1"/>
  <c r="AA34" i="65" s="1"/>
  <c r="D34" i="51"/>
  <c r="AM34" i="55"/>
  <c r="A35" i="55"/>
  <c r="AK34" i="55"/>
  <c r="AL33" i="55"/>
  <c r="AE33" i="55"/>
  <c r="BH36" i="69"/>
  <c r="AW36" i="69"/>
  <c r="I36" i="69"/>
  <c r="BS36" i="69"/>
  <c r="CD36" i="69"/>
  <c r="P37" i="69"/>
  <c r="AA36" i="69"/>
  <c r="AL36" i="69"/>
  <c r="D34" i="53"/>
  <c r="O33" i="53"/>
  <c r="AX33" i="53" s="1"/>
  <c r="AB32" i="51" l="1"/>
  <c r="AH33" i="51"/>
  <c r="AI32" i="51"/>
  <c r="O35" i="51"/>
  <c r="Z32" i="51"/>
  <c r="V32" i="51"/>
  <c r="S32" i="51"/>
  <c r="AJ32" i="51"/>
  <c r="Q32" i="51"/>
  <c r="AB32" i="53" a="1"/>
  <c r="AB32" i="53" s="1"/>
  <c r="W32" i="53"/>
  <c r="AT33" i="53" s="1"/>
  <c r="R32" i="53"/>
  <c r="Y32" i="53" s="1"/>
  <c r="K32" i="53"/>
  <c r="BK32" i="53"/>
  <c r="AP30" i="53"/>
  <c r="K32" i="51"/>
  <c r="AG32" i="51"/>
  <c r="J32" i="51"/>
  <c r="E32" i="51"/>
  <c r="F32" i="51"/>
  <c r="G32" i="51"/>
  <c r="C33" i="51"/>
  <c r="C33" i="53"/>
  <c r="X33" i="65"/>
  <c r="R32" i="51"/>
  <c r="AC32" i="51"/>
  <c r="I32" i="51"/>
  <c r="AF32" i="51"/>
  <c r="AD32" i="51"/>
  <c r="A32" i="51"/>
  <c r="H32" i="51"/>
  <c r="U32" i="51"/>
  <c r="F31" i="53"/>
  <c r="P32" i="51"/>
  <c r="M31" i="51"/>
  <c r="AL31" i="53" s="1"/>
  <c r="P22" i="53"/>
  <c r="AQ22" i="53" s="1"/>
  <c r="AR22" i="53" s="1"/>
  <c r="AW37" i="69"/>
  <c r="AL37" i="69"/>
  <c r="CD37" i="69"/>
  <c r="I37" i="69"/>
  <c r="P38" i="69"/>
  <c r="BH37" i="69"/>
  <c r="BS37" i="69"/>
  <c r="AA37" i="69"/>
  <c r="AL34" i="55"/>
  <c r="AE34" i="55"/>
  <c r="AK35" i="55"/>
  <c r="AM35" i="55"/>
  <c r="A36" i="55"/>
  <c r="D35" i="53"/>
  <c r="O34" i="53"/>
  <c r="AX34" i="53" s="1"/>
  <c r="D35" i="51"/>
  <c r="Y35" i="65"/>
  <c r="Z35" i="65" s="1"/>
  <c r="AA35" i="65" s="1"/>
  <c r="AB33" i="51" l="1"/>
  <c r="U33" i="51"/>
  <c r="AI33" i="51"/>
  <c r="Z33" i="51"/>
  <c r="O36" i="51"/>
  <c r="R33" i="51"/>
  <c r="AJ33" i="51"/>
  <c r="AK33" i="51"/>
  <c r="S33" i="51"/>
  <c r="AP31" i="53"/>
  <c r="V33" i="51"/>
  <c r="AD33" i="51"/>
  <c r="M32" i="51"/>
  <c r="AL32" i="53" s="1"/>
  <c r="F32" i="53"/>
  <c r="P33" i="51"/>
  <c r="AA33" i="51"/>
  <c r="R33" i="53"/>
  <c r="Y33" i="53" s="1"/>
  <c r="AB33" i="53" a="1"/>
  <c r="AB33" i="53" s="1"/>
  <c r="K33" i="53"/>
  <c r="W33" i="53"/>
  <c r="AT34" i="53" s="1"/>
  <c r="BK33" i="53"/>
  <c r="A32" i="53"/>
  <c r="O34" i="69" s="1"/>
  <c r="W33" i="65"/>
  <c r="Q33" i="51"/>
  <c r="Q34" i="51" s="1"/>
  <c r="AC33" i="51"/>
  <c r="J33" i="51"/>
  <c r="C34" i="51"/>
  <c r="AH34" i="51" s="1"/>
  <c r="C34" i="53"/>
  <c r="AF33" i="51"/>
  <c r="A33" i="51"/>
  <c r="H33" i="51"/>
  <c r="G33" i="51"/>
  <c r="AG33" i="51"/>
  <c r="E33" i="51"/>
  <c r="F33" i="51"/>
  <c r="K33" i="51"/>
  <c r="X34" i="65"/>
  <c r="I33" i="51"/>
  <c r="P23" i="53"/>
  <c r="AQ23" i="53" s="1"/>
  <c r="AR23" i="53" s="1"/>
  <c r="AK36" i="55"/>
  <c r="AM36" i="55"/>
  <c r="A37" i="55"/>
  <c r="Y36" i="65"/>
  <c r="Z36" i="65" s="1"/>
  <c r="AA36" i="65" s="1"/>
  <c r="D36" i="51"/>
  <c r="O35" i="53"/>
  <c r="AX35" i="53" s="1"/>
  <c r="D36" i="53"/>
  <c r="CD38" i="69"/>
  <c r="AL38" i="69"/>
  <c r="AW38" i="69"/>
  <c r="I38" i="69"/>
  <c r="BS38" i="69"/>
  <c r="BH38" i="69"/>
  <c r="AA38" i="69"/>
  <c r="AH35" i="51" l="1"/>
  <c r="R34" i="51"/>
  <c r="AJ34" i="51"/>
  <c r="U34" i="51"/>
  <c r="AA34" i="51"/>
  <c r="O37" i="51"/>
  <c r="AB34" i="51"/>
  <c r="AP32" i="53"/>
  <c r="J34" i="51"/>
  <c r="E34" i="51"/>
  <c r="G34" i="51"/>
  <c r="AI34" i="51"/>
  <c r="AC34" i="51"/>
  <c r="I34" i="51"/>
  <c r="C35" i="53"/>
  <c r="AF34" i="51"/>
  <c r="H34" i="51"/>
  <c r="F34" i="51"/>
  <c r="AG34" i="51"/>
  <c r="X35" i="65"/>
  <c r="K34" i="51"/>
  <c r="C35" i="51"/>
  <c r="Q35" i="51" s="1"/>
  <c r="F33" i="53"/>
  <c r="P34" i="51"/>
  <c r="AD34" i="51"/>
  <c r="M33" i="51"/>
  <c r="AL33" i="53" s="1"/>
  <c r="V34" i="51"/>
  <c r="S34" i="51"/>
  <c r="S35" i="51" s="1"/>
  <c r="AB34" i="53" a="1"/>
  <c r="AB34" i="53" s="1"/>
  <c r="K34" i="53"/>
  <c r="BK34" i="53"/>
  <c r="W34" i="53"/>
  <c r="AT35" i="53" s="1"/>
  <c r="R34" i="53"/>
  <c r="Y34" i="53" s="1"/>
  <c r="Z34" i="51"/>
  <c r="Z35" i="51" s="1"/>
  <c r="A34" i="51"/>
  <c r="W34" i="65"/>
  <c r="A33" i="53"/>
  <c r="O35" i="69" s="1"/>
  <c r="AK34" i="51"/>
  <c r="P24" i="53"/>
  <c r="AQ24" i="53" s="1"/>
  <c r="AR24" i="53" s="1"/>
  <c r="D37" i="53"/>
  <c r="O36" i="53"/>
  <c r="AX36" i="53" s="1"/>
  <c r="AK37" i="55"/>
  <c r="AM37" i="55"/>
  <c r="A38" i="55"/>
  <c r="AL36" i="55"/>
  <c r="AE36" i="55"/>
  <c r="Y37" i="65"/>
  <c r="Z37" i="65" s="1"/>
  <c r="AA37" i="65" s="1"/>
  <c r="D37" i="51"/>
  <c r="AK35" i="51" l="1"/>
  <c r="AH36" i="51"/>
  <c r="O38" i="51"/>
  <c r="A35" i="51"/>
  <c r="W36" i="65" s="1"/>
  <c r="U35" i="51"/>
  <c r="M34" i="51"/>
  <c r="AL34" i="53" s="1"/>
  <c r="AD35" i="51"/>
  <c r="F34" i="53"/>
  <c r="P35" i="51"/>
  <c r="AA35" i="51"/>
  <c r="I35" i="51"/>
  <c r="AG35" i="51"/>
  <c r="C36" i="51"/>
  <c r="Z36" i="51" s="1"/>
  <c r="J35" i="51"/>
  <c r="AC35" i="51"/>
  <c r="X36" i="65"/>
  <c r="C36" i="53"/>
  <c r="G35" i="51"/>
  <c r="F35" i="51"/>
  <c r="E35" i="51"/>
  <c r="AF35" i="51"/>
  <c r="H35" i="51"/>
  <c r="K35" i="51"/>
  <c r="BK35" i="53"/>
  <c r="R35" i="53"/>
  <c r="Y35" i="53" s="1"/>
  <c r="K35" i="53"/>
  <c r="W35" i="53"/>
  <c r="AT36" i="53" s="1"/>
  <c r="AB35" i="53" a="1"/>
  <c r="AB35" i="53" s="1"/>
  <c r="AB35" i="51"/>
  <c r="AB36" i="51" s="1"/>
  <c r="W35" i="65"/>
  <c r="A34" i="53"/>
  <c r="O36" i="69" s="1"/>
  <c r="V35" i="51"/>
  <c r="R35" i="51"/>
  <c r="AP33" i="53"/>
  <c r="AI35" i="51"/>
  <c r="AJ35" i="51"/>
  <c r="AJ36" i="51" s="1"/>
  <c r="P25" i="53"/>
  <c r="AQ25" i="53" s="1"/>
  <c r="AR25" i="53" s="1"/>
  <c r="AK38" i="55"/>
  <c r="AM38" i="55"/>
  <c r="A39" i="55"/>
  <c r="D38" i="51"/>
  <c r="Y38" i="65"/>
  <c r="Z38" i="65" s="1"/>
  <c r="AA38" i="65" s="1"/>
  <c r="AL37" i="55"/>
  <c r="AE37" i="55"/>
  <c r="O37" i="53"/>
  <c r="AX37" i="53" s="1"/>
  <c r="D38" i="53"/>
  <c r="V36" i="51" l="1"/>
  <c r="AI36" i="51"/>
  <c r="A35" i="53"/>
  <c r="O37" i="69" s="1"/>
  <c r="O39" i="51"/>
  <c r="AP34" i="53"/>
  <c r="AD36" i="51"/>
  <c r="AA36" i="51"/>
  <c r="R36" i="51"/>
  <c r="F35" i="53"/>
  <c r="U36" i="51"/>
  <c r="Q36" i="51"/>
  <c r="AC36" i="51"/>
  <c r="G36" i="51"/>
  <c r="C37" i="51"/>
  <c r="AB37" i="51" s="1"/>
  <c r="E36" i="51"/>
  <c r="AF36" i="51"/>
  <c r="AG36" i="51"/>
  <c r="A36" i="51"/>
  <c r="K36" i="51"/>
  <c r="F36" i="51"/>
  <c r="H36" i="51"/>
  <c r="J36" i="51"/>
  <c r="I36" i="51"/>
  <c r="C37" i="53"/>
  <c r="X37" i="65"/>
  <c r="R36" i="53"/>
  <c r="Y36" i="53" s="1"/>
  <c r="W36" i="53"/>
  <c r="AT37" i="53" s="1"/>
  <c r="AB36" i="53" a="1"/>
  <c r="AB36" i="53" s="1"/>
  <c r="BK36" i="53"/>
  <c r="AK36" i="51"/>
  <c r="P36" i="51"/>
  <c r="M35" i="51"/>
  <c r="AL35" i="53" s="1"/>
  <c r="S36" i="51"/>
  <c r="S37" i="51" s="1"/>
  <c r="P26" i="53"/>
  <c r="AQ26" i="53" s="1"/>
  <c r="AR26" i="53" s="1"/>
  <c r="O38" i="53"/>
  <c r="AX38" i="53" s="1"/>
  <c r="D39" i="53"/>
  <c r="AL38" i="55"/>
  <c r="AE38" i="55"/>
  <c r="D39" i="51"/>
  <c r="Y39" i="65"/>
  <c r="Z39" i="65" s="1"/>
  <c r="AA39" i="65" s="1"/>
  <c r="AM39" i="55"/>
  <c r="A40" i="55"/>
  <c r="AK39" i="55"/>
  <c r="AI37" i="51" l="1"/>
  <c r="V37" i="51"/>
  <c r="U37" i="51"/>
  <c r="R37" i="51"/>
  <c r="AA37" i="51"/>
  <c r="Q37" i="51"/>
  <c r="AH37" i="51"/>
  <c r="AJ37" i="51"/>
  <c r="O40" i="51"/>
  <c r="AP35" i="53"/>
  <c r="M36" i="51"/>
  <c r="AL36" i="53" s="1"/>
  <c r="P37" i="51"/>
  <c r="F36" i="53"/>
  <c r="A36" i="53"/>
  <c r="O38" i="69" s="1"/>
  <c r="W37" i="65"/>
  <c r="R37" i="53"/>
  <c r="Y37" i="53" s="1"/>
  <c r="W37" i="53"/>
  <c r="AT38" i="53" s="1"/>
  <c r="BK37" i="53"/>
  <c r="AB37" i="53" a="1"/>
  <c r="AB37" i="53" s="1"/>
  <c r="K37" i="53"/>
  <c r="AK37" i="51"/>
  <c r="I37" i="51"/>
  <c r="A37" i="51"/>
  <c r="AD37" i="51"/>
  <c r="AG37" i="51"/>
  <c r="F37" i="51"/>
  <c r="G37" i="51"/>
  <c r="C38" i="51"/>
  <c r="A38" i="51" s="1"/>
  <c r="X38" i="65"/>
  <c r="H37" i="51"/>
  <c r="K37" i="51"/>
  <c r="C38" i="53"/>
  <c r="E37" i="51"/>
  <c r="AC37" i="51"/>
  <c r="AF37" i="51"/>
  <c r="J37" i="51"/>
  <c r="Z37" i="51"/>
  <c r="P27" i="53"/>
  <c r="AQ27" i="53" s="1"/>
  <c r="AR27" i="53" s="1"/>
  <c r="D40" i="51"/>
  <c r="Y40" i="65"/>
  <c r="Z40" i="65" s="1"/>
  <c r="AA40" i="65" s="1"/>
  <c r="AK40" i="55"/>
  <c r="AM40" i="55"/>
  <c r="A41" i="55"/>
  <c r="D40" i="53"/>
  <c r="O39" i="53"/>
  <c r="AX39" i="53" s="1"/>
  <c r="AL39" i="55"/>
  <c r="Z38" i="51" l="1"/>
  <c r="AD38" i="51"/>
  <c r="F37" i="53"/>
  <c r="AJ38" i="51"/>
  <c r="AH38" i="51"/>
  <c r="AK38" i="51"/>
  <c r="O41" i="51"/>
  <c r="AP36" i="53"/>
  <c r="P38" i="51"/>
  <c r="AB38" i="53" a="1"/>
  <c r="AB38" i="53" s="1"/>
  <c r="K38" i="53"/>
  <c r="W38" i="53"/>
  <c r="AT39" i="53" s="1"/>
  <c r="BK38" i="53"/>
  <c r="X39" i="65"/>
  <c r="Q38" i="51"/>
  <c r="AC38" i="51"/>
  <c r="AF38" i="51"/>
  <c r="K38" i="51"/>
  <c r="I38" i="51"/>
  <c r="C39" i="51"/>
  <c r="S38" i="51"/>
  <c r="H38" i="51"/>
  <c r="J38" i="51"/>
  <c r="C39" i="53"/>
  <c r="U38" i="51"/>
  <c r="E38" i="51"/>
  <c r="AG38" i="51"/>
  <c r="F38" i="51"/>
  <c r="G38" i="51"/>
  <c r="AB38" i="51"/>
  <c r="AI38" i="51"/>
  <c r="A38" i="53"/>
  <c r="W39" i="65"/>
  <c r="M37" i="51"/>
  <c r="AL37" i="53" s="1"/>
  <c r="R38" i="51"/>
  <c r="AA38" i="51"/>
  <c r="AA39" i="51" s="1"/>
  <c r="W38" i="65"/>
  <c r="A37" i="53"/>
  <c r="V38" i="51"/>
  <c r="P28" i="53"/>
  <c r="AQ28" i="53" s="1"/>
  <c r="AR28" i="53" s="1"/>
  <c r="O40" i="53"/>
  <c r="AX40" i="53" s="1"/>
  <c r="D41" i="53"/>
  <c r="AK41" i="55"/>
  <c r="AM41" i="55"/>
  <c r="A42" i="55"/>
  <c r="Y41" i="65"/>
  <c r="Z41" i="65" s="1"/>
  <c r="AA41" i="65" s="1"/>
  <c r="D41" i="51"/>
  <c r="AL40" i="55"/>
  <c r="V39" i="51" l="1"/>
  <c r="R39" i="51"/>
  <c r="AI39" i="51"/>
  <c r="U39" i="51"/>
  <c r="S39" i="51"/>
  <c r="Q39" i="51"/>
  <c r="AB39" i="51"/>
  <c r="AJ39" i="51"/>
  <c r="A39" i="51"/>
  <c r="A39" i="53" s="1"/>
  <c r="AH39" i="51"/>
  <c r="O42" i="51"/>
  <c r="AP37" i="53"/>
  <c r="F38" i="53"/>
  <c r="P39" i="51"/>
  <c r="Z39" i="51"/>
  <c r="AG39" i="51"/>
  <c r="AC39" i="51"/>
  <c r="X40" i="65"/>
  <c r="C40" i="53"/>
  <c r="F39" i="51"/>
  <c r="E39" i="51"/>
  <c r="C40" i="51"/>
  <c r="AF39" i="51"/>
  <c r="I39" i="51"/>
  <c r="K39" i="51"/>
  <c r="A40" i="51"/>
  <c r="H39" i="51"/>
  <c r="J39" i="51"/>
  <c r="G39" i="51"/>
  <c r="AD39" i="51"/>
  <c r="AD40" i="51" s="1"/>
  <c r="BK39" i="53"/>
  <c r="W39" i="53"/>
  <c r="AT40" i="53" s="1"/>
  <c r="K39" i="53"/>
  <c r="AB39" i="53" a="1"/>
  <c r="AB39" i="53" s="1"/>
  <c r="M38" i="51"/>
  <c r="AL38" i="53" s="1"/>
  <c r="AK39" i="51"/>
  <c r="P29" i="53"/>
  <c r="AQ29" i="53" s="1"/>
  <c r="AR29" i="53" s="1"/>
  <c r="AM42" i="55"/>
  <c r="A43" i="55"/>
  <c r="AK42" i="55"/>
  <c r="AL41" i="55"/>
  <c r="AE41" i="55"/>
  <c r="D42" i="51"/>
  <c r="Y42" i="65"/>
  <c r="Z42" i="65" s="1"/>
  <c r="AA42" i="65" s="1"/>
  <c r="D42" i="53"/>
  <c r="O41" i="53"/>
  <c r="AX41" i="53" s="1"/>
  <c r="Z40" i="51" l="1"/>
  <c r="V40" i="51"/>
  <c r="AK40" i="51"/>
  <c r="AA40" i="51"/>
  <c r="W40" i="65"/>
  <c r="AI40" i="51"/>
  <c r="R40" i="51"/>
  <c r="S40" i="51"/>
  <c r="AH40" i="51"/>
  <c r="AH41" i="51" s="1"/>
  <c r="AB40" i="51"/>
  <c r="O43" i="51"/>
  <c r="AP38" i="53"/>
  <c r="F39" i="53"/>
  <c r="P40" i="51"/>
  <c r="AC40" i="51"/>
  <c r="AG40" i="51"/>
  <c r="AF40" i="51"/>
  <c r="H40" i="51"/>
  <c r="G40" i="51"/>
  <c r="I40" i="51"/>
  <c r="E40" i="51"/>
  <c r="K40" i="51"/>
  <c r="C41" i="51"/>
  <c r="J40" i="51"/>
  <c r="X41" i="65"/>
  <c r="C41" i="53"/>
  <c r="F40" i="51"/>
  <c r="M39" i="51"/>
  <c r="AL39" i="53" s="1"/>
  <c r="Q40" i="51"/>
  <c r="U40" i="51"/>
  <c r="AB40" i="53" a="1"/>
  <c r="AB40" i="53" s="1"/>
  <c r="K40" i="53"/>
  <c r="W40" i="53"/>
  <c r="AT41" i="53" s="1"/>
  <c r="BK40" i="53"/>
  <c r="A40" i="53"/>
  <c r="W41" i="65"/>
  <c r="AJ40" i="51"/>
  <c r="P30" i="53"/>
  <c r="AQ30" i="53" s="1"/>
  <c r="AR30" i="53" s="1"/>
  <c r="Y43" i="65"/>
  <c r="Z43" i="65" s="1"/>
  <c r="AA43" i="65" s="1"/>
  <c r="D43" i="51"/>
  <c r="D43" i="53"/>
  <c r="O42" i="53"/>
  <c r="AX42" i="53" s="1"/>
  <c r="AE42" i="55"/>
  <c r="AL42" i="55"/>
  <c r="AK43" i="55"/>
  <c r="AM43" i="55"/>
  <c r="A44" i="55"/>
  <c r="Q41" i="51" l="1"/>
  <c r="U41" i="51"/>
  <c r="AJ41" i="51"/>
  <c r="V41" i="51"/>
  <c r="AK41" i="51"/>
  <c r="AD41" i="51"/>
  <c r="AB41" i="51"/>
  <c r="Z41" i="51"/>
  <c r="A41" i="51"/>
  <c r="R41" i="51"/>
  <c r="AI41" i="51"/>
  <c r="AA41" i="51"/>
  <c r="O44" i="51"/>
  <c r="S41" i="51"/>
  <c r="AP39" i="53"/>
  <c r="F40" i="53"/>
  <c r="P41" i="51"/>
  <c r="BK41" i="53"/>
  <c r="K41" i="53"/>
  <c r="W41" i="53"/>
  <c r="AT42" i="53" s="1"/>
  <c r="AB41" i="53" a="1"/>
  <c r="AB41" i="53" s="1"/>
  <c r="M40" i="51"/>
  <c r="AL40" i="53" s="1"/>
  <c r="I41" i="51"/>
  <c r="AG41" i="51"/>
  <c r="X42" i="65"/>
  <c r="C42" i="51"/>
  <c r="AH42" i="51" s="1"/>
  <c r="J41" i="51"/>
  <c r="AF41" i="51"/>
  <c r="G41" i="51"/>
  <c r="E41" i="51"/>
  <c r="K41" i="51"/>
  <c r="AC41" i="51"/>
  <c r="C42" i="53"/>
  <c r="H41" i="51"/>
  <c r="F41" i="51"/>
  <c r="P31" i="53"/>
  <c r="AQ31" i="53" s="1"/>
  <c r="AR31" i="53" s="1"/>
  <c r="A45" i="55"/>
  <c r="AM44" i="55"/>
  <c r="AK44" i="55"/>
  <c r="Y44" i="65"/>
  <c r="Z44" i="65" s="1"/>
  <c r="AA44" i="65" s="1"/>
  <c r="D44" i="51"/>
  <c r="AL43" i="55"/>
  <c r="D44" i="53"/>
  <c r="O43" i="53"/>
  <c r="AX43" i="53" s="1"/>
  <c r="W42" i="65" l="1"/>
  <c r="A41" i="53"/>
  <c r="AA42" i="51"/>
  <c r="S42" i="51"/>
  <c r="AB42" i="51"/>
  <c r="O45" i="51"/>
  <c r="AP40" i="53"/>
  <c r="K42" i="51"/>
  <c r="G42" i="51"/>
  <c r="X43" i="65"/>
  <c r="AG42" i="51"/>
  <c r="H42" i="51"/>
  <c r="AC42" i="51"/>
  <c r="C43" i="53"/>
  <c r="F42" i="51"/>
  <c r="I42" i="51"/>
  <c r="J42" i="51"/>
  <c r="E42" i="51"/>
  <c r="AF42" i="51"/>
  <c r="C43" i="51"/>
  <c r="A43" i="51" s="1"/>
  <c r="R42" i="53"/>
  <c r="Y42" i="53" s="1"/>
  <c r="BK42" i="53"/>
  <c r="AB42" i="53" a="1"/>
  <c r="AB42" i="53" s="1"/>
  <c r="W42" i="53"/>
  <c r="AT43" i="53" s="1"/>
  <c r="R42" i="51"/>
  <c r="R43" i="51" s="1"/>
  <c r="U42" i="51"/>
  <c r="AJ42" i="51"/>
  <c r="AJ43" i="51" s="1"/>
  <c r="AI42" i="51"/>
  <c r="AI43" i="51" s="1"/>
  <c r="AK42" i="51"/>
  <c r="AK43" i="51" s="1"/>
  <c r="AD42" i="51"/>
  <c r="A42" i="51"/>
  <c r="F41" i="53"/>
  <c r="P42" i="51"/>
  <c r="V42" i="51"/>
  <c r="V43" i="51" s="1"/>
  <c r="M41" i="51"/>
  <c r="AL41" i="53" s="1"/>
  <c r="Q42" i="51"/>
  <c r="Q43" i="51" s="1"/>
  <c r="Z42" i="51"/>
  <c r="Z43" i="51" s="1"/>
  <c r="P32" i="53"/>
  <c r="AQ32" i="53" s="1"/>
  <c r="AR32" i="53" s="1"/>
  <c r="D45" i="53"/>
  <c r="O44" i="53"/>
  <c r="AX44" i="53" s="1"/>
  <c r="Y45" i="65"/>
  <c r="Z45" i="65" s="1"/>
  <c r="AA45" i="65" s="1"/>
  <c r="D45" i="51"/>
  <c r="AE44" i="55"/>
  <c r="AL44" i="55"/>
  <c r="AK45" i="55"/>
  <c r="AM45" i="55"/>
  <c r="A46" i="55"/>
  <c r="AD43" i="51" l="1"/>
  <c r="AA43" i="51"/>
  <c r="S43" i="51"/>
  <c r="U43" i="51"/>
  <c r="AH43" i="51"/>
  <c r="O46" i="51"/>
  <c r="AP41" i="53"/>
  <c r="W43" i="53"/>
  <c r="AT44" i="53" s="1"/>
  <c r="R43" i="53"/>
  <c r="Y43" i="53" s="1"/>
  <c r="AB43" i="53" a="1"/>
  <c r="AB43" i="53" s="1"/>
  <c r="BK43" i="53"/>
  <c r="M42" i="51"/>
  <c r="AL42" i="53" s="1"/>
  <c r="F42" i="53"/>
  <c r="P43" i="51"/>
  <c r="E43" i="51"/>
  <c r="AG43" i="51"/>
  <c r="X44" i="65"/>
  <c r="I43" i="51"/>
  <c r="C44" i="53"/>
  <c r="J43" i="51"/>
  <c r="F43" i="51"/>
  <c r="K43" i="51"/>
  <c r="H43" i="51"/>
  <c r="C44" i="51"/>
  <c r="Z44" i="51" s="1"/>
  <c r="AC43" i="51"/>
  <c r="G43" i="51"/>
  <c r="AF43" i="51"/>
  <c r="AB43" i="51"/>
  <c r="W44" i="65"/>
  <c r="A43" i="53"/>
  <c r="W43" i="65"/>
  <c r="A42" i="53"/>
  <c r="P33" i="53"/>
  <c r="AQ33" i="53" s="1"/>
  <c r="AR33" i="53" s="1"/>
  <c r="Y46" i="65"/>
  <c r="Z46" i="65" s="1"/>
  <c r="AA46" i="65" s="1"/>
  <c r="D46" i="51"/>
  <c r="D46" i="53"/>
  <c r="O45" i="53"/>
  <c r="AX45" i="53" s="1"/>
  <c r="AK46" i="55"/>
  <c r="AM46" i="55"/>
  <c r="A47" i="55"/>
  <c r="AL45" i="55"/>
  <c r="AB44" i="51" l="1"/>
  <c r="AJ44" i="51"/>
  <c r="R44" i="51"/>
  <c r="AH44" i="51"/>
  <c r="AH45" i="51" s="1"/>
  <c r="A44" i="51"/>
  <c r="O47" i="51"/>
  <c r="G44" i="51"/>
  <c r="AG44" i="51"/>
  <c r="K44" i="51"/>
  <c r="I44" i="51"/>
  <c r="C45" i="51"/>
  <c r="J44" i="51"/>
  <c r="E44" i="51"/>
  <c r="X45" i="65"/>
  <c r="H44" i="51"/>
  <c r="AF44" i="51"/>
  <c r="C45" i="53"/>
  <c r="F44" i="51"/>
  <c r="AC44" i="51"/>
  <c r="Q44" i="51"/>
  <c r="Q45" i="51" s="1"/>
  <c r="V44" i="51"/>
  <c r="V45" i="51" s="1"/>
  <c r="S44" i="51"/>
  <c r="S45" i="51" s="1"/>
  <c r="AI44" i="51"/>
  <c r="AI45" i="51" s="1"/>
  <c r="AD44" i="51"/>
  <c r="AD45" i="51" s="1"/>
  <c r="AA44" i="51"/>
  <c r="AA45" i="51" s="1"/>
  <c r="U44" i="51"/>
  <c r="U45" i="51" s="1"/>
  <c r="F43" i="53"/>
  <c r="P44" i="51"/>
  <c r="AK44" i="51"/>
  <c r="K44" i="53"/>
  <c r="BK44" i="53"/>
  <c r="W44" i="53"/>
  <c r="AT45" i="53" s="1"/>
  <c r="AB44" i="53" a="1"/>
  <c r="AB44" i="53" s="1"/>
  <c r="M43" i="51"/>
  <c r="AL43" i="53" s="1"/>
  <c r="AP42" i="53"/>
  <c r="P34" i="53"/>
  <c r="AQ34" i="53" s="1"/>
  <c r="AR34" i="53" s="1"/>
  <c r="D47" i="53"/>
  <c r="O46" i="53"/>
  <c r="AX46" i="53" s="1"/>
  <c r="AK47" i="55"/>
  <c r="AM47" i="55"/>
  <c r="A48" i="55"/>
  <c r="Y47" i="65"/>
  <c r="Z47" i="65" s="1"/>
  <c r="AA47" i="65" s="1"/>
  <c r="D47" i="51"/>
  <c r="AL46" i="55"/>
  <c r="AK45" i="51" l="1"/>
  <c r="W45" i="65"/>
  <c r="A44" i="53"/>
  <c r="Z45" i="51"/>
  <c r="A45" i="51"/>
  <c r="R45" i="51"/>
  <c r="AB45" i="51"/>
  <c r="AJ45" i="51"/>
  <c r="O48" i="51"/>
  <c r="AP43" i="53"/>
  <c r="M44" i="51"/>
  <c r="AL44" i="53" s="1"/>
  <c r="P45" i="51"/>
  <c r="F44" i="53"/>
  <c r="A45" i="53"/>
  <c r="W46" i="65"/>
  <c r="J45" i="51"/>
  <c r="AF45" i="51"/>
  <c r="H45" i="51"/>
  <c r="F45" i="51"/>
  <c r="C46" i="51"/>
  <c r="Z46" i="51" s="1"/>
  <c r="Z47" i="51" s="1"/>
  <c r="Z48" i="51" s="1"/>
  <c r="Z49" i="51" s="1"/>
  <c r="Z50" i="51" s="1"/>
  <c r="Z51" i="51" s="1"/>
  <c r="Z52" i="51" s="1"/>
  <c r="Z53" i="51" s="1"/>
  <c r="Z54" i="51" s="1"/>
  <c r="Z55" i="51" s="1"/>
  <c r="Z56" i="51" s="1"/>
  <c r="Z57" i="51" s="1"/>
  <c r="Z58" i="51" s="1"/>
  <c r="Z59" i="51" s="1"/>
  <c r="Z60" i="51" s="1"/>
  <c r="Z61" i="51" s="1"/>
  <c r="Z62" i="51" s="1"/>
  <c r="Z63" i="51" s="1"/>
  <c r="Z64" i="51" s="1"/>
  <c r="Z65" i="51" s="1"/>
  <c r="Z66" i="51" s="1"/>
  <c r="Z67" i="51" s="1"/>
  <c r="Z68" i="51" s="1"/>
  <c r="Z69" i="51" s="1"/>
  <c r="Z70" i="51" s="1"/>
  <c r="Z71" i="51" s="1"/>
  <c r="Z72" i="51" s="1"/>
  <c r="Z73" i="51" s="1"/>
  <c r="Z74" i="51" s="1"/>
  <c r="Z75" i="51" s="1"/>
  <c r="Z76" i="51" s="1"/>
  <c r="Z77" i="51" s="1"/>
  <c r="Z78" i="51" s="1"/>
  <c r="Z79" i="51" s="1"/>
  <c r="Z80" i="51" s="1"/>
  <c r="Z81" i="51" s="1"/>
  <c r="Z82" i="51" s="1"/>
  <c r="Z83" i="51" s="1"/>
  <c r="Z84" i="51" s="1"/>
  <c r="Z85" i="51" s="1"/>
  <c r="Z86" i="51" s="1"/>
  <c r="Z87" i="51" s="1"/>
  <c r="Z88" i="51" s="1"/>
  <c r="Z89" i="51" s="1"/>
  <c r="Z90" i="51" s="1"/>
  <c r="Z91" i="51" s="1"/>
  <c r="Z92" i="51" s="1"/>
  <c r="Z93" i="51" s="1"/>
  <c r="Z94" i="51" s="1"/>
  <c r="Z95" i="51" s="1"/>
  <c r="Z96" i="51" s="1"/>
  <c r="Z97" i="51" s="1"/>
  <c r="Z98" i="51" s="1"/>
  <c r="Z99" i="51" s="1"/>
  <c r="Z100" i="51" s="1"/>
  <c r="Z101" i="51" s="1"/>
  <c r="Z102" i="51" s="1"/>
  <c r="Z103" i="51" s="1"/>
  <c r="Z104" i="51" s="1"/>
  <c r="Z105" i="51" s="1"/>
  <c r="Z106" i="51" s="1"/>
  <c r="Z107" i="51" s="1"/>
  <c r="Z108" i="51" s="1"/>
  <c r="Z109" i="51" s="1"/>
  <c r="Z110" i="51" s="1"/>
  <c r="Z111" i="51" s="1"/>
  <c r="Z112" i="51" s="1"/>
  <c r="Z113" i="51" s="1"/>
  <c r="Z114" i="51" s="1"/>
  <c r="Z115" i="51" s="1"/>
  <c r="Z116" i="51" s="1"/>
  <c r="Z117" i="51" s="1"/>
  <c r="Z118" i="51" s="1"/>
  <c r="Z119" i="51" s="1"/>
  <c r="Z120" i="51" s="1"/>
  <c r="Z121" i="51" s="1"/>
  <c r="Z122" i="51" s="1"/>
  <c r="Z123" i="51" s="1"/>
  <c r="Z124" i="51" s="1"/>
  <c r="Z125" i="51" s="1"/>
  <c r="Z126" i="51" s="1"/>
  <c r="Z128" i="51" s="1"/>
  <c r="K45" i="51"/>
  <c r="AC45" i="51"/>
  <c r="G45" i="51"/>
  <c r="C46" i="53"/>
  <c r="X46" i="65"/>
  <c r="E45" i="51"/>
  <c r="I45" i="51"/>
  <c r="AG45" i="51"/>
  <c r="AB45" i="53" a="1"/>
  <c r="AB45" i="53" s="1"/>
  <c r="K45" i="53"/>
  <c r="BK45" i="53"/>
  <c r="W45" i="53"/>
  <c r="AM48" i="55"/>
  <c r="A49" i="55"/>
  <c r="AK48" i="55"/>
  <c r="D48" i="51"/>
  <c r="Y48" i="65"/>
  <c r="Z48" i="65" s="1"/>
  <c r="AA48" i="65" s="1"/>
  <c r="D48" i="53"/>
  <c r="O47" i="53"/>
  <c r="AX47" i="53" s="1"/>
  <c r="P35" i="53"/>
  <c r="AQ35" i="53" s="1"/>
  <c r="AR35" i="53" s="1"/>
  <c r="AJ46" i="51" l="1"/>
  <c r="AK46" i="51"/>
  <c r="Z132" i="51"/>
  <c r="Z130" i="51"/>
  <c r="AB46" i="51"/>
  <c r="AB47" i="51" s="1"/>
  <c r="AB48" i="51" s="1"/>
  <c r="AB49" i="51" s="1"/>
  <c r="AB50" i="51" s="1"/>
  <c r="AB51" i="51" s="1"/>
  <c r="AB52" i="51" s="1"/>
  <c r="AB53" i="51" s="1"/>
  <c r="AB54" i="51" s="1"/>
  <c r="AB55" i="51" s="1"/>
  <c r="AB56" i="51" s="1"/>
  <c r="AB57" i="51" s="1"/>
  <c r="AB58" i="51" s="1"/>
  <c r="AB59" i="51" s="1"/>
  <c r="AB60" i="51" s="1"/>
  <c r="AB61" i="51" s="1"/>
  <c r="AB62" i="51" s="1"/>
  <c r="AB63" i="51" s="1"/>
  <c r="AB64" i="51" s="1"/>
  <c r="AB65" i="51" s="1"/>
  <c r="AB66" i="51" s="1"/>
  <c r="AB67" i="51" s="1"/>
  <c r="AB68" i="51" s="1"/>
  <c r="AB69" i="51" s="1"/>
  <c r="AB70" i="51" s="1"/>
  <c r="AB71" i="51" s="1"/>
  <c r="AB72" i="51" s="1"/>
  <c r="AB73" i="51" s="1"/>
  <c r="AB74" i="51" s="1"/>
  <c r="AB75" i="51" s="1"/>
  <c r="AB76" i="51" s="1"/>
  <c r="AB77" i="51" s="1"/>
  <c r="AB78" i="51" s="1"/>
  <c r="AB79" i="51" s="1"/>
  <c r="AB80" i="51" s="1"/>
  <c r="AB81" i="51" s="1"/>
  <c r="AB82" i="51" s="1"/>
  <c r="AB83" i="51" s="1"/>
  <c r="AB84" i="51" s="1"/>
  <c r="AB85" i="51" s="1"/>
  <c r="AB86" i="51" s="1"/>
  <c r="AB87" i="51" s="1"/>
  <c r="AB88" i="51" s="1"/>
  <c r="AB89" i="51" s="1"/>
  <c r="AB90" i="51" s="1"/>
  <c r="AB91" i="51" s="1"/>
  <c r="AB92" i="51" s="1"/>
  <c r="AB93" i="51" s="1"/>
  <c r="AB94" i="51" s="1"/>
  <c r="AB95" i="51" s="1"/>
  <c r="AB96" i="51" s="1"/>
  <c r="AB97" i="51" s="1"/>
  <c r="AB98" i="51" s="1"/>
  <c r="AB99" i="51" s="1"/>
  <c r="AB100" i="51" s="1"/>
  <c r="AB101" i="51" s="1"/>
  <c r="AB102" i="51" s="1"/>
  <c r="AB103" i="51" s="1"/>
  <c r="AB104" i="51" s="1"/>
  <c r="AB105" i="51" s="1"/>
  <c r="AB106" i="51" s="1"/>
  <c r="AB107" i="51" s="1"/>
  <c r="AB108" i="51" s="1"/>
  <c r="AB109" i="51" s="1"/>
  <c r="AB110" i="51" s="1"/>
  <c r="AB111" i="51" s="1"/>
  <c r="AB112" i="51" s="1"/>
  <c r="AB113" i="51" s="1"/>
  <c r="AB114" i="51" s="1"/>
  <c r="AB115" i="51" s="1"/>
  <c r="AB116" i="51" s="1"/>
  <c r="AB117" i="51" s="1"/>
  <c r="AB118" i="51" s="1"/>
  <c r="AB119" i="51" s="1"/>
  <c r="AB120" i="51" s="1"/>
  <c r="AB121" i="51" s="1"/>
  <c r="AB122" i="51" s="1"/>
  <c r="AB123" i="51" s="1"/>
  <c r="AB124" i="51" s="1"/>
  <c r="AB125" i="51" s="1"/>
  <c r="AB126" i="51" s="1"/>
  <c r="AB128" i="51" s="1"/>
  <c r="AH46" i="51"/>
  <c r="AH47" i="51" s="1"/>
  <c r="AH48" i="51" s="1"/>
  <c r="AH49" i="51" s="1"/>
  <c r="AH50" i="51" s="1"/>
  <c r="AH51" i="51" s="1"/>
  <c r="AH52" i="51" s="1"/>
  <c r="AH53" i="51" s="1"/>
  <c r="AH54" i="51" s="1"/>
  <c r="AH55" i="51" s="1"/>
  <c r="AH56" i="51" s="1"/>
  <c r="AH57" i="51" s="1"/>
  <c r="AH58" i="51" s="1"/>
  <c r="AH59" i="51" s="1"/>
  <c r="AH60" i="51" s="1"/>
  <c r="AH61" i="51" s="1"/>
  <c r="AH62" i="51" s="1"/>
  <c r="AH63" i="51" s="1"/>
  <c r="AH64" i="51" s="1"/>
  <c r="AH65" i="51" s="1"/>
  <c r="AH66" i="51" s="1"/>
  <c r="AH67" i="51" s="1"/>
  <c r="AH68" i="51" s="1"/>
  <c r="AH69" i="51" s="1"/>
  <c r="AH70" i="51" s="1"/>
  <c r="AH71" i="51" s="1"/>
  <c r="AH72" i="51" s="1"/>
  <c r="AH73" i="51" s="1"/>
  <c r="AH74" i="51" s="1"/>
  <c r="AH75" i="51" s="1"/>
  <c r="AH76" i="51" s="1"/>
  <c r="AH77" i="51" s="1"/>
  <c r="AH78" i="51" s="1"/>
  <c r="AH79" i="51" s="1"/>
  <c r="AH80" i="51" s="1"/>
  <c r="AH81" i="51" s="1"/>
  <c r="AH82" i="51" s="1"/>
  <c r="AH83" i="51" s="1"/>
  <c r="AH84" i="51" s="1"/>
  <c r="AH85" i="51" s="1"/>
  <c r="AH86" i="51" s="1"/>
  <c r="AH87" i="51" s="1"/>
  <c r="AH88" i="51" s="1"/>
  <c r="AH89" i="51" s="1"/>
  <c r="AH90" i="51" s="1"/>
  <c r="AH91" i="51" s="1"/>
  <c r="AH92" i="51" s="1"/>
  <c r="AH93" i="51" s="1"/>
  <c r="AH94" i="51" s="1"/>
  <c r="AH95" i="51" s="1"/>
  <c r="AH96" i="51" s="1"/>
  <c r="AH97" i="51" s="1"/>
  <c r="AH98" i="51" s="1"/>
  <c r="AH99" i="51" s="1"/>
  <c r="AH100" i="51" s="1"/>
  <c r="AH101" i="51" s="1"/>
  <c r="AH102" i="51" s="1"/>
  <c r="AH103" i="51" s="1"/>
  <c r="AH104" i="51" s="1"/>
  <c r="AH105" i="51" s="1"/>
  <c r="AH106" i="51" s="1"/>
  <c r="AH107" i="51" s="1"/>
  <c r="AH108" i="51" s="1"/>
  <c r="AH109" i="51" s="1"/>
  <c r="AH110" i="51" s="1"/>
  <c r="AH111" i="51" s="1"/>
  <c r="AH112" i="51" s="1"/>
  <c r="AH113" i="51" s="1"/>
  <c r="AH114" i="51" s="1"/>
  <c r="AH115" i="51" s="1"/>
  <c r="AH116" i="51" s="1"/>
  <c r="AH117" i="51" s="1"/>
  <c r="AH118" i="51" s="1"/>
  <c r="AH119" i="51" s="1"/>
  <c r="AH120" i="51" s="1"/>
  <c r="AH121" i="51" s="1"/>
  <c r="AH122" i="51" s="1"/>
  <c r="AH123" i="51" s="1"/>
  <c r="AH124" i="51" s="1"/>
  <c r="AH125" i="51" s="1"/>
  <c r="AH126" i="51" s="1"/>
  <c r="AI46" i="51"/>
  <c r="AD46" i="51"/>
  <c r="S46" i="51"/>
  <c r="S47" i="51" s="1"/>
  <c r="S48" i="51" s="1"/>
  <c r="S49" i="51" s="1"/>
  <c r="S50" i="51" s="1"/>
  <c r="S51" i="51" s="1"/>
  <c r="S52" i="51" s="1"/>
  <c r="S53" i="51" s="1"/>
  <c r="S54" i="51" s="1"/>
  <c r="S55" i="51" s="1"/>
  <c r="S56" i="51" s="1"/>
  <c r="S57" i="51" s="1"/>
  <c r="S58" i="51" s="1"/>
  <c r="S59" i="51" s="1"/>
  <c r="S60" i="51" s="1"/>
  <c r="S61" i="51" s="1"/>
  <c r="S62" i="51" s="1"/>
  <c r="S63" i="51" s="1"/>
  <c r="S64" i="51" s="1"/>
  <c r="S65" i="51" s="1"/>
  <c r="S66" i="51" s="1"/>
  <c r="S67" i="51" s="1"/>
  <c r="S68" i="51" s="1"/>
  <c r="S69" i="51" s="1"/>
  <c r="S70" i="51" s="1"/>
  <c r="S71" i="51" s="1"/>
  <c r="S72" i="51" s="1"/>
  <c r="S73" i="51" s="1"/>
  <c r="S74" i="51" s="1"/>
  <c r="S75" i="51" s="1"/>
  <c r="S76" i="51" s="1"/>
  <c r="S77" i="51" s="1"/>
  <c r="S78" i="51" s="1"/>
  <c r="S79" i="51" s="1"/>
  <c r="S80" i="51" s="1"/>
  <c r="S81" i="51" s="1"/>
  <c r="S82" i="51" s="1"/>
  <c r="S83" i="51" s="1"/>
  <c r="S84" i="51" s="1"/>
  <c r="S85" i="51" s="1"/>
  <c r="S86" i="51" s="1"/>
  <c r="S87" i="51" s="1"/>
  <c r="S88" i="51" s="1"/>
  <c r="S89" i="51" s="1"/>
  <c r="S90" i="51" s="1"/>
  <c r="S91" i="51" s="1"/>
  <c r="S92" i="51" s="1"/>
  <c r="S93" i="51" s="1"/>
  <c r="S94" i="51" s="1"/>
  <c r="S95" i="51" s="1"/>
  <c r="S96" i="51" s="1"/>
  <c r="S97" i="51" s="1"/>
  <c r="S98" i="51" s="1"/>
  <c r="S99" i="51" s="1"/>
  <c r="S100" i="51" s="1"/>
  <c r="S101" i="51" s="1"/>
  <c r="S102" i="51" s="1"/>
  <c r="S103" i="51" s="1"/>
  <c r="S104" i="51" s="1"/>
  <c r="S105" i="51" s="1"/>
  <c r="S106" i="51" s="1"/>
  <c r="S107" i="51" s="1"/>
  <c r="S108" i="51" s="1"/>
  <c r="S109" i="51" s="1"/>
  <c r="S110" i="51" s="1"/>
  <c r="S111" i="51" s="1"/>
  <c r="S112" i="51" s="1"/>
  <c r="S113" i="51" s="1"/>
  <c r="S114" i="51" s="1"/>
  <c r="S115" i="51" s="1"/>
  <c r="S116" i="51" s="1"/>
  <c r="S117" i="51" s="1"/>
  <c r="S118" i="51" s="1"/>
  <c r="S119" i="51" s="1"/>
  <c r="S120" i="51" s="1"/>
  <c r="S121" i="51" s="1"/>
  <c r="S122" i="51" s="1"/>
  <c r="S123" i="51" s="1"/>
  <c r="S124" i="51" s="1"/>
  <c r="S125" i="51" s="1"/>
  <c r="S126" i="51" s="1"/>
  <c r="S128" i="51" s="1"/>
  <c r="AA46" i="51"/>
  <c r="A46" i="51"/>
  <c r="Q46" i="51"/>
  <c r="U46" i="51"/>
  <c r="U47" i="51" s="1"/>
  <c r="U48" i="51" s="1"/>
  <c r="U49" i="51" s="1"/>
  <c r="U50" i="51" s="1"/>
  <c r="U51" i="51" s="1"/>
  <c r="U52" i="51" s="1"/>
  <c r="U53" i="51" s="1"/>
  <c r="U54" i="51" s="1"/>
  <c r="U55" i="51" s="1"/>
  <c r="U56" i="51" s="1"/>
  <c r="U57" i="51" s="1"/>
  <c r="U58" i="51" s="1"/>
  <c r="U59" i="51" s="1"/>
  <c r="U60" i="51" s="1"/>
  <c r="U61" i="51" s="1"/>
  <c r="U62" i="51" s="1"/>
  <c r="U63" i="51" s="1"/>
  <c r="U64" i="51" s="1"/>
  <c r="U65" i="51" s="1"/>
  <c r="U66" i="51" s="1"/>
  <c r="U67" i="51" s="1"/>
  <c r="U68" i="51" s="1"/>
  <c r="U69" i="51" s="1"/>
  <c r="U70" i="51" s="1"/>
  <c r="U71" i="51" s="1"/>
  <c r="U72" i="51" s="1"/>
  <c r="U73" i="51" s="1"/>
  <c r="U74" i="51" s="1"/>
  <c r="U75" i="51" s="1"/>
  <c r="U76" i="51" s="1"/>
  <c r="U77" i="51" s="1"/>
  <c r="U78" i="51" s="1"/>
  <c r="U79" i="51" s="1"/>
  <c r="U80" i="51" s="1"/>
  <c r="U81" i="51" s="1"/>
  <c r="U82" i="51" s="1"/>
  <c r="U83" i="51" s="1"/>
  <c r="U84" i="51" s="1"/>
  <c r="U85" i="51" s="1"/>
  <c r="U86" i="51" s="1"/>
  <c r="U87" i="51" s="1"/>
  <c r="U88" i="51" s="1"/>
  <c r="U89" i="51" s="1"/>
  <c r="U90" i="51" s="1"/>
  <c r="U91" i="51" s="1"/>
  <c r="U92" i="51" s="1"/>
  <c r="U93" i="51" s="1"/>
  <c r="U94" i="51" s="1"/>
  <c r="U95" i="51" s="1"/>
  <c r="U96" i="51" s="1"/>
  <c r="U97" i="51" s="1"/>
  <c r="U98" i="51" s="1"/>
  <c r="U99" i="51" s="1"/>
  <c r="U100" i="51" s="1"/>
  <c r="U101" i="51" s="1"/>
  <c r="U102" i="51" s="1"/>
  <c r="U103" i="51" s="1"/>
  <c r="U104" i="51" s="1"/>
  <c r="U105" i="51" s="1"/>
  <c r="U106" i="51" s="1"/>
  <c r="U107" i="51" s="1"/>
  <c r="U108" i="51" s="1"/>
  <c r="U109" i="51" s="1"/>
  <c r="U110" i="51" s="1"/>
  <c r="U111" i="51" s="1"/>
  <c r="U112" i="51" s="1"/>
  <c r="U113" i="51" s="1"/>
  <c r="U114" i="51" s="1"/>
  <c r="U115" i="51" s="1"/>
  <c r="U116" i="51" s="1"/>
  <c r="U117" i="51" s="1"/>
  <c r="U118" i="51" s="1"/>
  <c r="U119" i="51" s="1"/>
  <c r="U120" i="51" s="1"/>
  <c r="U121" i="51" s="1"/>
  <c r="U122" i="51" s="1"/>
  <c r="U123" i="51" s="1"/>
  <c r="U124" i="51" s="1"/>
  <c r="U125" i="51" s="1"/>
  <c r="U126" i="51" s="1"/>
  <c r="U128" i="51" s="1"/>
  <c r="R46" i="51"/>
  <c r="O49" i="51"/>
  <c r="M45" i="51"/>
  <c r="AL45" i="53" s="1"/>
  <c r="AB46" i="53" a="1"/>
  <c r="AB46" i="53" s="1"/>
  <c r="K46" i="53"/>
  <c r="BK46" i="53"/>
  <c r="W46" i="53"/>
  <c r="K46" i="51"/>
  <c r="E46" i="51"/>
  <c r="J46" i="51"/>
  <c r="F46" i="51"/>
  <c r="H46" i="51"/>
  <c r="X47" i="65"/>
  <c r="I46" i="51"/>
  <c r="C47" i="53"/>
  <c r="AC46" i="51"/>
  <c r="A47" i="51"/>
  <c r="G46" i="51"/>
  <c r="C47" i="51"/>
  <c r="AF46" i="51"/>
  <c r="AG46" i="51"/>
  <c r="F45" i="53"/>
  <c r="P46" i="51"/>
  <c r="AT46" i="53"/>
  <c r="W47" i="65"/>
  <c r="A46" i="53"/>
  <c r="V46" i="51"/>
  <c r="V47" i="51" s="1"/>
  <c r="AP44" i="53"/>
  <c r="P36" i="53"/>
  <c r="AQ36" i="53" s="1"/>
  <c r="AR36" i="53" s="1"/>
  <c r="AK49" i="55"/>
  <c r="AM49" i="55"/>
  <c r="AL47" i="55" s="1"/>
  <c r="A50" i="55"/>
  <c r="Y49" i="65"/>
  <c r="Z49" i="65" s="1"/>
  <c r="AA49" i="65" s="1"/>
  <c r="D49" i="51"/>
  <c r="AL48" i="55"/>
  <c r="AE48" i="55"/>
  <c r="O48" i="53"/>
  <c r="AX48" i="53" s="1"/>
  <c r="D49" i="53"/>
  <c r="R47" i="51" l="1"/>
  <c r="R48" i="51" s="1"/>
  <c r="R49" i="51" s="1"/>
  <c r="R50" i="51" s="1"/>
  <c r="R51" i="51" s="1"/>
  <c r="R52" i="51" s="1"/>
  <c r="R53" i="51" s="1"/>
  <c r="R54" i="51" s="1"/>
  <c r="R55" i="51" s="1"/>
  <c r="R56" i="51" s="1"/>
  <c r="R57" i="51" s="1"/>
  <c r="R58" i="51" s="1"/>
  <c r="R59" i="51" s="1"/>
  <c r="R60" i="51" s="1"/>
  <c r="R61" i="51" s="1"/>
  <c r="R62" i="51" s="1"/>
  <c r="R63" i="51" s="1"/>
  <c r="R64" i="51" s="1"/>
  <c r="R65" i="51" s="1"/>
  <c r="R66" i="51" s="1"/>
  <c r="R67" i="51" s="1"/>
  <c r="R68" i="51" s="1"/>
  <c r="R69" i="51" s="1"/>
  <c r="R70" i="51" s="1"/>
  <c r="R71" i="51" s="1"/>
  <c r="R72" i="51" s="1"/>
  <c r="R73" i="51" s="1"/>
  <c r="R74" i="51" s="1"/>
  <c r="R75" i="51" s="1"/>
  <c r="R76" i="51" s="1"/>
  <c r="R77" i="51" s="1"/>
  <c r="R78" i="51" s="1"/>
  <c r="R79" i="51" s="1"/>
  <c r="R80" i="51" s="1"/>
  <c r="R81" i="51" s="1"/>
  <c r="R82" i="51" s="1"/>
  <c r="R83" i="51" s="1"/>
  <c r="R84" i="51" s="1"/>
  <c r="R85" i="51" s="1"/>
  <c r="R86" i="51" s="1"/>
  <c r="R87" i="51" s="1"/>
  <c r="R88" i="51" s="1"/>
  <c r="R89" i="51" s="1"/>
  <c r="R90" i="51" s="1"/>
  <c r="R91" i="51" s="1"/>
  <c r="R92" i="51" s="1"/>
  <c r="R93" i="51" s="1"/>
  <c r="R94" i="51" s="1"/>
  <c r="R95" i="51" s="1"/>
  <c r="R96" i="51" s="1"/>
  <c r="R97" i="51" s="1"/>
  <c r="R98" i="51" s="1"/>
  <c r="R99" i="51" s="1"/>
  <c r="R100" i="51" s="1"/>
  <c r="R101" i="51" s="1"/>
  <c r="R102" i="51" s="1"/>
  <c r="R103" i="51" s="1"/>
  <c r="R104" i="51" s="1"/>
  <c r="R105" i="51" s="1"/>
  <c r="R106" i="51" s="1"/>
  <c r="R107" i="51" s="1"/>
  <c r="R108" i="51" s="1"/>
  <c r="R109" i="51" s="1"/>
  <c r="R110" i="51" s="1"/>
  <c r="R111" i="51" s="1"/>
  <c r="R112" i="51" s="1"/>
  <c r="R113" i="51" s="1"/>
  <c r="R114" i="51" s="1"/>
  <c r="R115" i="51" s="1"/>
  <c r="R116" i="51" s="1"/>
  <c r="R117" i="51" s="1"/>
  <c r="R118" i="51" s="1"/>
  <c r="R119" i="51" s="1"/>
  <c r="R120" i="51" s="1"/>
  <c r="R121" i="51" s="1"/>
  <c r="R122" i="51" s="1"/>
  <c r="R123" i="51" s="1"/>
  <c r="R124" i="51" s="1"/>
  <c r="R125" i="51" s="1"/>
  <c r="R126" i="51" s="1"/>
  <c r="R128" i="51" s="1"/>
  <c r="AJ47" i="51"/>
  <c r="AJ48" i="51" s="1"/>
  <c r="AJ49" i="51" s="1"/>
  <c r="AJ50" i="51" s="1"/>
  <c r="AJ51" i="51" s="1"/>
  <c r="AJ52" i="51" s="1"/>
  <c r="AJ53" i="51" s="1"/>
  <c r="AJ54" i="51" s="1"/>
  <c r="AJ55" i="51" s="1"/>
  <c r="AJ56" i="51" s="1"/>
  <c r="AJ57" i="51" s="1"/>
  <c r="AJ58" i="51" s="1"/>
  <c r="AJ59" i="51" s="1"/>
  <c r="AJ60" i="51" s="1"/>
  <c r="AJ61" i="51" s="1"/>
  <c r="AJ62" i="51" s="1"/>
  <c r="AJ63" i="51" s="1"/>
  <c r="AJ64" i="51" s="1"/>
  <c r="AJ65" i="51" s="1"/>
  <c r="AJ66" i="51" s="1"/>
  <c r="AJ67" i="51" s="1"/>
  <c r="AJ68" i="51" s="1"/>
  <c r="AJ69" i="51" s="1"/>
  <c r="AJ70" i="51" s="1"/>
  <c r="AJ71" i="51" s="1"/>
  <c r="AJ72" i="51" s="1"/>
  <c r="AJ73" i="51" s="1"/>
  <c r="AJ74" i="51" s="1"/>
  <c r="AJ75" i="51" s="1"/>
  <c r="AJ76" i="51" s="1"/>
  <c r="AJ77" i="51" s="1"/>
  <c r="AJ78" i="51" s="1"/>
  <c r="AJ79" i="51" s="1"/>
  <c r="AJ80" i="51" s="1"/>
  <c r="AJ81" i="51" s="1"/>
  <c r="AJ82" i="51" s="1"/>
  <c r="AJ83" i="51" s="1"/>
  <c r="AJ84" i="51" s="1"/>
  <c r="AJ85" i="51" s="1"/>
  <c r="AJ86" i="51" s="1"/>
  <c r="AJ87" i="51" s="1"/>
  <c r="AJ88" i="51" s="1"/>
  <c r="AJ89" i="51" s="1"/>
  <c r="AJ90" i="51" s="1"/>
  <c r="AJ91" i="51" s="1"/>
  <c r="AJ92" i="51" s="1"/>
  <c r="AJ93" i="51" s="1"/>
  <c r="AJ94" i="51" s="1"/>
  <c r="AJ95" i="51" s="1"/>
  <c r="AJ96" i="51" s="1"/>
  <c r="AJ97" i="51" s="1"/>
  <c r="AJ98" i="51" s="1"/>
  <c r="AJ99" i="51" s="1"/>
  <c r="AJ100" i="51" s="1"/>
  <c r="AJ101" i="51" s="1"/>
  <c r="AJ102" i="51" s="1"/>
  <c r="AJ103" i="51" s="1"/>
  <c r="AJ104" i="51" s="1"/>
  <c r="AJ105" i="51" s="1"/>
  <c r="AJ106" i="51" s="1"/>
  <c r="AJ107" i="51" s="1"/>
  <c r="AJ108" i="51" s="1"/>
  <c r="AJ109" i="51" s="1"/>
  <c r="AJ110" i="51" s="1"/>
  <c r="AJ111" i="51" s="1"/>
  <c r="AJ112" i="51" s="1"/>
  <c r="AJ113" i="51" s="1"/>
  <c r="AJ114" i="51" s="1"/>
  <c r="AJ115" i="51" s="1"/>
  <c r="AJ116" i="51" s="1"/>
  <c r="AJ117" i="51" s="1"/>
  <c r="AJ118" i="51" s="1"/>
  <c r="AJ119" i="51" s="1"/>
  <c r="AJ120" i="51" s="1"/>
  <c r="AJ121" i="51" s="1"/>
  <c r="AJ122" i="51" s="1"/>
  <c r="AJ123" i="51" s="1"/>
  <c r="AJ124" i="51" s="1"/>
  <c r="AJ125" i="51" s="1"/>
  <c r="AJ126" i="51" s="1"/>
  <c r="AJ128" i="51" s="1"/>
  <c r="AJ130" i="51" s="1"/>
  <c r="AK47" i="51"/>
  <c r="AK48" i="51" s="1"/>
  <c r="AK49" i="51" s="1"/>
  <c r="AK50" i="51" s="1"/>
  <c r="AK51" i="51" s="1"/>
  <c r="AK52" i="51" s="1"/>
  <c r="AK53" i="51" s="1"/>
  <c r="AK54" i="51" s="1"/>
  <c r="AK55" i="51" s="1"/>
  <c r="AK56" i="51" s="1"/>
  <c r="AK57" i="51" s="1"/>
  <c r="AK58" i="51" s="1"/>
  <c r="AK59" i="51" s="1"/>
  <c r="AK60" i="51" s="1"/>
  <c r="AK61" i="51" s="1"/>
  <c r="AK62" i="51" s="1"/>
  <c r="AK63" i="51" s="1"/>
  <c r="AK64" i="51" s="1"/>
  <c r="AK65" i="51" s="1"/>
  <c r="AK66" i="51" s="1"/>
  <c r="AK67" i="51" s="1"/>
  <c r="AK68" i="51" s="1"/>
  <c r="AK69" i="51" s="1"/>
  <c r="AK70" i="51" s="1"/>
  <c r="AK71" i="51" s="1"/>
  <c r="AK72" i="51" s="1"/>
  <c r="AK73" i="51" s="1"/>
  <c r="AK74" i="51" s="1"/>
  <c r="AK75" i="51" s="1"/>
  <c r="AK76" i="51" s="1"/>
  <c r="AK77" i="51" s="1"/>
  <c r="AK78" i="51" s="1"/>
  <c r="AK79" i="51" s="1"/>
  <c r="AK80" i="51" s="1"/>
  <c r="AK81" i="51" s="1"/>
  <c r="AK82" i="51" s="1"/>
  <c r="AK83" i="51" s="1"/>
  <c r="AK84" i="51" s="1"/>
  <c r="AK85" i="51" s="1"/>
  <c r="AK86" i="51" s="1"/>
  <c r="AK87" i="51" s="1"/>
  <c r="AK88" i="51" s="1"/>
  <c r="AK89" i="51" s="1"/>
  <c r="AK90" i="51" s="1"/>
  <c r="AK91" i="51" s="1"/>
  <c r="AK92" i="51" s="1"/>
  <c r="AK93" i="51" s="1"/>
  <c r="AK94" i="51" s="1"/>
  <c r="AK95" i="51" s="1"/>
  <c r="AK96" i="51" s="1"/>
  <c r="AK97" i="51" s="1"/>
  <c r="AK98" i="51" s="1"/>
  <c r="AK99" i="51" s="1"/>
  <c r="AK100" i="51" s="1"/>
  <c r="AK101" i="51" s="1"/>
  <c r="AK102" i="51" s="1"/>
  <c r="AK103" i="51" s="1"/>
  <c r="AK104" i="51" s="1"/>
  <c r="AK105" i="51" s="1"/>
  <c r="AK106" i="51" s="1"/>
  <c r="AK107" i="51" s="1"/>
  <c r="AK108" i="51" s="1"/>
  <c r="AK109" i="51" s="1"/>
  <c r="AK110" i="51" s="1"/>
  <c r="AK111" i="51" s="1"/>
  <c r="AK112" i="51" s="1"/>
  <c r="AK113" i="51" s="1"/>
  <c r="AK114" i="51" s="1"/>
  <c r="AK115" i="51" s="1"/>
  <c r="AK116" i="51" s="1"/>
  <c r="AK117" i="51" s="1"/>
  <c r="AK118" i="51" s="1"/>
  <c r="AK119" i="51" s="1"/>
  <c r="AK120" i="51" s="1"/>
  <c r="AK121" i="51" s="1"/>
  <c r="AK122" i="51" s="1"/>
  <c r="AK123" i="51" s="1"/>
  <c r="AK124" i="51" s="1"/>
  <c r="AK125" i="51" s="1"/>
  <c r="AK126" i="51" s="1"/>
  <c r="AK128" i="51" s="1"/>
  <c r="AK132" i="51" s="1"/>
  <c r="Q47" i="51"/>
  <c r="Q48" i="51" s="1"/>
  <c r="Q49" i="51" s="1"/>
  <c r="Q50" i="51" s="1"/>
  <c r="Q51" i="51" s="1"/>
  <c r="Q52" i="51" s="1"/>
  <c r="Q53" i="51" s="1"/>
  <c r="Q54" i="51" s="1"/>
  <c r="Q55" i="51" s="1"/>
  <c r="Q56" i="51" s="1"/>
  <c r="Q57" i="51" s="1"/>
  <c r="Q58" i="51" s="1"/>
  <c r="Q59" i="51" s="1"/>
  <c r="Q60" i="51" s="1"/>
  <c r="Q61" i="51" s="1"/>
  <c r="Q62" i="51" s="1"/>
  <c r="Q63" i="51" s="1"/>
  <c r="Q64" i="51" s="1"/>
  <c r="Q65" i="51" s="1"/>
  <c r="Q66" i="51" s="1"/>
  <c r="Q67" i="51" s="1"/>
  <c r="Q68" i="51" s="1"/>
  <c r="Q69" i="51" s="1"/>
  <c r="Q70" i="51" s="1"/>
  <c r="Q71" i="51" s="1"/>
  <c r="Q72" i="51" s="1"/>
  <c r="Q73" i="51" s="1"/>
  <c r="Q74" i="51" s="1"/>
  <c r="Q75" i="51" s="1"/>
  <c r="Q76" i="51" s="1"/>
  <c r="Q77" i="51" s="1"/>
  <c r="Q78" i="51" s="1"/>
  <c r="Q79" i="51" s="1"/>
  <c r="Q80" i="51" s="1"/>
  <c r="Q81" i="51" s="1"/>
  <c r="Q82" i="51" s="1"/>
  <c r="Q83" i="51" s="1"/>
  <c r="Q84" i="51" s="1"/>
  <c r="Q85" i="51" s="1"/>
  <c r="Q86" i="51" s="1"/>
  <c r="Q87" i="51" s="1"/>
  <c r="Q88" i="51" s="1"/>
  <c r="Q89" i="51" s="1"/>
  <c r="Q90" i="51" s="1"/>
  <c r="Q91" i="51" s="1"/>
  <c r="Q92" i="51" s="1"/>
  <c r="Q93" i="51" s="1"/>
  <c r="Q94" i="51" s="1"/>
  <c r="Q95" i="51" s="1"/>
  <c r="Q96" i="51" s="1"/>
  <c r="Q97" i="51" s="1"/>
  <c r="Q98" i="51" s="1"/>
  <c r="Q99" i="51" s="1"/>
  <c r="Q100" i="51" s="1"/>
  <c r="Q101" i="51" s="1"/>
  <c r="Q102" i="51" s="1"/>
  <c r="Q103" i="51" s="1"/>
  <c r="Q104" i="51" s="1"/>
  <c r="Q105" i="51" s="1"/>
  <c r="Q106" i="51" s="1"/>
  <c r="Q107" i="51" s="1"/>
  <c r="Q108" i="51" s="1"/>
  <c r="Q109" i="51" s="1"/>
  <c r="Q110" i="51" s="1"/>
  <c r="Q111" i="51" s="1"/>
  <c r="Q112" i="51" s="1"/>
  <c r="Q113" i="51" s="1"/>
  <c r="Q114" i="51" s="1"/>
  <c r="Q115" i="51" s="1"/>
  <c r="Q116" i="51" s="1"/>
  <c r="Q117" i="51" s="1"/>
  <c r="Q118" i="51" s="1"/>
  <c r="Q119" i="51" s="1"/>
  <c r="Q120" i="51" s="1"/>
  <c r="Q121" i="51" s="1"/>
  <c r="Q122" i="51" s="1"/>
  <c r="Q123" i="51" s="1"/>
  <c r="Q124" i="51" s="1"/>
  <c r="Q125" i="51" s="1"/>
  <c r="Q126" i="51" s="1"/>
  <c r="Q128" i="51" s="1"/>
  <c r="Q130" i="51" s="1"/>
  <c r="AD47" i="51"/>
  <c r="AD48" i="51" s="1"/>
  <c r="AD49" i="51" s="1"/>
  <c r="AD50" i="51" s="1"/>
  <c r="AD51" i="51" s="1"/>
  <c r="AD52" i="51" s="1"/>
  <c r="AD53" i="51" s="1"/>
  <c r="AD54" i="51" s="1"/>
  <c r="AD55" i="51" s="1"/>
  <c r="AD56" i="51" s="1"/>
  <c r="AD57" i="51" s="1"/>
  <c r="AD58" i="51" s="1"/>
  <c r="AD59" i="51" s="1"/>
  <c r="AD60" i="51" s="1"/>
  <c r="AD61" i="51" s="1"/>
  <c r="AD62" i="51" s="1"/>
  <c r="AD63" i="51" s="1"/>
  <c r="AD64" i="51" s="1"/>
  <c r="AD65" i="51" s="1"/>
  <c r="AD66" i="51" s="1"/>
  <c r="AD67" i="51" s="1"/>
  <c r="AD68" i="51" s="1"/>
  <c r="AD69" i="51" s="1"/>
  <c r="AD70" i="51" s="1"/>
  <c r="AD71" i="51" s="1"/>
  <c r="AD72" i="51" s="1"/>
  <c r="AD73" i="51" s="1"/>
  <c r="AD74" i="51" s="1"/>
  <c r="AD75" i="51" s="1"/>
  <c r="AD76" i="51" s="1"/>
  <c r="AD77" i="51" s="1"/>
  <c r="AD78" i="51" s="1"/>
  <c r="AD79" i="51" s="1"/>
  <c r="AD80" i="51" s="1"/>
  <c r="AD81" i="51" s="1"/>
  <c r="AD82" i="51" s="1"/>
  <c r="AD83" i="51" s="1"/>
  <c r="AD84" i="51" s="1"/>
  <c r="AD85" i="51" s="1"/>
  <c r="AD86" i="51" s="1"/>
  <c r="AD87" i="51" s="1"/>
  <c r="AD88" i="51" s="1"/>
  <c r="AD89" i="51" s="1"/>
  <c r="AD90" i="51" s="1"/>
  <c r="AD91" i="51" s="1"/>
  <c r="AD92" i="51" s="1"/>
  <c r="AD93" i="51" s="1"/>
  <c r="AD94" i="51" s="1"/>
  <c r="AD95" i="51" s="1"/>
  <c r="AD96" i="51" s="1"/>
  <c r="AD97" i="51" s="1"/>
  <c r="AD98" i="51" s="1"/>
  <c r="AD99" i="51" s="1"/>
  <c r="AD100" i="51" s="1"/>
  <c r="AD101" i="51" s="1"/>
  <c r="AD102" i="51" s="1"/>
  <c r="AD103" i="51" s="1"/>
  <c r="AD104" i="51" s="1"/>
  <c r="AD105" i="51" s="1"/>
  <c r="AD106" i="51" s="1"/>
  <c r="AD107" i="51" s="1"/>
  <c r="AD108" i="51" s="1"/>
  <c r="AD109" i="51" s="1"/>
  <c r="AD110" i="51" s="1"/>
  <c r="AD111" i="51" s="1"/>
  <c r="AD112" i="51" s="1"/>
  <c r="AD113" i="51" s="1"/>
  <c r="AD114" i="51" s="1"/>
  <c r="AD115" i="51" s="1"/>
  <c r="AD116" i="51" s="1"/>
  <c r="AD117" i="51" s="1"/>
  <c r="AD118" i="51" s="1"/>
  <c r="AD119" i="51" s="1"/>
  <c r="AD120" i="51" s="1"/>
  <c r="AD121" i="51" s="1"/>
  <c r="AD122" i="51" s="1"/>
  <c r="AD123" i="51" s="1"/>
  <c r="AD124" i="51" s="1"/>
  <c r="AD125" i="51" s="1"/>
  <c r="AD126" i="51" s="1"/>
  <c r="AD128" i="51" s="1"/>
  <c r="AD132" i="51" s="1"/>
  <c r="AA47" i="51"/>
  <c r="AA48" i="51" s="1"/>
  <c r="AA49" i="51" s="1"/>
  <c r="AA50" i="51" s="1"/>
  <c r="AA51" i="51" s="1"/>
  <c r="AA52" i="51" s="1"/>
  <c r="AA53" i="51" s="1"/>
  <c r="AA54" i="51" s="1"/>
  <c r="AA55" i="51" s="1"/>
  <c r="AA56" i="51" s="1"/>
  <c r="AA57" i="51" s="1"/>
  <c r="AA58" i="51" s="1"/>
  <c r="AA59" i="51" s="1"/>
  <c r="AA60" i="51" s="1"/>
  <c r="AA61" i="51" s="1"/>
  <c r="AA62" i="51" s="1"/>
  <c r="AA63" i="51" s="1"/>
  <c r="AA64" i="51" s="1"/>
  <c r="AA65" i="51" s="1"/>
  <c r="AA66" i="51" s="1"/>
  <c r="AA67" i="51" s="1"/>
  <c r="AA68" i="51" s="1"/>
  <c r="AA69" i="51" s="1"/>
  <c r="AA70" i="51" s="1"/>
  <c r="AA71" i="51" s="1"/>
  <c r="AA72" i="51" s="1"/>
  <c r="AA73" i="51" s="1"/>
  <c r="AA74" i="51" s="1"/>
  <c r="AA75" i="51" s="1"/>
  <c r="AA76" i="51" s="1"/>
  <c r="AA77" i="51" s="1"/>
  <c r="AA78" i="51" s="1"/>
  <c r="AA79" i="51" s="1"/>
  <c r="AA80" i="51" s="1"/>
  <c r="AA81" i="51" s="1"/>
  <c r="AA82" i="51" s="1"/>
  <c r="AA83" i="51" s="1"/>
  <c r="AA84" i="51" s="1"/>
  <c r="AA85" i="51" s="1"/>
  <c r="AA86" i="51" s="1"/>
  <c r="AA87" i="51" s="1"/>
  <c r="AA88" i="51" s="1"/>
  <c r="AA89" i="51" s="1"/>
  <c r="AA90" i="51" s="1"/>
  <c r="AA91" i="51" s="1"/>
  <c r="AA92" i="51" s="1"/>
  <c r="AA93" i="51" s="1"/>
  <c r="AA94" i="51" s="1"/>
  <c r="AA95" i="51" s="1"/>
  <c r="AA96" i="51" s="1"/>
  <c r="AA97" i="51" s="1"/>
  <c r="AA98" i="51" s="1"/>
  <c r="AA99" i="51" s="1"/>
  <c r="AA100" i="51" s="1"/>
  <c r="AA101" i="51" s="1"/>
  <c r="AA102" i="51" s="1"/>
  <c r="AA103" i="51" s="1"/>
  <c r="AA104" i="51" s="1"/>
  <c r="AA105" i="51" s="1"/>
  <c r="AA106" i="51" s="1"/>
  <c r="AA107" i="51" s="1"/>
  <c r="AA108" i="51" s="1"/>
  <c r="AA109" i="51" s="1"/>
  <c r="AA110" i="51" s="1"/>
  <c r="AA111" i="51" s="1"/>
  <c r="AA112" i="51" s="1"/>
  <c r="AA113" i="51" s="1"/>
  <c r="AA114" i="51" s="1"/>
  <c r="AA115" i="51" s="1"/>
  <c r="AA116" i="51" s="1"/>
  <c r="AA117" i="51" s="1"/>
  <c r="AA118" i="51" s="1"/>
  <c r="AA119" i="51" s="1"/>
  <c r="AA120" i="51" s="1"/>
  <c r="AA121" i="51" s="1"/>
  <c r="AA122" i="51" s="1"/>
  <c r="AA123" i="51" s="1"/>
  <c r="AA124" i="51" s="1"/>
  <c r="AA125" i="51" s="1"/>
  <c r="AA126" i="51" s="1"/>
  <c r="AA128" i="51" s="1"/>
  <c r="AA132" i="51" s="1"/>
  <c r="AI47" i="51"/>
  <c r="AI48" i="51" s="1"/>
  <c r="AI49" i="51" s="1"/>
  <c r="AI50" i="51" s="1"/>
  <c r="AI51" i="51" s="1"/>
  <c r="AI52" i="51" s="1"/>
  <c r="AI53" i="51" s="1"/>
  <c r="AI54" i="51" s="1"/>
  <c r="AI55" i="51" s="1"/>
  <c r="AI56" i="51" s="1"/>
  <c r="AI57" i="51" s="1"/>
  <c r="AI58" i="51" s="1"/>
  <c r="AI59" i="51" s="1"/>
  <c r="AI60" i="51" s="1"/>
  <c r="AI61" i="51" s="1"/>
  <c r="AI62" i="51" s="1"/>
  <c r="AI63" i="51" s="1"/>
  <c r="AI64" i="51" s="1"/>
  <c r="AI65" i="51" s="1"/>
  <c r="AI66" i="51" s="1"/>
  <c r="AI67" i="51" s="1"/>
  <c r="AI68" i="51" s="1"/>
  <c r="AI69" i="51" s="1"/>
  <c r="AI70" i="51" s="1"/>
  <c r="AI71" i="51" s="1"/>
  <c r="AI72" i="51" s="1"/>
  <c r="AI73" i="51" s="1"/>
  <c r="AI74" i="51" s="1"/>
  <c r="AI75" i="51" s="1"/>
  <c r="AI76" i="51" s="1"/>
  <c r="AI77" i="51" s="1"/>
  <c r="AI78" i="51" s="1"/>
  <c r="AI79" i="51" s="1"/>
  <c r="AI80" i="51" s="1"/>
  <c r="AI81" i="51" s="1"/>
  <c r="AI82" i="51" s="1"/>
  <c r="AI83" i="51" s="1"/>
  <c r="AI84" i="51" s="1"/>
  <c r="AI85" i="51" s="1"/>
  <c r="AI86" i="51" s="1"/>
  <c r="AI87" i="51" s="1"/>
  <c r="AI88" i="51" s="1"/>
  <c r="AI89" i="51" s="1"/>
  <c r="AI90" i="51" s="1"/>
  <c r="AI91" i="51" s="1"/>
  <c r="AI92" i="51" s="1"/>
  <c r="AI93" i="51" s="1"/>
  <c r="AI94" i="51" s="1"/>
  <c r="AI95" i="51" s="1"/>
  <c r="AI96" i="51" s="1"/>
  <c r="AI97" i="51" s="1"/>
  <c r="AI98" i="51" s="1"/>
  <c r="AI99" i="51" s="1"/>
  <c r="AI100" i="51" s="1"/>
  <c r="AI101" i="51" s="1"/>
  <c r="AI102" i="51" s="1"/>
  <c r="AI103" i="51" s="1"/>
  <c r="AI104" i="51" s="1"/>
  <c r="AI105" i="51" s="1"/>
  <c r="AI106" i="51" s="1"/>
  <c r="AI107" i="51" s="1"/>
  <c r="AI108" i="51" s="1"/>
  <c r="AI109" i="51" s="1"/>
  <c r="AI110" i="51" s="1"/>
  <c r="AI111" i="51" s="1"/>
  <c r="AI112" i="51" s="1"/>
  <c r="AI113" i="51" s="1"/>
  <c r="AI114" i="51" s="1"/>
  <c r="AI115" i="51" s="1"/>
  <c r="AI116" i="51" s="1"/>
  <c r="AI117" i="51" s="1"/>
  <c r="AI118" i="51" s="1"/>
  <c r="AI119" i="51" s="1"/>
  <c r="AI120" i="51" s="1"/>
  <c r="AI121" i="51" s="1"/>
  <c r="AI122" i="51" s="1"/>
  <c r="AI123" i="51" s="1"/>
  <c r="AI124" i="51" s="1"/>
  <c r="AI125" i="51" s="1"/>
  <c r="AI126" i="51" s="1"/>
  <c r="AI128" i="51" s="1"/>
  <c r="AI132" i="51" s="1"/>
  <c r="U132" i="51"/>
  <c r="U130" i="51"/>
  <c r="AB130" i="51"/>
  <c r="AB132" i="51"/>
  <c r="S130" i="51"/>
  <c r="S132" i="51"/>
  <c r="A48" i="51"/>
  <c r="A48" i="53" s="1"/>
  <c r="BY48" i="53" s="1"/>
  <c r="C48" i="53"/>
  <c r="C48" i="51"/>
  <c r="V48" i="51" s="1"/>
  <c r="O50" i="51"/>
  <c r="AP45" i="53"/>
  <c r="E47" i="51"/>
  <c r="F47" i="51"/>
  <c r="AG47" i="51"/>
  <c r="H47" i="51"/>
  <c r="AC47" i="51"/>
  <c r="AF47" i="51"/>
  <c r="X48" i="65"/>
  <c r="J47" i="51"/>
  <c r="I47" i="51"/>
  <c r="K47" i="51"/>
  <c r="G47" i="51"/>
  <c r="M46" i="51"/>
  <c r="AL46" i="53" s="1"/>
  <c r="A47" i="53"/>
  <c r="W48" i="65"/>
  <c r="AT47" i="53"/>
  <c r="F46" i="53"/>
  <c r="P47" i="51"/>
  <c r="BK47" i="53"/>
  <c r="W47" i="53"/>
  <c r="K47" i="53"/>
  <c r="AB47" i="53" a="1"/>
  <c r="AB47" i="53" s="1"/>
  <c r="P37" i="53"/>
  <c r="AQ37" i="53" s="1"/>
  <c r="AR37" i="53" s="1"/>
  <c r="O49" i="53"/>
  <c r="AX49" i="53" s="1"/>
  <c r="D50" i="53"/>
  <c r="AK50" i="55"/>
  <c r="A51" i="55"/>
  <c r="AM50" i="55"/>
  <c r="AL49" i="55"/>
  <c r="D50" i="51"/>
  <c r="Y50" i="65"/>
  <c r="Z50" i="65" s="1"/>
  <c r="AA50" i="65" s="1"/>
  <c r="R130" i="51" l="1"/>
  <c r="R132" i="51"/>
  <c r="AJ132" i="51"/>
  <c r="AA130" i="51"/>
  <c r="Q132" i="51"/>
  <c r="AD130" i="51"/>
  <c r="AK130" i="51"/>
  <c r="AI130" i="51"/>
  <c r="BK48" i="53"/>
  <c r="W48" i="53"/>
  <c r="AB48" i="53" a="1"/>
  <c r="AB48" i="53" s="1"/>
  <c r="K48" i="53"/>
  <c r="W49" i="65"/>
  <c r="AG48" i="51"/>
  <c r="C49" i="51"/>
  <c r="V49" i="51" s="1"/>
  <c r="H48" i="51"/>
  <c r="AC48" i="51"/>
  <c r="G48" i="51"/>
  <c r="F48" i="51"/>
  <c r="E48" i="51"/>
  <c r="J48" i="51"/>
  <c r="K48" i="51"/>
  <c r="X49" i="65"/>
  <c r="I48" i="51"/>
  <c r="C49" i="53"/>
  <c r="AF48" i="51"/>
  <c r="A49" i="51"/>
  <c r="O51" i="51"/>
  <c r="M47" i="51"/>
  <c r="AL47" i="53" s="1"/>
  <c r="AT48" i="53"/>
  <c r="F47" i="53"/>
  <c r="P48" i="51"/>
  <c r="F48" i="53" s="1"/>
  <c r="AP46" i="53"/>
  <c r="P38" i="53"/>
  <c r="AQ38" i="53" s="1"/>
  <c r="AR38" i="53" s="1"/>
  <c r="D51" i="53"/>
  <c r="O50" i="53"/>
  <c r="AX50" i="53" s="1"/>
  <c r="C51" i="51"/>
  <c r="D51" i="51"/>
  <c r="C51" i="53"/>
  <c r="Y51" i="65"/>
  <c r="Z51" i="65" s="1"/>
  <c r="AA51" i="65" s="1"/>
  <c r="AK51" i="55"/>
  <c r="AM51" i="55"/>
  <c r="A52" i="55"/>
  <c r="AL50" i="55"/>
  <c r="AE50" i="55"/>
  <c r="W50" i="65" l="1"/>
  <c r="A49" i="53"/>
  <c r="BY49" i="53" s="1"/>
  <c r="M48" i="51"/>
  <c r="BK49" i="53"/>
  <c r="K49" i="53"/>
  <c r="AB49" i="53" a="1"/>
  <c r="AB49" i="53" s="1"/>
  <c r="W49" i="53"/>
  <c r="I49" i="51"/>
  <c r="K49" i="51"/>
  <c r="X50" i="65"/>
  <c r="AF49" i="51"/>
  <c r="F49" i="51"/>
  <c r="AG49" i="51"/>
  <c r="C50" i="51"/>
  <c r="A52" i="51" s="1"/>
  <c r="AC49" i="51"/>
  <c r="C50" i="53"/>
  <c r="H49" i="51"/>
  <c r="G49" i="51"/>
  <c r="E49" i="51"/>
  <c r="J49" i="51"/>
  <c r="A50" i="51"/>
  <c r="O52" i="51"/>
  <c r="AP47" i="53"/>
  <c r="P49" i="51"/>
  <c r="F49" i="53" s="1"/>
  <c r="AT49" i="53"/>
  <c r="P39" i="53"/>
  <c r="AQ39" i="53" s="1"/>
  <c r="AR39" i="53" s="1"/>
  <c r="D52" i="53"/>
  <c r="O51" i="53"/>
  <c r="AX51" i="53" s="1"/>
  <c r="C52" i="51"/>
  <c r="D52" i="51"/>
  <c r="C52" i="53"/>
  <c r="Y52" i="65"/>
  <c r="Z52" i="65" s="1"/>
  <c r="AA52" i="65" s="1"/>
  <c r="AE51" i="55"/>
  <c r="AL51" i="55"/>
  <c r="J51" i="51"/>
  <c r="K51" i="51"/>
  <c r="G51" i="51"/>
  <c r="M51" i="51" s="1"/>
  <c r="X52" i="65"/>
  <c r="H51" i="51"/>
  <c r="E51" i="51"/>
  <c r="AC51" i="51"/>
  <c r="AG51" i="51"/>
  <c r="I51" i="51"/>
  <c r="F51" i="51"/>
  <c r="AF51" i="51"/>
  <c r="AM52" i="55"/>
  <c r="AK52" i="55"/>
  <c r="A53" i="55"/>
  <c r="AB51" i="53" a="1"/>
  <c r="AB51" i="53" s="1"/>
  <c r="K51" i="53"/>
  <c r="BK51" i="53"/>
  <c r="W51" i="53"/>
  <c r="R51" i="53"/>
  <c r="U51" i="53"/>
  <c r="BF51" i="53" s="1"/>
  <c r="AP48" i="53" l="1"/>
  <c r="AL48" i="53"/>
  <c r="M49" i="51"/>
  <c r="AL49" i="53" s="1"/>
  <c r="AB50" i="53" a="1"/>
  <c r="AB50" i="53" s="1"/>
  <c r="K50" i="53"/>
  <c r="BK50" i="53"/>
  <c r="W50" i="53"/>
  <c r="K50" i="51"/>
  <c r="E50" i="51"/>
  <c r="A51" i="51"/>
  <c r="X51" i="65"/>
  <c r="H50" i="51"/>
  <c r="AF50" i="51"/>
  <c r="J50" i="51"/>
  <c r="I50" i="51"/>
  <c r="AG50" i="51"/>
  <c r="F50" i="51"/>
  <c r="AC50" i="51"/>
  <c r="G50" i="51"/>
  <c r="W51" i="65"/>
  <c r="A50" i="53"/>
  <c r="BY50" i="53" s="1"/>
  <c r="V50" i="51"/>
  <c r="V51" i="51" s="1"/>
  <c r="V52" i="51" s="1"/>
  <c r="V53" i="51" s="1"/>
  <c r="V54" i="51" s="1"/>
  <c r="V55" i="51" s="1"/>
  <c r="V56" i="51" s="1"/>
  <c r="V57" i="51" s="1"/>
  <c r="V58" i="51" s="1"/>
  <c r="V59" i="51" s="1"/>
  <c r="V60" i="51" s="1"/>
  <c r="V61" i="51" s="1"/>
  <c r="V62" i="51" s="1"/>
  <c r="V63" i="51" s="1"/>
  <c r="V64" i="51" s="1"/>
  <c r="V65" i="51" s="1"/>
  <c r="V66" i="51" s="1"/>
  <c r="V67" i="51" s="1"/>
  <c r="V68" i="51" s="1"/>
  <c r="V69" i="51" s="1"/>
  <c r="V70" i="51" s="1"/>
  <c r="V71" i="51" s="1"/>
  <c r="V72" i="51" s="1"/>
  <c r="V73" i="51" s="1"/>
  <c r="V74" i="51" s="1"/>
  <c r="V75" i="51" s="1"/>
  <c r="V76" i="51" s="1"/>
  <c r="V77" i="51" s="1"/>
  <c r="V78" i="51" s="1"/>
  <c r="V79" i="51" s="1"/>
  <c r="V80" i="51" s="1"/>
  <c r="V81" i="51" s="1"/>
  <c r="V82" i="51" s="1"/>
  <c r="V83" i="51" s="1"/>
  <c r="V84" i="51" s="1"/>
  <c r="V85" i="51" s="1"/>
  <c r="V86" i="51" s="1"/>
  <c r="V87" i="51" s="1"/>
  <c r="V88" i="51" s="1"/>
  <c r="V89" i="51" s="1"/>
  <c r="V90" i="51" s="1"/>
  <c r="V91" i="51" s="1"/>
  <c r="V92" i="51" s="1"/>
  <c r="V93" i="51" s="1"/>
  <c r="V94" i="51" s="1"/>
  <c r="V95" i="51" s="1"/>
  <c r="V96" i="51" s="1"/>
  <c r="V97" i="51" s="1"/>
  <c r="V98" i="51" s="1"/>
  <c r="V99" i="51" s="1"/>
  <c r="V100" i="51" s="1"/>
  <c r="V101" i="51" s="1"/>
  <c r="V102" i="51" s="1"/>
  <c r="V103" i="51" s="1"/>
  <c r="V104" i="51" s="1"/>
  <c r="V105" i="51" s="1"/>
  <c r="V106" i="51" s="1"/>
  <c r="V107" i="51" s="1"/>
  <c r="V108" i="51" s="1"/>
  <c r="V109" i="51" s="1"/>
  <c r="V110" i="51" s="1"/>
  <c r="V111" i="51" s="1"/>
  <c r="V112" i="51" s="1"/>
  <c r="V113" i="51" s="1"/>
  <c r="V114" i="51" s="1"/>
  <c r="V115" i="51" s="1"/>
  <c r="V116" i="51" s="1"/>
  <c r="V117" i="51" s="1"/>
  <c r="V118" i="51" s="1"/>
  <c r="V119" i="51" s="1"/>
  <c r="V120" i="51" s="1"/>
  <c r="V121" i="51" s="1"/>
  <c r="V122" i="51" s="1"/>
  <c r="V123" i="51" s="1"/>
  <c r="V124" i="51" s="1"/>
  <c r="V125" i="51" s="1"/>
  <c r="V126" i="51" s="1"/>
  <c r="V128" i="51" s="1"/>
  <c r="O53" i="51"/>
  <c r="P50" i="51"/>
  <c r="AT50" i="53"/>
  <c r="P40" i="53"/>
  <c r="AQ40" i="53" s="1"/>
  <c r="AR40" i="53" s="1"/>
  <c r="C53" i="51"/>
  <c r="D53" i="51"/>
  <c r="C53" i="53"/>
  <c r="Y53" i="65"/>
  <c r="Z53" i="65" s="1"/>
  <c r="AA53" i="65" s="1"/>
  <c r="A54" i="55"/>
  <c r="AM53" i="55"/>
  <c r="AK53" i="55"/>
  <c r="AF52" i="51"/>
  <c r="H52" i="51"/>
  <c r="F52" i="51"/>
  <c r="I52" i="51"/>
  <c r="K52" i="51"/>
  <c r="J52" i="51"/>
  <c r="AC52" i="51"/>
  <c r="X53" i="65"/>
  <c r="G52" i="51"/>
  <c r="M52" i="51" s="1"/>
  <c r="E52" i="51"/>
  <c r="AG52" i="51"/>
  <c r="A53" i="51"/>
  <c r="AE52" i="55"/>
  <c r="AL52" i="55"/>
  <c r="Y51" i="53"/>
  <c r="D53" i="53"/>
  <c r="O52" i="53"/>
  <c r="AX52" i="53" s="1"/>
  <c r="A52" i="53"/>
  <c r="W53" i="65"/>
  <c r="AL51" i="53"/>
  <c r="AP51" i="53"/>
  <c r="AB52" i="53" a="1"/>
  <c r="AB52" i="53" s="1"/>
  <c r="W52" i="53"/>
  <c r="R52" i="53"/>
  <c r="U52" i="53"/>
  <c r="BF52" i="53" s="1"/>
  <c r="K52" i="53"/>
  <c r="BK52" i="53"/>
  <c r="AP49" i="53" l="1"/>
  <c r="M50" i="51"/>
  <c r="AL50" i="53" s="1"/>
  <c r="V130" i="51"/>
  <c r="V132" i="51"/>
  <c r="A51" i="53"/>
  <c r="BY51" i="53" s="1"/>
  <c r="W52" i="65"/>
  <c r="O54" i="51"/>
  <c r="P51" i="51"/>
  <c r="F50" i="53"/>
  <c r="AT51" i="53"/>
  <c r="Y52" i="53"/>
  <c r="AM54" i="55"/>
  <c r="A55" i="55"/>
  <c r="AK54" i="55"/>
  <c r="BY52" i="53"/>
  <c r="AL53" i="55"/>
  <c r="AE53" i="55"/>
  <c r="A53" i="53"/>
  <c r="W54" i="65"/>
  <c r="AB53" i="53" a="1"/>
  <c r="AB53" i="53" s="1"/>
  <c r="W53" i="53"/>
  <c r="R53" i="53"/>
  <c r="U53" i="53"/>
  <c r="BF53" i="53" s="1"/>
  <c r="BK53" i="53"/>
  <c r="K53" i="53"/>
  <c r="D54" i="53"/>
  <c r="O53" i="53"/>
  <c r="AX53" i="53" s="1"/>
  <c r="C54" i="51"/>
  <c r="D54" i="51"/>
  <c r="C54" i="53"/>
  <c r="Y54" i="65"/>
  <c r="Z54" i="65" s="1"/>
  <c r="AA54" i="65" s="1"/>
  <c r="G53" i="51"/>
  <c r="M53" i="51" s="1"/>
  <c r="F53" i="51"/>
  <c r="H53" i="51"/>
  <c r="E53" i="51"/>
  <c r="K53" i="51"/>
  <c r="I53" i="51"/>
  <c r="J53" i="51"/>
  <c r="AG53" i="51"/>
  <c r="X54" i="65"/>
  <c r="AC53" i="51"/>
  <c r="AF53" i="51"/>
  <c r="A54" i="51"/>
  <c r="AP52" i="53"/>
  <c r="AL52" i="53"/>
  <c r="P41" i="53"/>
  <c r="AQ41" i="53" s="1"/>
  <c r="AR41" i="53" s="1"/>
  <c r="AP50" i="53" l="1"/>
  <c r="O55" i="51"/>
  <c r="P52" i="51"/>
  <c r="F51" i="53"/>
  <c r="AV51" i="53"/>
  <c r="X51" i="53" s="1"/>
  <c r="Z51" i="53" s="1"/>
  <c r="AT52" i="53"/>
  <c r="P42" i="53"/>
  <c r="AQ42" i="53" s="1"/>
  <c r="AR42" i="53" s="1"/>
  <c r="BY53" i="53"/>
  <c r="AK55" i="55"/>
  <c r="AM55" i="55"/>
  <c r="A56" i="55"/>
  <c r="AL53" i="53"/>
  <c r="AP53" i="53"/>
  <c r="D55" i="51"/>
  <c r="C55" i="51"/>
  <c r="C55" i="53"/>
  <c r="Y55" i="65"/>
  <c r="Z55" i="65" s="1"/>
  <c r="AA55" i="65" s="1"/>
  <c r="H54" i="51"/>
  <c r="I54" i="51"/>
  <c r="J54" i="51"/>
  <c r="X55" i="65"/>
  <c r="F54" i="51"/>
  <c r="E54" i="51"/>
  <c r="AC54" i="51"/>
  <c r="AG54" i="51"/>
  <c r="G54" i="51"/>
  <c r="M54" i="51" s="1"/>
  <c r="AF54" i="51"/>
  <c r="K54" i="51"/>
  <c r="A55" i="51"/>
  <c r="Y53" i="53"/>
  <c r="AB54" i="53" a="1"/>
  <c r="AB54" i="53" s="1"/>
  <c r="W54" i="53"/>
  <c r="U54" i="53"/>
  <c r="BF54" i="53" s="1"/>
  <c r="R54" i="53"/>
  <c r="BK54" i="53"/>
  <c r="K54" i="53"/>
  <c r="O54" i="53"/>
  <c r="AX54" i="53" s="1"/>
  <c r="D55" i="53"/>
  <c r="A54" i="53"/>
  <c r="W55" i="65"/>
  <c r="AL54" i="55"/>
  <c r="AE54" i="55"/>
  <c r="O56" i="51" l="1"/>
  <c r="F52" i="53"/>
  <c r="P53" i="51"/>
  <c r="AT53" i="53"/>
  <c r="AV52" i="53"/>
  <c r="X52" i="53" s="1"/>
  <c r="Z52" i="53" s="1"/>
  <c r="BY54" i="53"/>
  <c r="AM56" i="55"/>
  <c r="A57" i="55"/>
  <c r="AK56" i="55"/>
  <c r="AP54" i="53"/>
  <c r="AL54" i="53"/>
  <c r="Y54" i="53"/>
  <c r="AE55" i="55"/>
  <c r="AL55" i="55"/>
  <c r="O55" i="53"/>
  <c r="AX55" i="53" s="1"/>
  <c r="D56" i="53"/>
  <c r="AB55" i="53" a="1"/>
  <c r="AB55" i="53" s="1"/>
  <c r="K55" i="53"/>
  <c r="W55" i="53"/>
  <c r="U55" i="53"/>
  <c r="BF55" i="53" s="1"/>
  <c r="BK55" i="53"/>
  <c r="R55" i="53"/>
  <c r="E55" i="51"/>
  <c r="H55" i="51"/>
  <c r="I55" i="51"/>
  <c r="AG55" i="51"/>
  <c r="F55" i="51"/>
  <c r="AF55" i="51"/>
  <c r="G55" i="51"/>
  <c r="M55" i="51" s="1"/>
  <c r="AC55" i="51"/>
  <c r="X56" i="65"/>
  <c r="K55" i="51"/>
  <c r="J55" i="51"/>
  <c r="A56" i="51"/>
  <c r="D56" i="51"/>
  <c r="Y56" i="65"/>
  <c r="Z56" i="65" s="1"/>
  <c r="AA56" i="65" s="1"/>
  <c r="C56" i="53"/>
  <c r="C56" i="51"/>
  <c r="A55" i="53"/>
  <c r="W56" i="65"/>
  <c r="P43" i="53"/>
  <c r="AQ43" i="53" s="1"/>
  <c r="AR43" i="53" s="1"/>
  <c r="O57" i="51" l="1"/>
  <c r="F53" i="53"/>
  <c r="P54" i="51"/>
  <c r="AT54" i="53"/>
  <c r="AV53" i="53"/>
  <c r="X53" i="53" s="1"/>
  <c r="Z53" i="53" s="1"/>
  <c r="D57" i="53"/>
  <c r="O56" i="53"/>
  <c r="AX56" i="53" s="1"/>
  <c r="AL56" i="55"/>
  <c r="AE56" i="55"/>
  <c r="Y55" i="53"/>
  <c r="A58" i="55"/>
  <c r="AM57" i="55"/>
  <c r="AK57" i="55"/>
  <c r="D57" i="51"/>
  <c r="C57" i="51"/>
  <c r="Y57" i="65"/>
  <c r="Z57" i="65" s="1"/>
  <c r="AA57" i="65" s="1"/>
  <c r="C57" i="53"/>
  <c r="P44" i="53"/>
  <c r="AQ44" i="53" s="1"/>
  <c r="AR44" i="53" s="1"/>
  <c r="BY55" i="53"/>
  <c r="W57" i="65"/>
  <c r="A56" i="53"/>
  <c r="F56" i="51"/>
  <c r="I56" i="51"/>
  <c r="X57" i="65"/>
  <c r="J56" i="51"/>
  <c r="E56" i="51"/>
  <c r="AC56" i="51"/>
  <c r="H56" i="51"/>
  <c r="K56" i="51"/>
  <c r="G56" i="51"/>
  <c r="M56" i="51" s="1"/>
  <c r="AG56" i="51"/>
  <c r="AF56" i="51"/>
  <c r="A57" i="51"/>
  <c r="AL55" i="53"/>
  <c r="AP55" i="53"/>
  <c r="AB56" i="53" a="1"/>
  <c r="AB56" i="53" s="1"/>
  <c r="K56" i="53"/>
  <c r="BK56" i="53"/>
  <c r="R56" i="53"/>
  <c r="U56" i="53"/>
  <c r="BF56" i="53" s="1"/>
  <c r="W56" i="53"/>
  <c r="O58" i="51" l="1"/>
  <c r="O59" i="51" s="1"/>
  <c r="F54" i="53"/>
  <c r="P55" i="51"/>
  <c r="AT55" i="53"/>
  <c r="AV54" i="53"/>
  <c r="X54" i="53" s="1"/>
  <c r="Z54" i="53" s="1"/>
  <c r="P45" i="53"/>
  <c r="AQ45" i="53" s="1"/>
  <c r="AR45" i="53" s="1"/>
  <c r="Y56" i="53"/>
  <c r="W58" i="65"/>
  <c r="A57" i="53"/>
  <c r="J57" i="51"/>
  <c r="AG57" i="51"/>
  <c r="G57" i="51"/>
  <c r="M57" i="51" s="1"/>
  <c r="F57" i="51"/>
  <c r="H57" i="51"/>
  <c r="AF57" i="51"/>
  <c r="I57" i="51"/>
  <c r="AC57" i="51"/>
  <c r="X58" i="65"/>
  <c r="E57" i="51"/>
  <c r="K57" i="51"/>
  <c r="A58" i="51"/>
  <c r="D58" i="51"/>
  <c r="C58" i="53"/>
  <c r="C58" i="51"/>
  <c r="Y58" i="65"/>
  <c r="Z58" i="65" s="1"/>
  <c r="AA58" i="65" s="1"/>
  <c r="AL57" i="55"/>
  <c r="AE57" i="55"/>
  <c r="AP56" i="53"/>
  <c r="AL56" i="53"/>
  <c r="D58" i="53"/>
  <c r="O57" i="53"/>
  <c r="AX57" i="53" s="1"/>
  <c r="AK58" i="55"/>
  <c r="A59" i="55"/>
  <c r="AM58" i="55"/>
  <c r="BY56" i="53"/>
  <c r="AB57" i="53" a="1"/>
  <c r="AB57" i="53" s="1"/>
  <c r="BK57" i="53"/>
  <c r="W57" i="53"/>
  <c r="K57" i="53"/>
  <c r="R57" i="53"/>
  <c r="U57" i="53"/>
  <c r="BF57" i="53" s="1"/>
  <c r="O60" i="51" l="1"/>
  <c r="O61" i="51" s="1"/>
  <c r="O62" i="51" s="1"/>
  <c r="F55" i="53"/>
  <c r="P56" i="51"/>
  <c r="AV55" i="53"/>
  <c r="X55" i="53" s="1"/>
  <c r="Z55" i="53" s="1"/>
  <c r="AT56" i="53"/>
  <c r="P46" i="53"/>
  <c r="AQ46" i="53" s="1"/>
  <c r="AR46" i="53" s="1"/>
  <c r="AM59" i="55"/>
  <c r="A60" i="55"/>
  <c r="AK59" i="55"/>
  <c r="BY57" i="53"/>
  <c r="AB58" i="53" a="1"/>
  <c r="AB58" i="53" s="1"/>
  <c r="K58" i="53"/>
  <c r="BK58" i="53"/>
  <c r="U58" i="53"/>
  <c r="BF58" i="53" s="1"/>
  <c r="R58" i="53"/>
  <c r="W58" i="53"/>
  <c r="O58" i="53"/>
  <c r="AX58" i="53" s="1"/>
  <c r="D59" i="53"/>
  <c r="C59" i="51"/>
  <c r="C59" i="53"/>
  <c r="Y59" i="65"/>
  <c r="Z59" i="65" s="1"/>
  <c r="AA59" i="65" s="1"/>
  <c r="D59" i="51"/>
  <c r="AE58" i="55"/>
  <c r="AL58" i="55"/>
  <c r="X59" i="65"/>
  <c r="AC58" i="51"/>
  <c r="G58" i="51"/>
  <c r="M58" i="51" s="1"/>
  <c r="AF58" i="51"/>
  <c r="K58" i="51"/>
  <c r="H58" i="51"/>
  <c r="E58" i="51"/>
  <c r="J58" i="51"/>
  <c r="F58" i="51"/>
  <c r="I58" i="51"/>
  <c r="AG58" i="51"/>
  <c r="A59" i="51"/>
  <c r="W59" i="65"/>
  <c r="A58" i="53"/>
  <c r="Y57" i="53"/>
  <c r="AL57" i="53"/>
  <c r="AP57" i="53"/>
  <c r="P57" i="51" l="1"/>
  <c r="F56" i="53"/>
  <c r="AT57" i="53"/>
  <c r="AV56" i="53"/>
  <c r="X56" i="53" s="1"/>
  <c r="Z56" i="53" s="1"/>
  <c r="P47" i="53"/>
  <c r="AQ47" i="53" s="1"/>
  <c r="AR47" i="53" s="1"/>
  <c r="AM60" i="55"/>
  <c r="AK60" i="55"/>
  <c r="A61" i="55"/>
  <c r="D60" i="53"/>
  <c r="O59" i="53"/>
  <c r="AX59" i="53" s="1"/>
  <c r="O63" i="51"/>
  <c r="BY58" i="53"/>
  <c r="C60" i="51"/>
  <c r="C60" i="53"/>
  <c r="Y60" i="65"/>
  <c r="Z60" i="65" s="1"/>
  <c r="AA60" i="65" s="1"/>
  <c r="D60" i="51"/>
  <c r="W60" i="65"/>
  <c r="A59" i="53"/>
  <c r="AB59" i="53" a="1"/>
  <c r="AB59" i="53" s="1"/>
  <c r="W59" i="53"/>
  <c r="R59" i="53"/>
  <c r="U59" i="53"/>
  <c r="BF59" i="53" s="1"/>
  <c r="BK59" i="53"/>
  <c r="K59" i="53"/>
  <c r="Y58" i="53"/>
  <c r="AL58" i="53"/>
  <c r="AP58" i="53"/>
  <c r="J59" i="51"/>
  <c r="K59" i="51"/>
  <c r="X60" i="65"/>
  <c r="H59" i="51"/>
  <c r="G59" i="51"/>
  <c r="M59" i="51" s="1"/>
  <c r="AC59" i="51"/>
  <c r="E59" i="51"/>
  <c r="F59" i="51"/>
  <c r="I59" i="51"/>
  <c r="AF59" i="51"/>
  <c r="AG59" i="51"/>
  <c r="A60" i="51"/>
  <c r="AE59" i="55"/>
  <c r="AL59" i="55"/>
  <c r="P58" i="51" l="1"/>
  <c r="F57" i="53"/>
  <c r="AV57" i="53"/>
  <c r="X57" i="53" s="1"/>
  <c r="Z57" i="53" s="1"/>
  <c r="AT58" i="53"/>
  <c r="P48" i="53"/>
  <c r="AQ48" i="53" s="1"/>
  <c r="AR48" i="53" s="1"/>
  <c r="I60" i="51"/>
  <c r="K60" i="51"/>
  <c r="X61" i="65"/>
  <c r="AC60" i="51"/>
  <c r="G60" i="51"/>
  <c r="M60" i="51" s="1"/>
  <c r="AF60" i="51"/>
  <c r="H60" i="51"/>
  <c r="F60" i="51"/>
  <c r="AG60" i="51"/>
  <c r="E60" i="51"/>
  <c r="J60" i="51"/>
  <c r="A61" i="51"/>
  <c r="AM61" i="55"/>
  <c r="A62" i="55"/>
  <c r="AK61" i="55"/>
  <c r="D61" i="53"/>
  <c r="O60" i="53"/>
  <c r="AX60" i="53" s="1"/>
  <c r="AL60" i="55"/>
  <c r="AE60" i="55"/>
  <c r="W61" i="65"/>
  <c r="A60" i="53"/>
  <c r="BY59" i="53"/>
  <c r="O64" i="51"/>
  <c r="Y59" i="53"/>
  <c r="AB60" i="53" a="1"/>
  <c r="AB60" i="53" s="1"/>
  <c r="K60" i="53"/>
  <c r="BK60" i="53"/>
  <c r="R60" i="53"/>
  <c r="W60" i="53"/>
  <c r="U60" i="53"/>
  <c r="BF60" i="53" s="1"/>
  <c r="AL59" i="53"/>
  <c r="AP59" i="53"/>
  <c r="Y61" i="65"/>
  <c r="Z61" i="65" s="1"/>
  <c r="AA61" i="65" s="1"/>
  <c r="C61" i="51"/>
  <c r="D61" i="51"/>
  <c r="C61" i="53"/>
  <c r="F58" i="53" l="1"/>
  <c r="P59" i="51"/>
  <c r="AT59" i="53"/>
  <c r="AV58" i="53"/>
  <c r="X58" i="53" s="1"/>
  <c r="Z58" i="53" s="1"/>
  <c r="P49" i="53"/>
  <c r="AQ49" i="53" s="1"/>
  <c r="AR49" i="53" s="1"/>
  <c r="W62" i="65"/>
  <c r="A61" i="53"/>
  <c r="AB61" i="53" a="1"/>
  <c r="AB61" i="53" s="1"/>
  <c r="U61" i="53"/>
  <c r="BF61" i="53" s="1"/>
  <c r="W61" i="53"/>
  <c r="BK61" i="53"/>
  <c r="R61" i="53"/>
  <c r="K61" i="53"/>
  <c r="C62" i="51"/>
  <c r="C62" i="53"/>
  <c r="Y62" i="65"/>
  <c r="Z62" i="65" s="1"/>
  <c r="AA62" i="65" s="1"/>
  <c r="D62" i="51"/>
  <c r="E61" i="51"/>
  <c r="K61" i="51"/>
  <c r="X62" i="65"/>
  <c r="AC61" i="51"/>
  <c r="J61" i="51"/>
  <c r="AF61" i="51"/>
  <c r="G61" i="51"/>
  <c r="M61" i="51" s="1"/>
  <c r="AG61" i="51"/>
  <c r="I61" i="51"/>
  <c r="H61" i="51"/>
  <c r="F61" i="51"/>
  <c r="A62" i="51"/>
  <c r="D62" i="53"/>
  <c r="O61" i="53"/>
  <c r="AX61" i="53" s="1"/>
  <c r="AP60" i="53"/>
  <c r="AL60" i="53"/>
  <c r="Y60" i="53"/>
  <c r="AL61" i="55"/>
  <c r="AE61" i="55"/>
  <c r="O65" i="51"/>
  <c r="BY60" i="53"/>
  <c r="A63" i="55"/>
  <c r="AK62" i="55"/>
  <c r="AM62" i="55"/>
  <c r="F59" i="53" l="1"/>
  <c r="P60" i="51"/>
  <c r="AV59" i="53"/>
  <c r="X59" i="53" s="1"/>
  <c r="Z59" i="53" s="1"/>
  <c r="AT60" i="53"/>
  <c r="O62" i="53"/>
  <c r="AX62" i="53" s="1"/>
  <c r="D63" i="53"/>
  <c r="C63" i="51"/>
  <c r="C63" i="53"/>
  <c r="D63" i="51"/>
  <c r="Y63" i="65"/>
  <c r="Z63" i="65" s="1"/>
  <c r="AA63" i="65" s="1"/>
  <c r="AE62" i="55"/>
  <c r="AL62" i="55"/>
  <c r="AP61" i="53"/>
  <c r="AL61" i="53"/>
  <c r="BY61" i="53"/>
  <c r="AB62" i="53" a="1"/>
  <c r="AB62" i="53" s="1"/>
  <c r="K62" i="53"/>
  <c r="R62" i="53"/>
  <c r="U62" i="53"/>
  <c r="BF62" i="53" s="1"/>
  <c r="BK62" i="53"/>
  <c r="W62" i="53"/>
  <c r="AK63" i="55"/>
  <c r="A64" i="55"/>
  <c r="AM63" i="55"/>
  <c r="X63" i="65"/>
  <c r="E62" i="51"/>
  <c r="AC62" i="51"/>
  <c r="G62" i="51"/>
  <c r="M62" i="51" s="1"/>
  <c r="AG62" i="51"/>
  <c r="H62" i="51"/>
  <c r="I62" i="51"/>
  <c r="F62" i="51"/>
  <c r="J62" i="51"/>
  <c r="AF62" i="51"/>
  <c r="K62" i="51"/>
  <c r="A63" i="51"/>
  <c r="W63" i="65"/>
  <c r="A62" i="53"/>
  <c r="Y61" i="53"/>
  <c r="O66" i="51"/>
  <c r="P50" i="53"/>
  <c r="AQ50" i="53" s="1"/>
  <c r="AR50" i="53" s="1"/>
  <c r="F60" i="53" l="1"/>
  <c r="P61" i="51"/>
  <c r="AV60" i="53"/>
  <c r="X60" i="53" s="1"/>
  <c r="Z60" i="53" s="1"/>
  <c r="AT61" i="53"/>
  <c r="AL62" i="53"/>
  <c r="AP62" i="53"/>
  <c r="C64" i="53"/>
  <c r="Y64" i="65"/>
  <c r="Z64" i="65" s="1"/>
  <c r="AA64" i="65" s="1"/>
  <c r="C64" i="51"/>
  <c r="D64" i="51"/>
  <c r="O67" i="51"/>
  <c r="X64" i="65"/>
  <c r="H63" i="51"/>
  <c r="F63" i="51"/>
  <c r="AG63" i="51"/>
  <c r="J63" i="51"/>
  <c r="G63" i="51"/>
  <c r="M63" i="51" s="1"/>
  <c r="I63" i="51"/>
  <c r="K63" i="51"/>
  <c r="AC63" i="51"/>
  <c r="AF63" i="51"/>
  <c r="E63" i="51"/>
  <c r="A64" i="51"/>
  <c r="A63" i="53"/>
  <c r="W64" i="65"/>
  <c r="P51" i="53"/>
  <c r="AQ51" i="53" s="1"/>
  <c r="AR51" i="53" s="1"/>
  <c r="BY62" i="53"/>
  <c r="Y62" i="53"/>
  <c r="K63" i="53"/>
  <c r="AB63" i="53" a="1"/>
  <c r="AB63" i="53" s="1"/>
  <c r="U63" i="53"/>
  <c r="BF63" i="53" s="1"/>
  <c r="R63" i="53"/>
  <c r="BK63" i="53"/>
  <c r="W63" i="53"/>
  <c r="AM64" i="55"/>
  <c r="AK64" i="55"/>
  <c r="A65" i="55"/>
  <c r="O63" i="53"/>
  <c r="AX63" i="53" s="1"/>
  <c r="D64" i="53"/>
  <c r="AL63" i="55"/>
  <c r="AE63" i="55"/>
  <c r="F61" i="53" l="1"/>
  <c r="P62" i="51"/>
  <c r="AT62" i="53"/>
  <c r="AV61" i="53"/>
  <c r="X61" i="53" s="1"/>
  <c r="Z61" i="53" s="1"/>
  <c r="P52" i="53"/>
  <c r="AQ52" i="53" s="1"/>
  <c r="AR52" i="53" s="1"/>
  <c r="AL63" i="53"/>
  <c r="AP63" i="53"/>
  <c r="C65" i="51"/>
  <c r="C65" i="53"/>
  <c r="D65" i="51"/>
  <c r="Y65" i="65"/>
  <c r="Z65" i="65" s="1"/>
  <c r="AA65" i="65" s="1"/>
  <c r="O64" i="53"/>
  <c r="AX64" i="53" s="1"/>
  <c r="D65" i="53"/>
  <c r="I64" i="51"/>
  <c r="K64" i="51"/>
  <c r="G64" i="51"/>
  <c r="M64" i="51" s="1"/>
  <c r="AF64" i="51"/>
  <c r="AG64" i="51"/>
  <c r="F64" i="51"/>
  <c r="H64" i="51"/>
  <c r="J64" i="51"/>
  <c r="AC64" i="51"/>
  <c r="E64" i="51"/>
  <c r="X65" i="65"/>
  <c r="A65" i="51"/>
  <c r="Y63" i="53"/>
  <c r="AK65" i="55"/>
  <c r="AM65" i="55"/>
  <c r="A66" i="55"/>
  <c r="R64" i="53"/>
  <c r="AB64" i="53" a="1"/>
  <c r="AB64" i="53" s="1"/>
  <c r="BK64" i="53"/>
  <c r="W64" i="53"/>
  <c r="U64" i="53"/>
  <c r="BF64" i="53" s="1"/>
  <c r="K64" i="53"/>
  <c r="A64" i="53"/>
  <c r="W65" i="65"/>
  <c r="AE64" i="55"/>
  <c r="AL64" i="55"/>
  <c r="O68" i="51"/>
  <c r="BY63" i="53"/>
  <c r="P63" i="51" l="1"/>
  <c r="F62" i="53"/>
  <c r="AT63" i="53"/>
  <c r="AV62" i="53"/>
  <c r="X62" i="53" s="1"/>
  <c r="Z62" i="53" s="1"/>
  <c r="C66" i="53"/>
  <c r="Y66" i="65"/>
  <c r="Z66" i="65" s="1"/>
  <c r="AA66" i="65" s="1"/>
  <c r="D66" i="51"/>
  <c r="C66" i="51"/>
  <c r="AM66" i="55"/>
  <c r="AK66" i="55"/>
  <c r="A67" i="55"/>
  <c r="AE65" i="55"/>
  <c r="AL65" i="55"/>
  <c r="R65" i="53"/>
  <c r="AB65" i="53" a="1"/>
  <c r="AB65" i="53" s="1"/>
  <c r="K65" i="53"/>
  <c r="BK65" i="53"/>
  <c r="W65" i="53"/>
  <c r="U65" i="53"/>
  <c r="BF65" i="53" s="1"/>
  <c r="F65" i="51"/>
  <c r="H65" i="51"/>
  <c r="I65" i="51"/>
  <c r="AF65" i="51"/>
  <c r="J65" i="51"/>
  <c r="AG65" i="51"/>
  <c r="E65" i="51"/>
  <c r="X66" i="65"/>
  <c r="G65" i="51"/>
  <c r="M65" i="51" s="1"/>
  <c r="K65" i="51"/>
  <c r="AC65" i="51"/>
  <c r="A66" i="51"/>
  <c r="D66" i="53"/>
  <c r="O65" i="53"/>
  <c r="AX65" i="53" s="1"/>
  <c r="A65" i="53"/>
  <c r="W66" i="65"/>
  <c r="AP64" i="53"/>
  <c r="AL64" i="53"/>
  <c r="O69" i="51"/>
  <c r="BY64" i="53"/>
  <c r="Y64" i="53"/>
  <c r="P53" i="53"/>
  <c r="AQ53" i="53" s="1"/>
  <c r="AR53" i="53" s="1"/>
  <c r="P64" i="51" l="1"/>
  <c r="F63" i="53"/>
  <c r="AV63" i="53"/>
  <c r="X63" i="53" s="1"/>
  <c r="Z63" i="53" s="1"/>
  <c r="AT64" i="53"/>
  <c r="P54" i="53"/>
  <c r="AQ54" i="53" s="1"/>
  <c r="AR54" i="53" s="1"/>
  <c r="AE66" i="55"/>
  <c r="AL66" i="55"/>
  <c r="O70" i="51"/>
  <c r="O66" i="53"/>
  <c r="AX66" i="53" s="1"/>
  <c r="D67" i="53"/>
  <c r="D71" i="69"/>
  <c r="Y65" i="53"/>
  <c r="J66" i="51"/>
  <c r="E66" i="51"/>
  <c r="F66" i="51"/>
  <c r="AF66" i="51"/>
  <c r="K66" i="51"/>
  <c r="I66" i="51"/>
  <c r="AC66" i="51"/>
  <c r="AG66" i="51"/>
  <c r="X67" i="65"/>
  <c r="H66" i="51"/>
  <c r="G66" i="51"/>
  <c r="M66" i="51" s="1"/>
  <c r="A67" i="51"/>
  <c r="C67" i="51"/>
  <c r="Y67" i="65"/>
  <c r="Z67" i="65" s="1"/>
  <c r="AA67" i="65" s="1"/>
  <c r="D67" i="51"/>
  <c r="C67" i="53"/>
  <c r="AB66" i="53" a="1"/>
  <c r="AB66" i="53" s="1"/>
  <c r="U66" i="53"/>
  <c r="BF66" i="53" s="1"/>
  <c r="R66" i="53"/>
  <c r="K66" i="53"/>
  <c r="W66" i="53"/>
  <c r="BK66" i="53"/>
  <c r="W67" i="65"/>
  <c r="A66" i="53"/>
  <c r="BY65" i="53"/>
  <c r="AP65" i="53"/>
  <c r="AL65" i="53"/>
  <c r="AM67" i="55"/>
  <c r="A68" i="55"/>
  <c r="AK67" i="55"/>
  <c r="F64" i="53" l="1"/>
  <c r="P65" i="51"/>
  <c r="AV64" i="53"/>
  <c r="X64" i="53" s="1"/>
  <c r="Z64" i="53" s="1"/>
  <c r="AT65" i="53"/>
  <c r="BY66" i="53"/>
  <c r="I67" i="51"/>
  <c r="AG67" i="51"/>
  <c r="F67" i="51"/>
  <c r="AF67" i="51"/>
  <c r="G67" i="51"/>
  <c r="M67" i="51" s="1"/>
  <c r="X68" i="65"/>
  <c r="AC67" i="51"/>
  <c r="E67" i="51"/>
  <c r="J67" i="51"/>
  <c r="H67" i="51"/>
  <c r="K67" i="51"/>
  <c r="A68" i="51"/>
  <c r="AL66" i="53"/>
  <c r="AP66" i="53"/>
  <c r="AE67" i="55"/>
  <c r="AL67" i="55"/>
  <c r="AM68" i="55"/>
  <c r="A69" i="55"/>
  <c r="AK68" i="55"/>
  <c r="O71" i="51"/>
  <c r="Y66" i="53"/>
  <c r="U67" i="53"/>
  <c r="BF67" i="53" s="1"/>
  <c r="BK67" i="53"/>
  <c r="W67" i="53"/>
  <c r="R67" i="53"/>
  <c r="K67" i="53"/>
  <c r="AB67" i="53"/>
  <c r="D72" i="69"/>
  <c r="C68" i="51"/>
  <c r="D68" i="51"/>
  <c r="C68" i="53"/>
  <c r="Y68" i="65"/>
  <c r="Z68" i="65" s="1"/>
  <c r="AA68" i="65" s="1"/>
  <c r="P55" i="53"/>
  <c r="AQ55" i="53" s="1"/>
  <c r="AR55" i="53" s="1"/>
  <c r="W68" i="65"/>
  <c r="A67" i="53"/>
  <c r="D68" i="53"/>
  <c r="O67" i="53"/>
  <c r="AX67" i="53" s="1"/>
  <c r="P66" i="51" l="1"/>
  <c r="F65" i="53"/>
  <c r="AT66" i="53"/>
  <c r="AV65" i="53"/>
  <c r="X65" i="53" s="1"/>
  <c r="Z65" i="53" s="1"/>
  <c r="P56" i="53"/>
  <c r="AQ56" i="53" s="1"/>
  <c r="AR56" i="53" s="1"/>
  <c r="A68" i="53"/>
  <c r="W69" i="65"/>
  <c r="D69" i="53"/>
  <c r="O68" i="53"/>
  <c r="AX68" i="53" s="1"/>
  <c r="O72" i="51"/>
  <c r="BY67" i="53"/>
  <c r="R68" i="53"/>
  <c r="K68" i="53"/>
  <c r="AB68" i="53"/>
  <c r="W68" i="53"/>
  <c r="U68" i="53"/>
  <c r="BF68" i="53" s="1"/>
  <c r="BK68" i="53"/>
  <c r="Y67" i="53"/>
  <c r="C69" i="51"/>
  <c r="D69" i="51"/>
  <c r="Y69" i="65"/>
  <c r="Z69" i="65" s="1"/>
  <c r="AA69" i="65" s="1"/>
  <c r="C69" i="53"/>
  <c r="I68" i="51"/>
  <c r="K68" i="51"/>
  <c r="G68" i="51"/>
  <c r="M68" i="51" s="1"/>
  <c r="AF68" i="51"/>
  <c r="AG68" i="51"/>
  <c r="F68" i="51"/>
  <c r="X69" i="65"/>
  <c r="E68" i="51"/>
  <c r="H68" i="51"/>
  <c r="J68" i="51"/>
  <c r="AC68" i="51"/>
  <c r="A69" i="51"/>
  <c r="AL68" i="55"/>
  <c r="AE68" i="55"/>
  <c r="D73" i="69"/>
  <c r="P40" i="69"/>
  <c r="AK69" i="55"/>
  <c r="AM69" i="55"/>
  <c r="A70" i="55"/>
  <c r="AP67" i="53"/>
  <c r="AL67" i="53"/>
  <c r="F66" i="53" l="1"/>
  <c r="P67" i="51"/>
  <c r="F67" i="53" s="1"/>
  <c r="AV66" i="53"/>
  <c r="X66" i="53" s="1"/>
  <c r="Z66" i="53" s="1"/>
  <c r="AT67" i="53"/>
  <c r="P57" i="53"/>
  <c r="AQ57" i="53" s="1"/>
  <c r="AR57" i="53" s="1"/>
  <c r="BK69" i="53"/>
  <c r="W69" i="53"/>
  <c r="U69" i="53"/>
  <c r="BF69" i="53" s="1"/>
  <c r="AB69" i="53"/>
  <c r="K69" i="53"/>
  <c r="R69" i="53"/>
  <c r="D70" i="53"/>
  <c r="O69" i="53"/>
  <c r="AX69" i="53" s="1"/>
  <c r="Y68" i="53"/>
  <c r="C70" i="51"/>
  <c r="D70" i="51"/>
  <c r="Y70" i="65"/>
  <c r="Z70" i="65" s="1"/>
  <c r="AA70" i="65" s="1"/>
  <c r="C70" i="53"/>
  <c r="BY68" i="53"/>
  <c r="A71" i="55"/>
  <c r="AK70" i="55"/>
  <c r="AM70" i="55"/>
  <c r="H69" i="51"/>
  <c r="X70" i="65"/>
  <c r="K69" i="51"/>
  <c r="J69" i="51"/>
  <c r="AF69" i="51"/>
  <c r="G69" i="51"/>
  <c r="M69" i="51" s="1"/>
  <c r="F69" i="51"/>
  <c r="AG69" i="51"/>
  <c r="AC69" i="51"/>
  <c r="E69" i="51"/>
  <c r="I69" i="51"/>
  <c r="A70" i="51"/>
  <c r="O73" i="51"/>
  <c r="W70" i="65"/>
  <c r="A69" i="53"/>
  <c r="AW40" i="69"/>
  <c r="BS40" i="69"/>
  <c r="AA40" i="69"/>
  <c r="BH40" i="69"/>
  <c r="P87" i="69"/>
  <c r="AL40" i="69"/>
  <c r="CD40" i="69"/>
  <c r="P60" i="69"/>
  <c r="I60" i="69" s="1"/>
  <c r="I40" i="69"/>
  <c r="AP68" i="53"/>
  <c r="AL68" i="53"/>
  <c r="AL69" i="55"/>
  <c r="AE69" i="55"/>
  <c r="D74" i="69"/>
  <c r="P41" i="69"/>
  <c r="P68" i="51" l="1"/>
  <c r="F68" i="53" s="1"/>
  <c r="AT68" i="53"/>
  <c r="AV67" i="53"/>
  <c r="X67" i="53" s="1"/>
  <c r="Z67" i="53" s="1"/>
  <c r="O74" i="51"/>
  <c r="AE70" i="55"/>
  <c r="AL70" i="55"/>
  <c r="C71" i="53"/>
  <c r="Y71" i="65"/>
  <c r="Z71" i="65" s="1"/>
  <c r="AA71" i="65" s="1"/>
  <c r="D71" i="51"/>
  <c r="C71" i="51"/>
  <c r="D75" i="69"/>
  <c r="P42" i="69"/>
  <c r="Y69" i="53"/>
  <c r="AP69" i="53"/>
  <c r="AL69" i="53"/>
  <c r="AK71" i="55"/>
  <c r="A72" i="55"/>
  <c r="AM71" i="55"/>
  <c r="P58" i="53"/>
  <c r="AQ58" i="53" s="1"/>
  <c r="AR58" i="53" s="1"/>
  <c r="H70" i="51"/>
  <c r="I70" i="51"/>
  <c r="E70" i="51"/>
  <c r="AC70" i="51"/>
  <c r="G70" i="51"/>
  <c r="M70" i="51" s="1"/>
  <c r="AG70" i="51"/>
  <c r="X71" i="65"/>
  <c r="K70" i="51"/>
  <c r="J70" i="51"/>
  <c r="F70" i="51"/>
  <c r="AF70" i="51"/>
  <c r="A71" i="51"/>
  <c r="BY69" i="53"/>
  <c r="W70" i="53"/>
  <c r="R70" i="53"/>
  <c r="U70" i="53"/>
  <c r="BF70" i="53" s="1"/>
  <c r="K70" i="53"/>
  <c r="AB70" i="53"/>
  <c r="BK70" i="53"/>
  <c r="D71" i="53"/>
  <c r="O70" i="53"/>
  <c r="AX70" i="53" s="1"/>
  <c r="W71" i="65"/>
  <c r="A70" i="53"/>
  <c r="BH41" i="69"/>
  <c r="CD41" i="69"/>
  <c r="AW41" i="69"/>
  <c r="P88" i="69"/>
  <c r="AA41" i="69"/>
  <c r="I41" i="69"/>
  <c r="BS41" i="69"/>
  <c r="P61" i="69"/>
  <c r="I61" i="69" s="1"/>
  <c r="AL41" i="69"/>
  <c r="P69" i="51" l="1"/>
  <c r="AT69" i="53"/>
  <c r="AV68" i="53"/>
  <c r="X68" i="53" s="1"/>
  <c r="Z68" i="53" s="1"/>
  <c r="P59" i="53"/>
  <c r="AQ59" i="53" s="1"/>
  <c r="AR59" i="53" s="1"/>
  <c r="W72" i="65"/>
  <c r="A71" i="53"/>
  <c r="BH42" i="69"/>
  <c r="AW42" i="69"/>
  <c r="AL42" i="69"/>
  <c r="P89" i="69"/>
  <c r="BS42" i="69"/>
  <c r="AA42" i="69"/>
  <c r="I42" i="69"/>
  <c r="P62" i="69"/>
  <c r="I62" i="69" s="1"/>
  <c r="CD42" i="69"/>
  <c r="BY70" i="53"/>
  <c r="AM72" i="55"/>
  <c r="A73" i="55"/>
  <c r="AK72" i="55"/>
  <c r="D76" i="69"/>
  <c r="P43" i="69"/>
  <c r="AL71" i="55"/>
  <c r="AE71" i="55"/>
  <c r="G71" i="51"/>
  <c r="M71" i="51" s="1"/>
  <c r="I71" i="51"/>
  <c r="AF71" i="51"/>
  <c r="F71" i="51"/>
  <c r="AG71" i="51"/>
  <c r="E71" i="51"/>
  <c r="J71" i="51"/>
  <c r="K71" i="51"/>
  <c r="H71" i="51"/>
  <c r="AC71" i="51"/>
  <c r="X72" i="65"/>
  <c r="A72" i="51"/>
  <c r="D72" i="51"/>
  <c r="Y72" i="65"/>
  <c r="Z72" i="65" s="1"/>
  <c r="AA72" i="65" s="1"/>
  <c r="C72" i="53"/>
  <c r="C72" i="51"/>
  <c r="O75" i="51"/>
  <c r="Y70" i="53"/>
  <c r="O71" i="53"/>
  <c r="AX71" i="53" s="1"/>
  <c r="D72" i="53"/>
  <c r="AP70" i="53"/>
  <c r="AL70" i="53"/>
  <c r="BK71" i="53"/>
  <c r="W71" i="53"/>
  <c r="U71" i="53"/>
  <c r="BF71" i="53" s="1"/>
  <c r="K71" i="53"/>
  <c r="AB71" i="53"/>
  <c r="R71" i="53"/>
  <c r="F69" i="53" l="1"/>
  <c r="P70" i="51"/>
  <c r="AT70" i="53"/>
  <c r="AV69" i="53"/>
  <c r="X69" i="53" s="1"/>
  <c r="Z69" i="53" s="1"/>
  <c r="P60" i="53"/>
  <c r="AQ60" i="53" s="1"/>
  <c r="AR60" i="53" s="1"/>
  <c r="W73" i="65"/>
  <c r="A72" i="53"/>
  <c r="D77" i="69"/>
  <c r="P44" i="69"/>
  <c r="AL72" i="55"/>
  <c r="AE72" i="55"/>
  <c r="A74" i="55"/>
  <c r="AK73" i="55"/>
  <c r="AM73" i="55"/>
  <c r="D73" i="53"/>
  <c r="O72" i="53"/>
  <c r="AX72" i="53" s="1"/>
  <c r="O76" i="51"/>
  <c r="AL71" i="53"/>
  <c r="AP71" i="53"/>
  <c r="F72" i="51"/>
  <c r="I72" i="51"/>
  <c r="X73" i="65"/>
  <c r="AC72" i="51"/>
  <c r="G72" i="51"/>
  <c r="M72" i="51" s="1"/>
  <c r="AF72" i="51"/>
  <c r="J72" i="51"/>
  <c r="AG72" i="51"/>
  <c r="E72" i="51"/>
  <c r="K72" i="51"/>
  <c r="H72" i="51"/>
  <c r="A73" i="51"/>
  <c r="BY71" i="53"/>
  <c r="Y71" i="53"/>
  <c r="W72" i="53"/>
  <c r="R72" i="53"/>
  <c r="U72" i="53"/>
  <c r="BF72" i="53" s="1"/>
  <c r="K72" i="53"/>
  <c r="AB72" i="53"/>
  <c r="BK72" i="53"/>
  <c r="D73" i="51"/>
  <c r="C73" i="51"/>
  <c r="C73" i="53"/>
  <c r="Y73" i="65"/>
  <c r="Z73" i="65" s="1"/>
  <c r="AA73" i="65" s="1"/>
  <c r="P90" i="69"/>
  <c r="AW43" i="69"/>
  <c r="I43" i="69"/>
  <c r="P63" i="69"/>
  <c r="I63" i="69" s="1"/>
  <c r="AL43" i="69"/>
  <c r="CD43" i="69"/>
  <c r="AA43" i="69"/>
  <c r="BH43" i="69"/>
  <c r="BS43" i="69"/>
  <c r="P71" i="51" l="1"/>
  <c r="F70" i="53"/>
  <c r="AV70" i="53"/>
  <c r="X70" i="53" s="1"/>
  <c r="Z70" i="53" s="1"/>
  <c r="AT71" i="53"/>
  <c r="P61" i="53"/>
  <c r="AQ61" i="53" s="1"/>
  <c r="AR61" i="53" s="1"/>
  <c r="AE73" i="55"/>
  <c r="AL73" i="55"/>
  <c r="Y72" i="53"/>
  <c r="O73" i="53"/>
  <c r="AX73" i="53" s="1"/>
  <c r="D74" i="53"/>
  <c r="AW44" i="69"/>
  <c r="CD44" i="69"/>
  <c r="AA44" i="69"/>
  <c r="AL44" i="69"/>
  <c r="BS44" i="69"/>
  <c r="BH44" i="69"/>
  <c r="P91" i="69"/>
  <c r="P64" i="69"/>
  <c r="I64" i="69" s="1"/>
  <c r="I44" i="69"/>
  <c r="D78" i="69"/>
  <c r="P45" i="69"/>
  <c r="O77" i="51"/>
  <c r="BY72" i="53"/>
  <c r="U73" i="53"/>
  <c r="BF73" i="53" s="1"/>
  <c r="W73" i="53"/>
  <c r="R73" i="53"/>
  <c r="K73" i="53"/>
  <c r="AB73" i="53"/>
  <c r="BK73" i="53"/>
  <c r="AP72" i="53"/>
  <c r="AL72" i="53"/>
  <c r="AM74" i="55"/>
  <c r="AK74" i="55"/>
  <c r="A75" i="55"/>
  <c r="G73" i="51"/>
  <c r="M73" i="51" s="1"/>
  <c r="E73" i="51"/>
  <c r="K73" i="51"/>
  <c r="X74" i="65"/>
  <c r="AC73" i="51"/>
  <c r="I73" i="51"/>
  <c r="J73" i="51"/>
  <c r="F73" i="51"/>
  <c r="H73" i="51"/>
  <c r="AF73" i="51"/>
  <c r="AG73" i="51"/>
  <c r="A74" i="51"/>
  <c r="W74" i="65"/>
  <c r="A73" i="53"/>
  <c r="D74" i="51"/>
  <c r="C74" i="53"/>
  <c r="C74" i="51"/>
  <c r="Y74" i="65"/>
  <c r="Z74" i="65" s="1"/>
  <c r="AA74" i="65" s="1"/>
  <c r="F71" i="53" l="1"/>
  <c r="P72" i="51"/>
  <c r="F72" i="53" s="1"/>
  <c r="AT72" i="53"/>
  <c r="AV71" i="53"/>
  <c r="X71" i="53" s="1"/>
  <c r="Z71" i="53" s="1"/>
  <c r="P62" i="53"/>
  <c r="AQ62" i="53" s="1"/>
  <c r="AR62" i="53" s="1"/>
  <c r="BY73" i="53"/>
  <c r="Y73" i="53"/>
  <c r="P65" i="69"/>
  <c r="I65" i="69" s="1"/>
  <c r="AL45" i="69"/>
  <c r="AW45" i="69"/>
  <c r="BH45" i="69"/>
  <c r="I45" i="69"/>
  <c r="BS45" i="69"/>
  <c r="AA45" i="69"/>
  <c r="CD45" i="69"/>
  <c r="P92" i="69"/>
  <c r="AL74" i="55"/>
  <c r="AE74" i="55"/>
  <c r="D79" i="69"/>
  <c r="P46" i="69"/>
  <c r="W75" i="65"/>
  <c r="A74" i="53"/>
  <c r="C75" i="51"/>
  <c r="Y75" i="65"/>
  <c r="Z75" i="65" s="1"/>
  <c r="AA75" i="65" s="1"/>
  <c r="D75" i="51"/>
  <c r="C75" i="53"/>
  <c r="AG74" i="51"/>
  <c r="K74" i="51"/>
  <c r="J74" i="51"/>
  <c r="E74" i="51"/>
  <c r="F74" i="51"/>
  <c r="X75" i="65"/>
  <c r="G74" i="51"/>
  <c r="M74" i="51" s="1"/>
  <c r="H74" i="51"/>
  <c r="I74" i="51"/>
  <c r="AF74" i="51"/>
  <c r="AC74" i="51"/>
  <c r="A75" i="51"/>
  <c r="AL73" i="53"/>
  <c r="AP73" i="53"/>
  <c r="O78" i="51"/>
  <c r="BK74" i="53"/>
  <c r="W74" i="53"/>
  <c r="K74" i="53"/>
  <c r="U74" i="53"/>
  <c r="BF74" i="53" s="1"/>
  <c r="R74" i="53"/>
  <c r="AB74" i="53"/>
  <c r="AM75" i="55"/>
  <c r="A76" i="55"/>
  <c r="AK75" i="55"/>
  <c r="D75" i="53"/>
  <c r="O74" i="53"/>
  <c r="AX74" i="53" s="1"/>
  <c r="P73" i="51" l="1"/>
  <c r="AT73" i="53"/>
  <c r="AV72" i="53"/>
  <c r="X72" i="53" s="1"/>
  <c r="Z72" i="53" s="1"/>
  <c r="P63" i="53"/>
  <c r="AQ63" i="53" s="1"/>
  <c r="AR63" i="53" s="1"/>
  <c r="I75" i="51"/>
  <c r="AF75" i="51"/>
  <c r="F75" i="51"/>
  <c r="AG75" i="51"/>
  <c r="G75" i="51"/>
  <c r="M75" i="51" s="1"/>
  <c r="AC75" i="51"/>
  <c r="E75" i="51"/>
  <c r="X76" i="65"/>
  <c r="J75" i="51"/>
  <c r="H75" i="51"/>
  <c r="K75" i="51"/>
  <c r="A76" i="51"/>
  <c r="BY74" i="53"/>
  <c r="Y74" i="53"/>
  <c r="O79" i="51"/>
  <c r="BH46" i="69"/>
  <c r="P66" i="69"/>
  <c r="I66" i="69" s="1"/>
  <c r="AW46" i="69"/>
  <c r="I46" i="69"/>
  <c r="AL46" i="69"/>
  <c r="AA46" i="69"/>
  <c r="BS46" i="69"/>
  <c r="CD46" i="69"/>
  <c r="P93" i="69"/>
  <c r="D80" i="69"/>
  <c r="P47" i="69"/>
  <c r="O75" i="53"/>
  <c r="AX75" i="53" s="1"/>
  <c r="D76" i="53"/>
  <c r="AL75" i="55"/>
  <c r="AE75" i="55"/>
  <c r="U75" i="53"/>
  <c r="BF75" i="53" s="1"/>
  <c r="W75" i="53"/>
  <c r="R75" i="53"/>
  <c r="K75" i="53"/>
  <c r="AB75" i="53"/>
  <c r="BK75" i="53"/>
  <c r="W76" i="65"/>
  <c r="A75" i="53"/>
  <c r="C76" i="53"/>
  <c r="Y76" i="65"/>
  <c r="Z76" i="65" s="1"/>
  <c r="AA76" i="65" s="1"/>
  <c r="C76" i="51"/>
  <c r="D76" i="51"/>
  <c r="AP74" i="53"/>
  <c r="AL74" i="53"/>
  <c r="A77" i="55"/>
  <c r="AK76" i="55"/>
  <c r="AM76" i="55"/>
  <c r="F73" i="53" l="1"/>
  <c r="P74" i="51"/>
  <c r="AV73" i="53"/>
  <c r="X73" i="53" s="1"/>
  <c r="Z73" i="53" s="1"/>
  <c r="AT74" i="53"/>
  <c r="C77" i="53"/>
  <c r="Y77" i="65"/>
  <c r="Z77" i="65" s="1"/>
  <c r="AA77" i="65" s="1"/>
  <c r="C77" i="51"/>
  <c r="D77" i="51"/>
  <c r="AW47" i="69"/>
  <c r="I47" i="69"/>
  <c r="AA47" i="69"/>
  <c r="AL47" i="69"/>
  <c r="P67" i="69"/>
  <c r="I67" i="69" s="1"/>
  <c r="BH47" i="69"/>
  <c r="BS47" i="69"/>
  <c r="P94" i="69"/>
  <c r="CD47" i="69"/>
  <c r="D81" i="69"/>
  <c r="P48" i="69"/>
  <c r="AL75" i="53"/>
  <c r="AP75" i="53"/>
  <c r="W77" i="65"/>
  <c r="A76" i="53"/>
  <c r="K76" i="53"/>
  <c r="W76" i="53"/>
  <c r="R76" i="53"/>
  <c r="U76" i="53"/>
  <c r="BF76" i="53" s="1"/>
  <c r="AB76" i="53"/>
  <c r="BK76" i="53"/>
  <c r="E76" i="51"/>
  <c r="J76" i="51"/>
  <c r="X77" i="65"/>
  <c r="AC76" i="51"/>
  <c r="H76" i="51"/>
  <c r="F76" i="51"/>
  <c r="AG76" i="51"/>
  <c r="G76" i="51"/>
  <c r="M76" i="51" s="1"/>
  <c r="I76" i="51"/>
  <c r="AF76" i="51"/>
  <c r="K76" i="51"/>
  <c r="A77" i="51"/>
  <c r="O76" i="53"/>
  <c r="AX76" i="53" s="1"/>
  <c r="D77" i="53"/>
  <c r="AE76" i="55"/>
  <c r="AL76" i="55"/>
  <c r="AK77" i="55"/>
  <c r="AM77" i="55"/>
  <c r="A78" i="55"/>
  <c r="Y75" i="53"/>
  <c r="BY75" i="53"/>
  <c r="O80" i="51"/>
  <c r="P64" i="53"/>
  <c r="AQ64" i="53" s="1"/>
  <c r="AR64" i="53" s="1"/>
  <c r="F74" i="53" l="1"/>
  <c r="P75" i="51"/>
  <c r="AV74" i="53"/>
  <c r="X74" i="53" s="1"/>
  <c r="Z74" i="53" s="1"/>
  <c r="AT75" i="53"/>
  <c r="P65" i="53"/>
  <c r="AQ65" i="53" s="1"/>
  <c r="AR65" i="53" s="1"/>
  <c r="D82" i="69"/>
  <c r="AP76" i="53"/>
  <c r="AL76" i="53"/>
  <c r="Y76" i="53"/>
  <c r="A79" i="55"/>
  <c r="AK78" i="55"/>
  <c r="AM78" i="55"/>
  <c r="D78" i="53"/>
  <c r="O77" i="53"/>
  <c r="AX77" i="53" s="1"/>
  <c r="BY76" i="53"/>
  <c r="D78" i="51"/>
  <c r="C78" i="53"/>
  <c r="C78" i="51"/>
  <c r="Y78" i="65"/>
  <c r="Z78" i="65" s="1"/>
  <c r="AA78" i="65" s="1"/>
  <c r="A77" i="53"/>
  <c r="W78" i="65"/>
  <c r="X78" i="65"/>
  <c r="K77" i="51"/>
  <c r="E77" i="51"/>
  <c r="AC77" i="51"/>
  <c r="G77" i="51"/>
  <c r="M77" i="51" s="1"/>
  <c r="J77" i="51"/>
  <c r="F77" i="51"/>
  <c r="H77" i="51"/>
  <c r="AF77" i="51"/>
  <c r="AG77" i="51"/>
  <c r="I77" i="51"/>
  <c r="A78" i="51"/>
  <c r="AL77" i="55"/>
  <c r="AE77" i="55"/>
  <c r="O81" i="51"/>
  <c r="K77" i="53"/>
  <c r="U77" i="53"/>
  <c r="BF77" i="53" s="1"/>
  <c r="BK77" i="53"/>
  <c r="W77" i="53"/>
  <c r="R77" i="53"/>
  <c r="AB77" i="53"/>
  <c r="I48" i="69"/>
  <c r="AL48" i="69"/>
  <c r="CD48" i="69"/>
  <c r="P49" i="69"/>
  <c r="P68" i="69"/>
  <c r="I68" i="69" s="1"/>
  <c r="AW48" i="69"/>
  <c r="BH48" i="69"/>
  <c r="BS48" i="69"/>
  <c r="AA48" i="69"/>
  <c r="P95" i="69"/>
  <c r="P76" i="51" l="1"/>
  <c r="F75" i="53"/>
  <c r="AV75" i="53"/>
  <c r="X75" i="53" s="1"/>
  <c r="Z75" i="53" s="1"/>
  <c r="AT76" i="53"/>
  <c r="P66" i="53"/>
  <c r="AQ66" i="53" s="1"/>
  <c r="AR66" i="53" s="1"/>
  <c r="AE78" i="55"/>
  <c r="AL78" i="55"/>
  <c r="AP77" i="53"/>
  <c r="AL77" i="53"/>
  <c r="I78" i="51"/>
  <c r="J78" i="51"/>
  <c r="G78" i="51"/>
  <c r="M78" i="51" s="1"/>
  <c r="AF78" i="51"/>
  <c r="AG78" i="51"/>
  <c r="X79" i="65"/>
  <c r="E78" i="51"/>
  <c r="K78" i="51"/>
  <c r="H78" i="51"/>
  <c r="F78" i="51"/>
  <c r="AC78" i="51"/>
  <c r="A79" i="51"/>
  <c r="A80" i="55"/>
  <c r="AK79" i="55"/>
  <c r="AM79" i="55"/>
  <c r="BY77" i="53"/>
  <c r="I49" i="69"/>
  <c r="CD49" i="69"/>
  <c r="AL49" i="69"/>
  <c r="P96" i="69"/>
  <c r="AA49" i="69"/>
  <c r="BS49" i="69"/>
  <c r="AW49" i="69"/>
  <c r="P69" i="69"/>
  <c r="I69" i="69" s="1"/>
  <c r="BH49" i="69"/>
  <c r="P50" i="69"/>
  <c r="A78" i="53"/>
  <c r="W79" i="65"/>
  <c r="AB78" i="53"/>
  <c r="R78" i="53"/>
  <c r="U78" i="53"/>
  <c r="BF78" i="53" s="1"/>
  <c r="BK78" i="53"/>
  <c r="W78" i="53"/>
  <c r="K78" i="53"/>
  <c r="D83" i="69"/>
  <c r="Y79" i="65"/>
  <c r="Z79" i="65" s="1"/>
  <c r="AA79" i="65" s="1"/>
  <c r="D79" i="51"/>
  <c r="C79" i="51"/>
  <c r="C79" i="53"/>
  <c r="O82" i="51"/>
  <c r="O78" i="53"/>
  <c r="AX78" i="53" s="1"/>
  <c r="D79" i="53"/>
  <c r="Y77" i="53"/>
  <c r="P77" i="51" l="1"/>
  <c r="F76" i="53"/>
  <c r="AT77" i="53"/>
  <c r="AV76" i="53"/>
  <c r="X76" i="53" s="1"/>
  <c r="Z76" i="53" s="1"/>
  <c r="P67" i="53"/>
  <c r="AQ67" i="53" s="1"/>
  <c r="AR67" i="53" s="1"/>
  <c r="D80" i="53"/>
  <c r="O79" i="53"/>
  <c r="AX79" i="53" s="1"/>
  <c r="BY78" i="53"/>
  <c r="BK79" i="53"/>
  <c r="W79" i="53"/>
  <c r="K79" i="53"/>
  <c r="U79" i="53"/>
  <c r="BF79" i="53" s="1"/>
  <c r="R79" i="53"/>
  <c r="AB79" i="53"/>
  <c r="G79" i="51"/>
  <c r="M79" i="51" s="1"/>
  <c r="I79" i="51"/>
  <c r="F79" i="51"/>
  <c r="AF79" i="51"/>
  <c r="X80" i="65"/>
  <c r="E79" i="51"/>
  <c r="J79" i="51"/>
  <c r="K79" i="51"/>
  <c r="H79" i="51"/>
  <c r="AG79" i="51"/>
  <c r="AC79" i="51"/>
  <c r="A80" i="51"/>
  <c r="AE79" i="55"/>
  <c r="AL79" i="55"/>
  <c r="O83" i="51"/>
  <c r="D80" i="51"/>
  <c r="C80" i="51"/>
  <c r="C80" i="53"/>
  <c r="Y80" i="65"/>
  <c r="Z80" i="65" s="1"/>
  <c r="AA80" i="65" s="1"/>
  <c r="AM80" i="55"/>
  <c r="A81" i="55"/>
  <c r="AK80" i="55"/>
  <c r="W80" i="65"/>
  <c r="A79" i="53"/>
  <c r="Y78" i="53"/>
  <c r="AL50" i="69"/>
  <c r="P70" i="69"/>
  <c r="I70" i="69" s="1"/>
  <c r="CD50" i="69"/>
  <c r="AW50" i="69"/>
  <c r="P51" i="69"/>
  <c r="AA50" i="69"/>
  <c r="P97" i="69"/>
  <c r="I50" i="69"/>
  <c r="BH50" i="69"/>
  <c r="BS50" i="69"/>
  <c r="AP78" i="53"/>
  <c r="AL78" i="53"/>
  <c r="D84" i="69"/>
  <c r="F77" i="53" l="1"/>
  <c r="P78" i="51"/>
  <c r="AV77" i="53"/>
  <c r="X77" i="53" s="1"/>
  <c r="Z77" i="53" s="1"/>
  <c r="AT78" i="53"/>
  <c r="P68" i="53"/>
  <c r="AQ68" i="53" s="1"/>
  <c r="AR68" i="53" s="1"/>
  <c r="AL80" i="55"/>
  <c r="AE80" i="55"/>
  <c r="U80" i="53"/>
  <c r="BF80" i="53" s="1"/>
  <c r="AB80" i="53"/>
  <c r="BK80" i="53"/>
  <c r="W80" i="53"/>
  <c r="R80" i="53"/>
  <c r="K80" i="53"/>
  <c r="Y79" i="53"/>
  <c r="AK81" i="55"/>
  <c r="AM81" i="55"/>
  <c r="A82" i="55"/>
  <c r="AF80" i="51"/>
  <c r="H80" i="51"/>
  <c r="F80" i="51"/>
  <c r="I80" i="51"/>
  <c r="K80" i="51"/>
  <c r="X81" i="65"/>
  <c r="J80" i="51"/>
  <c r="G80" i="51"/>
  <c r="M80" i="51" s="1"/>
  <c r="AG80" i="51"/>
  <c r="E80" i="51"/>
  <c r="AC80" i="51"/>
  <c r="A81" i="51"/>
  <c r="A80" i="53"/>
  <c r="W81" i="65"/>
  <c r="C81" i="51"/>
  <c r="C81" i="53"/>
  <c r="Y81" i="65"/>
  <c r="Z81" i="65" s="1"/>
  <c r="AA81" i="65" s="1"/>
  <c r="D81" i="51"/>
  <c r="O84" i="51"/>
  <c r="O80" i="53"/>
  <c r="AX80" i="53" s="1"/>
  <c r="D81" i="53"/>
  <c r="BY79" i="53"/>
  <c r="AL79" i="53"/>
  <c r="AP79" i="53"/>
  <c r="D85" i="69"/>
  <c r="I51" i="69"/>
  <c r="AA51" i="69"/>
  <c r="BS51" i="69"/>
  <c r="BH51" i="69"/>
  <c r="P52" i="69"/>
  <c r="AL51" i="69"/>
  <c r="CD51" i="69"/>
  <c r="AW51" i="69"/>
  <c r="P98" i="69"/>
  <c r="P71" i="69"/>
  <c r="I71" i="69" s="1"/>
  <c r="F78" i="53" l="1"/>
  <c r="P79" i="51"/>
  <c r="AT79" i="53"/>
  <c r="AV78" i="53"/>
  <c r="X78" i="53" s="1"/>
  <c r="Z78" i="53" s="1"/>
  <c r="P69" i="53"/>
  <c r="AQ69" i="53" s="1"/>
  <c r="AR69" i="53" s="1"/>
  <c r="BY80" i="53"/>
  <c r="AL52" i="69"/>
  <c r="CD52" i="69"/>
  <c r="BH52" i="69"/>
  <c r="AW52" i="69"/>
  <c r="P53" i="69"/>
  <c r="P99" i="69"/>
  <c r="AA52" i="69"/>
  <c r="I52" i="69"/>
  <c r="BS52" i="69"/>
  <c r="P72" i="69"/>
  <c r="I72" i="69" s="1"/>
  <c r="E81" i="51"/>
  <c r="AC81" i="51"/>
  <c r="I81" i="51"/>
  <c r="AF81" i="51"/>
  <c r="J81" i="51"/>
  <c r="AG81" i="51"/>
  <c r="G81" i="51"/>
  <c r="M81" i="51" s="1"/>
  <c r="F81" i="51"/>
  <c r="X82" i="65"/>
  <c r="K81" i="51"/>
  <c r="H81" i="51"/>
  <c r="A82" i="51"/>
  <c r="D82" i="51"/>
  <c r="C82" i="53"/>
  <c r="Y82" i="65"/>
  <c r="Z82" i="65" s="1"/>
  <c r="AA82" i="65" s="1"/>
  <c r="C82" i="51"/>
  <c r="D82" i="53"/>
  <c r="O81" i="53"/>
  <c r="AX81" i="53" s="1"/>
  <c r="AB81" i="53"/>
  <c r="BK81" i="53"/>
  <c r="W81" i="53"/>
  <c r="R81" i="53"/>
  <c r="U81" i="53"/>
  <c r="BF81" i="53" s="1"/>
  <c r="K81" i="53"/>
  <c r="AP80" i="53"/>
  <c r="AL80" i="53"/>
  <c r="AM82" i="55"/>
  <c r="A83" i="55"/>
  <c r="AK82" i="55"/>
  <c r="Y80" i="53"/>
  <c r="AL81" i="55"/>
  <c r="AE81" i="55"/>
  <c r="D86" i="69"/>
  <c r="O85" i="51"/>
  <c r="A81" i="53"/>
  <c r="W82" i="65"/>
  <c r="F79" i="53" l="1"/>
  <c r="P80" i="51"/>
  <c r="AT80" i="53"/>
  <c r="AV79" i="53"/>
  <c r="X79" i="53" s="1"/>
  <c r="Z79" i="53" s="1"/>
  <c r="P70" i="53"/>
  <c r="AQ70" i="53" s="1"/>
  <c r="AR70" i="53" s="1"/>
  <c r="BK82" i="53"/>
  <c r="W82" i="53"/>
  <c r="R82" i="53"/>
  <c r="U82" i="53"/>
  <c r="BF82" i="53" s="1"/>
  <c r="AB82" i="53"/>
  <c r="K82" i="53"/>
  <c r="A82" i="53"/>
  <c r="W83" i="65"/>
  <c r="BY81" i="53"/>
  <c r="D87" i="69"/>
  <c r="C83" i="53"/>
  <c r="Y83" i="65"/>
  <c r="Z83" i="65" s="1"/>
  <c r="AA83" i="65" s="1"/>
  <c r="D83" i="51"/>
  <c r="C83" i="51"/>
  <c r="O86" i="51"/>
  <c r="O82" i="53"/>
  <c r="AX82" i="53" s="1"/>
  <c r="D83" i="53"/>
  <c r="AL82" i="55"/>
  <c r="AE82" i="55"/>
  <c r="I82" i="51"/>
  <c r="J82" i="51"/>
  <c r="E82" i="51"/>
  <c r="F82" i="51"/>
  <c r="X83" i="65"/>
  <c r="AC82" i="51"/>
  <c r="G82" i="51"/>
  <c r="M82" i="51" s="1"/>
  <c r="AG82" i="51"/>
  <c r="AF82" i="51"/>
  <c r="H82" i="51"/>
  <c r="K82" i="51"/>
  <c r="A83" i="51"/>
  <c r="AK83" i="55"/>
  <c r="AM83" i="55"/>
  <c r="A84" i="55"/>
  <c r="Y81" i="53"/>
  <c r="AL81" i="53"/>
  <c r="AP81" i="53"/>
  <c r="AA53" i="69"/>
  <c r="P100" i="69"/>
  <c r="AL53" i="69"/>
  <c r="P54" i="69"/>
  <c r="BS53" i="69"/>
  <c r="AW53" i="69"/>
  <c r="I53" i="69"/>
  <c r="CD53" i="69"/>
  <c r="P73" i="69"/>
  <c r="I73" i="69" s="1"/>
  <c r="BH53" i="69"/>
  <c r="P81" i="51" l="1"/>
  <c r="F80" i="53"/>
  <c r="AV80" i="53"/>
  <c r="X80" i="53" s="1"/>
  <c r="Z80" i="53" s="1"/>
  <c r="AT81" i="53"/>
  <c r="P71" i="53"/>
  <c r="AQ71" i="53" s="1"/>
  <c r="AR71" i="53" s="1"/>
  <c r="BS54" i="69"/>
  <c r="P101" i="69"/>
  <c r="BH54" i="69"/>
  <c r="P55" i="69"/>
  <c r="AA54" i="69"/>
  <c r="AL54" i="69"/>
  <c r="I54" i="69"/>
  <c r="CD54" i="69"/>
  <c r="AW54" i="69"/>
  <c r="P74" i="69"/>
  <c r="I74" i="69" s="1"/>
  <c r="BK83" i="53"/>
  <c r="W83" i="53"/>
  <c r="R83" i="53"/>
  <c r="K83" i="53"/>
  <c r="U83" i="53"/>
  <c r="BF83" i="53" s="1"/>
  <c r="AB83" i="53"/>
  <c r="BY82" i="53"/>
  <c r="Y82" i="53"/>
  <c r="A83" i="53"/>
  <c r="W84" i="65"/>
  <c r="D88" i="69"/>
  <c r="AL83" i="55"/>
  <c r="AE83" i="55"/>
  <c r="O83" i="53"/>
  <c r="AX83" i="53" s="1"/>
  <c r="D84" i="53"/>
  <c r="A85" i="55"/>
  <c r="AK84" i="55"/>
  <c r="AM84" i="55"/>
  <c r="O87" i="51"/>
  <c r="X84" i="65"/>
  <c r="H83" i="51"/>
  <c r="E83" i="51"/>
  <c r="AC83" i="51"/>
  <c r="I83" i="51"/>
  <c r="AF83" i="51"/>
  <c r="F83" i="51"/>
  <c r="AG83" i="51"/>
  <c r="J83" i="51"/>
  <c r="K83" i="51"/>
  <c r="G83" i="51"/>
  <c r="M83" i="51" s="1"/>
  <c r="A84" i="51"/>
  <c r="C84" i="53"/>
  <c r="Y84" i="65"/>
  <c r="Z84" i="65" s="1"/>
  <c r="AA84" i="65" s="1"/>
  <c r="D84" i="51"/>
  <c r="C84" i="51"/>
  <c r="AP82" i="53"/>
  <c r="AL82" i="53"/>
  <c r="F81" i="53" l="1"/>
  <c r="P82" i="51"/>
  <c r="AV81" i="53"/>
  <c r="X81" i="53" s="1"/>
  <c r="Z81" i="53" s="1"/>
  <c r="AT82" i="53"/>
  <c r="P72" i="53"/>
  <c r="AQ72" i="53" s="1"/>
  <c r="AR72" i="53" s="1"/>
  <c r="O84" i="53"/>
  <c r="AX84" i="53" s="1"/>
  <c r="D85" i="53"/>
  <c r="AL83" i="53"/>
  <c r="AP83" i="53"/>
  <c r="AE84" i="55"/>
  <c r="AL84" i="55"/>
  <c r="BY83" i="53"/>
  <c r="D89" i="69"/>
  <c r="AK85" i="55"/>
  <c r="AM85" i="55"/>
  <c r="A86" i="55"/>
  <c r="K84" i="53"/>
  <c r="U84" i="53"/>
  <c r="BF84" i="53" s="1"/>
  <c r="AB84" i="53"/>
  <c r="BK84" i="53"/>
  <c r="R84" i="53"/>
  <c r="W84" i="53"/>
  <c r="A84" i="53"/>
  <c r="W85" i="65"/>
  <c r="Y83" i="53"/>
  <c r="AL55" i="69"/>
  <c r="AW55" i="69"/>
  <c r="P102" i="69"/>
  <c r="AA55" i="69"/>
  <c r="P75" i="69"/>
  <c r="I75" i="69" s="1"/>
  <c r="P56" i="69"/>
  <c r="CD55" i="69"/>
  <c r="BH55" i="69"/>
  <c r="BS55" i="69"/>
  <c r="I55" i="69"/>
  <c r="K84" i="51"/>
  <c r="X85" i="65"/>
  <c r="J84" i="51"/>
  <c r="E84" i="51"/>
  <c r="AC84" i="51"/>
  <c r="G84" i="51"/>
  <c r="M84" i="51" s="1"/>
  <c r="AF84" i="51"/>
  <c r="AG84" i="51"/>
  <c r="H84" i="51"/>
  <c r="I84" i="51"/>
  <c r="F84" i="51"/>
  <c r="A85" i="51"/>
  <c r="C85" i="51"/>
  <c r="D85" i="51"/>
  <c r="Y85" i="65"/>
  <c r="Z85" i="65" s="1"/>
  <c r="AA85" i="65" s="1"/>
  <c r="C85" i="53"/>
  <c r="O88" i="51"/>
  <c r="P83" i="51" l="1"/>
  <c r="F82" i="53"/>
  <c r="AV82" i="53"/>
  <c r="X82" i="53" s="1"/>
  <c r="Z82" i="53" s="1"/>
  <c r="AT83" i="53"/>
  <c r="P73" i="53"/>
  <c r="AQ73" i="53" s="1"/>
  <c r="AR73" i="53" s="1"/>
  <c r="AM86" i="55"/>
  <c r="A87" i="55"/>
  <c r="AK86" i="55"/>
  <c r="AB85" i="53"/>
  <c r="BK85" i="53"/>
  <c r="W85" i="53"/>
  <c r="R85" i="53"/>
  <c r="U85" i="53"/>
  <c r="BF85" i="53" s="1"/>
  <c r="K85" i="53"/>
  <c r="AL85" i="55"/>
  <c r="AE85" i="55"/>
  <c r="C86" i="51"/>
  <c r="D86" i="51"/>
  <c r="C86" i="53"/>
  <c r="Y86" i="65"/>
  <c r="Z86" i="65" s="1"/>
  <c r="AA86" i="65" s="1"/>
  <c r="D90" i="69"/>
  <c r="O85" i="53"/>
  <c r="AX85" i="53" s="1"/>
  <c r="D86" i="53"/>
  <c r="A85" i="53"/>
  <c r="W86" i="65"/>
  <c r="AP84" i="53"/>
  <c r="AL84" i="53"/>
  <c r="Y84" i="53"/>
  <c r="X86" i="65"/>
  <c r="K85" i="51"/>
  <c r="E85" i="51"/>
  <c r="AC85" i="51"/>
  <c r="I85" i="51"/>
  <c r="AG85" i="51"/>
  <c r="J85" i="51"/>
  <c r="AF85" i="51"/>
  <c r="G85" i="51"/>
  <c r="M85" i="51" s="1"/>
  <c r="H85" i="51"/>
  <c r="F85" i="51"/>
  <c r="A86" i="51"/>
  <c r="O89" i="51"/>
  <c r="BH56" i="69"/>
  <c r="AA56" i="69"/>
  <c r="P76" i="69"/>
  <c r="I76" i="69" s="1"/>
  <c r="AW56" i="69"/>
  <c r="I56" i="69"/>
  <c r="AL56" i="69"/>
  <c r="P103" i="69"/>
  <c r="P57" i="69"/>
  <c r="BS56" i="69"/>
  <c r="CD56" i="69"/>
  <c r="BY84" i="53"/>
  <c r="F83" i="53" l="1"/>
  <c r="P84" i="51"/>
  <c r="AT84" i="53"/>
  <c r="AV83" i="53"/>
  <c r="X83" i="53" s="1"/>
  <c r="Z83" i="53" s="1"/>
  <c r="P74" i="53"/>
  <c r="AQ74" i="53" s="1"/>
  <c r="AR74" i="53" s="1"/>
  <c r="AL86" i="55"/>
  <c r="AE86" i="55"/>
  <c r="AM87" i="55"/>
  <c r="A88" i="55"/>
  <c r="AK87" i="55"/>
  <c r="W87" i="65"/>
  <c r="A86" i="53"/>
  <c r="K86" i="53"/>
  <c r="U86" i="53"/>
  <c r="BF86" i="53" s="1"/>
  <c r="AB86" i="53"/>
  <c r="BK86" i="53"/>
  <c r="R86" i="53"/>
  <c r="W86" i="53"/>
  <c r="BY85" i="53"/>
  <c r="D87" i="51"/>
  <c r="C87" i="51"/>
  <c r="C87" i="53"/>
  <c r="Y87" i="65"/>
  <c r="Z87" i="65" s="1"/>
  <c r="AA87" i="65" s="1"/>
  <c r="X87" i="65"/>
  <c r="AC86" i="51"/>
  <c r="G86" i="51"/>
  <c r="M86" i="51" s="1"/>
  <c r="AF86" i="51"/>
  <c r="AG86" i="51"/>
  <c r="K86" i="51"/>
  <c r="H86" i="51"/>
  <c r="I86" i="51"/>
  <c r="E86" i="51"/>
  <c r="F86" i="51"/>
  <c r="J86" i="51"/>
  <c r="A87" i="51"/>
  <c r="Y85" i="53"/>
  <c r="AL85" i="53"/>
  <c r="AP85" i="53"/>
  <c r="D87" i="53"/>
  <c r="O86" i="53"/>
  <c r="AX86" i="53" s="1"/>
  <c r="AA57" i="69"/>
  <c r="CD57" i="69"/>
  <c r="AW57" i="69"/>
  <c r="BS57" i="69"/>
  <c r="BH57" i="69"/>
  <c r="P58" i="69"/>
  <c r="P104" i="69"/>
  <c r="I57" i="69"/>
  <c r="AL57" i="69"/>
  <c r="P77" i="69"/>
  <c r="I77" i="69" s="1"/>
  <c r="O90" i="51"/>
  <c r="F84" i="53" l="1"/>
  <c r="P85" i="51"/>
  <c r="AT85" i="53"/>
  <c r="AV84" i="53"/>
  <c r="X84" i="53" s="1"/>
  <c r="Z84" i="53" s="1"/>
  <c r="Y86" i="53"/>
  <c r="AM88" i="55"/>
  <c r="A89" i="55"/>
  <c r="AK88" i="55"/>
  <c r="A87" i="53"/>
  <c r="W88" i="65"/>
  <c r="BH58" i="69"/>
  <c r="P105" i="69"/>
  <c r="I58" i="69"/>
  <c r="AL58" i="69"/>
  <c r="AA58" i="69"/>
  <c r="AW58" i="69"/>
  <c r="CD58" i="69"/>
  <c r="BS58" i="69"/>
  <c r="P78" i="69"/>
  <c r="I78" i="69" s="1"/>
  <c r="O91" i="51"/>
  <c r="O87" i="53"/>
  <c r="AX87" i="53" s="1"/>
  <c r="D88" i="53"/>
  <c r="K87" i="53"/>
  <c r="U87" i="53"/>
  <c r="BF87" i="53" s="1"/>
  <c r="AB87" i="53"/>
  <c r="BK87" i="53"/>
  <c r="W87" i="53"/>
  <c r="R87" i="53"/>
  <c r="BY86" i="53"/>
  <c r="K87" i="51"/>
  <c r="G87" i="51"/>
  <c r="M87" i="51" s="1"/>
  <c r="E87" i="51"/>
  <c r="H87" i="51"/>
  <c r="X88" i="65"/>
  <c r="AC87" i="51"/>
  <c r="I87" i="51"/>
  <c r="AG87" i="51"/>
  <c r="J87" i="51"/>
  <c r="F87" i="51"/>
  <c r="AF87" i="51"/>
  <c r="A88" i="51"/>
  <c r="P75" i="53"/>
  <c r="AQ75" i="53" s="1"/>
  <c r="AR75" i="53" s="1"/>
  <c r="AP86" i="53"/>
  <c r="AL86" i="53"/>
  <c r="D88" i="51"/>
  <c r="C88" i="51"/>
  <c r="Y88" i="65"/>
  <c r="Z88" i="65" s="1"/>
  <c r="AA88" i="65" s="1"/>
  <c r="C88" i="53"/>
  <c r="AL87" i="55"/>
  <c r="AE87" i="55"/>
  <c r="F85" i="53" l="1"/>
  <c r="P86" i="51"/>
  <c r="AT86" i="53"/>
  <c r="AV85" i="53"/>
  <c r="X85" i="53" s="1"/>
  <c r="Z85" i="53" s="1"/>
  <c r="P76" i="53"/>
  <c r="AQ76" i="53" s="1"/>
  <c r="AR76" i="53" s="1"/>
  <c r="O92" i="51"/>
  <c r="A90" i="55"/>
  <c r="AM89" i="55"/>
  <c r="AK89" i="55"/>
  <c r="A88" i="53"/>
  <c r="W89" i="65"/>
  <c r="Y87" i="53"/>
  <c r="F88" i="51"/>
  <c r="I88" i="51"/>
  <c r="K88" i="51"/>
  <c r="E88" i="51"/>
  <c r="J88" i="51"/>
  <c r="X89" i="65"/>
  <c r="AC88" i="51"/>
  <c r="G88" i="51"/>
  <c r="M88" i="51" s="1"/>
  <c r="AF88" i="51"/>
  <c r="H88" i="51"/>
  <c r="AG88" i="51"/>
  <c r="A89" i="51"/>
  <c r="AL87" i="53"/>
  <c r="AP87" i="53"/>
  <c r="K88" i="53"/>
  <c r="AB88" i="53"/>
  <c r="BK88" i="53"/>
  <c r="W88" i="53"/>
  <c r="R88" i="53"/>
  <c r="U88" i="53"/>
  <c r="BF88" i="53" s="1"/>
  <c r="D89" i="53"/>
  <c r="O88" i="53"/>
  <c r="AX88" i="53" s="1"/>
  <c r="BY87" i="53"/>
  <c r="Y89" i="65"/>
  <c r="Z89" i="65" s="1"/>
  <c r="AA89" i="65" s="1"/>
  <c r="D89" i="51"/>
  <c r="C89" i="53"/>
  <c r="C89" i="51"/>
  <c r="AL88" i="55"/>
  <c r="AE88" i="55"/>
  <c r="F86" i="53" l="1"/>
  <c r="P87" i="51"/>
  <c r="F87" i="53" s="1"/>
  <c r="AT87" i="53"/>
  <c r="AV86" i="53"/>
  <c r="X86" i="53" s="1"/>
  <c r="Z86" i="53" s="1"/>
  <c r="P77" i="53"/>
  <c r="AQ77" i="53" s="1"/>
  <c r="AR77" i="53" s="1"/>
  <c r="BY88" i="53"/>
  <c r="AL89" i="55"/>
  <c r="AE89" i="55"/>
  <c r="AP88" i="53"/>
  <c r="AL88" i="53"/>
  <c r="E89" i="51"/>
  <c r="AC89" i="51"/>
  <c r="J89" i="51"/>
  <c r="AF89" i="51"/>
  <c r="G89" i="51"/>
  <c r="M89" i="51" s="1"/>
  <c r="F89" i="51"/>
  <c r="X90" i="65"/>
  <c r="K89" i="51"/>
  <c r="I89" i="51"/>
  <c r="H89" i="51"/>
  <c r="AG89" i="51"/>
  <c r="A90" i="51"/>
  <c r="D90" i="51"/>
  <c r="C90" i="53"/>
  <c r="Y90" i="65"/>
  <c r="Z90" i="65" s="1"/>
  <c r="AA90" i="65" s="1"/>
  <c r="C90" i="51"/>
  <c r="AM90" i="55"/>
  <c r="AK90" i="55"/>
  <c r="A91" i="55"/>
  <c r="D90" i="53"/>
  <c r="O89" i="53"/>
  <c r="AX89" i="53" s="1"/>
  <c r="BK89" i="53"/>
  <c r="R89" i="53"/>
  <c r="K89" i="53"/>
  <c r="U89" i="53"/>
  <c r="BF89" i="53" s="1"/>
  <c r="AB89" i="53"/>
  <c r="W89" i="53"/>
  <c r="O93" i="51"/>
  <c r="Y88" i="53"/>
  <c r="A89" i="53"/>
  <c r="W90" i="65"/>
  <c r="P88" i="51" l="1"/>
  <c r="F88" i="53" s="1"/>
  <c r="AV87" i="53"/>
  <c r="X87" i="53" s="1"/>
  <c r="Z87" i="53" s="1"/>
  <c r="AT88" i="53"/>
  <c r="P78" i="53"/>
  <c r="AQ78" i="53" s="1"/>
  <c r="AR78" i="53" s="1"/>
  <c r="D91" i="53"/>
  <c r="O90" i="53"/>
  <c r="AX90" i="53" s="1"/>
  <c r="BK90" i="53"/>
  <c r="W90" i="53"/>
  <c r="R90" i="53"/>
  <c r="U90" i="53"/>
  <c r="BF90" i="53" s="1"/>
  <c r="AB90" i="53"/>
  <c r="K90" i="53"/>
  <c r="AM91" i="55"/>
  <c r="AK91" i="55"/>
  <c r="A92" i="55"/>
  <c r="C91" i="51"/>
  <c r="D91" i="51"/>
  <c r="C91" i="53"/>
  <c r="Y91" i="65"/>
  <c r="Z91" i="65" s="1"/>
  <c r="AA91" i="65" s="1"/>
  <c r="AL89" i="53"/>
  <c r="AP89" i="53"/>
  <c r="O94" i="51"/>
  <c r="Y89" i="53"/>
  <c r="AE90" i="55"/>
  <c r="AL90" i="55"/>
  <c r="K90" i="51"/>
  <c r="I90" i="51"/>
  <c r="J90" i="51"/>
  <c r="E90" i="51"/>
  <c r="F90" i="51"/>
  <c r="X91" i="65"/>
  <c r="AC90" i="51"/>
  <c r="AG90" i="51"/>
  <c r="G90" i="51"/>
  <c r="M90" i="51" s="1"/>
  <c r="H90" i="51"/>
  <c r="AF90" i="51"/>
  <c r="A91" i="51"/>
  <c r="W91" i="65"/>
  <c r="A90" i="53"/>
  <c r="BY89" i="53"/>
  <c r="P89" i="51" l="1"/>
  <c r="AV88" i="53"/>
  <c r="X88" i="53" s="1"/>
  <c r="Z88" i="53" s="1"/>
  <c r="AT89" i="53"/>
  <c r="W92" i="65"/>
  <c r="A91" i="53"/>
  <c r="AE91" i="55"/>
  <c r="AL91" i="55"/>
  <c r="AL90" i="53"/>
  <c r="AP90" i="53"/>
  <c r="BY90" i="53"/>
  <c r="K91" i="53"/>
  <c r="AB91" i="53"/>
  <c r="BK91" i="53"/>
  <c r="W91" i="53"/>
  <c r="R91" i="53"/>
  <c r="U91" i="53"/>
  <c r="BF91" i="53" s="1"/>
  <c r="O91" i="53"/>
  <c r="AX91" i="53" s="1"/>
  <c r="D92" i="53"/>
  <c r="D92" i="51"/>
  <c r="Y92" i="65"/>
  <c r="Z92" i="65" s="1"/>
  <c r="AA92" i="65" s="1"/>
  <c r="C92" i="51"/>
  <c r="C92" i="53"/>
  <c r="O95" i="51"/>
  <c r="X92" i="65"/>
  <c r="H91" i="51"/>
  <c r="I91" i="51"/>
  <c r="AF91" i="51"/>
  <c r="F91" i="51"/>
  <c r="AG91" i="51"/>
  <c r="J91" i="51"/>
  <c r="K91" i="51"/>
  <c r="E91" i="51"/>
  <c r="G91" i="51"/>
  <c r="M91" i="51" s="1"/>
  <c r="AC91" i="51"/>
  <c r="A92" i="51"/>
  <c r="P79" i="53"/>
  <c r="AQ79" i="53" s="1"/>
  <c r="AR79" i="53" s="1"/>
  <c r="A93" i="55"/>
  <c r="AK92" i="55"/>
  <c r="AM92" i="55"/>
  <c r="Y90" i="53"/>
  <c r="P90" i="51" l="1"/>
  <c r="F89" i="53"/>
  <c r="AV89" i="53"/>
  <c r="X89" i="53" s="1"/>
  <c r="Z89" i="53" s="1"/>
  <c r="AT90" i="53"/>
  <c r="P80" i="53"/>
  <c r="AQ80" i="53" s="1"/>
  <c r="AR80" i="53" s="1"/>
  <c r="O96" i="51"/>
  <c r="K92" i="53"/>
  <c r="AB92" i="53"/>
  <c r="BK92" i="53"/>
  <c r="W92" i="53"/>
  <c r="R92" i="53"/>
  <c r="U92" i="53"/>
  <c r="BF92" i="53" s="1"/>
  <c r="X93" i="65"/>
  <c r="AC92" i="51"/>
  <c r="AF92" i="51"/>
  <c r="H92" i="51"/>
  <c r="F92" i="51"/>
  <c r="I92" i="51"/>
  <c r="E92" i="51"/>
  <c r="J92" i="51"/>
  <c r="G92" i="51"/>
  <c r="M92" i="51" s="1"/>
  <c r="K92" i="51"/>
  <c r="AG92" i="51"/>
  <c r="A93" i="51"/>
  <c r="Y91" i="53"/>
  <c r="C93" i="53"/>
  <c r="D93" i="51"/>
  <c r="C93" i="51"/>
  <c r="Y93" i="65"/>
  <c r="Z93" i="65" s="1"/>
  <c r="AA93" i="65" s="1"/>
  <c r="BY91" i="53"/>
  <c r="A94" i="55"/>
  <c r="AM93" i="55"/>
  <c r="AK93" i="55"/>
  <c r="AL91" i="53"/>
  <c r="AP91" i="53"/>
  <c r="A92" i="53"/>
  <c r="W93" i="65"/>
  <c r="AL92" i="55"/>
  <c r="AE92" i="55"/>
  <c r="O92" i="53"/>
  <c r="AX92" i="53" s="1"/>
  <c r="D93" i="53"/>
  <c r="P91" i="51" l="1"/>
  <c r="F90" i="53"/>
  <c r="AT91" i="53"/>
  <c r="AV90" i="53"/>
  <c r="X90" i="53" s="1"/>
  <c r="Z90" i="53" s="1"/>
  <c r="P81" i="53"/>
  <c r="AQ81" i="53" s="1"/>
  <c r="AR81" i="53" s="1"/>
  <c r="BY92" i="53"/>
  <c r="Y92" i="53"/>
  <c r="A93" i="53"/>
  <c r="W94" i="65"/>
  <c r="O97" i="51"/>
  <c r="O93" i="53"/>
  <c r="AX93" i="53" s="1"/>
  <c r="D94" i="53"/>
  <c r="H93" i="51"/>
  <c r="E93" i="51"/>
  <c r="AC93" i="51"/>
  <c r="I93" i="51"/>
  <c r="AG93" i="51"/>
  <c r="J93" i="51"/>
  <c r="AF93" i="51"/>
  <c r="G93" i="51"/>
  <c r="M93" i="51" s="1"/>
  <c r="F93" i="51"/>
  <c r="K93" i="51"/>
  <c r="X94" i="65"/>
  <c r="A94" i="51"/>
  <c r="C94" i="53"/>
  <c r="D94" i="51"/>
  <c r="C94" i="51"/>
  <c r="Y94" i="65"/>
  <c r="Z94" i="65" s="1"/>
  <c r="AA94" i="65" s="1"/>
  <c r="A95" i="55"/>
  <c r="AK94" i="55"/>
  <c r="AM94" i="55"/>
  <c r="U93" i="53"/>
  <c r="BF93" i="53" s="1"/>
  <c r="K93" i="53"/>
  <c r="AB93" i="53"/>
  <c r="BK93" i="53"/>
  <c r="W93" i="53"/>
  <c r="R93" i="53"/>
  <c r="AP92" i="53"/>
  <c r="AL92" i="53"/>
  <c r="AL93" i="55"/>
  <c r="AE93" i="55"/>
  <c r="P92" i="51" l="1"/>
  <c r="F91" i="53"/>
  <c r="AV91" i="53"/>
  <c r="X91" i="53" s="1"/>
  <c r="Z91" i="53" s="1"/>
  <c r="AT92" i="53"/>
  <c r="P82" i="53"/>
  <c r="AQ82" i="53" s="1"/>
  <c r="AR82" i="53" s="1"/>
  <c r="AL94" i="55"/>
  <c r="AE94" i="55"/>
  <c r="Y93" i="53"/>
  <c r="AK95" i="55"/>
  <c r="A96" i="55"/>
  <c r="AM95" i="55"/>
  <c r="A94" i="53"/>
  <c r="W95" i="65"/>
  <c r="AP93" i="53"/>
  <c r="AL93" i="53"/>
  <c r="D95" i="53"/>
  <c r="O94" i="53"/>
  <c r="AX94" i="53" s="1"/>
  <c r="X95" i="65"/>
  <c r="AC94" i="51"/>
  <c r="AG94" i="51"/>
  <c r="K94" i="51"/>
  <c r="H94" i="51"/>
  <c r="I94" i="51"/>
  <c r="E94" i="51"/>
  <c r="F94" i="51"/>
  <c r="J94" i="51"/>
  <c r="AF94" i="51"/>
  <c r="G94" i="51"/>
  <c r="M94" i="51" s="1"/>
  <c r="A95" i="51"/>
  <c r="D95" i="51"/>
  <c r="C95" i="51"/>
  <c r="C95" i="53"/>
  <c r="Y95" i="65"/>
  <c r="Z95" i="65" s="1"/>
  <c r="AA95" i="65" s="1"/>
  <c r="BY93" i="53"/>
  <c r="AB94" i="53"/>
  <c r="W94" i="53"/>
  <c r="R94" i="53"/>
  <c r="K94" i="53"/>
  <c r="U94" i="53"/>
  <c r="BF94" i="53" s="1"/>
  <c r="BK94" i="53"/>
  <c r="O98" i="51"/>
  <c r="P93" i="51" l="1"/>
  <c r="F92" i="53"/>
  <c r="AV92" i="53"/>
  <c r="X92" i="53" s="1"/>
  <c r="Z92" i="53" s="1"/>
  <c r="AT93" i="53"/>
  <c r="P83" i="53"/>
  <c r="AQ83" i="53" s="1"/>
  <c r="AR83" i="53" s="1"/>
  <c r="R95" i="53"/>
  <c r="K95" i="53"/>
  <c r="U95" i="53"/>
  <c r="BF95" i="53" s="1"/>
  <c r="AB95" i="53"/>
  <c r="W95" i="53"/>
  <c r="BK95" i="53"/>
  <c r="AK96" i="55"/>
  <c r="A97" i="55"/>
  <c r="AM96" i="55"/>
  <c r="E95" i="51"/>
  <c r="H95" i="51"/>
  <c r="I95" i="51"/>
  <c r="AG95" i="51"/>
  <c r="F95" i="51"/>
  <c r="AF95" i="51"/>
  <c r="J95" i="51"/>
  <c r="K95" i="51"/>
  <c r="X96" i="65"/>
  <c r="AC95" i="51"/>
  <c r="G95" i="51"/>
  <c r="M95" i="51" s="1"/>
  <c r="A96" i="51"/>
  <c r="Y94" i="53"/>
  <c r="C96" i="53"/>
  <c r="C96" i="51"/>
  <c r="D96" i="51"/>
  <c r="Y96" i="65"/>
  <c r="Z96" i="65" s="1"/>
  <c r="AA96" i="65" s="1"/>
  <c r="AL95" i="55"/>
  <c r="AE95" i="55"/>
  <c r="O99" i="51"/>
  <c r="D96" i="53"/>
  <c r="O95" i="53"/>
  <c r="AX95" i="53" s="1"/>
  <c r="W96" i="65"/>
  <c r="A95" i="53"/>
  <c r="AP94" i="53"/>
  <c r="AL94" i="53"/>
  <c r="BY94" i="53"/>
  <c r="F93" i="53" l="1"/>
  <c r="P94" i="51"/>
  <c r="AT94" i="53"/>
  <c r="AV93" i="53"/>
  <c r="X93" i="53" s="1"/>
  <c r="Z93" i="53" s="1"/>
  <c r="P84" i="53"/>
  <c r="AQ84" i="53" s="1"/>
  <c r="AR84" i="53" s="1"/>
  <c r="AL95" i="53"/>
  <c r="AP95" i="53"/>
  <c r="D97" i="51"/>
  <c r="C97" i="51"/>
  <c r="C97" i="53"/>
  <c r="Y97" i="65"/>
  <c r="Z97" i="65" s="1"/>
  <c r="AA97" i="65" s="1"/>
  <c r="BY95" i="53"/>
  <c r="G96" i="51"/>
  <c r="M96" i="51" s="1"/>
  <c r="AG96" i="51"/>
  <c r="AF96" i="51"/>
  <c r="H96" i="51"/>
  <c r="F96" i="51"/>
  <c r="I96" i="51"/>
  <c r="K96" i="51"/>
  <c r="E96" i="51"/>
  <c r="AC96" i="51"/>
  <c r="X97" i="65"/>
  <c r="J96" i="51"/>
  <c r="A97" i="51"/>
  <c r="O96" i="53"/>
  <c r="AX96" i="53" s="1"/>
  <c r="D97" i="53"/>
  <c r="AB96" i="53"/>
  <c r="BK96" i="53"/>
  <c r="W96" i="53"/>
  <c r="R96" i="53"/>
  <c r="K96" i="53"/>
  <c r="U96" i="53"/>
  <c r="BF96" i="53" s="1"/>
  <c r="AK97" i="55"/>
  <c r="A98" i="55"/>
  <c r="AM97" i="55"/>
  <c r="O100" i="51"/>
  <c r="AE96" i="55"/>
  <c r="AL96" i="55"/>
  <c r="Y95" i="53"/>
  <c r="W97" i="65"/>
  <c r="A96" i="53"/>
  <c r="F94" i="53" l="1"/>
  <c r="P95" i="51"/>
  <c r="AT95" i="53"/>
  <c r="AV94" i="53"/>
  <c r="X94" i="53" s="1"/>
  <c r="Z94" i="53" s="1"/>
  <c r="P85" i="53"/>
  <c r="AQ85" i="53" s="1"/>
  <c r="AR85" i="53" s="1"/>
  <c r="AP96" i="53"/>
  <c r="AL96" i="53"/>
  <c r="AM98" i="55"/>
  <c r="A99" i="55"/>
  <c r="AK98" i="55"/>
  <c r="O97" i="53"/>
  <c r="AX97" i="53" s="1"/>
  <c r="D98" i="53"/>
  <c r="W97" i="53"/>
  <c r="R97" i="53"/>
  <c r="K97" i="53"/>
  <c r="U97" i="53"/>
  <c r="BF97" i="53" s="1"/>
  <c r="BK97" i="53"/>
  <c r="AB97" i="53"/>
  <c r="O101" i="51"/>
  <c r="W98" i="65"/>
  <c r="A97" i="53"/>
  <c r="F97" i="51"/>
  <c r="H97" i="51"/>
  <c r="E97" i="51"/>
  <c r="K97" i="51"/>
  <c r="X98" i="65"/>
  <c r="AC97" i="51"/>
  <c r="I97" i="51"/>
  <c r="AG97" i="51"/>
  <c r="G97" i="51"/>
  <c r="M97" i="51" s="1"/>
  <c r="J97" i="51"/>
  <c r="AF97" i="51"/>
  <c r="A98" i="51"/>
  <c r="Y96" i="53"/>
  <c r="C98" i="53"/>
  <c r="Y98" i="65"/>
  <c r="Z98" i="65" s="1"/>
  <c r="AA98" i="65" s="1"/>
  <c r="D98" i="51"/>
  <c r="C98" i="51"/>
  <c r="AL97" i="55"/>
  <c r="AE97" i="55"/>
  <c r="BY96" i="53"/>
  <c r="P96" i="51" l="1"/>
  <c r="F95" i="53"/>
  <c r="AV95" i="53"/>
  <c r="X95" i="53" s="1"/>
  <c r="Z95" i="53" s="1"/>
  <c r="AT96" i="53"/>
  <c r="P86" i="53"/>
  <c r="AQ86" i="53" s="1"/>
  <c r="AR86" i="53" s="1"/>
  <c r="O102" i="51"/>
  <c r="AL98" i="55"/>
  <c r="AE98" i="55"/>
  <c r="A100" i="55"/>
  <c r="AM99" i="55"/>
  <c r="AK99" i="55"/>
  <c r="W99" i="65"/>
  <c r="A98" i="53"/>
  <c r="C99" i="51"/>
  <c r="D99" i="51"/>
  <c r="Y99" i="65"/>
  <c r="Z99" i="65" s="1"/>
  <c r="AA99" i="65" s="1"/>
  <c r="C99" i="53"/>
  <c r="Y97" i="53"/>
  <c r="K98" i="53"/>
  <c r="U98" i="53"/>
  <c r="BF98" i="53" s="1"/>
  <c r="AB98" i="53"/>
  <c r="BK98" i="53"/>
  <c r="R98" i="53"/>
  <c r="W98" i="53"/>
  <c r="AL97" i="53"/>
  <c r="AP97" i="53"/>
  <c r="AF98" i="51"/>
  <c r="K98" i="51"/>
  <c r="H98" i="51"/>
  <c r="I98" i="51"/>
  <c r="J98" i="51"/>
  <c r="X99" i="65"/>
  <c r="F98" i="51"/>
  <c r="G98" i="51"/>
  <c r="M98" i="51" s="1"/>
  <c r="AG98" i="51"/>
  <c r="E98" i="51"/>
  <c r="AC98" i="51"/>
  <c r="A99" i="51"/>
  <c r="BY97" i="53"/>
  <c r="D99" i="53"/>
  <c r="O98" i="53"/>
  <c r="AX98" i="53" s="1"/>
  <c r="F96" i="53" l="1"/>
  <c r="P97" i="51"/>
  <c r="AT97" i="53"/>
  <c r="AV96" i="53"/>
  <c r="X96" i="53" s="1"/>
  <c r="Z96" i="53" s="1"/>
  <c r="P87" i="53"/>
  <c r="AQ87" i="53" s="1"/>
  <c r="AR87" i="53" s="1"/>
  <c r="W99" i="53"/>
  <c r="R99" i="53"/>
  <c r="U99" i="53"/>
  <c r="BF99" i="53" s="1"/>
  <c r="K99" i="53"/>
  <c r="BK99" i="53"/>
  <c r="AB99" i="53"/>
  <c r="AM100" i="55"/>
  <c r="A101" i="55"/>
  <c r="AK100" i="55"/>
  <c r="Y98" i="53"/>
  <c r="C100" i="51"/>
  <c r="D100" i="51"/>
  <c r="C100" i="53"/>
  <c r="Y100" i="65"/>
  <c r="Z100" i="65" s="1"/>
  <c r="AA100" i="65" s="1"/>
  <c r="G99" i="51"/>
  <c r="M99" i="51" s="1"/>
  <c r="X100" i="65"/>
  <c r="H99" i="51"/>
  <c r="E99" i="51"/>
  <c r="AC99" i="51"/>
  <c r="I99" i="51"/>
  <c r="AG99" i="51"/>
  <c r="F99" i="51"/>
  <c r="AF99" i="51"/>
  <c r="K99" i="51"/>
  <c r="J99" i="51"/>
  <c r="A100" i="51"/>
  <c r="O103" i="51"/>
  <c r="BY98" i="53"/>
  <c r="A99" i="53"/>
  <c r="W100" i="65"/>
  <c r="AL98" i="53"/>
  <c r="AP98" i="53"/>
  <c r="D100" i="53"/>
  <c r="O99" i="53"/>
  <c r="AX99" i="53" s="1"/>
  <c r="AL99" i="55"/>
  <c r="AE99" i="55"/>
  <c r="F97" i="53" l="1"/>
  <c r="P98" i="51"/>
  <c r="AV97" i="53"/>
  <c r="X97" i="53" s="1"/>
  <c r="Z97" i="53" s="1"/>
  <c r="AT98" i="53"/>
  <c r="P88" i="53"/>
  <c r="AQ88" i="53" s="1"/>
  <c r="AR88" i="53" s="1"/>
  <c r="AL99" i="53"/>
  <c r="AP99" i="53"/>
  <c r="AK101" i="55"/>
  <c r="AM101" i="55"/>
  <c r="A102" i="55"/>
  <c r="Y99" i="53"/>
  <c r="R100" i="53"/>
  <c r="K100" i="53"/>
  <c r="U100" i="53"/>
  <c r="BF100" i="53" s="1"/>
  <c r="AB100" i="53"/>
  <c r="W100" i="53"/>
  <c r="BK100" i="53"/>
  <c r="O100" i="53"/>
  <c r="AX100" i="53" s="1"/>
  <c r="D101" i="53"/>
  <c r="O104" i="51"/>
  <c r="C101" i="51"/>
  <c r="D101" i="51"/>
  <c r="C101" i="53"/>
  <c r="Y101" i="65"/>
  <c r="Z101" i="65" s="1"/>
  <c r="AA101" i="65" s="1"/>
  <c r="I100" i="51"/>
  <c r="K100" i="51"/>
  <c r="X101" i="65"/>
  <c r="J100" i="51"/>
  <c r="E100" i="51"/>
  <c r="AC100" i="51"/>
  <c r="G100" i="51"/>
  <c r="M100" i="51" s="1"/>
  <c r="AF100" i="51"/>
  <c r="AG100" i="51"/>
  <c r="F100" i="51"/>
  <c r="H100" i="51"/>
  <c r="A101" i="51"/>
  <c r="W101" i="65"/>
  <c r="A100" i="53"/>
  <c r="BY99" i="53"/>
  <c r="AL100" i="55"/>
  <c r="AE100" i="55"/>
  <c r="P99" i="51" l="1"/>
  <c r="F98" i="53"/>
  <c r="AT99" i="53"/>
  <c r="AV98" i="53"/>
  <c r="X98" i="53" s="1"/>
  <c r="Z98" i="53" s="1"/>
  <c r="F101" i="51"/>
  <c r="H101" i="51"/>
  <c r="X102" i="65"/>
  <c r="K101" i="51"/>
  <c r="E101" i="51"/>
  <c r="AG101" i="51"/>
  <c r="I101" i="51"/>
  <c r="AC101" i="51"/>
  <c r="J101" i="51"/>
  <c r="AF101" i="51"/>
  <c r="G101" i="51"/>
  <c r="M101" i="51" s="1"/>
  <c r="A102" i="51"/>
  <c r="AM102" i="55"/>
  <c r="A103" i="55"/>
  <c r="AK102" i="55"/>
  <c r="O101" i="53"/>
  <c r="AX101" i="53" s="1"/>
  <c r="D102" i="53"/>
  <c r="AP100" i="53"/>
  <c r="AL100" i="53"/>
  <c r="AL101" i="55"/>
  <c r="AE101" i="55"/>
  <c r="BY100" i="53"/>
  <c r="Y100" i="53"/>
  <c r="BK101" i="53"/>
  <c r="W101" i="53"/>
  <c r="R101" i="53"/>
  <c r="K101" i="53"/>
  <c r="U101" i="53"/>
  <c r="BF101" i="53" s="1"/>
  <c r="AB101" i="53"/>
  <c r="W102" i="65"/>
  <c r="A101" i="53"/>
  <c r="C102" i="51"/>
  <c r="D102" i="51"/>
  <c r="C102" i="53"/>
  <c r="Y102" i="65"/>
  <c r="Z102" i="65" s="1"/>
  <c r="AA102" i="65" s="1"/>
  <c r="P89" i="53"/>
  <c r="AQ89" i="53" s="1"/>
  <c r="AR89" i="53" s="1"/>
  <c r="O105" i="51"/>
  <c r="P100" i="51" l="1"/>
  <c r="F99" i="53"/>
  <c r="AV99" i="53"/>
  <c r="X99" i="53" s="1"/>
  <c r="Z99" i="53" s="1"/>
  <c r="AT100" i="53"/>
  <c r="P90" i="53"/>
  <c r="AQ90" i="53" s="1"/>
  <c r="AR90" i="53" s="1"/>
  <c r="AL102" i="55"/>
  <c r="AE102" i="55"/>
  <c r="R102" i="53"/>
  <c r="U102" i="53"/>
  <c r="BF102" i="53" s="1"/>
  <c r="K102" i="53"/>
  <c r="AB102" i="53"/>
  <c r="W102" i="53"/>
  <c r="BK102" i="53"/>
  <c r="AM103" i="55"/>
  <c r="A104" i="55"/>
  <c r="AK103" i="55"/>
  <c r="C103" i="51"/>
  <c r="D103" i="51"/>
  <c r="C103" i="53"/>
  <c r="Y103" i="65"/>
  <c r="Z103" i="65" s="1"/>
  <c r="AA103" i="65" s="1"/>
  <c r="D103" i="53"/>
  <c r="O102" i="53"/>
  <c r="AX102" i="53" s="1"/>
  <c r="K102" i="51"/>
  <c r="H102" i="51"/>
  <c r="I102" i="51"/>
  <c r="J102" i="51"/>
  <c r="X103" i="65"/>
  <c r="F102" i="51"/>
  <c r="E102" i="51"/>
  <c r="AF102" i="51"/>
  <c r="AC102" i="51"/>
  <c r="G102" i="51"/>
  <c r="M102" i="51" s="1"/>
  <c r="AG102" i="51"/>
  <c r="A103" i="51"/>
  <c r="A102" i="53"/>
  <c r="W103" i="65"/>
  <c r="BY101" i="53"/>
  <c r="AL101" i="53"/>
  <c r="AP101" i="53"/>
  <c r="O106" i="51"/>
  <c r="Y101" i="53"/>
  <c r="F100" i="53" l="1"/>
  <c r="P101" i="51"/>
  <c r="AT101" i="53"/>
  <c r="AV100" i="53"/>
  <c r="X100" i="53" s="1"/>
  <c r="Z100" i="53" s="1"/>
  <c r="P91" i="53"/>
  <c r="AQ91" i="53" s="1"/>
  <c r="AR91" i="53" s="1"/>
  <c r="AM104" i="55"/>
  <c r="AK104" i="55"/>
  <c r="A105" i="55"/>
  <c r="Y102" i="53"/>
  <c r="O107" i="51"/>
  <c r="D104" i="53"/>
  <c r="O103" i="53"/>
  <c r="AX103" i="53" s="1"/>
  <c r="BY102" i="53"/>
  <c r="A103" i="53"/>
  <c r="W104" i="65"/>
  <c r="K103" i="53"/>
  <c r="U103" i="53"/>
  <c r="BF103" i="53" s="1"/>
  <c r="AB103" i="53"/>
  <c r="BK103" i="53"/>
  <c r="R103" i="53"/>
  <c r="W103" i="53"/>
  <c r="C104" i="51"/>
  <c r="D104" i="51"/>
  <c r="C104" i="53"/>
  <c r="Y104" i="65"/>
  <c r="Z104" i="65" s="1"/>
  <c r="AA104" i="65" s="1"/>
  <c r="AP102" i="53"/>
  <c r="AL102" i="53"/>
  <c r="F103" i="51"/>
  <c r="AG103" i="51"/>
  <c r="J103" i="51"/>
  <c r="K103" i="51"/>
  <c r="G103" i="51"/>
  <c r="M103" i="51" s="1"/>
  <c r="E103" i="51"/>
  <c r="H103" i="51"/>
  <c r="I103" i="51"/>
  <c r="AF103" i="51"/>
  <c r="AC103" i="51"/>
  <c r="X104" i="65"/>
  <c r="A104" i="51"/>
  <c r="AE103" i="55"/>
  <c r="AL103" i="55"/>
  <c r="F101" i="53" l="1"/>
  <c r="P102" i="51"/>
  <c r="AV101" i="53"/>
  <c r="X101" i="53" s="1"/>
  <c r="Z101" i="53" s="1"/>
  <c r="AT102" i="53"/>
  <c r="P92" i="53"/>
  <c r="AQ92" i="53" s="1"/>
  <c r="AR92" i="53" s="1"/>
  <c r="W105" i="65"/>
  <c r="A104" i="53"/>
  <c r="BY103" i="53"/>
  <c r="AK105" i="55"/>
  <c r="AM105" i="55"/>
  <c r="A106" i="55"/>
  <c r="AL103" i="53"/>
  <c r="AP103" i="53"/>
  <c r="Y103" i="53"/>
  <c r="AL104" i="55"/>
  <c r="AE104" i="55"/>
  <c r="AB104" i="53"/>
  <c r="BK104" i="53"/>
  <c r="W104" i="53"/>
  <c r="R104" i="53"/>
  <c r="K104" i="53"/>
  <c r="U104" i="53"/>
  <c r="BF104" i="53" s="1"/>
  <c r="O104" i="53"/>
  <c r="AX104" i="53" s="1"/>
  <c r="D105" i="53"/>
  <c r="D105" i="51"/>
  <c r="C105" i="51"/>
  <c r="C105" i="53"/>
  <c r="Y105" i="65"/>
  <c r="Z105" i="65" s="1"/>
  <c r="AA105" i="65" s="1"/>
  <c r="O108" i="51"/>
  <c r="X105" i="65"/>
  <c r="AC104" i="51"/>
  <c r="G104" i="51"/>
  <c r="M104" i="51" s="1"/>
  <c r="AF104" i="51"/>
  <c r="AG104" i="51"/>
  <c r="H104" i="51"/>
  <c r="F104" i="51"/>
  <c r="I104" i="51"/>
  <c r="E104" i="51"/>
  <c r="J104" i="51"/>
  <c r="K104" i="51"/>
  <c r="A105" i="51"/>
  <c r="P103" i="51" l="1"/>
  <c r="F102" i="53"/>
  <c r="AT103" i="53"/>
  <c r="AV102" i="53"/>
  <c r="X102" i="53" s="1"/>
  <c r="Z102" i="53" s="1"/>
  <c r="P93" i="53"/>
  <c r="AQ93" i="53" s="1"/>
  <c r="AR93" i="53" s="1"/>
  <c r="AM106" i="55"/>
  <c r="A107" i="55"/>
  <c r="AK106" i="55"/>
  <c r="K105" i="53"/>
  <c r="U105" i="53"/>
  <c r="BF105" i="53" s="1"/>
  <c r="AB105" i="53"/>
  <c r="BK105" i="53"/>
  <c r="W105" i="53"/>
  <c r="R105" i="53"/>
  <c r="F105" i="51"/>
  <c r="H105" i="51"/>
  <c r="X106" i="65"/>
  <c r="K105" i="51"/>
  <c r="E105" i="51"/>
  <c r="AC105" i="51"/>
  <c r="I105" i="51"/>
  <c r="AG105" i="51"/>
  <c r="J105" i="51"/>
  <c r="AF105" i="51"/>
  <c r="G105" i="51"/>
  <c r="M105" i="51" s="1"/>
  <c r="A106" i="51"/>
  <c r="AP104" i="53"/>
  <c r="AL104" i="53"/>
  <c r="C106" i="51"/>
  <c r="D106" i="51"/>
  <c r="C106" i="53"/>
  <c r="Y106" i="65"/>
  <c r="Z106" i="65" s="1"/>
  <c r="AA106" i="65" s="1"/>
  <c r="Y104" i="53"/>
  <c r="AL105" i="55"/>
  <c r="AE105" i="55"/>
  <c r="BY104" i="53"/>
  <c r="D106" i="53"/>
  <c r="O105" i="53"/>
  <c r="AX105" i="53" s="1"/>
  <c r="O109" i="51"/>
  <c r="A105" i="53"/>
  <c r="W106" i="65"/>
  <c r="F103" i="53" l="1"/>
  <c r="P104" i="51"/>
  <c r="AV103" i="53"/>
  <c r="X103" i="53" s="1"/>
  <c r="Z103" i="53" s="1"/>
  <c r="AT104" i="53"/>
  <c r="P94" i="53"/>
  <c r="AQ94" i="53" s="1"/>
  <c r="AR94" i="53" s="1"/>
  <c r="O110" i="51"/>
  <c r="U106" i="53"/>
  <c r="BF106" i="53" s="1"/>
  <c r="K106" i="53"/>
  <c r="AB106" i="53"/>
  <c r="BK106" i="53"/>
  <c r="R106" i="53"/>
  <c r="W106" i="53"/>
  <c r="C107" i="51"/>
  <c r="C107" i="53"/>
  <c r="Y107" i="65"/>
  <c r="Z107" i="65" s="1"/>
  <c r="AA107" i="65" s="1"/>
  <c r="D107" i="51"/>
  <c r="X107" i="65"/>
  <c r="AC106" i="51"/>
  <c r="G106" i="51"/>
  <c r="M106" i="51" s="1"/>
  <c r="AG106" i="51"/>
  <c r="AF106" i="51"/>
  <c r="K106" i="51"/>
  <c r="H106" i="51"/>
  <c r="I106" i="51"/>
  <c r="E106" i="51"/>
  <c r="F106" i="51"/>
  <c r="J106" i="51"/>
  <c r="A107" i="51"/>
  <c r="Y105" i="53"/>
  <c r="AE106" i="55"/>
  <c r="AL106" i="55"/>
  <c r="D107" i="53"/>
  <c r="O106" i="53"/>
  <c r="AX106" i="53" s="1"/>
  <c r="AK107" i="55"/>
  <c r="AM107" i="55"/>
  <c r="A108" i="55"/>
  <c r="W107" i="65"/>
  <c r="A106" i="53"/>
  <c r="AL105" i="53"/>
  <c r="AP105" i="53"/>
  <c r="BY105" i="53"/>
  <c r="F104" i="53" l="1"/>
  <c r="P105" i="51"/>
  <c r="F105" i="53" s="1"/>
  <c r="AV104" i="53"/>
  <c r="X104" i="53" s="1"/>
  <c r="Z104" i="53" s="1"/>
  <c r="AT105" i="53"/>
  <c r="AM108" i="55"/>
  <c r="A109" i="55"/>
  <c r="AK108" i="55"/>
  <c r="AL106" i="53"/>
  <c r="AP106" i="53"/>
  <c r="BY106" i="53"/>
  <c r="G107" i="51"/>
  <c r="M107" i="51" s="1"/>
  <c r="E107" i="51"/>
  <c r="H107" i="51"/>
  <c r="X108" i="65"/>
  <c r="AC107" i="51"/>
  <c r="I107" i="51"/>
  <c r="AF107" i="51"/>
  <c r="F107" i="51"/>
  <c r="AG107" i="51"/>
  <c r="K107" i="51"/>
  <c r="J107" i="51"/>
  <c r="A108" i="51"/>
  <c r="O111" i="51"/>
  <c r="AL107" i="55"/>
  <c r="AE107" i="55"/>
  <c r="D108" i="51"/>
  <c r="C108" i="51"/>
  <c r="C108" i="53"/>
  <c r="Y108" i="65"/>
  <c r="Z108" i="65" s="1"/>
  <c r="AA108" i="65" s="1"/>
  <c r="Y106" i="53"/>
  <c r="K107" i="53"/>
  <c r="AB107" i="53"/>
  <c r="BK107" i="53"/>
  <c r="W107" i="53"/>
  <c r="R107" i="53"/>
  <c r="U107" i="53"/>
  <c r="BF107" i="53" s="1"/>
  <c r="P95" i="53"/>
  <c r="AQ95" i="53" s="1"/>
  <c r="AR95" i="53" s="1"/>
  <c r="D108" i="53"/>
  <c r="O107" i="53"/>
  <c r="AX107" i="53" s="1"/>
  <c r="A107" i="53"/>
  <c r="W108" i="65"/>
  <c r="P106" i="51" l="1"/>
  <c r="AT106" i="53"/>
  <c r="AV105" i="53"/>
  <c r="X105" i="53" s="1"/>
  <c r="Z105" i="53" s="1"/>
  <c r="C109" i="51"/>
  <c r="C109" i="53"/>
  <c r="Y109" i="65"/>
  <c r="Z109" i="65" s="1"/>
  <c r="AA109" i="65" s="1"/>
  <c r="D109" i="51"/>
  <c r="O112" i="51"/>
  <c r="P96" i="53"/>
  <c r="AQ96" i="53" s="1"/>
  <c r="AR96" i="53" s="1"/>
  <c r="BY107" i="53"/>
  <c r="A108" i="53"/>
  <c r="W109" i="65"/>
  <c r="AE108" i="55"/>
  <c r="AL108" i="55"/>
  <c r="Y107" i="53"/>
  <c r="O108" i="53"/>
  <c r="AX108" i="53" s="1"/>
  <c r="D109" i="53"/>
  <c r="K108" i="53"/>
  <c r="U108" i="53"/>
  <c r="BF108" i="53" s="1"/>
  <c r="AB108" i="53"/>
  <c r="BK108" i="53"/>
  <c r="R108" i="53"/>
  <c r="W108" i="53"/>
  <c r="AL107" i="53"/>
  <c r="AP107" i="53"/>
  <c r="AK109" i="55"/>
  <c r="A110" i="55"/>
  <c r="AM109" i="55"/>
  <c r="X109" i="65"/>
  <c r="AC108" i="51"/>
  <c r="G108" i="51"/>
  <c r="M108" i="51" s="1"/>
  <c r="AG108" i="51"/>
  <c r="AF108" i="51"/>
  <c r="H108" i="51"/>
  <c r="F108" i="51"/>
  <c r="I108" i="51"/>
  <c r="E108" i="51"/>
  <c r="J108" i="51"/>
  <c r="K108" i="51"/>
  <c r="A109" i="51"/>
  <c r="F106" i="53" l="1"/>
  <c r="P107" i="51"/>
  <c r="AT107" i="53"/>
  <c r="AV106" i="53"/>
  <c r="X106" i="53" s="1"/>
  <c r="Z106" i="53" s="1"/>
  <c r="P97" i="53"/>
  <c r="AQ97" i="53" s="1"/>
  <c r="AR97" i="53" s="1"/>
  <c r="BY108" i="53"/>
  <c r="Y108" i="53"/>
  <c r="AM110" i="55"/>
  <c r="A111" i="55"/>
  <c r="AK110" i="55"/>
  <c r="D110" i="51"/>
  <c r="C110" i="53"/>
  <c r="Y110" i="65"/>
  <c r="Z110" i="65" s="1"/>
  <c r="AA110" i="65" s="1"/>
  <c r="C110" i="51"/>
  <c r="AL109" i="55"/>
  <c r="AE109" i="55"/>
  <c r="K109" i="53"/>
  <c r="AB109" i="53"/>
  <c r="BK109" i="53"/>
  <c r="R109" i="53"/>
  <c r="U109" i="53"/>
  <c r="BF109" i="53" s="1"/>
  <c r="W109" i="53"/>
  <c r="A109" i="53"/>
  <c r="W110" i="65"/>
  <c r="AP108" i="53"/>
  <c r="AL108" i="53"/>
  <c r="O109" i="53"/>
  <c r="AX109" i="53" s="1"/>
  <c r="D110" i="53"/>
  <c r="I109" i="51"/>
  <c r="AG109" i="51"/>
  <c r="J109" i="51"/>
  <c r="AF109" i="51"/>
  <c r="G109" i="51"/>
  <c r="M109" i="51" s="1"/>
  <c r="F109" i="51"/>
  <c r="H109" i="51"/>
  <c r="E109" i="51"/>
  <c r="AC109" i="51"/>
  <c r="X110" i="65"/>
  <c r="K109" i="51"/>
  <c r="A110" i="51"/>
  <c r="O113" i="51"/>
  <c r="P108" i="51" l="1"/>
  <c r="F107" i="53"/>
  <c r="AT108" i="53"/>
  <c r="AV107" i="53"/>
  <c r="X107" i="53" s="1"/>
  <c r="Z107" i="53" s="1"/>
  <c r="P98" i="53"/>
  <c r="AQ98" i="53" s="1"/>
  <c r="AR98" i="53" s="1"/>
  <c r="O110" i="53"/>
  <c r="AX110" i="53" s="1"/>
  <c r="D111" i="53"/>
  <c r="K110" i="51"/>
  <c r="H110" i="51"/>
  <c r="J110" i="51"/>
  <c r="X111" i="65"/>
  <c r="F110" i="51"/>
  <c r="E110" i="51"/>
  <c r="AC110" i="51"/>
  <c r="AG110" i="51"/>
  <c r="I110" i="51"/>
  <c r="AF110" i="51"/>
  <c r="G110" i="51"/>
  <c r="M110" i="51" s="1"/>
  <c r="A111" i="51"/>
  <c r="O114" i="51"/>
  <c r="AL109" i="53"/>
  <c r="AP109" i="53"/>
  <c r="BK110" i="53"/>
  <c r="W110" i="53"/>
  <c r="K110" i="53"/>
  <c r="U110" i="53"/>
  <c r="BF110" i="53" s="1"/>
  <c r="AB110" i="53"/>
  <c r="R110" i="53"/>
  <c r="Y109" i="53"/>
  <c r="D111" i="51"/>
  <c r="C111" i="53"/>
  <c r="Y111" i="65"/>
  <c r="Z111" i="65" s="1"/>
  <c r="AA111" i="65" s="1"/>
  <c r="C111" i="51"/>
  <c r="W111" i="65"/>
  <c r="A110" i="53"/>
  <c r="AL110" i="55"/>
  <c r="AE110" i="55"/>
  <c r="A112" i="55"/>
  <c r="AK111" i="55"/>
  <c r="AM111" i="55"/>
  <c r="BY109" i="53"/>
  <c r="F108" i="53" l="1"/>
  <c r="P109" i="51"/>
  <c r="AT109" i="53"/>
  <c r="AV108" i="53"/>
  <c r="X108" i="53" s="1"/>
  <c r="Z108" i="53" s="1"/>
  <c r="P99" i="53"/>
  <c r="AQ99" i="53" s="1"/>
  <c r="AR99" i="53" s="1"/>
  <c r="G111" i="51"/>
  <c r="M111" i="51" s="1"/>
  <c r="I111" i="51"/>
  <c r="AC111" i="51"/>
  <c r="F111" i="51"/>
  <c r="AG111" i="51"/>
  <c r="X112" i="65"/>
  <c r="AF111" i="51"/>
  <c r="K111" i="51"/>
  <c r="H111" i="51"/>
  <c r="J111" i="51"/>
  <c r="E111" i="51"/>
  <c r="A112" i="51"/>
  <c r="Y110" i="53"/>
  <c r="D112" i="53"/>
  <c r="O111" i="53"/>
  <c r="AX111" i="53" s="1"/>
  <c r="K111" i="53"/>
  <c r="BK111" i="53"/>
  <c r="W111" i="53"/>
  <c r="R111" i="53"/>
  <c r="U111" i="53"/>
  <c r="BF111" i="53" s="1"/>
  <c r="AB111" i="53"/>
  <c r="O115" i="51"/>
  <c r="D112" i="51"/>
  <c r="C112" i="51"/>
  <c r="Y112" i="65"/>
  <c r="Z112" i="65" s="1"/>
  <c r="AA112" i="65" s="1"/>
  <c r="C112" i="53"/>
  <c r="A111" i="53"/>
  <c r="W112" i="65"/>
  <c r="AL111" i="55"/>
  <c r="AE111" i="55"/>
  <c r="AP110" i="53"/>
  <c r="AL110" i="53"/>
  <c r="A113" i="55"/>
  <c r="AK112" i="55"/>
  <c r="AM112" i="55"/>
  <c r="BY110" i="53"/>
  <c r="F109" i="53" l="1"/>
  <c r="P110" i="51"/>
  <c r="AV109" i="53"/>
  <c r="X109" i="53" s="1"/>
  <c r="Z109" i="53" s="1"/>
  <c r="AT110" i="53"/>
  <c r="P100" i="53"/>
  <c r="AQ100" i="53" s="1"/>
  <c r="AR100" i="53" s="1"/>
  <c r="A112" i="53"/>
  <c r="W113" i="65"/>
  <c r="F112" i="51"/>
  <c r="E112" i="51"/>
  <c r="K112" i="51"/>
  <c r="X113" i="65"/>
  <c r="J112" i="51"/>
  <c r="G112" i="51"/>
  <c r="M112" i="51" s="1"/>
  <c r="AC112" i="51"/>
  <c r="H112" i="51"/>
  <c r="AF112" i="51"/>
  <c r="I112" i="51"/>
  <c r="AG112" i="51"/>
  <c r="A113" i="51"/>
  <c r="O116" i="51"/>
  <c r="BY111" i="53"/>
  <c r="C113" i="51"/>
  <c r="C113" i="53"/>
  <c r="Y113" i="65"/>
  <c r="Z113" i="65" s="1"/>
  <c r="AA113" i="65" s="1"/>
  <c r="D113" i="51"/>
  <c r="AL111" i="53"/>
  <c r="AP111" i="53"/>
  <c r="Y111" i="53"/>
  <c r="AE112" i="55"/>
  <c r="AL112" i="55"/>
  <c r="AM113" i="55"/>
  <c r="AK113" i="55"/>
  <c r="A114" i="55"/>
  <c r="AB112" i="53"/>
  <c r="W112" i="53"/>
  <c r="R112" i="53"/>
  <c r="U112" i="53"/>
  <c r="BF112" i="53" s="1"/>
  <c r="K112" i="53"/>
  <c r="BK112" i="53"/>
  <c r="D113" i="53"/>
  <c r="O112" i="53"/>
  <c r="AX112" i="53" s="1"/>
  <c r="P111" i="51" l="1"/>
  <c r="F110" i="53"/>
  <c r="AT111" i="53"/>
  <c r="AV110" i="53"/>
  <c r="X110" i="53" s="1"/>
  <c r="Z110" i="53" s="1"/>
  <c r="P101" i="53"/>
  <c r="AQ101" i="53" s="1"/>
  <c r="AR101" i="53" s="1"/>
  <c r="AB113" i="53"/>
  <c r="W113" i="53"/>
  <c r="R113" i="53"/>
  <c r="U113" i="53"/>
  <c r="BF113" i="53" s="1"/>
  <c r="K113" i="53"/>
  <c r="BK113" i="53"/>
  <c r="W114" i="65"/>
  <c r="A113" i="53"/>
  <c r="X114" i="65"/>
  <c r="K113" i="51"/>
  <c r="E113" i="51"/>
  <c r="AC113" i="51"/>
  <c r="J113" i="51"/>
  <c r="AF113" i="51"/>
  <c r="G113" i="51"/>
  <c r="M113" i="51" s="1"/>
  <c r="H113" i="51"/>
  <c r="I113" i="51"/>
  <c r="F113" i="51"/>
  <c r="AG113" i="51"/>
  <c r="A114" i="51"/>
  <c r="Y112" i="53"/>
  <c r="D114" i="53"/>
  <c r="O113" i="53"/>
  <c r="AX113" i="53" s="1"/>
  <c r="AM114" i="55"/>
  <c r="A115" i="55"/>
  <c r="AK114" i="55"/>
  <c r="BY112" i="53"/>
  <c r="AL113" i="55"/>
  <c r="AE113" i="55"/>
  <c r="Y114" i="65"/>
  <c r="Z114" i="65" s="1"/>
  <c r="AA114" i="65" s="1"/>
  <c r="C114" i="51"/>
  <c r="C114" i="53"/>
  <c r="D114" i="51"/>
  <c r="O117" i="51"/>
  <c r="AP112" i="53"/>
  <c r="AL112" i="53"/>
  <c r="F111" i="53" l="1"/>
  <c r="P112" i="51"/>
  <c r="AV111" i="53"/>
  <c r="X111" i="53" s="1"/>
  <c r="Z111" i="53" s="1"/>
  <c r="AT112" i="53"/>
  <c r="P102" i="53"/>
  <c r="AQ102" i="53" s="1"/>
  <c r="AR102" i="53" s="1"/>
  <c r="D115" i="53"/>
  <c r="O114" i="53"/>
  <c r="AX114" i="53" s="1"/>
  <c r="Y113" i="53"/>
  <c r="C115" i="51"/>
  <c r="D115" i="51"/>
  <c r="Y115" i="65"/>
  <c r="Z115" i="65" s="1"/>
  <c r="AA115" i="65" s="1"/>
  <c r="C115" i="53"/>
  <c r="BY113" i="53"/>
  <c r="O118" i="51"/>
  <c r="K114" i="53"/>
  <c r="AB114" i="53"/>
  <c r="BK114" i="53"/>
  <c r="R114" i="53"/>
  <c r="U114" i="53"/>
  <c r="BF114" i="53" s="1"/>
  <c r="W114" i="53"/>
  <c r="AL113" i="53"/>
  <c r="AP113" i="53"/>
  <c r="AF114" i="51"/>
  <c r="K114" i="51"/>
  <c r="I114" i="51"/>
  <c r="J114" i="51"/>
  <c r="X115" i="65"/>
  <c r="F114" i="51"/>
  <c r="G114" i="51"/>
  <c r="M114" i="51" s="1"/>
  <c r="AG114" i="51"/>
  <c r="E114" i="51"/>
  <c r="H114" i="51"/>
  <c r="AC114" i="51"/>
  <c r="A115" i="51"/>
  <c r="A116" i="55"/>
  <c r="AK115" i="55"/>
  <c r="AM115" i="55"/>
  <c r="A114" i="53"/>
  <c r="W115" i="65"/>
  <c r="AL114" i="55"/>
  <c r="AE114" i="55"/>
  <c r="F112" i="53" l="1"/>
  <c r="P113" i="51"/>
  <c r="AV112" i="53"/>
  <c r="X112" i="53" s="1"/>
  <c r="Z112" i="53" s="1"/>
  <c r="AT113" i="53"/>
  <c r="P103" i="53"/>
  <c r="AQ103" i="53" s="1"/>
  <c r="AR103" i="53" s="1"/>
  <c r="F115" i="51"/>
  <c r="AG115" i="51"/>
  <c r="J115" i="51"/>
  <c r="G115" i="51"/>
  <c r="M115" i="51" s="1"/>
  <c r="X116" i="65"/>
  <c r="H115" i="51"/>
  <c r="I115" i="51"/>
  <c r="AF115" i="51"/>
  <c r="E115" i="51"/>
  <c r="K115" i="51"/>
  <c r="AC115" i="51"/>
  <c r="A116" i="51"/>
  <c r="Y114" i="53"/>
  <c r="AE115" i="55"/>
  <c r="AL115" i="55"/>
  <c r="AP114" i="53"/>
  <c r="AL114" i="53"/>
  <c r="BY114" i="53"/>
  <c r="A117" i="55"/>
  <c r="AK116" i="55"/>
  <c r="AM116" i="55"/>
  <c r="W115" i="53"/>
  <c r="R115" i="53"/>
  <c r="K115" i="53"/>
  <c r="U115" i="53"/>
  <c r="BF115" i="53" s="1"/>
  <c r="BK115" i="53"/>
  <c r="AB115" i="53"/>
  <c r="O115" i="53"/>
  <c r="AX115" i="53" s="1"/>
  <c r="D116" i="53"/>
  <c r="A115" i="53"/>
  <c r="W116" i="65"/>
  <c r="O119" i="51"/>
  <c r="C116" i="51"/>
  <c r="D116" i="51"/>
  <c r="C116" i="53"/>
  <c r="Y116" i="65"/>
  <c r="Z116" i="65" s="1"/>
  <c r="AA116" i="65" s="1"/>
  <c r="F113" i="53" l="1"/>
  <c r="P114" i="51"/>
  <c r="AT114" i="53"/>
  <c r="AV113" i="53"/>
  <c r="X113" i="53" s="1"/>
  <c r="Z113" i="53" s="1"/>
  <c r="P104" i="53"/>
  <c r="AQ104" i="53" s="1"/>
  <c r="AR104" i="53" s="1"/>
  <c r="O116" i="53"/>
  <c r="AX116" i="53" s="1"/>
  <c r="D117" i="53"/>
  <c r="Y115" i="53"/>
  <c r="BY115" i="53"/>
  <c r="A116" i="53"/>
  <c r="W117" i="65"/>
  <c r="AL115" i="53"/>
  <c r="AP115" i="53"/>
  <c r="BK116" i="53"/>
  <c r="W116" i="53"/>
  <c r="K116" i="53"/>
  <c r="U116" i="53"/>
  <c r="BF116" i="53" s="1"/>
  <c r="AB116" i="53"/>
  <c r="R116" i="53"/>
  <c r="AL116" i="55"/>
  <c r="AE116" i="55"/>
  <c r="D117" i="51"/>
  <c r="C117" i="53"/>
  <c r="Y117" i="65"/>
  <c r="Z117" i="65" s="1"/>
  <c r="AA117" i="65" s="1"/>
  <c r="C117" i="51"/>
  <c r="E116" i="51"/>
  <c r="AC116" i="51"/>
  <c r="G116" i="51"/>
  <c r="M116" i="51" s="1"/>
  <c r="AG116" i="51"/>
  <c r="H116" i="51"/>
  <c r="F116" i="51"/>
  <c r="I116" i="51"/>
  <c r="X117" i="65"/>
  <c r="J116" i="51"/>
  <c r="K116" i="51"/>
  <c r="AF116" i="51"/>
  <c r="A117" i="51"/>
  <c r="A118" i="55"/>
  <c r="AK117" i="55"/>
  <c r="AM117" i="55"/>
  <c r="O120" i="51"/>
  <c r="F114" i="53" l="1"/>
  <c r="P115" i="51"/>
  <c r="AT115" i="53"/>
  <c r="AV114" i="53"/>
  <c r="X114" i="53" s="1"/>
  <c r="Z114" i="53" s="1"/>
  <c r="P105" i="53"/>
  <c r="AQ105" i="53" s="1"/>
  <c r="AR105" i="53" s="1"/>
  <c r="W117" i="53"/>
  <c r="BK117" i="53"/>
  <c r="U117" i="53"/>
  <c r="BF117" i="53" s="1"/>
  <c r="R117" i="53"/>
  <c r="K117" i="53"/>
  <c r="AB117" i="53"/>
  <c r="W118" i="65"/>
  <c r="A117" i="53"/>
  <c r="C118" i="51"/>
  <c r="D118" i="51"/>
  <c r="Y118" i="65"/>
  <c r="Z118" i="65" s="1"/>
  <c r="AA118" i="65" s="1"/>
  <c r="C118" i="53"/>
  <c r="BY116" i="53"/>
  <c r="O117" i="53"/>
  <c r="AX117" i="53" s="1"/>
  <c r="D118" i="53"/>
  <c r="AP116" i="53"/>
  <c r="AL116" i="53"/>
  <c r="O121" i="51"/>
  <c r="AM118" i="55"/>
  <c r="A119" i="55"/>
  <c r="AK118" i="55"/>
  <c r="AE117" i="55"/>
  <c r="AL117" i="55"/>
  <c r="F117" i="51"/>
  <c r="X118" i="65"/>
  <c r="K117" i="51"/>
  <c r="E117" i="51"/>
  <c r="AC117" i="51"/>
  <c r="I117" i="51"/>
  <c r="AF117" i="51"/>
  <c r="G117" i="51"/>
  <c r="M117" i="51" s="1"/>
  <c r="J117" i="51"/>
  <c r="H117" i="51"/>
  <c r="AG117" i="51"/>
  <c r="A118" i="51"/>
  <c r="Y116" i="53"/>
  <c r="F115" i="53" l="1"/>
  <c r="P116" i="51"/>
  <c r="AV115" i="53"/>
  <c r="X115" i="53" s="1"/>
  <c r="Z115" i="53" s="1"/>
  <c r="AT116" i="53"/>
  <c r="P106" i="53"/>
  <c r="AQ106" i="53" s="1"/>
  <c r="AR106" i="53" s="1"/>
  <c r="R118" i="53"/>
  <c r="K118" i="53"/>
  <c r="U118" i="53"/>
  <c r="BF118" i="53" s="1"/>
  <c r="AB118" i="53"/>
  <c r="BK118" i="53"/>
  <c r="W118" i="53"/>
  <c r="AL118" i="55"/>
  <c r="AE118" i="55"/>
  <c r="D119" i="53"/>
  <c r="O118" i="53"/>
  <c r="AX118" i="53" s="1"/>
  <c r="D119" i="51"/>
  <c r="C119" i="51"/>
  <c r="C119" i="53"/>
  <c r="Y119" i="65"/>
  <c r="Z119" i="65" s="1"/>
  <c r="AA119" i="65" s="1"/>
  <c r="Y117" i="53"/>
  <c r="A120" i="55"/>
  <c r="AK119" i="55"/>
  <c r="AM119" i="55"/>
  <c r="H118" i="51"/>
  <c r="X119" i="65"/>
  <c r="AC118" i="51"/>
  <c r="G118" i="51"/>
  <c r="M118" i="51" s="1"/>
  <c r="K118" i="51"/>
  <c r="I118" i="51"/>
  <c r="J118" i="51"/>
  <c r="F118" i="51"/>
  <c r="E118" i="51"/>
  <c r="AF118" i="51"/>
  <c r="AG118" i="51"/>
  <c r="A119" i="51"/>
  <c r="AL117" i="53"/>
  <c r="AP117" i="53"/>
  <c r="BY117" i="53"/>
  <c r="A118" i="53"/>
  <c r="W119" i="65"/>
  <c r="O122" i="51"/>
  <c r="F116" i="53" l="1"/>
  <c r="P117" i="51"/>
  <c r="AV116" i="53"/>
  <c r="X116" i="53" s="1"/>
  <c r="Z116" i="53" s="1"/>
  <c r="AT117" i="53"/>
  <c r="P107" i="53"/>
  <c r="AQ107" i="53" s="1"/>
  <c r="AR107" i="53" s="1"/>
  <c r="D120" i="51"/>
  <c r="C120" i="51"/>
  <c r="C120" i="53"/>
  <c r="Y120" i="65"/>
  <c r="Z120" i="65" s="1"/>
  <c r="AA120" i="65" s="1"/>
  <c r="AL119" i="55"/>
  <c r="AE119" i="55"/>
  <c r="AM120" i="55"/>
  <c r="A121" i="55"/>
  <c r="AK120" i="55"/>
  <c r="O119" i="53"/>
  <c r="AX119" i="53" s="1"/>
  <c r="D120" i="53"/>
  <c r="W120" i="65"/>
  <c r="A119" i="53"/>
  <c r="AP118" i="53"/>
  <c r="AL118" i="53"/>
  <c r="Y118" i="53"/>
  <c r="O123" i="51"/>
  <c r="W119" i="53"/>
  <c r="U119" i="53"/>
  <c r="BF119" i="53" s="1"/>
  <c r="K119" i="53"/>
  <c r="AB119" i="53"/>
  <c r="BK119" i="53"/>
  <c r="R119" i="53"/>
  <c r="BY118" i="53"/>
  <c r="G119" i="51"/>
  <c r="M119" i="51" s="1"/>
  <c r="I119" i="51"/>
  <c r="AC119" i="51"/>
  <c r="F119" i="51"/>
  <c r="J119" i="51"/>
  <c r="K119" i="51"/>
  <c r="X120" i="65"/>
  <c r="H119" i="51"/>
  <c r="E119" i="51"/>
  <c r="AG119" i="51"/>
  <c r="AF119" i="51"/>
  <c r="A120" i="51"/>
  <c r="F117" i="53" l="1"/>
  <c r="P118" i="51"/>
  <c r="AV117" i="53"/>
  <c r="X117" i="53" s="1"/>
  <c r="Z117" i="53" s="1"/>
  <c r="AT118" i="53"/>
  <c r="P108" i="53"/>
  <c r="AQ108" i="53" s="1"/>
  <c r="AR108" i="53" s="1"/>
  <c r="O124" i="51"/>
  <c r="BY119" i="53"/>
  <c r="W121" i="65"/>
  <c r="A120" i="53"/>
  <c r="Y119" i="53"/>
  <c r="O120" i="53"/>
  <c r="AX120" i="53" s="1"/>
  <c r="D121" i="53"/>
  <c r="R120" i="53"/>
  <c r="K120" i="53"/>
  <c r="U120" i="53"/>
  <c r="BF120" i="53" s="1"/>
  <c r="AB120" i="53"/>
  <c r="BK120" i="53"/>
  <c r="W120" i="53"/>
  <c r="X121" i="65"/>
  <c r="J120" i="51"/>
  <c r="G120" i="51"/>
  <c r="M120" i="51" s="1"/>
  <c r="AC120" i="51"/>
  <c r="AG120" i="51"/>
  <c r="H120" i="51"/>
  <c r="AF120" i="51"/>
  <c r="F120" i="51"/>
  <c r="I120" i="51"/>
  <c r="E120" i="51"/>
  <c r="K120" i="51"/>
  <c r="A121" i="51"/>
  <c r="C121" i="53"/>
  <c r="Y121" i="65"/>
  <c r="Z121" i="65" s="1"/>
  <c r="AA121" i="65" s="1"/>
  <c r="C121" i="51"/>
  <c r="D121" i="51"/>
  <c r="AP119" i="53"/>
  <c r="AL119" i="53"/>
  <c r="AL120" i="55"/>
  <c r="AE120" i="55"/>
  <c r="AM121" i="55"/>
  <c r="AK121" i="55"/>
  <c r="A122" i="55"/>
  <c r="F118" i="53" l="1"/>
  <c r="P119" i="51"/>
  <c r="AT119" i="53"/>
  <c r="AV118" i="53"/>
  <c r="X118" i="53" s="1"/>
  <c r="Z118" i="53" s="1"/>
  <c r="P109" i="53"/>
  <c r="AQ109" i="53" s="1"/>
  <c r="AR109" i="53" s="1"/>
  <c r="O125" i="51"/>
  <c r="F121" i="51"/>
  <c r="E121" i="51"/>
  <c r="H121" i="51"/>
  <c r="X122" i="65"/>
  <c r="K121" i="51"/>
  <c r="I121" i="51"/>
  <c r="AC121" i="51"/>
  <c r="J121" i="51"/>
  <c r="AF121" i="51"/>
  <c r="G121" i="51"/>
  <c r="M121" i="51" s="1"/>
  <c r="AG121" i="51"/>
  <c r="A122" i="51"/>
  <c r="K121" i="53"/>
  <c r="U121" i="53"/>
  <c r="BF121" i="53" s="1"/>
  <c r="AB121" i="53"/>
  <c r="BK121" i="53"/>
  <c r="R121" i="53"/>
  <c r="W121" i="53"/>
  <c r="AM122" i="55"/>
  <c r="AK122" i="55"/>
  <c r="A123" i="55"/>
  <c r="AL121" i="55"/>
  <c r="AE121" i="55"/>
  <c r="AP120" i="53"/>
  <c r="AL120" i="53"/>
  <c r="D122" i="53"/>
  <c r="O121" i="53"/>
  <c r="AX121" i="53" s="1"/>
  <c r="Y120" i="53"/>
  <c r="BY120" i="53"/>
  <c r="A121" i="53"/>
  <c r="W122" i="65"/>
  <c r="C122" i="51"/>
  <c r="D122" i="51"/>
  <c r="C122" i="53"/>
  <c r="Y122" i="65"/>
  <c r="Z122" i="65" s="1"/>
  <c r="AA122" i="65" s="1"/>
  <c r="F119" i="53" l="1"/>
  <c r="P120" i="51"/>
  <c r="AV119" i="53"/>
  <c r="X119" i="53" s="1"/>
  <c r="Z119" i="53" s="1"/>
  <c r="AT120" i="53"/>
  <c r="P110" i="53"/>
  <c r="AQ110" i="53" s="1"/>
  <c r="AR110" i="53" s="1"/>
  <c r="O122" i="53"/>
  <c r="AX122" i="53" s="1"/>
  <c r="D123" i="53"/>
  <c r="BY121" i="53"/>
  <c r="AL121" i="53"/>
  <c r="AP121" i="53"/>
  <c r="O126" i="51"/>
  <c r="AL122" i="55"/>
  <c r="AE122" i="55"/>
  <c r="U122" i="53"/>
  <c r="BF122" i="53" s="1"/>
  <c r="AB122" i="53"/>
  <c r="BK122" i="53"/>
  <c r="W122" i="53"/>
  <c r="R122" i="53"/>
  <c r="K122" i="53"/>
  <c r="AK123" i="55"/>
  <c r="A124" i="55"/>
  <c r="AM123" i="55"/>
  <c r="C123" i="51"/>
  <c r="D123" i="51"/>
  <c r="Y123" i="65"/>
  <c r="Z123" i="65" s="1"/>
  <c r="AA123" i="65" s="1"/>
  <c r="C123" i="53"/>
  <c r="A122" i="53"/>
  <c r="W123" i="65"/>
  <c r="K122" i="51"/>
  <c r="AG122" i="51"/>
  <c r="X123" i="65"/>
  <c r="H122" i="51"/>
  <c r="I122" i="51"/>
  <c r="J122" i="51"/>
  <c r="E122" i="51"/>
  <c r="F122" i="51"/>
  <c r="AF122" i="51"/>
  <c r="G122" i="51"/>
  <c r="M122" i="51" s="1"/>
  <c r="AC122" i="51"/>
  <c r="A123" i="51"/>
  <c r="Y121" i="53"/>
  <c r="P121" i="51" l="1"/>
  <c r="F120" i="53"/>
  <c r="AT121" i="53"/>
  <c r="AV120" i="53"/>
  <c r="X120" i="53" s="1"/>
  <c r="Z120" i="53" s="1"/>
  <c r="P111" i="53"/>
  <c r="AQ111" i="53" s="1"/>
  <c r="AR111" i="53" s="1"/>
  <c r="D124" i="51"/>
  <c r="C124" i="53"/>
  <c r="Y124" i="65"/>
  <c r="Z124" i="65" s="1"/>
  <c r="AA124" i="65" s="1"/>
  <c r="C124" i="51"/>
  <c r="BY122" i="53"/>
  <c r="I123" i="51"/>
  <c r="AC123" i="51"/>
  <c r="F123" i="51"/>
  <c r="AF123" i="51"/>
  <c r="J123" i="51"/>
  <c r="AG123" i="51"/>
  <c r="K123" i="51"/>
  <c r="G123" i="51"/>
  <c r="M123" i="51" s="1"/>
  <c r="X124" i="65"/>
  <c r="H123" i="51"/>
  <c r="E123" i="51"/>
  <c r="A124" i="51"/>
  <c r="Y122" i="53"/>
  <c r="AM124" i="55"/>
  <c r="A125" i="55"/>
  <c r="AK124" i="55"/>
  <c r="D124" i="53"/>
  <c r="O123" i="53"/>
  <c r="AX123" i="53" s="1"/>
  <c r="AL123" i="55"/>
  <c r="AE123" i="55"/>
  <c r="O128" i="51"/>
  <c r="W124" i="65"/>
  <c r="A123" i="53"/>
  <c r="AL122" i="53"/>
  <c r="AP122" i="53"/>
  <c r="K123" i="53"/>
  <c r="U123" i="53"/>
  <c r="BF123" i="53" s="1"/>
  <c r="AB123" i="53"/>
  <c r="BK123" i="53"/>
  <c r="R123" i="53"/>
  <c r="W123" i="53"/>
  <c r="F121" i="53" l="1"/>
  <c r="P122" i="51"/>
  <c r="AV121" i="53"/>
  <c r="X121" i="53" s="1"/>
  <c r="Z121" i="53" s="1"/>
  <c r="AT122" i="53"/>
  <c r="P112" i="53"/>
  <c r="AQ112" i="53" s="1"/>
  <c r="AR112" i="53" s="1"/>
  <c r="O130" i="51"/>
  <c r="O132" i="51"/>
  <c r="I124" i="51"/>
  <c r="K124" i="51"/>
  <c r="X125" i="65"/>
  <c r="J124" i="51"/>
  <c r="G124" i="51"/>
  <c r="M124" i="51" s="1"/>
  <c r="AC124" i="51"/>
  <c r="AF124" i="51"/>
  <c r="E124" i="51"/>
  <c r="AG124" i="51"/>
  <c r="F124" i="51"/>
  <c r="H124" i="51"/>
  <c r="A125" i="51"/>
  <c r="AL124" i="55"/>
  <c r="AE124" i="55"/>
  <c r="A124" i="53"/>
  <c r="W125" i="65"/>
  <c r="W124" i="53"/>
  <c r="BK124" i="53"/>
  <c r="R124" i="53"/>
  <c r="U124" i="53"/>
  <c r="BF124" i="53" s="1"/>
  <c r="AB124" i="53"/>
  <c r="K124" i="53"/>
  <c r="AM125" i="55"/>
  <c r="A126" i="55"/>
  <c r="AK125" i="55"/>
  <c r="C125" i="53"/>
  <c r="D125" i="51"/>
  <c r="Y125" i="65"/>
  <c r="Z125" i="65" s="1"/>
  <c r="AA125" i="65" s="1"/>
  <c r="C125" i="51"/>
  <c r="Y123" i="53"/>
  <c r="BY123" i="53"/>
  <c r="O124" i="53"/>
  <c r="AX124" i="53" s="1"/>
  <c r="D125" i="53"/>
  <c r="AP123" i="53"/>
  <c r="AL123" i="53"/>
  <c r="P123" i="51" l="1"/>
  <c r="F122" i="53"/>
  <c r="AT123" i="53"/>
  <c r="AV122" i="53"/>
  <c r="X122" i="53" s="1"/>
  <c r="Z122" i="53" s="1"/>
  <c r="P113" i="53"/>
  <c r="AQ113" i="53" s="1"/>
  <c r="AR113" i="53" s="1"/>
  <c r="J125" i="51"/>
  <c r="AG125" i="51"/>
  <c r="X126" i="65"/>
  <c r="AF125" i="51"/>
  <c r="G125" i="51"/>
  <c r="M125" i="51" s="1"/>
  <c r="F125" i="51"/>
  <c r="H125" i="51"/>
  <c r="E125" i="51"/>
  <c r="AC125" i="51"/>
  <c r="K125" i="51"/>
  <c r="I125" i="51"/>
  <c r="A126" i="51"/>
  <c r="BY124" i="53"/>
  <c r="O125" i="53"/>
  <c r="AX125" i="53" s="1"/>
  <c r="D126" i="53"/>
  <c r="Y126" i="65"/>
  <c r="Z126" i="65" s="1"/>
  <c r="AA126" i="65" s="1"/>
  <c r="C126" i="51"/>
  <c r="D126" i="51"/>
  <c r="Y127" i="65" s="1"/>
  <c r="Z127" i="65" s="1"/>
  <c r="AA127" i="65" s="1"/>
  <c r="C126" i="53"/>
  <c r="AP124" i="53"/>
  <c r="AL124" i="53"/>
  <c r="AM126" i="55"/>
  <c r="A127" i="55"/>
  <c r="AK126" i="55"/>
  <c r="A125" i="53"/>
  <c r="W126" i="65"/>
  <c r="BK125" i="53"/>
  <c r="R125" i="53"/>
  <c r="K125" i="53"/>
  <c r="U125" i="53"/>
  <c r="BF125" i="53" s="1"/>
  <c r="W125" i="53"/>
  <c r="AB125" i="53"/>
  <c r="AL125" i="55"/>
  <c r="AE125" i="55"/>
  <c r="Y124" i="53"/>
  <c r="N23" i="41" l="1"/>
  <c r="N21" i="41"/>
  <c r="N22" i="41"/>
  <c r="F123" i="53"/>
  <c r="P124" i="51"/>
  <c r="AV123" i="53"/>
  <c r="X123" i="53" s="1"/>
  <c r="Z123" i="53" s="1"/>
  <c r="AT124" i="53"/>
  <c r="P114" i="53"/>
  <c r="AQ114" i="53" s="1"/>
  <c r="AR114" i="53" s="1"/>
  <c r="W127" i="65"/>
  <c r="A126" i="53"/>
  <c r="N71" i="41"/>
  <c r="Y125" i="53"/>
  <c r="BY125" i="53"/>
  <c r="K126" i="51"/>
  <c r="AC126" i="51"/>
  <c r="G126" i="51"/>
  <c r="I126" i="51"/>
  <c r="I128" i="51" s="1"/>
  <c r="AF126" i="51"/>
  <c r="AF128" i="51" s="1"/>
  <c r="J126" i="51"/>
  <c r="J128" i="51" s="1"/>
  <c r="E126" i="51"/>
  <c r="E128" i="51" s="1"/>
  <c r="H126" i="51"/>
  <c r="H128" i="51" s="1"/>
  <c r="X127" i="65"/>
  <c r="AG126" i="51"/>
  <c r="AG128" i="51" s="1"/>
  <c r="F126" i="51"/>
  <c r="AK127" i="55"/>
  <c r="A128" i="55"/>
  <c r="AM127" i="55"/>
  <c r="AL126" i="55"/>
  <c r="AE126" i="55"/>
  <c r="O126" i="53"/>
  <c r="N25" i="41"/>
  <c r="P39" i="69"/>
  <c r="N24" i="41"/>
  <c r="R126" i="53"/>
  <c r="BK126" i="53"/>
  <c r="W126" i="53"/>
  <c r="U126" i="53"/>
  <c r="BF126" i="53" s="1"/>
  <c r="AB126" i="53"/>
  <c r="AB128" i="53" s="1"/>
  <c r="AB138" i="53" s="1"/>
  <c r="K126" i="53"/>
  <c r="AP125" i="53"/>
  <c r="AL125" i="53"/>
  <c r="AC128" i="51" l="1"/>
  <c r="N70" i="41"/>
  <c r="P125" i="51"/>
  <c r="F124" i="53"/>
  <c r="AV124" i="53"/>
  <c r="X124" i="53" s="1"/>
  <c r="Z124" i="53" s="1"/>
  <c r="AT125" i="53"/>
  <c r="P115" i="53"/>
  <c r="AQ115" i="53" s="1"/>
  <c r="AR115" i="53" s="1"/>
  <c r="CD39" i="69"/>
  <c r="I39" i="69"/>
  <c r="BS39" i="69"/>
  <c r="P86" i="69"/>
  <c r="AW39" i="69"/>
  <c r="BH39" i="69"/>
  <c r="P59" i="69"/>
  <c r="I59" i="69" s="1"/>
  <c r="AL39" i="69"/>
  <c r="AA39" i="69"/>
  <c r="J130" i="51"/>
  <c r="J132" i="51"/>
  <c r="AM128" i="55"/>
  <c r="AK128" i="55"/>
  <c r="AF132" i="51"/>
  <c r="C76" i="58"/>
  <c r="AF130" i="51"/>
  <c r="AG130" i="51"/>
  <c r="AG132" i="51"/>
  <c r="BY126" i="53"/>
  <c r="AL127" i="55"/>
  <c r="AE127" i="55"/>
  <c r="F128" i="51"/>
  <c r="C74" i="58"/>
  <c r="M126" i="51"/>
  <c r="G128" i="51"/>
  <c r="C73" i="58"/>
  <c r="K128" i="51"/>
  <c r="I132" i="51"/>
  <c r="I130" i="51"/>
  <c r="AX126" i="53"/>
  <c r="AX128" i="53" s="1"/>
  <c r="AX138" i="53" s="1"/>
  <c r="O128" i="53"/>
  <c r="O138" i="53" s="1"/>
  <c r="H132" i="51"/>
  <c r="H130" i="51"/>
  <c r="W128" i="53"/>
  <c r="W138" i="53" s="1"/>
  <c r="Y126" i="53"/>
  <c r="C70" i="58"/>
  <c r="E130" i="51"/>
  <c r="E132" i="51"/>
  <c r="AC130" i="51" l="1"/>
  <c r="AC132" i="51"/>
  <c r="AL11" i="55"/>
  <c r="AL23" i="55"/>
  <c r="AL35" i="55"/>
  <c r="F125" i="53"/>
  <c r="P126" i="51"/>
  <c r="AV125" i="53"/>
  <c r="X125" i="53" s="1"/>
  <c r="Z125" i="53" s="1"/>
  <c r="AT126" i="53"/>
  <c r="AV126" i="53" s="1"/>
  <c r="X126" i="53" s="1"/>
  <c r="Z126" i="53" s="1"/>
  <c r="P116" i="53"/>
  <c r="AQ116" i="53" s="1"/>
  <c r="AR116" i="53" s="1"/>
  <c r="G132" i="51"/>
  <c r="G130" i="51"/>
  <c r="AL128" i="55"/>
  <c r="AE128" i="55"/>
  <c r="AI8" i="55"/>
  <c r="AL126" i="53"/>
  <c r="AL128" i="53" s="1"/>
  <c r="AL138" i="53" s="1"/>
  <c r="AP126" i="53"/>
  <c r="AP128" i="53" s="1"/>
  <c r="AP138" i="53" s="1"/>
  <c r="M128" i="51"/>
  <c r="AL19" i="55"/>
  <c r="AL31" i="55"/>
  <c r="F130" i="51"/>
  <c r="F132" i="51"/>
  <c r="G23" i="56"/>
  <c r="H23" i="56" s="1"/>
  <c r="G24" i="56"/>
  <c r="K132" i="51"/>
  <c r="K130" i="51"/>
  <c r="AE35" i="55" l="1"/>
  <c r="AE23" i="55"/>
  <c r="AE11" i="55"/>
  <c r="W9" i="51" s="1"/>
  <c r="AE47" i="55"/>
  <c r="AE45" i="55"/>
  <c r="AE49" i="55"/>
  <c r="F126" i="53"/>
  <c r="F128" i="53" s="1"/>
  <c r="F138" i="53" s="1"/>
  <c r="P128" i="51"/>
  <c r="AE39" i="55"/>
  <c r="AE43" i="55"/>
  <c r="AE46" i="55"/>
  <c r="P117" i="53"/>
  <c r="AQ117" i="53" s="1"/>
  <c r="AR117" i="53" s="1"/>
  <c r="AE19" i="55"/>
  <c r="AE40" i="55"/>
  <c r="H24" i="56"/>
  <c r="M130" i="51"/>
  <c r="L21" i="41"/>
  <c r="L22" i="41"/>
  <c r="M132" i="51"/>
  <c r="AE31" i="55"/>
  <c r="W10" i="51" l="1"/>
  <c r="AL9" i="51"/>
  <c r="G9" i="53" s="1"/>
  <c r="P130" i="51"/>
  <c r="P132" i="51"/>
  <c r="P118" i="53"/>
  <c r="AQ118" i="53" s="1"/>
  <c r="AR118" i="53" s="1"/>
  <c r="AE130" i="55"/>
  <c r="AE131" i="55" s="1"/>
  <c r="G20" i="56" s="1"/>
  <c r="H20" i="56" s="1"/>
  <c r="W11" i="51" l="1"/>
  <c r="AL11" i="51" s="1"/>
  <c r="G11" i="53" s="1"/>
  <c r="AL10" i="51"/>
  <c r="G10" i="53" s="1"/>
  <c r="Q9" i="53"/>
  <c r="AM9" i="53" s="1"/>
  <c r="P119" i="53"/>
  <c r="AQ119" i="53" s="1"/>
  <c r="AR119" i="53" s="1"/>
  <c r="AN9" i="53" l="1"/>
  <c r="AU9" i="53"/>
  <c r="AV9" i="53" s="1"/>
  <c r="X9" i="53" s="1"/>
  <c r="Z9" i="53" s="1"/>
  <c r="W12" i="51"/>
  <c r="P120" i="53"/>
  <c r="AQ120" i="53" s="1"/>
  <c r="AR120" i="53" s="1"/>
  <c r="Q10" i="53" l="1"/>
  <c r="AM10" i="53" s="1"/>
  <c r="AU10" i="53" s="1"/>
  <c r="AV10" i="53" s="1"/>
  <c r="X10" i="53" s="1"/>
  <c r="Z10" i="53" s="1"/>
  <c r="W13" i="51"/>
  <c r="AL13" i="51" s="1"/>
  <c r="G13" i="53" s="1"/>
  <c r="AL12" i="51"/>
  <c r="G12" i="53" s="1"/>
  <c r="P121" i="53"/>
  <c r="AQ121" i="53" s="1"/>
  <c r="AR121" i="53" s="1"/>
  <c r="AN10" i="53" l="1"/>
  <c r="Q11" i="53" s="1"/>
  <c r="AM11" i="53" s="1"/>
  <c r="AU11" i="53" s="1"/>
  <c r="AV11" i="53" s="1"/>
  <c r="X11" i="53" s="1"/>
  <c r="Z11" i="53" s="1"/>
  <c r="W14" i="51"/>
  <c r="P122" i="53"/>
  <c r="AQ122" i="53" s="1"/>
  <c r="AR122" i="53" s="1"/>
  <c r="AN11" i="53" l="1"/>
  <c r="AL14" i="51"/>
  <c r="G14" i="53" s="1"/>
  <c r="W15" i="51"/>
  <c r="AL15" i="51" s="1"/>
  <c r="G15" i="53" s="1"/>
  <c r="P123" i="53"/>
  <c r="AQ123" i="53" s="1"/>
  <c r="AR123" i="53" s="1"/>
  <c r="Q12" i="53" l="1"/>
  <c r="W16" i="51"/>
  <c r="P124" i="53"/>
  <c r="AQ124" i="53" s="1"/>
  <c r="AR124" i="53" s="1"/>
  <c r="AL16" i="51" l="1"/>
  <c r="G16" i="53" s="1"/>
  <c r="W17" i="51"/>
  <c r="AM12" i="53"/>
  <c r="P125" i="53"/>
  <c r="AQ125" i="53" s="1"/>
  <c r="AR125" i="53" s="1"/>
  <c r="AU12" i="53" l="1"/>
  <c r="AV12" i="53" s="1"/>
  <c r="X12" i="53" s="1"/>
  <c r="Z12" i="53" s="1"/>
  <c r="AN12" i="53"/>
  <c r="AL17" i="51"/>
  <c r="G17" i="53" s="1"/>
  <c r="W18" i="51"/>
  <c r="P126" i="53"/>
  <c r="Q13" i="53" l="1"/>
  <c r="AL18" i="51"/>
  <c r="G18" i="53" s="1"/>
  <c r="W19" i="51"/>
  <c r="AQ126" i="53"/>
  <c r="P128" i="53"/>
  <c r="AL19" i="51" l="1"/>
  <c r="G19" i="53" s="1"/>
  <c r="W20" i="51"/>
  <c r="AL20" i="51" s="1"/>
  <c r="G20" i="53" s="1"/>
  <c r="AM13" i="53"/>
  <c r="F25" i="48"/>
  <c r="AQ128" i="53"/>
  <c r="F12" i="48" s="1"/>
  <c r="AR126" i="53"/>
  <c r="AR128" i="53" s="1"/>
  <c r="W21" i="51" l="1"/>
  <c r="AL21" i="51" s="1"/>
  <c r="G21" i="53" s="1"/>
  <c r="AU13" i="53"/>
  <c r="AV13" i="53" s="1"/>
  <c r="X13" i="53" s="1"/>
  <c r="Z13" i="53" s="1"/>
  <c r="AN13" i="53"/>
  <c r="G25" i="48"/>
  <c r="N36" i="41"/>
  <c r="H25" i="48"/>
  <c r="W22" i="51" l="1"/>
  <c r="W23" i="51" s="1"/>
  <c r="Q14" i="53"/>
  <c r="D12" i="48"/>
  <c r="N49" i="41"/>
  <c r="I12" i="48"/>
  <c r="H12" i="48"/>
  <c r="F335" i="39"/>
  <c r="G12" i="48"/>
  <c r="AL22" i="51" l="1"/>
  <c r="G22" i="53" s="1"/>
  <c r="AM14" i="53"/>
  <c r="AL23" i="51"/>
  <c r="G23" i="53" s="1"/>
  <c r="W24" i="51"/>
  <c r="AL24" i="51" s="1"/>
  <c r="G24" i="53" s="1"/>
  <c r="M49" i="41"/>
  <c r="P137" i="53"/>
  <c r="P138" i="53" s="1"/>
  <c r="H335" i="39"/>
  <c r="J335" i="39"/>
  <c r="I335" i="39"/>
  <c r="G335" i="39"/>
  <c r="L335" i="59"/>
  <c r="AQ137" i="53"/>
  <c r="AU14" i="53" l="1"/>
  <c r="AV14" i="53" s="1"/>
  <c r="X14" i="53" s="1"/>
  <c r="Z14" i="53" s="1"/>
  <c r="AN14" i="53"/>
  <c r="W25" i="51"/>
  <c r="AL25" i="51" s="1"/>
  <c r="G25" i="53" s="1"/>
  <c r="AR137" i="53"/>
  <c r="AR138" i="53" s="1"/>
  <c r="AQ138" i="53"/>
  <c r="W26" i="51" l="1"/>
  <c r="Q15" i="53"/>
  <c r="AM15" i="53" l="1"/>
  <c r="AL26" i="51"/>
  <c r="G26" i="53" s="1"/>
  <c r="W27" i="51"/>
  <c r="AL27" i="51" s="1"/>
  <c r="G27" i="53" s="1"/>
  <c r="AU15" i="53" l="1"/>
  <c r="AV15" i="53" s="1"/>
  <c r="X15" i="53" s="1"/>
  <c r="Z15" i="53" s="1"/>
  <c r="AN15" i="53"/>
  <c r="W28" i="51"/>
  <c r="AL28" i="51" l="1"/>
  <c r="G28" i="53" s="1"/>
  <c r="W29" i="51"/>
  <c r="Q16" i="53"/>
  <c r="AM16" i="53" l="1"/>
  <c r="AL29" i="51"/>
  <c r="G29" i="53" s="1"/>
  <c r="W30" i="51"/>
  <c r="AU16" i="53" l="1"/>
  <c r="AV16" i="53" s="1"/>
  <c r="X16" i="53" s="1"/>
  <c r="Z16" i="53" s="1"/>
  <c r="AN16" i="53"/>
  <c r="AL30" i="51"/>
  <c r="G30" i="53" s="1"/>
  <c r="W31" i="51"/>
  <c r="Q17" i="53" l="1"/>
  <c r="AL31" i="51"/>
  <c r="G31" i="53" s="1"/>
  <c r="W32" i="51"/>
  <c r="AM17" i="53" l="1"/>
  <c r="AL32" i="51"/>
  <c r="G32" i="53" s="1"/>
  <c r="W33" i="51"/>
  <c r="R38" i="53"/>
  <c r="Y38" i="53" s="1"/>
  <c r="AL33" i="51" l="1"/>
  <c r="G33" i="53" s="1"/>
  <c r="W34" i="51"/>
  <c r="AU17" i="53"/>
  <c r="AV17" i="53" s="1"/>
  <c r="X17" i="53" s="1"/>
  <c r="Z17" i="53" s="1"/>
  <c r="AN17" i="53"/>
  <c r="R39" i="53"/>
  <c r="Q18" i="53" l="1"/>
  <c r="AL34" i="51"/>
  <c r="G34" i="53" s="1"/>
  <c r="W35" i="51"/>
  <c r="Y39" i="53"/>
  <c r="R40" i="53"/>
  <c r="AM18" i="53" l="1"/>
  <c r="AL35" i="51"/>
  <c r="G35" i="53" s="1"/>
  <c r="W36" i="51"/>
  <c r="AL36" i="51" s="1"/>
  <c r="G36" i="53" s="1"/>
  <c r="Y40" i="53"/>
  <c r="R41" i="53"/>
  <c r="W37" i="51" l="1"/>
  <c r="AU18" i="53"/>
  <c r="AV18" i="53" s="1"/>
  <c r="X18" i="53" s="1"/>
  <c r="Z18" i="53" s="1"/>
  <c r="AN18" i="53"/>
  <c r="Y41" i="53"/>
  <c r="W38" i="51" l="1"/>
  <c r="Q19" i="53"/>
  <c r="AL37" i="51"/>
  <c r="G37" i="53" s="1"/>
  <c r="AL38" i="51" l="1"/>
  <c r="G38" i="53" s="1"/>
  <c r="W39" i="51"/>
  <c r="AM19" i="53"/>
  <c r="R44" i="53"/>
  <c r="Y44" i="53" s="1"/>
  <c r="AU19" i="53" l="1"/>
  <c r="AV19" i="53" s="1"/>
  <c r="X19" i="53" s="1"/>
  <c r="Z19" i="53" s="1"/>
  <c r="AN19" i="53"/>
  <c r="AL39" i="51"/>
  <c r="G39" i="53" s="1"/>
  <c r="W40" i="51"/>
  <c r="R45" i="53"/>
  <c r="AL40" i="51" l="1"/>
  <c r="G40" i="53" s="1"/>
  <c r="W41" i="51"/>
  <c r="Q20" i="53"/>
  <c r="R46" i="53"/>
  <c r="Y46" i="53" s="1"/>
  <c r="Y45" i="53"/>
  <c r="AM20" i="53" l="1"/>
  <c r="AL41" i="51"/>
  <c r="G41" i="53" s="1"/>
  <c r="W42" i="51"/>
  <c r="R47" i="53"/>
  <c r="AL42" i="51" l="1"/>
  <c r="G42" i="53" s="1"/>
  <c r="W43" i="51"/>
  <c r="AU20" i="53"/>
  <c r="AV20" i="53" s="1"/>
  <c r="X20" i="53" s="1"/>
  <c r="Z20" i="53" s="1"/>
  <c r="AN20" i="53"/>
  <c r="Y47" i="53"/>
  <c r="AL43" i="51" l="1"/>
  <c r="G43" i="53" s="1"/>
  <c r="W44" i="51"/>
  <c r="AL44" i="51" s="1"/>
  <c r="G44" i="53" s="1"/>
  <c r="Q21" i="53"/>
  <c r="W45" i="51" l="1"/>
  <c r="AL45" i="51" s="1"/>
  <c r="G45" i="53" s="1"/>
  <c r="AM21" i="53"/>
  <c r="W46" i="51" l="1"/>
  <c r="AL46" i="51" s="1"/>
  <c r="G46" i="53" s="1"/>
  <c r="AU21" i="53"/>
  <c r="AV21" i="53" s="1"/>
  <c r="X21" i="53" s="1"/>
  <c r="Z21" i="53" s="1"/>
  <c r="AN21" i="53"/>
  <c r="W47" i="51" l="1"/>
  <c r="AL47" i="51" s="1"/>
  <c r="G47" i="53" s="1"/>
  <c r="Q22" i="53"/>
  <c r="W48" i="51" l="1"/>
  <c r="AL48" i="51" s="1"/>
  <c r="R48" i="53" s="1"/>
  <c r="AM22" i="53"/>
  <c r="G48" i="53" l="1"/>
  <c r="W49" i="51"/>
  <c r="AL49" i="51" s="1"/>
  <c r="Y48" i="53"/>
  <c r="AU22" i="53"/>
  <c r="AV22" i="53" s="1"/>
  <c r="X22" i="53" s="1"/>
  <c r="Z22" i="53" s="1"/>
  <c r="AN22" i="53"/>
  <c r="G49" i="53" l="1"/>
  <c r="R49" i="53"/>
  <c r="Y49" i="53" s="1"/>
  <c r="W50" i="51"/>
  <c r="Q23" i="53"/>
  <c r="AL50" i="51" l="1"/>
  <c r="W51" i="51"/>
  <c r="AM23" i="53"/>
  <c r="AL51" i="51" l="1"/>
  <c r="G51" i="53" s="1"/>
  <c r="W52" i="51"/>
  <c r="W53" i="51" s="1"/>
  <c r="AL53" i="51" s="1"/>
  <c r="G53" i="53" s="1"/>
  <c r="G50" i="53"/>
  <c r="R50" i="53"/>
  <c r="AU23" i="53"/>
  <c r="AV23" i="53" s="1"/>
  <c r="X23" i="53" s="1"/>
  <c r="Z23" i="53" s="1"/>
  <c r="AN23" i="53"/>
  <c r="AL52" i="51" l="1"/>
  <c r="G52" i="53" s="1"/>
  <c r="W54" i="51"/>
  <c r="W55" i="51" s="1"/>
  <c r="AL55" i="51" s="1"/>
  <c r="G55" i="53" s="1"/>
  <c r="Y50" i="53"/>
  <c r="Y128" i="53" s="1"/>
  <c r="R128" i="53"/>
  <c r="F14" i="48" s="1"/>
  <c r="Q24" i="53"/>
  <c r="AL54" i="51" l="1"/>
  <c r="G54" i="53" s="1"/>
  <c r="W56" i="51"/>
  <c r="AL56" i="51" s="1"/>
  <c r="G56" i="53" s="1"/>
  <c r="D14" i="48"/>
  <c r="F336" i="39"/>
  <c r="H14" i="48"/>
  <c r="I14" i="48"/>
  <c r="G14" i="48"/>
  <c r="AM24" i="53"/>
  <c r="W57" i="51" l="1"/>
  <c r="R137" i="53"/>
  <c r="R138" i="53" s="1"/>
  <c r="Y137" i="53"/>
  <c r="Y138" i="53" s="1"/>
  <c r="H336" i="39"/>
  <c r="J336" i="39"/>
  <c r="I336" i="39"/>
  <c r="G336" i="39"/>
  <c r="L336" i="59"/>
  <c r="AU24" i="53"/>
  <c r="AV24" i="53" s="1"/>
  <c r="X24" i="53" s="1"/>
  <c r="Z24" i="53" s="1"/>
  <c r="AN24" i="53"/>
  <c r="AL57" i="51" l="1"/>
  <c r="G57" i="53" s="1"/>
  <c r="W58" i="51"/>
  <c r="Q25" i="53"/>
  <c r="W59" i="51" l="1"/>
  <c r="AL58" i="51"/>
  <c r="G58" i="53" s="1"/>
  <c r="AM25" i="53"/>
  <c r="AL59" i="51" l="1"/>
  <c r="G59" i="53" s="1"/>
  <c r="W60" i="51"/>
  <c r="W61" i="51"/>
  <c r="AL61" i="51" s="1"/>
  <c r="G61" i="53" s="1"/>
  <c r="AL60" i="51"/>
  <c r="G60" i="53" s="1"/>
  <c r="W62" i="51"/>
  <c r="AL62" i="51" s="1"/>
  <c r="G62" i="53" s="1"/>
  <c r="AU25" i="53"/>
  <c r="AV25" i="53" s="1"/>
  <c r="X25" i="53" s="1"/>
  <c r="Z25" i="53" s="1"/>
  <c r="AN25" i="53"/>
  <c r="W63" i="51" l="1"/>
  <c r="AL63" i="51" s="1"/>
  <c r="G63" i="53" s="1"/>
  <c r="Q26" i="53"/>
  <c r="W64" i="51" l="1"/>
  <c r="AL64" i="51" s="1"/>
  <c r="G64" i="53" s="1"/>
  <c r="W65" i="51"/>
  <c r="AL65" i="51" s="1"/>
  <c r="G65" i="53" s="1"/>
  <c r="AM26" i="53"/>
  <c r="W66" i="51" l="1"/>
  <c r="AU26" i="53"/>
  <c r="AV26" i="53" s="1"/>
  <c r="X26" i="53" s="1"/>
  <c r="Z26" i="53" s="1"/>
  <c r="AN26" i="53"/>
  <c r="AL66" i="51" l="1"/>
  <c r="G66" i="53" s="1"/>
  <c r="W67" i="51"/>
  <c r="Q27" i="53"/>
  <c r="AL67" i="51" l="1"/>
  <c r="G67" i="53" s="1"/>
  <c r="W68" i="51"/>
  <c r="AL68" i="51" s="1"/>
  <c r="G68" i="53" s="1"/>
  <c r="AM27" i="53"/>
  <c r="W69" i="51" l="1"/>
  <c r="AU27" i="53"/>
  <c r="AV27" i="53" s="1"/>
  <c r="X27" i="53" s="1"/>
  <c r="Z27" i="53" s="1"/>
  <c r="AN27" i="53"/>
  <c r="AL69" i="51" l="1"/>
  <c r="G69" i="53" s="1"/>
  <c r="W70" i="51"/>
  <c r="AL70" i="51" s="1"/>
  <c r="G70" i="53" s="1"/>
  <c r="Q28" i="53"/>
  <c r="W71" i="51" l="1"/>
  <c r="AM28" i="53"/>
  <c r="AL71" i="51" l="1"/>
  <c r="G71" i="53" s="1"/>
  <c r="W72" i="51"/>
  <c r="W73" i="51"/>
  <c r="AL72" i="51"/>
  <c r="G72" i="53" s="1"/>
  <c r="AU28" i="53"/>
  <c r="AV28" i="53" s="1"/>
  <c r="X28" i="53" s="1"/>
  <c r="Z28" i="53" s="1"/>
  <c r="AN28" i="53"/>
  <c r="W74" i="51" l="1"/>
  <c r="AL73" i="51"/>
  <c r="G73" i="53" s="1"/>
  <c r="Q29" i="53"/>
  <c r="W75" i="51" l="1"/>
  <c r="AL74" i="51"/>
  <c r="G74" i="53" s="1"/>
  <c r="AM29" i="53"/>
  <c r="W76" i="51" l="1"/>
  <c r="AL75" i="51"/>
  <c r="G75" i="53" s="1"/>
  <c r="AU29" i="53"/>
  <c r="AV29" i="53" s="1"/>
  <c r="X29" i="53" s="1"/>
  <c r="Z29" i="53" s="1"/>
  <c r="AN29" i="53"/>
  <c r="W77" i="51" l="1"/>
  <c r="AL76" i="51"/>
  <c r="G76" i="53" s="1"/>
  <c r="Q30" i="53"/>
  <c r="W78" i="51" l="1"/>
  <c r="AL77" i="51"/>
  <c r="G77" i="53" s="1"/>
  <c r="AM30" i="53"/>
  <c r="W79" i="51" l="1"/>
  <c r="AL78" i="51"/>
  <c r="G78" i="53" s="1"/>
  <c r="AU30" i="53"/>
  <c r="AV30" i="53" s="1"/>
  <c r="X30" i="53" s="1"/>
  <c r="Z30" i="53" s="1"/>
  <c r="AN30" i="53"/>
  <c r="W80" i="51" l="1"/>
  <c r="AL79" i="51"/>
  <c r="G79" i="53" s="1"/>
  <c r="Q31" i="53"/>
  <c r="W81" i="51" l="1"/>
  <c r="AL80" i="51"/>
  <c r="G80" i="53" s="1"/>
  <c r="AM31" i="53"/>
  <c r="W82" i="51" l="1"/>
  <c r="AL81" i="51"/>
  <c r="G81" i="53" s="1"/>
  <c r="AU31" i="53"/>
  <c r="AV31" i="53" s="1"/>
  <c r="X31" i="53" s="1"/>
  <c r="Z31" i="53" s="1"/>
  <c r="AN31" i="53"/>
  <c r="AL82" i="51" l="1"/>
  <c r="G82" i="53" s="1"/>
  <c r="W83" i="51"/>
  <c r="Q32" i="53"/>
  <c r="W84" i="51"/>
  <c r="AL83" i="51"/>
  <c r="G83" i="53" s="1"/>
  <c r="AM32" i="53" l="1"/>
  <c r="W85" i="51"/>
  <c r="AL84" i="51"/>
  <c r="G84" i="53" s="1"/>
  <c r="AU32" i="53" l="1"/>
  <c r="AV32" i="53" s="1"/>
  <c r="X32" i="53" s="1"/>
  <c r="Z32" i="53" s="1"/>
  <c r="AN32" i="53"/>
  <c r="W86" i="51"/>
  <c r="AL85" i="51"/>
  <c r="G85" i="53" s="1"/>
  <c r="Q33" i="53" l="1"/>
  <c r="W87" i="51"/>
  <c r="AL86" i="51"/>
  <c r="G86" i="53" s="1"/>
  <c r="AM33" i="53" l="1"/>
  <c r="W88" i="51"/>
  <c r="AL87" i="51"/>
  <c r="G87" i="53" s="1"/>
  <c r="AU33" i="53" l="1"/>
  <c r="AV33" i="53" s="1"/>
  <c r="X33" i="53" s="1"/>
  <c r="Z33" i="53" s="1"/>
  <c r="AN33" i="53"/>
  <c r="W89" i="51"/>
  <c r="AL88" i="51"/>
  <c r="G88" i="53" s="1"/>
  <c r="Q34" i="53" l="1"/>
  <c r="W90" i="51"/>
  <c r="AL89" i="51"/>
  <c r="G89" i="53" s="1"/>
  <c r="AM34" i="53" l="1"/>
  <c r="W91" i="51"/>
  <c r="AL90" i="51"/>
  <c r="G90" i="53" s="1"/>
  <c r="AU34" i="53" l="1"/>
  <c r="AV34" i="53" s="1"/>
  <c r="X34" i="53" s="1"/>
  <c r="Z34" i="53" s="1"/>
  <c r="AN34" i="53"/>
  <c r="W92" i="51"/>
  <c r="AL91" i="51"/>
  <c r="G91" i="53" s="1"/>
  <c r="Q35" i="53" l="1"/>
  <c r="W93" i="51"/>
  <c r="AL92" i="51"/>
  <c r="G92" i="53" s="1"/>
  <c r="AM35" i="53" l="1"/>
  <c r="W94" i="51"/>
  <c r="AL93" i="51"/>
  <c r="G93" i="53" s="1"/>
  <c r="AU35" i="53" l="1"/>
  <c r="AV35" i="53" s="1"/>
  <c r="X35" i="53" s="1"/>
  <c r="Z35" i="53" s="1"/>
  <c r="AN35" i="53"/>
  <c r="W95" i="51"/>
  <c r="AL94" i="51"/>
  <c r="G94" i="53" s="1"/>
  <c r="Q36" i="53" l="1"/>
  <c r="W96" i="51"/>
  <c r="AL95" i="51"/>
  <c r="G95" i="53" s="1"/>
  <c r="AM36" i="53" l="1"/>
  <c r="W97" i="51"/>
  <c r="AL96" i="51"/>
  <c r="G96" i="53" s="1"/>
  <c r="AU36" i="53" l="1"/>
  <c r="AV36" i="53" s="1"/>
  <c r="X36" i="53" s="1"/>
  <c r="Z36" i="53" s="1"/>
  <c r="AN36" i="53"/>
  <c r="W98" i="51"/>
  <c r="AL97" i="51"/>
  <c r="G97" i="53" s="1"/>
  <c r="Q37" i="53" l="1"/>
  <c r="W99" i="51"/>
  <c r="AL98" i="51"/>
  <c r="G98" i="53" s="1"/>
  <c r="AM37" i="53" l="1"/>
  <c r="W100" i="51"/>
  <c r="AL99" i="51"/>
  <c r="G99" i="53" s="1"/>
  <c r="AU37" i="53" l="1"/>
  <c r="AV37" i="53" s="1"/>
  <c r="X37" i="53" s="1"/>
  <c r="Z37" i="53" s="1"/>
  <c r="AN37" i="53"/>
  <c r="W101" i="51"/>
  <c r="AL100" i="51"/>
  <c r="G100" i="53" s="1"/>
  <c r="Q38" i="53" l="1"/>
  <c r="W102" i="51"/>
  <c r="AL101" i="51"/>
  <c r="G101" i="53" s="1"/>
  <c r="AM38" i="53" l="1"/>
  <c r="W103" i="51"/>
  <c r="AL102" i="51"/>
  <c r="G102" i="53" s="1"/>
  <c r="AU38" i="53" l="1"/>
  <c r="AV38" i="53" s="1"/>
  <c r="X38" i="53" s="1"/>
  <c r="Z38" i="53" s="1"/>
  <c r="AN38" i="53"/>
  <c r="W104" i="51"/>
  <c r="AL103" i="51"/>
  <c r="G103" i="53" s="1"/>
  <c r="Q39" i="53" l="1"/>
  <c r="W105" i="51"/>
  <c r="AL104" i="51"/>
  <c r="G104" i="53" s="1"/>
  <c r="AM39" i="53" l="1"/>
  <c r="W106" i="51"/>
  <c r="AL105" i="51"/>
  <c r="G105" i="53" s="1"/>
  <c r="AU39" i="53" l="1"/>
  <c r="AV39" i="53" s="1"/>
  <c r="X39" i="53" s="1"/>
  <c r="Z39" i="53" s="1"/>
  <c r="AN39" i="53"/>
  <c r="W107" i="51"/>
  <c r="AL106" i="51"/>
  <c r="G106" i="53" s="1"/>
  <c r="Q40" i="53" l="1"/>
  <c r="W108" i="51"/>
  <c r="AL107" i="51"/>
  <c r="G107" i="53" s="1"/>
  <c r="AM40" i="53" l="1"/>
  <c r="W109" i="51"/>
  <c r="AL108" i="51"/>
  <c r="G108" i="53" s="1"/>
  <c r="AU40" i="53" l="1"/>
  <c r="AV40" i="53" s="1"/>
  <c r="X40" i="53" s="1"/>
  <c r="Z40" i="53" s="1"/>
  <c r="AN40" i="53"/>
  <c r="W110" i="51"/>
  <c r="AL109" i="51"/>
  <c r="G109" i="53" s="1"/>
  <c r="Q41" i="53" l="1"/>
  <c r="W111" i="51"/>
  <c r="AL110" i="51"/>
  <c r="G110" i="53" s="1"/>
  <c r="AM41" i="53" l="1"/>
  <c r="W112" i="51"/>
  <c r="AL111" i="51"/>
  <c r="G111" i="53" s="1"/>
  <c r="AU41" i="53" l="1"/>
  <c r="AV41" i="53" s="1"/>
  <c r="X41" i="53" s="1"/>
  <c r="Z41" i="53" s="1"/>
  <c r="AN41" i="53"/>
  <c r="W113" i="51"/>
  <c r="AL112" i="51"/>
  <c r="G112" i="53" s="1"/>
  <c r="Q42" i="53" l="1"/>
  <c r="W114" i="51"/>
  <c r="AL113" i="51"/>
  <c r="G113" i="53" s="1"/>
  <c r="AM42" i="53" l="1"/>
  <c r="W115" i="51"/>
  <c r="AL114" i="51"/>
  <c r="G114" i="53" s="1"/>
  <c r="AU42" i="53" l="1"/>
  <c r="AV42" i="53" s="1"/>
  <c r="X42" i="53" s="1"/>
  <c r="Z42" i="53" s="1"/>
  <c r="AN42" i="53"/>
  <c r="W116" i="51"/>
  <c r="AL115" i="51"/>
  <c r="G115" i="53" s="1"/>
  <c r="Q43" i="53" l="1"/>
  <c r="W117" i="51"/>
  <c r="AL116" i="51"/>
  <c r="G116" i="53" s="1"/>
  <c r="AM43" i="53" l="1"/>
  <c r="W118" i="51"/>
  <c r="AL117" i="51"/>
  <c r="G117" i="53" s="1"/>
  <c r="AU43" i="53" l="1"/>
  <c r="AV43" i="53" s="1"/>
  <c r="X43" i="53" s="1"/>
  <c r="Z43" i="53" s="1"/>
  <c r="AN43" i="53"/>
  <c r="W119" i="51"/>
  <c r="AL118" i="51"/>
  <c r="G118" i="53" s="1"/>
  <c r="Q44" i="53" l="1"/>
  <c r="W120" i="51"/>
  <c r="AL119" i="51"/>
  <c r="G119" i="53" s="1"/>
  <c r="AM44" i="53" l="1"/>
  <c r="W121" i="51"/>
  <c r="AL120" i="51"/>
  <c r="G120" i="53" s="1"/>
  <c r="AU44" i="53" l="1"/>
  <c r="AV44" i="53" s="1"/>
  <c r="X44" i="53" s="1"/>
  <c r="AN44" i="53"/>
  <c r="W122" i="51"/>
  <c r="AL121" i="51"/>
  <c r="G121" i="53" s="1"/>
  <c r="Q45" i="53" l="1"/>
  <c r="Z44" i="53"/>
  <c r="W123" i="51"/>
  <c r="AL122" i="51"/>
  <c r="G122" i="53" s="1"/>
  <c r="AM45" i="53" l="1"/>
  <c r="W124" i="51"/>
  <c r="AL123" i="51"/>
  <c r="G123" i="53" s="1"/>
  <c r="AU45" i="53" l="1"/>
  <c r="AV45" i="53" s="1"/>
  <c r="X45" i="53" s="1"/>
  <c r="AN45" i="53"/>
  <c r="W125" i="51"/>
  <c r="AL124" i="51"/>
  <c r="G124" i="53" s="1"/>
  <c r="Q46" i="53" l="1"/>
  <c r="Z45" i="53"/>
  <c r="W126" i="51"/>
  <c r="AL125" i="51"/>
  <c r="G125" i="53" s="1"/>
  <c r="AM46" i="53" l="1"/>
  <c r="W128" i="51"/>
  <c r="AL126" i="51"/>
  <c r="AU46" i="53" l="1"/>
  <c r="AV46" i="53" s="1"/>
  <c r="X46" i="53" s="1"/>
  <c r="AN46" i="53"/>
  <c r="G126" i="53"/>
  <c r="AL128" i="51"/>
  <c r="W130" i="51"/>
  <c r="W132" i="51"/>
  <c r="Q47" i="53" l="1"/>
  <c r="Z46" i="53"/>
  <c r="AL132" i="51"/>
  <c r="G22" i="56" s="1"/>
  <c r="H22" i="56" s="1"/>
  <c r="AL130" i="51"/>
  <c r="G128" i="53"/>
  <c r="AM47" i="53" l="1"/>
  <c r="AU47" i="53" l="1"/>
  <c r="AV47" i="53" s="1"/>
  <c r="X47" i="53" s="1"/>
  <c r="AN47" i="53"/>
  <c r="Q48" i="53" l="1"/>
  <c r="Z47" i="53"/>
  <c r="AM48" i="53" l="1"/>
  <c r="AU48" i="53" l="1"/>
  <c r="AV48" i="53" s="1"/>
  <c r="X48" i="53" s="1"/>
  <c r="AN48" i="53"/>
  <c r="Q49" i="53" l="1"/>
  <c r="Z48" i="53"/>
  <c r="AM49" i="53" l="1"/>
  <c r="AU49" i="53" l="1"/>
  <c r="AV49" i="53" s="1"/>
  <c r="X49" i="53" s="1"/>
  <c r="Z49" i="53" s="1"/>
  <c r="AN49" i="53"/>
  <c r="Q50" i="53" l="1"/>
  <c r="AM50" i="53" l="1"/>
  <c r="AU50" i="53" l="1"/>
  <c r="AV50" i="53" s="1"/>
  <c r="X50" i="53" s="1"/>
  <c r="AN50" i="53"/>
  <c r="Q51" i="53" l="1"/>
  <c r="Z50" i="53"/>
  <c r="Z128" i="53" s="1"/>
  <c r="X128" i="53"/>
  <c r="AM51" i="53" l="1"/>
  <c r="AU51" i="53" l="1"/>
  <c r="AN51" i="53"/>
  <c r="Q52" i="53" l="1"/>
  <c r="AM52" i="53" l="1"/>
  <c r="AU52" i="53" l="1"/>
  <c r="AN52" i="53"/>
  <c r="Q53" i="53" l="1"/>
  <c r="AM53" i="53" l="1"/>
  <c r="AU53" i="53" l="1"/>
  <c r="AN53" i="53"/>
  <c r="Q54" i="53" l="1"/>
  <c r="AM54" i="53" l="1"/>
  <c r="AU54" i="53" l="1"/>
  <c r="AN54" i="53"/>
  <c r="Q55" i="53" l="1"/>
  <c r="AM55" i="53" l="1"/>
  <c r="AU55" i="53" l="1"/>
  <c r="AN55" i="53"/>
  <c r="Q56" i="53" l="1"/>
  <c r="AM56" i="53" l="1"/>
  <c r="AU56" i="53" l="1"/>
  <c r="AN56" i="53"/>
  <c r="Q57" i="53" l="1"/>
  <c r="AM57" i="53" l="1"/>
  <c r="AU57" i="53" l="1"/>
  <c r="AN57" i="53"/>
  <c r="Q58" i="53" l="1"/>
  <c r="AM58" i="53" l="1"/>
  <c r="AU58" i="53" l="1"/>
  <c r="AN58" i="53"/>
  <c r="Q59" i="53" l="1"/>
  <c r="AM59" i="53" l="1"/>
  <c r="AU59" i="53" l="1"/>
  <c r="AN59" i="53"/>
  <c r="Q60" i="53" l="1"/>
  <c r="AM60" i="53" l="1"/>
  <c r="AU60" i="53" l="1"/>
  <c r="AN60" i="53"/>
  <c r="Q61" i="53" l="1"/>
  <c r="AM61" i="53" l="1"/>
  <c r="AU61" i="53" l="1"/>
  <c r="AN61" i="53"/>
  <c r="Q62" i="53" l="1"/>
  <c r="AM62" i="53" l="1"/>
  <c r="AU62" i="53" l="1"/>
  <c r="AN62" i="53"/>
  <c r="Q63" i="53" l="1"/>
  <c r="AM63" i="53" l="1"/>
  <c r="AU63" i="53" l="1"/>
  <c r="AN63" i="53"/>
  <c r="Q64" i="53" l="1"/>
  <c r="AM64" i="53" l="1"/>
  <c r="AU64" i="53" l="1"/>
  <c r="AN64" i="53"/>
  <c r="Q65" i="53" l="1"/>
  <c r="AM65" i="53" l="1"/>
  <c r="AU65" i="53" l="1"/>
  <c r="AN65" i="53"/>
  <c r="Q66" i="53" l="1"/>
  <c r="AM66" i="53" l="1"/>
  <c r="AU66" i="53" l="1"/>
  <c r="AN66" i="53"/>
  <c r="Q67" i="53" l="1"/>
  <c r="AM67" i="53" l="1"/>
  <c r="AU67" i="53" l="1"/>
  <c r="AN67" i="53"/>
  <c r="Q68" i="53" l="1"/>
  <c r="AM68" i="53" l="1"/>
  <c r="AU68" i="53" l="1"/>
  <c r="AN68" i="53"/>
  <c r="Q69" i="53" l="1"/>
  <c r="AM69" i="53" l="1"/>
  <c r="AU69" i="53" l="1"/>
  <c r="AN69" i="53"/>
  <c r="Q70" i="53" l="1"/>
  <c r="AM70" i="53" l="1"/>
  <c r="AU70" i="53" l="1"/>
  <c r="AN70" i="53"/>
  <c r="Q71" i="53" l="1"/>
  <c r="AM71" i="53" l="1"/>
  <c r="AU71" i="53" l="1"/>
  <c r="AN71" i="53"/>
  <c r="Q72" i="53" l="1"/>
  <c r="AM72" i="53" l="1"/>
  <c r="AU72" i="53" l="1"/>
  <c r="AN72" i="53"/>
  <c r="Q73" i="53" l="1"/>
  <c r="AM73" i="53" l="1"/>
  <c r="AU73" i="53" l="1"/>
  <c r="AN73" i="53"/>
  <c r="Q74" i="53" l="1"/>
  <c r="AM74" i="53" l="1"/>
  <c r="AU74" i="53" l="1"/>
  <c r="AN74" i="53"/>
  <c r="Q75" i="53" l="1"/>
  <c r="AM75" i="53" l="1"/>
  <c r="AU75" i="53" l="1"/>
  <c r="AN75" i="53"/>
  <c r="Q76" i="53" l="1"/>
  <c r="AM76" i="53" l="1"/>
  <c r="AU76" i="53" l="1"/>
  <c r="AN76" i="53"/>
  <c r="Q77" i="53" l="1"/>
  <c r="AM77" i="53" l="1"/>
  <c r="AU77" i="53" l="1"/>
  <c r="AN77" i="53"/>
  <c r="Q78" i="53" l="1"/>
  <c r="AM78" i="53" l="1"/>
  <c r="AU78" i="53" l="1"/>
  <c r="AN78" i="53"/>
  <c r="Q79" i="53" l="1"/>
  <c r="AM79" i="53" l="1"/>
  <c r="AU79" i="53" l="1"/>
  <c r="AN79" i="53"/>
  <c r="Q80" i="53" l="1"/>
  <c r="AM80" i="53" l="1"/>
  <c r="AU80" i="53" l="1"/>
  <c r="AN80" i="53"/>
  <c r="Q81" i="53" l="1"/>
  <c r="AM81" i="53" l="1"/>
  <c r="AU81" i="53" l="1"/>
  <c r="AN81" i="53"/>
  <c r="Q82" i="53" l="1"/>
  <c r="AM82" i="53" l="1"/>
  <c r="AU82" i="53" l="1"/>
  <c r="AN82" i="53"/>
  <c r="Q83" i="53" l="1"/>
  <c r="AM83" i="53" l="1"/>
  <c r="AU83" i="53" l="1"/>
  <c r="AN83" i="53"/>
  <c r="Q84" i="53" l="1"/>
  <c r="AM84" i="53" l="1"/>
  <c r="AU84" i="53" l="1"/>
  <c r="AN84" i="53"/>
  <c r="Q85" i="53" l="1"/>
  <c r="AM85" i="53" l="1"/>
  <c r="AU85" i="53" l="1"/>
  <c r="AN85" i="53"/>
  <c r="Q86" i="53" l="1"/>
  <c r="AM86" i="53" l="1"/>
  <c r="AU86" i="53" l="1"/>
  <c r="AN86" i="53"/>
  <c r="Q87" i="53" l="1"/>
  <c r="AM87" i="53" l="1"/>
  <c r="AU87" i="53" l="1"/>
  <c r="AN87" i="53"/>
  <c r="Q88" i="53" l="1"/>
  <c r="AM88" i="53" l="1"/>
  <c r="AU88" i="53" l="1"/>
  <c r="AN88" i="53"/>
  <c r="Q89" i="53" l="1"/>
  <c r="AM89" i="53" l="1"/>
  <c r="AU89" i="53" l="1"/>
  <c r="AN89" i="53"/>
  <c r="Q90" i="53" l="1"/>
  <c r="AM90" i="53" l="1"/>
  <c r="AU90" i="53" l="1"/>
  <c r="AN90" i="53"/>
  <c r="Q91" i="53" l="1"/>
  <c r="AM91" i="53" l="1"/>
  <c r="AU91" i="53" l="1"/>
  <c r="AN91" i="53"/>
  <c r="Q92" i="53" l="1"/>
  <c r="AM92" i="53" l="1"/>
  <c r="AU92" i="53" l="1"/>
  <c r="AN92" i="53"/>
  <c r="Q93" i="53" l="1"/>
  <c r="AM93" i="53" l="1"/>
  <c r="AU93" i="53" l="1"/>
  <c r="AN93" i="53"/>
  <c r="Q94" i="53" l="1"/>
  <c r="AM94" i="53" l="1"/>
  <c r="AU94" i="53" l="1"/>
  <c r="AN94" i="53"/>
  <c r="Q95" i="53" l="1"/>
  <c r="AM95" i="53" l="1"/>
  <c r="AU95" i="53" l="1"/>
  <c r="AN95" i="53"/>
  <c r="Q96" i="53" l="1"/>
  <c r="AM96" i="53" l="1"/>
  <c r="AU96" i="53" l="1"/>
  <c r="AN96" i="53"/>
  <c r="Q97" i="53" l="1"/>
  <c r="AM97" i="53" l="1"/>
  <c r="AU97" i="53" l="1"/>
  <c r="AN97" i="53"/>
  <c r="Q98" i="53" l="1"/>
  <c r="AM98" i="53" l="1"/>
  <c r="AU98" i="53" l="1"/>
  <c r="AN98" i="53"/>
  <c r="Q99" i="53" l="1"/>
  <c r="AM99" i="53" l="1"/>
  <c r="AU99" i="53" l="1"/>
  <c r="AN99" i="53"/>
  <c r="Q100" i="53" l="1"/>
  <c r="AM100" i="53" l="1"/>
  <c r="AU100" i="53" l="1"/>
  <c r="AN100" i="53"/>
  <c r="Q101" i="53" l="1"/>
  <c r="AM101" i="53" l="1"/>
  <c r="AU101" i="53" l="1"/>
  <c r="AN101" i="53"/>
  <c r="Q102" i="53" l="1"/>
  <c r="AM102" i="53" l="1"/>
  <c r="AU102" i="53" l="1"/>
  <c r="AN102" i="53"/>
  <c r="Q103" i="53" l="1"/>
  <c r="AM103" i="53" l="1"/>
  <c r="AU103" i="53" l="1"/>
  <c r="AN103" i="53"/>
  <c r="Q104" i="53" l="1"/>
  <c r="AM104" i="53" l="1"/>
  <c r="AU104" i="53" l="1"/>
  <c r="AN104" i="53"/>
  <c r="Q105" i="53" l="1"/>
  <c r="AM105" i="53" l="1"/>
  <c r="AU105" i="53" l="1"/>
  <c r="AN105" i="53"/>
  <c r="Q106" i="53" l="1"/>
  <c r="AM106" i="53" l="1"/>
  <c r="AU106" i="53" l="1"/>
  <c r="AN106" i="53"/>
  <c r="Q107" i="53" l="1"/>
  <c r="AM107" i="53" l="1"/>
  <c r="AU107" i="53" l="1"/>
  <c r="AN107" i="53"/>
  <c r="Q108" i="53" l="1"/>
  <c r="AM108" i="53" l="1"/>
  <c r="AU108" i="53" l="1"/>
  <c r="AN108" i="53"/>
  <c r="Q109" i="53" l="1"/>
  <c r="AM109" i="53" l="1"/>
  <c r="AU109" i="53" l="1"/>
  <c r="AN109" i="53"/>
  <c r="Q110" i="53" l="1"/>
  <c r="AM110" i="53" l="1"/>
  <c r="AU110" i="53" l="1"/>
  <c r="AN110" i="53"/>
  <c r="Q111" i="53" l="1"/>
  <c r="AM111" i="53" l="1"/>
  <c r="AU111" i="53" l="1"/>
  <c r="AN111" i="53"/>
  <c r="Q112" i="53" l="1"/>
  <c r="AM112" i="53" l="1"/>
  <c r="AU112" i="53" l="1"/>
  <c r="AN112" i="53"/>
  <c r="Q113" i="53" l="1"/>
  <c r="AM113" i="53" l="1"/>
  <c r="AU113" i="53" l="1"/>
  <c r="AN113" i="53"/>
  <c r="Q114" i="53" l="1"/>
  <c r="AM114" i="53" l="1"/>
  <c r="AU114" i="53" l="1"/>
  <c r="AN114" i="53"/>
  <c r="Q115" i="53" l="1"/>
  <c r="AM115" i="53" l="1"/>
  <c r="AU115" i="53" l="1"/>
  <c r="AN115" i="53"/>
  <c r="Q116" i="53" l="1"/>
  <c r="AM116" i="53" l="1"/>
  <c r="AU116" i="53" l="1"/>
  <c r="AN116" i="53"/>
  <c r="Q117" i="53" l="1"/>
  <c r="AM117" i="53" l="1"/>
  <c r="AU117" i="53" l="1"/>
  <c r="AN117" i="53"/>
  <c r="Q118" i="53" l="1"/>
  <c r="AM118" i="53" l="1"/>
  <c r="AU118" i="53" l="1"/>
  <c r="AN118" i="53"/>
  <c r="Q119" i="53" l="1"/>
  <c r="AM119" i="53" l="1"/>
  <c r="F26" i="48"/>
  <c r="AU119" i="53" l="1"/>
  <c r="AN119" i="53"/>
  <c r="N37" i="41"/>
  <c r="H26" i="48"/>
  <c r="G26" i="48"/>
  <c r="F27" i="48"/>
  <c r="Q120" i="53" l="1"/>
  <c r="K18" i="53"/>
  <c r="K30" i="53"/>
  <c r="K42" i="53"/>
  <c r="K43" i="53"/>
  <c r="K12" i="53"/>
  <c r="H27" i="48"/>
  <c r="G27" i="48"/>
  <c r="K7" i="53"/>
  <c r="K19" i="53"/>
  <c r="K31" i="53"/>
  <c r="AM120" i="53" l="1"/>
  <c r="M7" i="53"/>
  <c r="AU120" i="53" l="1"/>
  <c r="AN120" i="53"/>
  <c r="S7" i="53"/>
  <c r="Q121" i="53" l="1"/>
  <c r="Q9" i="69"/>
  <c r="CF7" i="53"/>
  <c r="CD7" i="53"/>
  <c r="BU7" i="53"/>
  <c r="AD7" i="53"/>
  <c r="AM121" i="53" l="1"/>
  <c r="BC7" i="53"/>
  <c r="BG7" i="53"/>
  <c r="AF7" i="53"/>
  <c r="T9" i="69"/>
  <c r="S9" i="69"/>
  <c r="AB9" i="69"/>
  <c r="AM9" i="69"/>
  <c r="R9" i="69"/>
  <c r="AX9" i="69"/>
  <c r="J9" i="69"/>
  <c r="AU121" i="53" l="1"/>
  <c r="AN121" i="53"/>
  <c r="AN9" i="69"/>
  <c r="AY9" i="69"/>
  <c r="AC9" i="69"/>
  <c r="BT9" i="69"/>
  <c r="BI9" i="69"/>
  <c r="AZ7" i="53"/>
  <c r="BP7" i="53"/>
  <c r="AG7" i="53"/>
  <c r="L9" i="69"/>
  <c r="M9" i="69"/>
  <c r="K9" i="69"/>
  <c r="AP9" i="69"/>
  <c r="BA9" i="69"/>
  <c r="AE9" i="69"/>
  <c r="BS7" i="53"/>
  <c r="AO9" i="69"/>
  <c r="AD9" i="69"/>
  <c r="AZ9" i="69"/>
  <c r="CE9" i="69"/>
  <c r="Q122" i="53" l="1"/>
  <c r="AH7" i="53"/>
  <c r="AJ7" i="53" s="1"/>
  <c r="BW9" i="69"/>
  <c r="AY8" i="53"/>
  <c r="CG9" i="69"/>
  <c r="BK9" i="69"/>
  <c r="BV9" i="69"/>
  <c r="BJ9" i="69"/>
  <c r="BL9" i="69"/>
  <c r="BH7" i="53"/>
  <c r="CF9" i="69"/>
  <c r="CH9" i="69"/>
  <c r="BU9" i="69"/>
  <c r="AM122" i="53" l="1"/>
  <c r="BD7" i="53"/>
  <c r="J8" i="53" s="1"/>
  <c r="BN7" i="53"/>
  <c r="BL7" i="53"/>
  <c r="BZ7" i="53"/>
  <c r="AU122" i="53" l="1"/>
  <c r="AN122" i="53"/>
  <c r="CA7" i="53"/>
  <c r="M8" i="53"/>
  <c r="Q123" i="53" l="1"/>
  <c r="S8" i="53"/>
  <c r="AM123" i="53" l="1"/>
  <c r="Q10" i="69"/>
  <c r="CF8" i="53"/>
  <c r="CD8" i="53"/>
  <c r="BU8" i="53"/>
  <c r="AD8" i="53"/>
  <c r="AU123" i="53" l="1"/>
  <c r="AN123" i="53"/>
  <c r="T10" i="69"/>
  <c r="S10" i="69"/>
  <c r="AX10" i="69"/>
  <c r="R10" i="69"/>
  <c r="AB10" i="69"/>
  <c r="AM10" i="69"/>
  <c r="J10" i="69"/>
  <c r="BC8" i="53"/>
  <c r="AF8" i="53"/>
  <c r="BG8" i="53"/>
  <c r="Q124" i="53" l="1"/>
  <c r="AY10" i="69"/>
  <c r="AC10" i="69"/>
  <c r="AN10" i="69"/>
  <c r="AG8" i="53"/>
  <c r="BH8" i="53" s="1"/>
  <c r="CE10" i="69"/>
  <c r="AO10" i="69"/>
  <c r="AZ10" i="69"/>
  <c r="AD10" i="69"/>
  <c r="AZ8" i="53"/>
  <c r="BP8" i="53"/>
  <c r="BS8" i="53"/>
  <c r="K10" i="69"/>
  <c r="L10" i="69"/>
  <c r="M10" i="69"/>
  <c r="AP10" i="69"/>
  <c r="BA10" i="69"/>
  <c r="AE10" i="69"/>
  <c r="BT10" i="69"/>
  <c r="BI10" i="69"/>
  <c r="AM124" i="53" l="1"/>
  <c r="AH8" i="53"/>
  <c r="BD8" i="53" s="1"/>
  <c r="J9" i="53" s="1"/>
  <c r="AY9" i="53"/>
  <c r="CG10" i="69"/>
  <c r="BV10" i="69"/>
  <c r="BL10" i="69"/>
  <c r="BZ8" i="53"/>
  <c r="BU10" i="69"/>
  <c r="CH10" i="69"/>
  <c r="BJ10" i="69"/>
  <c r="BW10" i="69"/>
  <c r="BK10" i="69"/>
  <c r="CF10" i="69"/>
  <c r="AU124" i="53" l="1"/>
  <c r="AN124" i="53"/>
  <c r="AJ8" i="53"/>
  <c r="BN8" i="53" s="1"/>
  <c r="CA8" i="53"/>
  <c r="M9" i="53"/>
  <c r="Q125" i="53" l="1"/>
  <c r="BL8" i="53"/>
  <c r="S9" i="53"/>
  <c r="AM125" i="53" l="1"/>
  <c r="CF9" i="53"/>
  <c r="Q11" i="69"/>
  <c r="CD9" i="53"/>
  <c r="BU9" i="53"/>
  <c r="AD9" i="53"/>
  <c r="AU125" i="53" l="1"/>
  <c r="AN125" i="53"/>
  <c r="BC9" i="53"/>
  <c r="BG9" i="53"/>
  <c r="AF9" i="53"/>
  <c r="T11" i="69"/>
  <c r="S11" i="69"/>
  <c r="AM11" i="69"/>
  <c r="R11" i="69"/>
  <c r="AB11" i="69"/>
  <c r="AX11" i="69"/>
  <c r="J11" i="69"/>
  <c r="Q126" i="53" l="1"/>
  <c r="AG9" i="53"/>
  <c r="AH9" i="53" s="1"/>
  <c r="BD9" i="53" s="1"/>
  <c r="AP11" i="69"/>
  <c r="AE11" i="69"/>
  <c r="BA11" i="69"/>
  <c r="BI11" i="69"/>
  <c r="M11" i="69"/>
  <c r="K11" i="69"/>
  <c r="L11" i="69"/>
  <c r="CE11" i="69"/>
  <c r="AZ9" i="53"/>
  <c r="BP9" i="53"/>
  <c r="AN11" i="69"/>
  <c r="AC11" i="69"/>
  <c r="AY11" i="69"/>
  <c r="BS9" i="53"/>
  <c r="BT11" i="69"/>
  <c r="AD11" i="69"/>
  <c r="AO11" i="69"/>
  <c r="AZ11" i="69"/>
  <c r="AM126" i="53" l="1"/>
  <c r="Q128" i="53"/>
  <c r="Q138" i="53" s="1"/>
  <c r="AJ9" i="53"/>
  <c r="BN9" i="53" s="1"/>
  <c r="BV11" i="69"/>
  <c r="BU11" i="69"/>
  <c r="AY10" i="53"/>
  <c r="CH11" i="69"/>
  <c r="BL11" i="69"/>
  <c r="BW11" i="69"/>
  <c r="BK11" i="69"/>
  <c r="J10" i="53"/>
  <c r="CF11" i="69"/>
  <c r="BH9" i="53"/>
  <c r="CG11" i="69"/>
  <c r="BJ11" i="69"/>
  <c r="AU126" i="53" l="1"/>
  <c r="AU128" i="53" s="1"/>
  <c r="AM128" i="53"/>
  <c r="AN126" i="53"/>
  <c r="AN128" i="53" s="1"/>
  <c r="BL9" i="53"/>
  <c r="M10" i="53"/>
  <c r="BZ9" i="53"/>
  <c r="F11" i="48" l="1"/>
  <c r="CA9" i="53"/>
  <c r="S10" i="53"/>
  <c r="K36" i="53" l="1"/>
  <c r="I11" i="48"/>
  <c r="I13" i="48" s="1"/>
  <c r="H11" i="48"/>
  <c r="H13" i="48" s="1"/>
  <c r="F334" i="39"/>
  <c r="D11" i="48"/>
  <c r="D13" i="48" s="1"/>
  <c r="N48" i="41"/>
  <c r="F13" i="48"/>
  <c r="K24" i="53"/>
  <c r="G11" i="48"/>
  <c r="G13" i="48" s="1"/>
  <c r="Q12" i="69"/>
  <c r="CF10" i="53"/>
  <c r="CD10" i="53"/>
  <c r="BU10" i="53"/>
  <c r="AD10" i="53"/>
  <c r="K128" i="53" l="1"/>
  <c r="F200" i="39" s="1"/>
  <c r="I200" i="39" s="1"/>
  <c r="L334" i="59"/>
  <c r="I334" i="39"/>
  <c r="G334" i="39"/>
  <c r="J334" i="39"/>
  <c r="H334" i="39"/>
  <c r="AM137" i="53"/>
  <c r="L23" i="41"/>
  <c r="L24" i="41" s="1"/>
  <c r="L25" i="41" s="1"/>
  <c r="L26" i="41" s="1"/>
  <c r="N29" i="41" s="1"/>
  <c r="N69" i="41"/>
  <c r="N73" i="41" s="1"/>
  <c r="M48" i="41"/>
  <c r="BC10" i="53"/>
  <c r="AF10" i="53"/>
  <c r="BG10" i="53"/>
  <c r="S12" i="69"/>
  <c r="T12" i="69"/>
  <c r="AX12" i="69"/>
  <c r="R12" i="69"/>
  <c r="AM12" i="69"/>
  <c r="AB12" i="69"/>
  <c r="J12" i="69"/>
  <c r="K137" i="53" l="1"/>
  <c r="K138" i="53" s="1"/>
  <c r="G200" i="39"/>
  <c r="J200" i="39"/>
  <c r="H200" i="39"/>
  <c r="AU137" i="53"/>
  <c r="AN137" i="53"/>
  <c r="AM138" i="53"/>
  <c r="AZ12" i="69"/>
  <c r="AO12" i="69"/>
  <c r="AD12" i="69"/>
  <c r="BI12" i="69"/>
  <c r="AG10" i="53"/>
  <c r="BH10" i="53" s="1"/>
  <c r="BT12" i="69"/>
  <c r="AZ10" i="53"/>
  <c r="BP10" i="53"/>
  <c r="AC12" i="69"/>
  <c r="AN12" i="69"/>
  <c r="AY12" i="69"/>
  <c r="BS10" i="53"/>
  <c r="M12" i="69"/>
  <c r="K12" i="69"/>
  <c r="L12" i="69"/>
  <c r="CE12" i="69"/>
  <c r="AE12" i="69"/>
  <c r="AP12" i="69"/>
  <c r="BA12" i="69"/>
  <c r="X137" i="53" l="1"/>
  <c r="AU138" i="53"/>
  <c r="AH10" i="53"/>
  <c r="AJ10" i="53" s="1"/>
  <c r="BL10" i="53" s="1"/>
  <c r="BW12" i="69"/>
  <c r="BU12" i="69"/>
  <c r="BZ10" i="53"/>
  <c r="BJ12" i="69"/>
  <c r="AY11" i="53"/>
  <c r="BK12" i="69"/>
  <c r="BL12" i="69"/>
  <c r="BV12" i="69"/>
  <c r="CF12" i="69"/>
  <c r="CH12" i="69"/>
  <c r="CG12" i="69"/>
  <c r="Z137" i="53" l="1"/>
  <c r="Z138" i="53" s="1"/>
  <c r="X138" i="53"/>
  <c r="BN10" i="53"/>
  <c r="BD10" i="53"/>
  <c r="CA10" i="53"/>
  <c r="J11" i="53" l="1"/>
  <c r="M11" i="53" s="1"/>
  <c r="S11" i="53" s="1"/>
  <c r="Q13" i="69" l="1"/>
  <c r="CF11" i="53"/>
  <c r="CD11" i="53"/>
  <c r="BU11" i="53"/>
  <c r="AD11" i="53"/>
  <c r="BG11" i="53" l="1"/>
  <c r="BC11" i="53"/>
  <c r="AF11" i="53"/>
  <c r="T13" i="69"/>
  <c r="S13" i="69"/>
  <c r="AX13" i="69"/>
  <c r="CE13" i="69" s="1"/>
  <c r="AM13" i="69"/>
  <c r="BT13" i="69" s="1"/>
  <c r="AB13" i="69"/>
  <c r="BI13" i="69" s="1"/>
  <c r="R13" i="69"/>
  <c r="J13" i="69"/>
  <c r="AD13" i="69" l="1"/>
  <c r="BK13" i="69" s="1"/>
  <c r="AO13" i="69"/>
  <c r="BV13" i="69" s="1"/>
  <c r="AZ13" i="69"/>
  <c r="CG13" i="69" s="1"/>
  <c r="AZ11" i="53"/>
  <c r="BP11" i="53"/>
  <c r="BS11" i="53"/>
  <c r="AG11" i="53"/>
  <c r="AH11" i="53" s="1"/>
  <c r="AE13" i="69"/>
  <c r="BL13" i="69" s="1"/>
  <c r="AP13" i="69"/>
  <c r="BW13" i="69" s="1"/>
  <c r="BA13" i="69"/>
  <c r="CH13" i="69" s="1"/>
  <c r="K13" i="69"/>
  <c r="M13" i="69"/>
  <c r="L13" i="69"/>
  <c r="AY13" i="69"/>
  <c r="CF13" i="69" s="1"/>
  <c r="AC13" i="69"/>
  <c r="BJ13" i="69" s="1"/>
  <c r="AN13" i="69"/>
  <c r="BU13" i="69" s="1"/>
  <c r="BD11" i="53" l="1"/>
  <c r="AJ11" i="53"/>
  <c r="AY12" i="53"/>
  <c r="BH11" i="53"/>
  <c r="BZ11" i="53" l="1"/>
  <c r="BN11" i="53"/>
  <c r="BL11" i="53"/>
  <c r="J12" i="53"/>
  <c r="M12" i="53" l="1"/>
  <c r="CA11" i="53"/>
  <c r="S12" i="53" l="1"/>
  <c r="Q14" i="69" l="1"/>
  <c r="CF12" i="53"/>
  <c r="CD12" i="53"/>
  <c r="BU12" i="53"/>
  <c r="T12" i="53"/>
  <c r="U12" i="53" l="1"/>
  <c r="AD12" i="53" s="1"/>
  <c r="T14" i="69"/>
  <c r="S14" i="69"/>
  <c r="R14" i="69"/>
  <c r="AB14" i="69"/>
  <c r="BI14" i="69" s="1"/>
  <c r="AX14" i="69"/>
  <c r="CE14" i="69" s="1"/>
  <c r="AM14" i="69"/>
  <c r="BT14" i="69" s="1"/>
  <c r="J14" i="69"/>
  <c r="BB12" i="53"/>
  <c r="BF12" i="53" l="1"/>
  <c r="L14" i="69"/>
  <c r="K14" i="69"/>
  <c r="M14" i="69"/>
  <c r="BC12" i="53"/>
  <c r="AY14" i="69"/>
  <c r="CF14" i="69" s="1"/>
  <c r="AN14" i="69"/>
  <c r="BU14" i="69" s="1"/>
  <c r="AC14" i="69"/>
  <c r="BJ14" i="69" s="1"/>
  <c r="AF12" i="53"/>
  <c r="AZ12" i="53" s="1"/>
  <c r="AO14" i="69"/>
  <c r="BV14" i="69" s="1"/>
  <c r="AD14" i="69"/>
  <c r="BK14" i="69" s="1"/>
  <c r="AZ14" i="69"/>
  <c r="CG14" i="69" s="1"/>
  <c r="BA14" i="69"/>
  <c r="CH14" i="69" s="1"/>
  <c r="AP14" i="69"/>
  <c r="BW14" i="69" s="1"/>
  <c r="AE14" i="69"/>
  <c r="BL14" i="69" s="1"/>
  <c r="BY12" i="53"/>
  <c r="BP12" i="53" l="1"/>
  <c r="BS12" i="53"/>
  <c r="BG12" i="53"/>
  <c r="AY13" i="53"/>
  <c r="AG12" i="53" l="1"/>
  <c r="AH12" i="53" l="1"/>
  <c r="BD12" i="53" s="1"/>
  <c r="BH12" i="53"/>
  <c r="J13" i="53" l="1"/>
  <c r="M13" i="53" s="1"/>
  <c r="BZ12" i="53"/>
  <c r="AJ12" i="53"/>
  <c r="CA12" i="53" l="1"/>
  <c r="S13" i="53"/>
  <c r="BL12" i="53"/>
  <c r="BN12" i="53"/>
  <c r="Q15" i="69" l="1"/>
  <c r="CF13" i="53"/>
  <c r="CD13" i="53"/>
  <c r="BU13" i="53"/>
  <c r="T13" i="53"/>
  <c r="T15" i="69" l="1"/>
  <c r="S15" i="69"/>
  <c r="AX15" i="69"/>
  <c r="CE15" i="69" s="1"/>
  <c r="AB15" i="69"/>
  <c r="BI15" i="69" s="1"/>
  <c r="AM15" i="69"/>
  <c r="BT15" i="69" s="1"/>
  <c r="R15" i="69"/>
  <c r="J15" i="69"/>
  <c r="BB13" i="53"/>
  <c r="U13" i="53"/>
  <c r="AY15" i="69" l="1"/>
  <c r="CF15" i="69" s="1"/>
  <c r="AC15" i="69"/>
  <c r="BJ15" i="69" s="1"/>
  <c r="AN15" i="69"/>
  <c r="BU15" i="69" s="1"/>
  <c r="AO15" i="69"/>
  <c r="BV15" i="69" s="1"/>
  <c r="AD15" i="69"/>
  <c r="BK15" i="69" s="1"/>
  <c r="AZ15" i="69"/>
  <c r="CG15" i="69" s="1"/>
  <c r="AP15" i="69"/>
  <c r="BW15" i="69" s="1"/>
  <c r="AE15" i="69"/>
  <c r="BL15" i="69" s="1"/>
  <c r="BA15" i="69"/>
  <c r="CH15" i="69" s="1"/>
  <c r="BF13" i="53"/>
  <c r="M15" i="69"/>
  <c r="L15" i="69"/>
  <c r="K15" i="69"/>
  <c r="AD13" i="53"/>
  <c r="BC13" i="53" s="1"/>
  <c r="BS13" i="53" l="1"/>
  <c r="BY13" i="53"/>
  <c r="BG13" i="53" s="1"/>
  <c r="AF13" i="53"/>
  <c r="AZ13" i="53" s="1"/>
  <c r="BP13" i="53" l="1"/>
  <c r="AG13" i="53"/>
  <c r="AY14" i="53"/>
  <c r="AH13" i="53" l="1"/>
  <c r="BD13" i="53" s="1"/>
  <c r="BH13" i="53"/>
  <c r="BZ13" i="53" l="1"/>
  <c r="J14" i="53"/>
  <c r="M14" i="53" s="1"/>
  <c r="AJ13" i="53"/>
  <c r="CA13" i="53" l="1"/>
  <c r="S14" i="53"/>
  <c r="T14" i="53" s="1"/>
  <c r="BN13" i="53"/>
  <c r="BL13" i="53"/>
  <c r="BB14" i="53" l="1"/>
  <c r="Q16" i="69"/>
  <c r="CF14" i="53"/>
  <c r="CD14" i="53"/>
  <c r="BU14" i="53"/>
  <c r="U14" i="53"/>
  <c r="BF14" i="53" s="1"/>
  <c r="AD14" i="53" l="1"/>
  <c r="AF14" i="53" s="1"/>
  <c r="AZ14" i="53" s="1"/>
  <c r="BY14" i="53"/>
  <c r="T16" i="69"/>
  <c r="S16" i="69"/>
  <c r="AX16" i="69"/>
  <c r="CE16" i="69" s="1"/>
  <c r="AM16" i="69"/>
  <c r="BT16" i="69" s="1"/>
  <c r="AB16" i="69"/>
  <c r="BI16" i="69" s="1"/>
  <c r="R16" i="69"/>
  <c r="J16" i="69"/>
  <c r="BC14" i="53" l="1"/>
  <c r="BS14" i="53" s="1"/>
  <c r="AC16" i="69"/>
  <c r="BJ16" i="69" s="1"/>
  <c r="AY16" i="69"/>
  <c r="CF16" i="69" s="1"/>
  <c r="AN16" i="69"/>
  <c r="BU16" i="69" s="1"/>
  <c r="K16" i="69"/>
  <c r="M16" i="69"/>
  <c r="L16" i="69"/>
  <c r="BG14" i="53"/>
  <c r="AY15" i="53"/>
  <c r="AD16" i="69"/>
  <c r="BK16" i="69" s="1"/>
  <c r="AO16" i="69"/>
  <c r="BV16" i="69" s="1"/>
  <c r="AZ16" i="69"/>
  <c r="CG16" i="69" s="1"/>
  <c r="AP16" i="69"/>
  <c r="BW16" i="69" s="1"/>
  <c r="BA16" i="69"/>
  <c r="CH16" i="69" s="1"/>
  <c r="AE16" i="69"/>
  <c r="BL16" i="69" s="1"/>
  <c r="BP14" i="53"/>
  <c r="AG14" i="53" l="1"/>
  <c r="AH14" i="53" l="1"/>
  <c r="BD14" i="53" s="1"/>
  <c r="BH14" i="53"/>
  <c r="AJ14" i="53" l="1"/>
  <c r="BL14" i="53" s="1"/>
  <c r="BZ14" i="53"/>
  <c r="J15" i="53"/>
  <c r="M15" i="53" s="1"/>
  <c r="BN14" i="53" l="1"/>
  <c r="S15" i="53"/>
  <c r="CA14" i="53"/>
  <c r="Q17" i="69" l="1"/>
  <c r="CF15" i="53"/>
  <c r="CD15" i="53"/>
  <c r="BU15" i="53"/>
  <c r="T15" i="53"/>
  <c r="U15" i="53" s="1"/>
  <c r="BF15" i="53" s="1"/>
  <c r="BY15" i="53" l="1"/>
  <c r="BB15" i="53"/>
  <c r="T17" i="69"/>
  <c r="S17" i="69"/>
  <c r="AB17" i="69"/>
  <c r="BI17" i="69" s="1"/>
  <c r="R17" i="69"/>
  <c r="AM17" i="69"/>
  <c r="BT17" i="69" s="1"/>
  <c r="AX17" i="69"/>
  <c r="CE17" i="69" s="1"/>
  <c r="J17" i="69"/>
  <c r="AD15" i="53"/>
  <c r="BC15" i="53" l="1"/>
  <c r="AN17" i="69"/>
  <c r="BU17" i="69" s="1"/>
  <c r="AY17" i="69"/>
  <c r="CF17" i="69" s="1"/>
  <c r="AC17" i="69"/>
  <c r="BJ17" i="69" s="1"/>
  <c r="AZ17" i="69"/>
  <c r="CG17" i="69" s="1"/>
  <c r="AD17" i="69"/>
  <c r="BK17" i="69" s="1"/>
  <c r="AO17" i="69"/>
  <c r="BV17" i="69" s="1"/>
  <c r="AE17" i="69"/>
  <c r="BL17" i="69" s="1"/>
  <c r="BA17" i="69"/>
  <c r="CH17" i="69" s="1"/>
  <c r="AP17" i="69"/>
  <c r="BW17" i="69" s="1"/>
  <c r="AF15" i="53"/>
  <c r="K17" i="69"/>
  <c r="L17" i="69"/>
  <c r="M17" i="69"/>
  <c r="BG15" i="53"/>
  <c r="AG15" i="53" l="1"/>
  <c r="AZ15" i="53"/>
  <c r="BP15" i="53"/>
  <c r="BS15" i="53"/>
  <c r="AY16" i="53" l="1"/>
  <c r="AH15" i="53"/>
  <c r="BD15" i="53" s="1"/>
  <c r="BH15" i="53"/>
  <c r="J16" i="53" l="1"/>
  <c r="M16" i="53" s="1"/>
  <c r="BZ15" i="53"/>
  <c r="AJ15" i="53"/>
  <c r="CA15" i="53" l="1"/>
  <c r="S16" i="53"/>
  <c r="BN15" i="53"/>
  <c r="BL15" i="53"/>
  <c r="T16" i="53" l="1"/>
  <c r="BB16" i="53" s="1"/>
  <c r="Q18" i="69"/>
  <c r="CF16" i="53"/>
  <c r="CD16" i="53"/>
  <c r="BU16" i="53"/>
  <c r="T18" i="69" l="1"/>
  <c r="S18" i="69"/>
  <c r="AX18" i="69"/>
  <c r="CE18" i="69" s="1"/>
  <c r="AM18" i="69"/>
  <c r="BT18" i="69" s="1"/>
  <c r="R18" i="69"/>
  <c r="AB18" i="69"/>
  <c r="BI18" i="69" s="1"/>
  <c r="J18" i="69"/>
  <c r="U16" i="53"/>
  <c r="BF16" i="53" s="1"/>
  <c r="AD16" i="53" l="1"/>
  <c r="AF16" i="53" s="1"/>
  <c r="AZ16" i="53" s="1"/>
  <c r="AD18" i="69"/>
  <c r="BK18" i="69" s="1"/>
  <c r="AZ18" i="69"/>
  <c r="CG18" i="69" s="1"/>
  <c r="AO18" i="69"/>
  <c r="BV18" i="69" s="1"/>
  <c r="AC18" i="69"/>
  <c r="BJ18" i="69" s="1"/>
  <c r="AN18" i="69"/>
  <c r="BU18" i="69" s="1"/>
  <c r="AY18" i="69"/>
  <c r="CF18" i="69" s="1"/>
  <c r="BA18" i="69"/>
  <c r="CH18" i="69" s="1"/>
  <c r="AP18" i="69"/>
  <c r="BW18" i="69" s="1"/>
  <c r="AE18" i="69"/>
  <c r="BL18" i="69" s="1"/>
  <c r="BY16" i="53"/>
  <c r="L18" i="69"/>
  <c r="M18" i="69"/>
  <c r="K18" i="69"/>
  <c r="BC16" i="53" l="1"/>
  <c r="BS16" i="53" s="1"/>
  <c r="BG16" i="53"/>
  <c r="AG16" i="53" s="1"/>
  <c r="BH16" i="53" s="1"/>
  <c r="BP16" i="53"/>
  <c r="AY17" i="53"/>
  <c r="AH16" i="53" l="1"/>
  <c r="BD16" i="53" s="1"/>
  <c r="J17" i="53" s="1"/>
  <c r="M17" i="53" s="1"/>
  <c r="BZ16" i="53"/>
  <c r="AJ16" i="53" l="1"/>
  <c r="BN16" i="53" s="1"/>
  <c r="CA16" i="53"/>
  <c r="S17" i="53"/>
  <c r="T17" i="53" s="1"/>
  <c r="BB17" i="53" s="1"/>
  <c r="BL16" i="53" l="1"/>
  <c r="U17" i="53"/>
  <c r="BF17" i="53" s="1"/>
  <c r="Q19" i="69"/>
  <c r="CF17" i="53"/>
  <c r="CD17" i="53"/>
  <c r="BU17" i="53"/>
  <c r="AD17" i="53" l="1"/>
  <c r="AF17" i="53" s="1"/>
  <c r="BY17" i="53"/>
  <c r="S19" i="69"/>
  <c r="T19" i="69"/>
  <c r="AX19" i="69"/>
  <c r="CE19" i="69" s="1"/>
  <c r="R19" i="69"/>
  <c r="AM19" i="69"/>
  <c r="BT19" i="69" s="1"/>
  <c r="AB19" i="69"/>
  <c r="BI19" i="69" s="1"/>
  <c r="J19" i="69"/>
  <c r="BG17" i="53" l="1"/>
  <c r="AG17" i="53" s="1"/>
  <c r="BH17" i="53" s="1"/>
  <c r="BC17" i="53"/>
  <c r="BS17" i="53" s="1"/>
  <c r="AZ17" i="53"/>
  <c r="AY18" i="53" s="1"/>
  <c r="BP17" i="53"/>
  <c r="AP19" i="69"/>
  <c r="BW19" i="69" s="1"/>
  <c r="AE19" i="69"/>
  <c r="BL19" i="69" s="1"/>
  <c r="BA19" i="69"/>
  <c r="CH19" i="69" s="1"/>
  <c r="AD19" i="69"/>
  <c r="BK19" i="69" s="1"/>
  <c r="AO19" i="69"/>
  <c r="BV19" i="69" s="1"/>
  <c r="AZ19" i="69"/>
  <c r="CG19" i="69" s="1"/>
  <c r="AC19" i="69"/>
  <c r="BJ19" i="69" s="1"/>
  <c r="AN19" i="69"/>
  <c r="BU19" i="69" s="1"/>
  <c r="AY19" i="69"/>
  <c r="CF19" i="69" s="1"/>
  <c r="L19" i="69"/>
  <c r="K19" i="69"/>
  <c r="M19" i="69"/>
  <c r="AH17" i="53" l="1"/>
  <c r="AJ17" i="53" s="1"/>
  <c r="BL17" i="53" s="1"/>
  <c r="BZ17" i="53"/>
  <c r="BD17" i="53" l="1"/>
  <c r="J18" i="53" s="1"/>
  <c r="M18" i="53" s="1"/>
  <c r="BN17" i="53"/>
  <c r="CA17" i="53"/>
  <c r="S18" i="53" l="1"/>
  <c r="Q20" i="69" l="1"/>
  <c r="CF18" i="53"/>
  <c r="CD18" i="53"/>
  <c r="BU18" i="53"/>
  <c r="T18" i="53"/>
  <c r="BB18" i="53" s="1"/>
  <c r="U18" i="53" l="1"/>
  <c r="BF18" i="53" s="1"/>
  <c r="BY18" i="53" s="1"/>
  <c r="AM20" i="69"/>
  <c r="BT20" i="69" s="1"/>
  <c r="S20" i="69"/>
  <c r="AB20" i="69"/>
  <c r="BI20" i="69" s="1"/>
  <c r="T20" i="69"/>
  <c r="AX20" i="69"/>
  <c r="CE20" i="69" s="1"/>
  <c r="R20" i="69"/>
  <c r="J20" i="69"/>
  <c r="AD18" i="53" l="1"/>
  <c r="BC18" i="53" s="1"/>
  <c r="BS18" i="53" s="1"/>
  <c r="AZ20" i="69"/>
  <c r="CG20" i="69" s="1"/>
  <c r="AD20" i="69"/>
  <c r="BK20" i="69" s="1"/>
  <c r="AO20" i="69"/>
  <c r="BV20" i="69" s="1"/>
  <c r="AN20" i="69"/>
  <c r="BU20" i="69" s="1"/>
  <c r="AY20" i="69"/>
  <c r="CF20" i="69" s="1"/>
  <c r="AC20" i="69"/>
  <c r="BJ20" i="69" s="1"/>
  <c r="AE20" i="69"/>
  <c r="BL20" i="69" s="1"/>
  <c r="BA20" i="69"/>
  <c r="CH20" i="69" s="1"/>
  <c r="AP20" i="69"/>
  <c r="BW20" i="69" s="1"/>
  <c r="L20" i="69"/>
  <c r="K20" i="69"/>
  <c r="M20" i="69"/>
  <c r="BG18" i="53" l="1"/>
  <c r="AF18" i="53"/>
  <c r="AG18" i="53" l="1"/>
  <c r="BH18" i="53" s="1"/>
  <c r="BZ18" i="53" s="1"/>
  <c r="CA18" i="53" s="1"/>
  <c r="AZ18" i="53"/>
  <c r="AY19" i="53" s="1"/>
  <c r="BP18" i="53"/>
  <c r="AH18" i="53" l="1"/>
  <c r="BD18" i="53" s="1"/>
  <c r="J19" i="53" s="1"/>
  <c r="M19" i="53" s="1"/>
  <c r="S19" i="53" s="1"/>
  <c r="AJ18" i="53" l="1"/>
  <c r="T19" i="53"/>
  <c r="BB19" i="53" s="1"/>
  <c r="Q21" i="69"/>
  <c r="CF19" i="53"/>
  <c r="CD19" i="53"/>
  <c r="BU19" i="53"/>
  <c r="BL18" i="53" l="1"/>
  <c r="BN18" i="53"/>
  <c r="T21" i="69"/>
  <c r="AB21" i="69"/>
  <c r="BI21" i="69" s="1"/>
  <c r="R21" i="69"/>
  <c r="AM21" i="69"/>
  <c r="BT21" i="69" s="1"/>
  <c r="AX21" i="69"/>
  <c r="CE21" i="69" s="1"/>
  <c r="S21" i="69"/>
  <c r="J21" i="69"/>
  <c r="U19" i="53"/>
  <c r="BF19" i="53" s="1"/>
  <c r="AY21" i="69" l="1"/>
  <c r="CF21" i="69" s="1"/>
  <c r="AC21" i="69"/>
  <c r="BJ21" i="69" s="1"/>
  <c r="AN21" i="69"/>
  <c r="BU21" i="69" s="1"/>
  <c r="AZ21" i="69"/>
  <c r="CG21" i="69" s="1"/>
  <c r="AO21" i="69"/>
  <c r="BV21" i="69" s="1"/>
  <c r="AD21" i="69"/>
  <c r="BK21" i="69" s="1"/>
  <c r="AD19" i="53"/>
  <c r="BY19" i="53"/>
  <c r="AP21" i="69"/>
  <c r="BW21" i="69" s="1"/>
  <c r="AE21" i="69"/>
  <c r="BL21" i="69" s="1"/>
  <c r="BA21" i="69"/>
  <c r="CH21" i="69" s="1"/>
  <c r="L21" i="69"/>
  <c r="K21" i="69"/>
  <c r="M21" i="69"/>
  <c r="BG19" i="53" l="1"/>
  <c r="AF19" i="53"/>
  <c r="BC19" i="53"/>
  <c r="AZ19" i="53" l="1"/>
  <c r="BP19" i="53"/>
  <c r="BS19" i="53"/>
  <c r="AG19" i="53"/>
  <c r="BH19" i="53" s="1"/>
  <c r="CC20" i="53" l="1"/>
  <c r="BZ19" i="53"/>
  <c r="AH19" i="53"/>
  <c r="BD19" i="53" s="1"/>
  <c r="AY20" i="53"/>
  <c r="J20" i="53" l="1"/>
  <c r="M20" i="53" s="1"/>
  <c r="CA19" i="53"/>
  <c r="AJ19" i="53"/>
  <c r="S20" i="53" l="1"/>
  <c r="BL19" i="53"/>
  <c r="BN19" i="53"/>
  <c r="Q22" i="69" l="1"/>
  <c r="CF20" i="53"/>
  <c r="CD20" i="53"/>
  <c r="BU20" i="53"/>
  <c r="T20" i="53"/>
  <c r="BB20" i="53" s="1"/>
  <c r="U20" i="53" l="1"/>
  <c r="BF20" i="53" s="1"/>
  <c r="AM22" i="69"/>
  <c r="BT22" i="69" s="1"/>
  <c r="AB22" i="69"/>
  <c r="BI22" i="69" s="1"/>
  <c r="AX22" i="69"/>
  <c r="CE22" i="69" s="1"/>
  <c r="T22" i="69"/>
  <c r="S22" i="69"/>
  <c r="R22" i="69"/>
  <c r="J22" i="69"/>
  <c r="AD20" i="53" l="1"/>
  <c r="AF20" i="53" s="1"/>
  <c r="AZ20" i="53" s="1"/>
  <c r="L22" i="69"/>
  <c r="K22" i="69"/>
  <c r="M22" i="69"/>
  <c r="AN22" i="69"/>
  <c r="BU22" i="69" s="1"/>
  <c r="AC22" i="69"/>
  <c r="BJ22" i="69" s="1"/>
  <c r="AY22" i="69"/>
  <c r="CF22" i="69" s="1"/>
  <c r="AE22" i="69"/>
  <c r="BL22" i="69" s="1"/>
  <c r="BA22" i="69"/>
  <c r="CH22" i="69" s="1"/>
  <c r="AP22" i="69"/>
  <c r="BW22" i="69" s="1"/>
  <c r="BY20" i="53"/>
  <c r="AZ22" i="69"/>
  <c r="CG22" i="69" s="1"/>
  <c r="AO22" i="69"/>
  <c r="BV22" i="69" s="1"/>
  <c r="AD22" i="69"/>
  <c r="BK22" i="69" s="1"/>
  <c r="BC20" i="53" l="1"/>
  <c r="BS20" i="53" s="1"/>
  <c r="BG20" i="53"/>
  <c r="AG20" i="53" s="1"/>
  <c r="BH20" i="53" s="1"/>
  <c r="BP20" i="53"/>
  <c r="AY21" i="53"/>
  <c r="BZ20" i="53" l="1"/>
  <c r="AH20" i="53"/>
  <c r="BD20" i="53" s="1"/>
  <c r="AJ20" i="53" l="1"/>
  <c r="J21" i="53"/>
  <c r="M21" i="53" s="1"/>
  <c r="CA20" i="53"/>
  <c r="S21" i="53" l="1"/>
  <c r="BN20" i="53"/>
  <c r="BL20" i="53"/>
  <c r="Q23" i="69" l="1"/>
  <c r="CF21" i="53"/>
  <c r="CD21" i="53"/>
  <c r="BU21" i="53"/>
  <c r="T21" i="53"/>
  <c r="BB21" i="53" s="1"/>
  <c r="AM23" i="69" l="1"/>
  <c r="BT23" i="69" s="1"/>
  <c r="AX23" i="69"/>
  <c r="CE23" i="69" s="1"/>
  <c r="T23" i="69"/>
  <c r="R23" i="69"/>
  <c r="AB23" i="69"/>
  <c r="BI23" i="69" s="1"/>
  <c r="S23" i="69"/>
  <c r="J23" i="69"/>
  <c r="U21" i="53"/>
  <c r="BF21" i="53" s="1"/>
  <c r="AO23" i="69" l="1"/>
  <c r="BV23" i="69" s="1"/>
  <c r="AZ23" i="69"/>
  <c r="CG23" i="69" s="1"/>
  <c r="AD23" i="69"/>
  <c r="BK23" i="69" s="1"/>
  <c r="L23" i="69"/>
  <c r="K23" i="69"/>
  <c r="M23" i="69"/>
  <c r="AY23" i="69"/>
  <c r="CF23" i="69" s="1"/>
  <c r="AN23" i="69"/>
  <c r="BU23" i="69" s="1"/>
  <c r="AC23" i="69"/>
  <c r="BJ23" i="69" s="1"/>
  <c r="BY21" i="53"/>
  <c r="AD21" i="53"/>
  <c r="BA23" i="69"/>
  <c r="CH23" i="69" s="1"/>
  <c r="AE23" i="69"/>
  <c r="BL23" i="69" s="1"/>
  <c r="AP23" i="69"/>
  <c r="BW23" i="69" s="1"/>
  <c r="BG21" i="53" l="1"/>
  <c r="AF21" i="53"/>
  <c r="BC21" i="53"/>
  <c r="AG21" i="53" l="1"/>
  <c r="BH21" i="53" s="1"/>
  <c r="BZ21" i="53" s="1"/>
  <c r="BS21" i="53"/>
  <c r="AZ21" i="53"/>
  <c r="BP21" i="53"/>
  <c r="AH21" i="53" l="1"/>
  <c r="AJ21" i="53" s="1"/>
  <c r="BN21" i="53" s="1"/>
  <c r="CA21" i="53"/>
  <c r="AY22" i="53"/>
  <c r="BD21" i="53" l="1"/>
  <c r="J22" i="53" s="1"/>
  <c r="M22" i="53" s="1"/>
  <c r="BL21" i="53"/>
  <c r="S22" i="53" l="1"/>
  <c r="Q24" i="69" l="1"/>
  <c r="CF22" i="53"/>
  <c r="CD22" i="53"/>
  <c r="BU22" i="53"/>
  <c r="T22" i="53"/>
  <c r="BB22" i="53" s="1"/>
  <c r="U22" i="53" l="1"/>
  <c r="BF22" i="53" s="1"/>
  <c r="AB24" i="69"/>
  <c r="BI24" i="69" s="1"/>
  <c r="AM24" i="69"/>
  <c r="BT24" i="69" s="1"/>
  <c r="AX24" i="69"/>
  <c r="CE24" i="69" s="1"/>
  <c r="R24" i="69"/>
  <c r="T24" i="69"/>
  <c r="S24" i="69"/>
  <c r="J24" i="69"/>
  <c r="BY22" i="53" l="1"/>
  <c r="AO24" i="69"/>
  <c r="BV24" i="69" s="1"/>
  <c r="AZ24" i="69"/>
  <c r="CG24" i="69" s="1"/>
  <c r="AD24" i="69"/>
  <c r="BK24" i="69" s="1"/>
  <c r="AC24" i="69"/>
  <c r="BJ24" i="69" s="1"/>
  <c r="AN24" i="69"/>
  <c r="BU24" i="69" s="1"/>
  <c r="AY24" i="69"/>
  <c r="CF24" i="69" s="1"/>
  <c r="AD22" i="53"/>
  <c r="L24" i="69"/>
  <c r="K24" i="69"/>
  <c r="M24" i="69"/>
  <c r="AP24" i="69"/>
  <c r="BW24" i="69" s="1"/>
  <c r="AE24" i="69"/>
  <c r="BL24" i="69" s="1"/>
  <c r="BA24" i="69"/>
  <c r="CH24" i="69" s="1"/>
  <c r="BG22" i="53" l="1"/>
  <c r="AF22" i="53"/>
  <c r="BC22" i="53"/>
  <c r="BS22" i="53" l="1"/>
  <c r="AZ22" i="53"/>
  <c r="BP22" i="53"/>
  <c r="AG22" i="53"/>
  <c r="BH22" i="53" s="1"/>
  <c r="BZ22" i="53" l="1"/>
  <c r="AH22" i="53"/>
  <c r="BD22" i="53" s="1"/>
  <c r="AY23" i="53"/>
  <c r="J23" i="53" l="1"/>
  <c r="M23" i="53" s="1"/>
  <c r="CA22" i="53"/>
  <c r="AJ22" i="53"/>
  <c r="BN22" i="53" l="1"/>
  <c r="BL22" i="53"/>
  <c r="S23" i="53"/>
  <c r="CF23" i="53" l="1"/>
  <c r="Q25" i="69"/>
  <c r="CD23" i="53"/>
  <c r="BU23" i="53"/>
  <c r="T23" i="53"/>
  <c r="BB23" i="53" s="1"/>
  <c r="AX25" i="69" l="1"/>
  <c r="CE25" i="69" s="1"/>
  <c r="AM25" i="69"/>
  <c r="BT25" i="69" s="1"/>
  <c r="S25" i="69"/>
  <c r="AB25" i="69"/>
  <c r="BI25" i="69" s="1"/>
  <c r="R25" i="69"/>
  <c r="T25" i="69"/>
  <c r="J25" i="69"/>
  <c r="U23" i="53"/>
  <c r="BF23" i="53" s="1"/>
  <c r="L25" i="69" l="1"/>
  <c r="M25" i="69"/>
  <c r="K25" i="69"/>
  <c r="AY25" i="69"/>
  <c r="CF25" i="69" s="1"/>
  <c r="AC25" i="69"/>
  <c r="BJ25" i="69" s="1"/>
  <c r="AN25" i="69"/>
  <c r="BU25" i="69" s="1"/>
  <c r="AE25" i="69"/>
  <c r="BL25" i="69" s="1"/>
  <c r="AP25" i="69"/>
  <c r="BW25" i="69" s="1"/>
  <c r="BA25" i="69"/>
  <c r="CH25" i="69" s="1"/>
  <c r="AO25" i="69"/>
  <c r="BV25" i="69" s="1"/>
  <c r="AD25" i="69"/>
  <c r="BK25" i="69" s="1"/>
  <c r="AZ25" i="69"/>
  <c r="CG25" i="69" s="1"/>
  <c r="BY23" i="53"/>
  <c r="AD23" i="53"/>
  <c r="BG23" i="53" l="1"/>
  <c r="AF23" i="53"/>
  <c r="BC23" i="53"/>
  <c r="AZ23" i="53" l="1"/>
  <c r="BP23" i="53"/>
  <c r="BS23" i="53"/>
  <c r="AG23" i="53"/>
  <c r="BH23" i="53" s="1"/>
  <c r="BZ23" i="53" l="1"/>
  <c r="AH23" i="53"/>
  <c r="BD23" i="53" s="1"/>
  <c r="AY24" i="53"/>
  <c r="J24" i="53" l="1"/>
  <c r="M24" i="53" s="1"/>
  <c r="AJ23" i="53"/>
  <c r="CA23" i="53"/>
  <c r="BL23" i="53" l="1"/>
  <c r="BN23" i="53"/>
  <c r="S24" i="53"/>
  <c r="Q26" i="69" l="1"/>
  <c r="CF24" i="53"/>
  <c r="CD24" i="53"/>
  <c r="BU24" i="53"/>
  <c r="T24" i="53"/>
  <c r="BB24" i="53" s="1"/>
  <c r="U24" i="53" l="1"/>
  <c r="BF24" i="53" s="1"/>
  <c r="R26" i="69"/>
  <c r="T26" i="69"/>
  <c r="AM26" i="69"/>
  <c r="BT26" i="69" s="1"/>
  <c r="S26" i="69"/>
  <c r="AB26" i="69"/>
  <c r="BI26" i="69" s="1"/>
  <c r="AX26" i="69"/>
  <c r="CE26" i="69" s="1"/>
  <c r="J26" i="69"/>
  <c r="BY24" i="53" l="1"/>
  <c r="L26" i="69"/>
  <c r="M26" i="69"/>
  <c r="K26" i="69"/>
  <c r="AD24" i="53"/>
  <c r="BA26" i="69"/>
  <c r="CH26" i="69" s="1"/>
  <c r="AE26" i="69"/>
  <c r="BL26" i="69" s="1"/>
  <c r="AP26" i="69"/>
  <c r="BW26" i="69" s="1"/>
  <c r="AC26" i="69"/>
  <c r="BJ26" i="69" s="1"/>
  <c r="AY26" i="69"/>
  <c r="CF26" i="69" s="1"/>
  <c r="AN26" i="69"/>
  <c r="BU26" i="69" s="1"/>
  <c r="AZ26" i="69"/>
  <c r="CG26" i="69" s="1"/>
  <c r="AD26" i="69"/>
  <c r="BK26" i="69" s="1"/>
  <c r="AO26" i="69"/>
  <c r="BV26" i="69" s="1"/>
  <c r="BG24" i="53" l="1"/>
  <c r="AF24" i="53"/>
  <c r="BC24" i="53"/>
  <c r="BS24" i="53" l="1"/>
  <c r="AZ24" i="53"/>
  <c r="BP24" i="53"/>
  <c r="AG24" i="53"/>
  <c r="BH24" i="53" s="1"/>
  <c r="BZ24" i="53" l="1"/>
  <c r="AY25" i="53"/>
  <c r="AH24" i="53"/>
  <c r="BD24" i="53" s="1"/>
  <c r="CA24" i="53" l="1"/>
  <c r="J25" i="53"/>
  <c r="M25" i="53" s="1"/>
  <c r="AJ24" i="53"/>
  <c r="S25" i="53" l="1"/>
  <c r="BN24" i="53"/>
  <c r="BL24" i="53"/>
  <c r="Q27" i="69" l="1"/>
  <c r="CF25" i="53"/>
  <c r="CD25" i="53"/>
  <c r="BU25" i="53"/>
  <c r="T25" i="53"/>
  <c r="BB25" i="53" s="1"/>
  <c r="AB27" i="69" l="1"/>
  <c r="BI27" i="69" s="1"/>
  <c r="AM27" i="69"/>
  <c r="BT27" i="69" s="1"/>
  <c r="T27" i="69"/>
  <c r="R27" i="69"/>
  <c r="AX27" i="69"/>
  <c r="CE27" i="69" s="1"/>
  <c r="S27" i="69"/>
  <c r="J27" i="69"/>
  <c r="U25" i="53"/>
  <c r="BF25" i="53" s="1"/>
  <c r="AZ27" i="69" l="1"/>
  <c r="CG27" i="69" s="1"/>
  <c r="AD27" i="69"/>
  <c r="BK27" i="69" s="1"/>
  <c r="AO27" i="69"/>
  <c r="BV27" i="69" s="1"/>
  <c r="AY27" i="69"/>
  <c r="CF27" i="69" s="1"/>
  <c r="AN27" i="69"/>
  <c r="BU27" i="69" s="1"/>
  <c r="AC27" i="69"/>
  <c r="BJ27" i="69" s="1"/>
  <c r="BA27" i="69"/>
  <c r="CH27" i="69" s="1"/>
  <c r="AP27" i="69"/>
  <c r="BW27" i="69" s="1"/>
  <c r="AE27" i="69"/>
  <c r="BL27" i="69" s="1"/>
  <c r="L27" i="69"/>
  <c r="M27" i="69"/>
  <c r="K27" i="69"/>
  <c r="BY25" i="53"/>
  <c r="AD25" i="53"/>
  <c r="BG25" i="53" l="1"/>
  <c r="AF25" i="53"/>
  <c r="BC25" i="53"/>
  <c r="BS25" i="53" l="1"/>
  <c r="AZ25" i="53"/>
  <c r="BP25" i="53"/>
  <c r="AG25" i="53"/>
  <c r="BH25" i="53" s="1"/>
  <c r="BZ25" i="53" l="1"/>
  <c r="AY26" i="53"/>
  <c r="AH25" i="53"/>
  <c r="BD25" i="53" s="1"/>
  <c r="J26" i="53" l="1"/>
  <c r="M26" i="53" s="1"/>
  <c r="AJ25" i="53"/>
  <c r="CA25" i="53"/>
  <c r="BL25" i="53" l="1"/>
  <c r="BN25" i="53"/>
  <c r="S26" i="53"/>
  <c r="Q28" i="69" l="1"/>
  <c r="CF26" i="53"/>
  <c r="CD26" i="53"/>
  <c r="BU26" i="53"/>
  <c r="T26" i="53"/>
  <c r="BB26" i="53" s="1"/>
  <c r="U26" i="53" l="1"/>
  <c r="BF26" i="53" s="1"/>
  <c r="BY26" i="53" s="1"/>
  <c r="R28" i="69"/>
  <c r="S28" i="69"/>
  <c r="AB28" i="69"/>
  <c r="BI28" i="69" s="1"/>
  <c r="AX28" i="69"/>
  <c r="CE28" i="69" s="1"/>
  <c r="T28" i="69"/>
  <c r="AM28" i="69"/>
  <c r="BT28" i="69" s="1"/>
  <c r="J28" i="69"/>
  <c r="AD26" i="53" l="1"/>
  <c r="BC26" i="53" s="1"/>
  <c r="BS26" i="53" s="1"/>
  <c r="AO28" i="69"/>
  <c r="BV28" i="69" s="1"/>
  <c r="AZ28" i="69"/>
  <c r="CG28" i="69" s="1"/>
  <c r="AD28" i="69"/>
  <c r="BK28" i="69" s="1"/>
  <c r="AY28" i="69"/>
  <c r="CF28" i="69" s="1"/>
  <c r="AN28" i="69"/>
  <c r="BU28" i="69" s="1"/>
  <c r="AC28" i="69"/>
  <c r="BJ28" i="69" s="1"/>
  <c r="L28" i="69"/>
  <c r="K28" i="69"/>
  <c r="M28" i="69"/>
  <c r="AP28" i="69"/>
  <c r="BW28" i="69" s="1"/>
  <c r="AE28" i="69"/>
  <c r="BL28" i="69" s="1"/>
  <c r="BA28" i="69"/>
  <c r="CH28" i="69" s="1"/>
  <c r="AF26" i="53" l="1"/>
  <c r="AZ26" i="53" s="1"/>
  <c r="BG26" i="53"/>
  <c r="AG26" i="53" l="1"/>
  <c r="BH26" i="53" s="1"/>
  <c r="BZ26" i="53" s="1"/>
  <c r="BP26" i="53"/>
  <c r="AY27" i="53"/>
  <c r="AH26" i="53" l="1"/>
  <c r="BD26" i="53" s="1"/>
  <c r="J27" i="53" s="1"/>
  <c r="M27" i="53" s="1"/>
  <c r="S27" i="53" s="1"/>
  <c r="T27" i="53" s="1"/>
  <c r="BB27" i="53" s="1"/>
  <c r="CA26" i="53"/>
  <c r="AJ26" i="53" l="1"/>
  <c r="BL26" i="53" s="1"/>
  <c r="Q29" i="69"/>
  <c r="CF27" i="53"/>
  <c r="CD27" i="53"/>
  <c r="BU27" i="53"/>
  <c r="U27" i="53"/>
  <c r="BF27" i="53" s="1"/>
  <c r="BN26" i="53" l="1"/>
  <c r="R29" i="69"/>
  <c r="S29" i="69"/>
  <c r="AX29" i="69"/>
  <c r="CE29" i="69" s="1"/>
  <c r="AM29" i="69"/>
  <c r="BT29" i="69" s="1"/>
  <c r="T29" i="69"/>
  <c r="AB29" i="69"/>
  <c r="BI29" i="69" s="1"/>
  <c r="J29" i="69"/>
  <c r="AD27" i="53"/>
  <c r="BY27" i="53"/>
  <c r="BG27" i="53" l="1"/>
  <c r="K29" i="69"/>
  <c r="L29" i="69"/>
  <c r="M29" i="69"/>
  <c r="AO29" i="69"/>
  <c r="BV29" i="69" s="1"/>
  <c r="AD29" i="69"/>
  <c r="BK29" i="69" s="1"/>
  <c r="AZ29" i="69"/>
  <c r="CG29" i="69" s="1"/>
  <c r="AF27" i="53"/>
  <c r="BC27" i="53"/>
  <c r="AP29" i="69"/>
  <c r="BW29" i="69" s="1"/>
  <c r="BA29" i="69"/>
  <c r="CH29" i="69" s="1"/>
  <c r="AE29" i="69"/>
  <c r="BL29" i="69" s="1"/>
  <c r="AN29" i="69"/>
  <c r="BU29" i="69" s="1"/>
  <c r="AC29" i="69"/>
  <c r="BJ29" i="69" s="1"/>
  <c r="AY29" i="69"/>
  <c r="CF29" i="69" s="1"/>
  <c r="AZ27" i="53" l="1"/>
  <c r="BP27" i="53"/>
  <c r="AG27" i="53"/>
  <c r="BH27" i="53" s="1"/>
  <c r="BS27" i="53"/>
  <c r="AH27" i="53" l="1"/>
  <c r="AJ27" i="53" s="1"/>
  <c r="BL27" i="53" s="1"/>
  <c r="BZ27" i="53"/>
  <c r="AY28" i="53"/>
  <c r="BD27" i="53" l="1"/>
  <c r="J28" i="53" s="1"/>
  <c r="M28" i="53" s="1"/>
  <c r="BN27" i="53"/>
  <c r="CA27" i="53"/>
  <c r="S28" i="53" l="1"/>
  <c r="Q30" i="69" l="1"/>
  <c r="CF28" i="53"/>
  <c r="CD28" i="53"/>
  <c r="BU28" i="53"/>
  <c r="T28" i="53"/>
  <c r="BB28" i="53" s="1"/>
  <c r="AX30" i="69" l="1"/>
  <c r="CE30" i="69" s="1"/>
  <c r="AM30" i="69"/>
  <c r="BT30" i="69" s="1"/>
  <c r="R30" i="69"/>
  <c r="AB30" i="69"/>
  <c r="BI30" i="69" s="1"/>
  <c r="S30" i="69"/>
  <c r="T30" i="69"/>
  <c r="J30" i="69"/>
  <c r="U28" i="53"/>
  <c r="BF28" i="53" s="1"/>
  <c r="AD28" i="53" l="1"/>
  <c r="BY28" i="53"/>
  <c r="L30" i="69"/>
  <c r="K30" i="69"/>
  <c r="M30" i="69"/>
  <c r="AP30" i="69"/>
  <c r="BW30" i="69" s="1"/>
  <c r="AE30" i="69"/>
  <c r="BL30" i="69" s="1"/>
  <c r="BA30" i="69"/>
  <c r="CH30" i="69" s="1"/>
  <c r="AC30" i="69"/>
  <c r="BJ30" i="69" s="1"/>
  <c r="AY30" i="69"/>
  <c r="CF30" i="69" s="1"/>
  <c r="AN30" i="69"/>
  <c r="BU30" i="69" s="1"/>
  <c r="AD30" i="69"/>
  <c r="BK30" i="69" s="1"/>
  <c r="AO30" i="69"/>
  <c r="BV30" i="69" s="1"/>
  <c r="AZ30" i="69"/>
  <c r="CG30" i="69" s="1"/>
  <c r="BG28" i="53" l="1"/>
  <c r="AF28" i="53"/>
  <c r="BC28" i="53"/>
  <c r="BS28" i="53" l="1"/>
  <c r="AZ28" i="53"/>
  <c r="BP28" i="53"/>
  <c r="AG28" i="53"/>
  <c r="BH28" i="53" s="1"/>
  <c r="BZ28" i="53" l="1"/>
  <c r="AY29" i="53"/>
  <c r="AH28" i="53"/>
  <c r="BD28" i="53" s="1"/>
  <c r="J29" i="53" l="1"/>
  <c r="M29" i="53" s="1"/>
  <c r="AJ28" i="53"/>
  <c r="CA28" i="53"/>
  <c r="BN28" i="53" l="1"/>
  <c r="BL28" i="53"/>
  <c r="S29" i="53"/>
  <c r="T29" i="53" l="1"/>
  <c r="BB29" i="53" s="1"/>
  <c r="Q31" i="69"/>
  <c r="CF29" i="53"/>
  <c r="CD29" i="53"/>
  <c r="BU29" i="53"/>
  <c r="T31" i="69" l="1"/>
  <c r="AX31" i="69"/>
  <c r="CE31" i="69" s="1"/>
  <c r="AM31" i="69"/>
  <c r="BT31" i="69" s="1"/>
  <c r="AB31" i="69"/>
  <c r="BI31" i="69" s="1"/>
  <c r="S31" i="69"/>
  <c r="R31" i="69"/>
  <c r="J31" i="69"/>
  <c r="U29" i="53"/>
  <c r="BF29" i="53" s="1"/>
  <c r="AO31" i="69" l="1"/>
  <c r="BV31" i="69" s="1"/>
  <c r="AD31" i="69"/>
  <c r="BK31" i="69" s="1"/>
  <c r="AZ31" i="69"/>
  <c r="CG31" i="69" s="1"/>
  <c r="BY29" i="53"/>
  <c r="AN31" i="69"/>
  <c r="BU31" i="69" s="1"/>
  <c r="AC31" i="69"/>
  <c r="BJ31" i="69" s="1"/>
  <c r="AY31" i="69"/>
  <c r="CF31" i="69" s="1"/>
  <c r="AD29" i="53"/>
  <c r="AP31" i="69"/>
  <c r="BW31" i="69" s="1"/>
  <c r="BA31" i="69"/>
  <c r="CH31" i="69" s="1"/>
  <c r="AE31" i="69"/>
  <c r="BL31" i="69" s="1"/>
  <c r="L31" i="69"/>
  <c r="M31" i="69"/>
  <c r="K31" i="69"/>
  <c r="BG29" i="53" l="1"/>
  <c r="AF29" i="53"/>
  <c r="BC29" i="53"/>
  <c r="BS29" i="53" l="1"/>
  <c r="AZ29" i="53"/>
  <c r="BP29" i="53"/>
  <c r="AG29" i="53"/>
  <c r="BH29" i="53" s="1"/>
  <c r="BZ29" i="53" l="1"/>
  <c r="AY30" i="53"/>
  <c r="AH29" i="53"/>
  <c r="BD29" i="53" s="1"/>
  <c r="J30" i="53" l="1"/>
  <c r="M30" i="53" s="1"/>
  <c r="AJ29" i="53"/>
  <c r="CA29" i="53"/>
  <c r="S30" i="53" l="1"/>
  <c r="BL29" i="53"/>
  <c r="BN29" i="53"/>
  <c r="Q32" i="69" l="1"/>
  <c r="CF30" i="53"/>
  <c r="CD30" i="53"/>
  <c r="BU30" i="53"/>
  <c r="T30" i="53"/>
  <c r="BB30" i="53" s="1"/>
  <c r="AM32" i="69" l="1"/>
  <c r="BT32" i="69" s="1"/>
  <c r="T32" i="69"/>
  <c r="S32" i="69"/>
  <c r="AX32" i="69"/>
  <c r="CE32" i="69" s="1"/>
  <c r="AB32" i="69"/>
  <c r="BI32" i="69" s="1"/>
  <c r="R32" i="69"/>
  <c r="J32" i="69"/>
  <c r="U30" i="53"/>
  <c r="BF30" i="53" s="1"/>
  <c r="AN32" i="69" l="1"/>
  <c r="BU32" i="69" s="1"/>
  <c r="AY32" i="69"/>
  <c r="CF32" i="69" s="1"/>
  <c r="AC32" i="69"/>
  <c r="BJ32" i="69" s="1"/>
  <c r="AD32" i="69"/>
  <c r="BK32" i="69" s="1"/>
  <c r="AZ32" i="69"/>
  <c r="CG32" i="69" s="1"/>
  <c r="AO32" i="69"/>
  <c r="BV32" i="69" s="1"/>
  <c r="BA32" i="69"/>
  <c r="CH32" i="69" s="1"/>
  <c r="AP32" i="69"/>
  <c r="BW32" i="69" s="1"/>
  <c r="AE32" i="69"/>
  <c r="BL32" i="69" s="1"/>
  <c r="AD30" i="53"/>
  <c r="BY30" i="53"/>
  <c r="L32" i="69"/>
  <c r="K32" i="69"/>
  <c r="M32" i="69"/>
  <c r="BG30" i="53" l="1"/>
  <c r="AF30" i="53"/>
  <c r="BC30" i="53"/>
  <c r="BS30" i="53" l="1"/>
  <c r="AZ30" i="53"/>
  <c r="BP30" i="53"/>
  <c r="AG30" i="53"/>
  <c r="BH30" i="53" s="1"/>
  <c r="BZ30" i="53" l="1"/>
  <c r="AY31" i="53"/>
  <c r="AH30" i="53"/>
  <c r="BD30" i="53" s="1"/>
  <c r="J31" i="53" l="1"/>
  <c r="M31" i="53" s="1"/>
  <c r="CA30" i="53"/>
  <c r="AJ30" i="53"/>
  <c r="S31" i="53" l="1"/>
  <c r="BN30" i="53"/>
  <c r="BL30" i="53"/>
  <c r="T31" i="53" l="1"/>
  <c r="BB31" i="53" s="1"/>
  <c r="Q33" i="69"/>
  <c r="CF31" i="53"/>
  <c r="CD31" i="53"/>
  <c r="BU31" i="53"/>
  <c r="AM33" i="69" l="1"/>
  <c r="BT33" i="69" s="1"/>
  <c r="AB33" i="69"/>
  <c r="BI33" i="69" s="1"/>
  <c r="S33" i="69"/>
  <c r="R33" i="69"/>
  <c r="T33" i="69"/>
  <c r="AX33" i="69"/>
  <c r="CE33" i="69" s="1"/>
  <c r="J33" i="69"/>
  <c r="U31" i="53"/>
  <c r="BF31" i="53" s="1"/>
  <c r="L33" i="69" l="1"/>
  <c r="K33" i="69"/>
  <c r="M33" i="69"/>
  <c r="AY33" i="69"/>
  <c r="CF33" i="69" s="1"/>
  <c r="AN33" i="69"/>
  <c r="BU33" i="69" s="1"/>
  <c r="AC33" i="69"/>
  <c r="BJ33" i="69" s="1"/>
  <c r="BA33" i="69"/>
  <c r="CH33" i="69" s="1"/>
  <c r="AP33" i="69"/>
  <c r="BW33" i="69" s="1"/>
  <c r="AE33" i="69"/>
  <c r="BL33" i="69" s="1"/>
  <c r="AO33" i="69"/>
  <c r="BV33" i="69" s="1"/>
  <c r="AD33" i="69"/>
  <c r="BK33" i="69" s="1"/>
  <c r="AZ33" i="69"/>
  <c r="CG33" i="69" s="1"/>
  <c r="AD31" i="53"/>
  <c r="BY31" i="53"/>
  <c r="BG31" i="53" l="1"/>
  <c r="AF31" i="53"/>
  <c r="BC31" i="53"/>
  <c r="AZ31" i="53" l="1"/>
  <c r="BP31" i="53"/>
  <c r="BS31" i="53"/>
  <c r="AG31" i="53"/>
  <c r="BH31" i="53" s="1"/>
  <c r="BZ31" i="53" l="1"/>
  <c r="AH31" i="53"/>
  <c r="AY32" i="53"/>
  <c r="BD31" i="53" l="1"/>
  <c r="AJ31" i="53"/>
  <c r="CA31" i="53"/>
  <c r="J32" i="53" l="1"/>
  <c r="M32" i="53" s="1"/>
  <c r="BL31" i="53"/>
  <c r="BN31" i="53"/>
  <c r="S32" i="53" l="1"/>
  <c r="Q34" i="69" l="1"/>
  <c r="CF32" i="53"/>
  <c r="CD32" i="53"/>
  <c r="BU32" i="53"/>
  <c r="T32" i="53"/>
  <c r="BB32" i="53" s="1"/>
  <c r="T34" i="69" l="1"/>
  <c r="R34" i="69"/>
  <c r="AM34" i="69"/>
  <c r="BT34" i="69" s="1"/>
  <c r="S34" i="69"/>
  <c r="AX34" i="69"/>
  <c r="CE34" i="69" s="1"/>
  <c r="AB34" i="69"/>
  <c r="BI34" i="69" s="1"/>
  <c r="J34" i="69"/>
  <c r="U32" i="53"/>
  <c r="BF32" i="53" s="1"/>
  <c r="AO34" i="69" l="1"/>
  <c r="BV34" i="69" s="1"/>
  <c r="AD34" i="69"/>
  <c r="BK34" i="69" s="1"/>
  <c r="AZ34" i="69"/>
  <c r="CG34" i="69" s="1"/>
  <c r="BY32" i="53"/>
  <c r="AC34" i="69"/>
  <c r="BJ34" i="69" s="1"/>
  <c r="AN34" i="69"/>
  <c r="BU34" i="69" s="1"/>
  <c r="AY34" i="69"/>
  <c r="CF34" i="69" s="1"/>
  <c r="AD32" i="53"/>
  <c r="BA34" i="69"/>
  <c r="CH34" i="69" s="1"/>
  <c r="AE34" i="69"/>
  <c r="BL34" i="69" s="1"/>
  <c r="AP34" i="69"/>
  <c r="BW34" i="69" s="1"/>
  <c r="L34" i="69"/>
  <c r="K34" i="69"/>
  <c r="M34" i="69"/>
  <c r="BG32" i="53" l="1"/>
  <c r="AF32" i="53"/>
  <c r="BC32" i="53"/>
  <c r="AZ32" i="53" l="1"/>
  <c r="BP32" i="53"/>
  <c r="BS32" i="53"/>
  <c r="AG32" i="53"/>
  <c r="BH32" i="53" s="1"/>
  <c r="BZ32" i="53" l="1"/>
  <c r="AH32" i="53"/>
  <c r="BD32" i="53" s="1"/>
  <c r="AY33" i="53"/>
  <c r="CA32" i="53" l="1"/>
  <c r="J33" i="53"/>
  <c r="M33" i="53" s="1"/>
  <c r="AJ32" i="53"/>
  <c r="BN32" i="53" l="1"/>
  <c r="BL32" i="53"/>
  <c r="S33" i="53"/>
  <c r="Q35" i="69" l="1"/>
  <c r="CF33" i="53"/>
  <c r="CD33" i="53"/>
  <c r="BU33" i="53"/>
  <c r="T33" i="53"/>
  <c r="BB33" i="53" s="1"/>
  <c r="AM35" i="69" l="1"/>
  <c r="BT35" i="69" s="1"/>
  <c r="AB35" i="69"/>
  <c r="BI35" i="69" s="1"/>
  <c r="R35" i="69"/>
  <c r="AX35" i="69"/>
  <c r="CE35" i="69" s="1"/>
  <c r="S35" i="69"/>
  <c r="T35" i="69"/>
  <c r="J35" i="69"/>
  <c r="U33" i="53"/>
  <c r="AZ35" i="69" l="1"/>
  <c r="CG35" i="69" s="1"/>
  <c r="AD35" i="69"/>
  <c r="BK35" i="69" s="1"/>
  <c r="AO35" i="69"/>
  <c r="BV35" i="69" s="1"/>
  <c r="AY35" i="69"/>
  <c r="CF35" i="69" s="1"/>
  <c r="AC35" i="69"/>
  <c r="BJ35" i="69" s="1"/>
  <c r="AN35" i="69"/>
  <c r="BU35" i="69" s="1"/>
  <c r="L35" i="69"/>
  <c r="K35" i="69"/>
  <c r="M35" i="69"/>
  <c r="BF33" i="53"/>
  <c r="AD33" i="53"/>
  <c r="AP35" i="69"/>
  <c r="BW35" i="69" s="1"/>
  <c r="AE35" i="69"/>
  <c r="BL35" i="69" s="1"/>
  <c r="BA35" i="69"/>
  <c r="CH35" i="69" s="1"/>
  <c r="AF33" i="53" l="1"/>
  <c r="AZ33" i="53" s="1"/>
  <c r="BC33" i="53"/>
  <c r="BY33" i="53"/>
  <c r="BG33" i="53" s="1"/>
  <c r="BP33" i="53" l="1"/>
  <c r="AG33" i="53"/>
  <c r="BH33" i="53" s="1"/>
  <c r="AY34" i="53"/>
  <c r="BS33" i="53"/>
  <c r="BZ33" i="53" l="1"/>
  <c r="AH33" i="53"/>
  <c r="BD33" i="53" s="1"/>
  <c r="AJ33" i="53" l="1"/>
  <c r="BL33" i="53" s="1"/>
  <c r="CA33" i="53"/>
  <c r="J34" i="53"/>
  <c r="M34" i="53" s="1"/>
  <c r="BN33" i="53" l="1"/>
  <c r="S34" i="53"/>
  <c r="T34" i="53" s="1"/>
  <c r="BB34" i="53" s="1"/>
  <c r="Q36" i="69" l="1"/>
  <c r="CF34" i="53"/>
  <c r="CD34" i="53"/>
  <c r="BU34" i="53"/>
  <c r="U34" i="53"/>
  <c r="BF34" i="53" s="1"/>
  <c r="AD34" i="53" l="1"/>
  <c r="AX36" i="69"/>
  <c r="CE36" i="69" s="1"/>
  <c r="R36" i="69"/>
  <c r="AB36" i="69"/>
  <c r="BI36" i="69" s="1"/>
  <c r="AM36" i="69"/>
  <c r="BT36" i="69" s="1"/>
  <c r="T36" i="69"/>
  <c r="S36" i="69"/>
  <c r="J36" i="69"/>
  <c r="BY34" i="53"/>
  <c r="BG34" i="53" l="1"/>
  <c r="AO36" i="69"/>
  <c r="BV36" i="69" s="1"/>
  <c r="AD36" i="69"/>
  <c r="BK36" i="69" s="1"/>
  <c r="AZ36" i="69"/>
  <c r="CG36" i="69" s="1"/>
  <c r="AP36" i="69"/>
  <c r="BW36" i="69" s="1"/>
  <c r="AE36" i="69"/>
  <c r="BL36" i="69" s="1"/>
  <c r="BA36" i="69"/>
  <c r="CH36" i="69" s="1"/>
  <c r="AY36" i="69"/>
  <c r="CF36" i="69" s="1"/>
  <c r="AC36" i="69"/>
  <c r="BJ36" i="69" s="1"/>
  <c r="AN36" i="69"/>
  <c r="BU36" i="69" s="1"/>
  <c r="AF34" i="53"/>
  <c r="BC34" i="53"/>
  <c r="L36" i="69"/>
  <c r="K36" i="69"/>
  <c r="M36" i="69"/>
  <c r="AZ34" i="53" l="1"/>
  <c r="BP34" i="53"/>
  <c r="AG34" i="53"/>
  <c r="BH34" i="53" s="1"/>
  <c r="BS34" i="53"/>
  <c r="AH34" i="53" l="1"/>
  <c r="BD34" i="53" s="1"/>
  <c r="BZ34" i="53"/>
  <c r="AY35" i="53"/>
  <c r="AJ34" i="53" l="1"/>
  <c r="BN34" i="53" s="1"/>
  <c r="CA34" i="53"/>
  <c r="J35" i="53"/>
  <c r="M35" i="53" s="1"/>
  <c r="BL34" i="53" l="1"/>
  <c r="S35" i="53"/>
  <c r="Q37" i="69" l="1"/>
  <c r="CF35" i="53"/>
  <c r="CD35" i="53"/>
  <c r="BU35" i="53"/>
  <c r="T35" i="53"/>
  <c r="BB35" i="53" s="1"/>
  <c r="T37" i="69" l="1"/>
  <c r="S37" i="69"/>
  <c r="AB37" i="69"/>
  <c r="BI37" i="69" s="1"/>
  <c r="AM37" i="69"/>
  <c r="BT37" i="69" s="1"/>
  <c r="R37" i="69"/>
  <c r="AX37" i="69"/>
  <c r="CE37" i="69" s="1"/>
  <c r="J37" i="69"/>
  <c r="U35" i="53"/>
  <c r="BF35" i="53" s="1"/>
  <c r="AY37" i="69" l="1"/>
  <c r="CF37" i="69" s="1"/>
  <c r="AC37" i="69"/>
  <c r="BJ37" i="69" s="1"/>
  <c r="AN37" i="69"/>
  <c r="BU37" i="69" s="1"/>
  <c r="AD37" i="69"/>
  <c r="BK37" i="69" s="1"/>
  <c r="AZ37" i="69"/>
  <c r="CG37" i="69" s="1"/>
  <c r="AO37" i="69"/>
  <c r="BV37" i="69" s="1"/>
  <c r="AE37" i="69"/>
  <c r="BL37" i="69" s="1"/>
  <c r="AP37" i="69"/>
  <c r="BW37" i="69" s="1"/>
  <c r="BA37" i="69"/>
  <c r="CH37" i="69" s="1"/>
  <c r="L37" i="69"/>
  <c r="K37" i="69"/>
  <c r="M37" i="69"/>
  <c r="BY35" i="53"/>
  <c r="AD35" i="53"/>
  <c r="BG35" i="53" l="1"/>
  <c r="AF35" i="53"/>
  <c r="BC35" i="53"/>
  <c r="BS35" i="53" l="1"/>
  <c r="AZ35" i="53"/>
  <c r="BP35" i="53"/>
  <c r="AG35" i="53"/>
  <c r="BH35" i="53" s="1"/>
  <c r="AY36" i="53" l="1"/>
  <c r="BZ35" i="53"/>
  <c r="AH35" i="53"/>
  <c r="BD35" i="53" s="1"/>
  <c r="CA35" i="53" l="1"/>
  <c r="J36" i="53"/>
  <c r="M36" i="53" s="1"/>
  <c r="AJ35" i="53"/>
  <c r="S36" i="53" l="1"/>
  <c r="BL35" i="53"/>
  <c r="BN35" i="53"/>
  <c r="T36" i="53" l="1"/>
  <c r="BB36" i="53" s="1"/>
  <c r="Q38" i="69"/>
  <c r="CF36" i="53"/>
  <c r="CD36" i="53"/>
  <c r="BU36" i="53"/>
  <c r="AM38" i="69" l="1"/>
  <c r="BT38" i="69" s="1"/>
  <c r="T38" i="69"/>
  <c r="AX38" i="69"/>
  <c r="CE38" i="69" s="1"/>
  <c r="R38" i="69"/>
  <c r="AB38" i="69"/>
  <c r="BI38" i="69" s="1"/>
  <c r="S38" i="69"/>
  <c r="J38" i="69"/>
  <c r="U36" i="53"/>
  <c r="BF36" i="53" s="1"/>
  <c r="AN38" i="69" l="1"/>
  <c r="BU38" i="69" s="1"/>
  <c r="AY38" i="69"/>
  <c r="CF38" i="69" s="1"/>
  <c r="AC38" i="69"/>
  <c r="BJ38" i="69" s="1"/>
  <c r="E93" i="41"/>
  <c r="E94" i="41" s="1"/>
  <c r="W86" i="69"/>
  <c r="BA38" i="69"/>
  <c r="CH38" i="69" s="1"/>
  <c r="AP38" i="69"/>
  <c r="BW38" i="69" s="1"/>
  <c r="AE38" i="69"/>
  <c r="BL38" i="69" s="1"/>
  <c r="Y86" i="69"/>
  <c r="F93" i="41"/>
  <c r="F94" i="41" s="1"/>
  <c r="L38" i="69"/>
  <c r="K38" i="69"/>
  <c r="M38" i="69"/>
  <c r="BY36" i="53"/>
  <c r="AD36" i="53"/>
  <c r="AZ38" i="69"/>
  <c r="CG38" i="69" s="1"/>
  <c r="AD38" i="69"/>
  <c r="BK38" i="69" s="1"/>
  <c r="AO38" i="69"/>
  <c r="BV38" i="69" s="1"/>
  <c r="D93" i="41"/>
  <c r="X86" i="69"/>
  <c r="BG36" i="53" l="1"/>
  <c r="AF36" i="53"/>
  <c r="BC36" i="53"/>
  <c r="G93" i="41"/>
  <c r="F92" i="41" s="1"/>
  <c r="D94" i="41"/>
  <c r="E92" i="41" l="1"/>
  <c r="D92" i="41"/>
  <c r="AZ36" i="53"/>
  <c r="BP36" i="53"/>
  <c r="G94" i="41"/>
  <c r="AG36" i="53"/>
  <c r="BH36" i="53" s="1"/>
  <c r="BS36" i="53"/>
  <c r="G92" i="41" l="1"/>
  <c r="BZ36" i="53"/>
  <c r="AH36" i="53"/>
  <c r="BD36" i="53" s="1"/>
  <c r="AY37" i="53"/>
  <c r="J37" i="53" l="1"/>
  <c r="M37" i="53" s="1"/>
  <c r="CA36" i="53"/>
  <c r="AJ36" i="53"/>
  <c r="BL36" i="53" l="1"/>
  <c r="BN36" i="53"/>
  <c r="S37" i="53"/>
  <c r="CF37" i="53" l="1"/>
  <c r="CD37" i="53"/>
  <c r="BU37" i="53"/>
  <c r="T37" i="53"/>
  <c r="BB37" i="53" s="1"/>
  <c r="U37" i="53" l="1"/>
  <c r="BF37" i="53" s="1"/>
  <c r="BY37" i="53" l="1"/>
  <c r="AD37" i="53"/>
  <c r="BG37" i="53" l="1"/>
  <c r="AF37" i="53"/>
  <c r="BC37" i="53"/>
  <c r="AZ37" i="53" l="1"/>
  <c r="BP37" i="53"/>
  <c r="BS37" i="53"/>
  <c r="AG37" i="53"/>
  <c r="BH37" i="53" s="1"/>
  <c r="BZ37" i="53" l="1"/>
  <c r="AH37" i="53"/>
  <c r="BD37" i="53" s="1"/>
  <c r="AY38" i="53"/>
  <c r="J38" i="53" l="1"/>
  <c r="M38" i="53" s="1"/>
  <c r="AJ37" i="53"/>
  <c r="CA37" i="53"/>
  <c r="S38" i="53" l="1"/>
  <c r="BL37" i="53"/>
  <c r="BN37" i="53"/>
  <c r="CF38" i="53" l="1"/>
  <c r="CD38" i="53"/>
  <c r="BU38" i="53"/>
  <c r="T38" i="53"/>
  <c r="BB38" i="53" s="1"/>
  <c r="U38" i="53" l="1"/>
  <c r="BF38" i="53" s="1"/>
  <c r="AD38" i="53" l="1"/>
  <c r="BY38" i="53"/>
  <c r="BG38" i="53" l="1"/>
  <c r="AF38" i="53"/>
  <c r="BC38" i="53"/>
  <c r="AZ38" i="53" l="1"/>
  <c r="BP38" i="53"/>
  <c r="BS38" i="53"/>
  <c r="AG38" i="53"/>
  <c r="BH38" i="53" s="1"/>
  <c r="AH38" i="53" l="1"/>
  <c r="BD38" i="53" s="1"/>
  <c r="J39" i="53" s="1"/>
  <c r="M39" i="53" s="1"/>
  <c r="BZ38" i="53"/>
  <c r="AY39" i="53"/>
  <c r="CA38" i="53" l="1"/>
  <c r="AJ38" i="53"/>
  <c r="S39" i="53"/>
  <c r="BN38" i="53" l="1"/>
  <c r="BL38" i="53"/>
  <c r="CF39" i="53"/>
  <c r="CD39" i="53"/>
  <c r="BU39" i="53"/>
  <c r="T39" i="53"/>
  <c r="BB39" i="53" s="1"/>
  <c r="U39" i="53" l="1"/>
  <c r="BF39" i="53" s="1"/>
  <c r="BY39" i="53" s="1"/>
  <c r="AD39" i="53" l="1"/>
  <c r="AF39" i="53" l="1"/>
  <c r="BC39" i="53"/>
  <c r="BG39" i="53"/>
  <c r="AG39" i="53" l="1"/>
  <c r="BH39" i="53" s="1"/>
  <c r="AZ39" i="53"/>
  <c r="BP39" i="53"/>
  <c r="BS39" i="53"/>
  <c r="AH39" i="53" l="1"/>
  <c r="BD39" i="53" s="1"/>
  <c r="J40" i="53" s="1"/>
  <c r="M40" i="53" s="1"/>
  <c r="BZ39" i="53"/>
  <c r="AY40" i="53"/>
  <c r="AJ39" i="53" l="1"/>
  <c r="CA39" i="53"/>
  <c r="S40" i="53"/>
  <c r="BL39" i="53" l="1"/>
  <c r="BN39" i="53"/>
  <c r="CF40" i="53"/>
  <c r="CD40" i="53"/>
  <c r="BU40" i="53"/>
  <c r="T40" i="53"/>
  <c r="BB40" i="53" s="1"/>
  <c r="U40" i="53" l="1"/>
  <c r="BF40" i="53" s="1"/>
  <c r="BY40" i="53" s="1"/>
  <c r="AD40" i="53" l="1"/>
  <c r="BG40" i="53" s="1"/>
  <c r="AF40" i="53" l="1"/>
  <c r="BC40" i="53"/>
  <c r="AZ40" i="53" l="1"/>
  <c r="BP40" i="53"/>
  <c r="BS40" i="53"/>
  <c r="AG40" i="53"/>
  <c r="BH40" i="53" s="1"/>
  <c r="BZ40" i="53" l="1"/>
  <c r="AH40" i="53"/>
  <c r="BD40" i="53" s="1"/>
  <c r="AY41" i="53"/>
  <c r="CA40" i="53" l="1"/>
  <c r="AJ40" i="53"/>
  <c r="J41" i="53"/>
  <c r="M41" i="53" s="1"/>
  <c r="S41" i="53" l="1"/>
  <c r="T41" i="53" s="1"/>
  <c r="BL40" i="53"/>
  <c r="BN40" i="53"/>
  <c r="BB41" i="53" l="1"/>
  <c r="CF41" i="53"/>
  <c r="CD41" i="53"/>
  <c r="BU41" i="53"/>
  <c r="U41" i="53"/>
  <c r="BF41" i="53" l="1"/>
  <c r="BY41" i="53" s="1"/>
  <c r="AD41" i="53"/>
  <c r="AF41" i="53" l="1"/>
  <c r="AZ41" i="53" s="1"/>
  <c r="BC41" i="53"/>
  <c r="BG41" i="53"/>
  <c r="AG41" i="53" l="1"/>
  <c r="AH41" i="53" s="1"/>
  <c r="BD41" i="53" s="1"/>
  <c r="BP41" i="53"/>
  <c r="BS41" i="53"/>
  <c r="AY42" i="53"/>
  <c r="BH41" i="53" l="1"/>
  <c r="BZ41" i="53" s="1"/>
  <c r="AJ41" i="53"/>
  <c r="BL41" i="53" s="1"/>
  <c r="J42" i="53"/>
  <c r="M42" i="53" s="1"/>
  <c r="BN41" i="53" l="1"/>
  <c r="CA41" i="53"/>
  <c r="S42" i="53"/>
  <c r="T42" i="53" l="1"/>
  <c r="BB42" i="53" s="1"/>
  <c r="CF42" i="53"/>
  <c r="CD42" i="53"/>
  <c r="BU42" i="53"/>
  <c r="U42" i="53" l="1"/>
  <c r="BF42" i="53" l="1"/>
  <c r="AD42" i="53"/>
  <c r="AF42" i="53" l="1"/>
  <c r="BC42" i="53"/>
  <c r="BY42" i="53"/>
  <c r="BG42" i="53" s="1"/>
  <c r="AG42" i="53" l="1"/>
  <c r="BH42" i="53" s="1"/>
  <c r="BZ42" i="53" s="1"/>
  <c r="BS42" i="53"/>
  <c r="BP42" i="53"/>
  <c r="AZ42" i="53"/>
  <c r="AY43" i="53" s="1"/>
  <c r="AH42" i="53" l="1"/>
  <c r="BD42" i="53" s="1"/>
  <c r="J43" i="53" s="1"/>
  <c r="M43" i="53" s="1"/>
  <c r="S43" i="53" s="1"/>
  <c r="T43" i="53" s="1"/>
  <c r="U43" i="53" s="1"/>
  <c r="CA42" i="53"/>
  <c r="AJ42" i="53" l="1"/>
  <c r="BL42" i="53" s="1"/>
  <c r="CF43" i="53"/>
  <c r="BU43" i="53"/>
  <c r="CD43" i="53"/>
  <c r="BF43" i="53"/>
  <c r="BB43" i="53"/>
  <c r="AD43" i="53"/>
  <c r="AF43" i="53" s="1"/>
  <c r="AZ43" i="53" s="1"/>
  <c r="AY44" i="53" s="1"/>
  <c r="BC43" i="53" l="1"/>
  <c r="BS43" i="53" s="1"/>
  <c r="BN42" i="53"/>
  <c r="BP43" i="53"/>
  <c r="BY43" i="53"/>
  <c r="BG43" i="53" s="1"/>
  <c r="AG43" i="53" l="1"/>
  <c r="AH43" i="53" s="1"/>
  <c r="BD43" i="53" s="1"/>
  <c r="J44" i="53" s="1"/>
  <c r="M44" i="53" s="1"/>
  <c r="AJ43" i="53" l="1"/>
  <c r="BL43" i="53" s="1"/>
  <c r="BH43" i="53"/>
  <c r="BZ43" i="53" s="1"/>
  <c r="CA43" i="53" s="1"/>
  <c r="S44" i="53"/>
  <c r="BN43" i="53" l="1"/>
  <c r="T44" i="53"/>
  <c r="CF44" i="53"/>
  <c r="CD44" i="53"/>
  <c r="BU44" i="53"/>
  <c r="BB44" i="53" l="1"/>
  <c r="U44" i="53"/>
  <c r="BF44" i="53" l="1"/>
  <c r="AD44" i="53"/>
  <c r="BC44" i="53" l="1"/>
  <c r="AF44" i="53"/>
  <c r="BY44" i="53"/>
  <c r="BG44" i="53" s="1"/>
  <c r="AG44" i="53" l="1"/>
  <c r="BH44" i="53" s="1"/>
  <c r="BZ44" i="53" s="1"/>
  <c r="AZ44" i="53"/>
  <c r="AY45" i="53" s="1"/>
  <c r="BP44" i="53"/>
  <c r="BS44" i="53"/>
  <c r="CA44" i="53" l="1"/>
  <c r="AH44" i="53"/>
  <c r="AJ44" i="53" s="1"/>
  <c r="BL44" i="53" s="1"/>
  <c r="BN44" i="53" l="1"/>
  <c r="BD44" i="53"/>
  <c r="J45" i="53" s="1"/>
  <c r="M45" i="53" s="1"/>
  <c r="S45" i="53" s="1"/>
  <c r="CD45" i="53" s="1"/>
  <c r="CF45" i="53" l="1"/>
  <c r="T45" i="53"/>
  <c r="U45" i="53" s="1"/>
  <c r="AD45" i="53" s="1"/>
  <c r="BU45" i="53"/>
  <c r="BB45" i="53" l="1"/>
  <c r="BC45" i="53" s="1"/>
  <c r="BS45" i="53" s="1"/>
  <c r="AF45" i="53"/>
  <c r="AZ45" i="53" s="1"/>
  <c r="BF45" i="53"/>
  <c r="BY45" i="53" s="1"/>
  <c r="BP45" i="53" l="1"/>
  <c r="BG45" i="53"/>
  <c r="AG45" i="53" s="1"/>
  <c r="AH45" i="53" s="1"/>
  <c r="BD45" i="53" s="1"/>
  <c r="AY46" i="53"/>
  <c r="BH45" i="53" l="1"/>
  <c r="BZ45" i="53" s="1"/>
  <c r="J46" i="53"/>
  <c r="M46" i="53" s="1"/>
  <c r="AJ45" i="53"/>
  <c r="CA45" i="53" l="1"/>
  <c r="BL45" i="53"/>
  <c r="BN45" i="53"/>
  <c r="S46" i="53"/>
  <c r="T46" i="53" l="1"/>
  <c r="CF46" i="53"/>
  <c r="CD46" i="53"/>
  <c r="BU46" i="53"/>
  <c r="BB46" i="53" l="1"/>
  <c r="U46" i="53"/>
  <c r="BF46" i="53" l="1"/>
  <c r="BY46" i="53" s="1"/>
  <c r="AD46" i="53"/>
  <c r="AF46" i="53" l="1"/>
  <c r="BC46" i="53"/>
  <c r="BS46" i="53" s="1"/>
  <c r="BG46" i="53"/>
  <c r="AG46" i="53" l="1"/>
  <c r="AH46" i="53" s="1"/>
  <c r="BD46" i="53" s="1"/>
  <c r="J47" i="53" s="1"/>
  <c r="M47" i="53" s="1"/>
  <c r="S47" i="53" s="1"/>
  <c r="AZ46" i="53"/>
  <c r="AY47" i="53" s="1"/>
  <c r="BP46" i="53"/>
  <c r="BH46" i="53" l="1"/>
  <c r="BZ46" i="53" s="1"/>
  <c r="AJ46" i="53"/>
  <c r="BL46" i="53" s="1"/>
  <c r="T47" i="53"/>
  <c r="U47" i="53" s="1"/>
  <c r="CF47" i="53"/>
  <c r="CD47" i="53"/>
  <c r="BU47" i="53"/>
  <c r="CA46" i="53" l="1"/>
  <c r="BN46" i="53"/>
  <c r="BF47" i="53"/>
  <c r="BY47" i="53" s="1"/>
  <c r="BB47" i="53"/>
  <c r="AD47" i="53"/>
  <c r="AF47" i="53" s="1"/>
  <c r="BY3" i="53" l="1"/>
  <c r="BY127" i="53"/>
  <c r="BP47" i="53"/>
  <c r="BC47" i="53"/>
  <c r="BS47" i="53" s="1"/>
  <c r="AZ47" i="53"/>
  <c r="AY48" i="53" s="1"/>
  <c r="BG47" i="53"/>
  <c r="AG47" i="53" s="1"/>
  <c r="B195" i="39" l="1"/>
  <c r="D67" i="41"/>
  <c r="AH47" i="53"/>
  <c r="BD47" i="53" s="1"/>
  <c r="J48" i="53" s="1"/>
  <c r="M48" i="53" s="1"/>
  <c r="BH47" i="53"/>
  <c r="BZ47" i="53" s="1"/>
  <c r="CA47" i="53" s="1"/>
  <c r="G67" i="41" l="1"/>
  <c r="E67" i="41"/>
  <c r="F67" i="41"/>
  <c r="T70" i="41"/>
  <c r="V70" i="41" s="1"/>
  <c r="S48" i="53"/>
  <c r="CF48" i="53" s="1"/>
  <c r="AJ47" i="53"/>
  <c r="T48" i="53" l="1"/>
  <c r="BU48" i="53"/>
  <c r="CD48" i="53"/>
  <c r="BL47" i="53"/>
  <c r="BN47" i="53"/>
  <c r="BB48" i="53" l="1"/>
  <c r="U48" i="53"/>
  <c r="BF48" i="53" l="1"/>
  <c r="AD48" i="53"/>
  <c r="AF48" i="53" s="1"/>
  <c r="AZ48" i="53" s="1"/>
  <c r="AY49" i="53" s="1"/>
  <c r="BC48" i="53" l="1"/>
  <c r="BS48" i="53" s="1"/>
  <c r="BG48" i="53"/>
  <c r="AG48" i="53" s="1"/>
  <c r="BP48" i="53"/>
  <c r="AH48" i="53" l="1"/>
  <c r="BD48" i="53" s="1"/>
  <c r="J49" i="53" s="1"/>
  <c r="M49" i="53" s="1"/>
  <c r="BH48" i="53"/>
  <c r="BZ48" i="53" s="1"/>
  <c r="CA48" i="53" s="1"/>
  <c r="AJ48" i="53" l="1"/>
  <c r="BN48" i="53" s="1"/>
  <c r="S49" i="53"/>
  <c r="T49" i="53" s="1"/>
  <c r="BL48" i="53" l="1"/>
  <c r="BB49" i="53"/>
  <c r="CF49" i="53"/>
  <c r="CD49" i="53"/>
  <c r="BU49" i="53"/>
  <c r="U49" i="53"/>
  <c r="BF49" i="53" l="1"/>
  <c r="AD49" i="53"/>
  <c r="AF49" i="53" s="1"/>
  <c r="AZ49" i="53" s="1"/>
  <c r="AY50" i="53" s="1"/>
  <c r="BC49" i="53" l="1"/>
  <c r="BS49" i="53" s="1"/>
  <c r="BG49" i="53"/>
  <c r="AG49" i="53" s="1"/>
  <c r="BP49" i="53"/>
  <c r="AH49" i="53" l="1"/>
  <c r="BD49" i="53" s="1"/>
  <c r="J50" i="53" s="1"/>
  <c r="M50" i="53" s="1"/>
  <c r="S50" i="53" s="1"/>
  <c r="BH49" i="53"/>
  <c r="BZ49" i="53" s="1"/>
  <c r="CA49" i="53" s="1"/>
  <c r="AJ49" i="53" l="1"/>
  <c r="T50" i="53"/>
  <c r="CF50" i="53"/>
  <c r="CD50" i="53"/>
  <c r="BU50" i="53"/>
  <c r="BL49" i="53" l="1"/>
  <c r="BN49" i="53"/>
  <c r="BB50" i="53"/>
  <c r="T51" i="53"/>
  <c r="U50" i="53"/>
  <c r="AD50" i="53" s="1"/>
  <c r="AF50" i="53" s="1"/>
  <c r="AZ50" i="53" s="1"/>
  <c r="AY51" i="53" s="1"/>
  <c r="BB51" i="53" l="1"/>
  <c r="BF50" i="53"/>
  <c r="U128" i="53"/>
  <c r="T52" i="53"/>
  <c r="BC50" i="53"/>
  <c r="BS50" i="53" s="1"/>
  <c r="BF128" i="53" l="1"/>
  <c r="BG50" i="53"/>
  <c r="AG50" i="53" s="1"/>
  <c r="BP50" i="53"/>
  <c r="BB52" i="53"/>
  <c r="T53" i="53"/>
  <c r="BH50" i="53" l="1"/>
  <c r="BZ50" i="53" s="1"/>
  <c r="CA50" i="53" s="1"/>
  <c r="AH50" i="53"/>
  <c r="BD50" i="53" s="1"/>
  <c r="J51" i="53" s="1"/>
  <c r="M51" i="53" s="1"/>
  <c r="S51" i="53" s="1"/>
  <c r="BU51" i="53" s="1"/>
  <c r="BB53" i="53"/>
  <c r="T54" i="53"/>
  <c r="AJ50" i="53" l="1"/>
  <c r="CF51" i="53"/>
  <c r="CD51" i="53"/>
  <c r="AD51" i="53"/>
  <c r="BG51" i="53" s="1"/>
  <c r="BB54" i="53"/>
  <c r="T55" i="53"/>
  <c r="BC51" i="53" l="1"/>
  <c r="BS51" i="53" s="1"/>
  <c r="AF51" i="53"/>
  <c r="AZ51" i="53" s="1"/>
  <c r="BL50" i="53"/>
  <c r="BN50" i="53"/>
  <c r="BB55" i="53"/>
  <c r="T56" i="53"/>
  <c r="BP51" i="53" l="1"/>
  <c r="AG51" i="53"/>
  <c r="BH51" i="53" s="1"/>
  <c r="BZ51" i="53" s="1"/>
  <c r="CA51" i="53" s="1"/>
  <c r="BB56" i="53"/>
  <c r="T57" i="53"/>
  <c r="AY52" i="53"/>
  <c r="AH51" i="53" l="1"/>
  <c r="BD51" i="53" s="1"/>
  <c r="J52" i="53" s="1"/>
  <c r="M52" i="53" s="1"/>
  <c r="S52" i="53" s="1"/>
  <c r="BB57" i="53"/>
  <c r="T58" i="53"/>
  <c r="AJ51" i="53" l="1"/>
  <c r="BN51" i="53" s="1"/>
  <c r="BB58" i="53"/>
  <c r="T59" i="53"/>
  <c r="CF52" i="53"/>
  <c r="CD52" i="53"/>
  <c r="BU52" i="53"/>
  <c r="AD52" i="53"/>
  <c r="BL51" i="53" l="1"/>
  <c r="BB59" i="53"/>
  <c r="T60" i="53"/>
  <c r="BC52" i="53"/>
  <c r="AF52" i="53"/>
  <c r="BG52" i="53"/>
  <c r="BB60" i="53" l="1"/>
  <c r="T61" i="53"/>
  <c r="BS52" i="53"/>
  <c r="AG52" i="53"/>
  <c r="AZ52" i="53"/>
  <c r="BP52" i="53"/>
  <c r="BB61" i="53" l="1"/>
  <c r="T62" i="53"/>
  <c r="AY53" i="53"/>
  <c r="AH52" i="53"/>
  <c r="BD52" i="53" s="1"/>
  <c r="BH52" i="53"/>
  <c r="BB62" i="53" l="1"/>
  <c r="T63" i="53"/>
  <c r="BZ52" i="53"/>
  <c r="CA52" i="53" s="1"/>
  <c r="J53" i="53"/>
  <c r="M53" i="53" s="1"/>
  <c r="AJ52" i="53"/>
  <c r="T64" i="53" l="1"/>
  <c r="BB63" i="53"/>
  <c r="BN52" i="53"/>
  <c r="BL52" i="53"/>
  <c r="S53" i="53"/>
  <c r="BB64" i="53" l="1"/>
  <c r="T65" i="53"/>
  <c r="CF53" i="53"/>
  <c r="CD53" i="53"/>
  <c r="BU53" i="53"/>
  <c r="AD53" i="53"/>
  <c r="BB65" i="53" l="1"/>
  <c r="T66" i="53"/>
  <c r="BC53" i="53"/>
  <c r="AF53" i="53"/>
  <c r="BG53" i="53"/>
  <c r="BB66" i="53" l="1"/>
  <c r="T67" i="53"/>
  <c r="AG53" i="53"/>
  <c r="BH53" i="53" s="1"/>
  <c r="BS53" i="53"/>
  <c r="AZ53" i="53"/>
  <c r="BP53" i="53"/>
  <c r="BB67" i="53" l="1"/>
  <c r="T68" i="53"/>
  <c r="AH53" i="53"/>
  <c r="BD53" i="53" s="1"/>
  <c r="J54" i="53" s="1"/>
  <c r="M54" i="53" s="1"/>
  <c r="BZ53" i="53"/>
  <c r="CA53" i="53" s="1"/>
  <c r="AY54" i="53"/>
  <c r="BB68" i="53" l="1"/>
  <c r="T69" i="53"/>
  <c r="AJ53" i="53"/>
  <c r="BN53" i="53" s="1"/>
  <c r="S54" i="53"/>
  <c r="BB69" i="53" l="1"/>
  <c r="T70" i="53"/>
  <c r="BL53" i="53"/>
  <c r="CF54" i="53"/>
  <c r="CD54" i="53"/>
  <c r="BU54" i="53"/>
  <c r="AD54" i="53"/>
  <c r="BB70" i="53" l="1"/>
  <c r="T71" i="53"/>
  <c r="BC54" i="53"/>
  <c r="BG54" i="53"/>
  <c r="AF54" i="53"/>
  <c r="BT6" i="53"/>
  <c r="BB71" i="53" l="1"/>
  <c r="T72" i="53"/>
  <c r="BT7" i="53"/>
  <c r="BW6" i="53"/>
  <c r="BV6" i="53"/>
  <c r="AZ54" i="53"/>
  <c r="BP54" i="53"/>
  <c r="BS54" i="53"/>
  <c r="AG54" i="53"/>
  <c r="BH54" i="53" s="1"/>
  <c r="BB72" i="53" l="1"/>
  <c r="T73" i="53"/>
  <c r="AH54" i="53"/>
  <c r="BD54" i="53" s="1"/>
  <c r="J55" i="53" s="1"/>
  <c r="M55" i="53" s="1"/>
  <c r="BZ54" i="53"/>
  <c r="CA54" i="53" s="1"/>
  <c r="AY55" i="53"/>
  <c r="BW7" i="53"/>
  <c r="BV7" i="53"/>
  <c r="BT8" i="53"/>
  <c r="BB73" i="53" l="1"/>
  <c r="T74" i="53"/>
  <c r="AJ54" i="53"/>
  <c r="BN54" i="53" s="1"/>
  <c r="BT9" i="53"/>
  <c r="BT10" i="53" s="1"/>
  <c r="BW8" i="53"/>
  <c r="BV8" i="53"/>
  <c r="S55" i="53"/>
  <c r="AD55" i="53" s="1"/>
  <c r="BB74" i="53" l="1"/>
  <c r="T75" i="53"/>
  <c r="BL54" i="53"/>
  <c r="BG55" i="53"/>
  <c r="BC55" i="53"/>
  <c r="BT11" i="53"/>
  <c r="AF55" i="53"/>
  <c r="AZ55" i="53" s="1"/>
  <c r="BV10" i="53"/>
  <c r="BW10" i="53"/>
  <c r="BV9" i="53"/>
  <c r="BW9" i="53"/>
  <c r="CF55" i="53"/>
  <c r="CD55" i="53"/>
  <c r="BU55" i="53"/>
  <c r="BB75" i="53" l="1"/>
  <c r="T76" i="53"/>
  <c r="AY56" i="53"/>
  <c r="BV11" i="53"/>
  <c r="BW11" i="53"/>
  <c r="BS55" i="53"/>
  <c r="AG55" i="53"/>
  <c r="AH55" i="53" s="1"/>
  <c r="BD55" i="53" s="1"/>
  <c r="BT12" i="53"/>
  <c r="BP55" i="53"/>
  <c r="BB76" i="53" l="1"/>
  <c r="T77" i="53"/>
  <c r="J56" i="53"/>
  <c r="M56" i="53" s="1"/>
  <c r="BV12" i="53"/>
  <c r="BW12" i="53"/>
  <c r="BT13" i="53"/>
  <c r="BH55" i="53"/>
  <c r="AJ55" i="53"/>
  <c r="BB77" i="53" l="1"/>
  <c r="T78" i="53"/>
  <c r="BL55" i="53"/>
  <c r="BN55" i="53"/>
  <c r="BZ55" i="53"/>
  <c r="CA55" i="53" s="1"/>
  <c r="S56" i="53"/>
  <c r="BW13" i="53"/>
  <c r="BV13" i="53"/>
  <c r="BT14" i="53"/>
  <c r="BB78" i="53" l="1"/>
  <c r="T79" i="53"/>
  <c r="BV14" i="53"/>
  <c r="BW14" i="53"/>
  <c r="BT15" i="53"/>
  <c r="CF56" i="53"/>
  <c r="CD56" i="53"/>
  <c r="BU56" i="53"/>
  <c r="AD56" i="53"/>
  <c r="BB79" i="53" l="1"/>
  <c r="T80" i="53"/>
  <c r="BC56" i="53"/>
  <c r="AF56" i="53"/>
  <c r="BG56" i="53"/>
  <c r="BV15" i="53"/>
  <c r="BW15" i="53"/>
  <c r="BT16" i="53"/>
  <c r="BB80" i="53" l="1"/>
  <c r="T81" i="53"/>
  <c r="AG56" i="53"/>
  <c r="BH56" i="53" s="1"/>
  <c r="AZ56" i="53"/>
  <c r="BP56" i="53"/>
  <c r="BS56" i="53"/>
  <c r="BW16" i="53"/>
  <c r="BV16" i="53"/>
  <c r="BT17" i="53"/>
  <c r="BB81" i="53" l="1"/>
  <c r="T82" i="53"/>
  <c r="AH56" i="53"/>
  <c r="BD56" i="53" s="1"/>
  <c r="J57" i="53" s="1"/>
  <c r="M57" i="53" s="1"/>
  <c r="BZ56" i="53"/>
  <c r="CA56" i="53" s="1"/>
  <c r="AY57" i="53"/>
  <c r="BW17" i="53"/>
  <c r="BV17" i="53"/>
  <c r="BT18" i="53"/>
  <c r="BB82" i="53" l="1"/>
  <c r="T83" i="53"/>
  <c r="AJ56" i="53"/>
  <c r="BL56" i="53" s="1"/>
  <c r="S57" i="53"/>
  <c r="AD57" i="53" s="1"/>
  <c r="BV18" i="53"/>
  <c r="BW18" i="53"/>
  <c r="BT19" i="53"/>
  <c r="BB83" i="53" l="1"/>
  <c r="T84" i="53"/>
  <c r="BN56" i="53"/>
  <c r="BC57" i="53"/>
  <c r="BG57" i="53"/>
  <c r="AF57" i="53"/>
  <c r="AZ57" i="53" s="1"/>
  <c r="CF57" i="53"/>
  <c r="CD57" i="53"/>
  <c r="BU57" i="53"/>
  <c r="BV19" i="53"/>
  <c r="BW19" i="53"/>
  <c r="BT20" i="53"/>
  <c r="BB84" i="53" l="1"/>
  <c r="T85" i="53"/>
  <c r="AY58" i="53"/>
  <c r="AG57" i="53"/>
  <c r="BH57" i="53" s="1"/>
  <c r="BS57" i="53"/>
  <c r="BW20" i="53"/>
  <c r="BV20" i="53"/>
  <c r="BT21" i="53"/>
  <c r="BP57" i="53"/>
  <c r="BB85" i="53" l="1"/>
  <c r="T86" i="53"/>
  <c r="AH57" i="53"/>
  <c r="BD57" i="53" s="1"/>
  <c r="J58" i="53" s="1"/>
  <c r="M58" i="53" s="1"/>
  <c r="BZ57" i="53"/>
  <c r="CA57" i="53" s="1"/>
  <c r="BW21" i="53"/>
  <c r="BV21" i="53"/>
  <c r="BT22" i="53"/>
  <c r="BB86" i="53" l="1"/>
  <c r="T87" i="53"/>
  <c r="AJ57" i="53"/>
  <c r="S58" i="53"/>
  <c r="BW22" i="53"/>
  <c r="BV22" i="53"/>
  <c r="BT23" i="53"/>
  <c r="BB87" i="53" l="1"/>
  <c r="T88" i="53"/>
  <c r="BL57" i="53"/>
  <c r="BN57" i="53"/>
  <c r="BW23" i="53"/>
  <c r="BV23" i="53"/>
  <c r="BT24" i="53"/>
  <c r="CF58" i="53"/>
  <c r="CD58" i="53"/>
  <c r="BU58" i="53"/>
  <c r="AD58" i="53"/>
  <c r="BB88" i="53" l="1"/>
  <c r="T89" i="53"/>
  <c r="BV24" i="53"/>
  <c r="BW24" i="53"/>
  <c r="BT25" i="53"/>
  <c r="AF58" i="53"/>
  <c r="BC58" i="53"/>
  <c r="BG58" i="53"/>
  <c r="BB89" i="53" l="1"/>
  <c r="T90" i="53"/>
  <c r="AZ58" i="53"/>
  <c r="BP58" i="53"/>
  <c r="BS58" i="53"/>
  <c r="BW25" i="53"/>
  <c r="BV25" i="53"/>
  <c r="BT26" i="53"/>
  <c r="AG58" i="53"/>
  <c r="BH58" i="53" s="1"/>
  <c r="BB90" i="53" l="1"/>
  <c r="T91" i="53"/>
  <c r="AH58" i="53"/>
  <c r="BD58" i="53" s="1"/>
  <c r="J59" i="53" s="1"/>
  <c r="M59" i="53" s="1"/>
  <c r="BZ58" i="53"/>
  <c r="CA58" i="53" s="1"/>
  <c r="BV26" i="53"/>
  <c r="BW26" i="53"/>
  <c r="BT27" i="53"/>
  <c r="AY59" i="53"/>
  <c r="BB91" i="53" l="1"/>
  <c r="T92" i="53"/>
  <c r="AJ58" i="53"/>
  <c r="BL58" i="53" s="1"/>
  <c r="S59" i="53"/>
  <c r="BV27" i="53"/>
  <c r="BW27" i="53"/>
  <c r="BT28" i="53"/>
  <c r="BB92" i="53" l="1"/>
  <c r="T93" i="53"/>
  <c r="BN58" i="53"/>
  <c r="BV28" i="53"/>
  <c r="BW28" i="53"/>
  <c r="BT29" i="53"/>
  <c r="AD59" i="53"/>
  <c r="CF59" i="53"/>
  <c r="CD59" i="53"/>
  <c r="BU59" i="53"/>
  <c r="BB93" i="53" l="1"/>
  <c r="T94" i="53"/>
  <c r="BV29" i="53"/>
  <c r="BW29" i="53"/>
  <c r="BT30" i="53"/>
  <c r="BG59" i="53"/>
  <c r="BC59" i="53"/>
  <c r="AF59" i="53"/>
  <c r="BB94" i="53" l="1"/>
  <c r="T95" i="53"/>
  <c r="AZ59" i="53"/>
  <c r="BP59" i="53"/>
  <c r="BS59" i="53"/>
  <c r="AG59" i="53"/>
  <c r="AH59" i="53" s="1"/>
  <c r="BD59" i="53" s="1"/>
  <c r="BW30" i="53"/>
  <c r="BV30" i="53"/>
  <c r="BT31" i="53"/>
  <c r="BB95" i="53" l="1"/>
  <c r="T96" i="53"/>
  <c r="J60" i="53"/>
  <c r="M60" i="53" s="1"/>
  <c r="BV31" i="53"/>
  <c r="BW31" i="53"/>
  <c r="BT32" i="53"/>
  <c r="BH59" i="53"/>
  <c r="AJ59" i="53"/>
  <c r="AY60" i="53"/>
  <c r="BB96" i="53" l="1"/>
  <c r="T97" i="53"/>
  <c r="BZ59" i="53"/>
  <c r="CA59" i="53" s="1"/>
  <c r="BV32" i="53"/>
  <c r="BW32" i="53"/>
  <c r="BT33" i="53"/>
  <c r="BL59" i="53"/>
  <c r="BN59" i="53"/>
  <c r="S60" i="53"/>
  <c r="AD60" i="53" s="1"/>
  <c r="BB97" i="53" l="1"/>
  <c r="T98" i="53"/>
  <c r="BC60" i="53"/>
  <c r="AF60" i="53"/>
  <c r="AZ60" i="53" s="1"/>
  <c r="BG60" i="53"/>
  <c r="CF60" i="53"/>
  <c r="CD60" i="53"/>
  <c r="BU60" i="53"/>
  <c r="BV33" i="53"/>
  <c r="BW33" i="53"/>
  <c r="BT34" i="53"/>
  <c r="BB98" i="53" l="1"/>
  <c r="T99" i="53"/>
  <c r="BW34" i="53"/>
  <c r="BV34" i="53"/>
  <c r="BT35" i="53"/>
  <c r="BS60" i="53"/>
  <c r="AG60" i="53"/>
  <c r="BH60" i="53" s="1"/>
  <c r="AY61" i="53"/>
  <c r="BP60" i="53"/>
  <c r="BB99" i="53" l="1"/>
  <c r="T100" i="53"/>
  <c r="BZ60" i="53"/>
  <c r="CA60" i="53" s="1"/>
  <c r="AH60" i="53"/>
  <c r="BD60" i="53" s="1"/>
  <c r="BW35" i="53"/>
  <c r="BV35" i="53"/>
  <c r="BT36" i="53"/>
  <c r="BB100" i="53" l="1"/>
  <c r="T101" i="53"/>
  <c r="AJ60" i="53"/>
  <c r="J61" i="53"/>
  <c r="M61" i="53" s="1"/>
  <c r="BW36" i="53"/>
  <c r="BV36" i="53"/>
  <c r="BT37" i="53"/>
  <c r="BB101" i="53" l="1"/>
  <c r="T102" i="53"/>
  <c r="BV37" i="53"/>
  <c r="BW37" i="53"/>
  <c r="BT38" i="53"/>
  <c r="S61" i="53"/>
  <c r="BN60" i="53"/>
  <c r="BL60" i="53"/>
  <c r="BB102" i="53" l="1"/>
  <c r="T103" i="53"/>
  <c r="CF61" i="53"/>
  <c r="CD61" i="53"/>
  <c r="BU61" i="53"/>
  <c r="AD61" i="53"/>
  <c r="BW38" i="53"/>
  <c r="BV38" i="53"/>
  <c r="BT39" i="53"/>
  <c r="BB103" i="53" l="1"/>
  <c r="T104" i="53"/>
  <c r="AF61" i="53"/>
  <c r="BG61" i="53"/>
  <c r="BC61" i="53"/>
  <c r="BV39" i="53"/>
  <c r="BW39" i="53"/>
  <c r="BT40" i="53"/>
  <c r="BB104" i="53" l="1"/>
  <c r="T105" i="53"/>
  <c r="BW40" i="53"/>
  <c r="BV40" i="53"/>
  <c r="BT41" i="53"/>
  <c r="AG61" i="53"/>
  <c r="AH61" i="53" s="1"/>
  <c r="BD61" i="53" s="1"/>
  <c r="BS61" i="53"/>
  <c r="AZ61" i="53"/>
  <c r="BP61" i="53"/>
  <c r="BB105" i="53" l="1"/>
  <c r="T106" i="53"/>
  <c r="J62" i="53"/>
  <c r="M62" i="53" s="1"/>
  <c r="AJ61" i="53"/>
  <c r="BH61" i="53"/>
  <c r="BV41" i="53"/>
  <c r="BW41" i="53"/>
  <c r="BT42" i="53"/>
  <c r="AY62" i="53"/>
  <c r="BB106" i="53" l="1"/>
  <c r="T107" i="53"/>
  <c r="BZ61" i="53"/>
  <c r="CA61" i="53" s="1"/>
  <c r="BN61" i="53"/>
  <c r="BL61" i="53"/>
  <c r="BW42" i="53"/>
  <c r="BV42" i="53"/>
  <c r="BT43" i="53"/>
  <c r="S62" i="53"/>
  <c r="BB107" i="53" l="1"/>
  <c r="T108" i="53"/>
  <c r="AD62" i="53"/>
  <c r="CF62" i="53"/>
  <c r="CD62" i="53"/>
  <c r="BU62" i="53"/>
  <c r="BW43" i="53"/>
  <c r="BV43" i="53"/>
  <c r="BT44" i="53"/>
  <c r="BB108" i="53" l="1"/>
  <c r="T109" i="53"/>
  <c r="BV44" i="53"/>
  <c r="BW44" i="53"/>
  <c r="BT45" i="53"/>
  <c r="BC62" i="53"/>
  <c r="AF62" i="53"/>
  <c r="BG62" i="53"/>
  <c r="BB109" i="53" l="1"/>
  <c r="T110" i="53"/>
  <c r="BS62" i="53"/>
  <c r="AG62" i="53"/>
  <c r="BH62" i="53" s="1"/>
  <c r="AZ62" i="53"/>
  <c r="BP62" i="53"/>
  <c r="BW45" i="53"/>
  <c r="BV45" i="53"/>
  <c r="BT46" i="53"/>
  <c r="BB110" i="53" l="1"/>
  <c r="T111" i="53"/>
  <c r="BZ62" i="53"/>
  <c r="CA62" i="53" s="1"/>
  <c r="AY63" i="53"/>
  <c r="BW46" i="53"/>
  <c r="BV46" i="53"/>
  <c r="BT47" i="53"/>
  <c r="AH62" i="53"/>
  <c r="BD62" i="53" s="1"/>
  <c r="BB111" i="53" l="1"/>
  <c r="T112" i="53"/>
  <c r="AJ62" i="53"/>
  <c r="BV47" i="53"/>
  <c r="BW47" i="53"/>
  <c r="BT48" i="53"/>
  <c r="J63" i="53"/>
  <c r="M63" i="53" s="1"/>
  <c r="BB112" i="53" l="1"/>
  <c r="T113" i="53"/>
  <c r="BW48" i="53"/>
  <c r="BV48" i="53"/>
  <c r="BT49" i="53"/>
  <c r="BN62" i="53"/>
  <c r="BL62" i="53"/>
  <c r="S63" i="53"/>
  <c r="AD63" i="53" s="1"/>
  <c r="BB113" i="53" l="1"/>
  <c r="T114" i="53"/>
  <c r="F28" i="48"/>
  <c r="BG63" i="53"/>
  <c r="AF63" i="53"/>
  <c r="AZ63" i="53" s="1"/>
  <c r="BC63" i="53"/>
  <c r="CF63" i="53"/>
  <c r="CD63" i="53"/>
  <c r="BU63" i="53"/>
  <c r="BV49" i="53"/>
  <c r="BW49" i="53"/>
  <c r="BT50" i="53"/>
  <c r="BB114" i="53" l="1"/>
  <c r="T115" i="53"/>
  <c r="BP63" i="53"/>
  <c r="H28" i="48"/>
  <c r="G28" i="48"/>
  <c r="BV50" i="53"/>
  <c r="BW50" i="53"/>
  <c r="BT51" i="53"/>
  <c r="BS63" i="53"/>
  <c r="AY64" i="53"/>
  <c r="AG63" i="53"/>
  <c r="BH63" i="53" s="1"/>
  <c r="BB115" i="53" l="1"/>
  <c r="T116" i="53"/>
  <c r="BZ63" i="53"/>
  <c r="CA63" i="53" s="1"/>
  <c r="AH63" i="53"/>
  <c r="BD63" i="53" s="1"/>
  <c r="BV51" i="53"/>
  <c r="BW51" i="53"/>
  <c r="BT52" i="53"/>
  <c r="BB116" i="53" l="1"/>
  <c r="T117" i="53"/>
  <c r="J64" i="53"/>
  <c r="M64" i="53" s="1"/>
  <c r="AJ63" i="53"/>
  <c r="BV52" i="53"/>
  <c r="BW52" i="53"/>
  <c r="BT53" i="53"/>
  <c r="BB117" i="53" l="1"/>
  <c r="T118" i="53"/>
  <c r="BW53" i="53"/>
  <c r="BV53" i="53"/>
  <c r="BT54" i="53"/>
  <c r="BN63" i="53"/>
  <c r="BL63" i="53"/>
  <c r="S64" i="53"/>
  <c r="BB118" i="53" l="1"/>
  <c r="T119" i="53"/>
  <c r="CF64" i="53"/>
  <c r="CD64" i="53"/>
  <c r="BU64" i="53"/>
  <c r="AD64" i="53"/>
  <c r="BW54" i="53"/>
  <c r="BV54" i="53"/>
  <c r="BT55" i="53"/>
  <c r="BB119" i="53" l="1"/>
  <c r="T120" i="53"/>
  <c r="BG64" i="53"/>
  <c r="AF64" i="53"/>
  <c r="BC64" i="53"/>
  <c r="BW55" i="53"/>
  <c r="BV55" i="53"/>
  <c r="BT56" i="53"/>
  <c r="BB120" i="53" l="1"/>
  <c r="T121" i="53"/>
  <c r="BW56" i="53"/>
  <c r="BV56" i="53"/>
  <c r="BT57" i="53"/>
  <c r="AG64" i="53"/>
  <c r="BS64" i="53"/>
  <c r="AZ64" i="53"/>
  <c r="BP64" i="53"/>
  <c r="BB121" i="53" l="1"/>
  <c r="T122" i="53"/>
  <c r="AH64" i="53"/>
  <c r="BD64" i="53" s="1"/>
  <c r="BH64" i="53"/>
  <c r="BW57" i="53"/>
  <c r="BV57" i="53"/>
  <c r="BT58" i="53"/>
  <c r="AY65" i="53"/>
  <c r="BB122" i="53" l="1"/>
  <c r="T123" i="53"/>
  <c r="BV58" i="53"/>
  <c r="BW58" i="53"/>
  <c r="BT59" i="53"/>
  <c r="J65" i="53"/>
  <c r="M65" i="53" s="1"/>
  <c r="BZ64" i="53"/>
  <c r="CA64" i="53" s="1"/>
  <c r="AJ64" i="53"/>
  <c r="BB123" i="53" l="1"/>
  <c r="T124" i="53"/>
  <c r="S65" i="53"/>
  <c r="BN64" i="53"/>
  <c r="BL64" i="53"/>
  <c r="BW59" i="53"/>
  <c r="BV59" i="53"/>
  <c r="BT60" i="53"/>
  <c r="BB124" i="53" l="1"/>
  <c r="T125" i="53"/>
  <c r="BW60" i="53"/>
  <c r="BV60" i="53"/>
  <c r="BT61" i="53"/>
  <c r="CF65" i="53"/>
  <c r="CD65" i="53"/>
  <c r="BU65" i="53"/>
  <c r="AD65" i="53"/>
  <c r="BB125" i="53" l="1"/>
  <c r="T126" i="53"/>
  <c r="AF65" i="53"/>
  <c r="BG65" i="53"/>
  <c r="BC65" i="53"/>
  <c r="BV61" i="53"/>
  <c r="BW61" i="53"/>
  <c r="BT62" i="53"/>
  <c r="BB126" i="53" l="1"/>
  <c r="BB128" i="53" s="1"/>
  <c r="T128" i="53"/>
  <c r="BV62" i="53"/>
  <c r="BW62" i="53"/>
  <c r="BT63" i="53"/>
  <c r="BS65" i="53"/>
  <c r="AZ65" i="53"/>
  <c r="BP65" i="53"/>
  <c r="AG65" i="53"/>
  <c r="BH65" i="53" s="1"/>
  <c r="AH65" i="53" l="1"/>
  <c r="BD65" i="53" s="1"/>
  <c r="J66" i="53" s="1"/>
  <c r="M66" i="53" s="1"/>
  <c r="BZ65" i="53"/>
  <c r="CA65" i="53" s="1"/>
  <c r="AY66" i="53"/>
  <c r="BW63" i="53"/>
  <c r="BV63" i="53"/>
  <c r="BT64" i="53"/>
  <c r="AJ65" i="53" l="1"/>
  <c r="BL65" i="53" s="1"/>
  <c r="BV64" i="53"/>
  <c r="BW64" i="53"/>
  <c r="BT65" i="53"/>
  <c r="S66" i="53"/>
  <c r="AD66" i="53" s="1"/>
  <c r="BN65" i="53" l="1"/>
  <c r="AF66" i="53"/>
  <c r="AZ66" i="53" s="1"/>
  <c r="BG66" i="53"/>
  <c r="BC66" i="53"/>
  <c r="CF66" i="53"/>
  <c r="CD66" i="53"/>
  <c r="BU66" i="53"/>
  <c r="BV65" i="53"/>
  <c r="BW65" i="53"/>
  <c r="BT66" i="53"/>
  <c r="BP66" i="53" l="1"/>
  <c r="BV66" i="53"/>
  <c r="BW66" i="53"/>
  <c r="BT67" i="53"/>
  <c r="BS66" i="53"/>
  <c r="AG66" i="53"/>
  <c r="BH66" i="53" s="1"/>
  <c r="AY67" i="53"/>
  <c r="BZ66" i="53" l="1"/>
  <c r="CA66" i="53" s="1"/>
  <c r="AH66" i="53"/>
  <c r="BD66" i="53" s="1"/>
  <c r="BW67" i="53"/>
  <c r="BV67" i="53"/>
  <c r="BT68" i="53"/>
  <c r="AJ66" i="53" l="1"/>
  <c r="J67" i="53"/>
  <c r="M67" i="53" s="1"/>
  <c r="BW68" i="53"/>
  <c r="BV68" i="53"/>
  <c r="BT69" i="53"/>
  <c r="BW69" i="53" l="1"/>
  <c r="BV69" i="53"/>
  <c r="BT70" i="53"/>
  <c r="S67" i="53"/>
  <c r="E90" i="69" a="1"/>
  <c r="E90" i="69" s="1"/>
  <c r="F90" i="69" s="1"/>
  <c r="Q105" i="69" s="1"/>
  <c r="E79" i="69" a="1"/>
  <c r="E79" i="69" s="1"/>
  <c r="F79" i="69" s="1"/>
  <c r="Q94" i="69" s="1"/>
  <c r="E84" i="69" a="1"/>
  <c r="E84" i="69" s="1"/>
  <c r="F84" i="69" s="1"/>
  <c r="Q99" i="69" s="1"/>
  <c r="E73" i="69" a="1"/>
  <c r="E73" i="69" s="1"/>
  <c r="F73" i="69" s="1"/>
  <c r="Q88" i="69" s="1"/>
  <c r="E82" i="69" a="1"/>
  <c r="E82" i="69" s="1"/>
  <c r="F82" i="69" s="1"/>
  <c r="Q97" i="69" s="1"/>
  <c r="E74" i="69" a="1"/>
  <c r="E74" i="69" s="1"/>
  <c r="F74" i="69" s="1"/>
  <c r="Q89" i="69" s="1"/>
  <c r="E88" i="69" a="1"/>
  <c r="E88" i="69" s="1"/>
  <c r="F88" i="69" s="1"/>
  <c r="Q103" i="69" s="1"/>
  <c r="E85" i="69" a="1"/>
  <c r="E85" i="69" s="1"/>
  <c r="F85" i="69" s="1"/>
  <c r="Q100" i="69" s="1"/>
  <c r="E71" i="69" a="1"/>
  <c r="E71" i="69" s="1"/>
  <c r="E76" i="69" a="1"/>
  <c r="E76" i="69" s="1"/>
  <c r="F76" i="69" s="1"/>
  <c r="Q91" i="69" s="1"/>
  <c r="E86" i="69" a="1"/>
  <c r="E86" i="69" s="1"/>
  <c r="F86" i="69" s="1"/>
  <c r="Q101" i="69" s="1"/>
  <c r="E72" i="69" a="1"/>
  <c r="E72" i="69" s="1"/>
  <c r="F72" i="69" s="1"/>
  <c r="Q87" i="69" s="1"/>
  <c r="E77" i="69" a="1"/>
  <c r="E77" i="69" s="1"/>
  <c r="F77" i="69" s="1"/>
  <c r="Q92" i="69" s="1"/>
  <c r="E81" i="69" a="1"/>
  <c r="E81" i="69" s="1"/>
  <c r="F81" i="69" s="1"/>
  <c r="Q96" i="69" s="1"/>
  <c r="E83" i="69" a="1"/>
  <c r="E83" i="69" s="1"/>
  <c r="F83" i="69" s="1"/>
  <c r="Q98" i="69" s="1"/>
  <c r="E80" i="69" a="1"/>
  <c r="E80" i="69" s="1"/>
  <c r="F80" i="69" s="1"/>
  <c r="Q95" i="69" s="1"/>
  <c r="E87" i="69" a="1"/>
  <c r="E87" i="69" s="1"/>
  <c r="F87" i="69" s="1"/>
  <c r="Q102" i="69" s="1"/>
  <c r="E89" i="69" a="1"/>
  <c r="E89" i="69" s="1"/>
  <c r="F89" i="69" s="1"/>
  <c r="Q104" i="69" s="1"/>
  <c r="E78" i="69" a="1"/>
  <c r="E78" i="69" s="1"/>
  <c r="F78" i="69" s="1"/>
  <c r="Q93" i="69" s="1"/>
  <c r="E75" i="69" a="1"/>
  <c r="E75" i="69" s="1"/>
  <c r="F75" i="69" s="1"/>
  <c r="Q90" i="69" s="1"/>
  <c r="BN66" i="53"/>
  <c r="BL66" i="53"/>
  <c r="V104" i="69" l="1"/>
  <c r="V91" i="69"/>
  <c r="V94" i="69"/>
  <c r="E91" i="69"/>
  <c r="E93" i="69" s="1"/>
  <c r="F71" i="69"/>
  <c r="V105" i="69"/>
  <c r="V95" i="69"/>
  <c r="V100" i="69"/>
  <c r="CF67" i="53"/>
  <c r="CD67" i="53"/>
  <c r="BU67" i="53"/>
  <c r="V102" i="69"/>
  <c r="V98" i="69"/>
  <c r="V103" i="69"/>
  <c r="V96" i="69"/>
  <c r="V89" i="69"/>
  <c r="AD67" i="53"/>
  <c r="V92" i="69"/>
  <c r="V97" i="69"/>
  <c r="BV70" i="53"/>
  <c r="BW70" i="53"/>
  <c r="BT71" i="53"/>
  <c r="V90" i="69"/>
  <c r="V87" i="69"/>
  <c r="V88" i="69"/>
  <c r="V93" i="69"/>
  <c r="V101" i="69"/>
  <c r="V99" i="69"/>
  <c r="BW71" i="53" l="1"/>
  <c r="BV71" i="53"/>
  <c r="BT72" i="53"/>
  <c r="Q86" i="69"/>
  <c r="F91" i="69"/>
  <c r="F93" i="69" s="1"/>
  <c r="AF67" i="53"/>
  <c r="BG67" i="53"/>
  <c r="BC67" i="53"/>
  <c r="AF86" i="69" l="1"/>
  <c r="V86" i="69"/>
  <c r="AG67" i="53"/>
  <c r="AH67" i="53" s="1"/>
  <c r="BW72" i="53"/>
  <c r="BV72" i="53"/>
  <c r="BT73" i="53"/>
  <c r="BS67" i="53"/>
  <c r="AZ67" i="53"/>
  <c r="BP67" i="53"/>
  <c r="BD67" i="53" l="1"/>
  <c r="AJ67" i="53"/>
  <c r="BV73" i="53"/>
  <c r="BW73" i="53"/>
  <c r="BT74" i="53"/>
  <c r="AY68" i="53"/>
  <c r="BH67" i="53"/>
  <c r="AD86" i="69"/>
  <c r="AE86" i="69"/>
  <c r="AC86" i="69"/>
  <c r="BW74" i="53" l="1"/>
  <c r="BV74" i="53"/>
  <c r="BT75" i="53"/>
  <c r="AB86" i="69"/>
  <c r="AG86" i="69" s="1"/>
  <c r="AC39" i="69"/>
  <c r="AH86" i="69"/>
  <c r="AE39" i="69"/>
  <c r="AJ86" i="69"/>
  <c r="BN67" i="53"/>
  <c r="BL67" i="53"/>
  <c r="AD39" i="69"/>
  <c r="AI86" i="69"/>
  <c r="BZ67" i="53"/>
  <c r="CA67" i="53" s="1"/>
  <c r="J68" i="53"/>
  <c r="M68" i="53" s="1"/>
  <c r="S68" i="53" l="1"/>
  <c r="AB39" i="69"/>
  <c r="AQ86" i="69"/>
  <c r="BW75" i="53"/>
  <c r="BV75" i="53"/>
  <c r="BT76" i="53"/>
  <c r="BW76" i="53" l="1"/>
  <c r="BV76" i="53"/>
  <c r="BT77" i="53"/>
  <c r="CF68" i="53"/>
  <c r="CD68" i="53"/>
  <c r="BU68" i="53"/>
  <c r="AO86" i="69"/>
  <c r="AP86" i="69"/>
  <c r="AN86" i="69"/>
  <c r="AD68" i="53"/>
  <c r="AT86" i="69" l="1"/>
  <c r="AO39" i="69"/>
  <c r="AF68" i="53"/>
  <c r="BG68" i="53"/>
  <c r="BC68" i="53"/>
  <c r="BV77" i="53"/>
  <c r="BW77" i="53"/>
  <c r="BT78" i="53"/>
  <c r="AM86" i="69"/>
  <c r="AR86" i="69" s="1"/>
  <c r="AS86" i="69"/>
  <c r="AN39" i="69"/>
  <c r="AU86" i="69"/>
  <c r="AP39" i="69"/>
  <c r="AM39" i="69" l="1"/>
  <c r="BB86" i="69"/>
  <c r="BV78" i="53"/>
  <c r="BW78" i="53"/>
  <c r="BT79" i="53"/>
  <c r="BS68" i="53"/>
  <c r="AZ68" i="53"/>
  <c r="BP68" i="53"/>
  <c r="AG68" i="53"/>
  <c r="BH68" i="53" s="1"/>
  <c r="BW79" i="53" l="1"/>
  <c r="BV79" i="53"/>
  <c r="BT80" i="53"/>
  <c r="AY86" i="69"/>
  <c r="AZ86" i="69"/>
  <c r="BZ68" i="53"/>
  <c r="CA68" i="53" s="1"/>
  <c r="AY69" i="53"/>
  <c r="AH68" i="53"/>
  <c r="BD68" i="53" s="1"/>
  <c r="BA86" i="69"/>
  <c r="BW80" i="53" l="1"/>
  <c r="BV80" i="53"/>
  <c r="BT81" i="53"/>
  <c r="J69" i="53"/>
  <c r="M69" i="53" s="1"/>
  <c r="BE86" i="69"/>
  <c r="AZ39" i="69"/>
  <c r="BF86" i="69"/>
  <c r="BA39" i="69"/>
  <c r="AX86" i="69"/>
  <c r="BC86" i="69" s="1"/>
  <c r="BD86" i="69"/>
  <c r="AY39" i="69"/>
  <c r="AJ68" i="53"/>
  <c r="BM86" i="69" l="1"/>
  <c r="BJ86" i="69" s="1"/>
  <c r="BV81" i="53"/>
  <c r="BW81" i="53"/>
  <c r="BT82" i="53"/>
  <c r="BL68" i="53"/>
  <c r="BN68" i="53"/>
  <c r="S69" i="53"/>
  <c r="AX39" i="69"/>
  <c r="BO86" i="69" l="1"/>
  <c r="BJ39" i="69"/>
  <c r="BL86" i="69"/>
  <c r="BK86" i="69"/>
  <c r="BW82" i="53"/>
  <c r="BV82" i="53"/>
  <c r="BT83" i="53"/>
  <c r="CF69" i="53"/>
  <c r="CD69" i="53"/>
  <c r="BU69" i="53"/>
  <c r="AD69" i="53"/>
  <c r="AF69" i="53" l="1"/>
  <c r="BG69" i="53"/>
  <c r="BC69" i="53"/>
  <c r="BQ86" i="69"/>
  <c r="BL39" i="69"/>
  <c r="BP86" i="69"/>
  <c r="BK39" i="69"/>
  <c r="BW83" i="53"/>
  <c r="BV83" i="53"/>
  <c r="BT84" i="53"/>
  <c r="BI86" i="69"/>
  <c r="BN86" i="69" s="1"/>
  <c r="BS69" i="53" l="1"/>
  <c r="AG69" i="53"/>
  <c r="BH69" i="53" s="1"/>
  <c r="BX86" i="69"/>
  <c r="BU86" i="69" s="1"/>
  <c r="AZ69" i="53"/>
  <c r="BP69" i="53"/>
  <c r="BW84" i="53"/>
  <c r="BV84" i="53"/>
  <c r="BT85" i="53"/>
  <c r="BI39" i="69"/>
  <c r="AH69" i="53" l="1"/>
  <c r="BD69" i="53" s="1"/>
  <c r="J70" i="53" s="1"/>
  <c r="M70" i="53" s="1"/>
  <c r="BZ69" i="53"/>
  <c r="CA69" i="53" s="1"/>
  <c r="BZ86" i="69"/>
  <c r="BU39" i="69"/>
  <c r="BW86" i="69"/>
  <c r="BV86" i="69"/>
  <c r="BV85" i="53"/>
  <c r="BW85" i="53"/>
  <c r="BT86" i="53"/>
  <c r="AY70" i="53"/>
  <c r="AJ69" i="53" l="1"/>
  <c r="BL69" i="53" s="1"/>
  <c r="S70" i="53"/>
  <c r="CB86" i="69"/>
  <c r="BW39" i="69"/>
  <c r="BV86" i="53"/>
  <c r="BW86" i="53"/>
  <c r="BT87" i="53"/>
  <c r="CA86" i="69"/>
  <c r="BV39" i="69"/>
  <c r="BT86" i="69"/>
  <c r="BY86" i="69" s="1"/>
  <c r="BN69" i="53" l="1"/>
  <c r="BT39" i="69"/>
  <c r="CF70" i="53"/>
  <c r="CD70" i="53"/>
  <c r="BU70" i="53"/>
  <c r="CI86" i="69"/>
  <c r="CG86" i="69" s="1"/>
  <c r="S86" i="69" s="1"/>
  <c r="S39" i="69" s="1"/>
  <c r="BV87" i="53"/>
  <c r="BW87" i="53"/>
  <c r="BT88" i="53"/>
  <c r="AD70" i="53"/>
  <c r="X87" i="69" l="1"/>
  <c r="AF70" i="53"/>
  <c r="BG70" i="53"/>
  <c r="BC70" i="53"/>
  <c r="CN86" i="69"/>
  <c r="S59" i="69"/>
  <c r="T59" i="69"/>
  <c r="R59" i="69"/>
  <c r="CG39" i="69"/>
  <c r="CF86" i="69"/>
  <c r="BW88" i="53"/>
  <c r="BV88" i="53"/>
  <c r="BT89" i="53"/>
  <c r="CH86" i="69"/>
  <c r="Q59" i="69" l="1"/>
  <c r="CP86" i="69"/>
  <c r="CQ86" i="69"/>
  <c r="CO86" i="69"/>
  <c r="BS70" i="53"/>
  <c r="AG70" i="53"/>
  <c r="BH70" i="53" s="1"/>
  <c r="AZ70" i="53"/>
  <c r="BP70" i="53"/>
  <c r="CE86" i="69"/>
  <c r="R86" i="69"/>
  <c r="R39" i="69" s="1"/>
  <c r="CF39" i="69"/>
  <c r="T86" i="69"/>
  <c r="T39" i="69" s="1"/>
  <c r="CH39" i="69"/>
  <c r="BW89" i="53"/>
  <c r="BV89" i="53"/>
  <c r="BT90" i="53"/>
  <c r="AH70" i="53" l="1"/>
  <c r="BD70" i="53" s="1"/>
  <c r="J71" i="53" s="1"/>
  <c r="M71" i="53" s="1"/>
  <c r="BZ70" i="53"/>
  <c r="CA70" i="53" s="1"/>
  <c r="Y87" i="69"/>
  <c r="AY71" i="53"/>
  <c r="CE39" i="69"/>
  <c r="BV90" i="53"/>
  <c r="BW90" i="53"/>
  <c r="BT91" i="53"/>
  <c r="Q39" i="69"/>
  <c r="W87" i="69"/>
  <c r="AJ70" i="53" l="1"/>
  <c r="AF87" i="69"/>
  <c r="AC87" i="69" s="1"/>
  <c r="S71" i="53"/>
  <c r="AD71" i="53" s="1"/>
  <c r="BW91" i="53"/>
  <c r="BV91" i="53"/>
  <c r="BT92" i="53"/>
  <c r="J39" i="69"/>
  <c r="AD87" i="69" l="1"/>
  <c r="AD40" i="69" s="1"/>
  <c r="AE87" i="69"/>
  <c r="AE40" i="69" s="1"/>
  <c r="BN70" i="53"/>
  <c r="BL70" i="53"/>
  <c r="BG71" i="53"/>
  <c r="BC71" i="53"/>
  <c r="AF71" i="53"/>
  <c r="AZ71" i="53" s="1"/>
  <c r="AC40" i="69"/>
  <c r="AH87" i="69"/>
  <c r="CF71" i="53"/>
  <c r="CD71" i="53"/>
  <c r="BU71" i="53"/>
  <c r="BV92" i="53"/>
  <c r="BW92" i="53"/>
  <c r="BT93" i="53"/>
  <c r="M39" i="69"/>
  <c r="L39" i="69"/>
  <c r="K39" i="69"/>
  <c r="AJ87" i="69"/>
  <c r="AI87" i="69" l="1"/>
  <c r="AB87" i="69"/>
  <c r="AG87" i="69" s="1"/>
  <c r="BP71" i="53"/>
  <c r="AB40" i="69"/>
  <c r="AY72" i="53"/>
  <c r="BS71" i="53"/>
  <c r="BW93" i="53"/>
  <c r="BV93" i="53"/>
  <c r="BT94" i="53"/>
  <c r="AG71" i="53"/>
  <c r="BH71" i="53" s="1"/>
  <c r="AQ87" i="69" l="1"/>
  <c r="AN87" i="69" s="1"/>
  <c r="AN40" i="69" s="1"/>
  <c r="AH71" i="53"/>
  <c r="BD71" i="53" s="1"/>
  <c r="J72" i="53" s="1"/>
  <c r="M72" i="53" s="1"/>
  <c r="BW94" i="53"/>
  <c r="BV94" i="53"/>
  <c r="BT95" i="53"/>
  <c r="BZ71" i="53"/>
  <c r="CA71" i="53" s="1"/>
  <c r="AS87" i="69" l="1"/>
  <c r="AO87" i="69"/>
  <c r="AT87" i="69" s="1"/>
  <c r="AP87" i="69"/>
  <c r="AU87" i="69" s="1"/>
  <c r="AJ71" i="53"/>
  <c r="S72" i="53"/>
  <c r="BV95" i="53"/>
  <c r="BW95" i="53"/>
  <c r="BT96" i="53"/>
  <c r="AO40" i="69" l="1"/>
  <c r="AM87" i="69"/>
  <c r="AR87" i="69" s="1"/>
  <c r="BB87" i="69" s="1"/>
  <c r="BA87" i="69" s="1"/>
  <c r="AP40" i="69"/>
  <c r="BL71" i="53"/>
  <c r="BN71" i="53"/>
  <c r="CF72" i="53"/>
  <c r="CD72" i="53"/>
  <c r="BU72" i="53"/>
  <c r="AD72" i="53"/>
  <c r="BV96" i="53"/>
  <c r="BW96" i="53"/>
  <c r="BT97" i="53"/>
  <c r="AM40" i="69" l="1"/>
  <c r="BA40" i="69"/>
  <c r="AY87" i="69"/>
  <c r="AZ87" i="69"/>
  <c r="AZ40" i="69" s="1"/>
  <c r="BW97" i="53"/>
  <c r="BV97" i="53"/>
  <c r="BT98" i="53"/>
  <c r="BC72" i="53"/>
  <c r="AF72" i="53"/>
  <c r="BG72" i="53"/>
  <c r="BF87" i="69"/>
  <c r="BE87" i="69" l="1"/>
  <c r="AX87" i="69"/>
  <c r="BC87" i="69" s="1"/>
  <c r="AY40" i="69"/>
  <c r="BD87" i="69"/>
  <c r="BV98" i="53"/>
  <c r="BW98" i="53"/>
  <c r="BT99" i="53"/>
  <c r="AG72" i="53"/>
  <c r="AZ72" i="53"/>
  <c r="BP72" i="53"/>
  <c r="BS72" i="53"/>
  <c r="AX40" i="69" l="1"/>
  <c r="BM87" i="69"/>
  <c r="BK87" i="69" s="1"/>
  <c r="BP87" i="69" s="1"/>
  <c r="AY73" i="53"/>
  <c r="BW99" i="53"/>
  <c r="BV99" i="53"/>
  <c r="BT100" i="53"/>
  <c r="BH72" i="53"/>
  <c r="AH72" i="53"/>
  <c r="BD72" i="53" s="1"/>
  <c r="BJ87" i="69" l="1"/>
  <c r="BJ40" i="69" s="1"/>
  <c r="BL87" i="69"/>
  <c r="BL40" i="69" s="1"/>
  <c r="BK40" i="69"/>
  <c r="AJ72" i="53"/>
  <c r="J73" i="53"/>
  <c r="M73" i="53" s="1"/>
  <c r="BZ72" i="53"/>
  <c r="CA72" i="53" s="1"/>
  <c r="BV100" i="53"/>
  <c r="BW100" i="53"/>
  <c r="BT101" i="53"/>
  <c r="BO87" i="69" l="1"/>
  <c r="BQ87" i="69"/>
  <c r="BI87" i="69"/>
  <c r="BN87" i="69" s="1"/>
  <c r="S73" i="53"/>
  <c r="BI40" i="69"/>
  <c r="BV101" i="53"/>
  <c r="BW101" i="53"/>
  <c r="BT102" i="53"/>
  <c r="BN72" i="53"/>
  <c r="BL72" i="53"/>
  <c r="BX87" i="69" l="1"/>
  <c r="BW87" i="69" s="1"/>
  <c r="CF73" i="53"/>
  <c r="CD73" i="53"/>
  <c r="BU73" i="53"/>
  <c r="BV102" i="53"/>
  <c r="BW102" i="53"/>
  <c r="BT103" i="53"/>
  <c r="AD73" i="53"/>
  <c r="BU87" i="69" l="1"/>
  <c r="BZ87" i="69" s="1"/>
  <c r="BV87" i="69"/>
  <c r="CA87" i="69" s="1"/>
  <c r="BV103" i="53"/>
  <c r="BW103" i="53"/>
  <c r="BT104" i="53"/>
  <c r="CB87" i="69"/>
  <c r="BW40" i="69"/>
  <c r="AF73" i="53"/>
  <c r="BC73" i="53"/>
  <c r="BG73" i="53"/>
  <c r="BV40" i="69" l="1"/>
  <c r="BU40" i="69"/>
  <c r="BT87" i="69"/>
  <c r="BY87" i="69" s="1"/>
  <c r="CI87" i="69" s="1"/>
  <c r="CG87" i="69" s="1"/>
  <c r="S87" i="69" s="1"/>
  <c r="S40" i="69" s="1"/>
  <c r="AZ73" i="53"/>
  <c r="BP73" i="53"/>
  <c r="BW104" i="53"/>
  <c r="BV104" i="53"/>
  <c r="BT105" i="53"/>
  <c r="AG73" i="53"/>
  <c r="AH73" i="53" s="1"/>
  <c r="BD73" i="53" s="1"/>
  <c r="BS73" i="53"/>
  <c r="BT40" i="69" l="1"/>
  <c r="CH87" i="69"/>
  <c r="T87" i="69" s="1"/>
  <c r="T40" i="69" s="1"/>
  <c r="Y88" i="69" s="1"/>
  <c r="J74" i="53"/>
  <c r="M74" i="53" s="1"/>
  <c r="X88" i="69"/>
  <c r="CN87" i="69"/>
  <c r="R60" i="69"/>
  <c r="S60" i="69"/>
  <c r="T60" i="69"/>
  <c r="BH73" i="53"/>
  <c r="CG40" i="69"/>
  <c r="AJ73" i="53"/>
  <c r="BW105" i="53"/>
  <c r="BV105" i="53"/>
  <c r="BT106" i="53"/>
  <c r="CF87" i="69"/>
  <c r="AY74" i="53"/>
  <c r="CH40" i="69" l="1"/>
  <c r="BW106" i="53"/>
  <c r="BV106" i="53"/>
  <c r="BT107" i="53"/>
  <c r="CO87" i="69"/>
  <c r="CP87" i="69"/>
  <c r="CQ87" i="69"/>
  <c r="BZ73" i="53"/>
  <c r="CA73" i="53" s="1"/>
  <c r="BN73" i="53"/>
  <c r="BL73" i="53"/>
  <c r="CE87" i="69"/>
  <c r="R87" i="69"/>
  <c r="R40" i="69" s="1"/>
  <c r="CF40" i="69"/>
  <c r="Q60" i="69"/>
  <c r="S74" i="53"/>
  <c r="AD74" i="53" l="1"/>
  <c r="BV107" i="53"/>
  <c r="BW107" i="53"/>
  <c r="BT108" i="53"/>
  <c r="CE40" i="69"/>
  <c r="Q40" i="69"/>
  <c r="W88" i="69"/>
  <c r="CF74" i="53"/>
  <c r="CD74" i="53"/>
  <c r="BU74" i="53"/>
  <c r="BC74" i="53" l="1"/>
  <c r="AF74" i="53"/>
  <c r="BG74" i="53"/>
  <c r="AF88" i="69"/>
  <c r="AC88" i="69" s="1"/>
  <c r="J40" i="69"/>
  <c r="BW108" i="53"/>
  <c r="BV108" i="53"/>
  <c r="BT109" i="53"/>
  <c r="AC41" i="69" l="1"/>
  <c r="AH88" i="69"/>
  <c r="AG74" i="53"/>
  <c r="AH74" i="53" s="1"/>
  <c r="BD74" i="53" s="1"/>
  <c r="AZ74" i="53"/>
  <c r="BP74" i="53"/>
  <c r="BS74" i="53"/>
  <c r="AD88" i="69"/>
  <c r="M40" i="69"/>
  <c r="K40" i="69"/>
  <c r="L40" i="69"/>
  <c r="BV109" i="53"/>
  <c r="BW109" i="53"/>
  <c r="BT110" i="53"/>
  <c r="AE88" i="69"/>
  <c r="AJ74" i="53" l="1"/>
  <c r="BN74" i="53" s="1"/>
  <c r="BV110" i="53"/>
  <c r="BW110" i="53"/>
  <c r="BT111" i="53"/>
  <c r="AE41" i="69"/>
  <c r="AJ88" i="69"/>
  <c r="J75" i="53"/>
  <c r="M75" i="53" s="1"/>
  <c r="BH74" i="53"/>
  <c r="AY75" i="53"/>
  <c r="AD41" i="69"/>
  <c r="AI88" i="69"/>
  <c r="AB88" i="69"/>
  <c r="AG88" i="69" s="1"/>
  <c r="BL74" i="53" l="1"/>
  <c r="BW111" i="53"/>
  <c r="BV111" i="53"/>
  <c r="BT112" i="53"/>
  <c r="AB41" i="69"/>
  <c r="BZ74" i="53"/>
  <c r="CA74" i="53" s="1"/>
  <c r="AQ88" i="69"/>
  <c r="S75" i="53"/>
  <c r="CF75" i="53" l="1"/>
  <c r="CD75" i="53"/>
  <c r="BU75" i="53"/>
  <c r="BV112" i="53"/>
  <c r="BW112" i="53"/>
  <c r="BT113" i="53"/>
  <c r="AN88" i="69"/>
  <c r="AP88" i="69"/>
  <c r="AD75" i="53"/>
  <c r="AO88" i="69"/>
  <c r="BC75" i="53" l="1"/>
  <c r="AF75" i="53"/>
  <c r="BG75" i="53"/>
  <c r="BW113" i="53"/>
  <c r="BV113" i="53"/>
  <c r="BT114" i="53"/>
  <c r="AU88" i="69"/>
  <c r="AP41" i="69"/>
  <c r="AM88" i="69"/>
  <c r="AR88" i="69" s="1"/>
  <c r="AS88" i="69"/>
  <c r="AN41" i="69"/>
  <c r="AT88" i="69"/>
  <c r="AO41" i="69"/>
  <c r="BV114" i="53" l="1"/>
  <c r="BW114" i="53"/>
  <c r="BT115" i="53"/>
  <c r="AM41" i="69"/>
  <c r="AG75" i="53"/>
  <c r="AH75" i="53" s="1"/>
  <c r="AJ75" i="53" s="1"/>
  <c r="AZ75" i="53"/>
  <c r="BP75" i="53"/>
  <c r="BS75" i="53"/>
  <c r="BB88" i="69"/>
  <c r="BA88" i="69" s="1"/>
  <c r="BH75" i="53" l="1"/>
  <c r="BZ75" i="53" s="1"/>
  <c r="CA75" i="53" s="1"/>
  <c r="BF88" i="69"/>
  <c r="BA41" i="69"/>
  <c r="BL75" i="53"/>
  <c r="BN75" i="53"/>
  <c r="AY88" i="69"/>
  <c r="BD75" i="53"/>
  <c r="BW115" i="53"/>
  <c r="BV115" i="53"/>
  <c r="BT116" i="53"/>
  <c r="AY76" i="53"/>
  <c r="AZ88" i="69"/>
  <c r="AX88" i="69" l="1"/>
  <c r="BC88" i="69" s="1"/>
  <c r="BD88" i="69"/>
  <c r="AY41" i="69"/>
  <c r="BE88" i="69"/>
  <c r="AZ41" i="69"/>
  <c r="BV116" i="53"/>
  <c r="BW116" i="53"/>
  <c r="BT117" i="53"/>
  <c r="J76" i="53"/>
  <c r="M76" i="53" s="1"/>
  <c r="BV117" i="53" l="1"/>
  <c r="BW117" i="53"/>
  <c r="BT118" i="53"/>
  <c r="AX41" i="69"/>
  <c r="BM88" i="69"/>
  <c r="S76" i="53"/>
  <c r="BJ88" i="69" l="1"/>
  <c r="BK88" i="69"/>
  <c r="BW118" i="53"/>
  <c r="BV118" i="53"/>
  <c r="BT119" i="53"/>
  <c r="CF76" i="53"/>
  <c r="CD76" i="53"/>
  <c r="BU76" i="53"/>
  <c r="BL88" i="69"/>
  <c r="AD76" i="53"/>
  <c r="BI88" i="69" l="1"/>
  <c r="BN88" i="69" s="1"/>
  <c r="BO88" i="69"/>
  <c r="BJ41" i="69"/>
  <c r="BV119" i="53"/>
  <c r="BW119" i="53"/>
  <c r="BT120" i="53"/>
  <c r="AF76" i="53"/>
  <c r="BG76" i="53"/>
  <c r="BC76" i="53"/>
  <c r="BP88" i="69"/>
  <c r="BK41" i="69"/>
  <c r="BQ88" i="69"/>
  <c r="BL41" i="69"/>
  <c r="BV120" i="53" l="1"/>
  <c r="BW120" i="53"/>
  <c r="BT121" i="53"/>
  <c r="BI41" i="69"/>
  <c r="BS76" i="53"/>
  <c r="AZ76" i="53"/>
  <c r="BP76" i="53"/>
  <c r="BX88" i="69"/>
  <c r="BV88" i="69" s="1"/>
  <c r="AG76" i="53"/>
  <c r="AH76" i="53" s="1"/>
  <c r="BD76" i="53" s="1"/>
  <c r="BU88" i="69" l="1"/>
  <c r="BU41" i="69" s="1"/>
  <c r="AJ76" i="53"/>
  <c r="BL76" i="53" s="1"/>
  <c r="J77" i="53"/>
  <c r="M77" i="53" s="1"/>
  <c r="AY77" i="53"/>
  <c r="BH76" i="53"/>
  <c r="CA88" i="69"/>
  <c r="BW121" i="53"/>
  <c r="BV121" i="53"/>
  <c r="BT122" i="53"/>
  <c r="BV41" i="69"/>
  <c r="BW88" i="69"/>
  <c r="BZ88" i="69" l="1"/>
  <c r="BT88" i="69"/>
  <c r="BY88" i="69" s="1"/>
  <c r="CI88" i="69" s="1"/>
  <c r="BN76" i="53"/>
  <c r="BZ76" i="53"/>
  <c r="CA76" i="53" s="1"/>
  <c r="S77" i="53"/>
  <c r="BV122" i="53"/>
  <c r="BW122" i="53"/>
  <c r="BT123" i="53"/>
  <c r="CB88" i="69"/>
  <c r="BW41" i="69"/>
  <c r="CG88" i="69" l="1"/>
  <c r="S88" i="69" s="1"/>
  <c r="S41" i="69" s="1"/>
  <c r="CF77" i="53"/>
  <c r="CD77" i="53"/>
  <c r="BU77" i="53"/>
  <c r="CH88" i="69"/>
  <c r="T88" i="69" s="1"/>
  <c r="T41" i="69" s="1"/>
  <c r="CF88" i="69"/>
  <c r="AD77" i="53"/>
  <c r="BV123" i="53"/>
  <c r="BW123" i="53"/>
  <c r="BT124" i="53"/>
  <c r="CN88" i="69"/>
  <c r="T61" i="69"/>
  <c r="R61" i="69"/>
  <c r="S61" i="69"/>
  <c r="BT41" i="69"/>
  <c r="CG41" i="69" l="1"/>
  <c r="CH41" i="69"/>
  <c r="BC77" i="53"/>
  <c r="AF77" i="53"/>
  <c r="BG77" i="53"/>
  <c r="Q61" i="69"/>
  <c r="CE88" i="69"/>
  <c r="R88" i="69"/>
  <c r="R41" i="69" s="1"/>
  <c r="CF41" i="69"/>
  <c r="Y89" i="69"/>
  <c r="CO88" i="69"/>
  <c r="CP88" i="69"/>
  <c r="CQ88" i="69"/>
  <c r="BW124" i="53"/>
  <c r="BV124" i="53"/>
  <c r="BT125" i="53"/>
  <c r="X89" i="69"/>
  <c r="AG77" i="53" l="1"/>
  <c r="AZ77" i="53"/>
  <c r="BP77" i="53"/>
  <c r="BS77" i="53"/>
  <c r="CE41" i="69"/>
  <c r="Q41" i="69"/>
  <c r="W89" i="69"/>
  <c r="BW125" i="53"/>
  <c r="BV125" i="53"/>
  <c r="AH77" i="53" l="1"/>
  <c r="BD77" i="53" s="1"/>
  <c r="J78" i="53" s="1"/>
  <c r="M78" i="53" s="1"/>
  <c r="AY78" i="53"/>
  <c r="AF89" i="69"/>
  <c r="AC89" i="69" s="1"/>
  <c r="BH77" i="53"/>
  <c r="J41" i="69"/>
  <c r="AJ77" i="53" l="1"/>
  <c r="BL77" i="53" s="1"/>
  <c r="AE89" i="69"/>
  <c r="AE42" i="69" s="1"/>
  <c r="AD89" i="69"/>
  <c r="AD42" i="69" s="1"/>
  <c r="S78" i="53"/>
  <c r="BZ77" i="53"/>
  <c r="CA77" i="53" s="1"/>
  <c r="AC42" i="69"/>
  <c r="AH89" i="69"/>
  <c r="AJ89" i="69"/>
  <c r="L41" i="69"/>
  <c r="M41" i="69"/>
  <c r="K41" i="69"/>
  <c r="AI89" i="69" l="1"/>
  <c r="AB89" i="69"/>
  <c r="AG89" i="69" s="1"/>
  <c r="BN77" i="53"/>
  <c r="CF78" i="53"/>
  <c r="CD78" i="53"/>
  <c r="BU78" i="53"/>
  <c r="AD78" i="53"/>
  <c r="AB42" i="69"/>
  <c r="AQ89" i="69" l="1"/>
  <c r="AN89" i="69" s="1"/>
  <c r="AS89" i="69" s="1"/>
  <c r="AF78" i="53"/>
  <c r="BC78" i="53"/>
  <c r="BG78" i="53"/>
  <c r="AP89" i="69" l="1"/>
  <c r="AP42" i="69" s="1"/>
  <c r="AN42" i="69"/>
  <c r="AO89" i="69"/>
  <c r="AO42" i="69" s="1"/>
  <c r="AG78" i="53"/>
  <c r="AU89" i="69"/>
  <c r="BS78" i="53"/>
  <c r="AZ78" i="53"/>
  <c r="BP78" i="53"/>
  <c r="AT89" i="69" l="1"/>
  <c r="AM89" i="69"/>
  <c r="AR89" i="69" s="1"/>
  <c r="BH78" i="53"/>
  <c r="AM42" i="69"/>
  <c r="AY79" i="53"/>
  <c r="AH78" i="53"/>
  <c r="BD78" i="53" s="1"/>
  <c r="BB89" i="69" l="1"/>
  <c r="BA89" i="69" s="1"/>
  <c r="BA42" i="69" s="1"/>
  <c r="BF89" i="69"/>
  <c r="BZ78" i="53"/>
  <c r="CA78" i="53" s="1"/>
  <c r="J79" i="53"/>
  <c r="M79" i="53" s="1"/>
  <c r="AJ78" i="53"/>
  <c r="AY89" i="69" l="1"/>
  <c r="BD89" i="69" s="1"/>
  <c r="AZ89" i="69"/>
  <c r="AZ42" i="69" s="1"/>
  <c r="BN78" i="53"/>
  <c r="BL78" i="53"/>
  <c r="S79" i="53"/>
  <c r="BE89" i="69" l="1"/>
  <c r="AY42" i="69"/>
  <c r="AX42" i="69" s="1"/>
  <c r="AX89" i="69"/>
  <c r="BC89" i="69" s="1"/>
  <c r="CF79" i="53"/>
  <c r="CD79" i="53"/>
  <c r="BU79" i="53"/>
  <c r="AD79" i="53"/>
  <c r="BM89" i="69" l="1"/>
  <c r="BK89" i="69" s="1"/>
  <c r="BK42" i="69" s="1"/>
  <c r="AF79" i="53"/>
  <c r="BC79" i="53"/>
  <c r="BG79" i="53"/>
  <c r="BL89" i="69" l="1"/>
  <c r="BJ89" i="69"/>
  <c r="BO89" i="69" s="1"/>
  <c r="BP89" i="69"/>
  <c r="BQ89" i="69"/>
  <c r="AG79" i="53"/>
  <c r="AH79" i="53" s="1"/>
  <c r="BD79" i="53" s="1"/>
  <c r="BS79" i="53"/>
  <c r="AZ79" i="53"/>
  <c r="BP79" i="53"/>
  <c r="BJ42" i="69" l="1"/>
  <c r="BI89" i="69"/>
  <c r="BN89" i="69" s="1"/>
  <c r="BX89" i="69" s="1"/>
  <c r="BV89" i="69" s="1"/>
  <c r="BL42" i="69"/>
  <c r="J80" i="53"/>
  <c r="M80" i="53" s="1"/>
  <c r="AJ79" i="53"/>
  <c r="BH79" i="53"/>
  <c r="AY80" i="53"/>
  <c r="BI42" i="69" l="1"/>
  <c r="BW89" i="69"/>
  <c r="CB89" i="69" s="1"/>
  <c r="BU89" i="69"/>
  <c r="BZ89" i="69" s="1"/>
  <c r="BZ79" i="53"/>
  <c r="CA79" i="53" s="1"/>
  <c r="S80" i="53"/>
  <c r="BL79" i="53"/>
  <c r="BN79" i="53"/>
  <c r="CA89" i="69"/>
  <c r="BV42" i="69"/>
  <c r="BW42" i="69" l="1"/>
  <c r="BT89" i="69"/>
  <c r="BY89" i="69" s="1"/>
  <c r="CI89" i="69" s="1"/>
  <c r="BU42" i="69"/>
  <c r="AD80" i="53"/>
  <c r="CF80" i="53"/>
  <c r="CD80" i="53"/>
  <c r="BU80" i="53"/>
  <c r="BT42" i="69" l="1"/>
  <c r="CN89" i="69"/>
  <c r="R62" i="69"/>
  <c r="T62" i="69"/>
  <c r="S62" i="69"/>
  <c r="CF89" i="69"/>
  <c r="CG89" i="69"/>
  <c r="CH89" i="69"/>
  <c r="BC80" i="53"/>
  <c r="AF80" i="53"/>
  <c r="BG80" i="53"/>
  <c r="AZ80" i="53" l="1"/>
  <c r="BP80" i="53"/>
  <c r="T89" i="69"/>
  <c r="T42" i="69" s="1"/>
  <c r="CH42" i="69"/>
  <c r="AG80" i="53"/>
  <c r="AH80" i="53" s="1"/>
  <c r="BD80" i="53" s="1"/>
  <c r="S89" i="69"/>
  <c r="S42" i="69" s="1"/>
  <c r="CG42" i="69"/>
  <c r="BS80" i="53"/>
  <c r="Q62" i="69"/>
  <c r="CE89" i="69"/>
  <c r="R89" i="69"/>
  <c r="R42" i="69" s="1"/>
  <c r="CF42" i="69"/>
  <c r="CP89" i="69"/>
  <c r="CO89" i="69"/>
  <c r="CQ89" i="69"/>
  <c r="J81" i="53" l="1"/>
  <c r="M81" i="53" s="1"/>
  <c r="X90" i="69"/>
  <c r="Q42" i="69"/>
  <c r="W90" i="69"/>
  <c r="Y90" i="69"/>
  <c r="CE42" i="69"/>
  <c r="BH80" i="53"/>
  <c r="AJ80" i="53"/>
  <c r="AY81" i="53"/>
  <c r="BL80" i="53" l="1"/>
  <c r="BN80" i="53"/>
  <c r="J42" i="69"/>
  <c r="AF90" i="69"/>
  <c r="AD90" i="69" s="1"/>
  <c r="BZ80" i="53"/>
  <c r="CA80" i="53" s="1"/>
  <c r="S81" i="53"/>
  <c r="AD43" i="69" l="1"/>
  <c r="AI90" i="69"/>
  <c r="CF81" i="53"/>
  <c r="CD81" i="53"/>
  <c r="BU81" i="53"/>
  <c r="M42" i="69"/>
  <c r="L42" i="69"/>
  <c r="K42" i="69"/>
  <c r="AE90" i="69"/>
  <c r="AD81" i="53"/>
  <c r="AC90" i="69"/>
  <c r="AC43" i="69" l="1"/>
  <c r="AB90" i="69"/>
  <c r="AG90" i="69" s="1"/>
  <c r="AH90" i="69"/>
  <c r="AE43" i="69"/>
  <c r="AJ90" i="69"/>
  <c r="BC81" i="53"/>
  <c r="AF81" i="53"/>
  <c r="BG81" i="53"/>
  <c r="AZ81" i="53" l="1"/>
  <c r="BP81" i="53"/>
  <c r="AG81" i="53"/>
  <c r="AH81" i="53" s="1"/>
  <c r="BD81" i="53" s="1"/>
  <c r="AQ90" i="69"/>
  <c r="AP90" i="69" s="1"/>
  <c r="AB43" i="69"/>
  <c r="BS81" i="53"/>
  <c r="AN90" i="69" l="1"/>
  <c r="AN43" i="69" s="1"/>
  <c r="AO90" i="69"/>
  <c r="AT90" i="69" s="1"/>
  <c r="J82" i="53"/>
  <c r="M82" i="53" s="1"/>
  <c r="AJ81" i="53"/>
  <c r="AY82" i="53"/>
  <c r="AU90" i="69"/>
  <c r="BH81" i="53"/>
  <c r="AP43" i="69"/>
  <c r="AS90" i="69" l="1"/>
  <c r="AM90" i="69"/>
  <c r="AR90" i="69" s="1"/>
  <c r="AO43" i="69"/>
  <c r="AM43" i="69" s="1"/>
  <c r="S82" i="53"/>
  <c r="BN81" i="53"/>
  <c r="BL81" i="53"/>
  <c r="BZ81" i="53"/>
  <c r="CA81" i="53" s="1"/>
  <c r="BB90" i="69" l="1"/>
  <c r="BA90" i="69" s="1"/>
  <c r="BF90" i="69" s="1"/>
  <c r="CF82" i="53"/>
  <c r="CD82" i="53"/>
  <c r="BU82" i="53"/>
  <c r="AD82" i="53"/>
  <c r="AY90" i="69" l="1"/>
  <c r="AY43" i="69" s="1"/>
  <c r="BA43" i="69"/>
  <c r="AZ90" i="69"/>
  <c r="AZ43" i="69" s="1"/>
  <c r="BC82" i="53"/>
  <c r="AF82" i="53"/>
  <c r="BG82" i="53"/>
  <c r="AX90" i="69" l="1"/>
  <c r="BC90" i="69" s="1"/>
  <c r="BD90" i="69"/>
  <c r="BE90" i="69"/>
  <c r="AX43" i="69"/>
  <c r="AG82" i="53"/>
  <c r="BH82" i="53" s="1"/>
  <c r="BS82" i="53"/>
  <c r="AZ82" i="53"/>
  <c r="BP82" i="53"/>
  <c r="BM90" i="69" l="1"/>
  <c r="BK90" i="69" s="1"/>
  <c r="BK43" i="69" s="1"/>
  <c r="BZ82" i="53"/>
  <c r="CA82" i="53" s="1"/>
  <c r="AH82" i="53"/>
  <c r="BD82" i="53" s="1"/>
  <c r="AY83" i="53"/>
  <c r="BJ90" i="69" l="1"/>
  <c r="BJ43" i="69" s="1"/>
  <c r="BL90" i="69"/>
  <c r="BL43" i="69" s="1"/>
  <c r="BP90" i="69"/>
  <c r="J83" i="53"/>
  <c r="M83" i="53" s="1"/>
  <c r="AJ82" i="53"/>
  <c r="BQ90" i="69" l="1"/>
  <c r="BO90" i="69"/>
  <c r="BI90" i="69"/>
  <c r="BN90" i="69" s="1"/>
  <c r="BL82" i="53"/>
  <c r="BN82" i="53"/>
  <c r="BI43" i="69"/>
  <c r="S83" i="53"/>
  <c r="BX90" i="69" l="1"/>
  <c r="BV90" i="69" s="1"/>
  <c r="CA90" i="69" s="1"/>
  <c r="CF83" i="53"/>
  <c r="CD83" i="53"/>
  <c r="BU83" i="53"/>
  <c r="AD83" i="53"/>
  <c r="BW90" i="69" l="1"/>
  <c r="BW43" i="69" s="1"/>
  <c r="BV43" i="69"/>
  <c r="BU90" i="69"/>
  <c r="BU43" i="69" s="1"/>
  <c r="AF83" i="53"/>
  <c r="BG83" i="53"/>
  <c r="BC83" i="53"/>
  <c r="CB90" i="69"/>
  <c r="BZ90" i="69" l="1"/>
  <c r="BT90" i="69"/>
  <c r="BY90" i="69" s="1"/>
  <c r="CI90" i="69" s="1"/>
  <c r="BT43" i="69"/>
  <c r="AG83" i="53"/>
  <c r="AH83" i="53" s="1"/>
  <c r="BD83" i="53" s="1"/>
  <c r="AZ83" i="53"/>
  <c r="BP83" i="53"/>
  <c r="BS83" i="53"/>
  <c r="J84" i="53" l="1"/>
  <c r="M84" i="53" s="1"/>
  <c r="AY84" i="53"/>
  <c r="CN90" i="69"/>
  <c r="T63" i="69"/>
  <c r="S63" i="69"/>
  <c r="R63" i="69"/>
  <c r="AJ83" i="53"/>
  <c r="BH83" i="53"/>
  <c r="CH90" i="69"/>
  <c r="CF90" i="69"/>
  <c r="CG90" i="69"/>
  <c r="Q63" i="69" l="1"/>
  <c r="CE90" i="69"/>
  <c r="R90" i="69"/>
  <c r="R43" i="69" s="1"/>
  <c r="CF43" i="69"/>
  <c r="CQ90" i="69"/>
  <c r="CP90" i="69"/>
  <c r="CO90" i="69"/>
  <c r="BZ83" i="53"/>
  <c r="CA83" i="53" s="1"/>
  <c r="BL83" i="53"/>
  <c r="BN83" i="53"/>
  <c r="T90" i="69"/>
  <c r="T43" i="69" s="1"/>
  <c r="CH43" i="69"/>
  <c r="S90" i="69"/>
  <c r="S43" i="69" s="1"/>
  <c r="CG43" i="69"/>
  <c r="S84" i="53"/>
  <c r="Y91" i="69" l="1"/>
  <c r="CF84" i="53"/>
  <c r="CD84" i="53"/>
  <c r="BU84" i="53"/>
  <c r="AD84" i="53"/>
  <c r="CE43" i="69"/>
  <c r="Q43" i="69"/>
  <c r="W91" i="69"/>
  <c r="X91" i="69"/>
  <c r="J43" i="69" l="1"/>
  <c r="AF91" i="69"/>
  <c r="BC84" i="53"/>
  <c r="AF84" i="53"/>
  <c r="BG84" i="53"/>
  <c r="AZ84" i="53" l="1"/>
  <c r="BP84" i="53"/>
  <c r="BS84" i="53"/>
  <c r="AD91" i="69"/>
  <c r="AE91" i="69"/>
  <c r="K43" i="69"/>
  <c r="L43" i="69"/>
  <c r="M43" i="69"/>
  <c r="AG84" i="53"/>
  <c r="AH84" i="53" s="1"/>
  <c r="BD84" i="53" s="1"/>
  <c r="AC91" i="69"/>
  <c r="J85" i="53" l="1"/>
  <c r="M85" i="53" s="1"/>
  <c r="BH84" i="53"/>
  <c r="AY85" i="53"/>
  <c r="AE44" i="69"/>
  <c r="AJ91" i="69"/>
  <c r="AD44" i="69"/>
  <c r="AI91" i="69"/>
  <c r="AJ84" i="53"/>
  <c r="AB91" i="69"/>
  <c r="AG91" i="69" s="1"/>
  <c r="AC44" i="69"/>
  <c r="AH91" i="69"/>
  <c r="BL84" i="53" l="1"/>
  <c r="BN84" i="53"/>
  <c r="BZ84" i="53"/>
  <c r="CA84" i="53" s="1"/>
  <c r="AB44" i="69"/>
  <c r="AQ91" i="69"/>
  <c r="AP91" i="69" s="1"/>
  <c r="S85" i="53"/>
  <c r="AU91" i="69" l="1"/>
  <c r="AP44" i="69"/>
  <c r="AO91" i="69"/>
  <c r="AN91" i="69"/>
  <c r="CF85" i="53"/>
  <c r="CD85" i="53"/>
  <c r="BU85" i="53"/>
  <c r="AD85" i="53"/>
  <c r="AT91" i="69" l="1"/>
  <c r="AO44" i="69"/>
  <c r="BC85" i="53"/>
  <c r="AF85" i="53"/>
  <c r="BG85" i="53"/>
  <c r="AM91" i="69"/>
  <c r="AR91" i="69" s="1"/>
  <c r="AS91" i="69"/>
  <c r="AN44" i="69"/>
  <c r="BS85" i="53" l="1"/>
  <c r="AZ85" i="53"/>
  <c r="BP85" i="53"/>
  <c r="AM44" i="69"/>
  <c r="BB91" i="69"/>
  <c r="BA91" i="69" s="1"/>
  <c r="AG85" i="53"/>
  <c r="AY91" i="69" l="1"/>
  <c r="AY44" i="69" s="1"/>
  <c r="AZ91" i="69"/>
  <c r="AZ44" i="69" s="1"/>
  <c r="AY86" i="53"/>
  <c r="AH85" i="53"/>
  <c r="BD85" i="53" s="1"/>
  <c r="BH85" i="53"/>
  <c r="BF91" i="69"/>
  <c r="BA44" i="69"/>
  <c r="BD91" i="69" l="1"/>
  <c r="BE91" i="69"/>
  <c r="AX91" i="69"/>
  <c r="BC91" i="69" s="1"/>
  <c r="J86" i="53"/>
  <c r="M86" i="53" s="1"/>
  <c r="AX44" i="69"/>
  <c r="AJ85" i="53"/>
  <c r="BZ85" i="53"/>
  <c r="CA85" i="53" s="1"/>
  <c r="BM91" i="69" l="1"/>
  <c r="BJ91" i="69" s="1"/>
  <c r="BL85" i="53"/>
  <c r="BN85" i="53"/>
  <c r="S86" i="53"/>
  <c r="BL91" i="69" l="1"/>
  <c r="BK91" i="69"/>
  <c r="BK44" i="69" s="1"/>
  <c r="BQ91" i="69"/>
  <c r="CF86" i="53"/>
  <c r="CD86" i="53"/>
  <c r="BU86" i="53"/>
  <c r="AD86" i="53"/>
  <c r="BO91" i="69"/>
  <c r="BJ44" i="69"/>
  <c r="BP91" i="69" l="1"/>
  <c r="BI91" i="69"/>
  <c r="BN91" i="69" s="1"/>
  <c r="BL44" i="69"/>
  <c r="BI44" i="69" s="1"/>
  <c r="AF86" i="53"/>
  <c r="BC86" i="53"/>
  <c r="BG86" i="53"/>
  <c r="BX91" i="69" l="1"/>
  <c r="BU91" i="69" s="1"/>
  <c r="BU44" i="69" s="1"/>
  <c r="BS86" i="53"/>
  <c r="AZ86" i="53"/>
  <c r="BP86" i="53"/>
  <c r="AG86" i="53"/>
  <c r="BZ91" i="69" l="1"/>
  <c r="BW91" i="69"/>
  <c r="BW44" i="69" s="1"/>
  <c r="BV91" i="69"/>
  <c r="BV44" i="69" s="1"/>
  <c r="AH86" i="53"/>
  <c r="BD86" i="53" s="1"/>
  <c r="BH86" i="53"/>
  <c r="AY87" i="53"/>
  <c r="CB91" i="69"/>
  <c r="CA91" i="69" l="1"/>
  <c r="BT91" i="69"/>
  <c r="BY91" i="69" s="1"/>
  <c r="CI91" i="69" s="1"/>
  <c r="BZ86" i="53"/>
  <c r="CA86" i="53" s="1"/>
  <c r="J87" i="53"/>
  <c r="M87" i="53" s="1"/>
  <c r="BT44" i="69"/>
  <c r="AJ86" i="53"/>
  <c r="CH91" i="69" l="1"/>
  <c r="T91" i="69" s="1"/>
  <c r="T44" i="69" s="1"/>
  <c r="CF91" i="69"/>
  <c r="R91" i="69" s="1"/>
  <c r="R44" i="69" s="1"/>
  <c r="CG91" i="69"/>
  <c r="S91" i="69" s="1"/>
  <c r="S44" i="69" s="1"/>
  <c r="Y92" i="69"/>
  <c r="S87" i="53"/>
  <c r="CN91" i="69"/>
  <c r="R64" i="69"/>
  <c r="T64" i="69"/>
  <c r="S64" i="69"/>
  <c r="BN86" i="53"/>
  <c r="BL86" i="53"/>
  <c r="CH44" i="69" l="1"/>
  <c r="CG44" i="69"/>
  <c r="CF44" i="69"/>
  <c r="CE91" i="69"/>
  <c r="AD87" i="53"/>
  <c r="CF87" i="53"/>
  <c r="CD87" i="53"/>
  <c r="BU87" i="53"/>
  <c r="CO91" i="69"/>
  <c r="CQ91" i="69"/>
  <c r="CP91" i="69"/>
  <c r="Q44" i="69"/>
  <c r="W92" i="69"/>
  <c r="Q64" i="69"/>
  <c r="X92" i="69"/>
  <c r="CE44" i="69" l="1"/>
  <c r="BC87" i="53"/>
  <c r="BG87" i="53"/>
  <c r="AF87" i="53"/>
  <c r="AF92" i="69"/>
  <c r="AC92" i="69" s="1"/>
  <c r="J44" i="69"/>
  <c r="AG87" i="53" l="1"/>
  <c r="AH87" i="53" s="1"/>
  <c r="BD87" i="53" s="1"/>
  <c r="BS87" i="53"/>
  <c r="AC45" i="69"/>
  <c r="AH92" i="69"/>
  <c r="AD92" i="69"/>
  <c r="AZ87" i="53"/>
  <c r="BP87" i="53"/>
  <c r="K44" i="69"/>
  <c r="L44" i="69"/>
  <c r="M44" i="69"/>
  <c r="AE92" i="69"/>
  <c r="AB92" i="69" l="1"/>
  <c r="AG92" i="69" s="1"/>
  <c r="AJ87" i="53"/>
  <c r="BL87" i="53" s="1"/>
  <c r="J88" i="53"/>
  <c r="M88" i="53" s="1"/>
  <c r="AY88" i="53"/>
  <c r="AD45" i="69"/>
  <c r="AI92" i="69"/>
  <c r="AE45" i="69"/>
  <c r="AJ92" i="69"/>
  <c r="BH87" i="53"/>
  <c r="BN87" i="53" l="1"/>
  <c r="AB45" i="69"/>
  <c r="BZ87" i="53"/>
  <c r="CA87" i="53" s="1"/>
  <c r="S88" i="53"/>
  <c r="AQ92" i="69"/>
  <c r="CF88" i="53" l="1"/>
  <c r="CD88" i="53"/>
  <c r="BU88" i="53"/>
  <c r="AN92" i="69"/>
  <c r="AP92" i="69"/>
  <c r="AD88" i="53"/>
  <c r="AO92" i="69"/>
  <c r="AT92" i="69" l="1"/>
  <c r="AO45" i="69"/>
  <c r="AU92" i="69"/>
  <c r="AP45" i="69"/>
  <c r="BC88" i="53"/>
  <c r="BG88" i="53"/>
  <c r="AF88" i="53"/>
  <c r="AM92" i="69"/>
  <c r="AR92" i="69" s="1"/>
  <c r="AS92" i="69"/>
  <c r="AN45" i="69"/>
  <c r="AM45" i="69" l="1"/>
  <c r="BB92" i="69"/>
  <c r="AZ92" i="69" s="1"/>
  <c r="AZ88" i="53"/>
  <c r="BP88" i="53"/>
  <c r="AG88" i="53"/>
  <c r="AH88" i="53" s="1"/>
  <c r="BD88" i="53" s="1"/>
  <c r="BS88" i="53"/>
  <c r="BH88" i="53" l="1"/>
  <c r="BZ88" i="53" s="1"/>
  <c r="CA88" i="53" s="1"/>
  <c r="BA92" i="69"/>
  <c r="BA45" i="69" s="1"/>
  <c r="BE92" i="69"/>
  <c r="AZ45" i="69"/>
  <c r="J89" i="53"/>
  <c r="M89" i="53" s="1"/>
  <c r="BF92" i="69"/>
  <c r="AJ88" i="53"/>
  <c r="AY92" i="69"/>
  <c r="AY89" i="53"/>
  <c r="S89" i="53" l="1"/>
  <c r="AX92" i="69"/>
  <c r="BC92" i="69" s="1"/>
  <c r="BD92" i="69"/>
  <c r="AY45" i="69"/>
  <c r="BN88" i="53"/>
  <c r="BL88" i="53"/>
  <c r="BM92" i="69" l="1"/>
  <c r="AX45" i="69"/>
  <c r="CF89" i="53"/>
  <c r="CD89" i="53"/>
  <c r="BU89" i="53"/>
  <c r="AD89" i="53"/>
  <c r="BK92" i="69" l="1"/>
  <c r="BC89" i="53"/>
  <c r="BG89" i="53"/>
  <c r="AF89" i="53"/>
  <c r="BJ92" i="69"/>
  <c r="BL92" i="69"/>
  <c r="AG89" i="53" l="1"/>
  <c r="BH89" i="53" s="1"/>
  <c r="BS89" i="53"/>
  <c r="BI92" i="69"/>
  <c r="BN92" i="69" s="1"/>
  <c r="BO92" i="69"/>
  <c r="BJ45" i="69"/>
  <c r="BP92" i="69"/>
  <c r="BK45" i="69"/>
  <c r="BQ92" i="69"/>
  <c r="BL45" i="69"/>
  <c r="AZ89" i="53"/>
  <c r="BP89" i="53"/>
  <c r="AH89" i="53" l="1"/>
  <c r="BD89" i="53" s="1"/>
  <c r="J90" i="53" s="1"/>
  <c r="M90" i="53" s="1"/>
  <c r="BZ89" i="53"/>
  <c r="CA89" i="53" s="1"/>
  <c r="AY90" i="53"/>
  <c r="BX92" i="69"/>
  <c r="BW92" i="69" s="1"/>
  <c r="BI45" i="69"/>
  <c r="AJ89" i="53" l="1"/>
  <c r="BN89" i="53" s="1"/>
  <c r="CB92" i="69"/>
  <c r="BW45" i="69"/>
  <c r="BU92" i="69"/>
  <c r="S90" i="53"/>
  <c r="BV92" i="69"/>
  <c r="BL89" i="53" l="1"/>
  <c r="CA92" i="69"/>
  <c r="BV45" i="69"/>
  <c r="CF90" i="53"/>
  <c r="CD90" i="53"/>
  <c r="BU90" i="53"/>
  <c r="BT92" i="69"/>
  <c r="BY92" i="69" s="1"/>
  <c r="BZ92" i="69"/>
  <c r="BU45" i="69"/>
  <c r="AD90" i="53"/>
  <c r="BG90" i="53" l="1"/>
  <c r="BC90" i="53"/>
  <c r="AF90" i="53"/>
  <c r="BT45" i="69"/>
  <c r="CI92" i="69"/>
  <c r="CG92" i="69" s="1"/>
  <c r="S92" i="69" s="1"/>
  <c r="S45" i="69" s="1"/>
  <c r="X93" i="69" l="1"/>
  <c r="AZ90" i="53"/>
  <c r="BP90" i="53"/>
  <c r="BS90" i="53"/>
  <c r="AG90" i="53"/>
  <c r="AH90" i="53" s="1"/>
  <c r="CG45" i="69"/>
  <c r="CN92" i="69"/>
  <c r="T65" i="69"/>
  <c r="S65" i="69"/>
  <c r="R65" i="69"/>
  <c r="CH92" i="69"/>
  <c r="CF92" i="69"/>
  <c r="Q65" i="69" l="1"/>
  <c r="BH90" i="53"/>
  <c r="BZ90" i="53" s="1"/>
  <c r="CA90" i="53" s="1"/>
  <c r="BD90" i="53"/>
  <c r="AJ90" i="53"/>
  <c r="CE92" i="69"/>
  <c r="R92" i="69"/>
  <c r="R45" i="69" s="1"/>
  <c r="CF45" i="69"/>
  <c r="T92" i="69"/>
  <c r="T45" i="69" s="1"/>
  <c r="CH45" i="69"/>
  <c r="CO92" i="69"/>
  <c r="CP92" i="69"/>
  <c r="CQ92" i="69"/>
  <c r="AY91" i="53"/>
  <c r="CE45" i="69" l="1"/>
  <c r="Q45" i="69"/>
  <c r="W93" i="69"/>
  <c r="Y93" i="69"/>
  <c r="BN90" i="53"/>
  <c r="BL90" i="53"/>
  <c r="J91" i="53"/>
  <c r="M91" i="53" s="1"/>
  <c r="AF93" i="69" l="1"/>
  <c r="AD93" i="69" s="1"/>
  <c r="J45" i="69"/>
  <c r="S91" i="53"/>
  <c r="AE93" i="69" l="1"/>
  <c r="AC93" i="69"/>
  <c r="AC46" i="69" s="1"/>
  <c r="M45" i="69"/>
  <c r="L45" i="69"/>
  <c r="K45" i="69"/>
  <c r="CF91" i="53"/>
  <c r="CD91" i="53"/>
  <c r="BU91" i="53"/>
  <c r="AJ93" i="69"/>
  <c r="AD91" i="53"/>
  <c r="AD46" i="69"/>
  <c r="AI93" i="69"/>
  <c r="AH93" i="69" l="1"/>
  <c r="AB93" i="69"/>
  <c r="AG93" i="69" s="1"/>
  <c r="AE46" i="69"/>
  <c r="AB46" i="69" s="1"/>
  <c r="BG91" i="53"/>
  <c r="AF91" i="53"/>
  <c r="BC91" i="53"/>
  <c r="AQ93" i="69" l="1"/>
  <c r="AP93" i="69" s="1"/>
  <c r="AP46" i="69" s="1"/>
  <c r="AU93" i="69"/>
  <c r="AG91" i="53"/>
  <c r="BH91" i="53" s="1"/>
  <c r="BS91" i="53"/>
  <c r="AZ91" i="53"/>
  <c r="BP91" i="53"/>
  <c r="AO93" i="69" l="1"/>
  <c r="AT93" i="69" s="1"/>
  <c r="AN93" i="69"/>
  <c r="AN46" i="69" s="1"/>
  <c r="AH91" i="53"/>
  <c r="BD91" i="53" s="1"/>
  <c r="J92" i="53" s="1"/>
  <c r="M92" i="53" s="1"/>
  <c r="BZ91" i="53"/>
  <c r="CA91" i="53" s="1"/>
  <c r="AY92" i="53"/>
  <c r="AO46" i="69" l="1"/>
  <c r="AM46" i="69" s="1"/>
  <c r="AS93" i="69"/>
  <c r="AM93" i="69"/>
  <c r="AR93" i="69" s="1"/>
  <c r="AJ91" i="53"/>
  <c r="BN91" i="53" s="1"/>
  <c r="S92" i="53"/>
  <c r="BB93" i="69" l="1"/>
  <c r="BA93" i="69" s="1"/>
  <c r="BA46" i="69" s="1"/>
  <c r="BL91" i="53"/>
  <c r="BF93" i="69"/>
  <c r="CF92" i="53"/>
  <c r="CD92" i="53"/>
  <c r="BU92" i="53"/>
  <c r="AD92" i="53"/>
  <c r="AY93" i="69" l="1"/>
  <c r="AY46" i="69" s="1"/>
  <c r="AZ93" i="69"/>
  <c r="AZ46" i="69" s="1"/>
  <c r="BG92" i="53"/>
  <c r="BC92" i="53"/>
  <c r="AF92" i="53"/>
  <c r="BD93" i="69" l="1"/>
  <c r="AX93" i="69"/>
  <c r="BC93" i="69" s="1"/>
  <c r="AX46" i="69"/>
  <c r="BE93" i="69"/>
  <c r="AZ92" i="53"/>
  <c r="BP92" i="53"/>
  <c r="BS92" i="53"/>
  <c r="AG92" i="53"/>
  <c r="BH92" i="53" s="1"/>
  <c r="BM93" i="69" l="1"/>
  <c r="BK93" i="69" s="1"/>
  <c r="BK46" i="69" s="1"/>
  <c r="BZ92" i="53"/>
  <c r="CA92" i="53" s="1"/>
  <c r="AY93" i="53"/>
  <c r="AH92" i="53"/>
  <c r="BD92" i="53" s="1"/>
  <c r="BP93" i="69" l="1"/>
  <c r="BL93" i="69"/>
  <c r="BJ93" i="69"/>
  <c r="BJ46" i="69" s="1"/>
  <c r="J93" i="53"/>
  <c r="M93" i="53" s="1"/>
  <c r="AJ92" i="53"/>
  <c r="BL46" i="69" l="1"/>
  <c r="BI46" i="69" s="1"/>
  <c r="BQ93" i="69"/>
  <c r="BO93" i="69"/>
  <c r="BI93" i="69"/>
  <c r="BN93" i="69" s="1"/>
  <c r="BN92" i="53"/>
  <c r="BL92" i="53"/>
  <c r="S93" i="53"/>
  <c r="BX93" i="69" l="1"/>
  <c r="BV93" i="69" s="1"/>
  <c r="BV46" i="69" s="1"/>
  <c r="CF93" i="53"/>
  <c r="CD93" i="53"/>
  <c r="BU93" i="53"/>
  <c r="AD93" i="53"/>
  <c r="BU93" i="69" l="1"/>
  <c r="BU46" i="69" s="1"/>
  <c r="CA93" i="69"/>
  <c r="BW93" i="69"/>
  <c r="BG93" i="53"/>
  <c r="BC93" i="53"/>
  <c r="AF93" i="53"/>
  <c r="BW46" i="69" l="1"/>
  <c r="BT46" i="69" s="1"/>
  <c r="CB93" i="69"/>
  <c r="BZ93" i="69"/>
  <c r="BT93" i="69"/>
  <c r="BY93" i="69" s="1"/>
  <c r="CI93" i="69" s="1"/>
  <c r="T66" i="69" s="1"/>
  <c r="BS93" i="53"/>
  <c r="AG93" i="53"/>
  <c r="AZ93" i="53"/>
  <c r="BP93" i="53"/>
  <c r="S66" i="69" l="1"/>
  <c r="R66" i="69"/>
  <c r="CN93" i="69"/>
  <c r="CP93" i="69" s="1"/>
  <c r="CF93" i="69"/>
  <c r="CF46" i="69" s="1"/>
  <c r="CG93" i="69"/>
  <c r="S93" i="69" s="1"/>
  <c r="S46" i="69" s="1"/>
  <c r="X94" i="69" s="1"/>
  <c r="CH93" i="69"/>
  <c r="T93" i="69" s="1"/>
  <c r="T46" i="69" s="1"/>
  <c r="Y94" i="69" s="1"/>
  <c r="BH93" i="53"/>
  <c r="AY94" i="53"/>
  <c r="AH93" i="53"/>
  <c r="BD93" i="53" s="1"/>
  <c r="Q66" i="69" l="1"/>
  <c r="CG46" i="69"/>
  <c r="R93" i="69"/>
  <c r="R46" i="69" s="1"/>
  <c r="Q46" i="69" s="1"/>
  <c r="CE93" i="69"/>
  <c r="CQ93" i="69"/>
  <c r="CO93" i="69"/>
  <c r="CH46" i="69"/>
  <c r="BZ93" i="53"/>
  <c r="CA93" i="53" s="1"/>
  <c r="J94" i="53"/>
  <c r="M94" i="53" s="1"/>
  <c r="AJ93" i="53"/>
  <c r="W94" i="69" l="1"/>
  <c r="AF94" i="69" s="1"/>
  <c r="AD94" i="69" s="1"/>
  <c r="CE46" i="69"/>
  <c r="BL93" i="53"/>
  <c r="BN93" i="53"/>
  <c r="S94" i="53"/>
  <c r="AD94" i="53" s="1"/>
  <c r="J46" i="69"/>
  <c r="AE94" i="69" l="1"/>
  <c r="AE47" i="69" s="1"/>
  <c r="AC94" i="69"/>
  <c r="AH94" i="69" s="1"/>
  <c r="AF94" i="53"/>
  <c r="AZ94" i="53" s="1"/>
  <c r="BC94" i="53"/>
  <c r="BG94" i="53"/>
  <c r="AD47" i="69"/>
  <c r="AI94" i="69"/>
  <c r="AJ94" i="69"/>
  <c r="M46" i="69"/>
  <c r="K46" i="69"/>
  <c r="L46" i="69"/>
  <c r="CF94" i="53"/>
  <c r="CD94" i="53"/>
  <c r="BU94" i="53"/>
  <c r="BP94" i="53" l="1"/>
  <c r="AB94" i="69"/>
  <c r="AG94" i="69" s="1"/>
  <c r="AQ94" i="69" s="1"/>
  <c r="AP94" i="69" s="1"/>
  <c r="AC47" i="69"/>
  <c r="AB47" i="69" s="1"/>
  <c r="AG94" i="53"/>
  <c r="BH94" i="53" s="1"/>
  <c r="BS94" i="53"/>
  <c r="AY95" i="53"/>
  <c r="BZ94" i="53" l="1"/>
  <c r="CA94" i="53" s="1"/>
  <c r="AU94" i="69"/>
  <c r="AP47" i="69"/>
  <c r="AO94" i="69"/>
  <c r="AN94" i="69"/>
  <c r="AH94" i="53"/>
  <c r="BD94" i="53" s="1"/>
  <c r="AT94" i="69" l="1"/>
  <c r="AO47" i="69"/>
  <c r="J95" i="53"/>
  <c r="M95" i="53" s="1"/>
  <c r="AM94" i="69"/>
  <c r="AR94" i="69" s="1"/>
  <c r="AS94" i="69"/>
  <c r="AN47" i="69"/>
  <c r="AJ94" i="53"/>
  <c r="BN94" i="53" l="1"/>
  <c r="BL94" i="53"/>
  <c r="S95" i="53"/>
  <c r="AM47" i="69"/>
  <c r="BB94" i="69"/>
  <c r="BA94" i="69" s="1"/>
  <c r="AY94" i="69" l="1"/>
  <c r="AY47" i="69" s="1"/>
  <c r="AZ94" i="69"/>
  <c r="AZ47" i="69" s="1"/>
  <c r="CF95" i="53"/>
  <c r="CD95" i="53"/>
  <c r="BU95" i="53"/>
  <c r="BF94" i="69"/>
  <c r="BA47" i="69"/>
  <c r="AD95" i="53"/>
  <c r="BD94" i="69" l="1"/>
  <c r="BE94" i="69"/>
  <c r="AX94" i="69"/>
  <c r="BC94" i="69" s="1"/>
  <c r="AX47" i="69"/>
  <c r="AF95" i="53"/>
  <c r="BG95" i="53"/>
  <c r="BC95" i="53"/>
  <c r="BM94" i="69" l="1"/>
  <c r="BK94" i="69" s="1"/>
  <c r="BP94" i="69" s="1"/>
  <c r="BS95" i="53"/>
  <c r="AG95" i="53"/>
  <c r="AZ95" i="53"/>
  <c r="BP95" i="53"/>
  <c r="BJ94" i="69" l="1"/>
  <c r="BJ47" i="69" s="1"/>
  <c r="BL94" i="69"/>
  <c r="BL47" i="69" s="1"/>
  <c r="BK47" i="69"/>
  <c r="BH95" i="53"/>
  <c r="AH95" i="53"/>
  <c r="BD95" i="53" s="1"/>
  <c r="AY96" i="53"/>
  <c r="BQ94" i="69" l="1"/>
  <c r="BO94" i="69"/>
  <c r="BI94" i="69"/>
  <c r="BN94" i="69" s="1"/>
  <c r="BI47" i="69"/>
  <c r="BZ95" i="53"/>
  <c r="CA95" i="53" s="1"/>
  <c r="J96" i="53"/>
  <c r="M96" i="53" s="1"/>
  <c r="AJ95" i="53"/>
  <c r="BX94" i="69" l="1"/>
  <c r="BV94" i="69" s="1"/>
  <c r="S96" i="53"/>
  <c r="BL95" i="53"/>
  <c r="BN95" i="53"/>
  <c r="BW94" i="69" l="1"/>
  <c r="BW47" i="69" s="1"/>
  <c r="BU94" i="69"/>
  <c r="CA94" i="69"/>
  <c r="BV47" i="69"/>
  <c r="CF96" i="53"/>
  <c r="CD96" i="53"/>
  <c r="BU96" i="53"/>
  <c r="AD96" i="53"/>
  <c r="CB94" i="69"/>
  <c r="BT94" i="69" l="1"/>
  <c r="BY94" i="69" s="1"/>
  <c r="CI94" i="69" s="1"/>
  <c r="BU47" i="69"/>
  <c r="BT47" i="69" s="1"/>
  <c r="BZ94" i="69"/>
  <c r="AF96" i="53"/>
  <c r="BG96" i="53"/>
  <c r="BC96" i="53"/>
  <c r="CF94" i="69" l="1"/>
  <c r="CF47" i="69" s="1"/>
  <c r="CH94" i="69"/>
  <c r="T94" i="69" s="1"/>
  <c r="T47" i="69" s="1"/>
  <c r="Y95" i="69" s="1"/>
  <c r="CG94" i="69"/>
  <c r="S94" i="69" s="1"/>
  <c r="S47" i="69" s="1"/>
  <c r="X95" i="69" s="1"/>
  <c r="BS96" i="53"/>
  <c r="AG96" i="53"/>
  <c r="AZ96" i="53"/>
  <c r="BP96" i="53"/>
  <c r="CN94" i="69"/>
  <c r="R67" i="69"/>
  <c r="T67" i="69"/>
  <c r="S67" i="69"/>
  <c r="CG47" i="69" l="1"/>
  <c r="R94" i="69"/>
  <c r="R47" i="69" s="1"/>
  <c r="Q47" i="69" s="1"/>
  <c r="CE94" i="69"/>
  <c r="CH47" i="69"/>
  <c r="AY97" i="53"/>
  <c r="CQ94" i="69"/>
  <c r="CO94" i="69"/>
  <c r="CP94" i="69"/>
  <c r="AH96" i="53"/>
  <c r="BD96" i="53" s="1"/>
  <c r="BH96" i="53"/>
  <c r="Q67" i="69"/>
  <c r="CE47" i="69" l="1"/>
  <c r="W95" i="69"/>
  <c r="AF95" i="69" s="1"/>
  <c r="AD95" i="69" s="1"/>
  <c r="J47" i="69"/>
  <c r="BZ96" i="53"/>
  <c r="CA96" i="53" s="1"/>
  <c r="J97" i="53"/>
  <c r="M97" i="53" s="1"/>
  <c r="AJ96" i="53"/>
  <c r="AE95" i="69" l="1"/>
  <c r="AE48" i="69" s="1"/>
  <c r="AJ95" i="69"/>
  <c r="AD48" i="69"/>
  <c r="AI95" i="69"/>
  <c r="S97" i="53"/>
  <c r="M47" i="69"/>
  <c r="L47" i="69"/>
  <c r="K47" i="69"/>
  <c r="BL96" i="53"/>
  <c r="BN96" i="53"/>
  <c r="AC95" i="69"/>
  <c r="AB95" i="69" l="1"/>
  <c r="AG95" i="69" s="1"/>
  <c r="AC48" i="69"/>
  <c r="AH95" i="69"/>
  <c r="CF97" i="53"/>
  <c r="CD97" i="53"/>
  <c r="BU97" i="53"/>
  <c r="AD97" i="53"/>
  <c r="AF97" i="53" l="1"/>
  <c r="BG97" i="53"/>
  <c r="BC97" i="53"/>
  <c r="AQ95" i="69"/>
  <c r="AN95" i="69" s="1"/>
  <c r="AB48" i="69"/>
  <c r="AS95" i="69" l="1"/>
  <c r="AN48" i="69"/>
  <c r="AO95" i="69"/>
  <c r="AG97" i="53"/>
  <c r="BH97" i="53" s="1"/>
  <c r="AZ97" i="53"/>
  <c r="BP97" i="53"/>
  <c r="BS97" i="53"/>
  <c r="AP95" i="69"/>
  <c r="AH97" i="53" l="1"/>
  <c r="AJ97" i="53" s="1"/>
  <c r="BL97" i="53" s="1"/>
  <c r="AT95" i="69"/>
  <c r="AO48" i="69"/>
  <c r="AY98" i="53"/>
  <c r="AU95" i="69"/>
  <c r="AP48" i="69"/>
  <c r="BZ97" i="53"/>
  <c r="CA97" i="53" s="1"/>
  <c r="AM95" i="69"/>
  <c r="AR95" i="69" s="1"/>
  <c r="BD97" i="53" l="1"/>
  <c r="J98" i="53" s="1"/>
  <c r="M98" i="53" s="1"/>
  <c r="BN97" i="53"/>
  <c r="AM48" i="69"/>
  <c r="BB95" i="69"/>
  <c r="BA95" i="69" s="1"/>
  <c r="AY95" i="69" l="1"/>
  <c r="BD95" i="69" s="1"/>
  <c r="BF95" i="69"/>
  <c r="BA48" i="69"/>
  <c r="AZ95" i="69"/>
  <c r="S98" i="53"/>
  <c r="AY48" i="69" l="1"/>
  <c r="AX95" i="69"/>
  <c r="BC95" i="69" s="1"/>
  <c r="BE95" i="69"/>
  <c r="AZ48" i="69"/>
  <c r="CF98" i="53"/>
  <c r="CD98" i="53"/>
  <c r="BU98" i="53"/>
  <c r="AD98" i="53"/>
  <c r="AX48" i="69" l="1"/>
  <c r="BM95" i="69"/>
  <c r="BK95" i="69" s="1"/>
  <c r="BP95" i="69" s="1"/>
  <c r="BG98" i="53"/>
  <c r="AF98" i="53"/>
  <c r="BC98" i="53"/>
  <c r="BK48" i="69" l="1"/>
  <c r="BJ95" i="69"/>
  <c r="BJ48" i="69" s="1"/>
  <c r="BL95" i="69"/>
  <c r="BQ95" i="69" s="1"/>
  <c r="AG98" i="53"/>
  <c r="BH98" i="53" s="1"/>
  <c r="BS98" i="53"/>
  <c r="AZ98" i="53"/>
  <c r="BP98" i="53"/>
  <c r="BO95" i="69" l="1"/>
  <c r="BI95" i="69"/>
  <c r="BN95" i="69" s="1"/>
  <c r="BL48" i="69"/>
  <c r="BI48" i="69" s="1"/>
  <c r="AH98" i="53"/>
  <c r="BD98" i="53" s="1"/>
  <c r="J99" i="53" s="1"/>
  <c r="M99" i="53" s="1"/>
  <c r="BZ98" i="53"/>
  <c r="CA98" i="53" s="1"/>
  <c r="AY99" i="53"/>
  <c r="BX95" i="69" l="1"/>
  <c r="BW95" i="69" s="1"/>
  <c r="BW48" i="69" s="1"/>
  <c r="CB95" i="69"/>
  <c r="AJ98" i="53"/>
  <c r="BL98" i="53" s="1"/>
  <c r="S99" i="53"/>
  <c r="BU95" i="69" l="1"/>
  <c r="BU48" i="69" s="1"/>
  <c r="BV95" i="69"/>
  <c r="BV48" i="69" s="1"/>
  <c r="BN98" i="53"/>
  <c r="CF99" i="53"/>
  <c r="CD99" i="53"/>
  <c r="BU99" i="53"/>
  <c r="AD99" i="53"/>
  <c r="BZ95" i="69" l="1"/>
  <c r="BT48" i="69"/>
  <c r="BT95" i="69"/>
  <c r="BY95" i="69" s="1"/>
  <c r="CI95" i="69" s="1"/>
  <c r="R68" i="69" s="1"/>
  <c r="CA95" i="69"/>
  <c r="BC99" i="53"/>
  <c r="BG99" i="53"/>
  <c r="AF99" i="53"/>
  <c r="CH95" i="69" l="1"/>
  <c r="T95" i="69" s="1"/>
  <c r="T48" i="69" s="1"/>
  <c r="CN95" i="69"/>
  <c r="CO95" i="69" s="1"/>
  <c r="T68" i="69"/>
  <c r="S68" i="69"/>
  <c r="CG95" i="69"/>
  <c r="S95" i="69" s="1"/>
  <c r="S48" i="69" s="1"/>
  <c r="X96" i="69" s="1"/>
  <c r="CF95" i="69"/>
  <c r="R95" i="69" s="1"/>
  <c r="R48" i="69" s="1"/>
  <c r="W96" i="69" s="1"/>
  <c r="AZ99" i="53"/>
  <c r="BP99" i="53"/>
  <c r="AG99" i="53"/>
  <c r="BH99" i="53" s="1"/>
  <c r="Y96" i="69"/>
  <c r="BS99" i="53"/>
  <c r="CP95" i="69" l="1"/>
  <c r="CH48" i="69"/>
  <c r="Q68" i="69"/>
  <c r="CQ95" i="69"/>
  <c r="CG48" i="69"/>
  <c r="CE95" i="69"/>
  <c r="CF48" i="69"/>
  <c r="AF96" i="69"/>
  <c r="AD96" i="69" s="1"/>
  <c r="Q48" i="69"/>
  <c r="J48" i="69" s="1"/>
  <c r="AH99" i="53"/>
  <c r="AJ99" i="53" s="1"/>
  <c r="BN99" i="53" s="1"/>
  <c r="BZ99" i="53"/>
  <c r="CA99" i="53" s="1"/>
  <c r="AY100" i="53"/>
  <c r="CE48" i="69" l="1"/>
  <c r="AE96" i="69"/>
  <c r="AE49" i="69" s="1"/>
  <c r="AC96" i="69"/>
  <c r="AC49" i="69" s="1"/>
  <c r="BL99" i="53"/>
  <c r="BD99" i="53"/>
  <c r="J100" i="53" s="1"/>
  <c r="M100" i="53" s="1"/>
  <c r="S100" i="53" s="1"/>
  <c r="AD49" i="69"/>
  <c r="AI96" i="69"/>
  <c r="AJ96" i="69"/>
  <c r="M48" i="69"/>
  <c r="L48" i="69"/>
  <c r="K48" i="69"/>
  <c r="AH96" i="69" l="1"/>
  <c r="AB96" i="69"/>
  <c r="AG96" i="69" s="1"/>
  <c r="CF100" i="53"/>
  <c r="CD100" i="53"/>
  <c r="BU100" i="53"/>
  <c r="AB49" i="69"/>
  <c r="AD100" i="53"/>
  <c r="AQ96" i="69" l="1"/>
  <c r="AN96" i="69" s="1"/>
  <c r="AS96" i="69" s="1"/>
  <c r="BC100" i="53"/>
  <c r="BG100" i="53"/>
  <c r="AF100" i="53"/>
  <c r="AN49" i="69" l="1"/>
  <c r="AP96" i="69"/>
  <c r="AU96" i="69" s="1"/>
  <c r="AO96" i="69"/>
  <c r="AO49" i="69" s="1"/>
  <c r="BS100" i="53"/>
  <c r="AG100" i="53"/>
  <c r="BH100" i="53" s="1"/>
  <c r="AZ100" i="53"/>
  <c r="BP100" i="53"/>
  <c r="AT96" i="69" l="1"/>
  <c r="AP49" i="69"/>
  <c r="AM49" i="69" s="1"/>
  <c r="AM96" i="69"/>
  <c r="AR96" i="69" s="1"/>
  <c r="BZ100" i="53"/>
  <c r="CA100" i="53" s="1"/>
  <c r="AH100" i="53"/>
  <c r="BD100" i="53" s="1"/>
  <c r="AY101" i="53"/>
  <c r="BB96" i="69" l="1"/>
  <c r="BA96" i="69" s="1"/>
  <c r="BA49" i="69" s="1"/>
  <c r="BF96" i="69"/>
  <c r="AJ100" i="53"/>
  <c r="BN100" i="53" s="1"/>
  <c r="J101" i="53"/>
  <c r="M101" i="53" s="1"/>
  <c r="AZ96" i="69" l="1"/>
  <c r="BE96" i="69" s="1"/>
  <c r="AY96" i="69"/>
  <c r="AY49" i="69" s="1"/>
  <c r="BL100" i="53"/>
  <c r="S101" i="53"/>
  <c r="AD101" i="53" s="1"/>
  <c r="BD96" i="69" l="1"/>
  <c r="AX96" i="69"/>
  <c r="BC96" i="69" s="1"/>
  <c r="AZ49" i="69"/>
  <c r="AX49" i="69" s="1"/>
  <c r="BG101" i="53"/>
  <c r="AF101" i="53"/>
  <c r="BC101" i="53"/>
  <c r="CF101" i="53"/>
  <c r="CD101" i="53"/>
  <c r="BU101" i="53"/>
  <c r="BM96" i="69" l="1"/>
  <c r="BL96" i="69" s="1"/>
  <c r="BL49" i="69" s="1"/>
  <c r="BQ96" i="69"/>
  <c r="BS101" i="53"/>
  <c r="AZ101" i="53"/>
  <c r="BP101" i="53"/>
  <c r="AG101" i="53"/>
  <c r="BH101" i="53" s="1"/>
  <c r="BJ96" i="69" l="1"/>
  <c r="BJ49" i="69" s="1"/>
  <c r="BK96" i="69"/>
  <c r="BK49" i="69" s="1"/>
  <c r="AH101" i="53"/>
  <c r="BD101" i="53" s="1"/>
  <c r="J102" i="53" s="1"/>
  <c r="M102" i="53" s="1"/>
  <c r="BZ101" i="53"/>
  <c r="CA101" i="53" s="1"/>
  <c r="AY102" i="53"/>
  <c r="BO96" i="69" l="1"/>
  <c r="BI49" i="69"/>
  <c r="BP96" i="69"/>
  <c r="BI96" i="69"/>
  <c r="BN96" i="69" s="1"/>
  <c r="AJ101" i="53"/>
  <c r="BL101" i="53" s="1"/>
  <c r="S102" i="53"/>
  <c r="BX96" i="69" l="1"/>
  <c r="BV96" i="69" s="1"/>
  <c r="BN101" i="53"/>
  <c r="CF102" i="53"/>
  <c r="CD102" i="53"/>
  <c r="BU102" i="53"/>
  <c r="AD102" i="53"/>
  <c r="BW96" i="69" l="1"/>
  <c r="BW49" i="69" s="1"/>
  <c r="BU96" i="69"/>
  <c r="BU49" i="69" s="1"/>
  <c r="CB96" i="69"/>
  <c r="CA96" i="69"/>
  <c r="BV49" i="69"/>
  <c r="BG102" i="53"/>
  <c r="BC102" i="53"/>
  <c r="AF102" i="53"/>
  <c r="BZ96" i="69" l="1"/>
  <c r="BT96" i="69"/>
  <c r="BY96" i="69" s="1"/>
  <c r="CI96" i="69" s="1"/>
  <c r="R69" i="69" s="1"/>
  <c r="BT49" i="69"/>
  <c r="AG102" i="53"/>
  <c r="BH102" i="53" s="1"/>
  <c r="AZ102" i="53"/>
  <c r="BP102" i="53"/>
  <c r="BS102" i="53"/>
  <c r="CG96" i="69" l="1"/>
  <c r="S96" i="69" s="1"/>
  <c r="S49" i="69" s="1"/>
  <c r="X97" i="69" s="1"/>
  <c r="CH96" i="69"/>
  <c r="T96" i="69" s="1"/>
  <c r="T49" i="69" s="1"/>
  <c r="S69" i="69"/>
  <c r="T69" i="69"/>
  <c r="CF96" i="69"/>
  <c r="CF49" i="69" s="1"/>
  <c r="CN96" i="69"/>
  <c r="CP96" i="69" s="1"/>
  <c r="AH102" i="53"/>
  <c r="BD102" i="53" s="1"/>
  <c r="J103" i="53" s="1"/>
  <c r="M103" i="53" s="1"/>
  <c r="BZ102" i="53"/>
  <c r="CA102" i="53" s="1"/>
  <c r="Y97" i="69"/>
  <c r="AY103" i="53"/>
  <c r="CG49" i="69" l="1"/>
  <c r="CH49" i="69"/>
  <c r="Q69" i="69"/>
  <c r="CE96" i="69"/>
  <c r="R96" i="69"/>
  <c r="R49" i="69" s="1"/>
  <c r="W97" i="69" s="1"/>
  <c r="AF97" i="69" s="1"/>
  <c r="CQ96" i="69"/>
  <c r="CO96" i="69"/>
  <c r="AJ102" i="53"/>
  <c r="BL102" i="53" s="1"/>
  <c r="S103" i="53"/>
  <c r="CE49" i="69" l="1"/>
  <c r="Q49" i="69"/>
  <c r="J49" i="69" s="1"/>
  <c r="L49" i="69" s="1"/>
  <c r="BN102" i="53"/>
  <c r="CF103" i="53"/>
  <c r="CD103" i="53"/>
  <c r="BU103" i="53"/>
  <c r="AD103" i="53"/>
  <c r="AD97" i="69"/>
  <c r="AE97" i="69"/>
  <c r="AC97" i="69"/>
  <c r="K49" i="69" l="1"/>
  <c r="M49" i="69"/>
  <c r="AC50" i="69"/>
  <c r="AB97" i="69"/>
  <c r="AG97" i="69" s="1"/>
  <c r="AH97" i="69"/>
  <c r="BC103" i="53"/>
  <c r="BG103" i="53"/>
  <c r="AF103" i="53"/>
  <c r="AD50" i="69"/>
  <c r="AI97" i="69"/>
  <c r="AE50" i="69"/>
  <c r="AJ97" i="69"/>
  <c r="AG103" i="53" l="1"/>
  <c r="BH103" i="53" s="1"/>
  <c r="BS103" i="53"/>
  <c r="AB50" i="69"/>
  <c r="AQ97" i="69"/>
  <c r="AO97" i="69" s="1"/>
  <c r="AZ103" i="53"/>
  <c r="BP103" i="53"/>
  <c r="AH103" i="53" l="1"/>
  <c r="BD103" i="53" s="1"/>
  <c r="J104" i="53" s="1"/>
  <c r="M104" i="53" s="1"/>
  <c r="BZ103" i="53"/>
  <c r="CA103" i="53" s="1"/>
  <c r="AY104" i="53"/>
  <c r="AT97" i="69"/>
  <c r="AP97" i="69"/>
  <c r="AO50" i="69"/>
  <c r="AN97" i="69"/>
  <c r="AJ103" i="53" l="1"/>
  <c r="BN103" i="53" s="1"/>
  <c r="S104" i="53"/>
  <c r="AM97" i="69"/>
  <c r="AR97" i="69" s="1"/>
  <c r="AS97" i="69"/>
  <c r="AN50" i="69"/>
  <c r="AU97" i="69"/>
  <c r="AP50" i="69"/>
  <c r="BL103" i="53" l="1"/>
  <c r="BB97" i="69"/>
  <c r="AZ97" i="69" s="1"/>
  <c r="CF104" i="53"/>
  <c r="CD104" i="53"/>
  <c r="BU104" i="53"/>
  <c r="AD104" i="53"/>
  <c r="AM50" i="69"/>
  <c r="AY97" i="69" l="1"/>
  <c r="AY50" i="69" s="1"/>
  <c r="BA97" i="69"/>
  <c r="BA50" i="69" s="1"/>
  <c r="BE97" i="69"/>
  <c r="AZ50" i="69"/>
  <c r="AF104" i="53"/>
  <c r="BC104" i="53"/>
  <c r="BG104" i="53"/>
  <c r="BD97" i="69" l="1"/>
  <c r="AX97" i="69"/>
  <c r="BC97" i="69" s="1"/>
  <c r="BF97" i="69"/>
  <c r="AZ104" i="53"/>
  <c r="BP104" i="53"/>
  <c r="AX50" i="69"/>
  <c r="AG104" i="53"/>
  <c r="BH104" i="53" s="1"/>
  <c r="BS104" i="53"/>
  <c r="BM97" i="69" l="1"/>
  <c r="BJ97" i="69" s="1"/>
  <c r="BJ50" i="69" s="1"/>
  <c r="AH104" i="53"/>
  <c r="BD104" i="53" s="1"/>
  <c r="J105" i="53" s="1"/>
  <c r="M105" i="53" s="1"/>
  <c r="BZ104" i="53"/>
  <c r="CA104" i="53" s="1"/>
  <c r="AY105" i="53"/>
  <c r="BO97" i="69" l="1"/>
  <c r="BL97" i="69"/>
  <c r="BQ97" i="69" s="1"/>
  <c r="BK97" i="69"/>
  <c r="BK50" i="69" s="1"/>
  <c r="AJ104" i="53"/>
  <c r="BN104" i="53" s="1"/>
  <c r="S105" i="53"/>
  <c r="BL50" i="69" l="1"/>
  <c r="BI50" i="69" s="1"/>
  <c r="BL104" i="53"/>
  <c r="BP97" i="69"/>
  <c r="BI97" i="69"/>
  <c r="BN97" i="69" s="1"/>
  <c r="CF105" i="53"/>
  <c r="CD105" i="53"/>
  <c r="BU105" i="53"/>
  <c r="AD105" i="53"/>
  <c r="BX97" i="69" l="1"/>
  <c r="BW97" i="69" s="1"/>
  <c r="BW50" i="69" s="1"/>
  <c r="BC105" i="53"/>
  <c r="BG105" i="53"/>
  <c r="AF105" i="53"/>
  <c r="BV97" i="69" l="1"/>
  <c r="BV50" i="69" s="1"/>
  <c r="BU97" i="69"/>
  <c r="CB97" i="69"/>
  <c r="BS105" i="53"/>
  <c r="AG105" i="53"/>
  <c r="AH105" i="53" s="1"/>
  <c r="BD105" i="53" s="1"/>
  <c r="AZ105" i="53"/>
  <c r="BP105" i="53"/>
  <c r="CA97" i="69" l="1"/>
  <c r="BT97" i="69"/>
  <c r="BY97" i="69" s="1"/>
  <c r="CI97" i="69" s="1"/>
  <c r="T70" i="69" s="1"/>
  <c r="BZ97" i="69"/>
  <c r="BU50" i="69"/>
  <c r="BT50" i="69" s="1"/>
  <c r="J106" i="53"/>
  <c r="M106" i="53" s="1"/>
  <c r="BH105" i="53"/>
  <c r="AJ105" i="53"/>
  <c r="AY106" i="53"/>
  <c r="R70" i="69" l="1"/>
  <c r="S70" i="69"/>
  <c r="CF97" i="69"/>
  <c r="CN97" i="69"/>
  <c r="CO97" i="69" s="1"/>
  <c r="CG97" i="69"/>
  <c r="CG50" i="69" s="1"/>
  <c r="CH97" i="69"/>
  <c r="CH50" i="69" s="1"/>
  <c r="S106" i="53"/>
  <c r="BN105" i="53"/>
  <c r="BL105" i="53"/>
  <c r="BZ105" i="53"/>
  <c r="CA105" i="53" s="1"/>
  <c r="CQ97" i="69" l="1"/>
  <c r="Q70" i="69"/>
  <c r="CP97" i="69"/>
  <c r="S97" i="69"/>
  <c r="S50" i="69" s="1"/>
  <c r="X98" i="69" s="1"/>
  <c r="CE97" i="69"/>
  <c r="CF50" i="69"/>
  <c r="CE50" i="69" s="1"/>
  <c r="R97" i="69"/>
  <c r="R50" i="69" s="1"/>
  <c r="W98" i="69" s="1"/>
  <c r="T97" i="69"/>
  <c r="T50" i="69" s="1"/>
  <c r="Y98" i="69" s="1"/>
  <c r="CF106" i="53"/>
  <c r="CD106" i="53"/>
  <c r="BU106" i="53"/>
  <c r="AD106" i="53"/>
  <c r="Q50" i="69" l="1"/>
  <c r="J50" i="69" s="1"/>
  <c r="BC106" i="53"/>
  <c r="AF106" i="53"/>
  <c r="BG106" i="53"/>
  <c r="AF98" i="69"/>
  <c r="AE98" i="69" s="1"/>
  <c r="AC98" i="69" l="1"/>
  <c r="AC51" i="69" s="1"/>
  <c r="AD98" i="69"/>
  <c r="AD51" i="69" s="1"/>
  <c r="BS106" i="53"/>
  <c r="AE51" i="69"/>
  <c r="AJ98" i="69"/>
  <c r="L50" i="69"/>
  <c r="M50" i="69"/>
  <c r="K50" i="69"/>
  <c r="AG106" i="53"/>
  <c r="AH106" i="53" s="1"/>
  <c r="BD106" i="53" s="1"/>
  <c r="AZ106" i="53"/>
  <c r="BP106" i="53"/>
  <c r="AH98" i="69" l="1"/>
  <c r="AI98" i="69"/>
  <c r="AB98" i="69"/>
  <c r="AG98" i="69" s="1"/>
  <c r="J107" i="53"/>
  <c r="M107" i="53" s="1"/>
  <c r="AY107" i="53"/>
  <c r="BH106" i="53"/>
  <c r="AB51" i="69"/>
  <c r="AJ106" i="53"/>
  <c r="AQ98" i="69" l="1"/>
  <c r="AN98" i="69" s="1"/>
  <c r="AN51" i="69" s="1"/>
  <c r="BZ106" i="53"/>
  <c r="CA106" i="53" s="1"/>
  <c r="BN106" i="53"/>
  <c r="BL106" i="53"/>
  <c r="S107" i="53"/>
  <c r="AS98" i="69" l="1"/>
  <c r="AO98" i="69"/>
  <c r="AO51" i="69" s="1"/>
  <c r="AP98" i="69"/>
  <c r="AP51" i="69" s="1"/>
  <c r="CF107" i="53"/>
  <c r="CD107" i="53"/>
  <c r="BU107" i="53"/>
  <c r="AD107" i="53"/>
  <c r="AU98" i="69" l="1"/>
  <c r="AM51" i="69"/>
  <c r="AT98" i="69"/>
  <c r="AM98" i="69"/>
  <c r="AR98" i="69" s="1"/>
  <c r="BC107" i="53"/>
  <c r="AF107" i="53"/>
  <c r="BG107" i="53"/>
  <c r="BB98" i="69" l="1"/>
  <c r="BA98" i="69" s="1"/>
  <c r="BA51" i="69" s="1"/>
  <c r="BS107" i="53"/>
  <c r="AZ107" i="53"/>
  <c r="BP107" i="53"/>
  <c r="AG107" i="53"/>
  <c r="BF98" i="69" l="1"/>
  <c r="AY98" i="69"/>
  <c r="AZ98" i="69"/>
  <c r="BE98" i="69" s="1"/>
  <c r="AH107" i="53"/>
  <c r="BD107" i="53" s="1"/>
  <c r="J108" i="53" s="1"/>
  <c r="M108" i="53" s="1"/>
  <c r="BH107" i="53"/>
  <c r="AY108" i="53"/>
  <c r="AY51" i="69" l="1"/>
  <c r="BD98" i="69"/>
  <c r="AX98" i="69"/>
  <c r="BC98" i="69" s="1"/>
  <c r="AZ51" i="69"/>
  <c r="AJ107" i="53"/>
  <c r="BZ107" i="53"/>
  <c r="CA107" i="53" s="1"/>
  <c r="S108" i="53"/>
  <c r="AD108" i="53" s="1"/>
  <c r="AX51" i="69" l="1"/>
  <c r="BM98" i="69"/>
  <c r="BK98" i="69" s="1"/>
  <c r="BK51" i="69" s="1"/>
  <c r="BL107" i="53"/>
  <c r="BN107" i="53"/>
  <c r="BC108" i="53"/>
  <c r="BG108" i="53"/>
  <c r="AF108" i="53"/>
  <c r="AZ108" i="53" s="1"/>
  <c r="CF108" i="53"/>
  <c r="CD108" i="53"/>
  <c r="BU108" i="53"/>
  <c r="BP98" i="69" l="1"/>
  <c r="BJ98" i="69"/>
  <c r="BL98" i="69"/>
  <c r="AY109" i="53"/>
  <c r="AG108" i="53"/>
  <c r="BH108" i="53" s="1"/>
  <c r="BS108" i="53"/>
  <c r="BP108" i="53"/>
  <c r="BL51" i="69" l="1"/>
  <c r="BQ98" i="69"/>
  <c r="BJ51" i="69"/>
  <c r="BO98" i="69"/>
  <c r="BI98" i="69"/>
  <c r="BN98" i="69" s="1"/>
  <c r="AH108" i="53"/>
  <c r="BD108" i="53" s="1"/>
  <c r="J109" i="53" s="1"/>
  <c r="M109" i="53" s="1"/>
  <c r="BZ108" i="53"/>
  <c r="CA108" i="53" s="1"/>
  <c r="BI51" i="69" l="1"/>
  <c r="BX98" i="69"/>
  <c r="BU98" i="69" s="1"/>
  <c r="BZ98" i="69" s="1"/>
  <c r="AJ108" i="53"/>
  <c r="S109" i="53"/>
  <c r="BW98" i="69" l="1"/>
  <c r="CB98" i="69" s="1"/>
  <c r="BV98" i="69"/>
  <c r="BU51" i="69"/>
  <c r="BL108" i="53"/>
  <c r="BN108" i="53"/>
  <c r="AD109" i="53"/>
  <c r="CF109" i="53"/>
  <c r="CD109" i="53"/>
  <c r="BU109" i="53"/>
  <c r="BW51" i="69" l="1"/>
  <c r="CA98" i="69"/>
  <c r="BV51" i="69"/>
  <c r="BT98" i="69"/>
  <c r="BY98" i="69" s="1"/>
  <c r="CI98" i="69" s="1"/>
  <c r="BG109" i="53"/>
  <c r="AF109" i="53"/>
  <c r="BC109" i="53"/>
  <c r="BT51" i="69" l="1"/>
  <c r="CF98" i="69"/>
  <c r="CF51" i="69" s="1"/>
  <c r="S71" i="69"/>
  <c r="T71" i="69"/>
  <c r="R71" i="69"/>
  <c r="CN98" i="69"/>
  <c r="CO98" i="69" s="1"/>
  <c r="CH98" i="69"/>
  <c r="T98" i="69" s="1"/>
  <c r="T51" i="69" s="1"/>
  <c r="Y99" i="69" s="1"/>
  <c r="CG98" i="69"/>
  <c r="S98" i="69" s="1"/>
  <c r="S51" i="69" s="1"/>
  <c r="X99" i="69" s="1"/>
  <c r="AG109" i="53"/>
  <c r="AH109" i="53" s="1"/>
  <c r="AZ109" i="53"/>
  <c r="BP109" i="53"/>
  <c r="BS109" i="53"/>
  <c r="R98" i="69" l="1"/>
  <c r="R51" i="69" s="1"/>
  <c r="W99" i="69" s="1"/>
  <c r="AF99" i="69" s="1"/>
  <c r="AD99" i="69" s="1"/>
  <c r="Q71" i="69"/>
  <c r="CE98" i="69"/>
  <c r="CH51" i="69"/>
  <c r="CG51" i="69"/>
  <c r="CQ98" i="69"/>
  <c r="CP98" i="69"/>
  <c r="BD109" i="53"/>
  <c r="AJ109" i="53"/>
  <c r="AY110" i="53"/>
  <c r="BH109" i="53"/>
  <c r="Q51" i="69" l="1"/>
  <c r="J51" i="69" s="1"/>
  <c r="L51" i="69" s="1"/>
  <c r="CE51" i="69"/>
  <c r="AC99" i="69"/>
  <c r="AC52" i="69" s="1"/>
  <c r="AE99" i="69"/>
  <c r="AE52" i="69" s="1"/>
  <c r="BZ109" i="53"/>
  <c r="CA109" i="53" s="1"/>
  <c r="AD52" i="69"/>
  <c r="AI99" i="69"/>
  <c r="AJ99" i="69"/>
  <c r="BN109" i="53"/>
  <c r="BL109" i="53"/>
  <c r="J110" i="53"/>
  <c r="M110" i="53" s="1"/>
  <c r="AH99" i="69" l="1"/>
  <c r="M51" i="69"/>
  <c r="K51" i="69"/>
  <c r="AB99" i="69"/>
  <c r="AG99" i="69" s="1"/>
  <c r="AB52" i="69"/>
  <c r="S110" i="53"/>
  <c r="AQ99" i="69" l="1"/>
  <c r="AP99" i="69" s="1"/>
  <c r="CF110" i="53"/>
  <c r="CD110" i="53"/>
  <c r="BU110" i="53"/>
  <c r="AD110" i="53"/>
  <c r="AO99" i="69" l="1"/>
  <c r="AO52" i="69" s="1"/>
  <c r="AN99" i="69"/>
  <c r="AN52" i="69" s="1"/>
  <c r="AU99" i="69"/>
  <c r="AP52" i="69"/>
  <c r="AF110" i="53"/>
  <c r="BG110" i="53"/>
  <c r="BC110" i="53"/>
  <c r="AT99" i="69" l="1"/>
  <c r="AS99" i="69"/>
  <c r="AM99" i="69"/>
  <c r="AR99" i="69" s="1"/>
  <c r="BS110" i="53"/>
  <c r="AM52" i="69"/>
  <c r="AG110" i="53"/>
  <c r="BH110" i="53" s="1"/>
  <c r="AZ110" i="53"/>
  <c r="BP110" i="53"/>
  <c r="BB99" i="69" l="1"/>
  <c r="AZ99" i="69" s="1"/>
  <c r="BE99" i="69" s="1"/>
  <c r="BZ110" i="53"/>
  <c r="CA110" i="53" s="1"/>
  <c r="AH110" i="53"/>
  <c r="BD110" i="53" s="1"/>
  <c r="AY111" i="53"/>
  <c r="BA99" i="69" l="1"/>
  <c r="BA52" i="69" s="1"/>
  <c r="AZ52" i="69"/>
  <c r="AY99" i="69"/>
  <c r="AY52" i="69" s="1"/>
  <c r="AJ110" i="53"/>
  <c r="J111" i="53"/>
  <c r="M111" i="53" s="1"/>
  <c r="BF99" i="69"/>
  <c r="BD99" i="69" l="1"/>
  <c r="AX99" i="69"/>
  <c r="BC99" i="69" s="1"/>
  <c r="AX52" i="69"/>
  <c r="BL110" i="53"/>
  <c r="BN110" i="53"/>
  <c r="S111" i="53"/>
  <c r="BM99" i="69" l="1"/>
  <c r="BL99" i="69" s="1"/>
  <c r="BL52" i="69" s="1"/>
  <c r="BQ99" i="69"/>
  <c r="CF111" i="53"/>
  <c r="CD111" i="53"/>
  <c r="BU111" i="53"/>
  <c r="AD111" i="53"/>
  <c r="BK99" i="69" l="1"/>
  <c r="BP99" i="69" s="1"/>
  <c r="BJ99" i="69"/>
  <c r="BJ52" i="69" s="1"/>
  <c r="BG111" i="53"/>
  <c r="AF111" i="53"/>
  <c r="BC111" i="53"/>
  <c r="BK52" i="69" l="1"/>
  <c r="BI52" i="69" s="1"/>
  <c r="BO99" i="69"/>
  <c r="BI99" i="69"/>
  <c r="BN99" i="69" s="1"/>
  <c r="BS111" i="53"/>
  <c r="AZ111" i="53"/>
  <c r="BP111" i="53"/>
  <c r="AG111" i="53"/>
  <c r="AH111" i="53" s="1"/>
  <c r="BD111" i="53" s="1"/>
  <c r="BX99" i="69" l="1"/>
  <c r="BV99" i="69" s="1"/>
  <c r="CA99" i="69" s="1"/>
  <c r="J112" i="53"/>
  <c r="M112" i="53" s="1"/>
  <c r="AJ111" i="53"/>
  <c r="BH111" i="53"/>
  <c r="CB99" i="69"/>
  <c r="AY112" i="53"/>
  <c r="BU99" i="69" l="1"/>
  <c r="BZ99" i="69" s="1"/>
  <c r="BV52" i="69"/>
  <c r="BW99" i="69"/>
  <c r="BW52" i="69" s="1"/>
  <c r="S112" i="53"/>
  <c r="BN111" i="53"/>
  <c r="BL111" i="53"/>
  <c r="BZ111" i="53"/>
  <c r="CA111" i="53" s="1"/>
  <c r="BU52" i="69" l="1"/>
  <c r="BT52" i="69" s="1"/>
  <c r="BT99" i="69"/>
  <c r="BY99" i="69" s="1"/>
  <c r="CI99" i="69" s="1"/>
  <c r="CH99" i="69" s="1"/>
  <c r="CF112" i="53"/>
  <c r="CD112" i="53"/>
  <c r="BU112" i="53"/>
  <c r="AD112" i="53"/>
  <c r="CF99" i="69" l="1"/>
  <c r="CF52" i="69" s="1"/>
  <c r="T99" i="69"/>
  <c r="T52" i="69" s="1"/>
  <c r="CH52" i="69"/>
  <c r="CN99" i="69"/>
  <c r="T72" i="69"/>
  <c r="R72" i="69"/>
  <c r="S72" i="69"/>
  <c r="AF112" i="53"/>
  <c r="BC112" i="53"/>
  <c r="BG112" i="53"/>
  <c r="CG99" i="69"/>
  <c r="R99" i="69" l="1"/>
  <c r="R52" i="69" s="1"/>
  <c r="W100" i="69" s="1"/>
  <c r="Q72" i="69"/>
  <c r="CQ99" i="69"/>
  <c r="CP99" i="69"/>
  <c r="CO99" i="69"/>
  <c r="S99" i="69"/>
  <c r="S52" i="69" s="1"/>
  <c r="CG52" i="69"/>
  <c r="CE52" i="69" s="1"/>
  <c r="Y100" i="69"/>
  <c r="BS112" i="53"/>
  <c r="CE99" i="69"/>
  <c r="AG112" i="53"/>
  <c r="AH112" i="53" s="1"/>
  <c r="AZ112" i="53"/>
  <c r="BP112" i="53"/>
  <c r="BH112" i="53" l="1"/>
  <c r="BZ112" i="53" s="1"/>
  <c r="CA112" i="53" s="1"/>
  <c r="BD112" i="53"/>
  <c r="AJ112" i="53"/>
  <c r="X100" i="69"/>
  <c r="AF100" i="69" s="1"/>
  <c r="Q52" i="69"/>
  <c r="AY113" i="53"/>
  <c r="AE100" i="69" l="1"/>
  <c r="AC100" i="69"/>
  <c r="BL112" i="53"/>
  <c r="BN112" i="53"/>
  <c r="AD100" i="69"/>
  <c r="J52" i="69"/>
  <c r="J113" i="53"/>
  <c r="M113" i="53" s="1"/>
  <c r="AB100" i="69" l="1"/>
  <c r="AG100" i="69" s="1"/>
  <c r="AC53" i="69"/>
  <c r="AH100" i="69"/>
  <c r="L52" i="69"/>
  <c r="K52" i="69"/>
  <c r="M52" i="69"/>
  <c r="AE53" i="69"/>
  <c r="AJ100" i="69"/>
  <c r="AD53" i="69"/>
  <c r="AI100" i="69"/>
  <c r="S113" i="53"/>
  <c r="CF113" i="53" l="1"/>
  <c r="CD113" i="53"/>
  <c r="BU113" i="53"/>
  <c r="AD113" i="53"/>
  <c r="AB53" i="69"/>
  <c r="AQ100" i="69"/>
  <c r="AN100" i="69" s="1"/>
  <c r="AS100" i="69" l="1"/>
  <c r="AN53" i="69"/>
  <c r="BG113" i="53"/>
  <c r="AF113" i="53"/>
  <c r="BC113" i="53"/>
  <c r="AP100" i="69"/>
  <c r="AO100" i="69"/>
  <c r="BS113" i="53" l="1"/>
  <c r="AZ113" i="53"/>
  <c r="BP113" i="53"/>
  <c r="AU100" i="69"/>
  <c r="AP53" i="69"/>
  <c r="AT100" i="69"/>
  <c r="AO53" i="69"/>
  <c r="AG113" i="53"/>
  <c r="AM100" i="69"/>
  <c r="AR100" i="69" s="1"/>
  <c r="AM53" i="69" l="1"/>
  <c r="BH113" i="53"/>
  <c r="AY114" i="53"/>
  <c r="AH113" i="53"/>
  <c r="BD113" i="53" s="1"/>
  <c r="BB100" i="69"/>
  <c r="AY100" i="69" s="1"/>
  <c r="BD100" i="69" l="1"/>
  <c r="AY53" i="69"/>
  <c r="J114" i="53"/>
  <c r="M114" i="53" s="1"/>
  <c r="AZ100" i="69"/>
  <c r="BZ113" i="53"/>
  <c r="CA113" i="53" s="1"/>
  <c r="BA100" i="69"/>
  <c r="AJ113" i="53"/>
  <c r="S114" i="53" l="1"/>
  <c r="BL113" i="53"/>
  <c r="BN113" i="53"/>
  <c r="BF100" i="69"/>
  <c r="BA53" i="69"/>
  <c r="BE100" i="69"/>
  <c r="AZ53" i="69"/>
  <c r="AX100" i="69"/>
  <c r="BC100" i="69" s="1"/>
  <c r="CF114" i="53" l="1"/>
  <c r="CD114" i="53"/>
  <c r="BU114" i="53"/>
  <c r="BM100" i="69"/>
  <c r="BJ100" i="69" s="1"/>
  <c r="AD114" i="53"/>
  <c r="AX53" i="69"/>
  <c r="BK100" i="69" l="1"/>
  <c r="BK53" i="69" s="1"/>
  <c r="BO100" i="69"/>
  <c r="BJ53" i="69"/>
  <c r="AF114" i="53"/>
  <c r="BG114" i="53"/>
  <c r="BC114" i="53"/>
  <c r="BL100" i="69"/>
  <c r="BP100" i="69" l="1"/>
  <c r="BQ100" i="69"/>
  <c r="BL53" i="69"/>
  <c r="BI53" i="69" s="1"/>
  <c r="AZ114" i="53"/>
  <c r="BP114" i="53"/>
  <c r="BI100" i="69"/>
  <c r="BN100" i="69" s="1"/>
  <c r="BS114" i="53"/>
  <c r="AG114" i="53"/>
  <c r="AY115" i="53" l="1"/>
  <c r="BH114" i="53"/>
  <c r="AH114" i="53"/>
  <c r="BD114" i="53" s="1"/>
  <c r="BX100" i="69"/>
  <c r="BU100" i="69" s="1"/>
  <c r="BV100" i="69" l="1"/>
  <c r="BV53" i="69" s="1"/>
  <c r="BZ100" i="69"/>
  <c r="BU53" i="69"/>
  <c r="BZ114" i="53"/>
  <c r="CA114" i="53" s="1"/>
  <c r="J115" i="53"/>
  <c r="M115" i="53" s="1"/>
  <c r="BW100" i="69"/>
  <c r="AJ114" i="53"/>
  <c r="CA100" i="69" l="1"/>
  <c r="BN114" i="53"/>
  <c r="BL114" i="53"/>
  <c r="CB100" i="69"/>
  <c r="BW53" i="69"/>
  <c r="S115" i="53"/>
  <c r="BT100" i="69"/>
  <c r="BY100" i="69" s="1"/>
  <c r="CI100" i="69" l="1"/>
  <c r="CF100" i="69" s="1"/>
  <c r="CF115" i="53"/>
  <c r="CD115" i="53"/>
  <c r="BU115" i="53"/>
  <c r="AD115" i="53"/>
  <c r="BT53" i="69"/>
  <c r="CH100" i="69" l="1"/>
  <c r="T100" i="69" s="1"/>
  <c r="T53" i="69" s="1"/>
  <c r="CG100" i="69"/>
  <c r="AF115" i="53"/>
  <c r="BC115" i="53"/>
  <c r="BG115" i="53"/>
  <c r="R100" i="69"/>
  <c r="R53" i="69" s="1"/>
  <c r="CF53" i="69"/>
  <c r="CN100" i="69"/>
  <c r="S73" i="69"/>
  <c r="R73" i="69"/>
  <c r="T73" i="69"/>
  <c r="Y101" i="69"/>
  <c r="CH53" i="69" l="1"/>
  <c r="CE100" i="69"/>
  <c r="CG53" i="69"/>
  <c r="S100" i="69"/>
  <c r="S53" i="69" s="1"/>
  <c r="Q53" i="69" s="1"/>
  <c r="W101" i="69"/>
  <c r="AG115" i="53"/>
  <c r="BH115" i="53" s="1"/>
  <c r="AZ115" i="53"/>
  <c r="BP115" i="53"/>
  <c r="BS115" i="53"/>
  <c r="Q73" i="69"/>
  <c r="CO100" i="69"/>
  <c r="CQ100" i="69"/>
  <c r="CP100" i="69"/>
  <c r="X101" i="69" l="1"/>
  <c r="AF101" i="69" s="1"/>
  <c r="AD101" i="69" s="1"/>
  <c r="CE53" i="69"/>
  <c r="AH115" i="53"/>
  <c r="BD115" i="53" s="1"/>
  <c r="J116" i="53" s="1"/>
  <c r="M116" i="53" s="1"/>
  <c r="BZ115" i="53"/>
  <c r="CA115" i="53" s="1"/>
  <c r="AY116" i="53"/>
  <c r="J53" i="69"/>
  <c r="AJ115" i="53" l="1"/>
  <c r="BL115" i="53" s="1"/>
  <c r="AC101" i="69"/>
  <c r="AC54" i="69" s="1"/>
  <c r="AD54" i="69"/>
  <c r="AI101" i="69"/>
  <c r="S116" i="53"/>
  <c r="AD116" i="53" s="1"/>
  <c r="M53" i="69"/>
  <c r="K53" i="69"/>
  <c r="L53" i="69"/>
  <c r="AE101" i="69"/>
  <c r="AH101" i="69" l="1"/>
  <c r="AB101" i="69"/>
  <c r="AG101" i="69" s="1"/>
  <c r="BN115" i="53"/>
  <c r="BC116" i="53"/>
  <c r="AF116" i="53"/>
  <c r="AZ116" i="53" s="1"/>
  <c r="BG116" i="53"/>
  <c r="AE54" i="69"/>
  <c r="AB54" i="69" s="1"/>
  <c r="AJ101" i="69"/>
  <c r="CF116" i="53"/>
  <c r="CD116" i="53"/>
  <c r="BU116" i="53"/>
  <c r="BP116" i="53" l="1"/>
  <c r="AQ101" i="69"/>
  <c r="AN101" i="69" s="1"/>
  <c r="AG116" i="53"/>
  <c r="AH116" i="53" s="1"/>
  <c r="BD116" i="53" s="1"/>
  <c r="AY117" i="53"/>
  <c r="BS116" i="53"/>
  <c r="AP101" i="69" l="1"/>
  <c r="AP54" i="69" s="1"/>
  <c r="J117" i="53"/>
  <c r="M117" i="53" s="1"/>
  <c r="BH116" i="53"/>
  <c r="AJ116" i="53"/>
  <c r="AS101" i="69"/>
  <c r="AN54" i="69"/>
  <c r="AO101" i="69"/>
  <c r="AM101" i="69" l="1"/>
  <c r="AR101" i="69" s="1"/>
  <c r="AU101" i="69"/>
  <c r="AT101" i="69"/>
  <c r="AO54" i="69"/>
  <c r="BZ116" i="53"/>
  <c r="CA116" i="53" s="1"/>
  <c r="BN116" i="53"/>
  <c r="BL116" i="53"/>
  <c r="S117" i="53"/>
  <c r="AD117" i="53" s="1"/>
  <c r="BB101" i="69" l="1"/>
  <c r="BA101" i="69" s="1"/>
  <c r="AM54" i="69"/>
  <c r="AF117" i="53"/>
  <c r="BC117" i="53"/>
  <c r="CF117" i="53"/>
  <c r="CD117" i="53"/>
  <c r="BU117" i="53"/>
  <c r="BG117" i="53"/>
  <c r="BF101" i="69" l="1"/>
  <c r="BA54" i="69"/>
  <c r="AG117" i="53"/>
  <c r="BH117" i="53" s="1"/>
  <c r="AZ117" i="53"/>
  <c r="BP117" i="53"/>
  <c r="AZ101" i="69"/>
  <c r="BS117" i="53"/>
  <c r="AY101" i="69"/>
  <c r="AH117" i="53" l="1"/>
  <c r="BD117" i="53" s="1"/>
  <c r="J118" i="53" s="1"/>
  <c r="M118" i="53" s="1"/>
  <c r="BZ117" i="53"/>
  <c r="CA117" i="53" s="1"/>
  <c r="AY118" i="53"/>
  <c r="BE101" i="69"/>
  <c r="AZ54" i="69"/>
  <c r="AX101" i="69"/>
  <c r="BC101" i="69" s="1"/>
  <c r="BD101" i="69"/>
  <c r="AY54" i="69"/>
  <c r="AJ117" i="53" l="1"/>
  <c r="BN117" i="53" s="1"/>
  <c r="AX54" i="69"/>
  <c r="S118" i="53"/>
  <c r="AD118" i="53" s="1"/>
  <c r="BM101" i="69"/>
  <c r="BK101" i="69" s="1"/>
  <c r="BL117" i="53" l="1"/>
  <c r="BL101" i="69"/>
  <c r="BL54" i="69" s="1"/>
  <c r="BP101" i="69"/>
  <c r="BK54" i="69"/>
  <c r="BC118" i="53"/>
  <c r="AF118" i="53"/>
  <c r="AZ118" i="53" s="1"/>
  <c r="BG118" i="53"/>
  <c r="CF118" i="53"/>
  <c r="CD118" i="53"/>
  <c r="BU118" i="53"/>
  <c r="BQ101" i="69"/>
  <c r="BJ101" i="69"/>
  <c r="BP118" i="53" l="1"/>
  <c r="BS118" i="53"/>
  <c r="AG118" i="53"/>
  <c r="BH118" i="53" s="1"/>
  <c r="AY119" i="53"/>
  <c r="BI101" i="69"/>
  <c r="BN101" i="69" s="1"/>
  <c r="BO101" i="69"/>
  <c r="BJ54" i="69"/>
  <c r="BZ118" i="53" l="1"/>
  <c r="CA118" i="53" s="1"/>
  <c r="AH118" i="53"/>
  <c r="BI54" i="69"/>
  <c r="BX101" i="69"/>
  <c r="BD118" i="53" l="1"/>
  <c r="AJ118" i="53"/>
  <c r="BW101" i="69"/>
  <c r="BV101" i="69"/>
  <c r="BU101" i="69"/>
  <c r="CA101" i="69" l="1"/>
  <c r="BV54" i="69"/>
  <c r="BT101" i="69"/>
  <c r="BY101" i="69" s="1"/>
  <c r="BZ101" i="69"/>
  <c r="BU54" i="69"/>
  <c r="BN118" i="53"/>
  <c r="BL118" i="53"/>
  <c r="CB101" i="69"/>
  <c r="BW54" i="69"/>
  <c r="J119" i="53"/>
  <c r="M119" i="53" s="1"/>
  <c r="S119" i="53" l="1"/>
  <c r="CI101" i="69"/>
  <c r="CF101" i="69" s="1"/>
  <c r="BT54" i="69"/>
  <c r="CN101" i="69" l="1"/>
  <c r="S74" i="69"/>
  <c r="R74" i="69"/>
  <c r="T74" i="69"/>
  <c r="CF119" i="53"/>
  <c r="CD119" i="53"/>
  <c r="BU119" i="53"/>
  <c r="R101" i="69"/>
  <c r="R54" i="69" s="1"/>
  <c r="AD119" i="53"/>
  <c r="CG101" i="69"/>
  <c r="CH101" i="69"/>
  <c r="CF54" i="69"/>
  <c r="S101" i="69" l="1"/>
  <c r="S54" i="69" s="1"/>
  <c r="CG54" i="69"/>
  <c r="AF119" i="53"/>
  <c r="BG119" i="53"/>
  <c r="BC119" i="53"/>
  <c r="W102" i="69"/>
  <c r="Q74" i="69"/>
  <c r="T101" i="69"/>
  <c r="T54" i="69" s="1"/>
  <c r="CH54" i="69"/>
  <c r="CE101" i="69"/>
  <c r="CQ101" i="69"/>
  <c r="CP101" i="69"/>
  <c r="CO101" i="69"/>
  <c r="Q54" i="69" l="1"/>
  <c r="J54" i="69" s="1"/>
  <c r="CE54" i="69"/>
  <c r="BS119" i="53"/>
  <c r="AG119" i="53"/>
  <c r="Y102" i="69"/>
  <c r="AZ119" i="53"/>
  <c r="BP119" i="53"/>
  <c r="X102" i="69"/>
  <c r="BH119" i="53" l="1"/>
  <c r="AF102" i="69"/>
  <c r="AE102" i="69" s="1"/>
  <c r="AY120" i="53"/>
  <c r="AH119" i="53"/>
  <c r="BD119" i="53" s="1"/>
  <c r="L54" i="69"/>
  <c r="M54" i="69"/>
  <c r="K54" i="69"/>
  <c r="AE55" i="69" l="1"/>
  <c r="AJ102" i="69"/>
  <c r="BZ119" i="53"/>
  <c r="CA119" i="53" s="1"/>
  <c r="AJ119" i="53"/>
  <c r="AC102" i="69"/>
  <c r="J120" i="53"/>
  <c r="M120" i="53" s="1"/>
  <c r="AD102" i="69"/>
  <c r="S120" i="53" l="1"/>
  <c r="AC55" i="69"/>
  <c r="AB102" i="69"/>
  <c r="AG102" i="69" s="1"/>
  <c r="AH102" i="69"/>
  <c r="AD55" i="69"/>
  <c r="AI102" i="69"/>
  <c r="BN119" i="53"/>
  <c r="BL119" i="53"/>
  <c r="AQ102" i="69" l="1"/>
  <c r="AP102" i="69" s="1"/>
  <c r="AB55" i="69"/>
  <c r="CF120" i="53"/>
  <c r="CD120" i="53"/>
  <c r="BU120" i="53"/>
  <c r="AD120" i="53"/>
  <c r="AU102" i="69" l="1"/>
  <c r="AP55" i="69"/>
  <c r="AF120" i="53"/>
  <c r="BG120" i="53"/>
  <c r="BC120" i="53"/>
  <c r="AN102" i="69"/>
  <c r="AO102" i="69"/>
  <c r="BS120" i="53" l="1"/>
  <c r="AG120" i="53"/>
  <c r="AH120" i="53" s="1"/>
  <c r="AM102" i="69"/>
  <c r="AR102" i="69" s="1"/>
  <c r="AS102" i="69"/>
  <c r="AN55" i="69"/>
  <c r="AT102" i="69"/>
  <c r="AO55" i="69"/>
  <c r="AZ120" i="53"/>
  <c r="BP120" i="53"/>
  <c r="BH120" i="53" l="1"/>
  <c r="BZ120" i="53" s="1"/>
  <c r="CA120" i="53" s="1"/>
  <c r="BD120" i="53"/>
  <c r="AJ120" i="53"/>
  <c r="BB102" i="69"/>
  <c r="AY102" i="69" s="1"/>
  <c r="AY121" i="53"/>
  <c r="AM55" i="69"/>
  <c r="BA102" i="69" l="1"/>
  <c r="BA55" i="69" s="1"/>
  <c r="AZ102" i="69"/>
  <c r="AZ55" i="69" s="1"/>
  <c r="BD102" i="69"/>
  <c r="AY55" i="69"/>
  <c r="BN120" i="53"/>
  <c r="BL120" i="53"/>
  <c r="J121" i="53"/>
  <c r="M121" i="53" s="1"/>
  <c r="BE102" i="69" l="1"/>
  <c r="BF102" i="69"/>
  <c r="AX102" i="69"/>
  <c r="BC102" i="69" s="1"/>
  <c r="AX55" i="69"/>
  <c r="S121" i="53"/>
  <c r="BM102" i="69" l="1"/>
  <c r="BL102" i="69" s="1"/>
  <c r="CF121" i="53"/>
  <c r="CD121" i="53"/>
  <c r="BU121" i="53"/>
  <c r="AD121" i="53"/>
  <c r="BK102" i="69" l="1"/>
  <c r="BP102" i="69" s="1"/>
  <c r="BJ102" i="69"/>
  <c r="BO102" i="69" s="1"/>
  <c r="BG121" i="53"/>
  <c r="AF121" i="53"/>
  <c r="BC121" i="53"/>
  <c r="BQ102" i="69"/>
  <c r="BL55" i="69"/>
  <c r="BJ55" i="69" l="1"/>
  <c r="BI102" i="69"/>
  <c r="BN102" i="69" s="1"/>
  <c r="BX102" i="69" s="1"/>
  <c r="BW102" i="69" s="1"/>
  <c r="BK55" i="69"/>
  <c r="AG121" i="53"/>
  <c r="BH121" i="53" s="1"/>
  <c r="BS121" i="53"/>
  <c r="AZ121" i="53"/>
  <c r="BP121" i="53"/>
  <c r="BI55" i="69" l="1"/>
  <c r="AH121" i="53"/>
  <c r="CB102" i="69"/>
  <c r="BW55" i="69"/>
  <c r="BZ121" i="53"/>
  <c r="CA121" i="53" s="1"/>
  <c r="BV102" i="69"/>
  <c r="BU102" i="69"/>
  <c r="AY122" i="53"/>
  <c r="BD121" i="53" l="1"/>
  <c r="J122" i="53" s="1"/>
  <c r="M122" i="53" s="1"/>
  <c r="S122" i="53" s="1"/>
  <c r="AJ121" i="53"/>
  <c r="CA102" i="69"/>
  <c r="BV55" i="69"/>
  <c r="BT102" i="69"/>
  <c r="BY102" i="69" s="1"/>
  <c r="BZ102" i="69"/>
  <c r="BU55" i="69"/>
  <c r="BL121" i="53" l="1"/>
  <c r="BN121" i="53"/>
  <c r="CF122" i="53"/>
  <c r="CD122" i="53"/>
  <c r="BU122" i="53"/>
  <c r="CI102" i="69"/>
  <c r="AD122" i="53"/>
  <c r="BT55" i="69"/>
  <c r="CN102" i="69" l="1"/>
  <c r="R75" i="69"/>
  <c r="S75" i="69"/>
  <c r="T75" i="69"/>
  <c r="CH102" i="69"/>
  <c r="CG102" i="69"/>
  <c r="AF122" i="53"/>
  <c r="BG122" i="53"/>
  <c r="BC122" i="53"/>
  <c r="CF102" i="69"/>
  <c r="S102" i="69" l="1"/>
  <c r="S55" i="69" s="1"/>
  <c r="CG55" i="69"/>
  <c r="T102" i="69"/>
  <c r="T55" i="69" s="1"/>
  <c r="CH55" i="69"/>
  <c r="CE102" i="69"/>
  <c r="R102" i="69"/>
  <c r="R55" i="69" s="1"/>
  <c r="CF55" i="69"/>
  <c r="BS122" i="53"/>
  <c r="Q75" i="69"/>
  <c r="AG122" i="53"/>
  <c r="BH122" i="53" s="1"/>
  <c r="AZ122" i="53"/>
  <c r="BP122" i="53"/>
  <c r="CP102" i="69"/>
  <c r="CO102" i="69"/>
  <c r="CQ102" i="69"/>
  <c r="CE55" i="69" l="1"/>
  <c r="Q55" i="69"/>
  <c r="W103" i="69"/>
  <c r="AY123" i="53"/>
  <c r="Y103" i="69"/>
  <c r="BZ122" i="53"/>
  <c r="CA122" i="53" s="1"/>
  <c r="AH122" i="53"/>
  <c r="BD122" i="53" s="1"/>
  <c r="X103" i="69"/>
  <c r="AJ122" i="53" l="1"/>
  <c r="J123" i="53"/>
  <c r="M123" i="53" s="1"/>
  <c r="AF103" i="69"/>
  <c r="J55" i="69"/>
  <c r="M55" i="69" l="1"/>
  <c r="K55" i="69"/>
  <c r="L55" i="69"/>
  <c r="S123" i="53"/>
  <c r="AE103" i="69"/>
  <c r="BN122" i="53"/>
  <c r="BL122" i="53"/>
  <c r="AC103" i="69"/>
  <c r="AD103" i="69"/>
  <c r="AC56" i="69" l="1"/>
  <c r="AB103" i="69"/>
  <c r="AG103" i="69" s="1"/>
  <c r="AH103" i="69"/>
  <c r="CF123" i="53"/>
  <c r="CD123" i="53"/>
  <c r="BU123" i="53"/>
  <c r="AD123" i="53"/>
  <c r="AD56" i="69"/>
  <c r="AI103" i="69"/>
  <c r="AE56" i="69"/>
  <c r="AJ103" i="69"/>
  <c r="AQ103" i="69" l="1"/>
  <c r="AP103" i="69" s="1"/>
  <c r="BG123" i="53"/>
  <c r="AF123" i="53"/>
  <c r="BC123" i="53"/>
  <c r="AB56" i="69"/>
  <c r="AN103" i="69" l="1"/>
  <c r="AN56" i="69" s="1"/>
  <c r="AU103" i="69"/>
  <c r="AP56" i="69"/>
  <c r="AO103" i="69"/>
  <c r="BS123" i="53"/>
  <c r="AZ123" i="53"/>
  <c r="BP123" i="53"/>
  <c r="AG123" i="53"/>
  <c r="AM103" i="69" l="1"/>
  <c r="AR103" i="69" s="1"/>
  <c r="AS103" i="69"/>
  <c r="AY124" i="53"/>
  <c r="AT103" i="69"/>
  <c r="AO56" i="69"/>
  <c r="AM56" i="69" s="1"/>
  <c r="AH123" i="53"/>
  <c r="BD123" i="53" s="1"/>
  <c r="BH123" i="53"/>
  <c r="BB103" i="69" l="1"/>
  <c r="AY103" i="69" s="1"/>
  <c r="AJ123" i="53"/>
  <c r="J124" i="53"/>
  <c r="M124" i="53" s="1"/>
  <c r="BZ123" i="53"/>
  <c r="CA123" i="53" s="1"/>
  <c r="AZ103" i="69" l="1"/>
  <c r="BE103" i="69" s="1"/>
  <c r="BD103" i="69"/>
  <c r="AY56" i="69"/>
  <c r="S124" i="53"/>
  <c r="BL123" i="53"/>
  <c r="BN123" i="53"/>
  <c r="BA103" i="69"/>
  <c r="AZ56" i="69" l="1"/>
  <c r="BF103" i="69"/>
  <c r="BA56" i="69"/>
  <c r="AD124" i="53"/>
  <c r="AX103" i="69"/>
  <c r="BC103" i="69" s="1"/>
  <c r="CF124" i="53"/>
  <c r="CD124" i="53"/>
  <c r="BU124" i="53"/>
  <c r="AX56" i="69" l="1"/>
  <c r="BM103" i="69"/>
  <c r="BL103" i="69" s="1"/>
  <c r="BC124" i="53"/>
  <c r="AF124" i="53"/>
  <c r="BG124" i="53"/>
  <c r="BQ103" i="69" l="1"/>
  <c r="BL56" i="69"/>
  <c r="BS124" i="53"/>
  <c r="AZ124" i="53"/>
  <c r="BP124" i="53"/>
  <c r="BJ103" i="69"/>
  <c r="AG124" i="53"/>
  <c r="BH124" i="53" s="1"/>
  <c r="BK103" i="69"/>
  <c r="BZ124" i="53" l="1"/>
  <c r="CA124" i="53" s="1"/>
  <c r="AH124" i="53"/>
  <c r="BD124" i="53" s="1"/>
  <c r="BP103" i="69"/>
  <c r="BK56" i="69"/>
  <c r="BI103" i="69"/>
  <c r="BN103" i="69" s="1"/>
  <c r="BO103" i="69"/>
  <c r="BJ56" i="69"/>
  <c r="AY125" i="53"/>
  <c r="J125" i="53" l="1"/>
  <c r="M125" i="53" s="1"/>
  <c r="BI56" i="69"/>
  <c r="BX103" i="69"/>
  <c r="BW103" i="69" s="1"/>
  <c r="AJ124" i="53"/>
  <c r="BV103" i="69" l="1"/>
  <c r="BV56" i="69" s="1"/>
  <c r="BU103" i="69"/>
  <c r="BU56" i="69" s="1"/>
  <c r="CB103" i="69"/>
  <c r="BW56" i="69"/>
  <c r="BL124" i="53"/>
  <c r="BN124" i="53"/>
  <c r="S125" i="53"/>
  <c r="CA103" i="69" l="1"/>
  <c r="BZ103" i="69"/>
  <c r="BT103" i="69"/>
  <c r="BY103" i="69" s="1"/>
  <c r="CI103" i="69" s="1"/>
  <c r="CF125" i="53"/>
  <c r="CD125" i="53"/>
  <c r="BU125" i="53"/>
  <c r="BT56" i="69"/>
  <c r="AD125" i="53"/>
  <c r="CH103" i="69" l="1"/>
  <c r="T103" i="69" s="1"/>
  <c r="T56" i="69" s="1"/>
  <c r="Y104" i="69" s="1"/>
  <c r="CF103" i="69"/>
  <c r="CF56" i="69" s="1"/>
  <c r="CG103" i="69"/>
  <c r="S103" i="69" s="1"/>
  <c r="S56" i="69" s="1"/>
  <c r="X104" i="69" s="1"/>
  <c r="BG125" i="53"/>
  <c r="AF125" i="53"/>
  <c r="BC125" i="53"/>
  <c r="CN103" i="69"/>
  <c r="R76" i="69"/>
  <c r="S76" i="69"/>
  <c r="T76" i="69"/>
  <c r="CH56" i="69" l="1"/>
  <c r="CG56" i="69"/>
  <c r="R103" i="69"/>
  <c r="R56" i="69" s="1"/>
  <c r="Q56" i="69" s="1"/>
  <c r="CE103" i="69"/>
  <c r="BS125" i="53"/>
  <c r="AZ125" i="53"/>
  <c r="BP125" i="53"/>
  <c r="AG125" i="53"/>
  <c r="BH125" i="53" s="1"/>
  <c r="Q76" i="69"/>
  <c r="CQ103" i="69"/>
  <c r="CP103" i="69"/>
  <c r="CO103" i="69"/>
  <c r="CE56" i="69" l="1"/>
  <c r="W104" i="69"/>
  <c r="AF104" i="69" s="1"/>
  <c r="AE104" i="69" s="1"/>
  <c r="BZ125" i="53"/>
  <c r="CA125" i="53" s="1"/>
  <c r="J56" i="69"/>
  <c r="AY126" i="53"/>
  <c r="AY128" i="53" s="1"/>
  <c r="AH125" i="53"/>
  <c r="BD125" i="53" s="1"/>
  <c r="AC104" i="69" l="1"/>
  <c r="AC57" i="69" s="1"/>
  <c r="AE57" i="69"/>
  <c r="AJ104" i="69"/>
  <c r="AJ125" i="53"/>
  <c r="L56" i="69"/>
  <c r="K56" i="69"/>
  <c r="M56" i="69"/>
  <c r="F32" i="48"/>
  <c r="F29" i="48"/>
  <c r="N35" i="41" s="1"/>
  <c r="F197" i="39"/>
  <c r="J126" i="53"/>
  <c r="J128" i="53" s="1"/>
  <c r="AD104" i="69"/>
  <c r="AH104" i="69" l="1"/>
  <c r="AD57" i="69"/>
  <c r="AB57" i="69" s="1"/>
  <c r="AI104" i="69"/>
  <c r="M126" i="53"/>
  <c r="I197" i="39"/>
  <c r="H197" i="39"/>
  <c r="G197" i="39"/>
  <c r="AY137" i="53"/>
  <c r="J197" i="39"/>
  <c r="BL125" i="53"/>
  <c r="BN125" i="53"/>
  <c r="G29" i="48"/>
  <c r="H29" i="48"/>
  <c r="AB104" i="69"/>
  <c r="AG104" i="69" s="1"/>
  <c r="C74" i="48"/>
  <c r="S126" i="53" l="1"/>
  <c r="AD126" i="53" s="1"/>
  <c r="M128" i="53"/>
  <c r="AF137" i="53"/>
  <c r="AZ137" i="53" s="1"/>
  <c r="AD137" i="53"/>
  <c r="AY138" i="53"/>
  <c r="AQ104" i="69"/>
  <c r="AP104" i="69" s="1"/>
  <c r="AN104" i="69" l="1"/>
  <c r="AN57" i="69" s="1"/>
  <c r="AO104" i="69"/>
  <c r="AO57" i="69" s="1"/>
  <c r="AD128" i="53"/>
  <c r="AD138" i="53" s="1"/>
  <c r="BG126" i="53"/>
  <c r="BC126" i="53"/>
  <c r="AF126" i="53"/>
  <c r="BP126" i="53" s="1"/>
  <c r="BP136" i="53" s="1"/>
  <c r="AU104" i="69"/>
  <c r="AP57" i="69"/>
  <c r="CF126" i="53"/>
  <c r="CF127" i="53" s="1"/>
  <c r="CD126" i="53"/>
  <c r="N57" i="41" s="1"/>
  <c r="S128" i="53"/>
  <c r="F24" i="48"/>
  <c r="AS104" i="69" l="1"/>
  <c r="AM104" i="69"/>
  <c r="AR104" i="69" s="1"/>
  <c r="AT104" i="69"/>
  <c r="AJ130" i="53"/>
  <c r="S138" i="53"/>
  <c r="AM57" i="69"/>
  <c r="N59" i="41"/>
  <c r="N60" i="41"/>
  <c r="N58" i="41"/>
  <c r="AF128" i="53"/>
  <c r="AF138" i="53" s="1"/>
  <c r="AZ126" i="53"/>
  <c r="BS126" i="53"/>
  <c r="BC128" i="53"/>
  <c r="D60" i="48" s="1"/>
  <c r="BG128" i="53"/>
  <c r="AG126" i="53"/>
  <c r="AG128" i="53" s="1"/>
  <c r="F21" i="48"/>
  <c r="H24" i="48"/>
  <c r="H31" i="48" s="1"/>
  <c r="F23" i="48"/>
  <c r="F22" i="48"/>
  <c r="G24" i="48"/>
  <c r="G31" i="48" s="1"/>
  <c r="F31" i="48"/>
  <c r="BB104" i="69" l="1"/>
  <c r="AY104" i="69" s="1"/>
  <c r="AY57" i="69" s="1"/>
  <c r="AH126" i="53"/>
  <c r="AJ126" i="53" s="1"/>
  <c r="N40" i="41"/>
  <c r="H23" i="48"/>
  <c r="E9" i="48"/>
  <c r="G23" i="48"/>
  <c r="I23" i="48"/>
  <c r="N61" i="41"/>
  <c r="F198" i="39"/>
  <c r="N50" i="41"/>
  <c r="M50" i="41" s="1"/>
  <c r="F15" i="48"/>
  <c r="H22" i="48"/>
  <c r="E8" i="48"/>
  <c r="F9" i="69" s="1"/>
  <c r="N38" i="41"/>
  <c r="G22" i="48"/>
  <c r="I22" i="48"/>
  <c r="I30" i="48"/>
  <c r="I31" i="48"/>
  <c r="I28" i="48"/>
  <c r="I25" i="48"/>
  <c r="I26" i="48"/>
  <c r="I27" i="48"/>
  <c r="I29" i="48"/>
  <c r="C73" i="48"/>
  <c r="E7" i="48"/>
  <c r="F8" i="69" s="1"/>
  <c r="H21" i="48"/>
  <c r="G21" i="48"/>
  <c r="N39" i="41"/>
  <c r="I21" i="48"/>
  <c r="AZ128" i="53"/>
  <c r="N10" i="41"/>
  <c r="F199" i="39"/>
  <c r="M130" i="53"/>
  <c r="F16" i="48"/>
  <c r="I24" i="48"/>
  <c r="BH126" i="53"/>
  <c r="BD104" i="69" l="1"/>
  <c r="BA104" i="69"/>
  <c r="BA57" i="69" s="1"/>
  <c r="AZ104" i="69"/>
  <c r="BE104" i="69" s="1"/>
  <c r="AH128" i="53"/>
  <c r="BD126" i="53"/>
  <c r="BD128" i="53" s="1"/>
  <c r="H199" i="39"/>
  <c r="G199" i="39"/>
  <c r="J199" i="39"/>
  <c r="BG137" i="53"/>
  <c r="I199" i="39"/>
  <c r="M137" i="53"/>
  <c r="M138" i="53" s="1"/>
  <c r="AJ128" i="53"/>
  <c r="BL126" i="53"/>
  <c r="BN126" i="53"/>
  <c r="BZ126" i="53"/>
  <c r="CA126" i="53" s="1"/>
  <c r="BH128" i="53"/>
  <c r="N16" i="41"/>
  <c r="F333" i="39"/>
  <c r="H15" i="48"/>
  <c r="G15" i="48"/>
  <c r="I15" i="48"/>
  <c r="D15" i="48"/>
  <c r="N47" i="41"/>
  <c r="M47" i="41" s="1"/>
  <c r="C76" i="48"/>
  <c r="C75" i="48"/>
  <c r="C82" i="48"/>
  <c r="N41" i="41"/>
  <c r="N34" i="41" s="1"/>
  <c r="BF104" i="69"/>
  <c r="I16" i="48"/>
  <c r="D16" i="48"/>
  <c r="F332" i="39"/>
  <c r="H16" i="48"/>
  <c r="N12" i="41"/>
  <c r="N46" i="41"/>
  <c r="G16" i="48"/>
  <c r="J198" i="39"/>
  <c r="G198" i="39"/>
  <c r="H198" i="39"/>
  <c r="I198" i="39"/>
  <c r="BC137" i="53"/>
  <c r="BC138" i="53" s="1"/>
  <c r="F201" i="39"/>
  <c r="J201" i="39" s="1"/>
  <c r="D66" i="41"/>
  <c r="E10" i="48"/>
  <c r="F10" i="69"/>
  <c r="D17" i="48" l="1"/>
  <c r="AX104" i="69"/>
  <c r="BC104" i="69" s="1"/>
  <c r="BM104" i="69" s="1"/>
  <c r="BJ104" i="69" s="1"/>
  <c r="AZ57" i="69"/>
  <c r="AX57" i="69" s="1"/>
  <c r="D28" i="48"/>
  <c r="BL139" i="53"/>
  <c r="BG138" i="53"/>
  <c r="I17" i="48"/>
  <c r="G137" i="53"/>
  <c r="G138" i="53" s="1"/>
  <c r="F329" i="39"/>
  <c r="D32" i="56" s="1"/>
  <c r="H201" i="39"/>
  <c r="I201" i="39"/>
  <c r="G201" i="39"/>
  <c r="G17" i="48"/>
  <c r="M46" i="41"/>
  <c r="M54" i="41" s="1"/>
  <c r="N54" i="41"/>
  <c r="N74" i="41"/>
  <c r="N13" i="41"/>
  <c r="H17" i="48"/>
  <c r="BN137" i="53"/>
  <c r="G85" i="41" s="1"/>
  <c r="BN139" i="53"/>
  <c r="G84" i="41" s="1"/>
  <c r="BN136" i="53"/>
  <c r="D77" i="41"/>
  <c r="E66" i="41"/>
  <c r="F66" i="41"/>
  <c r="T69" i="41"/>
  <c r="G66" i="41"/>
  <c r="G332" i="39"/>
  <c r="U137" i="53"/>
  <c r="U138" i="53" s="1"/>
  <c r="BF137" i="53"/>
  <c r="J332" i="39"/>
  <c r="H332" i="39"/>
  <c r="I332" i="39"/>
  <c r="F341" i="39"/>
  <c r="L332" i="59"/>
  <c r="J333" i="39"/>
  <c r="H333" i="39"/>
  <c r="I333" i="39"/>
  <c r="G333" i="39"/>
  <c r="L333" i="59"/>
  <c r="BB137" i="53"/>
  <c r="T137" i="53"/>
  <c r="T138" i="53" s="1"/>
  <c r="BK136" i="53"/>
  <c r="F85" i="41" s="1"/>
  <c r="BL136" i="53"/>
  <c r="AJ131" i="53"/>
  <c r="D34" i="56" l="1"/>
  <c r="D41" i="56" s="1"/>
  <c r="BL104" i="69"/>
  <c r="BL57" i="69" s="1"/>
  <c r="BK104" i="69"/>
  <c r="BK57" i="69" s="1"/>
  <c r="BO104" i="69"/>
  <c r="BJ57" i="69"/>
  <c r="AH137" i="53"/>
  <c r="BD137" i="53" s="1"/>
  <c r="BD138" i="53" s="1"/>
  <c r="BB138" i="53"/>
  <c r="E77" i="41"/>
  <c r="D79" i="41"/>
  <c r="D81" i="41" s="1"/>
  <c r="G77" i="41"/>
  <c r="F77" i="41"/>
  <c r="AG137" i="53"/>
  <c r="AG138" i="53" s="1"/>
  <c r="BF138" i="53"/>
  <c r="G86" i="41"/>
  <c r="G87" i="41"/>
  <c r="BL140" i="53"/>
  <c r="BN140" i="53" s="1"/>
  <c r="F84" i="41"/>
  <c r="F87" i="41" s="1"/>
  <c r="G341" i="39"/>
  <c r="J341" i="39"/>
  <c r="H341" i="39"/>
  <c r="G27" i="56"/>
  <c r="C81" i="48" s="1"/>
  <c r="G16" i="56" s="1"/>
  <c r="I341" i="39"/>
  <c r="V69" i="41"/>
  <c r="V81" i="41" s="1"/>
  <c r="T81" i="41"/>
  <c r="G329" i="39"/>
  <c r="C346" i="39" s="1"/>
  <c r="M131" i="53"/>
  <c r="M132" i="53" s="1"/>
  <c r="J329" i="39"/>
  <c r="C349" i="39" s="1"/>
  <c r="H329" i="39"/>
  <c r="C347" i="39" s="1"/>
  <c r="C350" i="39"/>
  <c r="I329" i="39"/>
  <c r="C348" i="39" s="1"/>
  <c r="C345" i="39"/>
  <c r="C344" i="39"/>
  <c r="D42" i="56" l="1"/>
  <c r="D43" i="56" s="1"/>
  <c r="F11" i="71"/>
  <c r="D35" i="56"/>
  <c r="D36" i="56" s="1"/>
  <c r="BQ104" i="69"/>
  <c r="BP104" i="69"/>
  <c r="BI104" i="69"/>
  <c r="BN104" i="69" s="1"/>
  <c r="H80" i="41"/>
  <c r="D109" i="41"/>
  <c r="G17" i="56" s="1"/>
  <c r="H17" i="56" s="1"/>
  <c r="N63" i="41"/>
  <c r="F79" i="41"/>
  <c r="R84" i="41"/>
  <c r="E79" i="41"/>
  <c r="G79" i="41"/>
  <c r="G88" i="41"/>
  <c r="F86" i="41"/>
  <c r="N17" i="41"/>
  <c r="BI57" i="69"/>
  <c r="G21" i="56"/>
  <c r="H21" i="56" s="1"/>
  <c r="BH137" i="53"/>
  <c r="BH138" i="53" s="1"/>
  <c r="H16" i="56"/>
  <c r="D11" i="71" l="1"/>
  <c r="D23" i="71" s="1"/>
  <c r="F23" i="71"/>
  <c r="C11" i="71"/>
  <c r="C23" i="71" s="1"/>
  <c r="BX104" i="69"/>
  <c r="BW104" i="69" s="1"/>
  <c r="CB104" i="69" s="1"/>
  <c r="C31" i="70"/>
  <c r="G101" i="41"/>
  <c r="H31" i="70"/>
  <c r="G81" i="41"/>
  <c r="D31" i="70" s="1"/>
  <c r="F81" i="41"/>
  <c r="E81" i="41"/>
  <c r="AJ132" i="53"/>
  <c r="BW57" i="69" l="1"/>
  <c r="BV104" i="69"/>
  <c r="BU104" i="69"/>
  <c r="BT104" i="69" l="1"/>
  <c r="BY104" i="69" s="1"/>
  <c r="CI104" i="69" s="1"/>
  <c r="R77" i="69" s="1"/>
  <c r="BU57" i="69"/>
  <c r="BZ104" i="69"/>
  <c r="BV57" i="69"/>
  <c r="CA104" i="69"/>
  <c r="S77" i="69" l="1"/>
  <c r="CN104" i="69"/>
  <c r="CP104" i="69" s="1"/>
  <c r="T77" i="69"/>
  <c r="CH104" i="69"/>
  <c r="T104" i="69" s="1"/>
  <c r="T57" i="69" s="1"/>
  <c r="Y105" i="69" s="1"/>
  <c r="CF104" i="69"/>
  <c r="CF57" i="69" s="1"/>
  <c r="CG104" i="69"/>
  <c r="CG57" i="69" s="1"/>
  <c r="BT57" i="69"/>
  <c r="Q77" i="69" l="1"/>
  <c r="CQ104" i="69"/>
  <c r="CO104" i="69"/>
  <c r="R104" i="69"/>
  <c r="R57" i="69" s="1"/>
  <c r="W105" i="69" s="1"/>
  <c r="CH57" i="69"/>
  <c r="CE57" i="69" s="1"/>
  <c r="CE104" i="69"/>
  <c r="S104" i="69"/>
  <c r="S57" i="69" s="1"/>
  <c r="X105" i="69" s="1"/>
  <c r="AF105" i="69" l="1"/>
  <c r="AD105" i="69" s="1"/>
  <c r="AD58" i="69" s="1"/>
  <c r="Q57" i="69"/>
  <c r="J57" i="69" s="1"/>
  <c r="L57" i="69" s="1"/>
  <c r="AI105" i="69" l="1"/>
  <c r="AE105" i="69"/>
  <c r="AE58" i="69" s="1"/>
  <c r="D29" i="69"/>
  <c r="F29" i="69" s="1"/>
  <c r="F49" i="69" s="1"/>
  <c r="AC105" i="69"/>
  <c r="M57" i="69"/>
  <c r="K57" i="69"/>
  <c r="AJ105" i="69"/>
  <c r="AD59" i="69"/>
  <c r="AD60" i="69"/>
  <c r="F99" i="69" s="1"/>
  <c r="F27" i="69"/>
  <c r="AD61" i="69"/>
  <c r="F28" i="69"/>
  <c r="AB105" i="69" l="1"/>
  <c r="AG105" i="69" s="1"/>
  <c r="G29" i="69"/>
  <c r="G49" i="69" s="1"/>
  <c r="E29" i="69"/>
  <c r="E49" i="69" s="1"/>
  <c r="D49" i="69"/>
  <c r="AC58" i="69"/>
  <c r="AH105" i="69"/>
  <c r="AE60" i="69"/>
  <c r="G99" i="69" s="1"/>
  <c r="AE59" i="69"/>
  <c r="G27" i="69"/>
  <c r="G28" i="69"/>
  <c r="AE61" i="69"/>
  <c r="AQ105" i="69" l="1"/>
  <c r="AO105" i="69" s="1"/>
  <c r="AC60" i="69"/>
  <c r="E99" i="69" s="1"/>
  <c r="AC61" i="69"/>
  <c r="E28" i="69"/>
  <c r="E27" i="69"/>
  <c r="AB58" i="69"/>
  <c r="AC59" i="69"/>
  <c r="AN105" i="69" l="1"/>
  <c r="AS105" i="69" s="1"/>
  <c r="AP105" i="69"/>
  <c r="AP58" i="69" s="1"/>
  <c r="D31" i="69"/>
  <c r="D51" i="69" s="1"/>
  <c r="AB60" i="69"/>
  <c r="D99" i="69" s="1"/>
  <c r="AB59" i="69"/>
  <c r="D27" i="69"/>
  <c r="D28" i="69"/>
  <c r="AB61" i="69"/>
  <c r="D110" i="69"/>
  <c r="AT105" i="69"/>
  <c r="AO58" i="69"/>
  <c r="AU105" i="69"/>
  <c r="AM105" i="69" l="1"/>
  <c r="AR105" i="69" s="1"/>
  <c r="BB105" i="69" s="1"/>
  <c r="BA105" i="69" s="1"/>
  <c r="AN58" i="69"/>
  <c r="AM58" i="69" s="1"/>
  <c r="F31" i="69"/>
  <c r="F51" i="69" s="1"/>
  <c r="E31" i="69"/>
  <c r="E51" i="69" s="1"/>
  <c r="G31" i="69"/>
  <c r="G51" i="69" s="1"/>
  <c r="D48" i="69"/>
  <c r="E48" i="69"/>
  <c r="F48" i="69"/>
  <c r="G48" i="69"/>
  <c r="F47" i="69"/>
  <c r="E47" i="69"/>
  <c r="G47" i="69"/>
  <c r="D47" i="69"/>
  <c r="AO59" i="69"/>
  <c r="AO60" i="69"/>
  <c r="F100" i="69" s="1"/>
  <c r="AO61" i="69"/>
  <c r="F30" i="69"/>
  <c r="AP59" i="69"/>
  <c r="AP60" i="69"/>
  <c r="G100" i="69" s="1"/>
  <c r="AP61" i="69"/>
  <c r="G30" i="69"/>
  <c r="AN61" i="69" l="1"/>
  <c r="AN60" i="69"/>
  <c r="E100" i="69" s="1"/>
  <c r="E30" i="69"/>
  <c r="AN59" i="69"/>
  <c r="AZ105" i="69"/>
  <c r="BE105" i="69" s="1"/>
  <c r="AM59" i="69"/>
  <c r="AM60" i="69"/>
  <c r="D100" i="69" s="1"/>
  <c r="D30" i="69"/>
  <c r="AM61" i="69"/>
  <c r="BF105" i="69"/>
  <c r="D33" i="69"/>
  <c r="BA58" i="69"/>
  <c r="AY105" i="69"/>
  <c r="AZ58" i="69" l="1"/>
  <c r="AZ60" i="69" s="1"/>
  <c r="F101" i="69" s="1"/>
  <c r="D50" i="69"/>
  <c r="AX105" i="69"/>
  <c r="BC105" i="69" s="1"/>
  <c r="BD105" i="69"/>
  <c r="AY58" i="69"/>
  <c r="D53" i="69"/>
  <c r="G33" i="69"/>
  <c r="G53" i="69" s="1"/>
  <c r="E33" i="69"/>
  <c r="E53" i="69" s="1"/>
  <c r="F33" i="69"/>
  <c r="F53" i="69" s="1"/>
  <c r="BA60" i="69"/>
  <c r="G101" i="69" s="1"/>
  <c r="BA59" i="69"/>
  <c r="BA61" i="69"/>
  <c r="G32" i="69"/>
  <c r="E50" i="69"/>
  <c r="G50" i="69"/>
  <c r="F50" i="69"/>
  <c r="AZ61" i="69" l="1"/>
  <c r="F32" i="69"/>
  <c r="AZ59" i="69"/>
  <c r="AY60" i="69"/>
  <c r="E101" i="69" s="1"/>
  <c r="AY61" i="69"/>
  <c r="AX58" i="69"/>
  <c r="AY59" i="69"/>
  <c r="E32" i="69"/>
  <c r="BM105" i="69"/>
  <c r="BJ105" i="69" s="1"/>
  <c r="BL105" i="69" l="1"/>
  <c r="BQ105" i="69" s="1"/>
  <c r="BK105" i="69"/>
  <c r="BP105" i="69" s="1"/>
  <c r="BO105" i="69"/>
  <c r="AX60" i="69"/>
  <c r="D101" i="69" s="1"/>
  <c r="AX59" i="69"/>
  <c r="D32" i="69"/>
  <c r="AX61" i="69"/>
  <c r="BJ58" i="69"/>
  <c r="D35" i="69"/>
  <c r="BJ60" i="69" l="1"/>
  <c r="E102" i="69" s="1"/>
  <c r="BJ61" i="69"/>
  <c r="BK58" i="69"/>
  <c r="BK59" i="69" s="1"/>
  <c r="BL58" i="69"/>
  <c r="BI105" i="69"/>
  <c r="BN105" i="69" s="1"/>
  <c r="BX105" i="69" s="1"/>
  <c r="BV105" i="69" s="1"/>
  <c r="D52" i="69"/>
  <c r="G52" i="69"/>
  <c r="F52" i="69"/>
  <c r="E52" i="69"/>
  <c r="BJ59" i="69"/>
  <c r="E34" i="69"/>
  <c r="E35" i="69"/>
  <c r="E55" i="69" s="1"/>
  <c r="G35" i="69"/>
  <c r="G55" i="69" s="1"/>
  <c r="F35" i="69"/>
  <c r="F55" i="69" s="1"/>
  <c r="D55" i="69"/>
  <c r="F34" i="69" l="1"/>
  <c r="BV58" i="69"/>
  <c r="BV60" i="69" s="1"/>
  <c r="F103" i="69" s="1"/>
  <c r="BK61" i="69"/>
  <c r="BK60" i="69"/>
  <c r="F102" i="69" s="1"/>
  <c r="BI58" i="69"/>
  <c r="BI61" i="69" s="1"/>
  <c r="G34" i="69"/>
  <c r="BL61" i="69"/>
  <c r="BL59" i="69"/>
  <c r="BL60" i="69"/>
  <c r="G102" i="69" s="1"/>
  <c r="BW105" i="69"/>
  <c r="BU105" i="69"/>
  <c r="BU58" i="69" s="1"/>
  <c r="CA105" i="69"/>
  <c r="D37" i="69"/>
  <c r="BI60" i="69" l="1"/>
  <c r="D102" i="69" s="1"/>
  <c r="BI59" i="69"/>
  <c r="BV61" i="69"/>
  <c r="F36" i="69"/>
  <c r="BV59" i="69"/>
  <c r="D34" i="69"/>
  <c r="G54" i="69" s="1"/>
  <c r="BZ105" i="69"/>
  <c r="BU60" i="69"/>
  <c r="E103" i="69" s="1"/>
  <c r="BU61" i="69"/>
  <c r="BT105" i="69"/>
  <c r="BY105" i="69" s="1"/>
  <c r="CI105" i="69" s="1"/>
  <c r="CB105" i="69"/>
  <c r="BW58" i="69"/>
  <c r="G36" i="69" s="1"/>
  <c r="F37" i="69"/>
  <c r="G37" i="69"/>
  <c r="G57" i="69" s="1"/>
  <c r="E37" i="69"/>
  <c r="E57" i="69" s="1"/>
  <c r="D57" i="69"/>
  <c r="BU59" i="69"/>
  <c r="E36" i="69"/>
  <c r="E54" i="69" l="1"/>
  <c r="F54" i="69"/>
  <c r="D54" i="69"/>
  <c r="BW59" i="69"/>
  <c r="BT58" i="69"/>
  <c r="BT59" i="69" s="1"/>
  <c r="BW61" i="69"/>
  <c r="BW60" i="69"/>
  <c r="G103" i="69" s="1"/>
  <c r="F57" i="69"/>
  <c r="CN105" i="69"/>
  <c r="D39" i="69"/>
  <c r="R78" i="69"/>
  <c r="T78" i="69"/>
  <c r="S78" i="69"/>
  <c r="CF105" i="69"/>
  <c r="CH105" i="69"/>
  <c r="CG105" i="69"/>
  <c r="BT61" i="69" l="1"/>
  <c r="D36" i="69"/>
  <c r="G56" i="69" s="1"/>
  <c r="BT60" i="69"/>
  <c r="D103" i="69" s="1"/>
  <c r="CO105" i="69"/>
  <c r="R83" i="69" s="1"/>
  <c r="E96" i="41" s="1"/>
  <c r="CP105" i="69"/>
  <c r="S83" i="69" s="1"/>
  <c r="D96" i="41" s="1"/>
  <c r="CQ105" i="69"/>
  <c r="T83" i="69" s="1"/>
  <c r="F96" i="41" s="1"/>
  <c r="Q83" i="69"/>
  <c r="E39" i="69"/>
  <c r="G39" i="69"/>
  <c r="F39" i="69"/>
  <c r="D59" i="69"/>
  <c r="T105" i="69"/>
  <c r="T58" i="69" s="1"/>
  <c r="T84" i="69" s="1"/>
  <c r="CH58" i="69"/>
  <c r="Q78" i="69"/>
  <c r="CE105" i="69"/>
  <c r="R105" i="69"/>
  <c r="R58" i="69" s="1"/>
  <c r="R84" i="69" s="1"/>
  <c r="CF58" i="69"/>
  <c r="CG58" i="69"/>
  <c r="S105" i="69"/>
  <c r="S58" i="69" s="1"/>
  <c r="S84" i="69" s="1"/>
  <c r="S80" i="69" l="1"/>
  <c r="R82" i="69"/>
  <c r="E95" i="41" s="1"/>
  <c r="E99" i="41" s="1"/>
  <c r="E56" i="69"/>
  <c r="F56" i="69"/>
  <c r="D56" i="69"/>
  <c r="CF60" i="69"/>
  <c r="E104" i="69" s="1"/>
  <c r="CF61" i="69"/>
  <c r="T82" i="69"/>
  <c r="F95" i="41" s="1"/>
  <c r="F99" i="41" s="1"/>
  <c r="R80" i="69"/>
  <c r="E100" i="41" s="1"/>
  <c r="F94" i="69"/>
  <c r="F95" i="69" s="1"/>
  <c r="L31" i="70"/>
  <c r="S82" i="69"/>
  <c r="D95" i="41" s="1"/>
  <c r="E59" i="69"/>
  <c r="F31" i="70"/>
  <c r="CG59" i="69"/>
  <c r="CG60" i="69"/>
  <c r="F104" i="69" s="1"/>
  <c r="CG61" i="69"/>
  <c r="F38" i="69"/>
  <c r="F40" i="69" s="1"/>
  <c r="CH59" i="69"/>
  <c r="CH60" i="69"/>
  <c r="G104" i="69" s="1"/>
  <c r="CH61" i="69"/>
  <c r="G38" i="69"/>
  <c r="G40" i="69" s="1"/>
  <c r="G96" i="41"/>
  <c r="CE58" i="69"/>
  <c r="CF59" i="69"/>
  <c r="E38" i="69"/>
  <c r="S79" i="69"/>
  <c r="Q58" i="69"/>
  <c r="Q84" i="69" s="1"/>
  <c r="G19" i="69" s="1"/>
  <c r="L34" i="48" s="1"/>
  <c r="T79" i="69"/>
  <c r="T80" i="69"/>
  <c r="F59" i="69"/>
  <c r="R79" i="69"/>
  <c r="G59" i="69"/>
  <c r="E98" i="41" l="1"/>
  <c r="F98" i="41"/>
  <c r="Q80" i="69"/>
  <c r="G100" i="41" s="1"/>
  <c r="I31" i="70" s="1"/>
  <c r="E43" i="69"/>
  <c r="R81" i="69"/>
  <c r="E44" i="69" s="1"/>
  <c r="F42" i="69"/>
  <c r="Q82" i="69"/>
  <c r="E31" i="70" s="1"/>
  <c r="E94" i="69"/>
  <c r="E95" i="69" s="1"/>
  <c r="F43" i="69"/>
  <c r="S81" i="69"/>
  <c r="F44" i="69" s="1"/>
  <c r="D100" i="41"/>
  <c r="M31" i="70" s="1"/>
  <c r="G95" i="41"/>
  <c r="D99" i="41"/>
  <c r="N31" i="70" s="1"/>
  <c r="D98" i="41"/>
  <c r="F100" i="41"/>
  <c r="G43" i="69"/>
  <c r="T81" i="69"/>
  <c r="G44" i="69" s="1"/>
  <c r="CE60" i="69"/>
  <c r="D104" i="69" s="1"/>
  <c r="CE59" i="69"/>
  <c r="D38" i="69"/>
  <c r="E58" i="69" s="1"/>
  <c r="CE61" i="69"/>
  <c r="G42" i="69"/>
  <c r="J58" i="69"/>
  <c r="J59" i="69"/>
  <c r="J61" i="69"/>
  <c r="J60" i="69"/>
  <c r="J63" i="69"/>
  <c r="J62" i="69"/>
  <c r="J64" i="69"/>
  <c r="J65" i="69"/>
  <c r="J66" i="69"/>
  <c r="J67" i="69"/>
  <c r="J68" i="69"/>
  <c r="J70" i="69"/>
  <c r="J69" i="69"/>
  <c r="J71" i="69"/>
  <c r="J72" i="69"/>
  <c r="J73" i="69"/>
  <c r="J77" i="69"/>
  <c r="J76" i="69"/>
  <c r="J74" i="69"/>
  <c r="J75" i="69"/>
  <c r="Q79" i="69"/>
  <c r="E40" i="69"/>
  <c r="J78" i="69"/>
  <c r="G58" i="69" l="1"/>
  <c r="F58" i="69"/>
  <c r="Q81" i="69"/>
  <c r="D44" i="69" s="1"/>
  <c r="D43" i="69"/>
  <c r="L78" i="69"/>
  <c r="K78" i="69"/>
  <c r="M78" i="69"/>
  <c r="L77" i="69"/>
  <c r="K77" i="69"/>
  <c r="M77" i="69"/>
  <c r="M66" i="69"/>
  <c r="L66" i="69"/>
  <c r="K66" i="69"/>
  <c r="L58" i="69"/>
  <c r="M58" i="69"/>
  <c r="K58" i="69"/>
  <c r="M65" i="69"/>
  <c r="L65" i="69"/>
  <c r="K65" i="69"/>
  <c r="L72" i="69"/>
  <c r="K72" i="69"/>
  <c r="M72" i="69"/>
  <c r="M64" i="69"/>
  <c r="K64" i="69"/>
  <c r="L64" i="69"/>
  <c r="K73" i="69"/>
  <c r="M73" i="69"/>
  <c r="L73" i="69"/>
  <c r="E42" i="69"/>
  <c r="M71" i="69"/>
  <c r="K71" i="69"/>
  <c r="L71" i="69"/>
  <c r="M62" i="69"/>
  <c r="K62" i="69"/>
  <c r="L62" i="69"/>
  <c r="L69" i="69"/>
  <c r="K69" i="69"/>
  <c r="M69" i="69"/>
  <c r="M63" i="69"/>
  <c r="L63" i="69"/>
  <c r="K63" i="69"/>
  <c r="D58" i="69"/>
  <c r="D40" i="69"/>
  <c r="G98" i="41"/>
  <c r="G99" i="41"/>
  <c r="J31" i="70" s="1"/>
  <c r="K75" i="69"/>
  <c r="M75" i="69"/>
  <c r="L75" i="69"/>
  <c r="L70" i="69"/>
  <c r="M70" i="69"/>
  <c r="K70" i="69"/>
  <c r="L60" i="69"/>
  <c r="M60" i="69"/>
  <c r="K60" i="69"/>
  <c r="K74" i="69"/>
  <c r="L74" i="69"/>
  <c r="M74" i="69"/>
  <c r="M68" i="69"/>
  <c r="L68" i="69"/>
  <c r="K68" i="69"/>
  <c r="M61" i="69"/>
  <c r="L61" i="69"/>
  <c r="K61" i="69"/>
  <c r="M76" i="69"/>
  <c r="L76" i="69"/>
  <c r="K76" i="69"/>
  <c r="M67" i="69"/>
  <c r="K67" i="69"/>
  <c r="L67" i="69"/>
  <c r="L59" i="69"/>
  <c r="M59" i="69"/>
  <c r="K59" i="69"/>
  <c r="AJ137" i="53" l="1"/>
  <c r="AJ138" i="53" s="1"/>
  <c r="D42" i="69"/>
  <c r="D60" i="69"/>
  <c r="F60" i="69"/>
  <c r="G60" i="69"/>
  <c r="E60" i="69"/>
  <c r="D116" i="69" l="1"/>
  <c r="G18" i="56" s="1"/>
  <c r="D62" i="69"/>
  <c r="F62" i="69"/>
  <c r="G62" i="69"/>
  <c r="G19" i="56"/>
  <c r="H19" i="56" s="1"/>
  <c r="F139" i="53"/>
  <c r="E62" i="69"/>
  <c r="H18" i="56" l="1"/>
  <c r="G25" i="56" s="1" a="1"/>
  <c r="G25" i="56" s="1"/>
  <c r="B3" i="56" l="1"/>
  <c r="Q31" i="70"/>
  <c r="C3" i="53" l="1"/>
  <c r="B3" i="58"/>
  <c r="B2" i="41"/>
  <c r="B3" i="70"/>
  <c r="B3" i="48"/>
  <c r="C3" i="51"/>
  <c r="B3" i="3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walers</author>
  </authors>
  <commentList>
    <comment ref="C16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walers:</t>
        </r>
        <r>
          <rPr>
            <sz val="9"/>
            <color indexed="81"/>
            <rFont val="Tahoma"/>
            <family val="2"/>
          </rPr>
          <t xml:space="preserve">
cut and paste this cell elsewhere if it must be moved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<sst xmlns="http://schemas.openxmlformats.org/spreadsheetml/2006/main" count="52482" uniqueCount="5193">
  <si>
    <t>Land</t>
  </si>
  <si>
    <t>Iphone/Ipad App</t>
  </si>
  <si>
    <t>Miscellaneous Printing Costs</t>
  </si>
  <si>
    <t>Cabanas</t>
  </si>
  <si>
    <t>Appliances</t>
  </si>
  <si>
    <t>Escrow Agent</t>
  </si>
  <si>
    <t>Deposits</t>
  </si>
  <si>
    <t>REVENUES</t>
  </si>
  <si>
    <t xml:space="preserve"> </t>
  </si>
  <si>
    <t>Bonus Pool</t>
  </si>
  <si>
    <t>Refreshments/Flowers/Water</t>
  </si>
  <si>
    <t>Utilities/Security/Sanitation</t>
  </si>
  <si>
    <t>Internet Page</t>
  </si>
  <si>
    <t>Stationary Package</t>
  </si>
  <si>
    <t>Video</t>
  </si>
  <si>
    <t>Purchasers Info Guide</t>
  </si>
  <si>
    <t>International Program</t>
  </si>
  <si>
    <t>Retail</t>
  </si>
  <si>
    <t>Municipal Fees</t>
  </si>
  <si>
    <t>Loan Costs</t>
  </si>
  <si>
    <t>Commissions</t>
  </si>
  <si>
    <t>Total</t>
  </si>
  <si>
    <t>Architect/Design Fees</t>
  </si>
  <si>
    <t>Legal Fees</t>
  </si>
  <si>
    <t>Administrative Expenses</t>
  </si>
  <si>
    <t>Project Contingency</t>
  </si>
  <si>
    <t>Real Estate Taxes</t>
  </si>
  <si>
    <t>Reserve</t>
  </si>
  <si>
    <t>Signage</t>
  </si>
  <si>
    <t>Insurance</t>
  </si>
  <si>
    <t>Units</t>
  </si>
  <si>
    <t>Closing</t>
  </si>
  <si>
    <t>Interior Design</t>
  </si>
  <si>
    <t>Building Permits</t>
  </si>
  <si>
    <t>Association Fees</t>
  </si>
  <si>
    <t>Temporary Power</t>
  </si>
  <si>
    <t>Construction Contingency</t>
  </si>
  <si>
    <t xml:space="preserve">Sellable Square Feet </t>
  </si>
  <si>
    <t>Average Price Per Unit</t>
  </si>
  <si>
    <t>Budget</t>
  </si>
  <si>
    <t>Remaining</t>
  </si>
  <si>
    <t>TOTAL REVENUES</t>
  </si>
  <si>
    <t>TOTAL CONSTRUCTION COST</t>
  </si>
  <si>
    <t>OPERATING COSTS</t>
  </si>
  <si>
    <t>Interior/Design Fees</t>
  </si>
  <si>
    <t>Engineering And Consultant Fees</t>
  </si>
  <si>
    <t>Condominium Turnover Cost</t>
  </si>
  <si>
    <t>Sales Admin. Expenses</t>
  </si>
  <si>
    <t xml:space="preserve">Sales Office </t>
  </si>
  <si>
    <t>TOTAL OPERATING COSTS</t>
  </si>
  <si>
    <t>TOTAL COSTS</t>
  </si>
  <si>
    <t>PROFIT</t>
  </si>
  <si>
    <t>Land Cost</t>
  </si>
  <si>
    <t>Landscape</t>
  </si>
  <si>
    <t>Accounting</t>
  </si>
  <si>
    <t>Economic Impact Study</t>
  </si>
  <si>
    <t>Traffic Study</t>
  </si>
  <si>
    <t>Wind Tunnel</t>
  </si>
  <si>
    <t>Window/Railing Inspector</t>
  </si>
  <si>
    <t>Waterproof Inspector</t>
  </si>
  <si>
    <t>Permit Consultant</t>
  </si>
  <si>
    <t>Building Color Consultant</t>
  </si>
  <si>
    <t>Asst. Construction Proj Manager</t>
  </si>
  <si>
    <t>AP Accountant</t>
  </si>
  <si>
    <t>Equity</t>
  </si>
  <si>
    <t>Surveyor</t>
  </si>
  <si>
    <t>Office Supplies</t>
  </si>
  <si>
    <t>%</t>
  </si>
  <si>
    <t>Project Level IRR</t>
  </si>
  <si>
    <t>Project Level Equity Multiple</t>
  </si>
  <si>
    <t>Net Profit as a %age to Gross Revenue</t>
  </si>
  <si>
    <t>Total Municipal Fees</t>
  </si>
  <si>
    <t>Total Loan Costs</t>
  </si>
  <si>
    <t>Hard Cost Contingency</t>
  </si>
  <si>
    <t>Month</t>
  </si>
  <si>
    <t>Project Level Unlevered Cash Flow</t>
  </si>
  <si>
    <t>Yield on Cost</t>
  </si>
  <si>
    <t>Top Off</t>
  </si>
  <si>
    <t>Total Sources</t>
  </si>
  <si>
    <t>$/Unit</t>
  </si>
  <si>
    <t>FF&amp;E</t>
  </si>
  <si>
    <t>Net Profit</t>
  </si>
  <si>
    <t>%age</t>
  </si>
  <si>
    <t>Projected Term</t>
  </si>
  <si>
    <t>Construction Costs</t>
  </si>
  <si>
    <t>Demolition</t>
  </si>
  <si>
    <t>Abatement</t>
  </si>
  <si>
    <t>Sitework</t>
  </si>
  <si>
    <t>Appraisal</t>
  </si>
  <si>
    <t>Surveying/Condo Docs</t>
  </si>
  <si>
    <t>Threshold Inspector</t>
  </si>
  <si>
    <t>Environmental Testing</t>
  </si>
  <si>
    <t>Geo-Technical Studies</t>
  </si>
  <si>
    <t>Piling Inspections</t>
  </si>
  <si>
    <t>Forensic Engineer</t>
  </si>
  <si>
    <t>Window Testing</t>
  </si>
  <si>
    <t>Transportation Impact Fees</t>
  </si>
  <si>
    <t>School Impact Fees</t>
  </si>
  <si>
    <t>Park Impact Fees</t>
  </si>
  <si>
    <t>CO Fee ($180/unit)</t>
  </si>
  <si>
    <t>Start-Up Costs</t>
  </si>
  <si>
    <t>Punch-Out Supplies</t>
  </si>
  <si>
    <t>VinCam</t>
  </si>
  <si>
    <t>Postage,Fedex,Courier</t>
  </si>
  <si>
    <t>Telephone, LD, Cell</t>
  </si>
  <si>
    <t>Rent</t>
  </si>
  <si>
    <t>Office Equipment Purchases</t>
  </si>
  <si>
    <t>Security</t>
  </si>
  <si>
    <t>Computer/Software Purchases</t>
  </si>
  <si>
    <t>Reimbursable Expenses</t>
  </si>
  <si>
    <t>Audit/Tax Fees</t>
  </si>
  <si>
    <t>Model Furniture/Clubhouse</t>
  </si>
  <si>
    <t xml:space="preserve">Direct Mail </t>
  </si>
  <si>
    <t>Marketing Events (Parties)</t>
  </si>
  <si>
    <t>Brochures (inc. floorplans)</t>
  </si>
  <si>
    <t>Photography (inc. in other categories)</t>
  </si>
  <si>
    <t>Ad Creation / Production</t>
  </si>
  <si>
    <t>Animation</t>
  </si>
  <si>
    <t>Scale Model</t>
  </si>
  <si>
    <t>Rendering</t>
  </si>
  <si>
    <t>Buyer's Gifts</t>
  </si>
  <si>
    <t>Broker Events</t>
  </si>
  <si>
    <t>Contingency</t>
  </si>
  <si>
    <t>Office</t>
  </si>
  <si>
    <t>Inhouse Sales manager</t>
  </si>
  <si>
    <t>Construction</t>
  </si>
  <si>
    <t>Rate</t>
  </si>
  <si>
    <t>Int. Exp. - Loan &amp; Bonded Deposits</t>
  </si>
  <si>
    <t>FAR</t>
  </si>
  <si>
    <t>Comments</t>
  </si>
  <si>
    <t xml:space="preserve">Pre-Development Budget - </t>
  </si>
  <si>
    <t>Site Area</t>
  </si>
  <si>
    <t>Acres</t>
  </si>
  <si>
    <t>Project Name</t>
  </si>
  <si>
    <t>Type</t>
  </si>
  <si>
    <t>Bonus Costs (FAR, TDR, etc)</t>
  </si>
  <si>
    <t>Land Closing Costs</t>
  </si>
  <si>
    <t>Commercial Units</t>
  </si>
  <si>
    <t>In-House Commissions</t>
  </si>
  <si>
    <t>Outside Commissions</t>
  </si>
  <si>
    <t>TOTAL LAND COSTS</t>
  </si>
  <si>
    <t>CONSTRUCTION COSTS</t>
  </si>
  <si>
    <t>LAND COSTS</t>
  </si>
  <si>
    <t>Other Misc Fees (Bonus Costs -FAR, TDR, etc)</t>
  </si>
  <si>
    <t>FAR Allowed</t>
  </si>
  <si>
    <t>Location (County)</t>
  </si>
  <si>
    <t>GP</t>
  </si>
  <si>
    <t>SF</t>
  </si>
  <si>
    <t>Promote</t>
  </si>
  <si>
    <t>Const. Loan Closing Date</t>
  </si>
  <si>
    <t>Construction Start Date</t>
  </si>
  <si>
    <t>Const. Completion Date</t>
  </si>
  <si>
    <t>Construction Loan</t>
  </si>
  <si>
    <t>IRR</t>
  </si>
  <si>
    <t>Peak Equity</t>
  </si>
  <si>
    <t>Required Equity</t>
  </si>
  <si>
    <t>Return of Equity</t>
  </si>
  <si>
    <t>Fees</t>
  </si>
  <si>
    <t>%age of Equity</t>
  </si>
  <si>
    <t>Equity Multiple</t>
  </si>
  <si>
    <t>Show Fees</t>
  </si>
  <si>
    <t>Show Promote</t>
  </si>
  <si>
    <t>IRR from</t>
  </si>
  <si>
    <t>To IRR</t>
  </si>
  <si>
    <t>Levered Yied on Cost</t>
  </si>
  <si>
    <t>Architect
Design Fees</t>
  </si>
  <si>
    <t>Interior
Design Fees</t>
  </si>
  <si>
    <t>Total Budget</t>
  </si>
  <si>
    <t>Restricted Deposit</t>
  </si>
  <si>
    <t>Unit $ Value</t>
  </si>
  <si>
    <t>month</t>
  </si>
  <si>
    <t>Land Loan</t>
  </si>
  <si>
    <t>Bonded Deposits</t>
  </si>
  <si>
    <t>Bonded Deposit</t>
  </si>
  <si>
    <t>Other Deposit</t>
  </si>
  <si>
    <t>Delta</t>
  </si>
  <si>
    <t>Investor</t>
  </si>
  <si>
    <t>Outside Broker</t>
  </si>
  <si>
    <t>%age of Costs</t>
  </si>
  <si>
    <t>Equity Overview</t>
  </si>
  <si>
    <t>Equity Return Calculations</t>
  </si>
  <si>
    <t>Date</t>
  </si>
  <si>
    <t>per Unit</t>
  </si>
  <si>
    <t>Total Distributions</t>
  </si>
  <si>
    <t>Multiple</t>
  </si>
  <si>
    <t>Checks</t>
  </si>
  <si>
    <t>Project Start Date</t>
  </si>
  <si>
    <t>Cash Equity</t>
  </si>
  <si>
    <t>Total Equity</t>
  </si>
  <si>
    <t>Distribution1</t>
  </si>
  <si>
    <t>Distribution2</t>
  </si>
  <si>
    <t>Distribution3</t>
  </si>
  <si>
    <t>Distribution4</t>
  </si>
  <si>
    <t>Distribution5</t>
  </si>
  <si>
    <t>Tier1</t>
  </si>
  <si>
    <t>Tier2</t>
  </si>
  <si>
    <t>Tier3</t>
  </si>
  <si>
    <t>Dates</t>
  </si>
  <si>
    <t>Total Tier 1</t>
  </si>
  <si>
    <t>Total Tier 2</t>
  </si>
  <si>
    <t>Equity Distributions</t>
  </si>
  <si>
    <t>Promote1</t>
  </si>
  <si>
    <t>Promote2</t>
  </si>
  <si>
    <t>Promote3</t>
  </si>
  <si>
    <t>Promote4</t>
  </si>
  <si>
    <t>Promote5</t>
  </si>
  <si>
    <t>Total Promote</t>
  </si>
  <si>
    <t>Equity Profit</t>
  </si>
  <si>
    <t>Total Profits</t>
  </si>
  <si>
    <t>Profit Overview</t>
  </si>
  <si>
    <t>All Equity</t>
  </si>
  <si>
    <t>Profit</t>
  </si>
  <si>
    <t>Total Land Cost</t>
  </si>
  <si>
    <t>Taxes</t>
  </si>
  <si>
    <t>Total Construction Costs (GC Base Costs plus Owner Items)</t>
  </si>
  <si>
    <t>Engineering &amp; Consultant Fees</t>
  </si>
  <si>
    <t>Loan Costs, Title Costs, Etc</t>
  </si>
  <si>
    <t>Administrative Expenses (Salaries)</t>
  </si>
  <si>
    <t>Marketing</t>
  </si>
  <si>
    <t>Sales Administrative Expenses</t>
  </si>
  <si>
    <t xml:space="preserve">Sales Center/Clubhouse &amp; Model Furnishings </t>
  </si>
  <si>
    <t>Developer Fee</t>
  </si>
  <si>
    <t>Total Real Estate Taxes</t>
  </si>
  <si>
    <t>Total Engineering &amp; Consultant Fees</t>
  </si>
  <si>
    <t>Total Administrative Expenses</t>
  </si>
  <si>
    <t>Total Architectural &amp; Engineering Service Costs</t>
  </si>
  <si>
    <t>Total Interior Design Services Costs</t>
  </si>
  <si>
    <t>Total Condominium Turnover/Settlement Costs</t>
  </si>
  <si>
    <t>Total Insurance Costs</t>
  </si>
  <si>
    <t>Total Legal Fees</t>
  </si>
  <si>
    <t>Total Marketing Costs</t>
  </si>
  <si>
    <t>Total Sales Administrative Expenses</t>
  </si>
  <si>
    <t>Total Sales Center Costs</t>
  </si>
  <si>
    <t>Total Commission Costs</t>
  </si>
  <si>
    <t>Total Developer Fees</t>
  </si>
  <si>
    <t>Total Soft Cost Contingency</t>
  </si>
  <si>
    <t>st dev</t>
  </si>
  <si>
    <t>excess prob</t>
  </si>
  <si>
    <t>upfront</t>
  </si>
  <si>
    <t>tight bell</t>
  </si>
  <si>
    <t>bell</t>
  </si>
  <si>
    <t>fat bell</t>
  </si>
  <si>
    <t>50% upfront/ 50% flat</t>
  </si>
  <si>
    <t>flat0</t>
  </si>
  <si>
    <t>triangle</t>
  </si>
  <si>
    <t>1st six months</t>
  </si>
  <si>
    <t>last six months</t>
  </si>
  <si>
    <t>total</t>
  </si>
  <si>
    <t>check</t>
  </si>
  <si>
    <t>FF&amp;E Install Date</t>
  </si>
  <si>
    <t>Project Length</t>
  </si>
  <si>
    <t>1st 6 / 
Last 6</t>
  </si>
  <si>
    <t>Loan Closing</t>
  </si>
  <si>
    <t>Architecture</t>
  </si>
  <si>
    <t>Sales Center</t>
  </si>
  <si>
    <t>Sales Admin</t>
  </si>
  <si>
    <t>Start &amp; Finish</t>
  </si>
  <si>
    <t>Association Costs</t>
  </si>
  <si>
    <t>Settlement Costs</t>
  </si>
  <si>
    <t>Location (City, State)'</t>
  </si>
  <si>
    <t>Project Financing</t>
  </si>
  <si>
    <t>PREDEV FINANCING</t>
  </si>
  <si>
    <t>% of Cost</t>
  </si>
  <si>
    <t>PEAK EQUITY</t>
  </si>
  <si>
    <t>Hurdle</t>
  </si>
  <si>
    <t>Tier 1</t>
  </si>
  <si>
    <t>Tier 2</t>
  </si>
  <si>
    <t>Tier 3</t>
  </si>
  <si>
    <t>Fee</t>
  </si>
  <si>
    <t>Share of Equity Profits</t>
  </si>
  <si>
    <t>Share of Promote</t>
  </si>
  <si>
    <t>Share of Total</t>
  </si>
  <si>
    <t>Final Average Promote</t>
  </si>
  <si>
    <t>Fee Struc</t>
  </si>
  <si>
    <t>Profit Share</t>
  </si>
  <si>
    <t>Equity Splits</t>
  </si>
  <si>
    <t>Predev Bud1</t>
  </si>
  <si>
    <t>Dev Budget1</t>
  </si>
  <si>
    <t>Dev Budget2</t>
  </si>
  <si>
    <t>general</t>
  </si>
  <si>
    <t>financing</t>
  </si>
  <si>
    <t>budget presentation</t>
  </si>
  <si>
    <t>waterfall</t>
  </si>
  <si>
    <t>reserves</t>
  </si>
  <si>
    <t>draws%</t>
  </si>
  <si>
    <t>Model Version</t>
  </si>
  <si>
    <t>Calcmodel</t>
  </si>
  <si>
    <t>Bud</t>
  </si>
  <si>
    <t>Total Profit</t>
  </si>
  <si>
    <t>Predev Bud3</t>
  </si>
  <si>
    <t>Dev Bud3</t>
  </si>
  <si>
    <t>bud_detail</t>
  </si>
  <si>
    <t>per SF</t>
  </si>
  <si>
    <t>% of Sales</t>
  </si>
  <si>
    <t>Sales &amp; Closings</t>
  </si>
  <si>
    <t>Detailed Development Budget</t>
  </si>
  <si>
    <t>&lt;&lt;Additional Cost&gt;&gt;</t>
  </si>
  <si>
    <t>Owner Items</t>
  </si>
  <si>
    <t>Architect &amp; Engineering</t>
  </si>
  <si>
    <t>Association &amp; Other Fees</t>
  </si>
  <si>
    <t>Total Association &amp; Other Fees</t>
  </si>
  <si>
    <t>Condominium Turnover/Settlement Costs</t>
  </si>
  <si>
    <t>Interest Reserves - Land Loan</t>
  </si>
  <si>
    <t>Interest Reserves - Construction Loan</t>
  </si>
  <si>
    <t>Deposit Bonding Costs</t>
  </si>
  <si>
    <t>Other Closing Costs - Land Loan</t>
  </si>
  <si>
    <t>Other Closing Costs - Construction Loan</t>
  </si>
  <si>
    <t>Bank Inspector - Land Loan</t>
  </si>
  <si>
    <t>Years</t>
  </si>
  <si>
    <t>Salary</t>
  </si>
  <si>
    <t>Subotal Salaries</t>
  </si>
  <si>
    <t>TOTAL DEVELOPMENT COSTS</t>
  </si>
  <si>
    <t>Sources</t>
  </si>
  <si>
    <t>TOTAL SOURCES OF FINANCING</t>
  </si>
  <si>
    <t>Total Dev Costs</t>
  </si>
  <si>
    <t>Total Check</t>
  </si>
  <si>
    <t>per Unit Check</t>
  </si>
  <si>
    <t>per SF Check</t>
  </si>
  <si>
    <t>%Cost Check</t>
  </si>
  <si>
    <t>%Sales Check</t>
  </si>
  <si>
    <t>Sources = Uses</t>
  </si>
  <si>
    <t>Interest Reserves &amp; Bonding Costs</t>
  </si>
  <si>
    <t>sales</t>
  </si>
  <si>
    <t>Bedrooms</t>
  </si>
  <si>
    <t>Baths</t>
  </si>
  <si>
    <t>Totals/Averages</t>
  </si>
  <si>
    <t>Total Price</t>
  </si>
  <si>
    <t>Additional Revenues</t>
  </si>
  <si>
    <t>Studio</t>
  </si>
  <si>
    <t>Total AC Ft²</t>
  </si>
  <si>
    <t>Lag</t>
  </si>
  <si>
    <t>Final Month</t>
  </si>
  <si>
    <t>In-House%</t>
  </si>
  <si>
    <t>In-House$</t>
  </si>
  <si>
    <t>Outside%</t>
  </si>
  <si>
    <t>Outside$</t>
  </si>
  <si>
    <t>Total$</t>
  </si>
  <si>
    <t>Deposits1</t>
  </si>
  <si>
    <t>Deposits2</t>
  </si>
  <si>
    <t>Sales</t>
  </si>
  <si>
    <t>Deposit 1</t>
  </si>
  <si>
    <t>Deposit 2</t>
  </si>
  <si>
    <t>Deposit 3</t>
  </si>
  <si>
    <t>Deposit 4</t>
  </si>
  <si>
    <t>Unit Sales</t>
  </si>
  <si>
    <t>Turnover Cost</t>
  </si>
  <si>
    <t>Developer Overhead</t>
  </si>
  <si>
    <t>Engineering Fees</t>
  </si>
  <si>
    <t>Other Commissions</t>
  </si>
  <si>
    <t>Soft Cost Contingency</t>
  </si>
  <si>
    <t>ID</t>
  </si>
  <si>
    <t>Interest Reserves</t>
  </si>
  <si>
    <t>Total Development</t>
  </si>
  <si>
    <t>Total All</t>
  </si>
  <si>
    <t>Check Total All</t>
  </si>
  <si>
    <t>Unlevered CFs</t>
  </si>
  <si>
    <t>Levered CFs</t>
  </si>
  <si>
    <t>Unit count</t>
  </si>
  <si>
    <t>SF count</t>
  </si>
  <si>
    <t>Closings</t>
  </si>
  <si>
    <t>Month #</t>
  </si>
  <si>
    <t>Closed %</t>
  </si>
  <si>
    <t>Closed Units</t>
  </si>
  <si>
    <t>$'s Closed</t>
  </si>
  <si>
    <t>Closed</t>
  </si>
  <si>
    <t>%age Deposits Used</t>
  </si>
  <si>
    <t>Pred</t>
  </si>
  <si>
    <t>Other Costs</t>
  </si>
  <si>
    <t>Excess Deposits</t>
  </si>
  <si>
    <t xml:space="preserve">Construction Loan </t>
  </si>
  <si>
    <t>Bonded Collected</t>
  </si>
  <si>
    <t>Bonded Used</t>
  </si>
  <si>
    <t>Bonded Balance</t>
  </si>
  <si>
    <t>Excess Collected</t>
  </si>
  <si>
    <t>Excess Used</t>
  </si>
  <si>
    <t>Excess Balance</t>
  </si>
  <si>
    <t>Deposits Used</t>
  </si>
  <si>
    <t>$ Unclosed</t>
  </si>
  <si>
    <t>Net Deposits Used</t>
  </si>
  <si>
    <t>% Used</t>
  </si>
  <si>
    <t>Land Loan Costs</t>
  </si>
  <si>
    <t>Construction Loan Costs</t>
  </si>
  <si>
    <t>Bonded Deposit Costs</t>
  </si>
  <si>
    <t>Land Loan Draw</t>
  </si>
  <si>
    <t>Construction Loan Draw</t>
  </si>
  <si>
    <t>Profit before equity repay</t>
  </si>
  <si>
    <t>Total Costs Before Interest</t>
  </si>
  <si>
    <t>hard bud</t>
  </si>
  <si>
    <t>interest</t>
  </si>
  <si>
    <t>Pre Development Land Loan</t>
  </si>
  <si>
    <t>Total Peak Equity</t>
  </si>
  <si>
    <t>Land Loan Repaid</t>
  </si>
  <si>
    <t>Land Loan Interest</t>
  </si>
  <si>
    <t>Land Loan Balance</t>
  </si>
  <si>
    <t>Construction Loan Interest</t>
  </si>
  <si>
    <t>Construction Loan Loan Repaid</t>
  </si>
  <si>
    <t>Construction Loan Balance</t>
  </si>
  <si>
    <t>Net Proceeds from Closings</t>
  </si>
  <si>
    <t>Cash Flow Available for Debt Payoff</t>
  </si>
  <si>
    <t>LP Investment Date</t>
  </si>
  <si>
    <t>Deferred Costs</t>
  </si>
  <si>
    <t>Final Month of Construction</t>
  </si>
  <si>
    <t>flat2</t>
  </si>
  <si>
    <t>Deferred Expenses Funded</t>
  </si>
  <si>
    <t>Newsletter</t>
  </si>
  <si>
    <t>Contract</t>
  </si>
  <si>
    <t xml:space="preserve">Land Loan </t>
  </si>
  <si>
    <t>Sales Month</t>
  </si>
  <si>
    <t>Units or SF</t>
  </si>
  <si>
    <t>$ / Unit or SF</t>
  </si>
  <si>
    <t>Sales Cost</t>
  </si>
  <si>
    <t>Net Proceeds</t>
  </si>
  <si>
    <t>Date Collected</t>
  </si>
  <si>
    <t>RE Taxes</t>
  </si>
  <si>
    <t>Early disc.</t>
  </si>
  <si>
    <t>% of actual land purchase</t>
  </si>
  <si>
    <t>During Development</t>
  </si>
  <si>
    <t>Unlevered</t>
  </si>
  <si>
    <t>Levered</t>
  </si>
  <si>
    <t>Condo Fees PSF/Month</t>
  </si>
  <si>
    <t>Pre-Devevelopmen</t>
  </si>
  <si>
    <t>Last Month --&gt;</t>
  </si>
  <si>
    <t>PR Retainer</t>
  </si>
  <si>
    <t>Final Unit Closing</t>
  </si>
  <si>
    <t>Used Deposits</t>
  </si>
  <si>
    <t>Max $ Deposits to be Collected</t>
  </si>
  <si>
    <t>RE Tax Payment Counter</t>
  </si>
  <si>
    <t>dev cashflow</t>
  </si>
  <si>
    <t>month counter</t>
  </si>
  <si>
    <t>year</t>
  </si>
  <si>
    <t>Mezzanine Debt</t>
  </si>
  <si>
    <t>Mezz Draw</t>
  </si>
  <si>
    <t>Mezz Interest</t>
  </si>
  <si>
    <t>Mezz Balance</t>
  </si>
  <si>
    <t>Mezzanine Debt Assumptions</t>
  </si>
  <si>
    <t>Full Accrual?</t>
  </si>
  <si>
    <t>If no, then % current</t>
  </si>
  <si>
    <t>Max Mezz draw (excluding int)</t>
  </si>
  <si>
    <t>Interest Reserves - Mezzanine Debt</t>
  </si>
  <si>
    <t>Current Pay Mezz Debt</t>
  </si>
  <si>
    <t>Mezzanine Debt Repaid</t>
  </si>
  <si>
    <t>yes</t>
  </si>
  <si>
    <t>Pro Rata Closings</t>
  </si>
  <si>
    <t>End (closing)</t>
  </si>
  <si>
    <t>NEW ADMIN</t>
  </si>
  <si>
    <t>License Fee</t>
  </si>
  <si>
    <t>Total Interest Reserves &amp; Bonding Costs</t>
  </si>
  <si>
    <t>Tier 4</t>
  </si>
  <si>
    <t>Tier 5</t>
  </si>
  <si>
    <t>Tier 6</t>
  </si>
  <si>
    <t>Tier4</t>
  </si>
  <si>
    <t>Tier5</t>
  </si>
  <si>
    <t>Tier6</t>
  </si>
  <si>
    <t>TIER 1 RETURN CHECK</t>
  </si>
  <si>
    <t>TIER 2 RETURN CHECK</t>
  </si>
  <si>
    <t>TIER 3 RETURN CHECK</t>
  </si>
  <si>
    <t>TIER 4 RETURN CHECK</t>
  </si>
  <si>
    <t>Total Tier 3</t>
  </si>
  <si>
    <t>Total Tier 4</t>
  </si>
  <si>
    <t>TIER 5 RETURN CHECK</t>
  </si>
  <si>
    <t>Total Tier 5</t>
  </si>
  <si>
    <t>TIER 6 RETURN CHECK</t>
  </si>
  <si>
    <t>Total Tier 6</t>
  </si>
  <si>
    <t>land</t>
  </si>
  <si>
    <t>Ground Break</t>
  </si>
  <si>
    <t>Construction Cost - Owner Items/FF&amp;E</t>
  </si>
  <si>
    <t>LP or GP</t>
  </si>
  <si>
    <t>unfunded loan int</t>
  </si>
  <si>
    <t>Totals w/o Loan Interest</t>
  </si>
  <si>
    <t>Waterfall
Equity</t>
  </si>
  <si>
    <t>Engineer</t>
  </si>
  <si>
    <t>Interior</t>
  </si>
  <si>
    <t>Legal</t>
  </si>
  <si>
    <t>Interest Rate</t>
  </si>
  <si>
    <t>LIBOR data from:</t>
  </si>
  <si>
    <t>Eomonth</t>
  </si>
  <si>
    <t>Floor</t>
  </si>
  <si>
    <t>Unit Flooring and Wallcovering Costs</t>
  </si>
  <si>
    <t>Exit Fee</t>
  </si>
  <si>
    <t>Legal - Sales Contract Admin</t>
  </si>
  <si>
    <t>Legal - Developer Closing Credits</t>
  </si>
  <si>
    <t>Net Cash Flow</t>
  </si>
  <si>
    <t>Coverage Ratio</t>
  </si>
  <si>
    <t>Branding Fee</t>
  </si>
  <si>
    <t>Last2 Months Const.</t>
  </si>
  <si>
    <t>Revenue</t>
  </si>
  <si>
    <t>Undrawn Fee</t>
  </si>
  <si>
    <t>Condo Docs</t>
  </si>
  <si>
    <t>Partnership</t>
  </si>
  <si>
    <t>General Assistance</t>
  </si>
  <si>
    <t>Zoning</t>
  </si>
  <si>
    <t>Environmental Issues</t>
  </si>
  <si>
    <t>Construction Contract</t>
  </si>
  <si>
    <t>N/A</t>
  </si>
  <si>
    <t>Devbud1</t>
  </si>
  <si>
    <t>Devbud2</t>
  </si>
  <si>
    <t>Hard</t>
  </si>
  <si>
    <t>/Unit</t>
  </si>
  <si>
    <t>First Month</t>
  </si>
  <si>
    <t>Beds</t>
  </si>
  <si>
    <t>DEPOSITS</t>
  </si>
  <si>
    <t>Marketing Less BF</t>
  </si>
  <si>
    <t>BF</t>
  </si>
  <si>
    <t>Investment Summary</t>
  </si>
  <si>
    <t>DEBT ASSUMPTIONS</t>
  </si>
  <si>
    <t>PROJECT SCHEDULE</t>
  </si>
  <si>
    <t>MONTH</t>
  </si>
  <si>
    <t>DATE</t>
  </si>
  <si>
    <t>PROMOTE ASSUMPTIONS</t>
  </si>
  <si>
    <t>RETURNS</t>
  </si>
  <si>
    <t>Yes</t>
  </si>
  <si>
    <t>Deferred Land</t>
  </si>
  <si>
    <t>General Marketing</t>
  </si>
  <si>
    <t>Branding (special timing)</t>
  </si>
  <si>
    <t>General Sales Admin</t>
  </si>
  <si>
    <t>Deferred Costs (Excl. Land)</t>
  </si>
  <si>
    <t>Total Pre Development Uses</t>
  </si>
  <si>
    <t>Total Pre Development Sources</t>
  </si>
  <si>
    <t>SOURCES &amp; USES</t>
  </si>
  <si>
    <t>PROJECT FINANCING</t>
  </si>
  <si>
    <t>Implied Revenue</t>
  </si>
  <si>
    <t>Broker</t>
  </si>
  <si>
    <t>Loan Costs/Title Insurance</t>
  </si>
  <si>
    <t>Loan Admin</t>
  </si>
  <si>
    <t>Salaries &amp; Wages</t>
  </si>
  <si>
    <t>CA Fees</t>
  </si>
  <si>
    <t>Loan Amount/ $Ft²</t>
  </si>
  <si>
    <t>Total Project Sq. Ft.</t>
  </si>
  <si>
    <t>Average Price Per Sq. Ft.</t>
  </si>
  <si>
    <t>Retail/Other Sq. Ft.</t>
  </si>
  <si>
    <t xml:space="preserve">Average Price Per Sq. Ft. </t>
  </si>
  <si>
    <t>Average Sq Ft. Per Unit</t>
  </si>
  <si>
    <t>General Owner Items</t>
  </si>
  <si>
    <t>Marketing / Advertising</t>
  </si>
  <si>
    <t>Title Endorsements</t>
  </si>
  <si>
    <t>$/Ft² [resi]</t>
  </si>
  <si>
    <t>Break Even per Sq. Ft. [resi]</t>
  </si>
  <si>
    <t>Cm. Equity</t>
  </si>
  <si>
    <t>COVERAGE RATIO CONDO ONLY</t>
  </si>
  <si>
    <t>Total Units</t>
  </si>
  <si>
    <t>Water</t>
  </si>
  <si>
    <t>Sewer</t>
  </si>
  <si>
    <t>Road</t>
  </si>
  <si>
    <t>Fire</t>
  </si>
  <si>
    <t>Developer Overhead Allocation</t>
  </si>
  <si>
    <t xml:space="preserve">LIBOR + Rate </t>
  </si>
  <si>
    <t>No</t>
  </si>
  <si>
    <t>Construction Costs - off site/fill</t>
  </si>
  <si>
    <t>Land contract price</t>
  </si>
  <si>
    <t>Land mark-to-market</t>
  </si>
  <si>
    <t>Transfer of Development Rights (TDRs)</t>
  </si>
  <si>
    <t>Commercial SF</t>
  </si>
  <si>
    <t>Total SF</t>
  </si>
  <si>
    <t>Parking Spaces</t>
  </si>
  <si>
    <t>General</t>
  </si>
  <si>
    <t>Timeline</t>
  </si>
  <si>
    <t>Overview</t>
  </si>
  <si>
    <t>Scenario</t>
  </si>
  <si>
    <t>Land/L. Loan Closing Date</t>
  </si>
  <si>
    <t>Deposit utilization</t>
  </si>
  <si>
    <t>Hard construction</t>
  </si>
  <si>
    <t>A&amp;E, muni fees</t>
  </si>
  <si>
    <t>Tax assumptions</t>
  </si>
  <si>
    <t>Millage rate</t>
  </si>
  <si>
    <t>Discount</t>
  </si>
  <si>
    <t>Model checks</t>
  </si>
  <si>
    <t>PredevBud2  (macro)</t>
  </si>
  <si>
    <t xml:space="preserve">Timestamp </t>
  </si>
  <si>
    <t>% assessed (land &amp; hard)</t>
  </si>
  <si>
    <t>Header</t>
  </si>
  <si>
    <t>Delta (budget check)</t>
  </si>
  <si>
    <t>Price</t>
  </si>
  <si>
    <t>Price/SF</t>
  </si>
  <si>
    <t>Surface Spaces</t>
  </si>
  <si>
    <t>Garage Spaces</t>
  </si>
  <si>
    <t>Summary</t>
  </si>
  <si>
    <t>% Collected</t>
  </si>
  <si>
    <t>/SF</t>
  </si>
  <si>
    <t>Total Collected</t>
  </si>
  <si>
    <t>Parking Space Type #3</t>
  </si>
  <si>
    <t>Additional Revenues &amp; Parking</t>
  </si>
  <si>
    <t>Deposit Collection</t>
  </si>
  <si>
    <t>Commissions &amp; Licensing Fees</t>
  </si>
  <si>
    <t>Capital Structure</t>
  </si>
  <si>
    <t>per RSF</t>
  </si>
  <si>
    <t>% of Total</t>
  </si>
  <si>
    <t>Excess 10% Deposits</t>
  </si>
  <si>
    <t>Total Deposits</t>
  </si>
  <si>
    <t>Mezzanine Loan</t>
  </si>
  <si>
    <t>Bond?</t>
  </si>
  <si>
    <t>Unfund. Max</t>
  </si>
  <si>
    <t>Min. Int.</t>
  </si>
  <si>
    <t>Total Pre-development Equity</t>
  </si>
  <si>
    <t>CP%</t>
  </si>
  <si>
    <t>Pre-development Capital Structure</t>
  </si>
  <si>
    <t>Waterfall Assumptions</t>
  </si>
  <si>
    <t>Share of Developer fee</t>
  </si>
  <si>
    <t>In-House Commission</t>
  </si>
  <si>
    <t>Outside Commission</t>
  </si>
  <si>
    <t>Actual Interest</t>
  </si>
  <si>
    <t>Minimum Interest</t>
  </si>
  <si>
    <t>Minimum Interest Amount</t>
  </si>
  <si>
    <t>% Current Pay</t>
  </si>
  <si>
    <t>Budget Check</t>
  </si>
  <si>
    <t>Starting Month (Date)</t>
  </si>
  <si>
    <t>Starting Month (Number)</t>
  </si>
  <si>
    <t>Total Pre-development Sources</t>
  </si>
  <si>
    <t>Const.</t>
  </si>
  <si>
    <t>During Const.</t>
  </si>
  <si>
    <t>Const. 
tight bell</t>
  </si>
  <si>
    <t>Const. 
Bell</t>
  </si>
  <si>
    <t>Const. 
Fat bell</t>
  </si>
  <si>
    <t>Period</t>
  </si>
  <si>
    <t>Excess Eligible Costs</t>
  </si>
  <si>
    <t>Def. Commissions</t>
  </si>
  <si>
    <t>1 Month USD LIBOR Forward Curve</t>
  </si>
  <si>
    <t>3 Month USD LIBOR Forward Curve</t>
  </si>
  <si>
    <t>Daily SOFR Forward Curve</t>
  </si>
  <si>
    <t>US Market Projections</t>
  </si>
  <si>
    <t>3/19/2020</t>
  </si>
  <si>
    <t>LIBOR is a registered trademark of the ICE Benchmark Administration (IBA).</t>
  </si>
  <si>
    <t>Warning: Neither ICE, IntercontinentalExchange Group, Inc. and ICE LIBOR can be held liable for any irregularity.</t>
  </si>
  <si>
    <t>For the latest rates, please visit:</t>
  </si>
  <si>
    <t>https://rates.chathamfinancial.com/us-market/forward-curve</t>
  </si>
  <si>
    <t>Utilities construction</t>
  </si>
  <si>
    <t>Pool furniture / equipment</t>
  </si>
  <si>
    <t>Clubhouse/Office</t>
  </si>
  <si>
    <t>Exercise equipment</t>
  </si>
  <si>
    <t>Amenity equipment / audio visual</t>
  </si>
  <si>
    <t>Design architect</t>
  </si>
  <si>
    <t>Architect Reimbursables</t>
  </si>
  <si>
    <t>Architect Other</t>
  </si>
  <si>
    <t>Landscape architect</t>
  </si>
  <si>
    <t>Interior designer</t>
  </si>
  <si>
    <t>Civil engineer</t>
  </si>
  <si>
    <t>Environmental engineer</t>
  </si>
  <si>
    <t>MEP engineer</t>
  </si>
  <si>
    <t>Materials testing</t>
  </si>
  <si>
    <t>Total GC Contract</t>
  </si>
  <si>
    <t>Lender: construction loan</t>
  </si>
  <si>
    <t>Title insurance - Construction financing</t>
  </si>
  <si>
    <t>Land loan - origination / commitment fee</t>
  </si>
  <si>
    <t>Document stamps - Land Loan</t>
  </si>
  <si>
    <t>Intangible tax - Land loan</t>
  </si>
  <si>
    <t>Document stamps - Construction Loan</t>
  </si>
  <si>
    <t>Intangible tax - Construction loan</t>
  </si>
  <si>
    <t>Land acq-affil brokerage fee</t>
  </si>
  <si>
    <t>Inv-Consulting-green building</t>
  </si>
  <si>
    <t/>
  </si>
  <si>
    <t>Balance Sheet</t>
  </si>
  <si>
    <t>Debit</t>
  </si>
  <si>
    <t>TOTAL ALL ACCOUNTS</t>
  </si>
  <si>
    <t>Yes-Acct</t>
  </si>
  <si>
    <t>Income Statement</t>
  </si>
  <si>
    <t>Regular</t>
  </si>
  <si>
    <t>Legacy Acct 15-for deletion</t>
  </si>
  <si>
    <t>Legacy Acct 14-for deletion</t>
  </si>
  <si>
    <t>Credit</t>
  </si>
  <si>
    <t>Legacy Acct 13-for deletion</t>
  </si>
  <si>
    <t>Legacy Acct 12-for deletion</t>
  </si>
  <si>
    <t>Legacy Acct 11-for deletion</t>
  </si>
  <si>
    <t>Legacy Acct 10-for deletion</t>
  </si>
  <si>
    <t>Legacy Acct 9-for deletion</t>
  </si>
  <si>
    <t>Legacy Acct 8-for deletion</t>
  </si>
  <si>
    <t>Legacy Acct 7-for deletion</t>
  </si>
  <si>
    <t>Legacy Acct 6-for deletion</t>
  </si>
  <si>
    <t>Legacy Acct 5-for deletion</t>
  </si>
  <si>
    <t>Legacy Acct 4-for deletion</t>
  </si>
  <si>
    <t>Legacy Acct 3-for deletion</t>
  </si>
  <si>
    <t>Legacy Acct 1-for deletion</t>
  </si>
  <si>
    <t>x</t>
  </si>
  <si>
    <t>SUSPENSE</t>
  </si>
  <si>
    <t>Total Payroll Stats</t>
  </si>
  <si>
    <t>Payroll Allocation - Total Offset</t>
  </si>
  <si>
    <t>Payroll Allocation - Percent</t>
  </si>
  <si>
    <t>Heading</t>
  </si>
  <si>
    <t>Payroll Stats</t>
  </si>
  <si>
    <t>Total Affordable Stat Accounts</t>
  </si>
  <si>
    <t xml:space="preserve">Total Permanent Funding  Information </t>
  </si>
  <si>
    <t xml:space="preserve">Permanent Funding-Total Offset_x000D_
</t>
  </si>
  <si>
    <t>Permanent Funding-Total Offset</t>
  </si>
  <si>
    <t>Permanent Funding- SAIL</t>
  </si>
  <si>
    <t xml:space="preserve">Permanent Funding-Deferred Developer Fees_x000D_
</t>
  </si>
  <si>
    <t>Permanent Funding-Deferred Developer Fees</t>
  </si>
  <si>
    <t xml:space="preserve">Permanent Funding-Tax Credit Equity_x000D_
</t>
  </si>
  <si>
    <t>Permanent Funding-Tax Credit Equity</t>
  </si>
  <si>
    <t xml:space="preserve">Permanent Funding-NSP_x000D_
</t>
  </si>
  <si>
    <t>Permanent Funding-NSP</t>
  </si>
  <si>
    <t xml:space="preserve">Permanent Funding-HOME Loan_x000D_
</t>
  </si>
  <si>
    <t>Permanent Funding-HOME Loan</t>
  </si>
  <si>
    <t xml:space="preserve">Permanent Funding-Surtax_x000D_
</t>
  </si>
  <si>
    <t>Permanent Funding-Surtax</t>
  </si>
  <si>
    <t xml:space="preserve">Permanent Funding-Additional Financing_x000D_
</t>
  </si>
  <si>
    <t>Permanent Funding-Additional Financing</t>
  </si>
  <si>
    <t xml:space="preserve">Permanent Funding-Permanent Financing_x000D_
</t>
  </si>
  <si>
    <t>Permanent Funding-Permanent Financing</t>
  </si>
  <si>
    <t xml:space="preserve">Permanent Funding-Construction Financing_x000D_
</t>
  </si>
  <si>
    <t>Permanent Funding-Construction Financing</t>
  </si>
  <si>
    <t xml:space="preserve">Permanent Funding  Information </t>
  </si>
  <si>
    <t>Total Project Profit</t>
  </si>
  <si>
    <t>Project Profit-Total Offset</t>
  </si>
  <si>
    <t xml:space="preserve">Project Profit-Construction Profit_x000D_
_x000D_
</t>
  </si>
  <si>
    <t>Project Profit-Construction Profit</t>
  </si>
  <si>
    <t xml:space="preserve">Project Profit-Deferred Developer Fees_x000D_
</t>
  </si>
  <si>
    <t>Project Profit-Deferred Developer Fees</t>
  </si>
  <si>
    <t>Project Profit-Dev Fee @ Final Equity Installment</t>
  </si>
  <si>
    <t xml:space="preserve">Project Profit-Dev Fee @ Stabilization Equity Installment_x000D_
</t>
  </si>
  <si>
    <t>Project Profit-Dev Fee @ Stabilization Equity Installment</t>
  </si>
  <si>
    <t>Project Profit-Dev Fee @ 100%  Completion</t>
  </si>
  <si>
    <t>Project Profit-Dev Fee @ 100% Completion</t>
  </si>
  <si>
    <t>Project Profit-Dev Fee @ 75%  Completion</t>
  </si>
  <si>
    <t>Project Profit-Dev Fee @ 50%  Completion</t>
  </si>
  <si>
    <t xml:space="preserve">Project Profit-Dev Fee @ 25%  Completion_x000D_
_x000D_
</t>
  </si>
  <si>
    <t>Project Profit-Dev Fee @ 25%  Completion</t>
  </si>
  <si>
    <t xml:space="preserve">Project Profit-Dev Fee @ Closing_x000D_
</t>
  </si>
  <si>
    <t>Project Profit-Dev Fee @ Closing</t>
  </si>
  <si>
    <t>Project Profit</t>
  </si>
  <si>
    <t>Affordable Stat Accounts</t>
  </si>
  <si>
    <t>Total Sales Stats</t>
  </si>
  <si>
    <t>Total Commission Structure</t>
  </si>
  <si>
    <t>Commission Structure - Total Offset</t>
  </si>
  <si>
    <t>Commission Structure - Outside Broker</t>
  </si>
  <si>
    <t>Commission Structure - In-House Broker</t>
  </si>
  <si>
    <t>Commission Structure</t>
  </si>
  <si>
    <t>Total Commissions-Payout-Outside</t>
  </si>
  <si>
    <t>Commissions-Payout-Outside-Total Offset</t>
  </si>
  <si>
    <t>Commissions-Payout-Outside-Closing</t>
  </si>
  <si>
    <t>Commissions-Payout-Outside-Weather Tight</t>
  </si>
  <si>
    <t>Commissions-Payout-Outside-Floor</t>
  </si>
  <si>
    <t>Commissions-Payout-Outside-Top Off</t>
  </si>
  <si>
    <t>Commissions-Payout-Outside-Groundbreaking</t>
  </si>
  <si>
    <t>Commissions-Payout-Outside-Contract</t>
  </si>
  <si>
    <t>Commissions-Payout-Outside</t>
  </si>
  <si>
    <t>Total Commissions-Payout-InHouse</t>
  </si>
  <si>
    <t>Commissions-Payout-InHouse-Total offset</t>
  </si>
  <si>
    <t>Commissions-Payout-InHouse-Closing</t>
  </si>
  <si>
    <t>Commissions-Payout-InHouse-Weather Tight</t>
  </si>
  <si>
    <t>Commissions-Payout-InHouse-Floor</t>
  </si>
  <si>
    <t>Commissions-Payout-InHouse-Top Off</t>
  </si>
  <si>
    <t>Commissions-Payout-InHouse-Groundbreaking</t>
  </si>
  <si>
    <t>Commissions-Payout-InHouse-Contract</t>
  </si>
  <si>
    <t>Commissions-Payout-InHouse</t>
  </si>
  <si>
    <t>Total Commissions In-House Broker</t>
  </si>
  <si>
    <t>Commissions-Broker-InHouse- Total Offset</t>
  </si>
  <si>
    <t>Commissions-Broker-InHouse-VP</t>
  </si>
  <si>
    <t>Commissions-Broker-InHouse-SalesManager</t>
  </si>
  <si>
    <t>Commissions-Broker-InHouse-InsideAgent</t>
  </si>
  <si>
    <t>Commissions-Broker-InHouse-InsideBroker</t>
  </si>
  <si>
    <t xml:space="preserve">Commissions-Broker-InHouse-RealtyCo_x000D_
_x000D_
</t>
  </si>
  <si>
    <t>Commissions-Broker-InHouse-RealtyCo</t>
  </si>
  <si>
    <t>Commissions In-House Broker</t>
  </si>
  <si>
    <t>Total Deposit Structure</t>
  </si>
  <si>
    <t>Deposit - Total Offset</t>
  </si>
  <si>
    <t>Deposit - Top Off</t>
  </si>
  <si>
    <t>Deposit - Floor</t>
  </si>
  <si>
    <t>Deposit - Groundbreaking</t>
  </si>
  <si>
    <t>Deposits - Contract</t>
  </si>
  <si>
    <t>Deposits - Reservation</t>
  </si>
  <si>
    <t>Deposit Structure</t>
  </si>
  <si>
    <t>Sales Stats Accounts</t>
  </si>
  <si>
    <t>Total Unit Stats</t>
  </si>
  <si>
    <t>Total Units - Gross SqFt</t>
  </si>
  <si>
    <t xml:space="preserve">Units - Gross SqFt - Total Offset_x000D_
</t>
  </si>
  <si>
    <t>Units - Gross SqFt - Total Offset</t>
  </si>
  <si>
    <t>Units - Gross SqFt</t>
  </si>
  <si>
    <t>Total Units - Leasable SqFt</t>
  </si>
  <si>
    <t>Units - Leasable SqFt - Total Offset</t>
  </si>
  <si>
    <t>Units - Leasable SqFt - Hotel</t>
  </si>
  <si>
    <t>Units - Leasable SqFt - Commercial</t>
  </si>
  <si>
    <t>Units - Leasable SqFt - Residential</t>
  </si>
  <si>
    <t>Units - Leasable SqFt</t>
  </si>
  <si>
    <t>Total Units - Sellable SqFt</t>
  </si>
  <si>
    <t xml:space="preserve">Units - SellableSqFt - Total Offset_x000D_
_x000D_
_x000D_
_x000D_
_x000D_
_x000D_
 </t>
  </si>
  <si>
    <t>Units - SellableSqFt - Total Offset</t>
  </si>
  <si>
    <t xml:space="preserve">Units - Sellable SqFt - condo hotel suites_x000D_
</t>
  </si>
  <si>
    <t>Units - Sellable SqFt - condo hotel suites</t>
  </si>
  <si>
    <t>Units - Sellable SqFt - townhomes</t>
  </si>
  <si>
    <t>Units - Sellable SqFt - cabanas</t>
  </si>
  <si>
    <t xml:space="preserve">Units - Sellable SqFt - marina boat slips_x000D_
</t>
  </si>
  <si>
    <t>Units - Sellable SqFt - marina boat slips</t>
  </si>
  <si>
    <t xml:space="preserve">Units - Sellable SqFt - units upgrades_x000D_
</t>
  </si>
  <si>
    <t>Units - Sellable SqFt - units upgrades</t>
  </si>
  <si>
    <t xml:space="preserve">Units - Sellable SqFt - Parking units_x000D_
</t>
  </si>
  <si>
    <t>Units - Sellable SqFt - parking units</t>
  </si>
  <si>
    <t>Units - Sellable SqFt - storage units</t>
  </si>
  <si>
    <t xml:space="preserve">Units - Sellable SqFt - condo units_x000D_
</t>
  </si>
  <si>
    <t>Units - Sellable SqFt - condo units</t>
  </si>
  <si>
    <t>Units - Sellable SqFt - hotel rooms</t>
  </si>
  <si>
    <t>Units - Sellable SqFt - commercial</t>
  </si>
  <si>
    <t>Units - Sellable SqFt - residential</t>
  </si>
  <si>
    <t>Units - Sellable SqFt</t>
  </si>
  <si>
    <t>Total Units - Land Acres</t>
  </si>
  <si>
    <t xml:space="preserve">Units - Land Acres - Total Offset_x000D_
_x000D_
_x000D_
_x000D_
_x000D_
_x000D_
</t>
  </si>
  <si>
    <t>Units - Land Acres - Total Offset</t>
  </si>
  <si>
    <t>Units - Land Acres</t>
  </si>
  <si>
    <t>Total $Volume - Boat Slip</t>
  </si>
  <si>
    <t>$Volume - Boat Slip - Total Offset</t>
  </si>
  <si>
    <t xml:space="preserve">$Volume - Boat Slip - Sales - Closings_x000D_
_x000D_
_x000D_
 </t>
  </si>
  <si>
    <t>$Volume - Boat Slip - Sales - Closings</t>
  </si>
  <si>
    <t xml:space="preserve">$Volume - Boat Slip - Sales - Hard Contracts_x000D_
_x000D_
_x000D_
_x000D_
_x000D_
_x000D_
_x000D_
_x000D_
</t>
  </si>
  <si>
    <t>$Volume - Boat Slip - Sales - Hard Contracts</t>
  </si>
  <si>
    <t xml:space="preserve">$Volume - Boat Slip - Sales - Soft Contracts_x000D_
_x000D_
_x000D_
_x000D_
_x000D_
_x000D_
_x000D_
 </t>
  </si>
  <si>
    <t>$Volume - Boat Slip - Sales - Soft Contracts</t>
  </si>
  <si>
    <t xml:space="preserve">$Volume - Boat Slip - Reservations_x000D_
</t>
  </si>
  <si>
    <t>$Volume - Boat Slip - Reservations</t>
  </si>
  <si>
    <t>$Volume - Boat Slip - Unsold</t>
  </si>
  <si>
    <t>$Volume - Boat Slip</t>
  </si>
  <si>
    <t>Total Units - Boat Slip</t>
  </si>
  <si>
    <t xml:space="preserve">Units - Boat Slip - Total Offset_x000D_
_x000D_
</t>
  </si>
  <si>
    <t>Units - Boat Slip - Total Offset</t>
  </si>
  <si>
    <t xml:space="preserve">Units - Boat Slip - Sales - Closings_x000D_
_x000D_
_x000D_
_x000D_
 </t>
  </si>
  <si>
    <t>Units - Boat Slip - Sales - Closings</t>
  </si>
  <si>
    <t xml:space="preserve">Units - Boat Slip - Sales - Hard Contracts_x000D_
_x000D_
_x000D_
_x000D_
 </t>
  </si>
  <si>
    <t>Units - Boat Slip - Sales - Hard Contracts</t>
  </si>
  <si>
    <t xml:space="preserve">Units - Boat Slip - Sales - Soft Contracts_x000D_
_x000D_
_x000D_
 </t>
  </si>
  <si>
    <t>Units - Boat Slip - Sales - Soft Contracts</t>
  </si>
  <si>
    <t xml:space="preserve">Units - Boat Slip - Reservations_x000D_
</t>
  </si>
  <si>
    <t>Units - Boat Slip - Reservations</t>
  </si>
  <si>
    <t>Units - Boat Slip - Unsold</t>
  </si>
  <si>
    <t>Units - Boat Slip</t>
  </si>
  <si>
    <t>Total $Volume - Parking Space</t>
  </si>
  <si>
    <t xml:space="preserve">$Volume - Parking Space - Total Offset_x000D_
_x000D_
_x000D_
_x000D_
_x000D_
 </t>
  </si>
  <si>
    <t>$Volume - Parking Space - Total Offset</t>
  </si>
  <si>
    <t xml:space="preserve">$Volume - Parking Space - Sales - Closings_x000D_
_x000D_
_x000D_
_x000D_
_x000D_
_x000D_
_x000D_
_x000D_
 </t>
  </si>
  <si>
    <t>$Volume - Parking Space - Sales - Closings</t>
  </si>
  <si>
    <t xml:space="preserve">$Volume - Parking Space - Sales - Hard Contracts_x000D_
_x000D_
_x000D_
_x000D_
_x000D_
</t>
  </si>
  <si>
    <t>$Volume - Parking Space - Sales - Hard Contracts</t>
  </si>
  <si>
    <t xml:space="preserve">$Volume - Parking Space - Sales - Soft Contracts_x000D_
_x000D_
_x000D_
_x000D_
</t>
  </si>
  <si>
    <t>$Volume - Parking Space - Sales - Soft Contracts</t>
  </si>
  <si>
    <t xml:space="preserve">$Volume - Parking Space - Reservations_x000D_
_x000D_
_x000D_
_x000D_
 </t>
  </si>
  <si>
    <t>$Volume - Parking Space - Reservations</t>
  </si>
  <si>
    <t>$Volume - Parking Space - Unsold</t>
  </si>
  <si>
    <t>$Volume - Parking Space</t>
  </si>
  <si>
    <t>Total Units - Parking Space</t>
  </si>
  <si>
    <t xml:space="preserve">Units - Parking Space - Total Offset_x000D_
_x000D_
_x000D_
_x000D_
_x000D_
_x000D_
_x000D_
_x000D_
 </t>
  </si>
  <si>
    <t>Units - Parking Space - Total Offset</t>
  </si>
  <si>
    <t xml:space="preserve">Units - Parking Space - Sales - Closings_x000D_
_x000D_
_x000D_
_x000D_
_x000D_
 </t>
  </si>
  <si>
    <t>Units - Parking Space - Sales - Closings</t>
  </si>
  <si>
    <t xml:space="preserve">Units - Parking Space - Sales - Hard Contracts_x000D_
_x000D_
_x000D_
</t>
  </si>
  <si>
    <t>Units - Parking Space - Sales - Hard Contracts</t>
  </si>
  <si>
    <t xml:space="preserve">Units - Parking Space - Sales - Soft Contracts_x000D_
_x000D_
</t>
  </si>
  <si>
    <t>Units - Parking Space - Sales - Soft Contracts</t>
  </si>
  <si>
    <t xml:space="preserve">Units - Parking Space - Reservations_x000D_
_x000D_
_x000D_
_x000D_
_x000D_
_x000D_
_x000D_
 </t>
  </si>
  <si>
    <t>Units - Parking Space - Reservations</t>
  </si>
  <si>
    <t>Units - Parking Space - Unsold</t>
  </si>
  <si>
    <t>Units - Parking Space</t>
  </si>
  <si>
    <t>Total $Volume - Cabana</t>
  </si>
  <si>
    <t xml:space="preserve">$Volume - Cabana - Total Offset_x000D_
</t>
  </si>
  <si>
    <t>$Volume - Cabana - Total Offset</t>
  </si>
  <si>
    <t xml:space="preserve">$Volume - Cabana - Sales - Closings_x000D_
_x000D_
_x000D_
_x000D_
 </t>
  </si>
  <si>
    <t>$Volume - Cabana - Sales - Closings</t>
  </si>
  <si>
    <t xml:space="preserve">$Volume - Cabana - Sales - Hard Contracts_x000D_
_x000D_
_x000D_
_x000D_
_x000D_
_x000D_
_x000D_
 </t>
  </si>
  <si>
    <t>$Volume - Cabana - Sales - Hard Contracts</t>
  </si>
  <si>
    <t xml:space="preserve">$Volume - Cabana - Sales - Soft Contracts_x000D_
_x000D_
_x000D_
_x000D_
_x000D_
_x000D_
 </t>
  </si>
  <si>
    <t>$Volume - Cabana - Sales - Soft Contracts</t>
  </si>
  <si>
    <t>$Volume - Cabana - Reservations</t>
  </si>
  <si>
    <t>$Volume - Cabana - Unsold</t>
  </si>
  <si>
    <t>$Volume - Cabana</t>
  </si>
  <si>
    <t>Total Units - Cabana</t>
  </si>
  <si>
    <t>Units - Cabana - Total Offset</t>
  </si>
  <si>
    <t xml:space="preserve">Units - Cabana - Sales - Closings_x000D_
_x000D_
_x000D_
_x000D_
_x000D_
</t>
  </si>
  <si>
    <t>Units - Cabana - Sales - Closings</t>
  </si>
  <si>
    <t xml:space="preserve">Units - Cabana - Sales - Hard Contracts_x000D_
_x000D_
_x000D_
_x000D_
_x000D_
_x000D_
 </t>
  </si>
  <si>
    <t>Units - Cabana - Sales - Hard Contracts</t>
  </si>
  <si>
    <t xml:space="preserve">Units - Cabana - Sales - Soft Contracts_x000D_
_x000D_
_x000D_
_x000D_
_x000D_
 </t>
  </si>
  <si>
    <t>Units - Cabana - Sales - Soft Contracts</t>
  </si>
  <si>
    <t>Units - Cabana - Reservations</t>
  </si>
  <si>
    <t>Units - Cabana - Unsold</t>
  </si>
  <si>
    <t>Units - Cabana</t>
  </si>
  <si>
    <t>Total $Volume - Townhomes</t>
  </si>
  <si>
    <t xml:space="preserve">$Volume - Townhomes- Total Offset_x000D_
</t>
  </si>
  <si>
    <t>$Volume - Townhomes- Total Offset</t>
  </si>
  <si>
    <t>$Volume - Townhomes- Sales - Closings</t>
  </si>
  <si>
    <t>$Volume - Townhomes- Sales - Hard Contracts</t>
  </si>
  <si>
    <t>$Volume - Townhomes- Sales - Soft Contracts</t>
  </si>
  <si>
    <t xml:space="preserve">$Volume - Townhomes- Reservations_x000D_
</t>
  </si>
  <si>
    <t>$Volume - Townhomes- Reservations</t>
  </si>
  <si>
    <t>$Volume - Townhomes- Unsold</t>
  </si>
  <si>
    <t>$Volume - Townhomes</t>
  </si>
  <si>
    <t>Total Units - Townhomes</t>
  </si>
  <si>
    <t xml:space="preserve">Units - Townhomes- Total Offset_x000D_
</t>
  </si>
  <si>
    <t>Units - Townhomes- Total Offset</t>
  </si>
  <si>
    <t xml:space="preserve">Units - Townhomes- Sales - Closings_x000D_
</t>
  </si>
  <si>
    <t>Units - Townhomes- Sales - Closings</t>
  </si>
  <si>
    <t>Units - Townhomes- Sales - Hard Contracts</t>
  </si>
  <si>
    <t xml:space="preserve">Units - Townhomes- Sales - Soft Contracts_x000D_
</t>
  </si>
  <si>
    <t>Units - Townhomes- Sales - Soft Contracts</t>
  </si>
  <si>
    <t>Units - Townhomes- Reservations</t>
  </si>
  <si>
    <t>Units - Townhomes- Unsold</t>
  </si>
  <si>
    <t>Units - Townhomes</t>
  </si>
  <si>
    <t>Total $Volume - Hotel Rooms</t>
  </si>
  <si>
    <t xml:space="preserve">$Volume - Hotel Rooms- Total Offset_x000D_
</t>
  </si>
  <si>
    <t>$Volume - Hotel Rooms- Total Offset</t>
  </si>
  <si>
    <t>$Volume - Hotel Rooms- Sales - Closings</t>
  </si>
  <si>
    <t>$Volume - Hotel Rooms- Sales - Soft Contracts</t>
  </si>
  <si>
    <t>$Volume - Hotel Rooms- Sales - Hard Contracts</t>
  </si>
  <si>
    <t>$Volume - Hotel Rooms- Reservations</t>
  </si>
  <si>
    <t>$Volume - Hotel Rooms- Unsold</t>
  </si>
  <si>
    <t>$Volume - Hotel Rooms</t>
  </si>
  <si>
    <t>Total Units - Hotel Rooms</t>
  </si>
  <si>
    <t xml:space="preserve">Units - Hotel Rooms- Total Offset_x000D_
</t>
  </si>
  <si>
    <t>Units - Hotel Rooms- Total Offset</t>
  </si>
  <si>
    <t xml:space="preserve">Units - Hotel Rooms- Sales - Closings_x000D_
_x000D_
</t>
  </si>
  <si>
    <t>Units - Hotel Rooms- Sales - Closings</t>
  </si>
  <si>
    <t xml:space="preserve">Units - Hotel Rooms- Sales - Hard Contracts_x000D_
</t>
  </si>
  <si>
    <t>Units - Hotel Rooms- Sales - Hard Contracts</t>
  </si>
  <si>
    <t>Units - Hotel Rooms- Sales - Soft Contracts</t>
  </si>
  <si>
    <t>Units - Hotel Rooms- Reservations</t>
  </si>
  <si>
    <t>Units - Hotel Rooms- Unsold</t>
  </si>
  <si>
    <t>Units - Hotel Rooms</t>
  </si>
  <si>
    <t>Total $Volume - Hotel Suites</t>
  </si>
  <si>
    <t>$Volume - Hotel Suites- Total Offset</t>
  </si>
  <si>
    <t>$Volume - Hotel Suites - Sales - Closings</t>
  </si>
  <si>
    <t>$Volume - Hotel Suites - Sales - Hard Contracts</t>
  </si>
  <si>
    <t>$Volume - Hotel Suites - Sales - Soft Contracts</t>
  </si>
  <si>
    <t>$Volume - Hotel Suites - Reservations</t>
  </si>
  <si>
    <t>$Volume - Hotel Suites - Unsold</t>
  </si>
  <si>
    <t>$Volume - Hotel Suites</t>
  </si>
  <si>
    <t>Total Units - Hotel Suites</t>
  </si>
  <si>
    <t>Units - Hotel Suites- Total Offset</t>
  </si>
  <si>
    <t>Units - Hotel Suites - Sales - Closings</t>
  </si>
  <si>
    <t>Units - Hotel Suites - Sales - Hard Contracts</t>
  </si>
  <si>
    <t>Units - Hotel Suites - Sales - Soft Contracts</t>
  </si>
  <si>
    <t>Units - Hotel Suites - Reservations</t>
  </si>
  <si>
    <t>Units - Hotel Suites - Unsold</t>
  </si>
  <si>
    <t>Units - Hotel Suites</t>
  </si>
  <si>
    <t>Total Units - Commercial</t>
  </si>
  <si>
    <t>Units - Commercial - Leasable - Total Offset</t>
  </si>
  <si>
    <t>Units - Commercial - Leasable</t>
  </si>
  <si>
    <t>Units - Commercial</t>
  </si>
  <si>
    <t>Total $Volume - Commercial</t>
  </si>
  <si>
    <t xml:space="preserve">$Volume - Commercial - Total Offset_x000D_
_x000D_
_x000D_
 </t>
  </si>
  <si>
    <t>$Volume - Commercial - Total Offset</t>
  </si>
  <si>
    <t xml:space="preserve">$Volume - Commercial - Sales - Closings_x000D_
_x000D_
_x000D_
_x000D_
 </t>
  </si>
  <si>
    <t>$Volume - Commercial - Sales - Closings</t>
  </si>
  <si>
    <t xml:space="preserve">$Volume - Commercial - Sales - Hard Contracts_x000D_
</t>
  </si>
  <si>
    <t>$Volume - Commercial - Sales - Hard Contracts</t>
  </si>
  <si>
    <t>$Volume - Commercial - Sales - Soft Contracts</t>
  </si>
  <si>
    <t xml:space="preserve">$Volume - Commercial - Reservations_x000D_
_x000D_
 </t>
  </si>
  <si>
    <t>$Volume - Commercial - Reservations</t>
  </si>
  <si>
    <t>$Volume - Commercial - Unsold</t>
  </si>
  <si>
    <t>$Volume - Commercial</t>
  </si>
  <si>
    <t>Total Units - Commerical</t>
  </si>
  <si>
    <t xml:space="preserve">Units - Commerical - Total Offset_x000D_
_x000D_
_x000D_
_x000D_
</t>
  </si>
  <si>
    <t>Units - Commerical - Total Offset</t>
  </si>
  <si>
    <t xml:space="preserve">Units - Commercial - Sales - Closings_x000D_
_x000D_
_x000D_
_x000D_
_x000D_
 </t>
  </si>
  <si>
    <t>Units - Commercial - Sales - Closings</t>
  </si>
  <si>
    <t xml:space="preserve">Units - Commercial - Sales - Hard Contracts_x000D_
_x000D_
_x000D_
_x000D_
_x000D_
_x000D_
 </t>
  </si>
  <si>
    <t>Units - Commercial - Sales - Hard Contracts</t>
  </si>
  <si>
    <t xml:space="preserve">Units - Commercial - Sales - Soft Contracts_x000D_
_x000D_
_x000D_
_x000D_
_x000D_
 </t>
  </si>
  <si>
    <t>Units - Commercial - Sales - Soft Contracts</t>
  </si>
  <si>
    <t xml:space="preserve">Units - Commercial - Reservations_x000D_
_x000D_
_x000D_
</t>
  </si>
  <si>
    <t>Units - Commercial - Reservations</t>
  </si>
  <si>
    <t>Units - Commercial - Unsold</t>
  </si>
  <si>
    <t>Total Units - Residential</t>
  </si>
  <si>
    <t>Units - Residential - Leasable - Total Offset</t>
  </si>
  <si>
    <t xml:space="preserve">Units - Residential - Leasable _x000D_
</t>
  </si>
  <si>
    <t>Units - Residential - Leasable</t>
  </si>
  <si>
    <t>Units - Residential</t>
  </si>
  <si>
    <t>Total $Volume - Condo</t>
  </si>
  <si>
    <t>$Volume - Condo - Total Offset</t>
  </si>
  <si>
    <t xml:space="preserve">$Volume - Condo - Sales - Closings_x000D_
_x000D_
</t>
  </si>
  <si>
    <t>$Volume - Condo - Sales - Closings</t>
  </si>
  <si>
    <t xml:space="preserve">$Volume - Condo - Sales - Hard Contracts_x000D_
_x000D_
_x000D_
_x000D_
 </t>
  </si>
  <si>
    <t>$Volume - Condo - Sales - Hard Contracts</t>
  </si>
  <si>
    <t xml:space="preserve">$Volume - Condo - Sales - Soft Contracts_x000D_
_x000D_
_x000D_
 </t>
  </si>
  <si>
    <t>$Volume - Condo - Sales - Soft Contracts</t>
  </si>
  <si>
    <t>$Volume - Condo - Reservations</t>
  </si>
  <si>
    <t>$Volume - Condo - Unsold</t>
  </si>
  <si>
    <t>$Volume - Condo</t>
  </si>
  <si>
    <t>Total Units - Condo</t>
  </si>
  <si>
    <t>Units - Condo - Total Offset</t>
  </si>
  <si>
    <t>Units - Condo - Sales - Closings</t>
  </si>
  <si>
    <t xml:space="preserve">Units - Condo - Sales - Hard Contracts_x000D_
_x000D_
_x000D_
 </t>
  </si>
  <si>
    <t>Units - Condo - Sales - Hard Contracts</t>
  </si>
  <si>
    <t xml:space="preserve">Units - Condo - Sales - Soft Contracts_x000D_
_x000D_
 </t>
  </si>
  <si>
    <t>Units - Condo - Sales - Soft Contracts</t>
  </si>
  <si>
    <t>Units - Condo - Reservations</t>
  </si>
  <si>
    <t>Units - Condo - Unsold</t>
  </si>
  <si>
    <t>Units - Condo</t>
  </si>
  <si>
    <t>Stat Accounts</t>
  </si>
  <si>
    <t>NET INCOME (LOSS)</t>
  </si>
  <si>
    <t>TOTAL NON-OP INCOME (LOSS)</t>
  </si>
  <si>
    <t>TOTAL DISCONTINUED OPERATIONS</t>
  </si>
  <si>
    <t>Total Disc Ops-Non-Operating</t>
  </si>
  <si>
    <t>Disc Ops-Non-Op Expenses</t>
  </si>
  <si>
    <t>Disc Ops-Non-Op Revenue</t>
  </si>
  <si>
    <t>Disc Ops-Non-Operating</t>
  </si>
  <si>
    <t>Total Disc Ops-Operating</t>
  </si>
  <si>
    <t>Disc Ops-Op Expenses</t>
  </si>
  <si>
    <t>Disc Ops-Op Revenue</t>
  </si>
  <si>
    <t>Disc Ops-Operating</t>
  </si>
  <si>
    <t>DISCONTINUED OPERATIONS</t>
  </si>
  <si>
    <t>TOTAL GAINS (LOSSES)</t>
  </si>
  <si>
    <t>Total Gain (Loss)-Other</t>
  </si>
  <si>
    <t>Total Minority Interest In Earnings</t>
  </si>
  <si>
    <t>CP Min Interest in Earnings</t>
  </si>
  <si>
    <t>Current Period Minority Interest in Earnings</t>
  </si>
  <si>
    <t>Minority Interest In Earnings</t>
  </si>
  <si>
    <t>Total Other Gains (Losses)-Currency</t>
  </si>
  <si>
    <t xml:space="preserve">Other Gains (Losses)-Currency-Unrealized_x000D_
</t>
  </si>
  <si>
    <t>Other Gains (Losses)-Currency-Unrealized</t>
  </si>
  <si>
    <t>Other Gains (Losses)-Currency-Realized</t>
  </si>
  <si>
    <t>Other Gains (Losses)-Currency</t>
  </si>
  <si>
    <t>Total Other Gains (Losses)-Art</t>
  </si>
  <si>
    <t>Total Other Gains (Losses)-Art-Long Term</t>
  </si>
  <si>
    <t>Other Gains (Losses)-Art-Long Term-COS</t>
  </si>
  <si>
    <t>Other Gains (Losses)-Art-Long Term-Proceeds</t>
  </si>
  <si>
    <t>Other Gains (Losses)-Art-Long Term</t>
  </si>
  <si>
    <t>Total Other Gains (Losses)-Art-Short Term</t>
  </si>
  <si>
    <t>Other Gains (Losses)-Art-Short Term-COS</t>
  </si>
  <si>
    <t>Other Gains (Losses)-Art-Short Term-Proceeds</t>
  </si>
  <si>
    <t>Other Gains (Losses)-Art-Short Term</t>
  </si>
  <si>
    <t>Other Gains (Losses)-Art</t>
  </si>
  <si>
    <t>Total Other Gains (Losses)-Land</t>
  </si>
  <si>
    <t>Other Gains (Losses)-Land-COS</t>
  </si>
  <si>
    <t>Other Gains (Losses)-Land-Proceeds</t>
  </si>
  <si>
    <t>Other Gains (Losses)-Land</t>
  </si>
  <si>
    <t>Gain (Loss)-Other</t>
  </si>
  <si>
    <t>Total Gain (Loss)-Debt Restructure</t>
  </si>
  <si>
    <t>Total Principal Restrcture-N/R</t>
  </si>
  <si>
    <t>Restructure-N/R-Affiliate</t>
  </si>
  <si>
    <t>Restructure-N/R-Promissory</t>
  </si>
  <si>
    <t>Principal Restructure-N/R</t>
  </si>
  <si>
    <t>Total I/R Restructure-N/R</t>
  </si>
  <si>
    <t>I/R Restructure-N/R-Affiliate</t>
  </si>
  <si>
    <t>I/R Restructure-N/R-Promissory</t>
  </si>
  <si>
    <t>I/R Restructure-N/R</t>
  </si>
  <si>
    <t>Total Prin Rstrcture-N/P &amp; LOC</t>
  </si>
  <si>
    <t>Restructure-LOC-Affiliate</t>
  </si>
  <si>
    <t>Restructure-LOC-Unsecured</t>
  </si>
  <si>
    <t>Restructure-LOC-Secured</t>
  </si>
  <si>
    <t>Restructure-N/P-Affiliate</t>
  </si>
  <si>
    <t>Restructure-N/P-Promissory</t>
  </si>
  <si>
    <t>Principal Restrcture-N/P &amp; LOC</t>
  </si>
  <si>
    <t>Total I/P Restrcture-N/P &amp; LOC</t>
  </si>
  <si>
    <t>I/P Restructure-LOC-Affiliate</t>
  </si>
  <si>
    <t>I/P Restructure-LOC-Unsecured</t>
  </si>
  <si>
    <t>I/P Restructure-LOC-Secured</t>
  </si>
  <si>
    <t>I/P Restructure-N/P-Affiliate</t>
  </si>
  <si>
    <t>I/P Restructure-N/P-Promissory</t>
  </si>
  <si>
    <t>I/P Restructure-N/P &amp; LOC</t>
  </si>
  <si>
    <t>Gain (Loss)-Debt Restructure</t>
  </si>
  <si>
    <t>Total Gain (Loss) Sale-Fixed Assets</t>
  </si>
  <si>
    <t>Total Gain on Sale Contra</t>
  </si>
  <si>
    <t>Gain on Sale Contra-FA</t>
  </si>
  <si>
    <t>Gain on Sale Contra</t>
  </si>
  <si>
    <t>Total Selling Expense</t>
  </si>
  <si>
    <t>FA-Selling Expense-XClosing</t>
  </si>
  <si>
    <t>FA-Selling Expense-Closing</t>
  </si>
  <si>
    <t>Selling Expense</t>
  </si>
  <si>
    <t>Total Cost of Sales</t>
  </si>
  <si>
    <t>COS-Imp-Fixed Assets</t>
  </si>
  <si>
    <t>COS-A/A-FA-Vehicles</t>
  </si>
  <si>
    <t>COS-A/A-FA-Computer Software</t>
  </si>
  <si>
    <t>COS-A/D-FA-Computer Hardware</t>
  </si>
  <si>
    <t>COS-A/D-FA-Equipment</t>
  </si>
  <si>
    <t>COS-A/D-FA-Furniture</t>
  </si>
  <si>
    <t>COS-A/D-FA-Leasehold Improve</t>
  </si>
  <si>
    <t>COS-FA-Vehicles</t>
  </si>
  <si>
    <t>COS-FA-Computer Software</t>
  </si>
  <si>
    <t>COS-FA-Computer Hardware</t>
  </si>
  <si>
    <t>COS-FA-Equipment</t>
  </si>
  <si>
    <t>COS-FA-Furniture</t>
  </si>
  <si>
    <t>COS-FA-Leasehold Improvements</t>
  </si>
  <si>
    <t>Cost of Sales</t>
  </si>
  <si>
    <t>Total Sale Proceeds</t>
  </si>
  <si>
    <t>FA-Gross Sale Proceeds</t>
  </si>
  <si>
    <t>Sale Proceeds</t>
  </si>
  <si>
    <t>Gain (Loss) Sale-Fixed Assets</t>
  </si>
  <si>
    <t>Total Gain (Loss) Sale-Operating Property</t>
  </si>
  <si>
    <t>Gain on Sale Contra-OP</t>
  </si>
  <si>
    <t>OP-Selling Expense-XClosing</t>
  </si>
  <si>
    <t>OP-Selling Expense-Closing</t>
  </si>
  <si>
    <t>Total COS-Intangible Org Cost</t>
  </si>
  <si>
    <t>COS-A/A-Intangible-Asset Fees</t>
  </si>
  <si>
    <t>COS-Intangible-Asset Fees</t>
  </si>
  <si>
    <t>COS-A/A-Intangible-Org Cost</t>
  </si>
  <si>
    <t>COS-Intangible-Org Cost</t>
  </si>
  <si>
    <t>COS-Intangible Org Cost</t>
  </si>
  <si>
    <t>Total COS-Def Financing Fee</t>
  </si>
  <si>
    <t>COS-A/A-Loan Fee-LOC-Affiliate</t>
  </si>
  <si>
    <t>COS-A/A-Loan Fee-LOC-Unsecured</t>
  </si>
  <si>
    <t>COS-A/A-Loan Fee-LOC-Secured</t>
  </si>
  <si>
    <t>COS-A/A-Loan Fee-N/P-Affiliate</t>
  </si>
  <si>
    <t>COS-A/A-Loan Fee-N/P-Prom</t>
  </si>
  <si>
    <t>COS-Loan Fee-LOC-Affiliate</t>
  </si>
  <si>
    <t>COS-Loan Fee-LOC-Unsecured</t>
  </si>
  <si>
    <t>COS-Loan Fee-LOC-Secured</t>
  </si>
  <si>
    <t>COS-Loan Fee-N/P-Affiliate</t>
  </si>
  <si>
    <t>COS-Loan Fee-N/P-Promissory</t>
  </si>
  <si>
    <t>COS-Deferred Financing Fee</t>
  </si>
  <si>
    <t>Total COS-Intangible Lease</t>
  </si>
  <si>
    <t>COS-A/A-Below Mkt Ground Lease</t>
  </si>
  <si>
    <t>COS-A/A-Below Market Rents</t>
  </si>
  <si>
    <t>COS-Below Market Ground Lease</t>
  </si>
  <si>
    <t>COS-Below Market Rents</t>
  </si>
  <si>
    <t>COS-A/A-Above Mkt Ground Lease</t>
  </si>
  <si>
    <t>COS-A/A-Above Market Rents</t>
  </si>
  <si>
    <t>COS-Above Market Ground Lease</t>
  </si>
  <si>
    <t>COS-Above Market Rents</t>
  </si>
  <si>
    <t>COS-Intangible Lease</t>
  </si>
  <si>
    <t>Total COS-RE Held for Sale</t>
  </si>
  <si>
    <t>COS-Intangible Assets Held Sale</t>
  </si>
  <si>
    <t>COS-RE Held Sale</t>
  </si>
  <si>
    <t>COS-RE Held for Sale</t>
  </si>
  <si>
    <t>OP-Gross Sale Proceeds</t>
  </si>
  <si>
    <t>Gain (Loss) Sale-Operating Property</t>
  </si>
  <si>
    <t>Total Gain (Loss) Inv in Securities-AFS</t>
  </si>
  <si>
    <t>Inv in Mkt Securities-AFS-Selling Exp-XClosing</t>
  </si>
  <si>
    <t>Inv in Mkt Securities-AFS-Selling Exp-Closing</t>
  </si>
  <si>
    <t>COS-Inv in Mkt Securities-AFS</t>
  </si>
  <si>
    <t>Total Sales Proceeds</t>
  </si>
  <si>
    <t>Inv In Mkt Sec-AFS-Sales Proceeds</t>
  </si>
  <si>
    <t>Gain (Loss) Inv in Securities-AFS</t>
  </si>
  <si>
    <t>Total Gain (Loss) Sale-Uncon Ptr Inv</t>
  </si>
  <si>
    <t>Gain on Sale Contra-Uncon</t>
  </si>
  <si>
    <t>Uncon-Selling Expense-XClosing</t>
  </si>
  <si>
    <t>Uncon-Selling Expense-Closing</t>
  </si>
  <si>
    <t>COS-Imp-Uncon Partner Invest</t>
  </si>
  <si>
    <t>COS-Uncon Partner Inv Outside</t>
  </si>
  <si>
    <t>COS-Uncon Partnership Invest</t>
  </si>
  <si>
    <t>Uncon-Gross Sale Proceeds</t>
  </si>
  <si>
    <t>Gain (Loss) Sale-Uncon Ptr Inv</t>
  </si>
  <si>
    <t>Total Gain (Loss) Sale-Conso Ptr Inv</t>
  </si>
  <si>
    <t>Gain on Sale Contra-Conso</t>
  </si>
  <si>
    <t>Conso-Selling Expense-XClosing</t>
  </si>
  <si>
    <t>Conso-Selling Expense-Closing</t>
  </si>
  <si>
    <t>COS-Conso Partnership Invest</t>
  </si>
  <si>
    <t>Conso-Gross Sale Proceeds</t>
  </si>
  <si>
    <t>Gain (Loss) Sale-Conso Ptr Inv</t>
  </si>
  <si>
    <t>Total Gain (Loss) Sale-Notes Rec</t>
  </si>
  <si>
    <t>Gain on Sale Contra-N/R</t>
  </si>
  <si>
    <t>N/R-Selling Expense-XClosing</t>
  </si>
  <si>
    <t>N/R-Selling Expense-Closing</t>
  </si>
  <si>
    <t>COS-A/A-Loan Fee-N/R-Affiliate</t>
  </si>
  <si>
    <t>COS-A/A-Loan Fee-N/R-Prom</t>
  </si>
  <si>
    <t>COS-Loan Fee-N/R-Affiliate</t>
  </si>
  <si>
    <t>COS-Loan Fee-N/R-Promissory</t>
  </si>
  <si>
    <t>COS-N/R-Affiliate Disc/Prem</t>
  </si>
  <si>
    <t>COS-N/R-Affiliate</t>
  </si>
  <si>
    <t>COS-N/R-Promissory Disc/Prem</t>
  </si>
  <si>
    <t>COS-N/R-Promissory Outside</t>
  </si>
  <si>
    <t>COS-N/R-Promissory</t>
  </si>
  <si>
    <t>N/R-Gross Sale Proceeds</t>
  </si>
  <si>
    <t>Gain (Loss) Sale-Notes Rec</t>
  </si>
  <si>
    <t>GAINS (LOSSES)</t>
  </si>
  <si>
    <t>TOTAL NON-OPERATING EXPENSES</t>
  </si>
  <si>
    <t>Total Federal &amp; State Income Tax</t>
  </si>
  <si>
    <t>Total Fed-State-Foreign Tax</t>
  </si>
  <si>
    <t>Foreign Income Tax</t>
  </si>
  <si>
    <t>Income Tax Benefit/Provision</t>
  </si>
  <si>
    <t>State Income Tax</t>
  </si>
  <si>
    <t>Federal Income Tax</t>
  </si>
  <si>
    <t>Federal-State-Foreign Tax</t>
  </si>
  <si>
    <t>Federal &amp; State Income Tax</t>
  </si>
  <si>
    <t>Total Noncontrolling Interest</t>
  </si>
  <si>
    <t>Noncontrolling Interest</t>
  </si>
  <si>
    <t>Total Impairment Loss</t>
  </si>
  <si>
    <t>Total Imp-Uncon Partnr Invest</t>
  </si>
  <si>
    <t>Imp Loss-Uncon Partner Invest</t>
  </si>
  <si>
    <t>Impairment-Uncon Partnr Invest</t>
  </si>
  <si>
    <t>Total Impairment-Property</t>
  </si>
  <si>
    <t>Imp Loss-Fixed Assets</t>
  </si>
  <si>
    <t>Imp Loss-Operating Property</t>
  </si>
  <si>
    <t>Imp Loss-Vertical Development-Relief</t>
  </si>
  <si>
    <t>Imp Loss-Undeveloped Land</t>
  </si>
  <si>
    <t>Impairment-Property</t>
  </si>
  <si>
    <t>Total Imp-Goodwill&amp;Intangible</t>
  </si>
  <si>
    <t>Imp Loss-Intangible-Cust Relat</t>
  </si>
  <si>
    <t>Imp Loss-Intangible-Trade Name</t>
  </si>
  <si>
    <t>Imp Loss-Goodwill-Assem Wkfrce</t>
  </si>
  <si>
    <t>Imp Loss-Goodwill-General</t>
  </si>
  <si>
    <t>Impairment-Goodwill&amp;Intangible</t>
  </si>
  <si>
    <t>Impairment Loss</t>
  </si>
  <si>
    <t>Total Asset Management Fee</t>
  </si>
  <si>
    <t>Servicer Fees</t>
  </si>
  <si>
    <t>Advisory Fee</t>
  </si>
  <si>
    <t>Asset Management Fee</t>
  </si>
  <si>
    <t>Total Acquisition Cost</t>
  </si>
  <si>
    <t>Total Acq Cost</t>
  </si>
  <si>
    <t>Acquisition Costs-XClosing</t>
  </si>
  <si>
    <t>Acquisition Costs-Closing</t>
  </si>
  <si>
    <t>Acquisition Fee</t>
  </si>
  <si>
    <t>Acquisition Cost</t>
  </si>
  <si>
    <t>Total Depreciation &amp; Amortization</t>
  </si>
  <si>
    <t>Total Amort-Intangible Assets</t>
  </si>
  <si>
    <t>Amort-Intangible Asset Fees</t>
  </si>
  <si>
    <t>Amort-Organization Cost</t>
  </si>
  <si>
    <t>Amort-Customer Relationships</t>
  </si>
  <si>
    <t>Amort-Trade Name</t>
  </si>
  <si>
    <t>Amort-Intangible Assets</t>
  </si>
  <si>
    <t>Total Amort-Intngbl Lease Asst</t>
  </si>
  <si>
    <t>Amort-In-Place Leases</t>
  </si>
  <si>
    <t>Amort-Ground Lease Formation</t>
  </si>
  <si>
    <t>Amort-Lease Legal Cost</t>
  </si>
  <si>
    <t>Amort-Lease Commission Affil</t>
  </si>
  <si>
    <t>Amort-Lease Commission</t>
  </si>
  <si>
    <t>Amort-Intangible Lease Assets</t>
  </si>
  <si>
    <t>Total Dep/Amort-Fixed Assets</t>
  </si>
  <si>
    <t>Dept-FA-Other</t>
  </si>
  <si>
    <t>Depr-FA-Vehicles</t>
  </si>
  <si>
    <t>Amort-FA-Computer Software</t>
  </si>
  <si>
    <t>Depr-FA-Computer Hardware</t>
  </si>
  <si>
    <t>Depr-FA-Equipment</t>
  </si>
  <si>
    <t>Depr-FA-Furniture</t>
  </si>
  <si>
    <t>Depr-FA-Leasehold Improvements</t>
  </si>
  <si>
    <t>Dep/Amort-Fixed Assets</t>
  </si>
  <si>
    <t>Total Dep/Amort-Operating Prop</t>
  </si>
  <si>
    <t>Depr-OP-Tenant Improvements</t>
  </si>
  <si>
    <t>Depr-OP-Bldg Improvements</t>
  </si>
  <si>
    <t>Depr-OP-Building</t>
  </si>
  <si>
    <t>Depr-OP-Land Improvements</t>
  </si>
  <si>
    <t>Dep/Amort-Operating Property</t>
  </si>
  <si>
    <t>Depreciation &amp; Amortization</t>
  </si>
  <si>
    <t>Total Interest Expense &amp; Finance Fees</t>
  </si>
  <si>
    <t>Total Capitalized Interest</t>
  </si>
  <si>
    <t>Cap Interest Contra-Pre-Dev</t>
  </si>
  <si>
    <t>Cap Interest Contra-OP-CIP-TI</t>
  </si>
  <si>
    <t>Cap Interest Contra-OP-CIP-BI</t>
  </si>
  <si>
    <t>Cap Interest Contra-OP-CIP-LI</t>
  </si>
  <si>
    <t>Cap Interest Contra-Vert Dev</t>
  </si>
  <si>
    <t>Capitalized Interest</t>
  </si>
  <si>
    <t>Total Hedging Instruments</t>
  </si>
  <si>
    <t>Rate Swap Valuation</t>
  </si>
  <si>
    <t>Rate Cap Valuation/Amort</t>
  </si>
  <si>
    <t>Hedging Instruments</t>
  </si>
  <si>
    <t>Total Financing Fee Expense</t>
  </si>
  <si>
    <t>Restructuring Fees-N/P-Promissory</t>
  </si>
  <si>
    <t>Prepay Penalty-N/P-Promissory</t>
  </si>
  <si>
    <t>Commitment Fee</t>
  </si>
  <si>
    <t>Debt Guarantee Fee</t>
  </si>
  <si>
    <t>Financing Fee Expense</t>
  </si>
  <si>
    <t>Total Loan Fee Amortization</t>
  </si>
  <si>
    <t>Loan Fee Amort-LOC-Affiliate</t>
  </si>
  <si>
    <t>Loan Fee Amort-LOC-Unsecured</t>
  </si>
  <si>
    <t>Loan Fee Amort-LOC-Secured</t>
  </si>
  <si>
    <t>Loan Fee Amort-N/P-Affiliate</t>
  </si>
  <si>
    <t>Loan Fee Amort-N/P-Promissory</t>
  </si>
  <si>
    <t>Loan Fee Amortization</t>
  </si>
  <si>
    <t>Total Disc/Prem Amortization</t>
  </si>
  <si>
    <t>Disc/Prem Amort-N/P-Affiliate</t>
  </si>
  <si>
    <t>Disc/Prem Amort-N/P-Promissory</t>
  </si>
  <si>
    <t>Discount/Premium Amortization</t>
  </si>
  <si>
    <t>Total Interest Exp-N/P &amp; LOC</t>
  </si>
  <si>
    <t>Int Exp-Contra</t>
  </si>
  <si>
    <t>Int Exp-Capitalized Lease</t>
  </si>
  <si>
    <t>Int Exp-LOC-Affiliate</t>
  </si>
  <si>
    <t>Int Exp-LOC-Unsecured</t>
  </si>
  <si>
    <t>Int Exp-LOC-Secured</t>
  </si>
  <si>
    <t>Int Exp-N/P-Affiliate</t>
  </si>
  <si>
    <t>Int Exp-N/P-Promissory</t>
  </si>
  <si>
    <t>Interest Expense-N/P &amp; LOC</t>
  </si>
  <si>
    <t>Interest Expense &amp; Finance Fees</t>
  </si>
  <si>
    <t>NON-OPERATING EXPENSES</t>
  </si>
  <si>
    <t>TOTAL NON-OPERATING REVENUE</t>
  </si>
  <si>
    <t>Total Equity in Earnings-Unconsolidated</t>
  </si>
  <si>
    <t>Total Equity in Earnings-Uncon</t>
  </si>
  <si>
    <t>EPU-Uncon Partnr Outside Amort</t>
  </si>
  <si>
    <t>EPU-Uncon Partnership Invest</t>
  </si>
  <si>
    <t>Equity in Earnings-Uncon</t>
  </si>
  <si>
    <t>Equity in Earnings-Unconsolidated</t>
  </si>
  <si>
    <t>Total Equity in Earnings-Consolidated</t>
  </si>
  <si>
    <t>Total Equity in Earnings-Conso</t>
  </si>
  <si>
    <t>EPU-Conso Partnr Outside Amort</t>
  </si>
  <si>
    <t>EPU-Conso Partnership Invest</t>
  </si>
  <si>
    <t>Equity in Earnings-Conso</t>
  </si>
  <si>
    <t>Equity in Earnings-Consolidated</t>
  </si>
  <si>
    <t>Total Interest Income</t>
  </si>
  <si>
    <t>Total Interest Income-Escrows</t>
  </si>
  <si>
    <t>Int Inc Other-Contra</t>
  </si>
  <si>
    <t>Int Inc Other</t>
  </si>
  <si>
    <t>Int Inc Upgrades</t>
  </si>
  <si>
    <t>Int Inc Excess 10%</t>
  </si>
  <si>
    <t>Int Inc First 10%</t>
  </si>
  <si>
    <t>Int Inc Reservations</t>
  </si>
  <si>
    <t>Int Inc Principal Reserve</t>
  </si>
  <si>
    <t>Int Inc Tenant Improv Reserve</t>
  </si>
  <si>
    <t>Int Inc Lease Comm Reserve</t>
  </si>
  <si>
    <t>Int Inc Repl Reserve-In-house</t>
  </si>
  <si>
    <t>Int Inc Replacement Reserve</t>
  </si>
  <si>
    <t>Int Inc Other Reserve-Escrow</t>
  </si>
  <si>
    <t>Int Inc Int Exp Reserve</t>
  </si>
  <si>
    <t>Int Inc Repair Reserve</t>
  </si>
  <si>
    <t>Int Inc Escrow Deposit</t>
  </si>
  <si>
    <t>Int Inc Security Deposits</t>
  </si>
  <si>
    <t>Int Inc Revenue Reserve</t>
  </si>
  <si>
    <t>Int Inc Insurance Reserve</t>
  </si>
  <si>
    <t>Int Inc Tax Reserve</t>
  </si>
  <si>
    <t>Interest Income-Escrows</t>
  </si>
  <si>
    <t>Total Interest Inc-Checking&amp;MM</t>
  </si>
  <si>
    <t>Int Inc-Non Taxable</t>
  </si>
  <si>
    <t>Int Inc-Money Market</t>
  </si>
  <si>
    <t>Int Inc-Checking</t>
  </si>
  <si>
    <t>Interest Income-Checking &amp; MM</t>
  </si>
  <si>
    <t>Interest Income</t>
  </si>
  <si>
    <t>NON-OPERATING REVENUE</t>
  </si>
  <si>
    <t>NON-OPERATING INCOME (LOSS)</t>
  </si>
  <si>
    <t>TOTAL NET OPERATING INCOME (LOSS)</t>
  </si>
  <si>
    <t>TOTAL COSTS &amp; OPERATING EXPENSES</t>
  </si>
  <si>
    <t>Total Project Expenses</t>
  </si>
  <si>
    <t>Total Business Tax&amp;License Exp</t>
  </si>
  <si>
    <t>Total Business Tax &amp; License</t>
  </si>
  <si>
    <t>Tax Fines &amp; Penalties</t>
  </si>
  <si>
    <t>Other Tax</t>
  </si>
  <si>
    <t>Business License</t>
  </si>
  <si>
    <t>Sales Tax</t>
  </si>
  <si>
    <t>Corporate Filing Fees</t>
  </si>
  <si>
    <t>Local Franchise Tax</t>
  </si>
  <si>
    <t>Personal Property Tax</t>
  </si>
  <si>
    <t>Business Tax &amp; License</t>
  </si>
  <si>
    <t>Business Tax &amp; License Exp</t>
  </si>
  <si>
    <t>Total Professional Service Exp</t>
  </si>
  <si>
    <t>Total Other Professional Fees</t>
  </si>
  <si>
    <t>Third-Party Consultants</t>
  </si>
  <si>
    <t>Third-Party Construction Mgmt</t>
  </si>
  <si>
    <t>Management Fees</t>
  </si>
  <si>
    <t>Other Professional Fees</t>
  </si>
  <si>
    <t>Total Accounting Audit and Tax Fees</t>
  </si>
  <si>
    <t>Accounting Fees-Internal</t>
  </si>
  <si>
    <t>Accounting Fees-External</t>
  </si>
  <si>
    <t>Tax Consulting Fee</t>
  </si>
  <si>
    <t>Audit Fee</t>
  </si>
  <si>
    <t>Accounting Audit and Tax Fees</t>
  </si>
  <si>
    <t>Legal-General</t>
  </si>
  <si>
    <t>Legal-Litigation &amp; Dispute</t>
  </si>
  <si>
    <t>Legal-Employment Matters</t>
  </si>
  <si>
    <t>Professional Service Expense</t>
  </si>
  <si>
    <t>Total Advert &amp; Marketing Exp</t>
  </si>
  <si>
    <t>Total Advertising &amp; Marketing</t>
  </si>
  <si>
    <t>Advertising &amp; Marketing-Other</t>
  </si>
  <si>
    <t>Advertising and Marketing-Other</t>
  </si>
  <si>
    <t>Photographs</t>
  </si>
  <si>
    <t>Public Relations</t>
  </si>
  <si>
    <t>Website-Maintenance</t>
  </si>
  <si>
    <t>Website-Production</t>
  </si>
  <si>
    <t>Advertising &amp; Marketing</t>
  </si>
  <si>
    <t>Advertising &amp; Marketing Exp</t>
  </si>
  <si>
    <t>Total Insurance Expense</t>
  </si>
  <si>
    <t>Total Property Insurance</t>
  </si>
  <si>
    <t>Insurance-Other</t>
  </si>
  <si>
    <t>Insurance-Terrorism</t>
  </si>
  <si>
    <t>Insurance-Hurricane</t>
  </si>
  <si>
    <t>Insurance-Flood</t>
  </si>
  <si>
    <t>Insurance-Environmental</t>
  </si>
  <si>
    <t>Insurance-Property</t>
  </si>
  <si>
    <t>Insurance-Art</t>
  </si>
  <si>
    <t>Insurance-Personal Prop Insur</t>
  </si>
  <si>
    <t>Insurance-Personal Property Insurance</t>
  </si>
  <si>
    <t>Property Insurance</t>
  </si>
  <si>
    <t>Total Liability Insurance</t>
  </si>
  <si>
    <t>Insurance-General Liability</t>
  </si>
  <si>
    <t>Liability Insurance</t>
  </si>
  <si>
    <t>Insurance Expense</t>
  </si>
  <si>
    <t>Total Occupancy Expense</t>
  </si>
  <si>
    <t>Total Other Occupancy Costs</t>
  </si>
  <si>
    <t>Office Storage</t>
  </si>
  <si>
    <t>Office Security Service</t>
  </si>
  <si>
    <t>Office Janitorial Service</t>
  </si>
  <si>
    <t>Office Plant Service</t>
  </si>
  <si>
    <t>Office Copier-Maintenance</t>
  </si>
  <si>
    <t>Office Copier-Lease</t>
  </si>
  <si>
    <t>Office Equipment Rental</t>
  </si>
  <si>
    <t>Other Occupancy Costs</t>
  </si>
  <si>
    <t>Office Repairs and Maintenance</t>
  </si>
  <si>
    <t>Office Equipment</t>
  </si>
  <si>
    <t>Office Furniture</t>
  </si>
  <si>
    <t>Office Moving Costs</t>
  </si>
  <si>
    <t>Office Repairs</t>
  </si>
  <si>
    <t>Total Building Repairs and Maintenance</t>
  </si>
  <si>
    <t>Occupancy-RM-Other</t>
  </si>
  <si>
    <t>Occupancy-RM-Swimming Pool</t>
  </si>
  <si>
    <t>Occup-RM-Water Feat Supplies</t>
  </si>
  <si>
    <t>Occupancy-RM-Water Feature Supplies</t>
  </si>
  <si>
    <t>Occupancy-RM-Window Cleaning</t>
  </si>
  <si>
    <t>Occupancy-RM-Tree &amp; Shrub</t>
  </si>
  <si>
    <t>Occupancy-RM-Tools &amp; Supplies</t>
  </si>
  <si>
    <t>Occupancy-RM-Sweeping</t>
  </si>
  <si>
    <t>Occupancy-RM-Surveillance</t>
  </si>
  <si>
    <t>Occupancy-RM-Structural</t>
  </si>
  <si>
    <t>Occupancy-RM-Signage</t>
  </si>
  <si>
    <t>Occupancy-RM-Security &amp; Alarm</t>
  </si>
  <si>
    <t>Occupancy-RM-Roof</t>
  </si>
  <si>
    <t>Occupancy-RM-Plumbing</t>
  </si>
  <si>
    <t>Occupancy-RM-Planting</t>
  </si>
  <si>
    <t>Occupancy-RM-Pest Control</t>
  </si>
  <si>
    <t>Occupancy-RM-Painting</t>
  </si>
  <si>
    <t>Occupancy-RM-Nonplant Supplies</t>
  </si>
  <si>
    <t>Occupancy-RM-Locks &amp; Keys</t>
  </si>
  <si>
    <t>Occupancy-RM-Loading Dock</t>
  </si>
  <si>
    <t>Occupancy-RM-Landscaping</t>
  </si>
  <si>
    <t>Occupancy-RM-Janitorial</t>
  </si>
  <si>
    <t>Occup-RM-Irrigation/Drainage</t>
  </si>
  <si>
    <t>Occupancy-RM-Irrigation/Drainage</t>
  </si>
  <si>
    <t>Occupancy-RM-Interior</t>
  </si>
  <si>
    <t>Occupancy-RM-Inspections</t>
  </si>
  <si>
    <t>Occupancy-RM-HVAC</t>
  </si>
  <si>
    <t>Occup-RM-Generator Maintenance</t>
  </si>
  <si>
    <t>Occupancy-RM-Generator Maintenance</t>
  </si>
  <si>
    <t>Occupancy-RM-Flooring &amp; Tile</t>
  </si>
  <si>
    <t>Occup-RM-Fire Alarm &amp; Sprinkle</t>
  </si>
  <si>
    <t>Occupancy-RM-Fire Alarm &amp; Sprinklers</t>
  </si>
  <si>
    <t>Occupancy-RM-Elevator</t>
  </si>
  <si>
    <t>Occupancy-RM-Electrical</t>
  </si>
  <si>
    <t>Occup-RM-Concrete &amp; Asphalt</t>
  </si>
  <si>
    <t>Occupancy-RM-Concrete &amp; Asphalt</t>
  </si>
  <si>
    <t>Occupancy-RM-Cleaning Supplies</t>
  </si>
  <si>
    <t>Occupancy-RM-Carpet Cleaning</t>
  </si>
  <si>
    <t>Occupancy-RM-Building</t>
  </si>
  <si>
    <t>Occupancy-RM-Appliance</t>
  </si>
  <si>
    <t>Building Repairs and Maintenance</t>
  </si>
  <si>
    <t>Total Office Utilities</t>
  </si>
  <si>
    <t>Office Gas</t>
  </si>
  <si>
    <t>Office Electric</t>
  </si>
  <si>
    <t>Office Recycle &amp; Shred</t>
  </si>
  <si>
    <t>Office Trash</t>
  </si>
  <si>
    <t>Office Wastewater &amp; Sewer</t>
  </si>
  <si>
    <t>Office Utilities</t>
  </si>
  <si>
    <t>Total Owner Association Dues</t>
  </si>
  <si>
    <t>Owner Association Dues</t>
  </si>
  <si>
    <t>Total Property Taxes</t>
  </si>
  <si>
    <t>Real Estate Tax Expense</t>
  </si>
  <si>
    <t>Property Taxes</t>
  </si>
  <si>
    <t>Total Office Rent</t>
  </si>
  <si>
    <t>Office Rent-Parking</t>
  </si>
  <si>
    <t>Office Rent-Property Insurance</t>
  </si>
  <si>
    <t>Office Rent-Property Tax</t>
  </si>
  <si>
    <t>Office Rent-CAM</t>
  </si>
  <si>
    <t>Office Rent-Base</t>
  </si>
  <si>
    <t>Office Rent</t>
  </si>
  <si>
    <t>Occupancy Expense</t>
  </si>
  <si>
    <t>Total Administrative Expense</t>
  </si>
  <si>
    <t>Total Other Office Costs</t>
  </si>
  <si>
    <t>Office-Other Expenses</t>
  </si>
  <si>
    <t>Other Office Costs</t>
  </si>
  <si>
    <t>Total Charity-Sponsorships &amp; Political</t>
  </si>
  <si>
    <t>Political Donations</t>
  </si>
  <si>
    <t>Sponsorships</t>
  </si>
  <si>
    <t>Charitable Donations</t>
  </si>
  <si>
    <t>Charity-Sponsorships &amp; Political</t>
  </si>
  <si>
    <t>Total Dues and Subscriptions</t>
  </si>
  <si>
    <t>Dues-Sporting Events</t>
  </si>
  <si>
    <t>Dues &amp; Subscriptions</t>
  </si>
  <si>
    <t>Dues and Subscriptions</t>
  </si>
  <si>
    <t>Total Technology Services</t>
  </si>
  <si>
    <t>IT Fees-External Consultants</t>
  </si>
  <si>
    <t>IT Fees-Internal</t>
  </si>
  <si>
    <t>RM-Computer Software</t>
  </si>
  <si>
    <t>RM-Computer Hardware</t>
  </si>
  <si>
    <t>Telephone &amp; Data</t>
  </si>
  <si>
    <t>Mobile Devices</t>
  </si>
  <si>
    <t>Technology Services</t>
  </si>
  <si>
    <t>Total Bank Fees</t>
  </si>
  <si>
    <t>Investment Fees</t>
  </si>
  <si>
    <t>Letter of Credit Fees</t>
  </si>
  <si>
    <t>Bank Fees</t>
  </si>
  <si>
    <t>Total Postage &amp; Delivery</t>
  </si>
  <si>
    <t>Courier Service</t>
  </si>
  <si>
    <t>Postage-Regular Mail</t>
  </si>
  <si>
    <t>Postage-Express Mail</t>
  </si>
  <si>
    <t>Postage &amp; Delivery</t>
  </si>
  <si>
    <t>Total Office Supplies</t>
  </si>
  <si>
    <t>Office Copier-Toner</t>
  </si>
  <si>
    <t>Safety Supplies</t>
  </si>
  <si>
    <t>Janitorial Supplies</t>
  </si>
  <si>
    <t>Kitchen Supplies</t>
  </si>
  <si>
    <t>Administrative Expense</t>
  </si>
  <si>
    <t>Total Personnel Expense</t>
  </si>
  <si>
    <t>Total Temporary Labor</t>
  </si>
  <si>
    <t>Temporary Services/Agencies</t>
  </si>
  <si>
    <t>Temporary Consultants</t>
  </si>
  <si>
    <t>Temporary Labor</t>
  </si>
  <si>
    <t>Total Travel and Transportation</t>
  </si>
  <si>
    <t>Non-Employee Travel</t>
  </si>
  <si>
    <t>Other Travel Expenses</t>
  </si>
  <si>
    <t>Lodging</t>
  </si>
  <si>
    <t>Airfare-Corporate Jet</t>
  </si>
  <si>
    <t>Airfare-Commercial</t>
  </si>
  <si>
    <t>Mileage Parking and Tolls</t>
  </si>
  <si>
    <t>Ground Transp-Auto Lease</t>
  </si>
  <si>
    <t>Ground Transportation-Auto Lease</t>
  </si>
  <si>
    <t>Ground Transp-Taxi and Rental</t>
  </si>
  <si>
    <t>Ground Transportation-Taxi and Rental</t>
  </si>
  <si>
    <t>Travel and Transportation</t>
  </si>
  <si>
    <t>Total Meals &amp; Entertainment</t>
  </si>
  <si>
    <t>Entertainment</t>
  </si>
  <si>
    <t>Non-Travel Meals</t>
  </si>
  <si>
    <t>Meals and Entertainment</t>
  </si>
  <si>
    <t>Meals &amp; Entertainment</t>
  </si>
  <si>
    <t>Total Employee Development</t>
  </si>
  <si>
    <t>Professional Licenses and Dues</t>
  </si>
  <si>
    <t>Education Reimbursement Plan</t>
  </si>
  <si>
    <t>Continuing Education</t>
  </si>
  <si>
    <t>External Seminar</t>
  </si>
  <si>
    <t>Internal Seminar</t>
  </si>
  <si>
    <t>Employee Development</t>
  </si>
  <si>
    <t>Total Company Functions</t>
  </si>
  <si>
    <t>Other Miscellaneous Event</t>
  </si>
  <si>
    <t>Vendor Events</t>
  </si>
  <si>
    <t>Retreats</t>
  </si>
  <si>
    <t>Company Functions</t>
  </si>
  <si>
    <t>Total Recruiting</t>
  </si>
  <si>
    <t>Recruiting Fees</t>
  </si>
  <si>
    <t>Recruiting</t>
  </si>
  <si>
    <t>Total Relocation</t>
  </si>
  <si>
    <t>Relocation Costs</t>
  </si>
  <si>
    <t>Relocation</t>
  </si>
  <si>
    <t>Total Benefits and Other</t>
  </si>
  <si>
    <t>Benefit Plan-ER Other</t>
  </si>
  <si>
    <t>Benefits and Other</t>
  </si>
  <si>
    <t>Total Payroll Fees</t>
  </si>
  <si>
    <t>Payroll Fees-Internal</t>
  </si>
  <si>
    <t>Payroll Fees-External</t>
  </si>
  <si>
    <t>Payroll Fees</t>
  </si>
  <si>
    <t>Total Bonus and Incentives</t>
  </si>
  <si>
    <t>Bonuses and Incentives-Contra</t>
  </si>
  <si>
    <t>Total Bonuses and Incentives</t>
  </si>
  <si>
    <t>Bonus-Other</t>
  </si>
  <si>
    <t>Bonuses and Incentives</t>
  </si>
  <si>
    <t>Bonus and Incentives</t>
  </si>
  <si>
    <t>Total Salaries and Wages</t>
  </si>
  <si>
    <t>Salaries and Wages-Contra</t>
  </si>
  <si>
    <t>Salaries and Wages</t>
  </si>
  <si>
    <t>Personnel Expense</t>
  </si>
  <si>
    <t>Project Expenses</t>
  </si>
  <si>
    <t>Total General &amp; Administrative Exp</t>
  </si>
  <si>
    <t>Total Allocation Expense</t>
  </si>
  <si>
    <t>Total Segment Allocations</t>
  </si>
  <si>
    <t>Gross Services Allocation</t>
  </si>
  <si>
    <t>Gross Services Costs</t>
  </si>
  <si>
    <t>Segment Allocations</t>
  </si>
  <si>
    <t>Total Corporate Allocation</t>
  </si>
  <si>
    <t>Corporate Allocation Exp</t>
  </si>
  <si>
    <t>Corporate Allocation</t>
  </si>
  <si>
    <t>Total Recoverable Overhead</t>
  </si>
  <si>
    <t>Billable Revenue</t>
  </si>
  <si>
    <t>Shared Service Allocation-IT</t>
  </si>
  <si>
    <t>Shared Service Allocation-Occupancy</t>
  </si>
  <si>
    <t>Recoverable Overhead</t>
  </si>
  <si>
    <t>Allocation Expense</t>
  </si>
  <si>
    <t>Total Pursuit &amp; Due Dili Exp</t>
  </si>
  <si>
    <t>Total Abandoned Pursuit Exp</t>
  </si>
  <si>
    <t>Non-Refundable Dep-Abandonment-Exp</t>
  </si>
  <si>
    <t>Abandoned Pursuit Cost</t>
  </si>
  <si>
    <t>Abandoned Pursuit Expense</t>
  </si>
  <si>
    <t>Pursuit &amp; Due Diligence Exp</t>
  </si>
  <si>
    <t>Third-Party PM Wages &amp; Salaries</t>
  </si>
  <si>
    <t>Tax Compliance Fee</t>
  </si>
  <si>
    <t>Legal-Formation Documentation</t>
  </si>
  <si>
    <t>Legal-Statutory Compliance</t>
  </si>
  <si>
    <t>Legal-Investor Matters</t>
  </si>
  <si>
    <t>Insurance-International Travel Liability</t>
  </si>
  <si>
    <t>Insurance-Legal Prof Liability</t>
  </si>
  <si>
    <t>Insurance-E&amp;O Insurance</t>
  </si>
  <si>
    <t>Insurance-D&amp;O Insurance</t>
  </si>
  <si>
    <t>Insurance-Employment Practice</t>
  </si>
  <si>
    <t>Insurance-Professional Liability</t>
  </si>
  <si>
    <t>Insurance-Fiduciary Liability</t>
  </si>
  <si>
    <t>Insurance-Auto</t>
  </si>
  <si>
    <t>Insurance-Crime</t>
  </si>
  <si>
    <t>Office security service</t>
  </si>
  <si>
    <t>Office janitorial service</t>
  </si>
  <si>
    <t>Real Estate Tax Expense-Refund</t>
  </si>
  <si>
    <t>Office Rent-SL Adjustment</t>
  </si>
  <si>
    <t>Office rent-base</t>
  </si>
  <si>
    <t>Office-other expenses</t>
  </si>
  <si>
    <t>ERP-Licensing</t>
  </si>
  <si>
    <t>Enterprise Applications</t>
  </si>
  <si>
    <t>Corp Morale Sundries</t>
  </si>
  <si>
    <t>Holiday Event</t>
  </si>
  <si>
    <t>Summer Event</t>
  </si>
  <si>
    <t>Benefits and Other-Contra</t>
  </si>
  <si>
    <t>Workers Compensation Insurance</t>
  </si>
  <si>
    <t>Benefit Plan-ER Long Term Disability</t>
  </si>
  <si>
    <t>Benefit Plan-ER Short Term Disability</t>
  </si>
  <si>
    <t>Benefit Plan-ER Life-ADD</t>
  </si>
  <si>
    <t>Benefit Plan-ER Dental</t>
  </si>
  <si>
    <t>Benefit Plan-ER HSA</t>
  </si>
  <si>
    <t>Benefit Plan-ER EAP</t>
  </si>
  <si>
    <t>Benefit Plan-ER Vision</t>
  </si>
  <si>
    <t>Benefit Plan-ER Medical</t>
  </si>
  <si>
    <t>Benefit Plan-ER 401(k) Match</t>
  </si>
  <si>
    <t>Total Stock Compensation Exp</t>
  </si>
  <si>
    <t>Stock Comp Expense</t>
  </si>
  <si>
    <t>Stock Compensation Expense</t>
  </si>
  <si>
    <t>Payroll Fees-Contra</t>
  </si>
  <si>
    <t>401(k) Administration Fees</t>
  </si>
  <si>
    <t>Total Payroll Tax</t>
  </si>
  <si>
    <t>Payroll Taxes-Contra</t>
  </si>
  <si>
    <t>Total Payroll Taxes-Argentina</t>
  </si>
  <si>
    <t>Payroll Taxes-Cargas Sociales</t>
  </si>
  <si>
    <t>Payroll Taxes-Argentina</t>
  </si>
  <si>
    <t>Total Payroll Taxes-Mexico</t>
  </si>
  <si>
    <t>Payroll Taxes-Mexico-Participacion Trabajadores Por Pagar</t>
  </si>
  <si>
    <t>Payroll Taxes-Mexico-Otra</t>
  </si>
  <si>
    <t>Payroll Taxes-Mexico-Impuesto sobre Nominas 3%</t>
  </si>
  <si>
    <t>Payroll Taxes-Mexico-Infonavit</t>
  </si>
  <si>
    <t>Payroll Taxes-Mexico-SAR</t>
  </si>
  <si>
    <t>Payroll Taxes-Mexico-Cuota Patron</t>
  </si>
  <si>
    <t>Payroll Taxes-Mexico</t>
  </si>
  <si>
    <t>Total Payroll Taxes</t>
  </si>
  <si>
    <t>Payroll Taxes-ER Other</t>
  </si>
  <si>
    <t>Payroll Taxes-ER Medicare</t>
  </si>
  <si>
    <t>Payroll Taxes-ER FUTA</t>
  </si>
  <si>
    <t>Payroll Taxes-ER SUTA</t>
  </si>
  <si>
    <t>Payroll Taxes-ER FICA</t>
  </si>
  <si>
    <t>Payroll Taxes</t>
  </si>
  <si>
    <t>Payroll Tax</t>
  </si>
  <si>
    <t>Bonus-Commission-Sales</t>
  </si>
  <si>
    <t>Bonus-Commission</t>
  </si>
  <si>
    <t>Unused Vacation</t>
  </si>
  <si>
    <t>Car Allowance</t>
  </si>
  <si>
    <t>Overtime Wages</t>
  </si>
  <si>
    <t>Salaries and wages</t>
  </si>
  <si>
    <t>General &amp; Administrative Exp</t>
  </si>
  <si>
    <t>Total Inventory Relief</t>
  </si>
  <si>
    <t>Inventory Relief-Rental Operations</t>
  </si>
  <si>
    <t>Inventory Relief-Dev Fees</t>
  </si>
  <si>
    <t>Inventory Relief-Sales Center</t>
  </si>
  <si>
    <t>Inventory Relief-Branding Fees</t>
  </si>
  <si>
    <t>Inventory Relief-Sales Admin</t>
  </si>
  <si>
    <t>Inventory Relief-Admin Costs</t>
  </si>
  <si>
    <t>Inventory Relief-Legal</t>
  </si>
  <si>
    <t>Inventory Relief-Insurance</t>
  </si>
  <si>
    <t>Inventory Relief-Real Estate Taxes</t>
  </si>
  <si>
    <t>Inventory Relief-Association Costs</t>
  </si>
  <si>
    <t>Inventory Relief-Owner Items</t>
  </si>
  <si>
    <t>Inventory Relief</t>
  </si>
  <si>
    <t>Total Cost of Construction</t>
  </si>
  <si>
    <t>C/C-Construction Costs</t>
  </si>
  <si>
    <t>GC-Auditors</t>
  </si>
  <si>
    <t>GC-Genl Contractor-Prime Sub</t>
  </si>
  <si>
    <t>GC-Windows</t>
  </si>
  <si>
    <t>GC-Builders Risk</t>
  </si>
  <si>
    <t>GC-Utility Connection</t>
  </si>
  <si>
    <t>GC-Permit</t>
  </si>
  <si>
    <t>GC-Engineering</t>
  </si>
  <si>
    <t>GC-Cleaning</t>
  </si>
  <si>
    <t>GC-Inspections</t>
  </si>
  <si>
    <t>GC-Scheduling</t>
  </si>
  <si>
    <t>GC-Security-Police</t>
  </si>
  <si>
    <t>GC-Consultant</t>
  </si>
  <si>
    <t>GC-P and P Bond</t>
  </si>
  <si>
    <t>GC-RAA</t>
  </si>
  <si>
    <t>GC-Management Fee</t>
  </si>
  <si>
    <t>GC-Contractor Fee</t>
  </si>
  <si>
    <t>GC-Licenses-Taxes-St Fee</t>
  </si>
  <si>
    <t>GC-GC Bond</t>
  </si>
  <si>
    <t>GC-GC Profit</t>
  </si>
  <si>
    <t>GC-Expense Reimbursement</t>
  </si>
  <si>
    <t>GC-Construction Contingency</t>
  </si>
  <si>
    <t>GC-GC Overhead</t>
  </si>
  <si>
    <t>GC-GC General Requirements</t>
  </si>
  <si>
    <t>GC-TRG-RAC</t>
  </si>
  <si>
    <t>GC-GC-TRGPR-Payroll-Benefits</t>
  </si>
  <si>
    <t>GC-GC TRGPR-Payroll-Bonus</t>
  </si>
  <si>
    <t>GC-GC TRGPR-Payroll-Taxes</t>
  </si>
  <si>
    <t>GC-GC TRGPR Overhead</t>
  </si>
  <si>
    <t>GC-IT Support</t>
  </si>
  <si>
    <t>GC-Insurance</t>
  </si>
  <si>
    <t>GC-Recruitment fee</t>
  </si>
  <si>
    <t>GC-Smoke Detectors</t>
  </si>
  <si>
    <t>GC-Wiring Cable System</t>
  </si>
  <si>
    <t>GC-Public Address Equip-Intrcm</t>
  </si>
  <si>
    <t>GC-Light Fixtures</t>
  </si>
  <si>
    <t>GC-Security System</t>
  </si>
  <si>
    <t>GC-Fire Alarm System</t>
  </si>
  <si>
    <t>GC-Site and Landscape Lighting</t>
  </si>
  <si>
    <t>GC-Lighting</t>
  </si>
  <si>
    <t>GC-Underground Service</t>
  </si>
  <si>
    <t>GC-Sound and Video System</t>
  </si>
  <si>
    <t>GC-Communications</t>
  </si>
  <si>
    <t>GC-Switchgear Systems</t>
  </si>
  <si>
    <t>GC-Generator</t>
  </si>
  <si>
    <t>GC-Electrical Fixtures</t>
  </si>
  <si>
    <t>GC-Electrical Work</t>
  </si>
  <si>
    <t>GC-Low Voltage</t>
  </si>
  <si>
    <t>GC-Car Charging</t>
  </si>
  <si>
    <t>GC-Electrical</t>
  </si>
  <si>
    <t>GC-Fire Pump</t>
  </si>
  <si>
    <t>GC-Boiler</t>
  </si>
  <si>
    <t>GC-ADA-Plumbing</t>
  </si>
  <si>
    <t>GC-Water Pump</t>
  </si>
  <si>
    <t>GC-Mechanical</t>
  </si>
  <si>
    <t>GC-HVAC Equipment</t>
  </si>
  <si>
    <t>GC-Standpipes and Hoses</t>
  </si>
  <si>
    <t>GC-Fire Sprinkler Alrm System</t>
  </si>
  <si>
    <t>GC-Plumbing Fixtures</t>
  </si>
  <si>
    <t>GC-Special Fixtures and Trim</t>
  </si>
  <si>
    <t>GC-Plumbing</t>
  </si>
  <si>
    <t>GC-Mechanical-general</t>
  </si>
  <si>
    <t>GC-Hoists and Cranes</t>
  </si>
  <si>
    <t>GC-Car lifts</t>
  </si>
  <si>
    <t>GC-Elevators</t>
  </si>
  <si>
    <t>GC-Detection and Alarm</t>
  </si>
  <si>
    <t>GC-Bldg Automation System</t>
  </si>
  <si>
    <t>GC-Security Access-Surveillanc</t>
  </si>
  <si>
    <t>GC-Solar Systems</t>
  </si>
  <si>
    <t>GC-Pool Deck-Kool Deck</t>
  </si>
  <si>
    <t>GC-Pool Gunite</t>
  </si>
  <si>
    <t>GC-Pool Marcite-Diamondbrite</t>
  </si>
  <si>
    <t>GC-Pool Equipment</t>
  </si>
  <si>
    <t>GC-Swimming Pools</t>
  </si>
  <si>
    <t>GC-Pavillion</t>
  </si>
  <si>
    <t>GC-Fitness Center</t>
  </si>
  <si>
    <t>GC-Library Computer Room</t>
  </si>
  <si>
    <t>GC-Public Restroom</t>
  </si>
  <si>
    <t>GC-Community Kitchen</t>
  </si>
  <si>
    <t>GC-Special Construction-genl</t>
  </si>
  <si>
    <t>GC-Furn Fixtures and Equip</t>
  </si>
  <si>
    <t>GC-Artwork</t>
  </si>
  <si>
    <t>GC-Window Treatment</t>
  </si>
  <si>
    <t>GC-Furnishings-general</t>
  </si>
  <si>
    <t>GC-Appliances</t>
  </si>
  <si>
    <t>GC-Window Cleaning Equipmen</t>
  </si>
  <si>
    <t>GC-Athletic Equipment</t>
  </si>
  <si>
    <t>GC-Access Control System</t>
  </si>
  <si>
    <t>GC-Unit Kitchens</t>
  </si>
  <si>
    <t>GC-Toilet and Bath Accessorie</t>
  </si>
  <si>
    <t>GC-ADA Accessories</t>
  </si>
  <si>
    <t>GC-Closet Specialties</t>
  </si>
  <si>
    <t>GC-Closet Shelving</t>
  </si>
  <si>
    <t>GC-Mail Boxes</t>
  </si>
  <si>
    <t>GC-Postal Specialties</t>
  </si>
  <si>
    <t>GC-Amenities</t>
  </si>
  <si>
    <t>GC-Trash Chutes</t>
  </si>
  <si>
    <t>GC-Canvas Awnings</t>
  </si>
  <si>
    <t>GC-Shutters</t>
  </si>
  <si>
    <t>GC-Fire Extinguishers and Cab</t>
  </si>
  <si>
    <t>GC-Window Washing Embeds</t>
  </si>
  <si>
    <t>GC-Int Identifying Device-Sign</t>
  </si>
  <si>
    <t>GC-Ext Identifying Device-Sign</t>
  </si>
  <si>
    <t>GC-Exhaust Systems</t>
  </si>
  <si>
    <t>GC-Louvers and Vents</t>
  </si>
  <si>
    <t>GC-Toilet-Shower Partitions</t>
  </si>
  <si>
    <t>GC-Specialties</t>
  </si>
  <si>
    <t>GC-Paint</t>
  </si>
  <si>
    <t>GC-Stucco</t>
  </si>
  <si>
    <t>GC-Drywall</t>
  </si>
  <si>
    <t>GC-Drywall-Stucco-Paint-Labor</t>
  </si>
  <si>
    <t>GC-Carpeting</t>
  </si>
  <si>
    <t>GC-Floor work</t>
  </si>
  <si>
    <t>GC-Carpet</t>
  </si>
  <si>
    <t>GC-Mable Tile-Window Sills</t>
  </si>
  <si>
    <t>GC-Flooring</t>
  </si>
  <si>
    <t>GC-Ceramic Tile</t>
  </si>
  <si>
    <t>GC-Floor and Wall Tile</t>
  </si>
  <si>
    <t>GC-Lath-Plaster-Wall texture</t>
  </si>
  <si>
    <t>GC-Finishes</t>
  </si>
  <si>
    <t>GC-Glazing</t>
  </si>
  <si>
    <t>GC-Automatic Door Equipment</t>
  </si>
  <si>
    <t>GC-Hardware</t>
  </si>
  <si>
    <t>GC-Aluminum Windows</t>
  </si>
  <si>
    <t>GC-Storefront Room Dividers</t>
  </si>
  <si>
    <t>GC-Entrances-Storefront Drs</t>
  </si>
  <si>
    <t>GC-Access Panels-openings</t>
  </si>
  <si>
    <t>GC-Installation-Doors-Hardware</t>
  </si>
  <si>
    <t>GC-Doors and Windows</t>
  </si>
  <si>
    <t>GC-Joint Sealant and Caulking</t>
  </si>
  <si>
    <t xml:space="preserve">GC-Prefbricatd Expansion Jnts </t>
  </si>
  <si>
    <t>GC-Roof Accessories</t>
  </si>
  <si>
    <t>GC-Gutters and Downspouts</t>
  </si>
  <si>
    <t>GC-Sheet Metal Roofing</t>
  </si>
  <si>
    <t>GC-Metal Roofing</t>
  </si>
  <si>
    <t>GC-Roof Sheathing</t>
  </si>
  <si>
    <t>GC-Roofing</t>
  </si>
  <si>
    <t>GC-Insulation</t>
  </si>
  <si>
    <t>GC-Firestopping</t>
  </si>
  <si>
    <t>GC-Water Proofing</t>
  </si>
  <si>
    <t>GC-Railings</t>
  </si>
  <si>
    <t>GC-Stairwork</t>
  </si>
  <si>
    <t>GC-Countertops</t>
  </si>
  <si>
    <t>GC-Cabinetwork</t>
  </si>
  <si>
    <t>GC-Millwork</t>
  </si>
  <si>
    <t>GC-Wood Trusses</t>
  </si>
  <si>
    <t>GC-Sheathing</t>
  </si>
  <si>
    <t>GC-Wood Baseboards</t>
  </si>
  <si>
    <t>GC-Framing and Sheathing</t>
  </si>
  <si>
    <t>GC-Rough Carpentry</t>
  </si>
  <si>
    <t>GC-Wood and Plastics-general</t>
  </si>
  <si>
    <t>GC-Ornamental Handrail Railing</t>
  </si>
  <si>
    <t>GC-Ornamental Metals</t>
  </si>
  <si>
    <t>GC-Handrails and Railings</t>
  </si>
  <si>
    <t>GC-Metail Stairs</t>
  </si>
  <si>
    <t>GC-Structural Steel Framing</t>
  </si>
  <si>
    <t>GC-Metals-general</t>
  </si>
  <si>
    <t>GC-Brick Masonry</t>
  </si>
  <si>
    <t>GC-Masonry-Concrete</t>
  </si>
  <si>
    <t>GC-Joint Reinforcement</t>
  </si>
  <si>
    <t>GC-Masonry</t>
  </si>
  <si>
    <t>GC-Tower Crane  and Hoisting</t>
  </si>
  <si>
    <t>GC-Concrete Testing</t>
  </si>
  <si>
    <t>GC-Concrete Slab Repair</t>
  </si>
  <si>
    <t>GC-Precast Concrete</t>
  </si>
  <si>
    <t>GC-Concrete Restoration</t>
  </si>
  <si>
    <t>GC-Pumping</t>
  </si>
  <si>
    <t>GC-Cast-In-Place Concrete</t>
  </si>
  <si>
    <t>GC-Rebar and PT Placing</t>
  </si>
  <si>
    <t>GC-Rebar Material</t>
  </si>
  <si>
    <t>GC-Sawcuts - Core Drilling</t>
  </si>
  <si>
    <t>GC-Concrete Foundation</t>
  </si>
  <si>
    <t>GC-Concrete Shell</t>
  </si>
  <si>
    <t>GC-Concrete-general</t>
  </si>
  <si>
    <t>GC-Parking paving-striping</t>
  </si>
  <si>
    <t>GC-Landscaping and Irrigation</t>
  </si>
  <si>
    <t>GC-Playground Play Structur</t>
  </si>
  <si>
    <t>GC-Scaffold erection-maint</t>
  </si>
  <si>
    <t>GC-Site Benches</t>
  </si>
  <si>
    <t>GC-Exterior Trash Area</t>
  </si>
  <si>
    <t>GC-Irrigation Systems</t>
  </si>
  <si>
    <t>GC-Buckhoist</t>
  </si>
  <si>
    <t>GC-Precast Fencing</t>
  </si>
  <si>
    <t>GC-Fences and Gates</t>
  </si>
  <si>
    <t>GC-Offsite Improvements</t>
  </si>
  <si>
    <t>GC-Detector Check Valves</t>
  </si>
  <si>
    <t>GC-Water Distribution System</t>
  </si>
  <si>
    <t>GC-Septic Tanks</t>
  </si>
  <si>
    <t>GC-Water Main</t>
  </si>
  <si>
    <t>GC-Site Utilities</t>
  </si>
  <si>
    <t>GC-Drainage Well</t>
  </si>
  <si>
    <t>GC-Sanitary Sewer</t>
  </si>
  <si>
    <t>GC-Shoring</t>
  </si>
  <si>
    <t>GC-Augercast Piling</t>
  </si>
  <si>
    <t>GC-Termite-Pest Control</t>
  </si>
  <si>
    <t>GC-Soil Compaction</t>
  </si>
  <si>
    <t>GC-Basketball Courts</t>
  </si>
  <si>
    <t>GC-Pavement Markings and Sign</t>
  </si>
  <si>
    <t>GC-Asphalt Concrete Pavemen</t>
  </si>
  <si>
    <t>GC-Underground Utilities</t>
  </si>
  <si>
    <t>GC-Struct Excavate Bkfll-Cmpct</t>
  </si>
  <si>
    <t>GC-Concrete Cutting</t>
  </si>
  <si>
    <t>GC-Demolition</t>
  </si>
  <si>
    <t>GC-Clearing Grubbing-Embankmnt</t>
  </si>
  <si>
    <t>GC-Sprinklers Irrigation</t>
  </si>
  <si>
    <t>GC-Structure Penetration Tests</t>
  </si>
  <si>
    <t>GC-Excavation and Backfill</t>
  </si>
  <si>
    <t>GC-Misc Site Demolition</t>
  </si>
  <si>
    <t>GC-Asbestos Abatement</t>
  </si>
  <si>
    <t>GC-Pavers</t>
  </si>
  <si>
    <t>GC-Dewatering</t>
  </si>
  <si>
    <t>GC-Sitework</t>
  </si>
  <si>
    <t>GC-Safety</t>
  </si>
  <si>
    <t>GC-Crane</t>
  </si>
  <si>
    <t>GC-Boom Lift</t>
  </si>
  <si>
    <t>GC-Small Tool-Constr Supplies</t>
  </si>
  <si>
    <t>GC-Punch out Labor</t>
  </si>
  <si>
    <t>GC-Punchout Team Materials</t>
  </si>
  <si>
    <t>GC-Protect finish work</t>
  </si>
  <si>
    <t>GC-Cleaning Materials - Building</t>
  </si>
  <si>
    <t>GC-Final Cleaning</t>
  </si>
  <si>
    <t>GC-Site/General Cleaning</t>
  </si>
  <si>
    <t>GC-Contributions</t>
  </si>
  <si>
    <t>GC-Cabling Wiring</t>
  </si>
  <si>
    <t>GC-Courier-FedEx</t>
  </si>
  <si>
    <t>GC-Green Standards</t>
  </si>
  <si>
    <t>GC-Copies and Printing Form</t>
  </si>
  <si>
    <t>GC-Water Meter  Connect</t>
  </si>
  <si>
    <t>GC-Cell Phone</t>
  </si>
  <si>
    <t>GC-Telephone Equip/Maintenance</t>
  </si>
  <si>
    <t>GC-Jobsite Office Supplies</t>
  </si>
  <si>
    <t>GC-Job Photos</t>
  </si>
  <si>
    <t>GC-Plan Reproduction</t>
  </si>
  <si>
    <t>GC-Jobsite Office Equipment</t>
  </si>
  <si>
    <t>GC-PC Software and User Costs</t>
  </si>
  <si>
    <t>GC-PC Software and Support</t>
  </si>
  <si>
    <t>GC-Surveys-Engineering</t>
  </si>
  <si>
    <t>GC-Campaign Contributions</t>
  </si>
  <si>
    <t>GC-Police</t>
  </si>
  <si>
    <t>GC-Hoist Maintenance</t>
  </si>
  <si>
    <t>GC-Man and Material Hoist</t>
  </si>
  <si>
    <t>GC-Loading Dock Platform</t>
  </si>
  <si>
    <t>GC-Temporary Fence</t>
  </si>
  <si>
    <t>GC-Trash Hauling</t>
  </si>
  <si>
    <t>GC-Temporary Trash Chute</t>
  </si>
  <si>
    <t>GC-Temporary Fire Ext.</t>
  </si>
  <si>
    <t>GC-Safety Supplies</t>
  </si>
  <si>
    <t>GC-Hurricane Prep. Equipment/Material</t>
  </si>
  <si>
    <t>GC-Barricades-Protection</t>
  </si>
  <si>
    <t>GC-Temporary Toilets</t>
  </si>
  <si>
    <t>GC-Temporary Telephone Utility</t>
  </si>
  <si>
    <t>GC-Temporary Water</t>
  </si>
  <si>
    <t>GC-Temp Electricity FPL</t>
  </si>
  <si>
    <t>GC-Jobsite Radios</t>
  </si>
  <si>
    <t>GC-Parking Credit</t>
  </si>
  <si>
    <t>GC-Parking</t>
  </si>
  <si>
    <t>GC-Job signs</t>
  </si>
  <si>
    <t>GC-Office housekeeping</t>
  </si>
  <si>
    <t>GC-Office set-up</t>
  </si>
  <si>
    <t>GC-Job Trailer-Job Office</t>
  </si>
  <si>
    <t>GC-Job office supplies</t>
  </si>
  <si>
    <t>GC-Trucking-Dumpsters</t>
  </si>
  <si>
    <t>GC-Petty Cash</t>
  </si>
  <si>
    <t>GC-Consulting Fees</t>
  </si>
  <si>
    <t>GC-Inspection Service</t>
  </si>
  <si>
    <t>GC-Relocation</t>
  </si>
  <si>
    <t>GC-Legal Fees</t>
  </si>
  <si>
    <t>GC-Insurance Requirement</t>
  </si>
  <si>
    <t>GC-Threshold Inspector</t>
  </si>
  <si>
    <t>GC-Testing</t>
  </si>
  <si>
    <t>GC-Top Out Safety Party</t>
  </si>
  <si>
    <t>GC-Misc Permits</t>
  </si>
  <si>
    <t>GC-Building Permits</t>
  </si>
  <si>
    <t>GC-Corporations Fees</t>
  </si>
  <si>
    <t>Cost of Construction</t>
  </si>
  <si>
    <t>Total Cost of Real Estate Operations</t>
  </si>
  <si>
    <t>Total Direct Billable Expense</t>
  </si>
  <si>
    <t>Total Direct Billable-Prof Svc</t>
  </si>
  <si>
    <t>Direct Bill-Litigation&amp;Dispute</t>
  </si>
  <si>
    <t>Direct Billable-Prof Service</t>
  </si>
  <si>
    <t>Total Direct Billabl-Utilities</t>
  </si>
  <si>
    <t>Direct Bill-Fire Service Meter</t>
  </si>
  <si>
    <t>Direct Bill-Water &amp; Sewer</t>
  </si>
  <si>
    <t>Direct Bill-Alternative Energy</t>
  </si>
  <si>
    <t>Direct Bill-Telephone &amp; Data</t>
  </si>
  <si>
    <t>Direct Bill-Trash</t>
  </si>
  <si>
    <t>Direct Bill-Gas</t>
  </si>
  <si>
    <t>Direct Bill-Electric</t>
  </si>
  <si>
    <t>Direct Billable-Utilities</t>
  </si>
  <si>
    <t>Total Direct Billable-R&amp;M</t>
  </si>
  <si>
    <t>Direct Bill-Janitorial</t>
  </si>
  <si>
    <t>Direct Bill-Swimming Pool</t>
  </si>
  <si>
    <t>Direct Bill-Landscape</t>
  </si>
  <si>
    <t>Direct Bill-Security &amp; Alarm</t>
  </si>
  <si>
    <t>Direct Bill-HVAC</t>
  </si>
  <si>
    <t>Direct Bill-Elec Suppl/Install</t>
  </si>
  <si>
    <t>Direct Bill-Tools &amp; Supplies</t>
  </si>
  <si>
    <t>Direct Bill-Locks &amp; Keys</t>
  </si>
  <si>
    <t>Direct Bill-Signage</t>
  </si>
  <si>
    <t>Direct Bill-Plumbing</t>
  </si>
  <si>
    <t>Direct Bill-Roof</t>
  </si>
  <si>
    <t>Direct Bill-Doors &amp; Windows</t>
  </si>
  <si>
    <t>Direct Billable-R&amp;M</t>
  </si>
  <si>
    <t>Direct Billable Expense</t>
  </si>
  <si>
    <t>Total Direct Vacant Expense</t>
  </si>
  <si>
    <t>Total Direct Vacant-Utilities</t>
  </si>
  <si>
    <t>Direct Vacant-Water &amp; Sewer</t>
  </si>
  <si>
    <t>Direct Vacant-Telephone &amp; Data</t>
  </si>
  <si>
    <t>Direct Vacant-Trash</t>
  </si>
  <si>
    <t>Direct Vacant-Gas</t>
  </si>
  <si>
    <t>Direct Vacant-Electric</t>
  </si>
  <si>
    <t>Direct Vacant-Utilities</t>
  </si>
  <si>
    <t>Direct Vacant Expense</t>
  </si>
  <si>
    <t>Total Capitalized Overhead</t>
  </si>
  <si>
    <t>Total Capitalized Overhead Contra</t>
  </si>
  <si>
    <t>Cap Overhead Contra-Construction</t>
  </si>
  <si>
    <t>Cap Overhead Contra-Pre-Dev</t>
  </si>
  <si>
    <t>Cap Overhead Contra-OP-CIP-TI</t>
  </si>
  <si>
    <t>Cap Overhead Contra-OP-CIP-BI</t>
  </si>
  <si>
    <t>Cap Overhead Contra-OP-CIP-LI</t>
  </si>
  <si>
    <t>Cap Overhead Contra-Vert Dev</t>
  </si>
  <si>
    <t>Capitalized Overhead Contra</t>
  </si>
  <si>
    <t>Capitalized Overhead</t>
  </si>
  <si>
    <t>Total Ground Lease Expense</t>
  </si>
  <si>
    <t>Total Leveling Expense</t>
  </si>
  <si>
    <t>Amort-Below Mkt Ground Lease</t>
  </si>
  <si>
    <t>Amort-Above Mkt Ground Lease</t>
  </si>
  <si>
    <t>Leveling Expense</t>
  </si>
  <si>
    <t>Total Ground Lease Rent</t>
  </si>
  <si>
    <t>Ground Lease Rent</t>
  </si>
  <si>
    <t>Ground Lease Expense</t>
  </si>
  <si>
    <t>Suspense</t>
  </si>
  <si>
    <t>Other Outside Service Fees</t>
  </si>
  <si>
    <t>Third-Party Other Consultation</t>
  </si>
  <si>
    <t>Total Audit &amp; Tax Fees</t>
  </si>
  <si>
    <t>Audit &amp; Tax Fees</t>
  </si>
  <si>
    <t xml:space="preserve">Legal-General_x000D_
</t>
  </si>
  <si>
    <t>Legal-Land Planning/Zoning</t>
  </si>
  <si>
    <t>Legal-Tenant Issues/Evictions</t>
  </si>
  <si>
    <t>Legal-Litigation/Dispute</t>
  </si>
  <si>
    <t>Legal-Reorganization/Liquidation</t>
  </si>
  <si>
    <t>Legal-Easement/Right of Way</t>
  </si>
  <si>
    <t>Legal-Environmental Remediation</t>
  </si>
  <si>
    <t>Legal-CC&amp;R/Owner Association</t>
  </si>
  <si>
    <t>Legal-Lease Formation</t>
  </si>
  <si>
    <t>Legal-Entity Formation</t>
  </si>
  <si>
    <t>Total Sales &amp; Marketing Exp</t>
  </si>
  <si>
    <t>Total Sales &amp; Marketing</t>
  </si>
  <si>
    <t>Sales Center &amp; Model Costs</t>
  </si>
  <si>
    <t>Other Sales &amp; Marketing</t>
  </si>
  <si>
    <t>Promotional</t>
  </si>
  <si>
    <t>Total Marketing and Advertising</t>
  </si>
  <si>
    <t>Marketing and Advertising-Contra</t>
  </si>
  <si>
    <t>Marketing and Advertising-Other</t>
  </si>
  <si>
    <t>Marketing-contingency</t>
  </si>
  <si>
    <t>Marketing-other</t>
  </si>
  <si>
    <t>Marketing-website production</t>
  </si>
  <si>
    <t>Marketing-website maintenance</t>
  </si>
  <si>
    <t>Marketing-vid prod/animation</t>
  </si>
  <si>
    <t>Marketing-trips</t>
  </si>
  <si>
    <t>Marketing-stationary package</t>
  </si>
  <si>
    <t>Marketing-social media/seo ppc</t>
  </si>
  <si>
    <t>Marketing-signage/flags/banner</t>
  </si>
  <si>
    <t>Marketing-scale model</t>
  </si>
  <si>
    <t>Marketing-public relations fee</t>
  </si>
  <si>
    <t>Marketing-publc rel firm reimb</t>
  </si>
  <si>
    <t>Marketing-photography/artwork</t>
  </si>
  <si>
    <t>Marketing-owners gifts</t>
  </si>
  <si>
    <t>Marketing-graphics/displays</t>
  </si>
  <si>
    <t>Marketing-floorplans inserts</t>
  </si>
  <si>
    <t>Marketing-events</t>
  </si>
  <si>
    <t>Marketing-direct mail program</t>
  </si>
  <si>
    <t>Marketing-comp market analysis</t>
  </si>
  <si>
    <t>Marketing-community contrib</t>
  </si>
  <si>
    <t>Marketing-collateral prod cost</t>
  </si>
  <si>
    <t>Marketing-collateral materials</t>
  </si>
  <si>
    <t>Marketing-collateral gifts</t>
  </si>
  <si>
    <t>Marketing-brochures</t>
  </si>
  <si>
    <t>Advertising-other</t>
  </si>
  <si>
    <t>Advertising-Billboard/Radio</t>
  </si>
  <si>
    <t>Advertising-retainer/fees</t>
  </si>
  <si>
    <t>Advertising-reimbursables</t>
  </si>
  <si>
    <t>Advertising-production costs</t>
  </si>
  <si>
    <t>Advertising-print/online ads</t>
  </si>
  <si>
    <t>Advertising-auctions</t>
  </si>
  <si>
    <t>Marketing and Advertising</t>
  </si>
  <si>
    <t>Sales &amp; Marketing</t>
  </si>
  <si>
    <t>Total Commissions</t>
  </si>
  <si>
    <t>Sales Commission Exp-Forfeited Dep</t>
  </si>
  <si>
    <t>Sales Commission Expense-Percentage of Completion</t>
  </si>
  <si>
    <t>Sales Commission Expense</t>
  </si>
  <si>
    <t>Lease Commission Affil Expense</t>
  </si>
  <si>
    <t>Lease Commission Expense</t>
  </si>
  <si>
    <t>Sales &amp; Marketing Expense</t>
  </si>
  <si>
    <t>License &amp; Permit</t>
  </si>
  <si>
    <t>Statutory Compliance</t>
  </si>
  <si>
    <t>Excise Tax</t>
  </si>
  <si>
    <t>Business Tax</t>
  </si>
  <si>
    <t>State Franchise Tax</t>
  </si>
  <si>
    <t>Other Reserves</t>
  </si>
  <si>
    <t>Forfeit Dep Dispute Reserve</t>
  </si>
  <si>
    <t>Total Bad Debt</t>
  </si>
  <si>
    <t>Bad Debt Expense</t>
  </si>
  <si>
    <t>Bad Debt</t>
  </si>
  <si>
    <t>Total Property Travel &amp; Meals</t>
  </si>
  <si>
    <t xml:space="preserve">Travel General_x000D_
</t>
  </si>
  <si>
    <t>Travel General</t>
  </si>
  <si>
    <t>Travel Meals</t>
  </si>
  <si>
    <t>Airfare</t>
  </si>
  <si>
    <t>Ground Transportation</t>
  </si>
  <si>
    <t>Property Travel &amp; Meals</t>
  </si>
  <si>
    <t>Total Administrative</t>
  </si>
  <si>
    <t>Other Administration Costs</t>
  </si>
  <si>
    <t>Charity &amp; Sponsorships</t>
  </si>
  <si>
    <t>Professional Educat &amp; Training</t>
  </si>
  <si>
    <t>Publications &amp; Subscriptions</t>
  </si>
  <si>
    <t>Other Software Costs</t>
  </si>
  <si>
    <t>Office supplies</t>
  </si>
  <si>
    <t>Administrative</t>
  </si>
  <si>
    <t>Total Property Rent</t>
  </si>
  <si>
    <t>Equipment Lease</t>
  </si>
  <si>
    <t>Furniture Lease</t>
  </si>
  <si>
    <t>Property Rent</t>
  </si>
  <si>
    <t>Total Management Fee Exp</t>
  </si>
  <si>
    <t>Total Property Fees</t>
  </si>
  <si>
    <t>Guarantee Payment</t>
  </si>
  <si>
    <t>Prop Mgmt Fees</t>
  </si>
  <si>
    <t>Property Fees</t>
  </si>
  <si>
    <t>Total Property Salaries/Wages</t>
  </si>
  <si>
    <t>Operations Salaries/Wages</t>
  </si>
  <si>
    <t>Property Salaries/Wages</t>
  </si>
  <si>
    <t>Management Fee Expense</t>
  </si>
  <si>
    <t>Total Property Insurance Exp</t>
  </si>
  <si>
    <t>Total Bond Fee Expense</t>
  </si>
  <si>
    <t>Bond Fees</t>
  </si>
  <si>
    <t>Bond Fee Expense</t>
  </si>
  <si>
    <t>Hurricane Insurance</t>
  </si>
  <si>
    <t>General Liability Insurance</t>
  </si>
  <si>
    <t>Flood Insurance</t>
  </si>
  <si>
    <t>Environmental Insurance</t>
  </si>
  <si>
    <t>Property Insurance Expense</t>
  </si>
  <si>
    <t>Total Real Estate Tax Expense</t>
  </si>
  <si>
    <t>Total Property Tax</t>
  </si>
  <si>
    <t>Real Estate Tax Appeal</t>
  </si>
  <si>
    <t>Real Estate Tax Exp-Refund</t>
  </si>
  <si>
    <t>Real Estate Tax Exp</t>
  </si>
  <si>
    <t>Total Utilities Expense</t>
  </si>
  <si>
    <t>Total Utilities</t>
  </si>
  <si>
    <t>Utilities-Fire Service Meter</t>
  </si>
  <si>
    <t>Utilities-Alternative Energy</t>
  </si>
  <si>
    <t>Utilities-Water Irrigation</t>
  </si>
  <si>
    <t>Utilities-Water &amp; Sewer</t>
  </si>
  <si>
    <t>Utilities-Phn Fire Life Safety</t>
  </si>
  <si>
    <t>Utilities-Telephone &amp; Data</t>
  </si>
  <si>
    <t>Utilities-Trash</t>
  </si>
  <si>
    <t>Utilities-Gas</t>
  </si>
  <si>
    <t>Utilities-Electric</t>
  </si>
  <si>
    <t>Utilities</t>
  </si>
  <si>
    <t>Utilities Expense</t>
  </si>
  <si>
    <t>Total Repair &amp; Maintenance Exp</t>
  </si>
  <si>
    <t>Total R&amp;M-Janitorial</t>
  </si>
  <si>
    <t>R&amp;M-Cleaning Supplies</t>
  </si>
  <si>
    <t>R&amp;M-Animal Control</t>
  </si>
  <si>
    <t>R&amp;M-Pest Control</t>
  </si>
  <si>
    <t>R&amp;M-Cleaning</t>
  </si>
  <si>
    <t>R&amp;M-Janitorial</t>
  </si>
  <si>
    <t>Total R&amp;M-Parking Lot</t>
  </si>
  <si>
    <t>R&amp;M-Loading Dock</t>
  </si>
  <si>
    <t>R&amp;M-Concrete &amp; Asphalt</t>
  </si>
  <si>
    <t>R&amp;M-Restriping</t>
  </si>
  <si>
    <t>R&amp;M-Snow Removal</t>
  </si>
  <si>
    <t>R&amp;M-Sweeping</t>
  </si>
  <si>
    <t>R&amp;M-Parking Lot</t>
  </si>
  <si>
    <t>Total R&amp;M-Landscape</t>
  </si>
  <si>
    <t>R&amp;M-Swimming Pool</t>
  </si>
  <si>
    <t>R&amp;M-Water Feature Supplies</t>
  </si>
  <si>
    <t>R&amp;M-Irrigation/Drainage</t>
  </si>
  <si>
    <t>R&amp;M-Nonplant Supplies</t>
  </si>
  <si>
    <t>R&amp;M-Tree &amp; Shrub</t>
  </si>
  <si>
    <t>R&amp;M-Planting</t>
  </si>
  <si>
    <t>R&amp;M-Landscaping</t>
  </si>
  <si>
    <t>R&amp;M-Landscape</t>
  </si>
  <si>
    <t>Total R&amp;M-Machinery</t>
  </si>
  <si>
    <t xml:space="preserve">R&amp;M-Vehicles_x000D_
</t>
  </si>
  <si>
    <t>R&amp;M-Vehicles</t>
  </si>
  <si>
    <t>R&amp;M-Appliance</t>
  </si>
  <si>
    <t>R&amp;M-Security &amp; Alarm</t>
  </si>
  <si>
    <t>R&amp;M-Fire Alarm &amp; Sprinklers</t>
  </si>
  <si>
    <t>R&amp;M-Inspections</t>
  </si>
  <si>
    <t>R&amp;M-Elevator</t>
  </si>
  <si>
    <t>R&amp;M-HVAC</t>
  </si>
  <si>
    <t>R&amp;M-Electrical</t>
  </si>
  <si>
    <t>R&amp;M-Machinery</t>
  </si>
  <si>
    <t>Total R&amp;M-Building</t>
  </si>
  <si>
    <t>R&amp;M-Tools &amp; Supplies</t>
  </si>
  <si>
    <t>R&amp;M-Locks &amp; Keys</t>
  </si>
  <si>
    <t>R&amp;M-Signage</t>
  </si>
  <si>
    <t>R&amp;M-Interior</t>
  </si>
  <si>
    <t>R&amp;M-Plumbing</t>
  </si>
  <si>
    <t>R&amp;M-Painting</t>
  </si>
  <si>
    <t>R&amp;M-Roof</t>
  </si>
  <si>
    <t>R&amp;M-Structural</t>
  </si>
  <si>
    <t>R&amp;M-Building</t>
  </si>
  <si>
    <t>Repair &amp; Maintenance Expense</t>
  </si>
  <si>
    <t>Cost of Real Estate Operations</t>
  </si>
  <si>
    <t>Total Provision for Guarantees</t>
  </si>
  <si>
    <t>Provision for guarantees</t>
  </si>
  <si>
    <t>Total Cost of Construction Contracts</t>
  </si>
  <si>
    <t>Total Costs of Construction Contracts</t>
  </si>
  <si>
    <t>Estimated Losses on Contracts</t>
  </si>
  <si>
    <t>Cost of Construction Contracts</t>
  </si>
  <si>
    <t xml:space="preserve">COS-Reserve Transfer _x000D_
</t>
  </si>
  <si>
    <t xml:space="preserve">COS-Reserve Transfer </t>
  </si>
  <si>
    <t xml:space="preserve">COS-Technology-Software_x000D_
</t>
  </si>
  <si>
    <t>COS-Technology-Software</t>
  </si>
  <si>
    <t>COS-Technology-Materials</t>
  </si>
  <si>
    <t>Total Deferred COS-Contra</t>
  </si>
  <si>
    <t>Def COS Contra-Undeveloped Land</t>
  </si>
  <si>
    <t>Def COS Contra-Vertical Units</t>
  </si>
  <si>
    <t>Deferred COS-Contra</t>
  </si>
  <si>
    <t>Total Cost of Sales-Undeveloped Land</t>
  </si>
  <si>
    <t>COS-Undeveloped Land</t>
  </si>
  <si>
    <t>Cost of Sales-Undeveloped Land</t>
  </si>
  <si>
    <t>Total Cost of Sales-Vertical</t>
  </si>
  <si>
    <t>COS-Vertical Units-Percentage of Completion</t>
  </si>
  <si>
    <t>COS-Vertical Units</t>
  </si>
  <si>
    <t>Cost of Sales-Vertical</t>
  </si>
  <si>
    <t>COSTS &amp; OPERATING EXPENSES</t>
  </si>
  <si>
    <t>TOTAL OPERATING REVENUE</t>
  </si>
  <si>
    <t>Total Construction Fee Revenues</t>
  </si>
  <si>
    <t>Total Contractor Fee Revenues</t>
  </si>
  <si>
    <t>Billings-Insurance</t>
  </si>
  <si>
    <t>Billings-Construction Fees</t>
  </si>
  <si>
    <t>Billings-General Conditions</t>
  </si>
  <si>
    <t xml:space="preserve">Billings-Contractor Revenue-Percentage of Completion </t>
  </si>
  <si>
    <t>Billings-Contractor Revenue</t>
  </si>
  <si>
    <t>Contractor Fee Revenues</t>
  </si>
  <si>
    <t>Construction Fee Revenues</t>
  </si>
  <si>
    <t>Total Commissions-development-rental-and other</t>
  </si>
  <si>
    <t>Total Other Operating Revenue</t>
  </si>
  <si>
    <t>Total Other Income</t>
  </si>
  <si>
    <t>Other Gains</t>
  </si>
  <si>
    <t>Other Income</t>
  </si>
  <si>
    <t>Total Other Tenant Revenue</t>
  </si>
  <si>
    <t>Application Fee Revenue</t>
  </si>
  <si>
    <t>Sublease Revenue</t>
  </si>
  <si>
    <t>Forfeited Sales Dep Revenue</t>
  </si>
  <si>
    <t>Other Tenant Revenue</t>
  </si>
  <si>
    <t>Early Termination Fee Revenue</t>
  </si>
  <si>
    <t>Forfeited Security Dep Revenue</t>
  </si>
  <si>
    <t>NSF Fee Revenue</t>
  </si>
  <si>
    <t>Late Fee Abatement</t>
  </si>
  <si>
    <t>Late Fee Revenue</t>
  </si>
  <si>
    <t>Owner Association Revenue</t>
  </si>
  <si>
    <t>CC&amp;R Revenue</t>
  </si>
  <si>
    <t>Surcharge Revenue</t>
  </si>
  <si>
    <t>Locks &amp; Keys Revenue</t>
  </si>
  <si>
    <t>Signage Revenue</t>
  </si>
  <si>
    <t>Antenna Revenue</t>
  </si>
  <si>
    <t>Storage Revenue</t>
  </si>
  <si>
    <t>Parking Revenue</t>
  </si>
  <si>
    <t>Other Operating Revenue</t>
  </si>
  <si>
    <t>Total N/R-Interest Income</t>
  </si>
  <si>
    <t>Total Other N/R Revenue</t>
  </si>
  <si>
    <t>Fee Inc-N/R-Promissory Prepay</t>
  </si>
  <si>
    <t>Fee Inc-N/R-Promissory Penalty</t>
  </si>
  <si>
    <t>Other N/R Revenue</t>
  </si>
  <si>
    <t>Total N/R-Def Loan Fee Amort</t>
  </si>
  <si>
    <t>Loan Fee Amort-N/R-Affiliate</t>
  </si>
  <si>
    <t>Loan Fee Amort-N/R-Promissory</t>
  </si>
  <si>
    <t>N/R-Deferred Loan Fee Amort</t>
  </si>
  <si>
    <t>Total N/R-Reserve</t>
  </si>
  <si>
    <t>Reserve-N/R-Affiliate</t>
  </si>
  <si>
    <t>Reserve-N/R-Promissory</t>
  </si>
  <si>
    <t>N/R-Reserve</t>
  </si>
  <si>
    <t>Total Int Inc-N/R-Affiliate</t>
  </si>
  <si>
    <t>Int Inc-N/R-Affil Disc Amort</t>
  </si>
  <si>
    <t>Int Inc-N/R-Affiliate Resv</t>
  </si>
  <si>
    <t>Int Inc-N/R-Affiliate</t>
  </si>
  <si>
    <t>Interest Inc-N/R-Affiliate</t>
  </si>
  <si>
    <t>Total Int Inc-N/R-Promissory</t>
  </si>
  <si>
    <t>Int Inc-N/R-Prom Disc Amort</t>
  </si>
  <si>
    <t>Int Inc-N/R-Prom Outside Amort</t>
  </si>
  <si>
    <t>Int Inc-N/R-Promissory Resv</t>
  </si>
  <si>
    <t>Int Inc-N/R-Promissory</t>
  </si>
  <si>
    <t>N/R-Interest Income</t>
  </si>
  <si>
    <t>Total Tenant Recovery Revenue</t>
  </si>
  <si>
    <t>Total Direct Billable Revenue</t>
  </si>
  <si>
    <t>Total Direct Bill Rev-Prof Svc</t>
  </si>
  <si>
    <t>Direct Bill Abate-Litigat&amp;Dispute</t>
  </si>
  <si>
    <t>Direct Bill Rev-Litigat&amp;Dispute</t>
  </si>
  <si>
    <t>Direct Bill Revenue-Prof Service</t>
  </si>
  <si>
    <t>Total Direct Bill Revenue-Util</t>
  </si>
  <si>
    <t>Direct Bill Abate-Fire Srv Met</t>
  </si>
  <si>
    <t>Direct Bill Rev-Fire Srv Meter</t>
  </si>
  <si>
    <t>Direct Bill Abate-Water &amp; Sewer</t>
  </si>
  <si>
    <t>Direct Bill Rev-Water &amp; Sewer</t>
  </si>
  <si>
    <t>Direct Bill Abate-Alt Energy</t>
  </si>
  <si>
    <t>Direct Bill Rev-Alt Energy</t>
  </si>
  <si>
    <t>Direct Bill Abate-Telephone &amp; Data</t>
  </si>
  <si>
    <t>Direct Bill Rev-Telephone &amp; Data</t>
  </si>
  <si>
    <t>Direct Bill Abate-Trash</t>
  </si>
  <si>
    <t>Direct Bill Rev-Trash</t>
  </si>
  <si>
    <t>Direct Bill Abate-Gas</t>
  </si>
  <si>
    <t>Direct Bill Rev-Gas</t>
  </si>
  <si>
    <t>Direct Bill Abate-Electric</t>
  </si>
  <si>
    <t>Direct Bill Rev-Electric</t>
  </si>
  <si>
    <t>Direct Bill Revenue-Utilities</t>
  </si>
  <si>
    <t>Total Direct Bill Revenue-R&amp;M</t>
  </si>
  <si>
    <t>Direct Bill Abate-Janitorial</t>
  </si>
  <si>
    <t>Direct Bill Rev-Janitorial</t>
  </si>
  <si>
    <t>Direct Bill Abate-Swimming Pool</t>
  </si>
  <si>
    <t>Direct Bill Rev-Swimming Pool</t>
  </si>
  <si>
    <t>Direct Bill Abate-Landscape</t>
  </si>
  <si>
    <t>Direct Bill Rev-Landscape</t>
  </si>
  <si>
    <t>Direct Bill Abate-Security &amp; Alarm</t>
  </si>
  <si>
    <t>Direct Bill Rev-Security &amp; Alarm</t>
  </si>
  <si>
    <t>Direct Bill Abate-HVAC</t>
  </si>
  <si>
    <t>Direct Bill Rev-HVAC</t>
  </si>
  <si>
    <t>Direct Bill Abate-Elec Supl/Instal</t>
  </si>
  <si>
    <t>Direct Bill Rev-Elec Supl/Instal</t>
  </si>
  <si>
    <t>Direct Bill Abate-Tools &amp; Supplies</t>
  </si>
  <si>
    <t>Direct Bill Rev-Tools &amp; Supplies</t>
  </si>
  <si>
    <t>Direct Bill Abate-Locks &amp; Keys</t>
  </si>
  <si>
    <t>Direct Bill Rev-Locks &amp; Keys</t>
  </si>
  <si>
    <t>Direct Bill Abate-Signage</t>
  </si>
  <si>
    <t>Direct Bill Rev-Signage</t>
  </si>
  <si>
    <t>Direct Bill Abate-Plumbing</t>
  </si>
  <si>
    <t>Direct Bill Rev-Plumbing</t>
  </si>
  <si>
    <t>Direct Bill Abate-Roof</t>
  </si>
  <si>
    <t>Direct Bill Rev-Roof</t>
  </si>
  <si>
    <t>Direct Bill Abate-Doors &amp; Windows</t>
  </si>
  <si>
    <t>Direct Bill Rev-Doors &amp; Windows</t>
  </si>
  <si>
    <t>Direct Bill Revenue-R&amp;M</t>
  </si>
  <si>
    <t>Direct Billable Revenue</t>
  </si>
  <si>
    <t>Total T/R-Administrative Exp</t>
  </si>
  <si>
    <t>T/R-Other Recoveries</t>
  </si>
  <si>
    <t>T/R-Administrative Expense</t>
  </si>
  <si>
    <t>Total T/R-Property Mgmt Fee</t>
  </si>
  <si>
    <t>T/R-Property Management Fee</t>
  </si>
  <si>
    <t>Total T/R-Insurance</t>
  </si>
  <si>
    <t>T/R-Insurance Abatement</t>
  </si>
  <si>
    <t>T/R-Prior Year Insurance</t>
  </si>
  <si>
    <t>T/R-Insurance</t>
  </si>
  <si>
    <t>Total T/R-Property Taxes</t>
  </si>
  <si>
    <t>T/R-Excise Tax</t>
  </si>
  <si>
    <t>T/R-Property Tax Abatement</t>
  </si>
  <si>
    <t>T/R-Prior Year Property Taxes</t>
  </si>
  <si>
    <t>T/R-Property Taxes</t>
  </si>
  <si>
    <t>Total T/R-Utilities</t>
  </si>
  <si>
    <t>T/R-Utilities Abatement</t>
  </si>
  <si>
    <t>T/R-Prior Year Utilities</t>
  </si>
  <si>
    <t>T/R-Utilities</t>
  </si>
  <si>
    <t>Total T/R-Common Area Maint</t>
  </si>
  <si>
    <t>T/R-Prior Year CAM Abatement</t>
  </si>
  <si>
    <t>T/R-CAM Abatement</t>
  </si>
  <si>
    <t>T/R-Prior Year CAM</t>
  </si>
  <si>
    <t>T/R-Common Area Maintenance</t>
  </si>
  <si>
    <t>Tenant Recovery Revenue</t>
  </si>
  <si>
    <t>Total Rental Income</t>
  </si>
  <si>
    <t>Total Leveling Revenue</t>
  </si>
  <si>
    <t>Total Intangible Lease Revenue</t>
  </si>
  <si>
    <t>Amort-Below Market Rents</t>
  </si>
  <si>
    <t>Amort-Above Market Rents</t>
  </si>
  <si>
    <t>Intangible Lease Revenue</t>
  </si>
  <si>
    <t>Total Straight-Line Rent Revenue</t>
  </si>
  <si>
    <t>Amort-Straight-Line Rent Abate</t>
  </si>
  <si>
    <t>Amort-Straight-Line Rent</t>
  </si>
  <si>
    <t>Straight-Line Rent Revenue</t>
  </si>
  <si>
    <t>Leveling Revenue</t>
  </si>
  <si>
    <t>Total Base Rent</t>
  </si>
  <si>
    <t xml:space="preserve">Rent-Contra_x000D_
</t>
  </si>
  <si>
    <t>Rent-Contra</t>
  </si>
  <si>
    <t>Rent-Residential</t>
  </si>
  <si>
    <t>Rent-Tenant Reimbursement</t>
  </si>
  <si>
    <t>Rent-Tenant Allowance</t>
  </si>
  <si>
    <t>Rent-Reduction</t>
  </si>
  <si>
    <t>Rent-Abatement</t>
  </si>
  <si>
    <t>Rent-Additional</t>
  </si>
  <si>
    <t>Rent-Deferred</t>
  </si>
  <si>
    <t>Rent-Base</t>
  </si>
  <si>
    <t>Base Rent</t>
  </si>
  <si>
    <t>Rental Income</t>
  </si>
  <si>
    <t>Total Fee Income</t>
  </si>
  <si>
    <t>Total Reimbursement Cost</t>
  </si>
  <si>
    <t>Third-Party PM Cost Reimbursement</t>
  </si>
  <si>
    <t>Professional Fee Cost Reimb</t>
  </si>
  <si>
    <t>Advertising &amp; Mktg Cost Reimb</t>
  </si>
  <si>
    <t>Insurance Cost Reimbursement</t>
  </si>
  <si>
    <t>Travel Cost Reimbursement</t>
  </si>
  <si>
    <t>Occupancy Cost Reimbursement</t>
  </si>
  <si>
    <t>Administrative Cost Reimb</t>
  </si>
  <si>
    <t>Personnel Cost Reimbursement</t>
  </si>
  <si>
    <t>Reimbursement Cost</t>
  </si>
  <si>
    <t>Total Mgmt Fee Rev-Recurring</t>
  </si>
  <si>
    <t>Total Services Fee Revenue-Technology</t>
  </si>
  <si>
    <t>Services Fee Revenue-Technology-Materials</t>
  </si>
  <si>
    <t xml:space="preserve">Services Fee Revenue-Technology-Software_x000D_
</t>
  </si>
  <si>
    <t>Services Fee Revenue-Technology-Software</t>
  </si>
  <si>
    <t>Services Fee Revenue-Technology-Labor</t>
  </si>
  <si>
    <t>Services Fee Revenue-Technology</t>
  </si>
  <si>
    <t>Services Fee Revenue</t>
  </si>
  <si>
    <t>Lease Commission Revenue</t>
  </si>
  <si>
    <t>Debt Guarantee Fee Revenue</t>
  </si>
  <si>
    <t>Asset Mgmt Fee Revenue</t>
  </si>
  <si>
    <t>Disposition Fee Revenue</t>
  </si>
  <si>
    <t>Acquisition Fee Revenue</t>
  </si>
  <si>
    <t>Mgmt Fee Revenue</t>
  </si>
  <si>
    <t>Management Fee Revenue</t>
  </si>
  <si>
    <t>Total Development Fees</t>
  </si>
  <si>
    <t>Marketing Fee Revenue</t>
  </si>
  <si>
    <t>Trademark and License fees</t>
  </si>
  <si>
    <t xml:space="preserve">Branding Fee Revenue_x000D_
</t>
  </si>
  <si>
    <t>Branding Fee Revenue</t>
  </si>
  <si>
    <t>Construction Management fees</t>
  </si>
  <si>
    <t>GC Fee Revenue</t>
  </si>
  <si>
    <t>Promote Fee Revenue</t>
  </si>
  <si>
    <t>Overhead Fee Revenue</t>
  </si>
  <si>
    <t>Technical Development fees</t>
  </si>
  <si>
    <t>Developer Fee Revenue</t>
  </si>
  <si>
    <t>Development Fees</t>
  </si>
  <si>
    <t>Fee Income</t>
  </si>
  <si>
    <t>Sales Commission Revenue</t>
  </si>
  <si>
    <t>Commissions-development-rental and other</t>
  </si>
  <si>
    <t>Total Sales-Land</t>
  </si>
  <si>
    <t>Total Land-Sales Contra</t>
  </si>
  <si>
    <t>Sales Contra-Land</t>
  </si>
  <si>
    <t>Land-Sales Contra</t>
  </si>
  <si>
    <t>Land-Selling Exp-Concessions</t>
  </si>
  <si>
    <t>Land-Selling Exp-XClosing</t>
  </si>
  <si>
    <t>Land-Selling Exp-Closing</t>
  </si>
  <si>
    <t>Land-Gross Sale Proceeds</t>
  </si>
  <si>
    <t>Sales-Land</t>
  </si>
  <si>
    <t>Total Sales-Vertical</t>
  </si>
  <si>
    <t>Total Vertical Dev Sales-Contra</t>
  </si>
  <si>
    <t>Sales Contra-Vertical Dev</t>
  </si>
  <si>
    <t>Vertical Dev Sales-Contra</t>
  </si>
  <si>
    <t>Total Closing &amp; Concession Costs</t>
  </si>
  <si>
    <t>Vertical Dev Selling Exp-Lease Back-Program Costs</t>
  </si>
  <si>
    <t>Vertical Dev Selling Exp-Lease Back-Revenues</t>
  </si>
  <si>
    <t>Vertical Dev-Selling Exp-Concessions</t>
  </si>
  <si>
    <t>Vertical Dev-Selling Exp-XClosing</t>
  </si>
  <si>
    <t>Vertical Dev-Selling Exp-Closing</t>
  </si>
  <si>
    <t>Closing &amp; Concession Costs</t>
  </si>
  <si>
    <t>Total Vertical Unit Sales</t>
  </si>
  <si>
    <t>Vertical Unit Sales-Percentage of Completion</t>
  </si>
  <si>
    <t>Sales-hotel upgrades</t>
  </si>
  <si>
    <t>Vertical Unit Sales-hotel upgrades</t>
  </si>
  <si>
    <t>Sales-hotel rooms</t>
  </si>
  <si>
    <t>Vertical Unit Sales-hotel room</t>
  </si>
  <si>
    <t>Sales-condo hotel suites</t>
  </si>
  <si>
    <t>Vertical Unit Sales-condo hotel suites</t>
  </si>
  <si>
    <t xml:space="preserve">Sales-townhomes_x000D_
</t>
  </si>
  <si>
    <t>Vertical Unit Sales-townhomes</t>
  </si>
  <si>
    <t xml:space="preserve">Sales-commercial_x000D_
</t>
  </si>
  <si>
    <t>Vertical Unit Sales-commercial</t>
  </si>
  <si>
    <t>Sales-cabanas</t>
  </si>
  <si>
    <t>Vertical Unit Sales-cabanas</t>
  </si>
  <si>
    <t>Sales-marina boat slips</t>
  </si>
  <si>
    <t>Vertical Unit Sales-marina boat slips</t>
  </si>
  <si>
    <t>Sales-unit upgrades</t>
  </si>
  <si>
    <t>Vertical Unit Sales-unit upgrades</t>
  </si>
  <si>
    <t>Sales-parking spaces</t>
  </si>
  <si>
    <t>Vertical Unit Sales-parking spaces</t>
  </si>
  <si>
    <t>Sales-storage units</t>
  </si>
  <si>
    <t>Vertical Unit Sales-storage units</t>
  </si>
  <si>
    <t>Sales-condo units</t>
  </si>
  <si>
    <t>Vertical Unit Sales-condo units</t>
  </si>
  <si>
    <t>Vertical Unit Sales</t>
  </si>
  <si>
    <t>Sales-Vertical Development</t>
  </si>
  <si>
    <t>OPERATING REVENUE</t>
  </si>
  <si>
    <t>NET OPERATING INCOME (LOSS)</t>
  </si>
  <si>
    <t>INCOME (LOSS) STATEMENT</t>
  </si>
  <si>
    <t>NET BALANCE SHEET</t>
  </si>
  <si>
    <t>TOTAL LIABILITIES &amp; EQUITY</t>
  </si>
  <si>
    <t>TOTAL EQUITY</t>
  </si>
  <si>
    <t>Total Other Comprehensive Income</t>
  </si>
  <si>
    <t>Other Comprehensive Income</t>
  </si>
  <si>
    <t>Unrealized Gain on Inv Sec-AFS</t>
  </si>
  <si>
    <t>Total Retained Earnings</t>
  </si>
  <si>
    <t>Retained Earnings-Contra</t>
  </si>
  <si>
    <t>Retained Earnings-Prior Period Audit Adjustments</t>
  </si>
  <si>
    <t>Retained Earnings-Legal Reserve</t>
  </si>
  <si>
    <t>Retained Earnings - Prior Year Adjustments</t>
  </si>
  <si>
    <t xml:space="preserve">Retained Earnings - Prior Year Accumulated Profit (Loss) _x000D_
</t>
  </si>
  <si>
    <t xml:space="preserve">Retained Earnings - Prior Year Accumulated Profit (Loss) </t>
  </si>
  <si>
    <t>Retained Earnings</t>
  </si>
  <si>
    <t>Total Stockholders Equity</t>
  </si>
  <si>
    <t>Total Stockholder Equity</t>
  </si>
  <si>
    <t>Total Preferred Stock</t>
  </si>
  <si>
    <t>Pref Stock-Addl Paid-in Cap</t>
  </si>
  <si>
    <t>Preferred Stock-Issuance</t>
  </si>
  <si>
    <t>Preferred Stock-Dividend</t>
  </si>
  <si>
    <t>Preferred Stock</t>
  </si>
  <si>
    <t>Total Common Stock</t>
  </si>
  <si>
    <t>Common Stock-Addl Paid-in Cap</t>
  </si>
  <si>
    <t>Common Stock-Issuance</t>
  </si>
  <si>
    <t>Common Stock-Dividend</t>
  </si>
  <si>
    <t>Common Stock</t>
  </si>
  <si>
    <t>Stockholder Equity</t>
  </si>
  <si>
    <t>Stockholders Equity</t>
  </si>
  <si>
    <t>Total Capital Syndication Costs</t>
  </si>
  <si>
    <t>Capital Syndication Cost</t>
  </si>
  <si>
    <t>Equity charge-syndication fees</t>
  </si>
  <si>
    <t>Compl-compliance fees</t>
  </si>
  <si>
    <t>Equity synd-syndication fees</t>
  </si>
  <si>
    <t>Equity synd-admin fees</t>
  </si>
  <si>
    <t>Capital Syndication Costs</t>
  </si>
  <si>
    <t>Total External Equity-Net</t>
  </si>
  <si>
    <t>Total External Interest</t>
  </si>
  <si>
    <t xml:space="preserve">External-Equity-Income Allocation_x000D_
</t>
  </si>
  <si>
    <t>External-Equity-Income Allocation</t>
  </si>
  <si>
    <t xml:space="preserve">External-Equity-Distrib-Non Cash_x000D_
</t>
  </si>
  <si>
    <t>External-Equity-Distrib-Non Cash</t>
  </si>
  <si>
    <t xml:space="preserve">External-Equity-Noncontrolling Interest_x000D_
</t>
  </si>
  <si>
    <t>External-Equity-Noncontrolling Interest</t>
  </si>
  <si>
    <t xml:space="preserve">External-Equity-Distrib-Basis Adj_x000D_
</t>
  </si>
  <si>
    <t>External-Equity-Distrib-Basis Adj</t>
  </si>
  <si>
    <t xml:space="preserve">External-Equity-Distrib-Priority_x000D_
</t>
  </si>
  <si>
    <t>External-Equity-Distrib-Priority</t>
  </si>
  <si>
    <t xml:space="preserve">External-Equity-Distrib-Promote_x000D_
</t>
  </si>
  <si>
    <t>External-Equity-Distrib-Promote</t>
  </si>
  <si>
    <t xml:space="preserve">External-Equity-Distrib-Preferred_x000D_
</t>
  </si>
  <si>
    <t>External-Equity-Distrib-Preferred</t>
  </si>
  <si>
    <t xml:space="preserve">External-Equity-Distrib-Profit_x000D_
</t>
  </si>
  <si>
    <t>External-Equity-Distrib-Profit</t>
  </si>
  <si>
    <t xml:space="preserve">External-Equity-Distrib-Return of Capital_x000D_
</t>
  </si>
  <si>
    <t>External-Equity-Distrib-Return of Capital</t>
  </si>
  <si>
    <t xml:space="preserve">External-Equity-Contrib-Basis Adj_x000D_
</t>
  </si>
  <si>
    <t>External-Equity-Contrib-Basis Adj</t>
  </si>
  <si>
    <t xml:space="preserve">External-Equity-Contrib-Priority_x000D_
</t>
  </si>
  <si>
    <t>External-Equity-Contrib-Priority</t>
  </si>
  <si>
    <t xml:space="preserve">External-Equity-Contrib-Preferred_x000D_
</t>
  </si>
  <si>
    <t>External-Equity-Contrib-Preferred</t>
  </si>
  <si>
    <t>External-Equity-Contrib-Initial</t>
  </si>
  <si>
    <t xml:space="preserve">External-Equity-Contrib_x000D_
</t>
  </si>
  <si>
    <t>External-Equity-Contrib</t>
  </si>
  <si>
    <t>External Interest</t>
  </si>
  <si>
    <t>External Equity-Net</t>
  </si>
  <si>
    <t>Total Partner Equity-Net</t>
  </si>
  <si>
    <t>Total Partner Equity</t>
  </si>
  <si>
    <t>Partner Income Allocation</t>
  </si>
  <si>
    <t>Partner-Equity-Future Contributions of Capital Stock</t>
  </si>
  <si>
    <t>Partner-Equity-Efecto acum por conversion B-15-Mexico</t>
  </si>
  <si>
    <t>Partner-Equity-ISR difer efecto acum por accion-Mexico</t>
  </si>
  <si>
    <t>Partner-Equity-Prima en susc. de partes soc-Mexico</t>
  </si>
  <si>
    <t>Capital Transfer Out</t>
  </si>
  <si>
    <t>Capital Transfer In</t>
  </si>
  <si>
    <t xml:space="preserve">Partner-Equity-Distrib-Non Cash_x000D_
</t>
  </si>
  <si>
    <t>Partner-Equity-Distrib-Non Cash</t>
  </si>
  <si>
    <t xml:space="preserve">Partner-Equity-Distrib-Basis Adj_x000D_
</t>
  </si>
  <si>
    <t>Partner-Equity-Distrib-Basis Adj</t>
  </si>
  <si>
    <t xml:space="preserve">Partner-Equity-Distrib-Priority_x000D_
</t>
  </si>
  <si>
    <t>Partner-Equity-Distrib-Priority</t>
  </si>
  <si>
    <t xml:space="preserve">Partner-Equity-Distrib-Promote_x000D_
</t>
  </si>
  <si>
    <t>Partner-Equity-Distrib-Promote</t>
  </si>
  <si>
    <t xml:space="preserve">Partner-Equity-Distrib-Preferred_x000D_
</t>
  </si>
  <si>
    <t>Partner-Equity-Distrib-Preferred</t>
  </si>
  <si>
    <t xml:space="preserve">Partner-Equity-Distrib-Profit_x000D_
</t>
  </si>
  <si>
    <t>Partner-Equity-Distrib-Profit</t>
  </si>
  <si>
    <t xml:space="preserve">Partner-Equity-Distrib-Return of Capital_x000D_
</t>
  </si>
  <si>
    <t>Partner-Equity-Distrib-Return of Capital</t>
  </si>
  <si>
    <t xml:space="preserve">Partner-Equity-Contrib-Basis Adj_x000D_
</t>
  </si>
  <si>
    <t>Partner-Equity-Contrib-Basis Adj</t>
  </si>
  <si>
    <t xml:space="preserve">Partner-Equity-Contrib-Priority_x000D_
</t>
  </si>
  <si>
    <t>Partner-Equity-Contrib-Priority</t>
  </si>
  <si>
    <t xml:space="preserve">Partner-Equity-Contrib-Preferred_x000D_
</t>
  </si>
  <si>
    <t>Partner-Equity-Contrib-Preferred</t>
  </si>
  <si>
    <t xml:space="preserve">Partner-Equity-Contrib-Initial </t>
  </si>
  <si>
    <t>Partner-Equity-Contrib-Initial</t>
  </si>
  <si>
    <t>Partner-Equity-Contrib</t>
  </si>
  <si>
    <t>Partner Equity</t>
  </si>
  <si>
    <t>Partner Equity-Net</t>
  </si>
  <si>
    <t>EQUITY</t>
  </si>
  <si>
    <t>TOTAL LIABILITIES</t>
  </si>
  <si>
    <t>Adj to Liabilities-Rec to Cash</t>
  </si>
  <si>
    <t>Adjustments to Liabilities-Reclass to Cash</t>
  </si>
  <si>
    <t>Total Minority Interest</t>
  </si>
  <si>
    <t>Total MI Accumated</t>
  </si>
  <si>
    <t>MI Accumulated-Rec to Cash</t>
  </si>
  <si>
    <t>MI Accumulated-Reclass to Cash</t>
  </si>
  <si>
    <t>MI Acc-Incentive Repay Reclass</t>
  </si>
  <si>
    <t>MI Accumulated-Incentive Payment Reclass</t>
  </si>
  <si>
    <t>MI Accumulated-Paid</t>
  </si>
  <si>
    <t>MI Accumulated-Earned</t>
  </si>
  <si>
    <t>MI Accumulated</t>
  </si>
  <si>
    <t>Minority Interest</t>
  </si>
  <si>
    <t>Total Deferred Tax Liability</t>
  </si>
  <si>
    <t>Total Def Tax Liability</t>
  </si>
  <si>
    <t>Deferred Tax Liability-Transfer DTA</t>
  </si>
  <si>
    <t>Deferred Tax Liability-Accrual</t>
  </si>
  <si>
    <t>Def Tax Liability</t>
  </si>
  <si>
    <t>Deferred Tax Liability</t>
  </si>
  <si>
    <t>Total Tax Liability</t>
  </si>
  <si>
    <t>Total Tax Liability - Mexico</t>
  </si>
  <si>
    <t>Tax Liability-Mexico-Impuesto Sobre la Nomina 3%</t>
  </si>
  <si>
    <t>Tax Liability-Mexico-IMSS</t>
  </si>
  <si>
    <t>Tax Liability-Mexico-IVA Cobrado</t>
  </si>
  <si>
    <t>Tax Liability-Mexico-IVA Por Cobrar</t>
  </si>
  <si>
    <t>Tax Liability - Mexico</t>
  </si>
  <si>
    <t>Total Tax Liability-Vendor Withholding</t>
  </si>
  <si>
    <t>Total Tax Liability-Payments on Withholding</t>
  </si>
  <si>
    <t>Tax Liability-Payment-Sueldos</t>
  </si>
  <si>
    <t>Tax Liability-Payment-GMP</t>
  </si>
  <si>
    <t xml:space="preserve">Tax Liability-Payment-SICORE_x000D_
</t>
  </si>
  <si>
    <t>Tax Liability-Payment-SICORE</t>
  </si>
  <si>
    <t xml:space="preserve">Tax Liability-Payment-SUSS_x000D_
</t>
  </si>
  <si>
    <t>Tax Liability-Payment-SUSS</t>
  </si>
  <si>
    <t>Tax Liability-Payment-Ingresos Brutos</t>
  </si>
  <si>
    <t xml:space="preserve">Tax Liability-Payment-Impuesto a la Ganancias_x000D_
</t>
  </si>
  <si>
    <t>Tax Liability-Payment-Impuesto a la Ganancias</t>
  </si>
  <si>
    <t xml:space="preserve">Tax Liability-Payment-SIRE_x000D_
</t>
  </si>
  <si>
    <t>Tax Liability-Payment-SIRE</t>
  </si>
  <si>
    <t>Tax Liability-Payments-Tax Liability-Payment-Bs. Personales</t>
  </si>
  <si>
    <t>Tax Liability-Payment-Bs. Personales Acciones y Participacio</t>
  </si>
  <si>
    <t>Tax Liability-Payments-IVA</t>
  </si>
  <si>
    <t>Tax Liability-Payment on Withholdings</t>
  </si>
  <si>
    <t>Tax Liability-Spain-Vendor-Withholding</t>
  </si>
  <si>
    <t xml:space="preserve">Tax Liability-Retainage-IVA_x000D_
</t>
  </si>
  <si>
    <t>Tax Liability-Mexico-IVA-Retenido</t>
  </si>
  <si>
    <t>Tax Liability-Withholdings-SICORE</t>
  </si>
  <si>
    <t xml:space="preserve">Tax Liability-Withholdings-SUSS_x000D_
</t>
  </si>
  <si>
    <t>Tax Liability-Withholdings-SUSS</t>
  </si>
  <si>
    <t>Tax Liability-Withholdings-Ingresos Brutos</t>
  </si>
  <si>
    <t xml:space="preserve">Tax Liability-Withholdings-Impuesto a la Ganancias_x000D_
</t>
  </si>
  <si>
    <t>Tax Liability-Withholdings-Impuesto a la Ganancias</t>
  </si>
  <si>
    <t xml:space="preserve">Tax Liability-Withholdings-SIRE_x000D_
_x000D_
</t>
  </si>
  <si>
    <t>Tax Liability-Withholdings-SIRE</t>
  </si>
  <si>
    <t>Tax Liability-Withholding-ISR</t>
  </si>
  <si>
    <t>Tax Liability-Withholdings-ISR</t>
  </si>
  <si>
    <t>Tax Liability-Withholdings-IVA</t>
  </si>
  <si>
    <t>Tax Liability-Vendor Withholding</t>
  </si>
  <si>
    <t>Tax Liability</t>
  </si>
  <si>
    <t>Total Liability Deposits</t>
  </si>
  <si>
    <t>Total Customer Deposits</t>
  </si>
  <si>
    <t>Customer Deposits-Percentage of Completion</t>
  </si>
  <si>
    <t>Customer Deposits - Upgrades</t>
  </si>
  <si>
    <t>Customer Deposits - Reservations</t>
  </si>
  <si>
    <t>Customer Deposits - Sales</t>
  </si>
  <si>
    <t>Customer Deposits</t>
  </si>
  <si>
    <t>Total Tenant Security Deposits</t>
  </si>
  <si>
    <t>Tenant Security Deposits</t>
  </si>
  <si>
    <t>Liability Deposits</t>
  </si>
  <si>
    <t>Total Hedging Liability-Net</t>
  </si>
  <si>
    <t>Total Hedge Liability</t>
  </si>
  <si>
    <t>Rate Cap Liability-Contra</t>
  </si>
  <si>
    <t>Hedge Liability</t>
  </si>
  <si>
    <t>Hedging Liability-Net</t>
  </si>
  <si>
    <t>Total Def Finance Fees-Net</t>
  </si>
  <si>
    <t>Total Accumulated Amortization</t>
  </si>
  <si>
    <t>Total A/A-Loan Fee-N/R-Affil</t>
  </si>
  <si>
    <t>A/A-Loan Fee-N/R-Affil-Trans</t>
  </si>
  <si>
    <t>A/A-Loan Fee-N/R-Affil-Accrual</t>
  </si>
  <si>
    <t>A/A-Loan Fee-N/R-Affil-COS</t>
  </si>
  <si>
    <t>A/A-Loan Fee-N/R-Affiliate</t>
  </si>
  <si>
    <t>Total A/A-Loan Fee-N/R-Prom</t>
  </si>
  <si>
    <t>A/A-Loan Fee-N/R-Prom-Transfer</t>
  </si>
  <si>
    <t>A/A-Loan Fee-N/R-Prom-Accrual</t>
  </si>
  <si>
    <t>A/A-Loan Fee-N/R-Prom-COS</t>
  </si>
  <si>
    <t>A/A-Loan Fee-N/R-Promissory</t>
  </si>
  <si>
    <t>Accumulated Amortization</t>
  </si>
  <si>
    <t>Total Deferred Financing Fees</t>
  </si>
  <si>
    <t>Total Loan Fee-N/R-Affiliate</t>
  </si>
  <si>
    <t>Loan Fee-N/R-Affiliate-Trans</t>
  </si>
  <si>
    <t>Loan Fee-N/R-Affiliate-COS</t>
  </si>
  <si>
    <t>Loan Fee-N/R-Affiliate-Addn</t>
  </si>
  <si>
    <t>Loan Fee-N/R-Affiliate</t>
  </si>
  <si>
    <t>Total Loan Fee-N/R-Promissory</t>
  </si>
  <si>
    <t>Loan Fee-N/R-Promissory-Trans</t>
  </si>
  <si>
    <t>Loan Fee-N/R-Promissory-COS</t>
  </si>
  <si>
    <t>Loan Fee-N/R-Promissory-Addn</t>
  </si>
  <si>
    <t>Loan Fee-N/R-Promissory</t>
  </si>
  <si>
    <t>Deferred Financing Fees</t>
  </si>
  <si>
    <t>Deferred Financing Fees-Net</t>
  </si>
  <si>
    <t>Total Unearned Revenue</t>
  </si>
  <si>
    <t>Total Deferred Gain on Sale</t>
  </si>
  <si>
    <t>Total Deferred Gains-Other</t>
  </si>
  <si>
    <t>Deferred Gain on Sale-FA</t>
  </si>
  <si>
    <t>Deferred Gain on Sale-OP</t>
  </si>
  <si>
    <t>Deferred Gain on Sale-Uncon</t>
  </si>
  <si>
    <t>Deferred Gain on Sale-Conso</t>
  </si>
  <si>
    <t>Deferred Gain on Sale-N/R</t>
  </si>
  <si>
    <t>Deferred Gains-Other</t>
  </si>
  <si>
    <t>Total Deferred Cost of Sales</t>
  </si>
  <si>
    <t>Deferred COS-Vert Dev</t>
  </si>
  <si>
    <t>Deferred COS-Undev Land</t>
  </si>
  <si>
    <t>Deferred Cost of Sales</t>
  </si>
  <si>
    <t>Total Deferred Gains-Operating</t>
  </si>
  <si>
    <t>Deferred Sale-Vert Dev</t>
  </si>
  <si>
    <t>Deferred Sale-Undev Land</t>
  </si>
  <si>
    <t>Deferred Gains-Operating</t>
  </si>
  <si>
    <t>Deferred Gain on Sale</t>
  </si>
  <si>
    <t>Total Deferred Revenue</t>
  </si>
  <si>
    <t>Deferred Revenue-Budget Only</t>
  </si>
  <si>
    <t>Deferred Revenue-Percentage of Completion</t>
  </si>
  <si>
    <t>Deferred Revenue</t>
  </si>
  <si>
    <t>Deferred Income</t>
  </si>
  <si>
    <t>Total Deferred Tenant Reimb</t>
  </si>
  <si>
    <t>A/A-Deferred Tenant Reimb-Amort</t>
  </si>
  <si>
    <t>Deferred Tenant Reimb-Addition</t>
  </si>
  <si>
    <t>Deferred Tenant Reimbursement</t>
  </si>
  <si>
    <t>Total Unearned Tenant Rent</t>
  </si>
  <si>
    <t>Unearned Tenant Rent</t>
  </si>
  <si>
    <t>Unearned Revenue</t>
  </si>
  <si>
    <t>Total Intangible Lease Liab-Net</t>
  </si>
  <si>
    <t>Total A/A-Blw Mkt Ground Lease</t>
  </si>
  <si>
    <t>A/A-Blw Mkt Grnd Lease-Trans</t>
  </si>
  <si>
    <t>A/A-Blw Mkt Grnd Lease-Amort</t>
  </si>
  <si>
    <t>A/A-Blw Mkt Grnd Lease-COS-Contra</t>
  </si>
  <si>
    <t>A/A-Below Market Ground Lease</t>
  </si>
  <si>
    <t>Total A/A-Below Market Rents</t>
  </si>
  <si>
    <t>A/A-Below Market Rents-Trans</t>
  </si>
  <si>
    <t>A/A-Below Market Rents-Amort</t>
  </si>
  <si>
    <t>A/A-Below Market Rents-COS-Contra</t>
  </si>
  <si>
    <t>A/A-Below Market Rents</t>
  </si>
  <si>
    <t>Total Intangible Lease Liab</t>
  </si>
  <si>
    <t>Total Below Mkt Ground Lease</t>
  </si>
  <si>
    <t>Below Mkt Ground Lease-Trans</t>
  </si>
  <si>
    <t>Below Market Ground Lease-Basis Allocation</t>
  </si>
  <si>
    <t>Below Market Ground Lease-COS-Contra</t>
  </si>
  <si>
    <t>Below Market Ground Lease</t>
  </si>
  <si>
    <t>Total Below Market Rents</t>
  </si>
  <si>
    <t>Below Market Rents-Transfer</t>
  </si>
  <si>
    <t>Below Market Rents-Basis Allocation</t>
  </si>
  <si>
    <t>Below Market Rents-COS-Contra</t>
  </si>
  <si>
    <t>Below Market Rents</t>
  </si>
  <si>
    <t>Intangible Lease Liabilities</t>
  </si>
  <si>
    <t>Intangible Lease Liab-Net</t>
  </si>
  <si>
    <t>Total Lines of Credit-Net</t>
  </si>
  <si>
    <t>Total Line of Credit-Affiliate</t>
  </si>
  <si>
    <t>Total LOC-Affiliate</t>
  </si>
  <si>
    <t>LOC-Affiliate-Transfer</t>
  </si>
  <si>
    <t>LOC-Affiliate-Restructure</t>
  </si>
  <si>
    <t>LOC-Affiliate-Cmpd Int</t>
  </si>
  <si>
    <t>LOC-Affiliate-Addition</t>
  </si>
  <si>
    <t>LOC-Affiliate-Payment</t>
  </si>
  <si>
    <t>LOC-Affiliate</t>
  </si>
  <si>
    <t>Line of Credit-Affiliate</t>
  </si>
  <si>
    <t>Total Line of Credit-Unsecured</t>
  </si>
  <si>
    <t>Total LOC-Unsecured</t>
  </si>
  <si>
    <t>LOC-Unsecured-Transfer</t>
  </si>
  <si>
    <t>LOC-Unsecured-Restructure</t>
  </si>
  <si>
    <t>LOC-Unsecured-Cmpd Int</t>
  </si>
  <si>
    <t>LOC-Unsecured-Addition</t>
  </si>
  <si>
    <t>LOC-Unsecured-Payment</t>
  </si>
  <si>
    <t>LOC-Unsecured</t>
  </si>
  <si>
    <t>Line of Credit-Unsecured</t>
  </si>
  <si>
    <t>Total Line of Credit-Secured</t>
  </si>
  <si>
    <t>Total LOC-Secured</t>
  </si>
  <si>
    <t>LOC-Secured-Transfer</t>
  </si>
  <si>
    <t>LOC-Secured-Restructure</t>
  </si>
  <si>
    <t>LOC-Secured-Cmpd Int</t>
  </si>
  <si>
    <t>LOC-Secured-Addition</t>
  </si>
  <si>
    <t>LOC-Secured-Payment</t>
  </si>
  <si>
    <t>LOC-Secured</t>
  </si>
  <si>
    <t>Line of Credit-Secured</t>
  </si>
  <si>
    <t>Lines of Credit-Net</t>
  </si>
  <si>
    <t>Total Notes Payable-Net</t>
  </si>
  <si>
    <t>Total Note Payable-Affiliate</t>
  </si>
  <si>
    <t>Total N/P-Affiliate Disc/Prem</t>
  </si>
  <si>
    <t>N/P-Affiliate Disc/Prem-Trans</t>
  </si>
  <si>
    <t>N/P-Affiliate Disc/Prem-Amort</t>
  </si>
  <si>
    <t>N/P-Affiliate Disc/Prem-Addn</t>
  </si>
  <si>
    <t>N/P-Affiliate Discount/Premium</t>
  </si>
  <si>
    <t>Total N/P-Affiliate</t>
  </si>
  <si>
    <t>N/P-Affiliate-Transfer</t>
  </si>
  <si>
    <t>N/P-Affiliate-Restructure</t>
  </si>
  <si>
    <t>N/P-Affiliate-Cmpd Int</t>
  </si>
  <si>
    <t>N/P-Affiliate-Addition</t>
  </si>
  <si>
    <t>N/P-Affiliate-Payment</t>
  </si>
  <si>
    <t>N/P-Affiliate</t>
  </si>
  <si>
    <t>Note Payable-Affiliate</t>
  </si>
  <si>
    <t>Total Note Payable-Promissory</t>
  </si>
  <si>
    <t>Total N/P-Promissory Disc/Prem</t>
  </si>
  <si>
    <t>N/P-Promissory Disc/Prem-Trans</t>
  </si>
  <si>
    <t>N/P-Promissory Disc/Prem-Amort</t>
  </si>
  <si>
    <t>N/P-Promissory Disc/Prem-Addn</t>
  </si>
  <si>
    <t>N/P-Promissory Discount/Prmium</t>
  </si>
  <si>
    <t>Total N/P-Promissory</t>
  </si>
  <si>
    <t>N/P-Promissory-Transfer</t>
  </si>
  <si>
    <t>N/P-Promissory-Restructure</t>
  </si>
  <si>
    <t>N/P-Promissory-Cmpd Int</t>
  </si>
  <si>
    <t>N/P-Promissory-Holdback</t>
  </si>
  <si>
    <t>N/P-Promissory-Addition</t>
  </si>
  <si>
    <t>Loan Proceeds-const-bond Ptnr3</t>
  </si>
  <si>
    <t>Loan Proceeds-const-bond Ptnr2</t>
  </si>
  <si>
    <t>Loan Proceeds-const-bond Ptnr1</t>
  </si>
  <si>
    <t>Loan Proceeds-const-govt Ptnr3</t>
  </si>
  <si>
    <t>Loan Proceeds-const-govt Ptnr2</t>
  </si>
  <si>
    <t>Loan Proceeds-const-govt Ptnr1</t>
  </si>
  <si>
    <t>Loan Proceeds-const-inst Ptnr3</t>
  </si>
  <si>
    <t>Loan Proceeds-const-inst Ptnr2</t>
  </si>
  <si>
    <t>Loan Proceeds-const-inst Ptnr1</t>
  </si>
  <si>
    <t>Loan Proceeds-land-bond Ptnr3</t>
  </si>
  <si>
    <t>Loan Proceeds-land-bond Ptnr2</t>
  </si>
  <si>
    <t>Loan Proceeds-land-bond Ptnr1</t>
  </si>
  <si>
    <t>Loan Proceeds-land-govt Ptnr3</t>
  </si>
  <si>
    <t>Loan Proceeds-land-govt Ptnr2</t>
  </si>
  <si>
    <t>Loan Proceeds-land-govt Ptnr1</t>
  </si>
  <si>
    <t>Loan Proceeds-land-inst Ptnr3</t>
  </si>
  <si>
    <t>Loan Proceeds-land-inst Ptnr2</t>
  </si>
  <si>
    <t>Loan Proceeds-land-inst Ptnr1</t>
  </si>
  <si>
    <t>N/P-Promissory-Payment</t>
  </si>
  <si>
    <t>Loan Payments-const-bond Ptnr3</t>
  </si>
  <si>
    <t>Loan Payments-const-bond Ptnr2</t>
  </si>
  <si>
    <t>Loan Payments-const-bond Ptnr1</t>
  </si>
  <si>
    <t>Loan Payments-const-govt Ptnr3</t>
  </si>
  <si>
    <t>Loan Payments-const-govt Ptnr2</t>
  </si>
  <si>
    <t>Loan Payments-const-govt Ptnr1</t>
  </si>
  <si>
    <t>Loan Payments-const-inst Ptnr3</t>
  </si>
  <si>
    <t>Loan Payments-const-inst Ptnr2</t>
  </si>
  <si>
    <t>Loan Payments-const-inst Ptnr1</t>
  </si>
  <si>
    <t>Loan Payments-land-bond Ptnr3</t>
  </si>
  <si>
    <t>Loan Payments-land-bond Ptnr2</t>
  </si>
  <si>
    <t>Loan Payments-land-bond Ptnr1</t>
  </si>
  <si>
    <t>Loan Payments-land-govt Ptnr3</t>
  </si>
  <si>
    <t>Loan Payments-land-govt Ptnr2</t>
  </si>
  <si>
    <t>Loan Payments-land-govt Ptnr1</t>
  </si>
  <si>
    <t>Loan Payments-land-inst Ptnr3</t>
  </si>
  <si>
    <t>Loan Payments-land-inst Ptnr2</t>
  </si>
  <si>
    <t>Loan Payments-land-inst Ptnr1</t>
  </si>
  <si>
    <t>N/P-Promissory</t>
  </si>
  <si>
    <t>Note Payable-Promissory</t>
  </si>
  <si>
    <t>Notes Payable-Net</t>
  </si>
  <si>
    <t>Total Due to Affiliates-Net</t>
  </si>
  <si>
    <t>Total Due to Affil-SCF Classif</t>
  </si>
  <si>
    <t>Total Due to Affil-SCF-Financing</t>
  </si>
  <si>
    <t>Due to Affil-SCF-Def Fin Fees</t>
  </si>
  <si>
    <t>Due to Affil-SCF-Financing</t>
  </si>
  <si>
    <t>Total Due to Affil-SCF-Investing</t>
  </si>
  <si>
    <t>Due to Affil-SCF-Int Lease Assets</t>
  </si>
  <si>
    <t>Due to Affil-SCF-CIP</t>
  </si>
  <si>
    <t>Due to Affil-SCF-Dev Assets</t>
  </si>
  <si>
    <t>Due to Affil-SCF-Investing</t>
  </si>
  <si>
    <t>Total Due to Affil-SCF-Operating</t>
  </si>
  <si>
    <t>Due to Affil-SCF-Cost of RE Ops</t>
  </si>
  <si>
    <t>Due to Affil-SCF-Operating</t>
  </si>
  <si>
    <t>Due to Affil-SCF Classification</t>
  </si>
  <si>
    <t>Total Due to Affiliates</t>
  </si>
  <si>
    <t>Due to Affiliates-SCF-Contra</t>
  </si>
  <si>
    <t>Due to Affiliates-Manual</t>
  </si>
  <si>
    <t>Due to Affiliates</t>
  </si>
  <si>
    <t>Due to Affiliates-Net</t>
  </si>
  <si>
    <t>Total Interest Payable-Net</t>
  </si>
  <si>
    <t>Total Int Pay-LOC-Affiliate</t>
  </si>
  <si>
    <t>Total I/P-LOC-Affiliate</t>
  </si>
  <si>
    <t>I/P-LOC-Affiliate-Transfer</t>
  </si>
  <si>
    <t>I/P-LOC-Affiliate-Accrual</t>
  </si>
  <si>
    <t>I/P-LOC-Affiliate-Restructure</t>
  </si>
  <si>
    <t>I/P-LOC-Affiliate-Cmpd Int</t>
  </si>
  <si>
    <t>I/P-LOC-Affiliate-Int Payment</t>
  </si>
  <si>
    <t>I/P-LOC-Affiliate</t>
  </si>
  <si>
    <t>Int Payable-LOC-Affiliate</t>
  </si>
  <si>
    <t>Total Int Pay-LOC-Unsecured</t>
  </si>
  <si>
    <t>Total I/P-LOC-Unsecured</t>
  </si>
  <si>
    <t>I/P-LOC-Unsecured-Transfer</t>
  </si>
  <si>
    <t>I/P-LOC-Unsecured-Accrual</t>
  </si>
  <si>
    <t>I/P-LOC-Unsecured-Restructure</t>
  </si>
  <si>
    <t>I/P-LOC-Unsecured-Cmpd Int</t>
  </si>
  <si>
    <t>I/P-LOC-Unsecured-Int Pymt</t>
  </si>
  <si>
    <t>I/P-LOC-Unsecured</t>
  </si>
  <si>
    <t>Int Payable-LOC-Unsecured</t>
  </si>
  <si>
    <t>Total Int Pay-LOC-Secured</t>
  </si>
  <si>
    <t>Total I/P-LOC-Secured</t>
  </si>
  <si>
    <t>I/P-LOC-Secured-Transfer</t>
  </si>
  <si>
    <t>I/P-LOC-Secured-Accrual</t>
  </si>
  <si>
    <t>I/P-LOC-Secured-Restructure</t>
  </si>
  <si>
    <t>I/P-LOC-Secured-Cmpd Int</t>
  </si>
  <si>
    <t>I/P-LOC-Secured-Int Pymt</t>
  </si>
  <si>
    <t>I/P-LOC-Secured</t>
  </si>
  <si>
    <t>Int Payable-LOC-Secured</t>
  </si>
  <si>
    <t>Total Int Pay-N/P-Affiliate</t>
  </si>
  <si>
    <t>Total I/P-N/P-Affiliate</t>
  </si>
  <si>
    <t>I/P-N/P-Affiliate-Transfer</t>
  </si>
  <si>
    <t>I/P-N/P-Affiliate-Accrual</t>
  </si>
  <si>
    <t>I/P-N/P-Affiliate-Restructure</t>
  </si>
  <si>
    <t>I/P-N/P-Affiliate-Cmpd Int</t>
  </si>
  <si>
    <t>I/P-N/P-Affiliate-Int Payment</t>
  </si>
  <si>
    <t>I/P-N/P-Affiliate</t>
  </si>
  <si>
    <t>Int Payable-N/P-Affiliate</t>
  </si>
  <si>
    <t>Total Int Pay-N/P-Promissory</t>
  </si>
  <si>
    <t>Total I/P-N/P-Promissory</t>
  </si>
  <si>
    <t>I/P-N/P-Promissory-Transfer</t>
  </si>
  <si>
    <t>I/P-N/P-Promissory-Accrual</t>
  </si>
  <si>
    <t>I/P-N/P-Promissory-Restructure</t>
  </si>
  <si>
    <t>I/P-N/P-Promissory-Cmpd Int</t>
  </si>
  <si>
    <t>I/P-N/P-Promissory-Int Payment</t>
  </si>
  <si>
    <t>I/P-N/P-Promissory</t>
  </si>
  <si>
    <t>Int Payable-N/P-Promissory</t>
  </si>
  <si>
    <t>Interest Payable-Net</t>
  </si>
  <si>
    <t>Total Accrued Exp &amp; Other Liab</t>
  </si>
  <si>
    <t>Total Other Liabilities</t>
  </si>
  <si>
    <t>Total Deferred S/L Lessee Rent</t>
  </si>
  <si>
    <t>Deferred S/L Lessee Rent-Trans</t>
  </si>
  <si>
    <t>Deferred S/L Lessee Rent-Amort</t>
  </si>
  <si>
    <t>Deferred S/L Lessee Rent</t>
  </si>
  <si>
    <t>Other Liabilities</t>
  </si>
  <si>
    <t>Total Accrued Expenses</t>
  </si>
  <si>
    <t>Total Accrued Expenses - Other</t>
  </si>
  <si>
    <t>Accrued Expense-Other-Payroll</t>
  </si>
  <si>
    <t>Accrued Expense-Other-TMS</t>
  </si>
  <si>
    <t>Accrued Expense-Other-Bank Charges</t>
  </si>
  <si>
    <t>Accrued Expense-Other-IT-365</t>
  </si>
  <si>
    <t>Accrued Expense-Other-IT-Rebill</t>
  </si>
  <si>
    <t>Accrued Expense-Other-Closeout</t>
  </si>
  <si>
    <t>Accrued Expense-Other-Commissions-Percentage of Completion</t>
  </si>
  <si>
    <t>Accrued Expense-Other-Commissions</t>
  </si>
  <si>
    <t>Accrued Expense-Other-Tax Rebates</t>
  </si>
  <si>
    <t>Accrued Expense-Other</t>
  </si>
  <si>
    <t>Accrued Expenses - Other</t>
  </si>
  <si>
    <t>Total Accrued Expenses - Taxes</t>
  </si>
  <si>
    <t>Accrued Real Estate Taxes</t>
  </si>
  <si>
    <t>Accrued Expenses - Taxes</t>
  </si>
  <si>
    <t>Total Accrued Selling Costs</t>
  </si>
  <si>
    <t>Accrued Exp-Vertical Selling Costs</t>
  </si>
  <si>
    <t>Accrued Selling Costs</t>
  </si>
  <si>
    <t>Total Accrued Expenses - Construction Costs</t>
  </si>
  <si>
    <t>Accrued Construction Costs-Est Losses</t>
  </si>
  <si>
    <t>Accrued Construction Costs-WIP</t>
  </si>
  <si>
    <t>Accrued Expenses - Construction Costs</t>
  </si>
  <si>
    <t>Total Accrued Financing Cost</t>
  </si>
  <si>
    <t>Accrued Distributions-Return Capital</t>
  </si>
  <si>
    <t>Accrued Deferred Financing Fees</t>
  </si>
  <si>
    <t>Accrued Financing Cost</t>
  </si>
  <si>
    <t>Total Accrued Investing Cost</t>
  </si>
  <si>
    <t>Accrued Fixed Assets</t>
  </si>
  <si>
    <t>Accrued Intangible Lease Assets</t>
  </si>
  <si>
    <t>Accrued CIP-TI</t>
  </si>
  <si>
    <t>Accrued CIP-BI</t>
  </si>
  <si>
    <t>Accrued CIP-LI</t>
  </si>
  <si>
    <t>Accrued Vertical Development</t>
  </si>
  <si>
    <t>Accrued Undeveloped Land</t>
  </si>
  <si>
    <t>Accrued Uncon Inv Outside Basis</t>
  </si>
  <si>
    <t>Accrued N/R Outside Basis</t>
  </si>
  <si>
    <t>Accrued Investing Cost</t>
  </si>
  <si>
    <t>Total Accrued Corp G&amp;A Expense</t>
  </si>
  <si>
    <t>Accrued Corporate Business Tax</t>
  </si>
  <si>
    <t>Accrued Corp Tax Compliance Fee</t>
  </si>
  <si>
    <t>Accrued Corporate Audit Fee</t>
  </si>
  <si>
    <t>Accrued Corporate Insurance-Workers Comp</t>
  </si>
  <si>
    <t>Accrued Corporate Admin Exp</t>
  </si>
  <si>
    <t>Total Accrued Corporate Benefits</t>
  </si>
  <si>
    <t>Accrued Corporate Benefits-Parking</t>
  </si>
  <si>
    <t>Accrued Corporate Benefits-AFLAC</t>
  </si>
  <si>
    <t>Accrued Corporate Benefits-LEGAL (ARAG)</t>
  </si>
  <si>
    <t>Accrued Corporate Benefits-HRA Fee</t>
  </si>
  <si>
    <t>Accrued Corporate Benefits-PPO/HMO/HRA Premiums</t>
  </si>
  <si>
    <t>Accrued Corporate Benefits-401K Forfeitures</t>
  </si>
  <si>
    <t>Accrued Corporate Benefits-401K</t>
  </si>
  <si>
    <t>Accrued Corporate Benefits-ADP Fees</t>
  </si>
  <si>
    <t>Accrued Corporate Benefits-Life/LTD/STD/EAP</t>
  </si>
  <si>
    <t>Accrued Corporate Benefits-FSA</t>
  </si>
  <si>
    <t>Accrued Corporate Benefits-Vision</t>
  </si>
  <si>
    <t>Accrued Corporate Benefits-Dental</t>
  </si>
  <si>
    <t>Accrued Corporate Benefits-Medical</t>
  </si>
  <si>
    <t>Accrued Corporate Benefits-Other</t>
  </si>
  <si>
    <t>Accrued Corporate Benefits</t>
  </si>
  <si>
    <t>Accrued Corporate Vacation</t>
  </si>
  <si>
    <t>Accrued Corporate Bonus</t>
  </si>
  <si>
    <t>Accrued Corp Salaries/Wages</t>
  </si>
  <si>
    <t>Accrued Corporate G&amp;A Expense</t>
  </si>
  <si>
    <t>Total Accrued Operating Cost</t>
  </si>
  <si>
    <t>Accrued Expense - Insurance</t>
  </si>
  <si>
    <t>Accrued Expense - Rental</t>
  </si>
  <si>
    <t>Accrued Tax Compliance Fee</t>
  </si>
  <si>
    <t>Accrued Audit Fee</t>
  </si>
  <si>
    <t>Accrued Management Fees</t>
  </si>
  <si>
    <t>Accrued Financing Fee Expense</t>
  </si>
  <si>
    <t>Accrued Charitable Contributions</t>
  </si>
  <si>
    <t>Accrued Administrative Expense</t>
  </si>
  <si>
    <t>Accrued Personal Property Tax</t>
  </si>
  <si>
    <t>Accrued Property Insurance</t>
  </si>
  <si>
    <t>Accrued Sales Tax</t>
  </si>
  <si>
    <t>Accrued Excise Tax</t>
  </si>
  <si>
    <t>Accrued Business Tax</t>
  </si>
  <si>
    <t>Accrued State Franchise Tax</t>
  </si>
  <si>
    <t>Accrued Utilities</t>
  </si>
  <si>
    <t>Accrued R&amp;M Expenses</t>
  </si>
  <si>
    <t>Accrued Operating Cost</t>
  </si>
  <si>
    <t>Accrued Expenses</t>
  </si>
  <si>
    <t>Accrued Exp &amp; Other Liab</t>
  </si>
  <si>
    <t>Total Billings in Excess of Costs</t>
  </si>
  <si>
    <t>C/C-Billings in Excess of Costs</t>
  </si>
  <si>
    <t>Billings in Excess of Costs</t>
  </si>
  <si>
    <t>Total Accounts Payable-Net</t>
  </si>
  <si>
    <t>Total Accounts Payable-Other</t>
  </si>
  <si>
    <t>Total A/P-Other</t>
  </si>
  <si>
    <t>A/P-holdback</t>
  </si>
  <si>
    <t>A/P-Holdback</t>
  </si>
  <si>
    <t>A/P-Other Construction Payable</t>
  </si>
  <si>
    <t>A/P-Other</t>
  </si>
  <si>
    <t>Accounts Payable-Other</t>
  </si>
  <si>
    <t>Total A/P-SCF Classification</t>
  </si>
  <si>
    <t>Total A/P-SCF-Financing</t>
  </si>
  <si>
    <t>A/P-SCF-Financing Fee Exp</t>
  </si>
  <si>
    <t>A/P-SCF-Def Fin Fees-Affiliate</t>
  </si>
  <si>
    <t>A/P-SCF-Def Financing Fees</t>
  </si>
  <si>
    <t>A/P-SCF-Financing</t>
  </si>
  <si>
    <t>Total A/P-SCF-Investing</t>
  </si>
  <si>
    <t>A/P-SCF-Fixed Assets</t>
  </si>
  <si>
    <t>A/P-SCF-Intan Lease Assets-Affil</t>
  </si>
  <si>
    <t>A/P-SCF-Intangible Lease Assets</t>
  </si>
  <si>
    <t>A/P-SCF-CIP</t>
  </si>
  <si>
    <t>A/P-SCF-Development Assets</t>
  </si>
  <si>
    <t>A/P-SCF-Land Assets</t>
  </si>
  <si>
    <t>A/P-SCF-Uncon Inv Outside Basis</t>
  </si>
  <si>
    <t>A/P-SCF-N/R Outside Basis</t>
  </si>
  <si>
    <t>A/P-SCF-Investing</t>
  </si>
  <si>
    <t>Total A/P-SCF-Operating</t>
  </si>
  <si>
    <t>A/P-SCF-Pre-Acquisition Costs</t>
  </si>
  <si>
    <t>A/P-SCF-Cost of RE Operations</t>
  </si>
  <si>
    <t>A/P-SCF-Operating</t>
  </si>
  <si>
    <t>A/P-SCF Classification</t>
  </si>
  <si>
    <t>Total Accounts Payable-Trade</t>
  </si>
  <si>
    <t>Total A/P-Trade &amp; Construction Payable</t>
  </si>
  <si>
    <t>A/P-SCF-Contra</t>
  </si>
  <si>
    <t>A/P-retainage</t>
  </si>
  <si>
    <t>A/P-Retainage</t>
  </si>
  <si>
    <t>A/P-Credit Card</t>
  </si>
  <si>
    <t>A/P-construction</t>
  </si>
  <si>
    <t>A/P-Construction</t>
  </si>
  <si>
    <t>A/P-Corporate</t>
  </si>
  <si>
    <t>A/P-rental</t>
  </si>
  <si>
    <t>A/P-Rental</t>
  </si>
  <si>
    <t xml:space="preserve">A/P-Trade Foreign_x000D_
</t>
  </si>
  <si>
    <t>A/P-Trade Foreign</t>
  </si>
  <si>
    <t>A/P-trade</t>
  </si>
  <si>
    <t>A/P-Trade</t>
  </si>
  <si>
    <t>Accounts Payable-Trade and Construction</t>
  </si>
  <si>
    <t>Accounts Payable-Trade</t>
  </si>
  <si>
    <t>Accounts Payable-Net</t>
  </si>
  <si>
    <t>LIABILITIES</t>
  </si>
  <si>
    <t>LIABILITIES &amp; EQUITY</t>
  </si>
  <si>
    <t>TOTAL ASSETS</t>
  </si>
  <si>
    <t>Total Suspense</t>
  </si>
  <si>
    <t>Total Suspense Clearing</t>
  </si>
  <si>
    <t>GL Allocation Clearing</t>
  </si>
  <si>
    <t>A/P Clearing</t>
  </si>
  <si>
    <t>Payroll Clearing</t>
  </si>
  <si>
    <t>Suspense Clearing</t>
  </si>
  <si>
    <t>Total Deferred Tax Asset</t>
  </si>
  <si>
    <t>Total Def Tax Asset</t>
  </si>
  <si>
    <t>Deferred Tax Asset-Transfer DTL</t>
  </si>
  <si>
    <t>Deferred Tax Asset-Accrual</t>
  </si>
  <si>
    <t>Def Tax Asset</t>
  </si>
  <si>
    <t>Deferred Tax Asset</t>
  </si>
  <si>
    <t>Total Organization Costs-Net</t>
  </si>
  <si>
    <t>Total Intangible Asset Impair</t>
  </si>
  <si>
    <t>Total Intan-Cust Relation-Imp</t>
  </si>
  <si>
    <t>Imp-Intan-Cust Relation-Trans</t>
  </si>
  <si>
    <t>Imp-Intan-Cust Relation-Accrual</t>
  </si>
  <si>
    <t>Intan-Cust Relation-Impairment</t>
  </si>
  <si>
    <t>Total Intan-Trade Name-Impair</t>
  </si>
  <si>
    <t>Imp-Intan-Trade Name-Transfer</t>
  </si>
  <si>
    <t>Imp-Intan-Trade Name-Accrual</t>
  </si>
  <si>
    <t>Intan-Trade Name-Impairment</t>
  </si>
  <si>
    <t>Intangible Asset Impairment</t>
  </si>
  <si>
    <t>Total A/A-Intangible Asset-Fees</t>
  </si>
  <si>
    <t>A/A-Intan-Asset Fees-Transfer</t>
  </si>
  <si>
    <t>A/A-Intan-Asset Fees-Amort</t>
  </si>
  <si>
    <t>A/A-Intan-Asset Fees-COS-Contra</t>
  </si>
  <si>
    <t>A/A-Intangible Asset-Fees</t>
  </si>
  <si>
    <t>Total A/A-Intan-Organiz Cost</t>
  </si>
  <si>
    <t>A/A-Intan-Org Cost-Transfer</t>
  </si>
  <si>
    <t>A/A-Intan-Org Cost-Amort</t>
  </si>
  <si>
    <t>A/A-Intan-Org Cost-COS-Contra</t>
  </si>
  <si>
    <t>A/A-Intangible-Organiz Cost</t>
  </si>
  <si>
    <t>Total A/A-Intan-Cust Relation</t>
  </si>
  <si>
    <t>A/A-Intan-Cust Relation-Trans</t>
  </si>
  <si>
    <t>A/A-Intan-Cust Relation-Amort</t>
  </si>
  <si>
    <t>A/A-Intangible-Cust Relation</t>
  </si>
  <si>
    <t>Total A/A-Intan-Trade Name</t>
  </si>
  <si>
    <t>A/A-Intan-Trade Name-Trans</t>
  </si>
  <si>
    <t>A/A-Intan-Trade Name-Amort</t>
  </si>
  <si>
    <t>A/A-Intangible-Trade Name</t>
  </si>
  <si>
    <t>Total Intangible Assets</t>
  </si>
  <si>
    <t>Total Intan Asset-Fees</t>
  </si>
  <si>
    <t>Intang-Fees-Transfer</t>
  </si>
  <si>
    <t>Intang-Fees-COS Contra</t>
  </si>
  <si>
    <t>Intang-Fees-Addition</t>
  </si>
  <si>
    <t>Intan-asset mgmt fees</t>
  </si>
  <si>
    <t>Tax Credit Fees-underwriting</t>
  </si>
  <si>
    <t>Tax Credit Fees-compliance</t>
  </si>
  <si>
    <t>Tax Credit Fees-application</t>
  </si>
  <si>
    <t>Tax Credit Fees-administration</t>
  </si>
  <si>
    <t>Intangible Assets-Fees</t>
  </si>
  <si>
    <t>Total Intan Asset-Organiz Cost</t>
  </si>
  <si>
    <t>Intan-Org Cost-Transfer</t>
  </si>
  <si>
    <t>Intan-Org Cost-COS-Contra</t>
  </si>
  <si>
    <t>Intan-Org Cost-Addition</t>
  </si>
  <si>
    <t>Intangible Asset-Organiz Cost</t>
  </si>
  <si>
    <t>Total Intan Asset-Cust Relatn</t>
  </si>
  <si>
    <t>Intan-Cust Relation-Transfer</t>
  </si>
  <si>
    <t>Intan-Cust Relation-Acqn</t>
  </si>
  <si>
    <t>Intangible Asset-Cust Relation</t>
  </si>
  <si>
    <t>Total Intan Asset-Trade Name</t>
  </si>
  <si>
    <t>Intan-Trade Name-Transfer</t>
  </si>
  <si>
    <t>Intan-Trade Name-Acquisition</t>
  </si>
  <si>
    <t>Intangible Asset-Trade Name</t>
  </si>
  <si>
    <t>Intangible Assets</t>
  </si>
  <si>
    <t>Total Goodwill Impairment</t>
  </si>
  <si>
    <t>Total Goodwill-Assem Work-Imp</t>
  </si>
  <si>
    <t>Imp-Goodwill-Assem Work-Trans</t>
  </si>
  <si>
    <t>Imp-Goodwill-Assem Work-Accrl</t>
  </si>
  <si>
    <t>Goodwill-Assem Work-Impairment</t>
  </si>
  <si>
    <t>Total Goodwill-General-Impair</t>
  </si>
  <si>
    <t>Imp-Goodwill-General-Transfer</t>
  </si>
  <si>
    <t>Imp-Goodwill-General-Accrual</t>
  </si>
  <si>
    <t>Goodwill-General-Impairment</t>
  </si>
  <si>
    <t>Goodwill Impairment</t>
  </si>
  <si>
    <t>Total Goodwill</t>
  </si>
  <si>
    <t>Total Goodwill-Assem Workforce</t>
  </si>
  <si>
    <t>Goodwill-Assem Workforce-Trans</t>
  </si>
  <si>
    <t>Goodwill-Assem Workforce-Acqn</t>
  </si>
  <si>
    <t>Goodwill-Assembled Workforce</t>
  </si>
  <si>
    <t>Total Goodwill-General</t>
  </si>
  <si>
    <t>Goodwill-General-Transfer</t>
  </si>
  <si>
    <t>Goodwill-General-Acquisition</t>
  </si>
  <si>
    <t>Goodwill-General</t>
  </si>
  <si>
    <t>Goodwill</t>
  </si>
  <si>
    <t>Organization Costs-Net</t>
  </si>
  <si>
    <t>Total Other Assets</t>
  </si>
  <si>
    <t>Total Cash Value Policies</t>
  </si>
  <si>
    <t>Executive Life Insurance</t>
  </si>
  <si>
    <t>Cash Value Policies</t>
  </si>
  <si>
    <t>Total Tax Collectible-Mexico</t>
  </si>
  <si>
    <t>Favorable VAT</t>
  </si>
  <si>
    <t>Tax Collectible-Mexico-IVA Acreditable</t>
  </si>
  <si>
    <t>Tax Collectible-Mexico-IVA Por Acreditar</t>
  </si>
  <si>
    <t>Tax Collectible-Mexico</t>
  </si>
  <si>
    <t>Total Tax Collectible - Argentina</t>
  </si>
  <si>
    <t>Tax Collectible - Argentina -  Local</t>
  </si>
  <si>
    <t>Tax Collectible - Argentina - Federal</t>
  </si>
  <si>
    <t>Tax Collectible - Argentina- Perc. Ganancias</t>
  </si>
  <si>
    <t>Tax Collectible - Argentina- Perc. SUSS</t>
  </si>
  <si>
    <t xml:space="preserve">Tax Collectible - Argentina Perc. Ingresos Brutos_x000D_
</t>
  </si>
  <si>
    <t>Tax Collectible - Argentina Perc. Ingresos Brutos</t>
  </si>
  <si>
    <t>Tax Collectible -Argentina- Perc. IVA</t>
  </si>
  <si>
    <t>Tax Collectible -Argentina- Importe Otors Tributos</t>
  </si>
  <si>
    <t>Tax Collectible -Argentina- IVA 2%</t>
  </si>
  <si>
    <t>Tax Collectible -Argentina- IVA 2.5%</t>
  </si>
  <si>
    <t>Tax Collectible -Argentina- IVA 5%</t>
  </si>
  <si>
    <t>Tax Collectible -Argentina- IVA 10.5%</t>
  </si>
  <si>
    <t>Tax Collectible -Argetina- IVA 21%</t>
  </si>
  <si>
    <t>Tax Collectible -Argentina- IVA 27%</t>
  </si>
  <si>
    <t>Tax Collectible -Argentina- IVA</t>
  </si>
  <si>
    <t>Tax Collectible - Argentina</t>
  </si>
  <si>
    <t>Total Tax Collectible</t>
  </si>
  <si>
    <t>Tax Collectible - other</t>
  </si>
  <si>
    <t xml:space="preserve">Tax Collectible - Local_x000D_
</t>
  </si>
  <si>
    <t>Tax Collectible - Local</t>
  </si>
  <si>
    <t>Tax Collectible - Federal</t>
  </si>
  <si>
    <t xml:space="preserve">Tax Collectible - ISR_x000D_
</t>
  </si>
  <si>
    <t>Tax Collectible-Mexico-ISR</t>
  </si>
  <si>
    <t>Tax Collectible - IVA (NO USAR)</t>
  </si>
  <si>
    <t>Tax Collectible</t>
  </si>
  <si>
    <t>Total Advertising Copyrights</t>
  </si>
  <si>
    <t>Brochure Copyright</t>
  </si>
  <si>
    <t>Advertising Copyrights</t>
  </si>
  <si>
    <t>Total Asset Deposits</t>
  </si>
  <si>
    <t>Cable Deposits</t>
  </si>
  <si>
    <t>Deposit accts-retainers</t>
  </si>
  <si>
    <t>Deposit accts-cable tv</t>
  </si>
  <si>
    <t>Utility Deposits</t>
  </si>
  <si>
    <t>Security Deposits</t>
  </si>
  <si>
    <t>Asset Deposits</t>
  </si>
  <si>
    <t>Other Assets</t>
  </si>
  <si>
    <t>Total Hedging Instruments-Net</t>
  </si>
  <si>
    <t>Total Hedge Valuation</t>
  </si>
  <si>
    <t>Total Int Rate Swap Valuation</t>
  </si>
  <si>
    <t>Rate Swap Valuation-Contra</t>
  </si>
  <si>
    <t>Rate Swap Valuation-Accrual</t>
  </si>
  <si>
    <t>Interest Rate Swap Valuation</t>
  </si>
  <si>
    <t>Total Int Rate Cap Valuation</t>
  </si>
  <si>
    <t>Rate Cap Valuation/Amort-Trans</t>
  </si>
  <si>
    <t>Rate Cap Valuation/Amort-Accrl</t>
  </si>
  <si>
    <t>Interest Rate Cap Valuation</t>
  </si>
  <si>
    <t>Hedge Valuation</t>
  </si>
  <si>
    <t>Total Hedge Instruments</t>
  </si>
  <si>
    <t>Total Interest Rate Cap</t>
  </si>
  <si>
    <t>Interest Rate Cap-Addition</t>
  </si>
  <si>
    <t>Interest Rate Cap</t>
  </si>
  <si>
    <t>Hedge Instruments</t>
  </si>
  <si>
    <t>Hedging Instruments-Net</t>
  </si>
  <si>
    <t>Total Deferred Sales Costs-Net</t>
  </si>
  <si>
    <t>Total Accumulated Amortization Deferred Sales Costs</t>
  </si>
  <si>
    <t>Total A/A Deferred Sales Costs-Commissions</t>
  </si>
  <si>
    <t>A/A Deferred Sales Costs-Commissions</t>
  </si>
  <si>
    <t>Accumulated Amortization Deferred Sales Costs</t>
  </si>
  <si>
    <t>Total Def Sales Costs</t>
  </si>
  <si>
    <t>Total Def Sales Costs-Commissions</t>
  </si>
  <si>
    <t>Def Sales Costs-Commissions-Transfer</t>
  </si>
  <si>
    <t>Def Sales Costs-Commissions-Accrual</t>
  </si>
  <si>
    <t>Def Sales Costs-Commissions-Contra-Percentage of Completion</t>
  </si>
  <si>
    <t>Def Sales Costs-Commissions-Accrual-Percentage of Completion</t>
  </si>
  <si>
    <t>Total Def Sales Costs-Commissions-Payment</t>
  </si>
  <si>
    <t>Def Sales Costs-Commissions-Pmt-Other</t>
  </si>
  <si>
    <t>Def Sales Costs-Commissions-Pmt-Auction</t>
  </si>
  <si>
    <t>Def Sales Costs-Commissions-Pmt-Outside</t>
  </si>
  <si>
    <t>Def Sales Costs-Commissions-Pmt-Inside</t>
  </si>
  <si>
    <t>Def Sales Costs-Commissions-Payment</t>
  </si>
  <si>
    <t>Def Sales Costs-Commissions</t>
  </si>
  <si>
    <t>Deferred Sales Costs</t>
  </si>
  <si>
    <t>Deferred Sales Costs-Net</t>
  </si>
  <si>
    <t>Total Deferred Financing Fees-Net</t>
  </si>
  <si>
    <t>Total A/A-Loan Fee-LOC-Affil</t>
  </si>
  <si>
    <t>A/A-Loan Fee-LOC-Affil-Trans</t>
  </si>
  <si>
    <t>A/A-Loan Fee-LOC-Affil-Amort</t>
  </si>
  <si>
    <t>A/A-Loan Fee-LOC-Affil-COS-Contra</t>
  </si>
  <si>
    <t>A/A-Loan Fee-LOC-Affiliate</t>
  </si>
  <si>
    <t>Total A/A-Loan Fee-LOC-Unsecur</t>
  </si>
  <si>
    <t>A/A-Loan Fee-LOC-Unsecur-Trans</t>
  </si>
  <si>
    <t>A/A-Loan Fee-LOC-Unsecur-Amort</t>
  </si>
  <si>
    <t>A/A-Loan Fee-LOC-Unsecur-COS-Contra</t>
  </si>
  <si>
    <t>A/A-Loan Fee-LOC-Unsecured</t>
  </si>
  <si>
    <t>Total A/A-Loan Fee-LOC-Secured</t>
  </si>
  <si>
    <t>A/A-Loan Fee-LOC-Secured-Trans</t>
  </si>
  <si>
    <t>A/A-Loan Fee-LOC-Secured-Amort</t>
  </si>
  <si>
    <t>A/A-Loan Fee-LOC-Secured-COS-Contra</t>
  </si>
  <si>
    <t>A/A-Loan Fee-LOC-Secured</t>
  </si>
  <si>
    <t>Total A/A-Loan Fee-N/P-Affil</t>
  </si>
  <si>
    <t>A/A-Loan Fee-N/P-Affil-Trans</t>
  </si>
  <si>
    <t>A/A-Loan Fee-N/P-Affil-Amort</t>
  </si>
  <si>
    <t>A/A-Loan Fee-N/P-Affil-COS-Contra</t>
  </si>
  <si>
    <t>A/A-Loan Fee-N/P-Affiliate</t>
  </si>
  <si>
    <t>Total A/A-Loan Fee-N/P-Prom</t>
  </si>
  <si>
    <t>A/A-Loan Fee-N/P-Prom-Transfer</t>
  </si>
  <si>
    <t>A/A-Loan Fee-N/P-Prom-Amort</t>
  </si>
  <si>
    <t>A/A-Loan Fee-N/P-Prom-COS-Contra</t>
  </si>
  <si>
    <t>A/A-Loan Fee-N/P-Promissory</t>
  </si>
  <si>
    <t>Total Loan Fee-LOC-Affiliate</t>
  </si>
  <si>
    <t>Loan Fee-LOC-Affiliate-Trans</t>
  </si>
  <si>
    <t>Loan Fee-LOC-Affiliate-COS-Contra</t>
  </si>
  <si>
    <t>Loan Fee-LOC-Affiliate-Addn</t>
  </si>
  <si>
    <t>Loan Fee-LOC-Affiliate</t>
  </si>
  <si>
    <t>Total Loan Fee-LOC-Unsecured</t>
  </si>
  <si>
    <t>Loan Fee-LOC-Unsecured-Trans</t>
  </si>
  <si>
    <t>Loan Fee-LOC-Unsecured-COS-Contra</t>
  </si>
  <si>
    <t>Loan Fee-LOC-Unsecured-Addn</t>
  </si>
  <si>
    <t>Loan Fee-LOC-Unsecured</t>
  </si>
  <si>
    <t>Total Loan Fee-LOC-Secured</t>
  </si>
  <si>
    <t>Loan Fee-LOC-Secured-Transfer</t>
  </si>
  <si>
    <t>Loan Fee-LOC-Secured-COS-Contra</t>
  </si>
  <si>
    <t>Loan Fee-LOC-Secured-Addition</t>
  </si>
  <si>
    <t>Loan Fee-LOC-Secured</t>
  </si>
  <si>
    <t>Total Loan Fee-N/P-Affiliate</t>
  </si>
  <si>
    <t>Loan Fee-N/P-Affiliate-Trans</t>
  </si>
  <si>
    <t>Loan Fee-N/P-Affiliate-COS-Contra</t>
  </si>
  <si>
    <t>Loan Fee-N/P-Affiliate-Addn</t>
  </si>
  <si>
    <t>Loan Fee-N/P-Affiliate</t>
  </si>
  <si>
    <t>Total Loan Fee-N/P-Promissory</t>
  </si>
  <si>
    <t>Loan Fee-N/P-Promissory-Trans</t>
  </si>
  <si>
    <t>Loan Fee-N/P-Promissory-COS-Contra</t>
  </si>
  <si>
    <t>Total Loan Fee-N/P-Promissory-Addn</t>
  </si>
  <si>
    <t>Loan cost-mezz loan-origination</t>
  </si>
  <si>
    <t>Loan cost-mezz loan-other</t>
  </si>
  <si>
    <t>Loan Fee-N/P-Promissory-Addn-Unassigned</t>
  </si>
  <si>
    <t>Loan cost-contingency</t>
  </si>
  <si>
    <t>Loan cost-other closing cost</t>
  </si>
  <si>
    <t>Loan cost-financing cost</t>
  </si>
  <si>
    <t>Loan cost-exit fee (non amortizable)</t>
  </si>
  <si>
    <t>Loan cost-exit fee (non-amortizable)</t>
  </si>
  <si>
    <t>Loan cost-issuer fin advisor</t>
  </si>
  <si>
    <t>Loan cost-intangible</t>
  </si>
  <si>
    <t>Loan cost-inspection fees</t>
  </si>
  <si>
    <t>Loan cost-estoppels</t>
  </si>
  <si>
    <t>Loan cost-doc stamps</t>
  </si>
  <si>
    <t>Loan cost-origination fees</t>
  </si>
  <si>
    <t>Loan cost-cnstr ln-lender fees</t>
  </si>
  <si>
    <t>Loan cost-underwriter fees</t>
  </si>
  <si>
    <t>Loan cost-trustee fees</t>
  </si>
  <si>
    <t>Loan cost-title insurance</t>
  </si>
  <si>
    <t>Loan cost-tax cr equity</t>
  </si>
  <si>
    <t>Loan cost-syndication fees</t>
  </si>
  <si>
    <t>Loan cost-placement agent</t>
  </si>
  <si>
    <t>Loan cost-broker fees</t>
  </si>
  <si>
    <t>Loan cost-bond fees</t>
  </si>
  <si>
    <t>Loan cost-audit fees</t>
  </si>
  <si>
    <t>Loan cost-lnd ln-lender fees</t>
  </si>
  <si>
    <t>Loan cost-lender cred facility</t>
  </si>
  <si>
    <t>Loan cost-muni counsel</t>
  </si>
  <si>
    <t>Loan cost-legal fees-outside</t>
  </si>
  <si>
    <t>Loan cost-legal fees</t>
  </si>
  <si>
    <t>Loan cost-appraisal</t>
  </si>
  <si>
    <t>Loan cost-application fee</t>
  </si>
  <si>
    <t>Loan cost-due dilligence fees</t>
  </si>
  <si>
    <t>Loan Fee-N/P-Promissory-Addn</t>
  </si>
  <si>
    <t>Loan Fee-N/P-Promissory</t>
  </si>
  <si>
    <t>Total Fixed Assets-Net</t>
  </si>
  <si>
    <t>Total Fixed Asset Impairment</t>
  </si>
  <si>
    <t>Imp-FA-Transfer</t>
  </si>
  <si>
    <t>Imp-FA-Accrual-Contra</t>
  </si>
  <si>
    <t>Imp-FA-COS-Contra</t>
  </si>
  <si>
    <t>Fixed Asset Impairment</t>
  </si>
  <si>
    <t>Total Accum Deprec &amp; Amort</t>
  </si>
  <si>
    <t>Total A/D-FA-Buildings</t>
  </si>
  <si>
    <t>A/D-FA-Buildings-Transfer</t>
  </si>
  <si>
    <t>A/D-FA-Buildings-Amort</t>
  </si>
  <si>
    <t>A/D-FA-Buildings-Contra</t>
  </si>
  <si>
    <t>A/D-FA-Buildings</t>
  </si>
  <si>
    <t>Total A/A-FA-Vehicles</t>
  </si>
  <si>
    <t>A/A-FA-Vehicles-Transfer</t>
  </si>
  <si>
    <t>A/D-FA-Vehicles-Amort</t>
  </si>
  <si>
    <t>A/D-FA-Vehicles-COS-Contra</t>
  </si>
  <si>
    <t>A/A-FA-Vehicles</t>
  </si>
  <si>
    <t>Total A/A-FA-Computer Software</t>
  </si>
  <si>
    <t>A/A-FA-Computer Sfwr-Transfer</t>
  </si>
  <si>
    <t>A/A-FA-Computer Sfwr-Amort</t>
  </si>
  <si>
    <t>A/A-FA-Computer Software-COS-Contra</t>
  </si>
  <si>
    <t>A/A-FA-Computer Software</t>
  </si>
  <si>
    <t>Total A/D-FA-Computer Hardware</t>
  </si>
  <si>
    <t>A/D-FA-Computer Hdwr-Transfer</t>
  </si>
  <si>
    <t>A/D-FA-Computer Hdwr-Amort</t>
  </si>
  <si>
    <t>A/D-FA-Computer Hardware-COS-Contra</t>
  </si>
  <si>
    <t>A/D-FA-Computer Hardware</t>
  </si>
  <si>
    <t>Total A/D-FA-Equipment</t>
  </si>
  <si>
    <t>A/D-FA-Equipment-Transfer</t>
  </si>
  <si>
    <t>A/D-FA-Equipment-Amort</t>
  </si>
  <si>
    <t>A/D-FA-Equipment-COS-Contra</t>
  </si>
  <si>
    <t>A/D-FA-Equipment</t>
  </si>
  <si>
    <t>Total A/D-FA-Furniture</t>
  </si>
  <si>
    <t>A/D-FA-Furniture-Transfer</t>
  </si>
  <si>
    <t>A/D-FA-Furniture-Amort</t>
  </si>
  <si>
    <t>A/D-FA-Furniture-COS-Contra</t>
  </si>
  <si>
    <t>A/D-FA-Furniture</t>
  </si>
  <si>
    <t>Total A/D-FA-Leasehold Improve</t>
  </si>
  <si>
    <t>A/D-FA-Leasehold Imp-Transfer</t>
  </si>
  <si>
    <t>A/D-FA-Leasehold Imp-Amort</t>
  </si>
  <si>
    <t>A/D-FA-Leasehold Improve-COS-Contra</t>
  </si>
  <si>
    <t>A/D-FA-Leasehold Improvements</t>
  </si>
  <si>
    <t>Accumulated Deprec &amp; Amort</t>
  </si>
  <si>
    <t>Total Fixed Assets</t>
  </si>
  <si>
    <t>Total FA-Land</t>
  </si>
  <si>
    <t>FA-Land</t>
  </si>
  <si>
    <t>Total FA-Buildings</t>
  </si>
  <si>
    <t>FA-Buildings-Addition</t>
  </si>
  <si>
    <t>FA-Buildings</t>
  </si>
  <si>
    <t>Total FA-Vehicles</t>
  </si>
  <si>
    <t>FA-Vehicles-Transfer</t>
  </si>
  <si>
    <t>FA-Vehicles-COS-Contra</t>
  </si>
  <si>
    <t>FA-Vehicles-Addition</t>
  </si>
  <si>
    <t>FA-Vehicles-Pending</t>
  </si>
  <si>
    <t>FA-Vehicles</t>
  </si>
  <si>
    <t>Total FA-Computer Software</t>
  </si>
  <si>
    <t>FA-Computer Software-Transfer</t>
  </si>
  <si>
    <t>FA-Computer Software-COS-Contra</t>
  </si>
  <si>
    <t>FA-Computer Software-Addition</t>
  </si>
  <si>
    <t>FA-Computer Software-Pending</t>
  </si>
  <si>
    <t>FA-Computer Software</t>
  </si>
  <si>
    <t>Total FA-Computer Hardware</t>
  </si>
  <si>
    <t>FA-Computer Hardware-Transfer</t>
  </si>
  <si>
    <t>FA-Computer Hardware-COS-Contra</t>
  </si>
  <si>
    <t>FA-Computer Hardware-Addition</t>
  </si>
  <si>
    <t>FA-Computer Hardware-Pending</t>
  </si>
  <si>
    <t>FA-Computer Hardware</t>
  </si>
  <si>
    <t>Total FA-Equipment</t>
  </si>
  <si>
    <t>FA-Equipment-Transfer</t>
  </si>
  <si>
    <t>FA-Equipment-COS-Contra</t>
  </si>
  <si>
    <t>FA-Equipment-Addition</t>
  </si>
  <si>
    <t>FA-Equipment-Pending</t>
  </si>
  <si>
    <t>FA-Equipment</t>
  </si>
  <si>
    <t>Total FA-Furniture</t>
  </si>
  <si>
    <t>FA-Furniture-Transfer</t>
  </si>
  <si>
    <t>FA-Furniture-COS-Contra</t>
  </si>
  <si>
    <t>FA-Furniture-Addition</t>
  </si>
  <si>
    <t>FA-Furniture-Pending</t>
  </si>
  <si>
    <t>FA-Furniture</t>
  </si>
  <si>
    <t>Total FA-Leasehold Improvemnts</t>
  </si>
  <si>
    <t>FA-Leasehold Improve-Transfer</t>
  </si>
  <si>
    <t>FA-Leasehold Improve-COS-Contra</t>
  </si>
  <si>
    <t>FA-Leasehold Improve-Addition</t>
  </si>
  <si>
    <t>FA-Leasehold Improve-Pending</t>
  </si>
  <si>
    <t>FA-Leasehold Improvements</t>
  </si>
  <si>
    <t>Fixed Assets</t>
  </si>
  <si>
    <t>Fixed Assets-Net</t>
  </si>
  <si>
    <t>Total Intangible Lease Assets-Net</t>
  </si>
  <si>
    <t>Total A/A-Abv Mkt Ground Lease</t>
  </si>
  <si>
    <t>A/A-Abv Mkt Grnd Lease-Trans</t>
  </si>
  <si>
    <t>A/A-Abv Mkt Grnd Lease-Amort</t>
  </si>
  <si>
    <t>A/A-Abv Mkt Grnd Lease-COS-Contra</t>
  </si>
  <si>
    <t>A/A-Above Market Ground Lease</t>
  </si>
  <si>
    <t>Total A/A-Above Market Rents</t>
  </si>
  <si>
    <t>A/A-Above Market Rents-Trans</t>
  </si>
  <si>
    <t>A/A-Above Market Rents-Amort</t>
  </si>
  <si>
    <t>A/A-Above Market Rents-COS-Contra</t>
  </si>
  <si>
    <t>A/A-Above Market Rents</t>
  </si>
  <si>
    <t>Total A/A-In-Place Leases</t>
  </si>
  <si>
    <t>A/A-In-Place Leases-Transfer</t>
  </si>
  <si>
    <t>A/A-In-Place Leases-Amort</t>
  </si>
  <si>
    <t>A/A-In-Place Leases-TransOut-IAHFS</t>
  </si>
  <si>
    <t>A/A-In-Place Leases</t>
  </si>
  <si>
    <t>Total A/A-Ground Lease Form</t>
  </si>
  <si>
    <t>A/A-Ground Lease Form-Transfer</t>
  </si>
  <si>
    <t>A/A-Ground Lease Form-Amort</t>
  </si>
  <si>
    <t>A/A-Ground Lease Form-TransOut-IAHFS</t>
  </si>
  <si>
    <t>A/A-Ground Lease Formation</t>
  </si>
  <si>
    <t>Total A/A-Lease Legal Cost</t>
  </si>
  <si>
    <t>A/A-Lease Legal-Transfer</t>
  </si>
  <si>
    <t>A/A-Lease Legal-Amort</t>
  </si>
  <si>
    <t>A/A-Lease Legal-TransOut-IAHFS</t>
  </si>
  <si>
    <t>A/A-Lease Legal Cost</t>
  </si>
  <si>
    <t>Total A/A-Lease Comm-Affiliate</t>
  </si>
  <si>
    <t>A/A-Lease Comm-Affil-Transfer</t>
  </si>
  <si>
    <t>A/A-Lease Comm-Affil-Amort</t>
  </si>
  <si>
    <t>A/A-Lease Comm-Affil-TransOut-IAHFS</t>
  </si>
  <si>
    <t>A/A-Lease Commission-Affiliate</t>
  </si>
  <si>
    <t>Total A/A-Lease Commission</t>
  </si>
  <si>
    <t>A/A-Lease Commission-Transfer</t>
  </si>
  <si>
    <t>A/A-Lease Commission-Amort</t>
  </si>
  <si>
    <t>A/A-Lease Commission-TransOut-IAHFS</t>
  </si>
  <si>
    <t>A/A-Lease Commission</t>
  </si>
  <si>
    <t>Total Intangible Lease Assets</t>
  </si>
  <si>
    <t>Total Above Mkt Ground Lease</t>
  </si>
  <si>
    <t>Above Mkt Ground Lease-Trans</t>
  </si>
  <si>
    <t>Above Market Ground Lease-Basis Alloc</t>
  </si>
  <si>
    <t>Above Market Ground Lease-COS-Contra</t>
  </si>
  <si>
    <t>Above Market Ground Lease</t>
  </si>
  <si>
    <t>Total Above Market Rents</t>
  </si>
  <si>
    <t>Above Market Rents-Transfer</t>
  </si>
  <si>
    <t>Above Market Rents-Basis Allocation</t>
  </si>
  <si>
    <t>Above Market Rents-COS-Contra</t>
  </si>
  <si>
    <t>Above Market Rents</t>
  </si>
  <si>
    <t>Total In-Place Leases</t>
  </si>
  <si>
    <t>In-Place Leases-Transfer</t>
  </si>
  <si>
    <t>In-Place Leases-Basis Allocation</t>
  </si>
  <si>
    <t>In-Place Leases-TransOut-IAHFS</t>
  </si>
  <si>
    <t>In-Place Leases</t>
  </si>
  <si>
    <t>Total Ground Lease Formation</t>
  </si>
  <si>
    <t>Ground Lease Formation-Trans</t>
  </si>
  <si>
    <t>Ground Lease Form-TransOut-IAHFS</t>
  </si>
  <si>
    <t>Ground Lease Formation-Addn</t>
  </si>
  <si>
    <t>Ground Lease Formation</t>
  </si>
  <si>
    <t>Total Lease Legal Cost</t>
  </si>
  <si>
    <t>Lease Legal-Transfer</t>
  </si>
  <si>
    <t>Lease Legal-Transfer Out-IAHFS</t>
  </si>
  <si>
    <t>Lease Legal-Addition</t>
  </si>
  <si>
    <t>Lease Legal-Pending</t>
  </si>
  <si>
    <t>Lease Legal Cost</t>
  </si>
  <si>
    <t>Total Lease Comm-Affiliate</t>
  </si>
  <si>
    <t>Lease Comm-Affiliate-Transfer</t>
  </si>
  <si>
    <t>Lease Comm-Affil-TransOut-IAHFS</t>
  </si>
  <si>
    <t>Lease Comm-Affiliate-Addition</t>
  </si>
  <si>
    <t>Lease Comm-Affiliate-Pending</t>
  </si>
  <si>
    <t>Lease Commission-Affiliate</t>
  </si>
  <si>
    <t>Total Lease Commission</t>
  </si>
  <si>
    <t>Lease Commission-Transfer</t>
  </si>
  <si>
    <t>Lease Commission-TransOut-IAHFS</t>
  </si>
  <si>
    <t>Lease Commission-Addition</t>
  </si>
  <si>
    <t>Lease Commission-Pending</t>
  </si>
  <si>
    <t>Lease Commission</t>
  </si>
  <si>
    <t>Intangible Lease Assets</t>
  </si>
  <si>
    <t>Intangible Lease Assets-Net</t>
  </si>
  <si>
    <t>Total Inv in Op Properties-Net</t>
  </si>
  <si>
    <t>Total Inv in Oper Property Impairment</t>
  </si>
  <si>
    <t>Total Oper Property Impairment</t>
  </si>
  <si>
    <t>Imp-OP-Transfer</t>
  </si>
  <si>
    <t>Imp-OP-Accrual-Contra</t>
  </si>
  <si>
    <t>Imp-OP-Trans Out-RE Held Sale</t>
  </si>
  <si>
    <t>Operating Property Impairment</t>
  </si>
  <si>
    <t>Inv in Operating Property Impairment</t>
  </si>
  <si>
    <t>Total Accumulated Depreciation</t>
  </si>
  <si>
    <t>Total A/D-OP-Tenant Improvmnts</t>
  </si>
  <si>
    <t>A/D-OP-TI-Transfer</t>
  </si>
  <si>
    <t>A/D-OP-TI-Amort</t>
  </si>
  <si>
    <t>A/D-OP-TI-TransOut-RE Hld Sale</t>
  </si>
  <si>
    <t>A/D-OP-Tenant Improvements</t>
  </si>
  <si>
    <t>Total A/D-OP-Bldg Improvements</t>
  </si>
  <si>
    <t>A/D-OP-BI-Transfer</t>
  </si>
  <si>
    <t>A/D-OP-BI-Amort</t>
  </si>
  <si>
    <t>A/D-OP-BI-TransOut-RE Hld Sale</t>
  </si>
  <si>
    <t>A/D-OP-Building Improvements</t>
  </si>
  <si>
    <t>Total A/D-OP-Building</t>
  </si>
  <si>
    <t>A/D-OP-Bldg-Transfer</t>
  </si>
  <si>
    <t>A/D-OP-Bldg-Amort</t>
  </si>
  <si>
    <t>A/D-OP-Bldg-TranOut-RE Hld Sle</t>
  </si>
  <si>
    <t>A/D-OP-Building</t>
  </si>
  <si>
    <t>Total A/D-OP-Land Improvements</t>
  </si>
  <si>
    <t>A/D-OP-LI-Transfer</t>
  </si>
  <si>
    <t>A/D-OP-LI-Amort</t>
  </si>
  <si>
    <t>A/D-OP-LI-TransOut-RE Hld Sale</t>
  </si>
  <si>
    <t>A/D-OP-Land Improvements</t>
  </si>
  <si>
    <t>Accumulated Depreciation</t>
  </si>
  <si>
    <t>Total Construction in Progress</t>
  </si>
  <si>
    <t>Total OP-CIP-Tenant Improvmnts</t>
  </si>
  <si>
    <t>OP-CIP-TI-Transfer</t>
  </si>
  <si>
    <t>OP-CIP-TI-Transfer Out-TI</t>
  </si>
  <si>
    <t>OP-CIP-TI-Cap Overhead-Contra</t>
  </si>
  <si>
    <t>OP-CIP-TI-Cap Int-Contra</t>
  </si>
  <si>
    <t>OP-CIP-TI-Cap CM Fee</t>
  </si>
  <si>
    <t>OP-CIP-TI-Addition</t>
  </si>
  <si>
    <t>OP-CIP-TI-Pending</t>
  </si>
  <si>
    <t>OP-CIP-Tenant Improvements</t>
  </si>
  <si>
    <t>Total OP-CIP-Bldg Improvements</t>
  </si>
  <si>
    <t>OP-CIP-BI-Transfer</t>
  </si>
  <si>
    <t>OP-CIP-BI-Transfer Out-BI</t>
  </si>
  <si>
    <t>OP-CIP-BI-Cap Overhead-Contra</t>
  </si>
  <si>
    <t>OP-CIP-BI-Cap Int-Contra</t>
  </si>
  <si>
    <t>OP-CIP-BI-Cap CM Fee</t>
  </si>
  <si>
    <t>OP-CIP-BI-addition</t>
  </si>
  <si>
    <t>OP-CIP-BI-Addition</t>
  </si>
  <si>
    <t>OP-CIP-BI-Pending</t>
  </si>
  <si>
    <t>OP-CIP-Building Improvements</t>
  </si>
  <si>
    <t>Total OP-CIP-Land Improvements</t>
  </si>
  <si>
    <t>OP-CIP-LI-Transfer</t>
  </si>
  <si>
    <t>OP-CIP-LI-Transfer Out-LI</t>
  </si>
  <si>
    <t>OP-CIP-LI-Cap Overhead-Contra</t>
  </si>
  <si>
    <t>OP-CIP-LI-Cap Int-Contra</t>
  </si>
  <si>
    <t>OP-CIP-LI-Cap CM Fee</t>
  </si>
  <si>
    <t>OP-CIP-LI-Addition</t>
  </si>
  <si>
    <t>OP-CIP-LI-Pending</t>
  </si>
  <si>
    <t>OP-CIP-Land Improvements</t>
  </si>
  <si>
    <t>Construction in Progress</t>
  </si>
  <si>
    <t>Total Inv in Operating Property</t>
  </si>
  <si>
    <t>Total OP-Tenant Improvements</t>
  </si>
  <si>
    <t>OP-TI-Transfer</t>
  </si>
  <si>
    <t>OP-TI-Trans Out-RE Held Sale</t>
  </si>
  <si>
    <t>OP-TI-Transfer In-CIP</t>
  </si>
  <si>
    <t>OP-Tenant Improvements</t>
  </si>
  <si>
    <t>Total OP-Building Improvements</t>
  </si>
  <si>
    <t>OP-BI-Transfer</t>
  </si>
  <si>
    <t>OP-BI-Trans Out-RE Held Sale</t>
  </si>
  <si>
    <t>OP-BI-Transfer In-CIP</t>
  </si>
  <si>
    <t>OP-Building Improvements</t>
  </si>
  <si>
    <t>Total OP-Building</t>
  </si>
  <si>
    <t>OP-Bldg-Transfer</t>
  </si>
  <si>
    <t>OP-Bldg-Cap Acqn Fee</t>
  </si>
  <si>
    <t>OP-Bldg-Trans Out-RE Held Sale</t>
  </si>
  <si>
    <t>OP-Bldg-Acquisition</t>
  </si>
  <si>
    <t>OP-Building</t>
  </si>
  <si>
    <t>Total OP-Land Improvements</t>
  </si>
  <si>
    <t>OP-LI-Transfer</t>
  </si>
  <si>
    <t>OP-LI-Trans Out-RE Held Sale</t>
  </si>
  <si>
    <t>OP-LI-Transfer In-CIP</t>
  </si>
  <si>
    <t>OP-Land Improvements</t>
  </si>
  <si>
    <t>Total OP-Land</t>
  </si>
  <si>
    <t>OP-Land-Transfer</t>
  </si>
  <si>
    <t>OP-Land-Trans Out-RE Held Sale</t>
  </si>
  <si>
    <t>OP-Land-Acquisition</t>
  </si>
  <si>
    <t>OP-Land</t>
  </si>
  <si>
    <t>Inv in Operating Property</t>
  </si>
  <si>
    <t>Inv in Op Properties-Net</t>
  </si>
  <si>
    <t>Total Investment in Real Estate-HFS</t>
  </si>
  <si>
    <t>Total Intngble Assets Hld for Sale-OP</t>
  </si>
  <si>
    <t>Total Intngble Assets Hld Sale-COS</t>
  </si>
  <si>
    <t>Intangible Assets Held Sale-Trans</t>
  </si>
  <si>
    <t>Intangible Assets Held Sale-COS-Contra</t>
  </si>
  <si>
    <t>Intngble Assets Hld for Sale-COS</t>
  </si>
  <si>
    <t>Total IAHFS-Transfer</t>
  </si>
  <si>
    <t>IAHFS-TransIn-In-Place Leases-A/A</t>
  </si>
  <si>
    <t>IAHFS-TransIn-Grnd Lease Form-A/A</t>
  </si>
  <si>
    <t>IAHFS-TransIn-Lease Legal-A/A</t>
  </si>
  <si>
    <t>IAHFS-TransIn-Lease Comm-Affil-A/A</t>
  </si>
  <si>
    <t>IAHFS-TransIn-Lease Comm-A/A</t>
  </si>
  <si>
    <t>IAHFS-TransIn-In-Place Leases</t>
  </si>
  <si>
    <t>IAHFS-TransIn-Ground Lease Form</t>
  </si>
  <si>
    <t>IAHFS-TransIn-Lease Legal</t>
  </si>
  <si>
    <t>IAHFS-TransIn-Lease Comm-Affil</t>
  </si>
  <si>
    <t>IAHFS-TransIn-Lease Commission</t>
  </si>
  <si>
    <t>IAHFS-Transfer</t>
  </si>
  <si>
    <t>Intangible Assets Held for Sale-OP</t>
  </si>
  <si>
    <t>Total Inv in RE Held for Sale-OP</t>
  </si>
  <si>
    <t>Total Inv in RE HFS-COS</t>
  </si>
  <si>
    <t>Inv in RE HFS-Transfer</t>
  </si>
  <si>
    <t>Inv in RE HFS-COS</t>
  </si>
  <si>
    <t>Total Inv in RE HFS-OP-Transfers</t>
  </si>
  <si>
    <t>Inv in RE HFS-Trans In-OP-Imp</t>
  </si>
  <si>
    <t>Inv in RE HFS-Trans In-OP-TI-A/D</t>
  </si>
  <si>
    <t>Inv in RE HFS-Trans In-OP-BI-A/D</t>
  </si>
  <si>
    <t>Inv in RE HFS-Trans In-OP-Bldg-A/D</t>
  </si>
  <si>
    <t>Inv in RE HFS-Trans In-OP-LI-A/D</t>
  </si>
  <si>
    <t>Inv in RE HFS-Trans In-OP-TI</t>
  </si>
  <si>
    <t>Inv in RE HFS-Trans In-OP-BI</t>
  </si>
  <si>
    <t>Inv in RE HFS-Trans In-OP-Bldg</t>
  </si>
  <si>
    <t>Inv in RE HFS-Trans In-OP-LI</t>
  </si>
  <si>
    <t>Inv in RE HFS-Trans In-OP-Land</t>
  </si>
  <si>
    <t>Inv in RE HFS-OP-Transfers</t>
  </si>
  <si>
    <t>Inv in RE Held for Sale-OP</t>
  </si>
  <si>
    <t>Investment in Real Estate-HFS</t>
  </si>
  <si>
    <t>Total Investment in Undeveloped Land</t>
  </si>
  <si>
    <t>Total Inv In Undeveloped Land</t>
  </si>
  <si>
    <t>Total Undeveloped Land</t>
  </si>
  <si>
    <t>Undeveloped Land-Transfer</t>
  </si>
  <si>
    <t>Undeveloped Land-Impairment-Contra</t>
  </si>
  <si>
    <t>Undeveloped Land-COS-Contra</t>
  </si>
  <si>
    <t>Undeveloped Land-Addition</t>
  </si>
  <si>
    <t>Undeveloped Land-Pending</t>
  </si>
  <si>
    <t>Undeveloped Land</t>
  </si>
  <si>
    <t>Inv In Undeveloped Land</t>
  </si>
  <si>
    <t>Investment in Undeveloped Land</t>
  </si>
  <si>
    <t>Total Investment in Real Estate-Under Dev</t>
  </si>
  <si>
    <t>Total Investment in Real Estate-Vertical Development</t>
  </si>
  <si>
    <t>Total Vertical Development</t>
  </si>
  <si>
    <t>Total Due Diligence Cost</t>
  </si>
  <si>
    <t xml:space="preserve">Due Diligence Cost-broker_x000D_
</t>
  </si>
  <si>
    <t>Due Diligence Cost-broker</t>
  </si>
  <si>
    <t>Due Diligence Cost-partner</t>
  </si>
  <si>
    <t>Due Diligence Cost</t>
  </si>
  <si>
    <t>Total Vertical Dev-Cost To Complete</t>
  </si>
  <si>
    <t>Vertical Dev-Cost To Complete-Reserve</t>
  </si>
  <si>
    <t>Vertical Dev-Cost To Complete</t>
  </si>
  <si>
    <t>Vertical Dev-Transfer</t>
  </si>
  <si>
    <t>Total Vertical Dev-Impairment-Contra</t>
  </si>
  <si>
    <t>Vertical Dev-Impairment-Contra-Unassigned</t>
  </si>
  <si>
    <t>Vertical Dev-Impairment-Contra</t>
  </si>
  <si>
    <t>Total Vertical Dev-Cost of Sales</t>
  </si>
  <si>
    <t>Vertical Dev-COS-Unassigned</t>
  </si>
  <si>
    <t>COS-Contra-Other</t>
  </si>
  <si>
    <t>Vertical Dev-COS-Contra-Other</t>
  </si>
  <si>
    <t>Vertical Dev-COS-Relief-Percentage of Completion</t>
  </si>
  <si>
    <t>Vertical Dev-Cost of Sales</t>
  </si>
  <si>
    <t>Vertical Dev-Reimb Credit-Unassigned</t>
  </si>
  <si>
    <t>Reimb Credit-Unassigned</t>
  </si>
  <si>
    <t>Project contingency-general</t>
  </si>
  <si>
    <t>Total Vertical Dev-Reimb Credit</t>
  </si>
  <si>
    <t>Reimb Credit-Project Contrib</t>
  </si>
  <si>
    <t>Total Reimb Credit-Dev Fees</t>
  </si>
  <si>
    <t>Dev fees-restaurant-mgmt fee</t>
  </si>
  <si>
    <t>Reimb Credit-Dev fees-restaurant-mgmt fee</t>
  </si>
  <si>
    <t>Dev fees-restaurant-startup</t>
  </si>
  <si>
    <t>Reimb Credit-Dev fees-restaurant-startup</t>
  </si>
  <si>
    <t>Dev fees-reimb Credit</t>
  </si>
  <si>
    <t>Reimb Credit-Dev fees-reimb Credit</t>
  </si>
  <si>
    <t>Dev fees-rental ops</t>
  </si>
  <si>
    <t>Reimb Credit-Dev fees-rental ops</t>
  </si>
  <si>
    <t>Dev fees-hotel ops-mgmt fee</t>
  </si>
  <si>
    <t>Reimb Credit-Dev fees-hotel ops-mgmt fee</t>
  </si>
  <si>
    <t>Dev fees-hotel ops-startup</t>
  </si>
  <si>
    <t>Reimb Credit-Dev fees-hotel ops-startup</t>
  </si>
  <si>
    <t>Dev fees-ins escrow</t>
  </si>
  <si>
    <t>Reimb Credit-Dev fees-ins escrow</t>
  </si>
  <si>
    <t>Reimb Credit-Dev Fees</t>
  </si>
  <si>
    <t>Vertical Dev-Reimb Credit</t>
  </si>
  <si>
    <t>Total Vertical Dev-Cap Interest</t>
  </si>
  <si>
    <t>Vertical Dev-Cap Interest-Unassigned</t>
  </si>
  <si>
    <t>Cap Interest-Unassigned</t>
  </si>
  <si>
    <t>Vertical Dev-Cap Int-Contra</t>
  </si>
  <si>
    <t>Cap Interest-Contra</t>
  </si>
  <si>
    <t>Total Cap Interest-Expense</t>
  </si>
  <si>
    <t>Cap Interest-Loan Fee-Amort</t>
  </si>
  <si>
    <t>Interest cost-other</t>
  </si>
  <si>
    <t>Cap Interest-Expense-Other</t>
  </si>
  <si>
    <t>Interest cost-bond loan</t>
  </si>
  <si>
    <t>Cap Interest-Expense-Bond Loan</t>
  </si>
  <si>
    <t>Interest cost-dev loan</t>
  </si>
  <si>
    <t>Cap Interest-Expense-Dev Loan</t>
  </si>
  <si>
    <t>Interest cost-mezz loan</t>
  </si>
  <si>
    <t>Cap Interest-Expense-Mezz Loan</t>
  </si>
  <si>
    <t>Interest cost-land loan</t>
  </si>
  <si>
    <t>Cap Interest-Expense-Land Loan</t>
  </si>
  <si>
    <t>Cap Interest-Expense</t>
  </si>
  <si>
    <t>Vertical Dev-Cap Interest</t>
  </si>
  <si>
    <t>Total Vertical Dev-Inventory</t>
  </si>
  <si>
    <t>Vertical Dev-Inv-Contingency-Unassigned</t>
  </si>
  <si>
    <t>Inv-Contingency-Unassigned</t>
  </si>
  <si>
    <t>Vertical Dev-Inv-Cap Overhead-Unassigned</t>
  </si>
  <si>
    <t>Inv-Cap Overhead-Unassigned</t>
  </si>
  <si>
    <t>Vertical Dev-Inv-Construction-Unassigned</t>
  </si>
  <si>
    <t>Inv-Construction-Unassigned</t>
  </si>
  <si>
    <t>Rental Operations-Contra</t>
  </si>
  <si>
    <t>Inv-Rental Operations-Contra</t>
  </si>
  <si>
    <t>Abandoned Pursuit-Marketing</t>
  </si>
  <si>
    <t>Inv-Abandoned Pursuit-Marketing</t>
  </si>
  <si>
    <t>Vertical dev-cap oh-contra</t>
  </si>
  <si>
    <t>Inv-Cap Overhead-Contra</t>
  </si>
  <si>
    <t>Commission-other</t>
  </si>
  <si>
    <t>Vertical Dev-Inv-Commissions</t>
  </si>
  <si>
    <t>Inv-Escrow-tax</t>
  </si>
  <si>
    <t xml:space="preserve">Soft Costs-Advances </t>
  </si>
  <si>
    <t xml:space="preserve">Inventory-Soft Costs-Advances </t>
  </si>
  <si>
    <t>Other fees-lender inspection fees</t>
  </si>
  <si>
    <t>Other fees-issuer orig fees</t>
  </si>
  <si>
    <t>Other fees-lender orig fees</t>
  </si>
  <si>
    <t>Total Inventory-Developer Fees</t>
  </si>
  <si>
    <t>Dev fees-contra</t>
  </si>
  <si>
    <t>Inv-Dev fees-contra</t>
  </si>
  <si>
    <t>Dev fees-deferred</t>
  </si>
  <si>
    <t>Inv-Dev fees-Deferred</t>
  </si>
  <si>
    <t>Dev fees-other</t>
  </si>
  <si>
    <t>Inv-Dev fees-other</t>
  </si>
  <si>
    <t>Dev fees-guarantee fee</t>
  </si>
  <si>
    <t>Inv-Dev fees-guarantee fee</t>
  </si>
  <si>
    <t>Dev fees-asset management fee</t>
  </si>
  <si>
    <t>Inv-Dev fees-asset management fee</t>
  </si>
  <si>
    <t>Dev fees-incentive fees</t>
  </si>
  <si>
    <t>Inv-Dev fees-incentive fees</t>
  </si>
  <si>
    <t>Dev fees-affiliate</t>
  </si>
  <si>
    <t>Inv-Dev fees-affiliate</t>
  </si>
  <si>
    <t>Dev fees-overhead</t>
  </si>
  <si>
    <t>Inv-Dev fees-overhead</t>
  </si>
  <si>
    <t>Inventory-Developer Fees</t>
  </si>
  <si>
    <t>Total Inv-Lease up reserves</t>
  </si>
  <si>
    <t xml:space="preserve">Lease up reserve-operating loss reserves_x000D_
</t>
  </si>
  <si>
    <t>Inv-Lease up reserve-operating loss reserves</t>
  </si>
  <si>
    <t xml:space="preserve">Lease up reserve-martketing_x000D_
</t>
  </si>
  <si>
    <t>Inv-Lease up reserve-marketing</t>
  </si>
  <si>
    <t xml:space="preserve">Lease up reserves-replacement reserves_x000D_
</t>
  </si>
  <si>
    <t>Inv-Lease up reserves-replacement reserves</t>
  </si>
  <si>
    <t xml:space="preserve">Lease up reserves-building operations_x000D_
_x000D_
</t>
  </si>
  <si>
    <t>Inv-Lease up reserves-building operations</t>
  </si>
  <si>
    <t>Lease up reserves</t>
  </si>
  <si>
    <t>Inv-Lease up reserves</t>
  </si>
  <si>
    <t>Total Inventory-Leasing Office</t>
  </si>
  <si>
    <t>Lease office-rep and maint</t>
  </si>
  <si>
    <t>Inv-Leasing office-rep and maint</t>
  </si>
  <si>
    <t>Lease office-furnishings</t>
  </si>
  <si>
    <t>Inv-Leasing office-furnishings</t>
  </si>
  <si>
    <t>Lease office-interior design</t>
  </si>
  <si>
    <t>Inv-Leasing office-interior design</t>
  </si>
  <si>
    <t>Inventory-Leasing Office</t>
  </si>
  <si>
    <t>Total Inventory-Sales Center</t>
  </si>
  <si>
    <t>Sales center-contra</t>
  </si>
  <si>
    <t>Inv-Sales center-contra</t>
  </si>
  <si>
    <t>Sales center-other</t>
  </si>
  <si>
    <t>Inv-Sales center-other</t>
  </si>
  <si>
    <t>Sales center-model relocation</t>
  </si>
  <si>
    <t>Inv-Sales center-model relocation</t>
  </si>
  <si>
    <t>Sales center-lndscping install</t>
  </si>
  <si>
    <t>Inv-Sales center-landscaping install</t>
  </si>
  <si>
    <t>Sales center-model rep/maint</t>
  </si>
  <si>
    <t>Inv-Sales center-model rep/maint</t>
  </si>
  <si>
    <t>Sales center-kitchen model</t>
  </si>
  <si>
    <t>Inv-Sales center-kitchen model</t>
  </si>
  <si>
    <t>Sales center-relocation</t>
  </si>
  <si>
    <t>Inv-Sales center-relocation</t>
  </si>
  <si>
    <t>Sales center-buildout &amp; refurbishing</t>
  </si>
  <si>
    <t>Inv-Sales center-buildout &amp; refurbishing</t>
  </si>
  <si>
    <t>Sales center-model furnishings</t>
  </si>
  <si>
    <t>Inv-Sales center-model furnishings</t>
  </si>
  <si>
    <t>Sales center-model int design</t>
  </si>
  <si>
    <t>Inv-Sales center-model int design</t>
  </si>
  <si>
    <t>Sales center-trailer cost othr</t>
  </si>
  <si>
    <t>Inv-Sales center-trailer cost othr</t>
  </si>
  <si>
    <t>Sales center-trailer breakdown</t>
  </si>
  <si>
    <t>Inv-Sales center-trailer breakdown</t>
  </si>
  <si>
    <t>Sales center-trailer setup</t>
  </si>
  <si>
    <t>Inv-Sales center-trailer setup</t>
  </si>
  <si>
    <t>Inventory-Sales Center</t>
  </si>
  <si>
    <t>Total Inventory-Branding</t>
  </si>
  <si>
    <t>Inv-Branding-contra</t>
  </si>
  <si>
    <t>Branding-club membership fees</t>
  </si>
  <si>
    <t>Inv-Branding-club membership fees</t>
  </si>
  <si>
    <t>Branding-fees</t>
  </si>
  <si>
    <t>Inv-Branding-fees</t>
  </si>
  <si>
    <t>Inventory-Branding</t>
  </si>
  <si>
    <t>Total Inventory-Sales Administration</t>
  </si>
  <si>
    <t>Sales admin-contingency</t>
  </si>
  <si>
    <t>Inv-Sales admin-contingency</t>
  </si>
  <si>
    <t>Sales admin-contra</t>
  </si>
  <si>
    <t>Inv-Sales admin-contra</t>
  </si>
  <si>
    <t>Sales admin-other</t>
  </si>
  <si>
    <t>Inv-Sales admin-other</t>
  </si>
  <si>
    <t>Sales admin-shared service allocation</t>
  </si>
  <si>
    <t>Inv-Sales admin-shared service allocation</t>
  </si>
  <si>
    <t>Sales admin-reimbursable costs</t>
  </si>
  <si>
    <t>Inv-Sales admin-reimbursable costs</t>
  </si>
  <si>
    <t>Sales admin-outside services</t>
  </si>
  <si>
    <t>Inv-Sales admin-outside services</t>
  </si>
  <si>
    <t>Sales admin-office relocation</t>
  </si>
  <si>
    <t>Inv-Sales admin-office relocation</t>
  </si>
  <si>
    <t>Sales admin-escrow fees</t>
  </si>
  <si>
    <t>Inv-Sales admin-escrow fees</t>
  </si>
  <si>
    <t>Sales admin-contract admin fee</t>
  </si>
  <si>
    <t>Inv-Sales admin-contract admin allocation</t>
  </si>
  <si>
    <t>Sales admin-leased office eq</t>
  </si>
  <si>
    <t>Inv-Sales admin-leased office equipment</t>
  </si>
  <si>
    <t>Sales admin-security services</t>
  </si>
  <si>
    <t>Inv-Sales admin-security services</t>
  </si>
  <si>
    <t>Sales admin-cleaning/maint</t>
  </si>
  <si>
    <t>Inv-Sales admin-cleaning/maint</t>
  </si>
  <si>
    <t>Sales admin-util-water</t>
  </si>
  <si>
    <t>Inv-Sales admin-util-water</t>
  </si>
  <si>
    <t>Sales admin-util-other</t>
  </si>
  <si>
    <t>Inv-Sales admin-util-other</t>
  </si>
  <si>
    <t>Sales admin-util-electric</t>
  </si>
  <si>
    <t>Inv-Sales admin-util-electric</t>
  </si>
  <si>
    <t>Sales admin-rent/trailer lease</t>
  </si>
  <si>
    <t>Inv-Sales admin-rent/trailer lease</t>
  </si>
  <si>
    <t>Sales admin-water/coffee svc</t>
  </si>
  <si>
    <t>Inv-Sales admin-water/coffee svc</t>
  </si>
  <si>
    <t>Sales admin-office expenses</t>
  </si>
  <si>
    <t>Inv-Sales admin-office expenses</t>
  </si>
  <si>
    <t>Sales admin-telephone and data</t>
  </si>
  <si>
    <t>Inv-Sales admin-telephone and data</t>
  </si>
  <si>
    <t>Sales admin-mobile phone</t>
  </si>
  <si>
    <t>Inv-Sales admin-mobile devices</t>
  </si>
  <si>
    <t>Sales admin-computer/IT costs</t>
  </si>
  <si>
    <t>Inv-Sales admin-computer/IT costs</t>
  </si>
  <si>
    <t>Sales admin-postage/delivery</t>
  </si>
  <si>
    <t>Inv-Sales admin-postage/delivery</t>
  </si>
  <si>
    <t>Sales admin-office supplies</t>
  </si>
  <si>
    <t>Inv-Sales admin-office supplies</t>
  </si>
  <si>
    <t>Sales admin-temp labor</t>
  </si>
  <si>
    <t>Inv-Sales admin-temp labor</t>
  </si>
  <si>
    <t>Sales admin-recruit/relo costs</t>
  </si>
  <si>
    <t>Inv-Sales admin-recruit/relo costs</t>
  </si>
  <si>
    <t>Sales admin-employee benefits</t>
  </si>
  <si>
    <t>Inv-Sales admin-employee benefits</t>
  </si>
  <si>
    <t>Sales admin-payroll fees</t>
  </si>
  <si>
    <t>Inv-Sales admin-payroll fees</t>
  </si>
  <si>
    <t>Sales admin-payroll taxes</t>
  </si>
  <si>
    <t>Inv-Sales admin-payroll taxes</t>
  </si>
  <si>
    <t>Sales admin-incentives</t>
  </si>
  <si>
    <t>Inv-Sales admin-incentives</t>
  </si>
  <si>
    <t>Sales admin-salaries and wages</t>
  </si>
  <si>
    <t>Inv-Sales admin-salaries and wages</t>
  </si>
  <si>
    <t>Inventory-Sales Administration</t>
  </si>
  <si>
    <t>Total Inventory-Administration Costs</t>
  </si>
  <si>
    <t>Admin costs-contingency</t>
  </si>
  <si>
    <t>Inv-Admin costs-contingency</t>
  </si>
  <si>
    <t>Admin costs-contra</t>
  </si>
  <si>
    <t>Inv-Admin costs-contra</t>
  </si>
  <si>
    <t>Admin costs-Equipment Rental</t>
  </si>
  <si>
    <t>Inv-Admin costs-Equipment Rental</t>
  </si>
  <si>
    <t>Admin costs-mgmt fee</t>
  </si>
  <si>
    <t>Inv-Admin costs-management fee</t>
  </si>
  <si>
    <t>Admin costs-cnstr consltng fee</t>
  </si>
  <si>
    <t>Inv-Admin costs-construction consulting fee</t>
  </si>
  <si>
    <t>Admin costs-shared service allocation</t>
  </si>
  <si>
    <t>Inv-Admin costs-shared service allocation</t>
  </si>
  <si>
    <t>Admin costs-reimbursable costs</t>
  </si>
  <si>
    <t>Inv-Admin costs-reimbursable costs</t>
  </si>
  <si>
    <t>Admin costs-outside services</t>
  </si>
  <si>
    <t>Inv-Admin costs-outside services</t>
  </si>
  <si>
    <t>Admin costs-project mgmt fees</t>
  </si>
  <si>
    <t>Inv-Admin costs-project mgmt fees</t>
  </si>
  <si>
    <t>Admin costs-mgmt transition</t>
  </si>
  <si>
    <t>Inv-Admin costs-mgmt transition</t>
  </si>
  <si>
    <t>Admin costs-licenses/taxes</t>
  </si>
  <si>
    <t>Inv-Admin costs-licenses/taxes</t>
  </si>
  <si>
    <t>Admin costs-consulting</t>
  </si>
  <si>
    <t>Inv-Admin costs-consulting</t>
  </si>
  <si>
    <t>Admin costs-audit/tax services</t>
  </si>
  <si>
    <t>Inv-Admin costs-audit/tax services</t>
  </si>
  <si>
    <t>Admin costs-accounting fees</t>
  </si>
  <si>
    <t>Inv-Admin costs-accounting fees</t>
  </si>
  <si>
    <t>Admin costs-leased office eq</t>
  </si>
  <si>
    <t>Inv-Admin costs-leased office equipment</t>
  </si>
  <si>
    <t>Admin costs-security services</t>
  </si>
  <si>
    <t>Inv-Admin costs-security services</t>
  </si>
  <si>
    <t>Admin costs-cleaning/maint</t>
  </si>
  <si>
    <t>Inv-Admin costs-cleaning/maint</t>
  </si>
  <si>
    <t>Admin costs-water</t>
  </si>
  <si>
    <t>Inv-Admin costs-water</t>
  </si>
  <si>
    <t>Admin costs-utilities</t>
  </si>
  <si>
    <t>Inv-Admin costs-utilities</t>
  </si>
  <si>
    <t>Admin costs-util-electric</t>
  </si>
  <si>
    <t>Inv-Admin costs-util-electric</t>
  </si>
  <si>
    <t>Admin costs-rent-constr office</t>
  </si>
  <si>
    <t>Inv-Admin costs-rent-constr office</t>
  </si>
  <si>
    <t>Admin costs-rent</t>
  </si>
  <si>
    <t>Inv-Admin costs-rent</t>
  </si>
  <si>
    <t>Admin costs-office expenses</t>
  </si>
  <si>
    <t>Inv-Admin costs-office expenses</t>
  </si>
  <si>
    <t>Admin costs-political contrib</t>
  </si>
  <si>
    <t>Inv-Admin costs-political contrib</t>
  </si>
  <si>
    <t>Admin costs-sponsorships</t>
  </si>
  <si>
    <t>Inv-Admin costs-sponsorships</t>
  </si>
  <si>
    <t>Admin costs-telephone services</t>
  </si>
  <si>
    <t>Inv-Admin costs-telephone and data</t>
  </si>
  <si>
    <t>Admin costs-mobile phone</t>
  </si>
  <si>
    <t>Inv-Admin costs-mobile devices</t>
  </si>
  <si>
    <t>Admin costs-computer/IT costs</t>
  </si>
  <si>
    <t>Inv-Admin costs-computer/IT costs</t>
  </si>
  <si>
    <t>Admin costs-bank fees</t>
  </si>
  <si>
    <t>Inv-Admin costs-bank fees</t>
  </si>
  <si>
    <t>Admin costs-postage/delivery</t>
  </si>
  <si>
    <t>Inv-Admin costs-postage/delivery</t>
  </si>
  <si>
    <t>Admin costs-office supplies</t>
  </si>
  <si>
    <t>Inv-Admin costs-office supplies</t>
  </si>
  <si>
    <t>Admin costs-temp labor</t>
  </si>
  <si>
    <t>Inv-Admin costs-temp labor</t>
  </si>
  <si>
    <t>Admin costs-recruit/relo costs</t>
  </si>
  <si>
    <t>Inv-Admin costs-recruit/relo costs</t>
  </si>
  <si>
    <t>Admin costs-emp benefits</t>
  </si>
  <si>
    <t>Inv-Admin costs-emp benefits</t>
  </si>
  <si>
    <t>Admin costs-payroll expenses</t>
  </si>
  <si>
    <t>Inv-Admin costs-payroll fees</t>
  </si>
  <si>
    <t>Admin costs-payroll taxes</t>
  </si>
  <si>
    <t>Inv-Admin costs-payroll taxes</t>
  </si>
  <si>
    <t>Admin costs-incentives</t>
  </si>
  <si>
    <t>Inv-Admin costs-incentives</t>
  </si>
  <si>
    <t>Admin costs-salaries and wages</t>
  </si>
  <si>
    <t>Inv-Admin costs-salaries and wages</t>
  </si>
  <si>
    <t>Inventory-Administration Costs</t>
  </si>
  <si>
    <t>Total Inventory-Legal</t>
  </si>
  <si>
    <t>Legal-contingency</t>
  </si>
  <si>
    <t>Inv-Legal-contingency</t>
  </si>
  <si>
    <t>Legal-contra</t>
  </si>
  <si>
    <t>Inv-Legal-contra</t>
  </si>
  <si>
    <t>Legal-closing credits</t>
  </si>
  <si>
    <t>Inv-Legal-closing credits</t>
  </si>
  <si>
    <t>Legal-tenant leases</t>
  </si>
  <si>
    <t>Inv-Legal-tenant leases</t>
  </si>
  <si>
    <t>Legal-trademarks</t>
  </si>
  <si>
    <t>Inv-Legal-trademarks</t>
  </si>
  <si>
    <t>Legal-trust counsel</t>
  </si>
  <si>
    <t>Inv-Legal-trust counsel</t>
  </si>
  <si>
    <t>Legal-tax counsel</t>
  </si>
  <si>
    <t>Inv-Legal-tax counsel</t>
  </si>
  <si>
    <t>Legal-local counsel</t>
  </si>
  <si>
    <t>Inv-Legal-local counsel</t>
  </si>
  <si>
    <t>Legal-hud counsel</t>
  </si>
  <si>
    <t>Inv-Legal-hud counsel</t>
  </si>
  <si>
    <t>Legal-environmental issues</t>
  </si>
  <si>
    <t>Inv-Legal-environmental issues</t>
  </si>
  <si>
    <t>Legal-debt counsel</t>
  </si>
  <si>
    <t>Inv-Legal-debt counsel</t>
  </si>
  <si>
    <t>Legal-retail counsel</t>
  </si>
  <si>
    <t>Inv-Legal-retail counsel</t>
  </si>
  <si>
    <t>Legal-acquisition</t>
  </si>
  <si>
    <t>Inv-Legal-acquisition</t>
  </si>
  <si>
    <t>Legal-zoning</t>
  </si>
  <si>
    <t>Inv-Legal-zoning</t>
  </si>
  <si>
    <t>Legal-construction issues</t>
  </si>
  <si>
    <t>Inv-Legal-construction issues</t>
  </si>
  <si>
    <t>Legal-construction contract</t>
  </si>
  <si>
    <t>Inv-Legal-construction contract</t>
  </si>
  <si>
    <t>Legal-buyer closing matters</t>
  </si>
  <si>
    <t>Inv-Legal-buyer closing matters</t>
  </si>
  <si>
    <t>Legal-sales contract</t>
  </si>
  <si>
    <t>Inv-Legal-sales contract</t>
  </si>
  <si>
    <t>Legal-foreclosure costs</t>
  </si>
  <si>
    <t>Inv-Legal-foreclosure</t>
  </si>
  <si>
    <t>Legal-lawsuits</t>
  </si>
  <si>
    <t>Inv-Legal-lawsuits</t>
  </si>
  <si>
    <t>Legal-general assistance</t>
  </si>
  <si>
    <t>Inv-Legal-general assistance</t>
  </si>
  <si>
    <t>Legal-partnership agreement</t>
  </si>
  <si>
    <t>Inv-Legal-partnership agreement</t>
  </si>
  <si>
    <t>Legal-condo docs</t>
  </si>
  <si>
    <t>Inv-Legal-condo docs</t>
  </si>
  <si>
    <t>Inventory-Legal</t>
  </si>
  <si>
    <t>Total Inventory-Insurance</t>
  </si>
  <si>
    <t>Insurance-contra</t>
  </si>
  <si>
    <t>Inv-Insurance-contra</t>
  </si>
  <si>
    <t>Insurance-property-real estate</t>
  </si>
  <si>
    <t>Inv-Insurance-property-real estate</t>
  </si>
  <si>
    <t>Insurance-general liability</t>
  </si>
  <si>
    <t>Inv-Insurance-general liability</t>
  </si>
  <si>
    <t>Insurance-flood</t>
  </si>
  <si>
    <t>Inv-Insurance-flood</t>
  </si>
  <si>
    <t>Insurance-bond fees</t>
  </si>
  <si>
    <t>Inv-Insurance-bond fees</t>
  </si>
  <si>
    <t>Insurance-builders risk</t>
  </si>
  <si>
    <t>Inv-Insurance-builders risk</t>
  </si>
  <si>
    <t>Inventory-Insurance</t>
  </si>
  <si>
    <t>Total Inventory-Real Estate Taxes</t>
  </si>
  <si>
    <t>Real estate taxes-contra</t>
  </si>
  <si>
    <t>Inv-Real estate taxes-contra</t>
  </si>
  <si>
    <t>Real estate taxes-property</t>
  </si>
  <si>
    <t>Inv-Real estate taxes-property</t>
  </si>
  <si>
    <t>Real estate taxes-land acquisition</t>
  </si>
  <si>
    <t>Inv-Real estate taxes-land acquisition</t>
  </si>
  <si>
    <t>Inventory-Real Estate Taxes</t>
  </si>
  <si>
    <t>Total Inventory-Association Costs</t>
  </si>
  <si>
    <t>Assoc costs-contingency</t>
  </si>
  <si>
    <t>Inv-Assoc costs-contingency</t>
  </si>
  <si>
    <t>Assoc costs-contra</t>
  </si>
  <si>
    <t>Inv-Assoc costs-contra</t>
  </si>
  <si>
    <t>Pre Opening Costs</t>
  </si>
  <si>
    <t>Inv-Assoc Costs-Pre Opening Costs</t>
  </si>
  <si>
    <t>Assoc costs-association fee</t>
  </si>
  <si>
    <t>Inv-Assoc costs-association fee</t>
  </si>
  <si>
    <t>Assoc costs-settlement</t>
  </si>
  <si>
    <t>Inv-Assoc costs-settlement</t>
  </si>
  <si>
    <t>Assoc costs-legal fees</t>
  </si>
  <si>
    <t>Inv-Assoc costs-legal fees</t>
  </si>
  <si>
    <t>Assoc costs-utilities</t>
  </si>
  <si>
    <t>Inv-Assoc costs-utilities</t>
  </si>
  <si>
    <t>Assoc costs-temporary power</t>
  </si>
  <si>
    <t>Inv-Assoc costs-temporary power</t>
  </si>
  <si>
    <t>Assoc costs-start up</t>
  </si>
  <si>
    <t>Inv-Assoc costs-start up</t>
  </si>
  <si>
    <t>Assoc costs-punch-out supplies</t>
  </si>
  <si>
    <t>Inv-Assoc costs-punch-out supplies</t>
  </si>
  <si>
    <t>Inventory-Association Costs</t>
  </si>
  <si>
    <t>Total Inventory-Municipal Fees</t>
  </si>
  <si>
    <t>Inv-Muni fees-federal concession</t>
  </si>
  <si>
    <t>Muni fees-liens</t>
  </si>
  <si>
    <t>Inv-Muni fees-liens</t>
  </si>
  <si>
    <t>Muni fees-parking structure</t>
  </si>
  <si>
    <t>Inv-Muni fees-parking structure</t>
  </si>
  <si>
    <t>Muni fees-tree concessions</t>
  </si>
  <si>
    <t>Inv-Muni fees-tree concessions</t>
  </si>
  <si>
    <t>Muni fees-neighbor relations</t>
  </si>
  <si>
    <t>Inv-Muni fees-neighbor relations</t>
  </si>
  <si>
    <t>Muni fees-MUSP applicatn fees</t>
  </si>
  <si>
    <t>Inv-Muni fees-MUSP applicatn fees</t>
  </si>
  <si>
    <t>Muni fees-local</t>
  </si>
  <si>
    <t>Inv-Muni fees-local</t>
  </si>
  <si>
    <t>Muni fees-general</t>
  </si>
  <si>
    <t>Inv-Muni fees-impact fees-general</t>
  </si>
  <si>
    <t>Muni fees-impact fees-water</t>
  </si>
  <si>
    <t>Inv-Muni fees-impact fees-water</t>
  </si>
  <si>
    <t>Muni fees-impact fees-school</t>
  </si>
  <si>
    <t>Inv-Muni fees-impact fees-school</t>
  </si>
  <si>
    <t>Muni fees-impact fees-roads</t>
  </si>
  <si>
    <t>Inv-Muni fees-impact fees-roads</t>
  </si>
  <si>
    <t>Muni fees-impact fees-park</t>
  </si>
  <si>
    <t>Inv-Muni fees-impact fees-park</t>
  </si>
  <si>
    <t>Muni fees-impact fees-law enf</t>
  </si>
  <si>
    <t>Inv-Muni fees-impact fees-law enf</t>
  </si>
  <si>
    <t>Muni fees-impact fees-fire</t>
  </si>
  <si>
    <t>Inv-Muni fees-impact fees-fire</t>
  </si>
  <si>
    <t>Muni fees-dwelling unit fees</t>
  </si>
  <si>
    <t>Inv-Muni fees-dwelling unit fees</t>
  </si>
  <si>
    <t>Muni fees-cert of occupancy</t>
  </si>
  <si>
    <t>Inv-Muni fees-cert of occupancy</t>
  </si>
  <si>
    <t>Muni fees-building permits</t>
  </si>
  <si>
    <t>Inv-Muni fees-building permits</t>
  </si>
  <si>
    <t>Inventory-Municipal Fees</t>
  </si>
  <si>
    <t>Total Inventory-Tenant Items</t>
  </si>
  <si>
    <t>Inv-Tenant Items-Incentives</t>
  </si>
  <si>
    <t>Inv-Tenant Items-Impact Fees</t>
  </si>
  <si>
    <t>Inventory-Tenant Items</t>
  </si>
  <si>
    <t>Total Inventory-Consulting</t>
  </si>
  <si>
    <t>Consulting-contingency</t>
  </si>
  <si>
    <t>Inv-Consulting-contingency</t>
  </si>
  <si>
    <t xml:space="preserve">Consulting-technology_x000D_
_x000D_
</t>
  </si>
  <si>
    <t>Inv-Consulting-technology</t>
  </si>
  <si>
    <t>Consulting-commercial tenant coordination</t>
  </si>
  <si>
    <t>Inv-Consulting-commercial tenant coordination</t>
  </si>
  <si>
    <t>Consulting-commercial leasing commissions</t>
  </si>
  <si>
    <t>Inv-Consulting-commercial leasing commissions</t>
  </si>
  <si>
    <t>Consulting-appraisal</t>
  </si>
  <si>
    <t>Inv-Consulting-appraisal</t>
  </si>
  <si>
    <t>Consulting-peer review-MEP</t>
  </si>
  <si>
    <t>Inv-Consulting-peer review-MEP</t>
  </si>
  <si>
    <t>Consulting-peer review-architect</t>
  </si>
  <si>
    <t>Inv-Consulting-peer review-architect</t>
  </si>
  <si>
    <t>Consulting-peer review-structural</t>
  </si>
  <si>
    <t>Inv-Consulting-peer review-structural</t>
  </si>
  <si>
    <t>Consulting-peer review-ADA</t>
  </si>
  <si>
    <t>Inv-Consulting-peer review-ADA</t>
  </si>
  <si>
    <t>Consulting-scheduling</t>
  </si>
  <si>
    <t>Inv-Consulting-scheduling</t>
  </si>
  <si>
    <t>Consulting-elevator</t>
  </si>
  <si>
    <t>Inv-Consulting-elevator</t>
  </si>
  <si>
    <t>Consulting-powerline-air quality studies</t>
  </si>
  <si>
    <t>Inv-Consulting-powerline-air quality studies</t>
  </si>
  <si>
    <t>Consulting-environmental site assessment</t>
  </si>
  <si>
    <t>Inv-Consulting-environmental site assessment</t>
  </si>
  <si>
    <t>Consulting-soil report</t>
  </si>
  <si>
    <t>Inv-Consulting-soil report</t>
  </si>
  <si>
    <t>Consulting-security</t>
  </si>
  <si>
    <t>Inv-Consulting-security</t>
  </si>
  <si>
    <t xml:space="preserve">Consulting-pile inspector_x000D_
</t>
  </si>
  <si>
    <t>Inv-Consulting-pile inspector</t>
  </si>
  <si>
    <t>Consulting-private provider inspector</t>
  </si>
  <si>
    <t>Inv-Consulting-private provider inspector</t>
  </si>
  <si>
    <t>Consulting-other</t>
  </si>
  <si>
    <t>Inv-Consulting-other</t>
  </si>
  <si>
    <t>Consulting-value engineering</t>
  </si>
  <si>
    <t>Inv-Consulting-value engineering</t>
  </si>
  <si>
    <t>Consulting-Pool and Spa</t>
  </si>
  <si>
    <t>Inv-Consulting-Pool and Spa</t>
  </si>
  <si>
    <t>Consulting-financial</t>
  </si>
  <si>
    <t>Inv-Consulting-financial</t>
  </si>
  <si>
    <t>Consulting-constr mgmt</t>
  </si>
  <si>
    <t>Inv-Consulting-constr mgmt</t>
  </si>
  <si>
    <t>Consulting-condo docs</t>
  </si>
  <si>
    <t>Inv-Consulting-condo docs</t>
  </si>
  <si>
    <t>Consulting-env clean-up</t>
  </si>
  <si>
    <t>Inv-Consulting-env clean-up</t>
  </si>
  <si>
    <t>Consulting-aerials/photography</t>
  </si>
  <si>
    <t>Inv-Consulting-aerials/photography</t>
  </si>
  <si>
    <t>Consulting-prints plans reproduction</t>
  </si>
  <si>
    <t>Inv-Consulting-prints plans reproduction</t>
  </si>
  <si>
    <t>Consulting-green building</t>
  </si>
  <si>
    <t>Consulting-zoning/permit/expediter</t>
  </si>
  <si>
    <t>Inv-Consulting-zoning/permit/expediter</t>
  </si>
  <si>
    <t>Consulting-precon analysis</t>
  </si>
  <si>
    <t>Inv-Consulting-precon analysis</t>
  </si>
  <si>
    <t>Consulting-plan verification</t>
  </si>
  <si>
    <t>Inv-Consulting-plan verification</t>
  </si>
  <si>
    <t>Consulting-asbestos</t>
  </si>
  <si>
    <t>Inv-Consulting-asbestos</t>
  </si>
  <si>
    <t>Consulting-window inspector</t>
  </si>
  <si>
    <t>Inv-Consulting-window inspector</t>
  </si>
  <si>
    <t>Consulting-waterproofing</t>
  </si>
  <si>
    <t>Inv-Consulting-waterproofing</t>
  </si>
  <si>
    <t>Consulting-bldg review insp</t>
  </si>
  <si>
    <t>Inv-Consulting-bldg review insp</t>
  </si>
  <si>
    <t>Consulting-blding consultants</t>
  </si>
  <si>
    <t>Inv-Consulting-bldg consultants</t>
  </si>
  <si>
    <t>Consulting-ada assessment</t>
  </si>
  <si>
    <t>Inv-Consulting-ada assessment</t>
  </si>
  <si>
    <t xml:space="preserve">Consulting-lighting_x000D_
</t>
  </si>
  <si>
    <t>Inv-Consulting-lighting</t>
  </si>
  <si>
    <t>Consulting-acoustic</t>
  </si>
  <si>
    <t>Inv-Consulting-acoustic</t>
  </si>
  <si>
    <t>Consulting-material testing</t>
  </si>
  <si>
    <t>Inv-Consulting-material testing</t>
  </si>
  <si>
    <t>Consulting-air rights</t>
  </si>
  <si>
    <t>Inv-Consulting-air rights</t>
  </si>
  <si>
    <t>Consulting-wind consultants</t>
  </si>
  <si>
    <t>Inv-Consulting-wind consultants</t>
  </si>
  <si>
    <t>Consulting-threshold insp</t>
  </si>
  <si>
    <t>Inv-Consulting-threshold insp</t>
  </si>
  <si>
    <t>Consulting-fire life safety</t>
  </si>
  <si>
    <t>Inv-Consulting-fire life safety</t>
  </si>
  <si>
    <t>Consulting-utilities</t>
  </si>
  <si>
    <t>Inv-Consulting-utilities</t>
  </si>
  <si>
    <t>Consulting-airport</t>
  </si>
  <si>
    <t>Inv-Consulting-airport</t>
  </si>
  <si>
    <t>Consulting-market studies</t>
  </si>
  <si>
    <t>Inv-Consulting-market studies</t>
  </si>
  <si>
    <t>Inventory-Consulting</t>
  </si>
  <si>
    <t>Total Inventory-Engineering</t>
  </si>
  <si>
    <t>Engineering-contingency</t>
  </si>
  <si>
    <t>Inv-Eng-contingency</t>
  </si>
  <si>
    <t>Engineering-platting</t>
  </si>
  <si>
    <t>Inv-Eng-platting</t>
  </si>
  <si>
    <t>Engineering-existing conditions survey</t>
  </si>
  <si>
    <t>Inv-Eng-existing conditions survey</t>
  </si>
  <si>
    <t>Engineering-MEP (Mechanical Electrical and Plumbing)</t>
  </si>
  <si>
    <t>Inv-Eng-MEP (Mechanical Electrical and Plumbing)</t>
  </si>
  <si>
    <t>Engineering-other</t>
  </si>
  <si>
    <t>Inv-Eng-other</t>
  </si>
  <si>
    <t>Engineering-reimbursables</t>
  </si>
  <si>
    <t>Inv-Eng-reimbursables</t>
  </si>
  <si>
    <t>Engineering-demolition</t>
  </si>
  <si>
    <t>Inv-Eng-demolition</t>
  </si>
  <si>
    <t>Engineering-structural</t>
  </si>
  <si>
    <t>Inv-Eng-structural</t>
  </si>
  <si>
    <t>Engineering-environmental</t>
  </si>
  <si>
    <t>Inv-Eng-environmental</t>
  </si>
  <si>
    <t>Engineering-coastal seawall</t>
  </si>
  <si>
    <t>Inv-Eng-coastal seawall</t>
  </si>
  <si>
    <t>Engineering-geotechnical</t>
  </si>
  <si>
    <t>Inv-Eng-geotechnical</t>
  </si>
  <si>
    <t>Engineering-surveyor</t>
  </si>
  <si>
    <t>Inv-Eng-surveyor</t>
  </si>
  <si>
    <t>Engineering-traffic design</t>
  </si>
  <si>
    <t>Inv-Eng-traffic design</t>
  </si>
  <si>
    <t>Engineering-civil engineer</t>
  </si>
  <si>
    <t>Inv-Eng-civil engineer</t>
  </si>
  <si>
    <t>Inventory-Engineering</t>
  </si>
  <si>
    <t>Total Inventory-Architectural/Design</t>
  </si>
  <si>
    <t>Architect/design contingency</t>
  </si>
  <si>
    <t>Inv-Architect/design contingency</t>
  </si>
  <si>
    <t>Total Inventory-Interior Design</t>
  </si>
  <si>
    <t>Design-interiors-reimbursable</t>
  </si>
  <si>
    <t>Inv-Design-interiors-reimbursable</t>
  </si>
  <si>
    <t>Design-interiors</t>
  </si>
  <si>
    <t>Inv-Design-interiors</t>
  </si>
  <si>
    <t>Inventory-Interior Design</t>
  </si>
  <si>
    <t>Total Inventory-Architectural</t>
  </si>
  <si>
    <t>Architect-garage</t>
  </si>
  <si>
    <t>Inv-Architect-garage</t>
  </si>
  <si>
    <t>Architect-landscape arch</t>
  </si>
  <si>
    <t>Inv-Architect-landscape arch</t>
  </si>
  <si>
    <t>Architect-reimbursable</t>
  </si>
  <si>
    <t>Inv-Architect-reimbursable</t>
  </si>
  <si>
    <t>Architect-design</t>
  </si>
  <si>
    <t>Inv-Architect-design</t>
  </si>
  <si>
    <t>Architect-building architect</t>
  </si>
  <si>
    <t>Inv-Architect-building architect</t>
  </si>
  <si>
    <t>Inventory-Architectural</t>
  </si>
  <si>
    <t>Inventory-Architectural/Design</t>
  </si>
  <si>
    <t>Total Inventory-Owner Items-Tenant Improvements</t>
  </si>
  <si>
    <t>Owner items-Tenant Improvement Allowance</t>
  </si>
  <si>
    <t>Inv-Owner items-Tenant Improvement Allowance</t>
  </si>
  <si>
    <t>Inventory-Owner Items-Tenant Improvements</t>
  </si>
  <si>
    <t>Total Inventory-Owner Items-Upgrades</t>
  </si>
  <si>
    <t>Owner items-upgrades-flooring</t>
  </si>
  <si>
    <t>Inv-Owner items-upgrades-flooring</t>
  </si>
  <si>
    <t>Owner items-upgrades-affiliate</t>
  </si>
  <si>
    <t>Inv-Owner items-upgrades-affiliate</t>
  </si>
  <si>
    <t>Owner items-upgrades-buyer</t>
  </si>
  <si>
    <t>Inv-Owner items-upgrades-buyer</t>
  </si>
  <si>
    <t>Inventory-Owner Items-Upgrades</t>
  </si>
  <si>
    <t>Total Inventory-Owner Items</t>
  </si>
  <si>
    <t>Owner items-contingency</t>
  </si>
  <si>
    <t>Inv-Owner items-contingency</t>
  </si>
  <si>
    <t>Owner items-contra</t>
  </si>
  <si>
    <t>Inv-Owner items-contra</t>
  </si>
  <si>
    <t>Owner Items-other</t>
  </si>
  <si>
    <t>Inv-Owner Items-other</t>
  </si>
  <si>
    <t>Other fees-mgmt transition</t>
  </si>
  <si>
    <t>Total Inv-Owner Items-insurance claims</t>
  </si>
  <si>
    <t>Owner Items-insurance claims-other</t>
  </si>
  <si>
    <t>Inv-Owner Items-insurance claims-other</t>
  </si>
  <si>
    <t>Owner Items-insurance claims-builders risk-other</t>
  </si>
  <si>
    <t>Inv-Owner Items-insurance claims-builders risk-other</t>
  </si>
  <si>
    <t>Owner Items-insurance claims-flood</t>
  </si>
  <si>
    <t>Inv-Owner Items-insurance claims-flood</t>
  </si>
  <si>
    <t>Owner Items-insurance claims-builders risk</t>
  </si>
  <si>
    <t>Inv-Owner Items-insurance claims-builders risk</t>
  </si>
  <si>
    <t>Inv-Owner Items-insurance claims</t>
  </si>
  <si>
    <t>Inv-Owner Items-community engagement</t>
  </si>
  <si>
    <t>Owner Items-insurance OCIP</t>
  </si>
  <si>
    <t>Inv-Owner Items-insurance OCIP</t>
  </si>
  <si>
    <t>Owner Items-tenant relo costs</t>
  </si>
  <si>
    <t>Inv-Owner Items-tenant relo costs</t>
  </si>
  <si>
    <t>Owner Items-fence</t>
  </si>
  <si>
    <t>Inv-Owner Items-fence</t>
  </si>
  <si>
    <t>Owner Items-plumbing</t>
  </si>
  <si>
    <t>Inv-Owner Items-plumbing</t>
  </si>
  <si>
    <t>Owner Items-flooring materials</t>
  </si>
  <si>
    <t>Inv-Owner Items-flooring materials</t>
  </si>
  <si>
    <t>Owner Items-cab and countertops</t>
  </si>
  <si>
    <t>Inv-Owner Items-cab and countertops</t>
  </si>
  <si>
    <t>Owner Items-window treatments</t>
  </si>
  <si>
    <t>Inv-Owner Items-window treatments</t>
  </si>
  <si>
    <t>Owner Items-appliances</t>
  </si>
  <si>
    <t>Inv-Owner Items-appliances</t>
  </si>
  <si>
    <t>Total Inv-Owner Items-ffe</t>
  </si>
  <si>
    <t xml:space="preserve">Owner Items-ffe-design lighting </t>
  </si>
  <si>
    <t>Owner Items-ffe-lighting effects</t>
  </si>
  <si>
    <t>Owner Items-ffe-electrical fixtures</t>
  </si>
  <si>
    <t>Owner Items-ffe-ceiling fans</t>
  </si>
  <si>
    <t>Owner Items-ffe-outdoor</t>
  </si>
  <si>
    <t>Owner Items-ffe-fixtures</t>
  </si>
  <si>
    <t>Owner Items-ffe-furniture procurer</t>
  </si>
  <si>
    <t>Owner Items-ffe</t>
  </si>
  <si>
    <t>*OLD*Owner Items-fixtures</t>
  </si>
  <si>
    <t>*OLD*Owner Items-furniture procurer</t>
  </si>
  <si>
    <t>Inv-Owner Items-ffe</t>
  </si>
  <si>
    <t>Total Inv-Owner Items-marina</t>
  </si>
  <si>
    <t>Owner Items-marina-seawall</t>
  </si>
  <si>
    <t>Owner Items-marina-build out / fit out</t>
  </si>
  <si>
    <t>Owner Items-marina-operating system/pos</t>
  </si>
  <si>
    <t>Owner Items-marina-low voltage</t>
  </si>
  <si>
    <t>Owner Items-marina-OSE</t>
  </si>
  <si>
    <t>Owner Items-marina-FFE</t>
  </si>
  <si>
    <t>Owner Items-marina</t>
  </si>
  <si>
    <t>Inv-Owner Items-marina</t>
  </si>
  <si>
    <t>Total Inv-Owner Items-beach club</t>
  </si>
  <si>
    <t>Owner Items-beach club-build out / fit out</t>
  </si>
  <si>
    <t>Owner Items-beach club-operating system/pos</t>
  </si>
  <si>
    <t>Owner Items-beach club-low voltage</t>
  </si>
  <si>
    <t>Owner Items-beach club-OSE</t>
  </si>
  <si>
    <t>Owner Items-beach club-FFE</t>
  </si>
  <si>
    <t>Owner Items-beach club</t>
  </si>
  <si>
    <t>Inv-Owner Items-beach club</t>
  </si>
  <si>
    <t>Total Inv-Owner Items-restaurant</t>
  </si>
  <si>
    <t>Owner Items-restaurant-build out / fit out</t>
  </si>
  <si>
    <t>Owner Items-restaurant-operating system/pos</t>
  </si>
  <si>
    <t>Owner Items-restaurant-low voltage</t>
  </si>
  <si>
    <t>Owner Items-restaurant-OSE</t>
  </si>
  <si>
    <t>Owner Items-restaurant-FFE</t>
  </si>
  <si>
    <t>Owner Items-restaurant</t>
  </si>
  <si>
    <t>Inv-Owner Items-restaurant</t>
  </si>
  <si>
    <t>Total Inv-Owner Items-retail</t>
  </si>
  <si>
    <t>Owner Items-retail-build out / fit out</t>
  </si>
  <si>
    <t>Owner Items-retail-operating system/pos</t>
  </si>
  <si>
    <t>Owner Items-retail-low voltage</t>
  </si>
  <si>
    <t>Owner Items-retail-OSE</t>
  </si>
  <si>
    <t>Owner Items-retail-FFE</t>
  </si>
  <si>
    <t>Owner Items-retail</t>
  </si>
  <si>
    <t>Inv-Owner Items-retail</t>
  </si>
  <si>
    <t>Total Inv-Owner Items-hotel and suites</t>
  </si>
  <si>
    <t>Owner Items-hotel and suites-mock up room</t>
  </si>
  <si>
    <t>Owner Items-hotel and suites-operating system</t>
  </si>
  <si>
    <t>Owner Items-hotel and suites-low voltage</t>
  </si>
  <si>
    <t>Owner Items-hotel and suites-OSE</t>
  </si>
  <si>
    <t>Owner Items-hotel and suites-FFE</t>
  </si>
  <si>
    <t>Owner Items-hotel and suites</t>
  </si>
  <si>
    <t>Inv-Owner Items-hotel and suites</t>
  </si>
  <si>
    <t>Total Inv-Owner Items-model</t>
  </si>
  <si>
    <t>Owner Items-model-furnishings</t>
  </si>
  <si>
    <t>Owner Items-model-mock up room</t>
  </si>
  <si>
    <t>Owner Items-model-kitchen/bath</t>
  </si>
  <si>
    <t>Owner Items-model</t>
  </si>
  <si>
    <t>Inv-Owner Items-model</t>
  </si>
  <si>
    <t>Total Inv-Owner Items-environmental</t>
  </si>
  <si>
    <t>Owner Items-environmental-remediation</t>
  </si>
  <si>
    <t>Owner Items-environmental-green building certification</t>
  </si>
  <si>
    <t>Owner Items-environmental</t>
  </si>
  <si>
    <t>Inv-Owner Items-environmental</t>
  </si>
  <si>
    <t>Total Inv-Owner Items-Interior</t>
  </si>
  <si>
    <t>Owner Items-interior-artwork</t>
  </si>
  <si>
    <t>Owner Items-interior-signage</t>
  </si>
  <si>
    <t>Owner Items-interior-fountain</t>
  </si>
  <si>
    <t>Owner Items-interior</t>
  </si>
  <si>
    <t>Inv-Owner Items-interior</t>
  </si>
  <si>
    <t>Total Inv-Owner Items-Exterior</t>
  </si>
  <si>
    <t>Owner Items-exterior-signage</t>
  </si>
  <si>
    <t>Owner Items-exterior-fountain</t>
  </si>
  <si>
    <t>Owner Items-exterior-artwork</t>
  </si>
  <si>
    <t>Owner Items-exterior-gates</t>
  </si>
  <si>
    <t>Owner Items-exterior-entrance</t>
  </si>
  <si>
    <t>Owner Items-exterior</t>
  </si>
  <si>
    <t>Inv-Owner Items-exterior</t>
  </si>
  <si>
    <t>Total Inv-Owner Items-utilities</t>
  </si>
  <si>
    <t>Owner Items-utilities-relocation</t>
  </si>
  <si>
    <t>Owner Items-utilities-public works</t>
  </si>
  <si>
    <t>Owner Items-utilities-powerline burial</t>
  </si>
  <si>
    <t>Owner Items-utilities-water meters</t>
  </si>
  <si>
    <t>Owner Items-utilities-water/sewer</t>
  </si>
  <si>
    <t>Owner Items-utilities-power</t>
  </si>
  <si>
    <t>Owner Items-utilities</t>
  </si>
  <si>
    <t>Inv-Owner Items-utilities</t>
  </si>
  <si>
    <t>Total Inv-Owner Items-security and safety</t>
  </si>
  <si>
    <t>Owner Items-security-safety patrol</t>
  </si>
  <si>
    <t>Owner Items-security-jobsite security</t>
  </si>
  <si>
    <t>Inv-Owner Items-security and safety</t>
  </si>
  <si>
    <t>Total Inv-Owner Items-transportation</t>
  </si>
  <si>
    <t>Owner Items-transportation-vehicles</t>
  </si>
  <si>
    <t>Owner Items-transportation-water vessel</t>
  </si>
  <si>
    <t>Owner Items-transportation-golf carts</t>
  </si>
  <si>
    <t>Owner Items-transportation</t>
  </si>
  <si>
    <t>Inv-Owner Items-transportation</t>
  </si>
  <si>
    <t>Total Inv-Owner Items-parking</t>
  </si>
  <si>
    <t>Owner Items-parking-tenant</t>
  </si>
  <si>
    <t>Owner Items-parking-valet</t>
  </si>
  <si>
    <t>Owner Items-parking</t>
  </si>
  <si>
    <t>Inv-Owner Items-parking</t>
  </si>
  <si>
    <t>Total Inv-Owner Items-garage</t>
  </si>
  <si>
    <t>Owner Items-garage-skin</t>
  </si>
  <si>
    <t>Owner Items-garage-parking lifts</t>
  </si>
  <si>
    <t>Owner Items-garage</t>
  </si>
  <si>
    <t>Inv-Owner Items-garage</t>
  </si>
  <si>
    <t>Total Inv-Owner Items-park</t>
  </si>
  <si>
    <t>Owner Items-park-jogging trail</t>
  </si>
  <si>
    <t>Owner Items-park-public art</t>
  </si>
  <si>
    <t>Owner Items-park-sculpture</t>
  </si>
  <si>
    <t>Owner Items-park-bay improvements</t>
  </si>
  <si>
    <t>Owner Items-park</t>
  </si>
  <si>
    <t>Inv-Owner Items-park</t>
  </si>
  <si>
    <t>Total Inv-Owner Items-offsite</t>
  </si>
  <si>
    <t>Owner Items-offsite-neighbor improvements</t>
  </si>
  <si>
    <t>Owner Items-offsite-maintenance of traffic</t>
  </si>
  <si>
    <t>Owner Items-offsite-lift station</t>
  </si>
  <si>
    <t>Owner Items-offsite-utilities</t>
  </si>
  <si>
    <t>Owner Items-offsite-infrastructure</t>
  </si>
  <si>
    <t>Owner Items-offsite-work</t>
  </si>
  <si>
    <t>Owner Items-offsite-road improvements</t>
  </si>
  <si>
    <t>Owner Items-offsite</t>
  </si>
  <si>
    <t>Inv-Owner Items-offsite</t>
  </si>
  <si>
    <t>Total Inv-Owner Items-landscaping</t>
  </si>
  <si>
    <t>Owner Items-landscaping-tree mitigation</t>
  </si>
  <si>
    <t>Owner Items-landscaping-tree removal</t>
  </si>
  <si>
    <t>Owner Items-landscaping-hardscape</t>
  </si>
  <si>
    <t>Owner Items-landscaping-irrigation</t>
  </si>
  <si>
    <t>Owner Items-landscaping</t>
  </si>
  <si>
    <t>Inv-Owner Items-landscaping</t>
  </si>
  <si>
    <t>Total Inv-Owner Items-construction</t>
  </si>
  <si>
    <t>Owner items-constr-onsite sitework</t>
  </si>
  <si>
    <t>Owner Items-constr-trailer</t>
  </si>
  <si>
    <t>Owner Items-constr-temp power</t>
  </si>
  <si>
    <t>Owner Items-constr-buildout/improvement</t>
  </si>
  <si>
    <t>Owner Items-constr-gc early completion bonus</t>
  </si>
  <si>
    <t>Owner Items-constr-temp water</t>
  </si>
  <si>
    <t>Owner Items-constr-parking</t>
  </si>
  <si>
    <t>Owner Items-constr-barrier</t>
  </si>
  <si>
    <t>Owner Items-construction</t>
  </si>
  <si>
    <t>Inv-Owner Items-construction</t>
  </si>
  <si>
    <t>Total Owner Items-exterior design</t>
  </si>
  <si>
    <t xml:space="preserve">Owner Items-exterior design-audio visual_x000D_
</t>
  </si>
  <si>
    <t>Owner Items-exterior design-audio visual</t>
  </si>
  <si>
    <t xml:space="preserve">Owner Items-exterior design-environmental graphics_x000D_
</t>
  </si>
  <si>
    <t>Owner Items-exterior design-environmental graphics</t>
  </si>
  <si>
    <t>Owner Items-exterior design</t>
  </si>
  <si>
    <t>Total Inv-Owner Items-interior design</t>
  </si>
  <si>
    <t>Owner Items-interior design-audio visual</t>
  </si>
  <si>
    <t>Owner Items-interior design-package</t>
  </si>
  <si>
    <t>Owner Items-interior design-finishes</t>
  </si>
  <si>
    <t>Owner Items-interior design-ffe</t>
  </si>
  <si>
    <t>Owner Items-interior design</t>
  </si>
  <si>
    <t>Inv-Owner Items-interior design</t>
  </si>
  <si>
    <t>Total Inv-Owner Items-technology</t>
  </si>
  <si>
    <t>Owner Items-technology-wifi</t>
  </si>
  <si>
    <t>Owner Items-technology-virtual reality systems</t>
  </si>
  <si>
    <t>Owner Items-technology-two way radio</t>
  </si>
  <si>
    <t>Owner Items-technology-televisions</t>
  </si>
  <si>
    <t>Owner Items-technology-telephones</t>
  </si>
  <si>
    <t>Owner Items-technology-music system</t>
  </si>
  <si>
    <t>Owner Items-technology-large format displays</t>
  </si>
  <si>
    <t>Owner Items-technology-kiosks</t>
  </si>
  <si>
    <t>Owner Items-technology-home automation</t>
  </si>
  <si>
    <t>Owner Items-technology-fire system</t>
  </si>
  <si>
    <t>Owner Items-technology-displays</t>
  </si>
  <si>
    <t>Owner Items-technology-das/cell phone booster</t>
  </si>
  <si>
    <t>Owner Items-technology-computers</t>
  </si>
  <si>
    <t>Owner Items-technology-cameras/surveillance</t>
  </si>
  <si>
    <t>Owner Items-technology-cabling</t>
  </si>
  <si>
    <t>Owner Items-technology-badging system</t>
  </si>
  <si>
    <t>Owner Items-technology-audio/visual equipment</t>
  </si>
  <si>
    <t>Owner Items-technology-access control system</t>
  </si>
  <si>
    <t>Owner Items-technology</t>
  </si>
  <si>
    <t>Inv-Owner Items-technology</t>
  </si>
  <si>
    <t>Total Inv-Owner Items-kitchen</t>
  </si>
  <si>
    <t>Owner Items-kitchen-sinks</t>
  </si>
  <si>
    <t>Owner Items-kitchen-islands</t>
  </si>
  <si>
    <t>Owner Items-kitchen-bar equipment</t>
  </si>
  <si>
    <t>Owner Items-kitchen</t>
  </si>
  <si>
    <t>Inv-Owner Items-kitchen</t>
  </si>
  <si>
    <t>Total Inv-Owner Items-lobby</t>
  </si>
  <si>
    <t>Owner Items-lobby-decor</t>
  </si>
  <si>
    <t>Owner Items-lobby-millwork</t>
  </si>
  <si>
    <t>Owner Items-lobby-mailbox</t>
  </si>
  <si>
    <t>Owner Items-lobby-desk</t>
  </si>
  <si>
    <t>Owner Items-lobby-furnishings</t>
  </si>
  <si>
    <t>Owner Items-lobby-area finishes</t>
  </si>
  <si>
    <t>Owner Items-lobby</t>
  </si>
  <si>
    <t>Inv-Owner Items-lobby</t>
  </si>
  <si>
    <t>Total Inv-Owner Items-fitness room</t>
  </si>
  <si>
    <t>Owner Items-fitness room-gym decor</t>
  </si>
  <si>
    <t>Owner Items-fitness room-spa decor</t>
  </si>
  <si>
    <t>Owner Items-fitness room-gym equipment</t>
  </si>
  <si>
    <t>Owner Items-fitness room-spa equipment</t>
  </si>
  <si>
    <t>Owner Items-fitness room</t>
  </si>
  <si>
    <t>Inv-Owner Items-fitness room</t>
  </si>
  <si>
    <t>Total Inv-Owner Items-pool</t>
  </si>
  <si>
    <t>Owner Items-pool-decor</t>
  </si>
  <si>
    <t>Owner Items-pool-equipment and furniture</t>
  </si>
  <si>
    <t>Owner Items-pool</t>
  </si>
  <si>
    <t>Inv-Owner Items-pool</t>
  </si>
  <si>
    <t>Total Inv-Owner Items-clubhouse</t>
  </si>
  <si>
    <t>Owner Items-clubhouse-health center equipment</t>
  </si>
  <si>
    <t>Owner Items-clubhouse-health center</t>
  </si>
  <si>
    <t>Owner Items-clubhouse-equipment</t>
  </si>
  <si>
    <t>Owner Items-clubhouse</t>
  </si>
  <si>
    <t>Inv-Owner Items-clubhouse</t>
  </si>
  <si>
    <t>Total Inv-Owner Items-storage</t>
  </si>
  <si>
    <t>Owner Items-storage-bike</t>
  </si>
  <si>
    <t>Owner Items-storage-area buildout</t>
  </si>
  <si>
    <t>Owner Items-storage-lockers</t>
  </si>
  <si>
    <t>Owner Items-storage</t>
  </si>
  <si>
    <t>Inv-Owner Items-storage</t>
  </si>
  <si>
    <t>Total Inv-Owner Items-common area</t>
  </si>
  <si>
    <t>Owner Items-common area-holiday decorations</t>
  </si>
  <si>
    <t>Owner Items-common area-operating inventories</t>
  </si>
  <si>
    <t>Owner Items-common area-maintenance equipment</t>
  </si>
  <si>
    <t>Owner Items-common area-property management office</t>
  </si>
  <si>
    <t>Owner Items-common area-strollers/wheelchair</t>
  </si>
  <si>
    <t>Owner Items-common area-social room</t>
  </si>
  <si>
    <t>Owner Items-common area-game room</t>
  </si>
  <si>
    <t>Owner Items-common area-finishes</t>
  </si>
  <si>
    <t>Owner Items-common area-amenities other</t>
  </si>
  <si>
    <t>Owner Items-common area-amenity deck</t>
  </si>
  <si>
    <t>Owner Items-common area-roof top finishes</t>
  </si>
  <si>
    <t>Owner Items-common area-roof top amenities</t>
  </si>
  <si>
    <t>Owner Items-common area-FFE</t>
  </si>
  <si>
    <t>Inv-Owner Items-common area</t>
  </si>
  <si>
    <t>Inventory-Owner Items</t>
  </si>
  <si>
    <t>Total Inventory-Infrastructure</t>
  </si>
  <si>
    <t>Total Inventory-Community Development Infrastructure</t>
  </si>
  <si>
    <t>Inv-CDD Infrastructure-Water Treatment</t>
  </si>
  <si>
    <t>Inv-CDD Infrastructure-Water &amp; Sewer Lines</t>
  </si>
  <si>
    <t>Inv-CDD Infrastructure-Security</t>
  </si>
  <si>
    <t>Inv-CDD Infrastructure-Roads</t>
  </si>
  <si>
    <t>Inv-CDD Infrastructure-Phone &amp; Data</t>
  </si>
  <si>
    <t>Inv-CDD Infrastructure-Parks &amp; Open Spaces</t>
  </si>
  <si>
    <t>Inv-CDD Infrastructure-Parking</t>
  </si>
  <si>
    <t>Inv-CDD Infrastructure-Lighting</t>
  </si>
  <si>
    <t>Inv-CDD Infrastructure-Landscaping</t>
  </si>
  <si>
    <t>Inv-CDD Infrastructure-Fencing</t>
  </si>
  <si>
    <t>Inv-CDD Infrastructure-Entrance &amp; Gate</t>
  </si>
  <si>
    <t>Inv-CDD Infrastructure-Electric &amp; Grid Buildout</t>
  </si>
  <si>
    <t>Inventory-Community Development Infrastructure</t>
  </si>
  <si>
    <t>Inventory-Infrastructure</t>
  </si>
  <si>
    <t>Constr costs-contingency</t>
  </si>
  <si>
    <t>Inventory-Construction Costs-Contingency</t>
  </si>
  <si>
    <t xml:space="preserve">Construction Costs-Advances_x000D_
</t>
  </si>
  <si>
    <t>Inventory-Construction Costs-Advances</t>
  </si>
  <si>
    <t>Constr costs-base contract</t>
  </si>
  <si>
    <t>Inventory-Construction Costs</t>
  </si>
  <si>
    <t>Constr costs-payment and perf bonding</t>
  </si>
  <si>
    <t>Constr costs-general cleaning</t>
  </si>
  <si>
    <t>Constr costs-other</t>
  </si>
  <si>
    <t>Constr costs-overhead fee</t>
  </si>
  <si>
    <t>Constr costs-profit</t>
  </si>
  <si>
    <t>Constr costs-general req</t>
  </si>
  <si>
    <t>Constr costs-furn fix and eq</t>
  </si>
  <si>
    <t>Constr costs-amenities</t>
  </si>
  <si>
    <t>Constr costs-site work</t>
  </si>
  <si>
    <t>Constr costs-parking</t>
  </si>
  <si>
    <t>Constr costs-demolition</t>
  </si>
  <si>
    <t>Constr costs-townhomes</t>
  </si>
  <si>
    <t>Constr costs-hotel</t>
  </si>
  <si>
    <t>Constr costs-residential</t>
  </si>
  <si>
    <t>Total Inventory-Buildings</t>
  </si>
  <si>
    <t>Bldg contingency</t>
  </si>
  <si>
    <t>Inv-Bldg contingency</t>
  </si>
  <si>
    <t>Bldg closing costs other</t>
  </si>
  <si>
    <t>Inv-Bldg closing costs other</t>
  </si>
  <si>
    <t>Bldg tenant improvements</t>
  </si>
  <si>
    <t>Inv-Bldg tenant improvements</t>
  </si>
  <si>
    <t>Bldg closing costs title ins</t>
  </si>
  <si>
    <t>Inv-Bldg closing costs title ins</t>
  </si>
  <si>
    <t>Bldg closing costs legal</t>
  </si>
  <si>
    <t>Inv-Bldg closing costs legal</t>
  </si>
  <si>
    <t>Land imprvmt-bldg acquisition</t>
  </si>
  <si>
    <t>Inv-Bldg acquisition</t>
  </si>
  <si>
    <t>Inventory-Buildings</t>
  </si>
  <si>
    <t>Total Inventory-Demolition and Clearing</t>
  </si>
  <si>
    <t>Land imprvmt-demo contingency</t>
  </si>
  <si>
    <t>Inv-Land impr-demo contingency</t>
  </si>
  <si>
    <t>Land imprvmt-site maintenance</t>
  </si>
  <si>
    <t>Inv-Land impr-demo site maintenance</t>
  </si>
  <si>
    <t>Land imprvmt-site clearing</t>
  </si>
  <si>
    <t>Inv-Land impr-site clearing</t>
  </si>
  <si>
    <t>Land imprvmt-demo</t>
  </si>
  <si>
    <t>Inv-Land impr-demo</t>
  </si>
  <si>
    <t>Inventory-Demolition and Clearing</t>
  </si>
  <si>
    <t>Total Inventory-Land Improvement</t>
  </si>
  <si>
    <t>Land imprvmt-contingency</t>
  </si>
  <si>
    <t>Inv-Land impr-contingency</t>
  </si>
  <si>
    <t>Land imprvmt-traffic-offsite</t>
  </si>
  <si>
    <t>Inv-Land impr-traffic-offsite</t>
  </si>
  <si>
    <t>Land imprvmt-pub trans-offsite</t>
  </si>
  <si>
    <t>Inv-Land impr-pub trans-offsite</t>
  </si>
  <si>
    <t>Land imprvmt-pub trans-onsite</t>
  </si>
  <si>
    <t>Inv-Land impr-pub trans-onsite</t>
  </si>
  <si>
    <t>Land imprvmt-roads-offsite</t>
  </si>
  <si>
    <t>Inv-Land impr-roads-offsite</t>
  </si>
  <si>
    <t>Land imprvmt-roads-onsite</t>
  </si>
  <si>
    <t>Inv-Land impr-roads-onsite</t>
  </si>
  <si>
    <t>Land imprvmt-infrastructure</t>
  </si>
  <si>
    <t>Inv-Land impr-infrastructure</t>
  </si>
  <si>
    <t>Land impr-closing apprsal fee</t>
  </si>
  <si>
    <t>Inv-Land impr-closing apprsal fee</t>
  </si>
  <si>
    <t>Land impr-closing doc stamps</t>
  </si>
  <si>
    <t>Inv-Land impr-closing doc stamps</t>
  </si>
  <si>
    <t>Land impr-closing title ins</t>
  </si>
  <si>
    <t>Inv-Land impr-closing title ins</t>
  </si>
  <si>
    <t>Inventory-Land Improvement</t>
  </si>
  <si>
    <t>Vertical Dev-Inventory</t>
  </si>
  <si>
    <t>Total Vertical Dev-Land</t>
  </si>
  <si>
    <t>Total Land Acquisition</t>
  </si>
  <si>
    <t>Vertical Dev-Land-Acquisition-Unassigned</t>
  </si>
  <si>
    <t>Land Acquisition-Unassigned</t>
  </si>
  <si>
    <t>Land acq-contingency</t>
  </si>
  <si>
    <t>Land Acq-Non Cash Basis Adj</t>
  </si>
  <si>
    <t>Land acq-acquisition fee</t>
  </si>
  <si>
    <t>Land acq-closing other</t>
  </si>
  <si>
    <t>Land acq-closing appraisal fee</t>
  </si>
  <si>
    <t>Land acq-closing doc stamps</t>
  </si>
  <si>
    <t>Land acq-clsng affil paybles</t>
  </si>
  <si>
    <t>Land acq-closing title ins</t>
  </si>
  <si>
    <t>Land acq-closing legal</t>
  </si>
  <si>
    <t>Land acq-trnsfr dev rights TDR</t>
  </si>
  <si>
    <t>Land acq-ground lease</t>
  </si>
  <si>
    <t>Land acq-finance</t>
  </si>
  <si>
    <t>Land acq-real estate tax</t>
  </si>
  <si>
    <t>Land acq-purchase costs</t>
  </si>
  <si>
    <t>Land acq-pursuit costs</t>
  </si>
  <si>
    <t>Land Acquisition</t>
  </si>
  <si>
    <t>Vertical Dev-Land</t>
  </si>
  <si>
    <t>Vertical Dev-Pending</t>
  </si>
  <si>
    <t>Vertical Development</t>
  </si>
  <si>
    <t>Inv in Real Estate-Vertical Dev</t>
  </si>
  <si>
    <t>Investment in Real Estate-Under Dev</t>
  </si>
  <si>
    <t>Total Investments in Securities-AFS</t>
  </si>
  <si>
    <t>Total Inv in Securities-AFS</t>
  </si>
  <si>
    <t>Total Investment in Securities-AFS</t>
  </si>
  <si>
    <t>Inv in Mkt Securities-AFS-Transfer</t>
  </si>
  <si>
    <t>Inv in Mkt Securities-AFS-Unrealized Gain (Loss)</t>
  </si>
  <si>
    <t>Inv in Mkt Securities-AFS-COS</t>
  </si>
  <si>
    <t>Inv in Mkt Securities-AFS-Dividend</t>
  </si>
  <si>
    <t>Inv in Mkt Securities-AFS-Addition</t>
  </si>
  <si>
    <t>Investment in Securities-AFS</t>
  </si>
  <si>
    <t>Inv in Securities -AFS</t>
  </si>
  <si>
    <t>Investments in Securities-AFS</t>
  </si>
  <si>
    <t>Total Investments in Unconsolidated Partnerships</t>
  </si>
  <si>
    <t>Total Inv in Unconsolidated Partnerships-Impairment</t>
  </si>
  <si>
    <t>Total Unconsolidated Ptnr Inv Impairmnt</t>
  </si>
  <si>
    <t>Inv in Uncon Partnerships-Impairment-Transfer</t>
  </si>
  <si>
    <t>Inv in Uncon Partnerships-Imp-Amort</t>
  </si>
  <si>
    <t>Inv in Uncon Partnerships-Imp-COS-Contra</t>
  </si>
  <si>
    <t>Unconsolidated Partner Invest Impairmnt</t>
  </si>
  <si>
    <t>Inv in Unconsolidated Partnerships-Impairment</t>
  </si>
  <si>
    <t>Total Inv in Unconsolidated Partnerships</t>
  </si>
  <si>
    <t>Total Inv in Uncon Partnerships-Basis Adj</t>
  </si>
  <si>
    <t>Inv in Uncon Partnerships-BA Transfer</t>
  </si>
  <si>
    <t>Inv in Uncon Partnerships-BA Amort</t>
  </si>
  <si>
    <t>Inv in Uncon Partnerships-BA COS-Contra</t>
  </si>
  <si>
    <t>Inv in Uncon Partnerships-BA Additions</t>
  </si>
  <si>
    <t>Inv in Uncon Partnerships-Basis Adj</t>
  </si>
  <si>
    <t>Total Inv in Uncon Partnerships</t>
  </si>
  <si>
    <t>Inv in Uncon Partnerships-Transfer</t>
  </si>
  <si>
    <t>Inv in Uncon Partnerships-EPU-Contra</t>
  </si>
  <si>
    <t>Inv in Uncon Partnerships-COS-Contra</t>
  </si>
  <si>
    <t>Inv in Uncon Partnerships-Pref Distr</t>
  </si>
  <si>
    <t>Inv in Uncon Partnerships-Distribution</t>
  </si>
  <si>
    <t>Inv in Uncon Partnerships-Contribution</t>
  </si>
  <si>
    <t>Inv in Uncon Partnerships</t>
  </si>
  <si>
    <t>Inv in Unconsolidated Partnerships</t>
  </si>
  <si>
    <t>Investments in Unconsolidated Partnerships</t>
  </si>
  <si>
    <t>Total Investment in Partnerships</t>
  </si>
  <si>
    <t>Total Investment in Partnerships-Basis Adjustment</t>
  </si>
  <si>
    <t xml:space="preserve">A/A-Inv in Partnerships-Basis Adjustment_x000D_
</t>
  </si>
  <si>
    <t>A/A-Inv in Partnerships-Basis Adjustment</t>
  </si>
  <si>
    <t xml:space="preserve">Investment in Partnerships-Basis Adjustment_x000D_
</t>
  </si>
  <si>
    <t>Investment in Partnerships-Basis Adjustment</t>
  </si>
  <si>
    <t xml:space="preserve">Investment in Partnerships-Transfer_x000D_
</t>
  </si>
  <si>
    <t>Investment in Partnerships-Transfer</t>
  </si>
  <si>
    <t xml:space="preserve">Investment in Partnerships-Non Cash Distribution_x000D_
</t>
  </si>
  <si>
    <t>Investment in Partnerships-Non Cash Distribution</t>
  </si>
  <si>
    <t xml:space="preserve">Investment in Partnerships-EPU-Contra_x000D_
</t>
  </si>
  <si>
    <t>Investment in Partnerships-EPU-Contra</t>
  </si>
  <si>
    <t xml:space="preserve">Investment in Partnerships-COS_x000D_
</t>
  </si>
  <si>
    <t>Investment in Partnerships-COS</t>
  </si>
  <si>
    <t xml:space="preserve">Investment in Partnerships-Priority Distribution_x000D_
</t>
  </si>
  <si>
    <t>Investment in Partnerships-Priority Distribution</t>
  </si>
  <si>
    <t xml:space="preserve">Investment in Partnerships-Promote_x000D_
</t>
  </si>
  <si>
    <t>Investment in Partnerships-Promote</t>
  </si>
  <si>
    <t xml:space="preserve">Investment in Partnerships-Pref Distribution_x000D_
</t>
  </si>
  <si>
    <t>Investment in Partnerships-Pref Distribution</t>
  </si>
  <si>
    <t xml:space="preserve">Investment in Partnerships-Distribution_x000D_
</t>
  </si>
  <si>
    <t>Investment in Partnerships-Distribution</t>
  </si>
  <si>
    <t xml:space="preserve">Investment in Partnerships-Contribution_x000D_
</t>
  </si>
  <si>
    <t>Investment in Partnerships-Contribution</t>
  </si>
  <si>
    <t>Investment in Partnerships</t>
  </si>
  <si>
    <t>Total Pre-Development</t>
  </si>
  <si>
    <t>Total Pre-Develop Costs</t>
  </si>
  <si>
    <t>Total Pre-Dev Costs</t>
  </si>
  <si>
    <t>Pre-Dev-Abandoned Pursuit-Contra</t>
  </si>
  <si>
    <t>Pre-Dev-Cap Int-Contra</t>
  </si>
  <si>
    <t>Pre-Dev-Cap OH-Contra</t>
  </si>
  <si>
    <t>Pre-Dev-Reimb Credit</t>
  </si>
  <si>
    <t>Pre-Dev-Acquisition</t>
  </si>
  <si>
    <t>Pre-Dev Costs</t>
  </si>
  <si>
    <t>Pre-Develop Costs</t>
  </si>
  <si>
    <t>Total Land Purchase Deposits</t>
  </si>
  <si>
    <t>Total Non-Refundable Deposits</t>
  </si>
  <si>
    <t>Non-Refundable Dep-Abandonment-Contra</t>
  </si>
  <si>
    <t>Non-Refund Dep-TransIn from Refundable</t>
  </si>
  <si>
    <t>Non-Refundable Deposit-Reimb</t>
  </si>
  <si>
    <t>Non-Refundable Deposit-Payment</t>
  </si>
  <si>
    <t>Non-Refundable Deposits</t>
  </si>
  <si>
    <t>Total Refundable Deposits</t>
  </si>
  <si>
    <t>Refund Dep-TransOut to Nonrefundable</t>
  </si>
  <si>
    <t>Refundable Deposit-Applied to Purchase</t>
  </si>
  <si>
    <t>Refundable Deposit-Refund</t>
  </si>
  <si>
    <t>Refundable Deposit-Payment</t>
  </si>
  <si>
    <t>Refundable Deposits</t>
  </si>
  <si>
    <t>Land Purchase Deposits</t>
  </si>
  <si>
    <t>Pre-Development</t>
  </si>
  <si>
    <t>Total Notes Receivable-Net</t>
  </si>
  <si>
    <t>Total Note Rec-Affiliate</t>
  </si>
  <si>
    <t>Total N/R-Affiliate Disc/Prem</t>
  </si>
  <si>
    <t>N/R-Affiliate Disc/Prem-Trans</t>
  </si>
  <si>
    <t>N/R-Affiliate Disc/Prem-Amort</t>
  </si>
  <si>
    <t>N/R-Affiliate Disc/Prem-COS-Contra</t>
  </si>
  <si>
    <t>N/R-Affiliate Disc/Prem-Addn</t>
  </si>
  <si>
    <t>N/R-Affiliate Discount/Premium</t>
  </si>
  <si>
    <t>Total N/R-Affiliate Reserve</t>
  </si>
  <si>
    <t>N/R-Affiliate Resv-Transfer</t>
  </si>
  <si>
    <t>N/R-Affiliate Resv-Accrual</t>
  </si>
  <si>
    <t>N/R-Affiliate Resv-Recovery</t>
  </si>
  <si>
    <t>N/R-Affiliate Reserve</t>
  </si>
  <si>
    <t>Total N/R-Affiliate</t>
  </si>
  <si>
    <t>N/R-Affiliate-Transfer</t>
  </si>
  <si>
    <t>N/R-Affiliate-Restructure</t>
  </si>
  <si>
    <t>N/R-Affiliate-Cmpd Int</t>
  </si>
  <si>
    <t>N/R-Affiliate-COS-Contra</t>
  </si>
  <si>
    <t>N/R-Affiliate-Collection</t>
  </si>
  <si>
    <t>N/R-Affiliate-Addition</t>
  </si>
  <si>
    <t>N/R-Affiliate</t>
  </si>
  <si>
    <t>Note Receivable-Affiliate</t>
  </si>
  <si>
    <t>Total Note Rec-Promissory</t>
  </si>
  <si>
    <t>Total N/R-Promissory Disc/Prem</t>
  </si>
  <si>
    <t>N/R-Promissory Disc/Prem-Trans</t>
  </si>
  <si>
    <t>N/R-Promissory Disc/Prem-Amort</t>
  </si>
  <si>
    <t>N/R-Promissory Disc/Prem-COS-Contra</t>
  </si>
  <si>
    <t>N/R-Promissory Disc/Prem-Addn</t>
  </si>
  <si>
    <t>N/R-Promissory Discount/Prmium</t>
  </si>
  <si>
    <t>Total N/R-Promissory Reserve</t>
  </si>
  <si>
    <t>N/R-Promissory Resv-Transfer</t>
  </si>
  <si>
    <t>N/R-Promissory Resv-Accrual</t>
  </si>
  <si>
    <t>N/R-Promissory Resv-Recovery</t>
  </si>
  <si>
    <t>N/R-Promissory Reserve</t>
  </si>
  <si>
    <t>Total N/R-Prom Outside Basis</t>
  </si>
  <si>
    <t>N/R-Promissory Outside-Trans</t>
  </si>
  <si>
    <t>N/R-Promissory Outside-Amort</t>
  </si>
  <si>
    <t>N/R-Promissory Outside-COS-Contra</t>
  </si>
  <si>
    <t>N/R-Promissory Outside-Reimb</t>
  </si>
  <si>
    <t>N/R-Promissory Outside-Addn</t>
  </si>
  <si>
    <t>N/R-Promissory Outside-Acqn</t>
  </si>
  <si>
    <t>N/R-Promissory Outside Basis</t>
  </si>
  <si>
    <t>Total N/R-Promissory</t>
  </si>
  <si>
    <t>N/R-Promissory-Transfer</t>
  </si>
  <si>
    <t>N/R-Promissory-Restructure</t>
  </si>
  <si>
    <t>N/R-Promissory-Cmpd Int</t>
  </si>
  <si>
    <t>N/R-Promissory-COS-Contra</t>
  </si>
  <si>
    <t>N/R-Promissory-Collection</t>
  </si>
  <si>
    <t>N/R-Promissory-Advance</t>
  </si>
  <si>
    <t>N/R-Promissory</t>
  </si>
  <si>
    <t>Note Receivable-Promissory</t>
  </si>
  <si>
    <t>Notes Receivable-Net</t>
  </si>
  <si>
    <t>Total Prepaid Expenses</t>
  </si>
  <si>
    <t>Total Prepaid Operating Exp</t>
  </si>
  <si>
    <t>Total Prepaid Corp G&amp;A Expense</t>
  </si>
  <si>
    <t>Prepaid Corporate Business Tax</t>
  </si>
  <si>
    <t>Prepaid Corporate Insurance</t>
  </si>
  <si>
    <t>Prepaid Corporate Occupancy</t>
  </si>
  <si>
    <t>Prepaid Corporate Admin Exp-IT Inventory</t>
  </si>
  <si>
    <t>Prepaid Corporate Admin Exp-Art Inventory</t>
  </si>
  <si>
    <t>Prepaid Corporate Admin Exp-Recruiting</t>
  </si>
  <si>
    <t>Prepaid Corporate Admin-Allocation</t>
  </si>
  <si>
    <t>Prepaid Corporate Admin Exp</t>
  </si>
  <si>
    <t>Prepaid Corporate G&amp;A Expense</t>
  </si>
  <si>
    <t>Total Prepaid Cost of RE Ops</t>
  </si>
  <si>
    <t>Prepaid Ground Lease</t>
  </si>
  <si>
    <t>Prepaid Administrative Expense</t>
  </si>
  <si>
    <t>Prepaid Property Insurance</t>
  </si>
  <si>
    <t>Prepaid Business Tax</t>
  </si>
  <si>
    <t>Prepaid State Franchise Tax</t>
  </si>
  <si>
    <t>Prepaid Property Tax</t>
  </si>
  <si>
    <t>Prepaid Utilities</t>
  </si>
  <si>
    <t>Prepaid Repairs &amp; Maintenance</t>
  </si>
  <si>
    <t>Prepaid Cost of RE Operations</t>
  </si>
  <si>
    <t>Prepaid Operating Expense</t>
  </si>
  <si>
    <t>Total Prepaid Interest Expense</t>
  </si>
  <si>
    <t>Total Prepaid Interest-LOC</t>
  </si>
  <si>
    <t>Prepaid Int-LOC-Affiliate</t>
  </si>
  <si>
    <t>Prepaid Int-LOC-Unsecured</t>
  </si>
  <si>
    <t>Prepaid Int-LOC-Secured</t>
  </si>
  <si>
    <t>Prepaid Int-Lines of Credit</t>
  </si>
  <si>
    <t>Total Prepaid Interest-N/P</t>
  </si>
  <si>
    <t>Prepaid Int-N/P-Affiliate</t>
  </si>
  <si>
    <t>Prepaid Int-N/P-Promissory</t>
  </si>
  <si>
    <t>Prepaid Int-Notes Payable</t>
  </si>
  <si>
    <t>Prepaid Interest Expense</t>
  </si>
  <si>
    <t>Prepaid Expenses</t>
  </si>
  <si>
    <t>Total Due from Affiliates-Net</t>
  </si>
  <si>
    <t>Total Due from Affiliates</t>
  </si>
  <si>
    <t>Intercompany Cash in Transit</t>
  </si>
  <si>
    <t>Intercompany Clearing</t>
  </si>
  <si>
    <t>Due from Affiliate-Manual</t>
  </si>
  <si>
    <t>Due from Affiliate</t>
  </si>
  <si>
    <t>Due from Affiliates</t>
  </si>
  <si>
    <t>Due from Affiliates-Net</t>
  </si>
  <si>
    <t>Total Interest Receivable-Net</t>
  </si>
  <si>
    <t>Total Int Rec-N/R-Affiliate</t>
  </si>
  <si>
    <t>Total I/R-N/R-Affiliate Resrve</t>
  </si>
  <si>
    <t>I/R-N/R-Affiliate Rsv-Trans</t>
  </si>
  <si>
    <t>I/R-N/R-Affiliate Rsv-Accrual</t>
  </si>
  <si>
    <t>I/R-N/R-Affiliate Rsv-Recov</t>
  </si>
  <si>
    <t>I/R-N/R-Affiliate Reserve</t>
  </si>
  <si>
    <t>Total I/R-N/R-Affiliate</t>
  </si>
  <si>
    <t>I/R-N/R-Affiliate-Transfer</t>
  </si>
  <si>
    <t>I/R-N/R-Affiliate-Accrual</t>
  </si>
  <si>
    <t>I/R-N/R-Affiliate-Restructure</t>
  </si>
  <si>
    <t>I/R-N/R-Affiliate-Cmpd Int</t>
  </si>
  <si>
    <t>I/R-N/R-Affiliate-Int Collect</t>
  </si>
  <si>
    <t>I/R-N/R-Affiliate</t>
  </si>
  <si>
    <t>Int Receivable-N/R-Affiliate</t>
  </si>
  <si>
    <t>Total Int Rec-N/R-Promissory</t>
  </si>
  <si>
    <t>Total I/R-N/R-Promissory Resv</t>
  </si>
  <si>
    <t>I/R-N/R-Promissory Rsv-Trans</t>
  </si>
  <si>
    <t>I/R-N/R-Promissory Rsv-Accrual</t>
  </si>
  <si>
    <t>I/R-N/R-Promissory Rsv-Recov</t>
  </si>
  <si>
    <t>I/R-N/R-Promissory Reserve</t>
  </si>
  <si>
    <t>Total I/R-N/R-Promissory</t>
  </si>
  <si>
    <t>I/R-N/R-Promissory-Transfer</t>
  </si>
  <si>
    <t>I/R-N/R-Promissory-Accrual</t>
  </si>
  <si>
    <t>I/R-N/R-Promissory-Restructure</t>
  </si>
  <si>
    <t>I/R-N/R-Promissory-Cmpd Int</t>
  </si>
  <si>
    <t>I/R-N/R-Promissory-Int Collect</t>
  </si>
  <si>
    <t>I/R-N/R-Promissory</t>
  </si>
  <si>
    <t>Int Receivable-N/R-Promissory</t>
  </si>
  <si>
    <t>Interest Receivable-Net</t>
  </si>
  <si>
    <t>Total Costs in Excess of Billings</t>
  </si>
  <si>
    <t>C/C-Billings in Excess of Costs-Contra</t>
  </si>
  <si>
    <t>C/C-Costs in Excess of Billings-Contra</t>
  </si>
  <si>
    <t>C/C-Overhead-Contra</t>
  </si>
  <si>
    <t>C/C-Reimbursements</t>
  </si>
  <si>
    <t>C/C-Costs in Excess of Billings</t>
  </si>
  <si>
    <t>Costs in Excess of Billings</t>
  </si>
  <si>
    <t>Total Contracts Receivable</t>
  </si>
  <si>
    <t>Contracts Receivable-Percentage of Completion</t>
  </si>
  <si>
    <t>Contracts Receivable</t>
  </si>
  <si>
    <t>Total Accounts Receivable-Net</t>
  </si>
  <si>
    <t>Total Accounts Receivable Resv</t>
  </si>
  <si>
    <t>Total A/R-Reserve</t>
  </si>
  <si>
    <t>A/R-Reserve-Writeoff</t>
  </si>
  <si>
    <t>A/R-reserve</t>
  </si>
  <si>
    <t>A/R-Reserve</t>
  </si>
  <si>
    <t>A/R-Reserve-Recovery</t>
  </si>
  <si>
    <t>Accounts Receivable Reserve</t>
  </si>
  <si>
    <t>Total Accounts Receivable</t>
  </si>
  <si>
    <t>Total A/R-Straight-Line Rent</t>
  </si>
  <si>
    <t>A/R-Straight-Line Rent-Accrual</t>
  </si>
  <si>
    <t>A/R-Straight-Line Rent</t>
  </si>
  <si>
    <t>A/R-other</t>
  </si>
  <si>
    <t>A/R-Other</t>
  </si>
  <si>
    <t>A/R-Closing Clearing</t>
  </si>
  <si>
    <t>A/R-retainage</t>
  </si>
  <si>
    <t>A/R-Retainage</t>
  </si>
  <si>
    <t>A/R-construction</t>
  </si>
  <si>
    <t>A/R-Construction</t>
  </si>
  <si>
    <t>A/R-Employee</t>
  </si>
  <si>
    <t>A/R-Rental</t>
  </si>
  <si>
    <t>A/R-Trade</t>
  </si>
  <si>
    <t>Accounts Receivable</t>
  </si>
  <si>
    <t>Accounts Receivable-Net</t>
  </si>
  <si>
    <t>Total Restricted Cash</t>
  </si>
  <si>
    <t>Total Sales Escrow Reserves</t>
  </si>
  <si>
    <t>Total Escrow Other</t>
  </si>
  <si>
    <t>Escrow-tax</t>
  </si>
  <si>
    <t>Escrow Other-Tax</t>
  </si>
  <si>
    <t>Escrow Other-Trans Out</t>
  </si>
  <si>
    <t>Escrow Other-Trans In</t>
  </si>
  <si>
    <t>Escrow Other-Int Inc-Released</t>
  </si>
  <si>
    <t>Escrow Other-Int Inc-Accrued</t>
  </si>
  <si>
    <t>Escrow Other-Applied To Sale</t>
  </si>
  <si>
    <t>Escrow Other-Refund Buyer</t>
  </si>
  <si>
    <t>Escrow-Other-Deposit</t>
  </si>
  <si>
    <t>Escrow Other</t>
  </si>
  <si>
    <t>Total Escrow other Excess 20%</t>
  </si>
  <si>
    <t>Total Escrow 2nd Unrestricted</t>
  </si>
  <si>
    <t>Total Escrow Upgrades Excess 10%</t>
  </si>
  <si>
    <t xml:space="preserve">Escrow Upgrades-Excess 10% Other Trans Out_x000D_
</t>
  </si>
  <si>
    <t>Escrow Upgrades-Excess 10% Other Trans Out</t>
  </si>
  <si>
    <t xml:space="preserve">Escrow Upgrades-Excess 10% Other Trans In_x000D_
</t>
  </si>
  <si>
    <t>Escrow Upgrades-Excess 10% Other Trans In</t>
  </si>
  <si>
    <t xml:space="preserve">Escrow Upgrades-Excess 10% Int Inc-Released_x000D_
</t>
  </si>
  <si>
    <t>Escrow Upgrades-Excess 10% Int Inc-Released</t>
  </si>
  <si>
    <t xml:space="preserve">Escrow Upgrades-Excess 10% Int Inc-Accrued_x000D_
</t>
  </si>
  <si>
    <t>Escrow Upgrades-Excess 10% Int Inc-Accrued</t>
  </si>
  <si>
    <t>Escrow Upgrades-Excess 10% Applied To Sale</t>
  </si>
  <si>
    <t>Escrow Upgrades-Excess 10% Forfeited Dep</t>
  </si>
  <si>
    <t>Escrow Upgrades-Excess 10% Refund Buyer</t>
  </si>
  <si>
    <t>Escrow-Upgrades-Excess 10% Deposit</t>
  </si>
  <si>
    <t>Escrow Upgrades Excess 10%</t>
  </si>
  <si>
    <t>Total Escrow Upgrades First 10%</t>
  </si>
  <si>
    <t xml:space="preserve">Escrow Upgrades-First 10% Other Trans Out_x000D_
</t>
  </si>
  <si>
    <t>Escrow Upgrades-First 10% Other Trans Out</t>
  </si>
  <si>
    <t xml:space="preserve">Escrow Upgrades-First 10% Other Trans In_x000D_
</t>
  </si>
  <si>
    <t>Escrow Upgrades-First 10% Other Trans In</t>
  </si>
  <si>
    <t xml:space="preserve">Escrow Upgrades-First 10% Int Inc-Released_x000D_
</t>
  </si>
  <si>
    <t>Escrow Upgrades-First 10% Int Inc-Released</t>
  </si>
  <si>
    <t xml:space="preserve">Escrow Upgrades-First 10% Int Inc-Accrued_x000D_
</t>
  </si>
  <si>
    <t>Escrow Upgrades-First 10% Int Inc-Accrued</t>
  </si>
  <si>
    <t xml:space="preserve">Escrow Upgrades-First 10% Applied To Sale_x000D_
</t>
  </si>
  <si>
    <t>Escrow Upgrades-First 10% Applied To Sale</t>
  </si>
  <si>
    <t xml:space="preserve">Escrow Upgrades-First 10% Forfeited Dep_x000D_
</t>
  </si>
  <si>
    <t>Escrow Upgrades-First 10% Forfeited Dep</t>
  </si>
  <si>
    <t xml:space="preserve">Escrow Upgrades-First 10% Refund Buyer_x000D_
</t>
  </si>
  <si>
    <t>Escrow Upgrades-First 10% Refund Buyer</t>
  </si>
  <si>
    <t xml:space="preserve">Escrow-Upgrades-First 10% Deposit_x000D_
</t>
  </si>
  <si>
    <t>Escrow-Upgrades-First 10% Deposit</t>
  </si>
  <si>
    <t>Escrow Upgrades First 10%</t>
  </si>
  <si>
    <t>Total Escrow 1st Restricted</t>
  </si>
  <si>
    <t>Escrow Excess 10%-Other Trans Out</t>
  </si>
  <si>
    <t>Escrow Excess 10%-Other Trans In</t>
  </si>
  <si>
    <t>Escrow Excess 10%-Int Inc-Released</t>
  </si>
  <si>
    <t>Escrow Excess 10%-Int Inc-Accrued</t>
  </si>
  <si>
    <t>Escrow Excess 10%-Applied To Sale</t>
  </si>
  <si>
    <t>Escrow Excess 10%-Used-Returned</t>
  </si>
  <si>
    <t>Escrow Excess 10%-Used-Borrowed</t>
  </si>
  <si>
    <t>Escrow Excess 10%-Forfeited Dep</t>
  </si>
  <si>
    <t>Escrow Excess 10%-Refund Buyer</t>
  </si>
  <si>
    <t>Escrow Excess 10%-deposit</t>
  </si>
  <si>
    <t>Escrow Excess 10%</t>
  </si>
  <si>
    <t>Total Escrow Interest Income</t>
  </si>
  <si>
    <t>Escrow First 10%-Other Trans Out</t>
  </si>
  <si>
    <t>Escrow First 10%-Other Trans In</t>
  </si>
  <si>
    <t>Escrow First 10%-Int Inc-Released</t>
  </si>
  <si>
    <t>Escrow First 10%-Int Inc-Accrued</t>
  </si>
  <si>
    <t>Escrow First 10%-Applied To Sale</t>
  </si>
  <si>
    <t>Escrow First 10%-Used-Returned</t>
  </si>
  <si>
    <t>Escrow First 10%-Used-Borrowed</t>
  </si>
  <si>
    <t>Escrow First 10%-Forfeited Dep</t>
  </si>
  <si>
    <t>Escrow First 10%-Refund Buyer</t>
  </si>
  <si>
    <t>Escrow First 10%-Deposit</t>
  </si>
  <si>
    <t>Escrow First 10%</t>
  </si>
  <si>
    <t>Total Escrow-Reservations</t>
  </si>
  <si>
    <t>Escrow Resv Account 7</t>
  </si>
  <si>
    <t>Escrow Resv Account 6</t>
  </si>
  <si>
    <t>Escrow Resv Account 5</t>
  </si>
  <si>
    <t>Escrow Resv Account 4</t>
  </si>
  <si>
    <t>Escrow Resv Account 3</t>
  </si>
  <si>
    <t>Escrow Resv Account 2</t>
  </si>
  <si>
    <t>Escrow Resv Account 1</t>
  </si>
  <si>
    <t>Escrow-Reservations</t>
  </si>
  <si>
    <t>Sales Escrow Reserves</t>
  </si>
  <si>
    <t>Total Financing Escrow Resv</t>
  </si>
  <si>
    <t>Total Escrow Principal Resv</t>
  </si>
  <si>
    <t>Escrow Principal Reserve Account 5</t>
  </si>
  <si>
    <t>Escrow Principal Reserve Account 4</t>
  </si>
  <si>
    <t>Escrow Principal Reserve Account 3</t>
  </si>
  <si>
    <t>Escrow Principal Reserve Account 2</t>
  </si>
  <si>
    <t>Escrow Principal Reserve Account 1</t>
  </si>
  <si>
    <t>Escrow Principal Reserve</t>
  </si>
  <si>
    <t>Financing Escrow Reserve</t>
  </si>
  <si>
    <t>Total Investing Escrow Resv</t>
  </si>
  <si>
    <t>Total Escrow Tenant Imprv Rsv</t>
  </si>
  <si>
    <t>Escrow TI Resv Account 5</t>
  </si>
  <si>
    <t>Escrow TI Resv Account 4</t>
  </si>
  <si>
    <t>Escrow TI Resv Account 3</t>
  </si>
  <si>
    <t>Escrow TI Resv Account 2</t>
  </si>
  <si>
    <t>Escrow TI Resv Account 1</t>
  </si>
  <si>
    <t>Escrow Tenant Improv Reserve</t>
  </si>
  <si>
    <t>Total Escrow Lease Comm Resv</t>
  </si>
  <si>
    <t>Escrow Lease Comm Reserve Account 5</t>
  </si>
  <si>
    <t>Escrow Lease Comm Reserve Account 4</t>
  </si>
  <si>
    <t>Escrow Lease Comm Reserve Account 3</t>
  </si>
  <si>
    <t>Escrow Lease Comm Reserve Account 2</t>
  </si>
  <si>
    <t>Escrow Lease Comm Reserve Account 1</t>
  </si>
  <si>
    <t>Escrow Lease Comm Reserve</t>
  </si>
  <si>
    <t>Total Escrow Repl Reserve-In-house</t>
  </si>
  <si>
    <t>Escrow Repl Resv-In-House Account 5</t>
  </si>
  <si>
    <t>Escrow Repl Resv-In-House Account 4</t>
  </si>
  <si>
    <t>Escrow Repl Resv-In-House Account 3</t>
  </si>
  <si>
    <t>Escrow Repl Resv-In-House Account 2</t>
  </si>
  <si>
    <t>Escrow Repl Resv-In-House Account 1</t>
  </si>
  <si>
    <t>Escrow Repl Reserve-In-house</t>
  </si>
  <si>
    <t>Total Escrow Replacement Resv</t>
  </si>
  <si>
    <t>Escrow Repl Resv Account 5</t>
  </si>
  <si>
    <t>Escrow Repl Resv Account 4</t>
  </si>
  <si>
    <t>Escrow Repl Resv Account 3</t>
  </si>
  <si>
    <t>Escrow Repl Resv Account 2</t>
  </si>
  <si>
    <t>Escrow Repl Resv Account 1</t>
  </si>
  <si>
    <t>Escrow Replacement Reserve</t>
  </si>
  <si>
    <t>Investing Escrow Reserves</t>
  </si>
  <si>
    <t>Total Operating Escrow Resv</t>
  </si>
  <si>
    <t>Total Escrow Int Exp Reserve</t>
  </si>
  <si>
    <t>Escrow Other Resv-Deposit 7</t>
  </si>
  <si>
    <t>Escrow Other Reserves</t>
  </si>
  <si>
    <t>Escrow Other Resv-Deposit 6</t>
  </si>
  <si>
    <t>Escrow Other Resv-Deposit 5</t>
  </si>
  <si>
    <t>Escrow Other Resv-Deposit 4</t>
  </si>
  <si>
    <t>Escrow Other Resv-Deposit 3</t>
  </si>
  <si>
    <t>Escrow Other Resv-Deposit 2</t>
  </si>
  <si>
    <t>Escrow Other Resv-Deposit 1</t>
  </si>
  <si>
    <t>Escrow Other Reserve</t>
  </si>
  <si>
    <t>Escrow Int Exp Resv Account 5</t>
  </si>
  <si>
    <t>Escrow Int Exp Resv Account 4</t>
  </si>
  <si>
    <t>Escrow Int Exp Resv Account 3</t>
  </si>
  <si>
    <t>Escrow Int Exp Resv Account 2</t>
  </si>
  <si>
    <t>Escrow Int Exp Resv Account 1</t>
  </si>
  <si>
    <t>Escrow Int Exp Reserve</t>
  </si>
  <si>
    <t>Total Escrow Repair Reserve</t>
  </si>
  <si>
    <t>Escrow Repair Resv Account 5</t>
  </si>
  <si>
    <t>Escrow Repair Resv Account 4</t>
  </si>
  <si>
    <t>Escrow Repair Resv Account 3</t>
  </si>
  <si>
    <t>Escrow Repair Resv Account 2</t>
  </si>
  <si>
    <t>Escrow Repair Resv Account 1</t>
  </si>
  <si>
    <t>Escrow Repair Reserve</t>
  </si>
  <si>
    <t>Total Escrow Security Deposits</t>
  </si>
  <si>
    <t>Escrow Sec Deposit Account 5</t>
  </si>
  <si>
    <t>Escrow Sec Deposit Account 4</t>
  </si>
  <si>
    <t>Escrow Sec Deposit Account 3</t>
  </si>
  <si>
    <t>Escrow Sec Deposit Account 2</t>
  </si>
  <si>
    <t>Escrow Sec Deposit Account 1</t>
  </si>
  <si>
    <t>Escrow Security Deposits</t>
  </si>
  <si>
    <t>Total Escrow Revenue Reserve</t>
  </si>
  <si>
    <t>Escrow Rev Resv Account 5</t>
  </si>
  <si>
    <t>Escrow Rev Resv Account 4</t>
  </si>
  <si>
    <t>Escrow Rev Resv Account 3</t>
  </si>
  <si>
    <t>Escrow Rev Resv Account 2</t>
  </si>
  <si>
    <t>Escrow Rev Resv Account 1</t>
  </si>
  <si>
    <t>Escrow Revenue Reserve</t>
  </si>
  <si>
    <t>Total Escrow Insurance Resrve</t>
  </si>
  <si>
    <t>Escrow-insurance</t>
  </si>
  <si>
    <t>Escrow Ins Resv Account 8</t>
  </si>
  <si>
    <t>Escrow Ins Resv Account 5</t>
  </si>
  <si>
    <t>Escrow Ins Resv Account 4</t>
  </si>
  <si>
    <t>Escrow Ins Resv Account 3</t>
  </si>
  <si>
    <t>Escrow Ins Resv Account 2</t>
  </si>
  <si>
    <t>Escrow Ins Resv Account 1</t>
  </si>
  <si>
    <t>Escrow Insurance Reserve</t>
  </si>
  <si>
    <t>Total Escrow Tax Reserve</t>
  </si>
  <si>
    <t>Escrow Tax Resv Account 5</t>
  </si>
  <si>
    <t>Escrow Tax Resv Account 4</t>
  </si>
  <si>
    <t>Escrow Tax Resv Account 3</t>
  </si>
  <si>
    <t>Escrow Tax Resv Account 2</t>
  </si>
  <si>
    <t>Escrow Tax Resv Account 1</t>
  </si>
  <si>
    <t>Escrow Tax Reserve</t>
  </si>
  <si>
    <t>Operating Escrow Reserves</t>
  </si>
  <si>
    <t>Restricted Cash</t>
  </si>
  <si>
    <t>Total Cash &amp; Cash Equivalents</t>
  </si>
  <si>
    <t>Total Marketable Securities</t>
  </si>
  <si>
    <t>Total Other Investments</t>
  </si>
  <si>
    <t>Investments in Securities 2</t>
  </si>
  <si>
    <t>Investments in Securities 1</t>
  </si>
  <si>
    <t>Other Investments</t>
  </si>
  <si>
    <t>Total Money Market Accounts</t>
  </si>
  <si>
    <t>Money Market 20</t>
  </si>
  <si>
    <t>Money Market 19</t>
  </si>
  <si>
    <t>Money Market 18</t>
  </si>
  <si>
    <t>Money Market 17</t>
  </si>
  <si>
    <t>Money Market 16</t>
  </si>
  <si>
    <t>Money Market 15</t>
  </si>
  <si>
    <t>Money Market 14</t>
  </si>
  <si>
    <t>Money Market 13</t>
  </si>
  <si>
    <t>Money Market 12</t>
  </si>
  <si>
    <t>Money Market 11</t>
  </si>
  <si>
    <t>Money Market 10</t>
  </si>
  <si>
    <t>Money Market 9</t>
  </si>
  <si>
    <t>Money Market 8</t>
  </si>
  <si>
    <t>Money Market 7</t>
  </si>
  <si>
    <t>Money Market 6</t>
  </si>
  <si>
    <t>Money Market 5</t>
  </si>
  <si>
    <t>Money Market 4</t>
  </si>
  <si>
    <t>Money Market 3</t>
  </si>
  <si>
    <t>Money Market 2</t>
  </si>
  <si>
    <t>Money Market 1</t>
  </si>
  <si>
    <t>Money Market Accounts</t>
  </si>
  <si>
    <t>Total Money Certificate of Deposit Accounts</t>
  </si>
  <si>
    <t>Certificate of Deposit Accounts</t>
  </si>
  <si>
    <t>Marketable Securities</t>
  </si>
  <si>
    <t>Total Cash</t>
  </si>
  <si>
    <t>Total Petty Cash</t>
  </si>
  <si>
    <t>Petty Cash 6</t>
  </si>
  <si>
    <t>Petty Cash 5</t>
  </si>
  <si>
    <t>Petty Cash 4</t>
  </si>
  <si>
    <t>Petty Cash 3</t>
  </si>
  <si>
    <t>Petty Cash 2</t>
  </si>
  <si>
    <t>Petty Cash 1</t>
  </si>
  <si>
    <t>Petty Cash</t>
  </si>
  <si>
    <t>Total Operating Cash</t>
  </si>
  <si>
    <t>Adj to Cash-Reclass from Liab</t>
  </si>
  <si>
    <t>Adjustments to Cash-Reclass from Liabilities</t>
  </si>
  <si>
    <t>Checking 16</t>
  </si>
  <si>
    <t>Checking 15</t>
  </si>
  <si>
    <t>Checking 14</t>
  </si>
  <si>
    <t>Checking 13</t>
  </si>
  <si>
    <t>Checking 12</t>
  </si>
  <si>
    <t>Checking 11</t>
  </si>
  <si>
    <t>Checking 10</t>
  </si>
  <si>
    <t>Checking 9</t>
  </si>
  <si>
    <t>Checking 8</t>
  </si>
  <si>
    <t>Checking 7</t>
  </si>
  <si>
    <t>Checking 6</t>
  </si>
  <si>
    <t>Checking 5</t>
  </si>
  <si>
    <t>Checking 4 (Other)</t>
  </si>
  <si>
    <t>Checking 3 (Operating-Rental)</t>
  </si>
  <si>
    <t>Checking 3</t>
  </si>
  <si>
    <t>Checking 2 (Operating-Construction)</t>
  </si>
  <si>
    <t>Checking 1 (Operating-Regular)</t>
  </si>
  <si>
    <t>Operating Cash</t>
  </si>
  <si>
    <t>Cash</t>
  </si>
  <si>
    <t>Cash &amp; Cash Equivalents</t>
  </si>
  <si>
    <t>ASSETS</t>
  </si>
  <si>
    <t>BALANCE SHEET</t>
  </si>
  <si>
    <t>Elim</t>
  </si>
  <si>
    <t>Realty Co</t>
  </si>
  <si>
    <t>Developer</t>
  </si>
  <si>
    <t>Holding</t>
  </si>
  <si>
    <t>Corp OpCo</t>
  </si>
  <si>
    <t>Rental Co</t>
  </si>
  <si>
    <t>GC</t>
  </si>
  <si>
    <t>Affordable</t>
  </si>
  <si>
    <t>Corp Entity</t>
  </si>
  <si>
    <t>RD</t>
  </si>
  <si>
    <t>Condo</t>
  </si>
  <si>
    <t>All</t>
  </si>
  <si>
    <t>Inactive?</t>
  </si>
  <si>
    <t>Account Notes</t>
  </si>
  <si>
    <t>Report Type</t>
  </si>
  <si>
    <t>Account Type</t>
  </si>
  <si>
    <t>Normal Balance</t>
  </si>
  <si>
    <t>Interco</t>
  </si>
  <si>
    <t>Sub</t>
  </si>
  <si>
    <t>Dept</t>
  </si>
  <si>
    <t>Unit</t>
  </si>
  <si>
    <t>Location</t>
  </si>
  <si>
    <t>Loan</t>
  </si>
  <si>
    <t>Affiliate</t>
  </si>
  <si>
    <t>Employee</t>
  </si>
  <si>
    <t>Category Description</t>
  </si>
  <si>
    <t>Cat Code</t>
  </si>
  <si>
    <t>Cat Total</t>
  </si>
  <si>
    <t>Cat TL</t>
  </si>
  <si>
    <t>GL Account Description</t>
  </si>
  <si>
    <t>GL Code</t>
  </si>
  <si>
    <t>GL Total</t>
  </si>
  <si>
    <t>TL</t>
  </si>
  <si>
    <t>Cat DB ID</t>
  </si>
  <si>
    <t>Acct DB ID</t>
  </si>
  <si>
    <t>Model Charts - Job Type</t>
  </si>
  <si>
    <t>RELATED Chart of Accounts</t>
  </si>
  <si>
    <t>Chart of Accounts Description</t>
  </si>
  <si>
    <t>&lt;&lt;Inventory-Engineering&gt;&gt;</t>
  </si>
  <si>
    <t xml:space="preserve"> &lt;&lt;Inventory-Municipal Fees&gt;&gt;</t>
  </si>
  <si>
    <t>&lt;&lt;Inventory-Association Costs&gt;&gt;</t>
  </si>
  <si>
    <t>&lt;&lt;Inventory-Real Estate Taxes&gt;&gt;</t>
  </si>
  <si>
    <t>Real estate taxes</t>
  </si>
  <si>
    <t xml:space="preserve">Insurance </t>
  </si>
  <si>
    <t>&lt;&lt;Inventory-Legal&gt;&gt;</t>
  </si>
  <si>
    <t>&lt;&lt;Inventory-Administration Costs&gt;&gt;</t>
  </si>
  <si>
    <t>&lt;&lt;Inventory-Sales Administration&gt;&gt;</t>
  </si>
  <si>
    <t>&lt;&lt;Inventory-Sales Center&gt;&gt;</t>
  </si>
  <si>
    <t>&lt;&lt;Loan Fee-N/P-Promissory-Addn&gt;&gt;</t>
  </si>
  <si>
    <t>Land Broker</t>
  </si>
  <si>
    <t>Fill, retention walls</t>
  </si>
  <si>
    <t>Land Broker Fee</t>
  </si>
  <si>
    <t>Audio/Visual Equipment</t>
  </si>
  <si>
    <t>Upgrades Buyer</t>
  </si>
  <si>
    <t>Interior Artwork</t>
  </si>
  <si>
    <t>Utilities- Power</t>
  </si>
  <si>
    <t>Utilities- Water/Sewer</t>
  </si>
  <si>
    <t>Exterior Artwork</t>
  </si>
  <si>
    <t>Exterior Gates and Fences</t>
  </si>
  <si>
    <t>Cabinets and Countertops</t>
  </si>
  <si>
    <t>&lt;&lt;Owner Items - Additional Cost&gt;&gt;</t>
  </si>
  <si>
    <t>Interior designer Reimbursable</t>
  </si>
  <si>
    <t>Loan Cost Appraisal</t>
  </si>
  <si>
    <t xml:space="preserve">Construction loan - Origination Fee </t>
  </si>
  <si>
    <t>Inhouse Agent</t>
  </si>
  <si>
    <t>Overhead</t>
  </si>
  <si>
    <t>Admin Expenses Contingency</t>
  </si>
  <si>
    <t>Restaurant</t>
  </si>
  <si>
    <t xml:space="preserve">F&amp;B </t>
  </si>
  <si>
    <t xml:space="preserve">CU2 </t>
  </si>
  <si>
    <t xml:space="preserve">CU1 </t>
  </si>
  <si>
    <t>Condo Unit Types</t>
  </si>
  <si>
    <t>Retail Unit Types</t>
  </si>
  <si>
    <t>Restaurant Unit Types</t>
  </si>
  <si>
    <t>Office Unit Types</t>
  </si>
  <si>
    <t>Residential Units</t>
  </si>
  <si>
    <t>Spill</t>
  </si>
  <si>
    <t xml:space="preserve">Type </t>
  </si>
  <si>
    <t>Parking</t>
  </si>
  <si>
    <t>Parking Unit Types</t>
  </si>
  <si>
    <t>$/ Ft² [other]</t>
  </si>
  <si>
    <t>$/ Unit [other]</t>
  </si>
  <si>
    <t>Other revenues</t>
  </si>
  <si>
    <t>New Sensitivity</t>
  </si>
  <si>
    <t>New Waterfall</t>
  </si>
  <si>
    <t>Profit Summary</t>
  </si>
  <si>
    <t>TIER 6</t>
  </si>
  <si>
    <t>REMAINING</t>
  </si>
  <si>
    <t>TIER 5</t>
  </si>
  <si>
    <t>TIER 4</t>
  </si>
  <si>
    <t>TIER 3</t>
  </si>
  <si>
    <t>TIER 2</t>
  </si>
  <si>
    <t>TIER 1</t>
  </si>
  <si>
    <t>Promote20</t>
  </si>
  <si>
    <t>Promote19</t>
  </si>
  <si>
    <t>Promote18</t>
  </si>
  <si>
    <t>Promote17</t>
  </si>
  <si>
    <t>Promote16</t>
  </si>
  <si>
    <t>Distribution20</t>
  </si>
  <si>
    <t>Promote15</t>
  </si>
  <si>
    <t>Distribution19</t>
  </si>
  <si>
    <t>Promote14</t>
  </si>
  <si>
    <t>Distribution18</t>
  </si>
  <si>
    <t>Promote13</t>
  </si>
  <si>
    <t>Distribution17</t>
  </si>
  <si>
    <t>Promote12</t>
  </si>
  <si>
    <t>Distribution16</t>
  </si>
  <si>
    <t>Promote11</t>
  </si>
  <si>
    <t>Distribution15</t>
  </si>
  <si>
    <t>Promote10</t>
  </si>
  <si>
    <t>Distribution14</t>
  </si>
  <si>
    <t>Promote9</t>
  </si>
  <si>
    <t>Distribution13</t>
  </si>
  <si>
    <t>Promote8</t>
  </si>
  <si>
    <t>Distribution12</t>
  </si>
  <si>
    <t>Promote7</t>
  </si>
  <si>
    <t>Distribution11</t>
  </si>
  <si>
    <t>Promote6</t>
  </si>
  <si>
    <t>Distribution10</t>
  </si>
  <si>
    <t>Distribution9</t>
  </si>
  <si>
    <t>Distribution8</t>
  </si>
  <si>
    <t>Distribution7</t>
  </si>
  <si>
    <t>Distribution6</t>
  </si>
  <si>
    <t>Distribution $</t>
  </si>
  <si>
    <t>Tier 6 Promote</t>
  </si>
  <si>
    <t>Tier 5 Promote</t>
  </si>
  <si>
    <t>Tier 4 Promote</t>
  </si>
  <si>
    <t>Tier 3 Promote</t>
  </si>
  <si>
    <t>Tier 2 Promote</t>
  </si>
  <si>
    <t xml:space="preserve">Tier 2 </t>
  </si>
  <si>
    <t>Tier 1 Promote</t>
  </si>
  <si>
    <t>Promote:</t>
  </si>
  <si>
    <t>Fee Structure</t>
  </si>
  <si>
    <t>Equity Structure</t>
  </si>
  <si>
    <t>Equity (%)</t>
  </si>
  <si>
    <t>Name</t>
  </si>
  <si>
    <t>Ownership / Equity Contributions %</t>
  </si>
  <si>
    <t>Template</t>
  </si>
  <si>
    <t>LP</t>
  </si>
  <si>
    <t>Equity Closing</t>
  </si>
  <si>
    <t>Flats Distribution File - NY Letter</t>
  </si>
  <si>
    <t>`</t>
  </si>
  <si>
    <t>Sensitivity Analysis</t>
  </si>
  <si>
    <t>Project</t>
  </si>
  <si>
    <t>Other</t>
  </si>
  <si>
    <t>Price PSF</t>
  </si>
  <si>
    <t>Net Profit %</t>
  </si>
  <si>
    <t>Pre-Promote Profits</t>
  </si>
  <si>
    <t>Land Price</t>
  </si>
  <si>
    <t>Working?</t>
  </si>
  <si>
    <t>Working</t>
  </si>
  <si>
    <t>Apt Cost PSF</t>
  </si>
  <si>
    <t>Last Run</t>
  </si>
  <si>
    <t>Results1</t>
  </si>
  <si>
    <t>GC Costs</t>
  </si>
  <si>
    <t>Development Cash Flow</t>
  </si>
  <si>
    <t xml:space="preserve">Construction Costs - Condo </t>
  </si>
  <si>
    <t>Tree Mitigation</t>
  </si>
  <si>
    <t>Owner Items- FFE</t>
  </si>
  <si>
    <t xml:space="preserve">Water &amp; Sewer Impact Fee </t>
  </si>
  <si>
    <t>Neighborhood Settlement North</t>
  </si>
  <si>
    <t>Neighborhood Settlement South</t>
  </si>
  <si>
    <t>Technical Service Fee</t>
  </si>
  <si>
    <t>Brand Commitment Fee</t>
  </si>
  <si>
    <t>New</t>
  </si>
  <si>
    <t>Old</t>
  </si>
  <si>
    <t>ADA/FHA</t>
  </si>
  <si>
    <t>Lighting Consultant</t>
  </si>
  <si>
    <t>Fire Life Safety Consultant</t>
  </si>
  <si>
    <t>Acoustic Consulting</t>
  </si>
  <si>
    <t>Month 1</t>
  </si>
  <si>
    <t>Month 2</t>
  </si>
  <si>
    <t>Month 3</t>
  </si>
  <si>
    <t>Month 4</t>
  </si>
  <si>
    <t>Month 5</t>
  </si>
  <si>
    <t>Occupancy</t>
  </si>
  <si>
    <t>Term</t>
  </si>
  <si>
    <t>Expenses</t>
  </si>
  <si>
    <t>Condo Fees Post Construction Completion</t>
  </si>
  <si>
    <t>Customer Service</t>
  </si>
  <si>
    <t>Executive Assistant; 0%</t>
  </si>
  <si>
    <t>Ft</t>
  </si>
  <si>
    <t>Construction Costs - Retail</t>
  </si>
  <si>
    <t>SENSITIVITY ANALYSIS</t>
  </si>
  <si>
    <t>Price Resi PSF</t>
  </si>
  <si>
    <t>Cost PSF</t>
  </si>
  <si>
    <t>TBD</t>
  </si>
  <si>
    <t>Sales%</t>
  </si>
  <si>
    <t>EVP; 0%</t>
  </si>
  <si>
    <t>BH Multiple</t>
  </si>
  <si>
    <t>BH IRR</t>
  </si>
  <si>
    <t>Miami-Dade</t>
  </si>
  <si>
    <t>Bay Harbor Islands, FL</t>
  </si>
  <si>
    <t>Asst. Constr Manager (TBD); 25%</t>
  </si>
  <si>
    <t>Contract Admin (TBD); 25%</t>
  </si>
  <si>
    <t>SqFt</t>
  </si>
  <si>
    <t>Controller; 15%</t>
  </si>
  <si>
    <t>SVP (TBD); 25%</t>
  </si>
  <si>
    <t>Asst. Project Manager (TBD); 0%</t>
  </si>
  <si>
    <t>Construction Manager (TBD); 25%</t>
  </si>
  <si>
    <t>Condo Budget</t>
  </si>
  <si>
    <t>Error(s)</t>
  </si>
  <si>
    <t>Boat slips and Seawall</t>
  </si>
  <si>
    <t>Reservation</t>
  </si>
  <si>
    <t>OG Group</t>
  </si>
  <si>
    <t>Investors Debt Assumptions</t>
  </si>
  <si>
    <t>Investment amount</t>
  </si>
  <si>
    <t>Project Summary</t>
  </si>
  <si>
    <t>Net profit</t>
  </si>
  <si>
    <t>ROI</t>
  </si>
  <si>
    <t>OF TOTAL EQUITY</t>
  </si>
  <si>
    <t>LP CASH ON CASH</t>
  </si>
  <si>
    <t>Yearly ROI</t>
  </si>
  <si>
    <t>Total sale</t>
  </si>
  <si>
    <t>Total equity</t>
  </si>
  <si>
    <t>Cash on cash</t>
  </si>
  <si>
    <t>OG Profit</t>
  </si>
  <si>
    <t>OG Multiple</t>
  </si>
  <si>
    <t>Investors</t>
  </si>
  <si>
    <t>TOTAL LP PROFIT</t>
  </si>
  <si>
    <t>LP Summary equity + debt</t>
  </si>
  <si>
    <t>Unit 201</t>
  </si>
  <si>
    <t>Unit 202</t>
  </si>
  <si>
    <t>Unit 301</t>
  </si>
  <si>
    <t>Unit 302</t>
  </si>
  <si>
    <t>Unit 401</t>
  </si>
  <si>
    <t>Unit 402</t>
  </si>
  <si>
    <t>Unit 501</t>
  </si>
  <si>
    <t>Unit 502</t>
  </si>
  <si>
    <t>Unit 601</t>
  </si>
  <si>
    <t>Bay Harbor 1125</t>
  </si>
  <si>
    <t>Sales Center Build-Out &amp; 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</si>
</sst>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0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"/>
    <numFmt numFmtId="165" formatCode="_(* #,##0_);_(* \(#,##0\);_(* &quot;-&quot;??_);_(@_)"/>
    <numFmt numFmtId="166" formatCode="_(&quot;$&quot;* #,##0_);_(&quot;$&quot;* \(#,##0\);_(&quot;$&quot;* &quot;-&quot;??_);_(@_)"/>
    <numFmt numFmtId="167" formatCode="0.0%"/>
    <numFmt numFmtId="168" formatCode="mmm\ yy"/>
    <numFmt numFmtId="169" formatCode="m/d/yy\ hh:mm"/>
    <numFmt numFmtId="170" formatCode="#,##0.000_);[Red]\(#,##0.000\)"/>
    <numFmt numFmtId="171" formatCode="[$-409]mmm\-yy;@"/>
    <numFmt numFmtId="172" formatCode="mm/dd/yy"/>
    <numFmt numFmtId="173" formatCode="_([$€-2]* #,##0.00_);_([$€-2]* \(#,##0.00\);_([$€-2]* &quot;-&quot;??_)"/>
    <numFmt numFmtId="174" formatCode="General_)"/>
    <numFmt numFmtId="175" formatCode="&quot;$&quot;#,##0.00"/>
    <numFmt numFmtId="176" formatCode="#,##0.00&quot;x&quot;"/>
    <numFmt numFmtId="177" formatCode="#,##0.0\ ;\(#,##0.0\)"/>
    <numFmt numFmtId="178" formatCode="0_)"/>
    <numFmt numFmtId="179" formatCode="0&quot; ($)&quot;;@&quot; ($)&quot;"/>
    <numFmt numFmtId="180" formatCode="0&quot; (%)&quot;;@&quot; (%)&quot;"/>
    <numFmt numFmtId="181" formatCode="0&quot; (£)&quot;;@&quot; (£)&quot;"/>
    <numFmt numFmtId="182" formatCode="0&quot; (¥)&quot;;@&quot; (¥)&quot;"/>
    <numFmt numFmtId="183" formatCode="0&quot; (€)&quot;;@&quot; (€)&quot;"/>
    <numFmt numFmtId="184" formatCode="0&quot; (x)&quot;;@&quot; (x)&quot;"/>
    <numFmt numFmtId="185" formatCode="0.0_)\%;\(0.0\)\%;0.0_)\%;@_)_%"/>
    <numFmt numFmtId="186" formatCode="#,##0.0_)_%;\(#,##0.0\)_%;0.0_)_%;@_)_%"/>
    <numFmt numFmtId="187" formatCode="#,##0.0_x;\(#,##0.0\)_x;0.0_x;@_x"/>
    <numFmt numFmtId="188" formatCode="#,##0.0_x_x;\(#,##0.0\)_x_x;0.0_x_x;@_x_x"/>
    <numFmt numFmtId="189" formatCode="#,##0.0_x_x_x;\(#,##0.0\)_x_x_x;0.0_x_x_x;@_x_x_x"/>
    <numFmt numFmtId="190" formatCode="#,##0.0_x_x_x_x;\(#,##0.0\)_x_x_x_x;0.0_x_x_x_x;@_x_x_x_x"/>
    <numFmt numFmtId="191" formatCode="#,##0.00_x;\(#,##0.00\)_x;0.00_x;@_x"/>
    <numFmt numFmtId="192" formatCode="#,##0.00_x_x;\(#,##0.00\)_x_x;0_x_x;@_x_x"/>
    <numFmt numFmtId="193" formatCode="#,##0.00_x_x_x;\(#,##0.00\)_x_x_x;0.00_x_x_x;@_x_x_x"/>
    <numFmt numFmtId="194" formatCode="#,##0.00_x_x_x_x_x_x;\(#,##0.00\)_x_x_x_x_x_x;0.00_x_x_x_x_x_x;@_x_x_x_x_x_x"/>
    <numFmt numFmtId="195" formatCode="#,##0_x;\(#,##0\)_x;0_x;@_x"/>
    <numFmt numFmtId="196" formatCode="#,##0_x_x;\(#,##0\)_x_x;0_x_x;@_x_x"/>
    <numFmt numFmtId="197" formatCode="#,##0_x_x_x;\(#,##0\)_x_x_x;0_x_x_x;@_x_x_x"/>
    <numFmt numFmtId="198" formatCode="#,##0_x_x_x_x_x_x_x_x_x_x;\(#,##0\)_x_x_x_x_x_x_x_x_x_x;0_x_x_x_x_x_x_x_x_x_x;@_x_x_x_x_x_x_x_x_x_x"/>
    <numFmt numFmtId="199" formatCode="#,##0.0_);\(#,##0.0\)"/>
    <numFmt numFmtId="200" formatCode="#,##0.0_);\(#,##0.0\);#,##0.0_);@_)"/>
    <numFmt numFmtId="201" formatCode="&quot;$&quot;_(#,##0.00_);&quot;$&quot;\(#,##0.00\)"/>
    <numFmt numFmtId="202" formatCode="&quot;$&quot;_(#,##0.00_);&quot;$&quot;\(#,##0.00\);&quot;$&quot;_(0.00_);@_)"/>
    <numFmt numFmtId="203" formatCode="#,##0.00_);\(#,##0.00\);0.00_);@_)"/>
    <numFmt numFmtId="204" formatCode="&quot;£&quot;_(#,##0.00_);&quot;£&quot;\(#,##0.00\)"/>
    <numFmt numFmtId="205" formatCode="\€_(#,##0.00_);\€\(#,##0.00\);\€_(0.00_);@_)"/>
    <numFmt numFmtId="206" formatCode="#,##0.0_)\x;\(#,##0.0\)\x"/>
    <numFmt numFmtId="207" formatCode="#,##0_)\x;\(#,##0\)\x;0_)\x;@_)_x"/>
    <numFmt numFmtId="208" formatCode="0.0"/>
    <numFmt numFmtId="209" formatCode="#,##0.0_)\x;\(#,##0.0\)\x;0.0_)\x;@_)_x"/>
    <numFmt numFmtId="210" formatCode="#,##0.0_)_x;\(#,##0.0\)_x"/>
    <numFmt numFmtId="211" formatCode="#,##0_)_x;\(#,##0\)_x;0_)_x;@_)_x"/>
    <numFmt numFmtId="212" formatCode="#,##0.0_)_x;\(#,##0.0\)_x;0.0_)_x;@_)_x"/>
    <numFmt numFmtId="213" formatCode="0.0_)\%;\(0.0\)\%"/>
    <numFmt numFmtId="214" formatCode="#,##0.0_)_%;\(#,##0.0\)_%"/>
    <numFmt numFmtId="215" formatCode="&quot;$&quot;#,##0.000_);\(&quot;$&quot;#,##0.000\)"/>
    <numFmt numFmtId="216" formatCode="&quot;$&quot;#,##0.00\ ___);\(&quot;$&quot;#,##0.00\)\ \ _)"/>
    <numFmt numFmtId="217" formatCode="###0.0_(;\(###0.0\)"/>
    <numFmt numFmtId="218" formatCode="#,##0_);\(#,##0\);\-_)"/>
    <numFmt numFmtId="219" formatCode="0.00%_);\(0.00%\);\-_)"/>
    <numFmt numFmtId="220" formatCode="&quot;$&quot;#,##0.0_);[Red]\(&quot;$&quot;#,##0.0\)"/>
    <numFmt numFmtId="221" formatCode="mm/dd/yy_)"/>
    <numFmt numFmtId="222" formatCode="#,##0\ &quot;bps&quot;;\(#,##0\)\ &quot;bps&quot;"/>
    <numFmt numFmtId="223" formatCode="\£#,##0_);\(\£#,##0\)"/>
    <numFmt numFmtId="224" formatCode="0.0000000_);\(0.0000000\)"/>
    <numFmt numFmtId="225" formatCode="#,##0.0_);[Red]\(#,##0.0\)"/>
    <numFmt numFmtId="226" formatCode="#,##0_%_);\(#,##0\)_%;#,##0_%_);@_%_)"/>
    <numFmt numFmtId="227" formatCode="#,##0_%_);\(#,##0\)_%;**;@_%_)"/>
    <numFmt numFmtId="228" formatCode="_(* &quot;$&quot;#,##0\ \ \ \ \ \ \ \ \ ;_(* \(&quot;$&quot;#,##0\ \ \ \ \ \ \ \ \ ;0"/>
    <numFmt numFmtId="229" formatCode="&quot;$&quot;#,##0_)_x;&quot;$&quot;\(#,##0\)_x"/>
    <numFmt numFmtId="230" formatCode="&quot;$&quot;#,##0.0_)_x;&quot;$&quot;\(#,##0.0\)_x"/>
    <numFmt numFmtId="231" formatCode="&quot;$&quot;#,##0.00_)_x;&quot;$&quot;\(#,##0.00\)_x"/>
    <numFmt numFmtId="232" formatCode="&quot;$&quot;#,##0.000_);[Red]\(&quot;$&quot;#,##0.000\)"/>
    <numFmt numFmtId="233" formatCode="&quot;$&quot;#,##0_%_);\(&quot;$&quot;#,##0\)_%;&quot;$&quot;#,##0_%_);@_%_)"/>
    <numFmt numFmtId="234" formatCode="&quot;$&quot;#,##0.0;\(&quot;$&quot;#,##0.0\)"/>
    <numFmt numFmtId="235" formatCode="&quot;$&quot;_(#,##0.0_);&quot;$&quot;\(#,##0.0\)"/>
    <numFmt numFmtId="236" formatCode="\ #,##0.0_);&quot;£&quot;\(#,##0.0\)"/>
    <numFmt numFmtId="237" formatCode="m/d/yy_%_)"/>
    <numFmt numFmtId="238" formatCode="&quot;$&quot;\ \ #,##0.0\ ___);\(&quot;$&quot;\ \ #,##0.0\)\ \ _)"/>
    <numFmt numFmtId="239" formatCode="#,##0.0\ ___);\(#,##0.0\)\ \ _)"/>
    <numFmt numFmtId="240" formatCode="&quot;$&quot;#,##0.0_);\(&quot;$&quot;#,##0.0\)"/>
    <numFmt numFmtId="241" formatCode="0_%_);\(0\)_%;0_%_);@_%_)"/>
    <numFmt numFmtId="242" formatCode="&quot;$&quot;#,##0.00\ \ \ ;\(&quot;$&quot;#,##0.00\)\ \ \ "/>
    <numFmt numFmtId="243" formatCode="0.0\%_);\(0.0\%\);0.0\%_);@_%_)"/>
    <numFmt numFmtId="244" formatCode="#,##0\%;\-#,##0\%"/>
    <numFmt numFmtId="245" formatCode="#,##0.0\%;\-#,##0.0\%"/>
    <numFmt numFmtId="246" formatCode="#,##0.00\%;\-#,##0.00\%"/>
    <numFmt numFmtId="247" formatCode=";;;"/>
    <numFmt numFmtId="248" formatCode="0.00_)"/>
    <numFmt numFmtId="249" formatCode="_-* #,##0\ _F_-;\-* #,##0\ _F_-;_-* &quot;-&quot;\ _F_-;_-@_-"/>
    <numFmt numFmtId="250" formatCode="_-* #,##0.00\ _F_-;\-* #,##0.00\ _F_-;_-* &quot;-&quot;??\ _F_-;_-@_-"/>
    <numFmt numFmtId="251" formatCode="_-* #,##0\ &quot;F&quot;_-;\-* #,##0\ &quot;F&quot;_-;_-* &quot;-&quot;\ &quot;F&quot;_-;_-@_-"/>
    <numFmt numFmtId="252" formatCode="_-* #,##0.00\ &quot;F&quot;_-;\-* #,##0.00\ &quot;F&quot;_-;_-* &quot;-&quot;??\ &quot;F&quot;_-;_-@_-"/>
    <numFmt numFmtId="253" formatCode="0.0\x"/>
    <numFmt numFmtId="254" formatCode="0.0\ \ "/>
    <numFmt numFmtId="255" formatCode="&quot;$&quot;#,##0.0_);&quot;$&quot;\(#,##0.0\)"/>
    <numFmt numFmtId="256" formatCode="_-&quot;$&quot;* #,##0.00_-;\-&quot;$&quot;* #,##0.00_-;_-&quot;$&quot;* &quot;-&quot;??_-;_-@_-"/>
    <numFmt numFmtId="257" formatCode="#,##0_\\x;\-#,##0_\\x"/>
    <numFmt numFmtId="258" formatCode="#,##0.0_\\x;\-#,##0.0_\\x"/>
    <numFmt numFmtId="259" formatCode="#,##0.00_\\x;\-#,##0.00_\\x"/>
    <numFmt numFmtId="260" formatCode="0.0\x_)_);&quot;NM&quot;_x_)_);0.0\x_)_);@_%_)"/>
    <numFmt numFmtId="261" formatCode="0.0_x"/>
    <numFmt numFmtId="262" formatCode="#,##0\ ;\(#,##0\)"/>
    <numFmt numFmtId="263" formatCode="#,##0\ &quot;F&quot;;\-#,##0\ &quot;F&quot;"/>
    <numFmt numFmtId="264" formatCode="_(* #,##0.0_);_(* \(#,##0.0\)"/>
    <numFmt numFmtId="265" formatCode="#,##0.0\ \ \ ;\(#,##0.0\)\ \ "/>
    <numFmt numFmtId="266" formatCode="#,##0\p;\(#,##0\)\p"/>
    <numFmt numFmtId="267" formatCode="_-* #,##0.0_-;\-* #,##0.0_-;_-* &quot;-&quot;??_-;_-@_-"/>
    <numFmt numFmtId="268" formatCode="0.0_)%;\(0.0\)%"/>
    <numFmt numFmtId="269" formatCode="0.000\x"/>
    <numFmt numFmtId="270" formatCode="0.0_)"/>
    <numFmt numFmtId="271" formatCode="[Blue]#,##0_);[Red]\(#,##0\)"/>
    <numFmt numFmtId="272" formatCode="&quot;$&quot;\ ##0.00\ \ \ \ "/>
    <numFmt numFmtId="273" formatCode="&quot;$&quot;#,##0\ \ \ "/>
    <numFmt numFmtId="274" formatCode="#,##0\ \ \ \ \ "/>
    <numFmt numFmtId="275" formatCode="&quot;.695x&quot;"/>
    <numFmt numFmtId="276" formatCode="#,##0_)_x;\(#,##0\)_x"/>
    <numFmt numFmtId="277" formatCode="#,##0.00_)_x;\(#,##0.00\)_x"/>
    <numFmt numFmtId="278" formatCode="_(#,##0_);_(\-#,##0_)"/>
    <numFmt numFmtId="279" formatCode="_(#,##0.00_);_(\-#,##0.00_)"/>
    <numFmt numFmtId="280" formatCode="_(#,##0.0_);_(\-#,##0.0_)"/>
    <numFmt numFmtId="281" formatCode="_(* #,##0_);_(* \(#,##0\)"/>
    <numFmt numFmtId="282" formatCode="00000"/>
    <numFmt numFmtId="283" formatCode="#,##0.00&quot;x&quot;_);\(#,##0.00&quot;x&quot;\)"/>
    <numFmt numFmtId="284" formatCode="0.0_)_x;\(0.0\)_x"/>
    <numFmt numFmtId="285" formatCode="#,##0.00_x;\(#,##0.00\)_x"/>
    <numFmt numFmtId="286" formatCode="0.000000"/>
    <numFmt numFmtId="287" formatCode="0\ \ ;\(0\)\ \ \ "/>
    <numFmt numFmtId="288" formatCode="\¥#,##0_);\(\¥#,##0\)"/>
    <numFmt numFmtId="289" formatCode="0%&quot; Deferred Cost&quot;"/>
    <numFmt numFmtId="290" formatCode="0.000%"/>
    <numFmt numFmtId="291" formatCode="&quot;Advertising Retainer (&quot;&quot;$&quot;#,##0&quot; / mo.)&quot;"/>
    <numFmt numFmtId="292" formatCode="&quot;PR Retainer (&quot;&quot;$&quot;#,##0&quot; / mo.)&quot;"/>
    <numFmt numFmtId="293" formatCode="[$-409]mmmm\ d\,\ yyyy;@"/>
    <numFmt numFmtId="294" formatCode="0.000"/>
    <numFmt numFmtId="295" formatCode="&quot;1.30 FAR (&quot;#,##0&quot; sqft)&quot;"/>
    <numFmt numFmtId="296" formatCode="General&quot;/acre&quot;"/>
    <numFmt numFmtId="297" formatCode="0.00\x"/>
    <numFmt numFmtId="298" formatCode="#,##0\ ;\(#,##0\);\-\ \ \ \ \ "/>
    <numFmt numFmtId="299" formatCode="#,##0\ ;\(#,##0\);\–\ \ \ \ \ "/>
    <numFmt numFmtId="300" formatCode="#,##0\ \ \ ;[Red]\(#,##0\)\ \ ;\—\ \ \ \ "/>
    <numFmt numFmtId="301" formatCode="&quot;Deposit &quot;General"/>
    <numFmt numFmtId="302" formatCode="General&quot; months&quot;"/>
    <numFmt numFmtId="303" formatCode="m/d/yy;@"/>
    <numFmt numFmtId="304" formatCode="0.0&quot;x&quot;"/>
    <numFmt numFmtId="305" formatCode="&quot;(Round; Y/N) &quot;General"/>
    <numFmt numFmtId="306" formatCode="General&quot; spaces&quot;"/>
    <numFmt numFmtId="307" formatCode="#,##0.0"/>
    <numFmt numFmtId="308" formatCode="General\ &quot;Yrs&quot;"/>
    <numFmt numFmtId="309" formatCode="&quot;Month &quot;0"/>
    <numFmt numFmtId="310" formatCode="&quot;TDR Ft; &quot;#,##0"/>
    <numFmt numFmtId="311" formatCode="&quot;$&quot;#,##0.00&quot;/ sqft&quot;"/>
    <numFmt numFmtId="312" formatCode="_(* #,##0.0000_);_(* \(#,##0.0000\);_(* &quot;-&quot;??_);_(@_)"/>
    <numFmt numFmtId="313" formatCode="_(* #,##0.00000_);_(* \(#,##0.00000\);_(* &quot;-&quot;??_);_(@_)"/>
    <numFmt numFmtId="314" formatCode="_(* #,##0.0_);_(* \(#,##0.0\);_(* &quot;-&quot;??_);_(@_)"/>
    <numFmt numFmtId="315" formatCode="0&quot; bedroom&quot;"/>
    <numFmt numFmtId="316" formatCode="0&quot; bedrooms&quot;"/>
    <numFmt numFmtId="317" formatCode="00000\-000"/>
    <numFmt numFmtId="318" formatCode="yyyy\-mm\-dd\ hh:mm:ss"/>
    <numFmt numFmtId="319" formatCode="&quot;Distribution&quot;#"/>
    <numFmt numFmtId="320" formatCode="&quot;$&quot;#,##0.0"/>
    <numFmt numFmtId="321" formatCode="0.00&quot;x&quot;"/>
    <numFmt numFmtId="322" formatCode="&quot;Hurdle &quot;General"/>
    <numFmt numFmtId="323" formatCode="0.0000%"/>
    <numFmt numFmtId="324" formatCode="&quot;$&quot;#,##0&quot; psf&quot;"/>
    <numFmt numFmtId="325" formatCode="_(* #,##0.000_);_(* \(#,##0.000\);_(* &quot;-&quot;_);_(@_)"/>
  </numFmts>
  <fonts count="26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Helv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7"/>
      <name val="Helv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color indexed="10"/>
      <name val="Arial"/>
      <family val="2"/>
    </font>
    <font>
      <b/>
      <sz val="10"/>
      <name val="MS Sans Serif"/>
      <family val="2"/>
    </font>
    <font>
      <sz val="10"/>
      <name val="MS Sans Serif"/>
      <family val="2"/>
    </font>
    <font>
      <sz val="10"/>
      <color indexed="12"/>
      <name val="Arial"/>
      <family val="2"/>
    </font>
    <font>
      <sz val="11"/>
      <color indexed="8"/>
      <name val="Helvetica Neue"/>
      <family val="2"/>
    </font>
    <font>
      <sz val="11"/>
      <name val="Times New Roman"/>
      <family val="1"/>
    </font>
    <font>
      <sz val="9"/>
      <name val="Arial"/>
      <family val="2"/>
    </font>
    <font>
      <sz val="10"/>
      <name val="Courier"/>
      <family val="3"/>
    </font>
    <font>
      <b/>
      <sz val="22"/>
      <color indexed="18"/>
      <name val="Arial"/>
      <family val="2"/>
    </font>
    <font>
      <b/>
      <sz val="14"/>
      <color indexed="18"/>
      <name val="Arial"/>
      <family val="2"/>
    </font>
    <font>
      <sz val="9"/>
      <color indexed="8"/>
      <name val="Arial"/>
      <family val="2"/>
    </font>
    <font>
      <b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2"/>
      <name val="Times New Roman"/>
      <family val="1"/>
    </font>
    <font>
      <sz val="10"/>
      <name val="Times New Roman"/>
      <family val="1"/>
    </font>
    <font>
      <sz val="7"/>
      <color indexed="12"/>
      <name val="Times New Roman"/>
      <family val="1"/>
    </font>
    <font>
      <sz val="9"/>
      <name val="Times New Roman"/>
      <family val="1"/>
    </font>
    <font>
      <sz val="9"/>
      <name val="Helvetica"/>
      <family val="2"/>
    </font>
    <font>
      <b/>
      <sz val="14"/>
      <name val="Times New Roman"/>
      <family val="1"/>
    </font>
    <font>
      <sz val="8"/>
      <name val="Helvetica"/>
      <family val="2"/>
    </font>
    <font>
      <sz val="8"/>
      <color indexed="8"/>
      <name val="Times New Roman"/>
      <family val="1"/>
    </font>
    <font>
      <sz val="8"/>
      <name val="Tahoma"/>
      <family val="2"/>
    </font>
    <font>
      <sz val="8"/>
      <name val="Times New Roman"/>
      <family val="1"/>
    </font>
    <font>
      <sz val="10"/>
      <color indexed="8"/>
      <name val="Tms Rmn"/>
    </font>
    <font>
      <sz val="8"/>
      <color indexed="12"/>
      <name val="Tms Rmn"/>
    </font>
    <font>
      <b/>
      <sz val="10"/>
      <color indexed="9"/>
      <name val="Arial"/>
      <family val="2"/>
    </font>
    <font>
      <sz val="10"/>
      <color indexed="12"/>
      <name val="Times New Roman"/>
      <family val="1"/>
    </font>
    <font>
      <sz val="8"/>
      <color indexed="12"/>
      <name val="Times New Roman"/>
      <family val="1"/>
    </font>
    <font>
      <sz val="8"/>
      <name val="Verdana"/>
      <family val="2"/>
    </font>
    <font>
      <b/>
      <sz val="12"/>
      <name val="Arial MT"/>
    </font>
    <font>
      <b/>
      <sz val="12"/>
      <name val="Times New Roman"/>
      <family val="1"/>
    </font>
    <font>
      <sz val="11"/>
      <name val="Arial Narrow"/>
      <family val="2"/>
    </font>
    <font>
      <sz val="9"/>
      <name val="Swis721 Cn BT"/>
      <family val="2"/>
    </font>
    <font>
      <i/>
      <sz val="11"/>
      <name val="Arial"/>
      <family val="2"/>
    </font>
    <font>
      <b/>
      <sz val="14"/>
      <color indexed="8"/>
      <name val="Times New Roman"/>
      <family val="1"/>
    </font>
    <font>
      <u val="singleAccounting"/>
      <sz val="10"/>
      <name val="Arial"/>
      <family val="2"/>
    </font>
    <font>
      <b/>
      <sz val="10"/>
      <color indexed="8"/>
      <name val="Times New Roman"/>
      <family val="1"/>
    </font>
    <font>
      <sz val="10"/>
      <color indexed="18"/>
      <name val="Times New Roman"/>
      <family val="1"/>
    </font>
    <font>
      <sz val="12"/>
      <name val="NewCenturySchlbk"/>
      <family val="1"/>
    </font>
    <font>
      <b/>
      <sz val="8"/>
      <name val="GillSans"/>
      <family val="2"/>
    </font>
    <font>
      <b/>
      <sz val="9"/>
      <color indexed="18"/>
      <name val="Arial"/>
      <family val="2"/>
    </font>
    <font>
      <b/>
      <sz val="8"/>
      <name val="Arial"/>
      <family val="2"/>
    </font>
    <font>
      <sz val="10"/>
      <name val="Palatino"/>
      <family val="1"/>
    </font>
    <font>
      <b/>
      <sz val="8"/>
      <name val="Times New Roman"/>
      <family val="1"/>
    </font>
    <font>
      <sz val="8"/>
      <name val="Palatino"/>
      <family val="1"/>
    </font>
    <font>
      <sz val="10"/>
      <name val="Helv"/>
    </font>
    <font>
      <b/>
      <sz val="10"/>
      <name val="Helvetica"/>
      <family val="2"/>
    </font>
    <font>
      <sz val="14"/>
      <name val="Helvetica"/>
      <family val="2"/>
    </font>
    <font>
      <sz val="10"/>
      <color indexed="8"/>
      <name val="Times New Roman"/>
      <family val="1"/>
    </font>
    <font>
      <sz val="10"/>
      <name val="MS Serif"/>
      <family val="1"/>
    </font>
    <font>
      <sz val="10"/>
      <name val="Helvetica"/>
      <family val="2"/>
    </font>
    <font>
      <sz val="11"/>
      <color indexed="12"/>
      <name val="Book Antiqua"/>
      <family val="1"/>
    </font>
    <font>
      <sz val="8"/>
      <name val="Helv"/>
    </font>
    <font>
      <sz val="12"/>
      <name val="Helv"/>
    </font>
    <font>
      <sz val="8"/>
      <color indexed="18"/>
      <name val="Times New Roman"/>
      <family val="1"/>
    </font>
    <font>
      <u/>
      <sz val="8"/>
      <color indexed="12"/>
      <name val="Times New Roman"/>
      <family val="1"/>
    </font>
    <font>
      <sz val="8"/>
      <color indexed="8"/>
      <name val="Helvetica"/>
      <family val="2"/>
    </font>
    <font>
      <sz val="10"/>
      <name val="GarmdITC Lt BT"/>
    </font>
    <font>
      <u val="doubleAccounting"/>
      <sz val="10"/>
      <name val="Arial"/>
      <family val="2"/>
    </font>
    <font>
      <sz val="10"/>
      <name val="Courier New"/>
      <family val="3"/>
    </font>
    <font>
      <b/>
      <sz val="8"/>
      <name val="Arial Narrow"/>
      <family val="2"/>
    </font>
    <font>
      <sz val="10"/>
      <color indexed="16"/>
      <name val="MS Serif"/>
      <family val="1"/>
    </font>
    <font>
      <b/>
      <sz val="9"/>
      <color indexed="12"/>
      <name val="Arial"/>
      <family val="2"/>
    </font>
    <font>
      <sz val="7"/>
      <name val="Palatino"/>
      <family val="1"/>
    </font>
    <font>
      <sz val="10"/>
      <name val="Garamand Classic Light"/>
    </font>
    <font>
      <sz val="9"/>
      <name val="Arial Narrow"/>
      <family val="2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sz val="6"/>
      <color indexed="16"/>
      <name val="Palatino"/>
      <family val="1"/>
    </font>
    <font>
      <b/>
      <u/>
      <sz val="8"/>
      <color indexed="8"/>
      <name val="Tahoma"/>
      <family val="2"/>
    </font>
    <font>
      <b/>
      <sz val="11"/>
      <color indexed="41"/>
      <name val="Times New Roman"/>
      <family val="1"/>
    </font>
    <font>
      <b/>
      <sz val="12"/>
      <name val="Helv"/>
    </font>
    <font>
      <b/>
      <i/>
      <sz val="7"/>
      <name val="Arial"/>
      <family val="2"/>
    </font>
    <font>
      <b/>
      <sz val="16"/>
      <name val="Times New Roman"/>
      <family val="1"/>
    </font>
    <font>
      <b/>
      <u/>
      <sz val="12"/>
      <name val="Times New Roman"/>
      <family val="1"/>
    </font>
    <font>
      <b/>
      <i/>
      <sz val="22"/>
      <name val="Times New Roman"/>
      <family val="1"/>
    </font>
    <font>
      <sz val="12"/>
      <name val="CG Times (WN)"/>
    </font>
    <font>
      <b/>
      <sz val="14"/>
      <name val="Helv"/>
    </font>
    <font>
      <sz val="10"/>
      <name val="Geneva"/>
      <family val="2"/>
    </font>
    <font>
      <sz val="10"/>
      <color indexed="16"/>
      <name val="Univers"/>
      <family val="2"/>
    </font>
    <font>
      <sz val="12"/>
      <color indexed="9"/>
      <name val="Helv"/>
    </font>
    <font>
      <b/>
      <sz val="10"/>
      <name val="Times New Roman"/>
      <family val="1"/>
    </font>
    <font>
      <sz val="7"/>
      <name val="Small Fonts"/>
      <family val="2"/>
    </font>
    <font>
      <b/>
      <sz val="8"/>
      <color indexed="23"/>
      <name val="Verdana"/>
      <family val="2"/>
    </font>
    <font>
      <sz val="8"/>
      <color indexed="8"/>
      <name val="MS Sans Serif"/>
      <family val="2"/>
    </font>
    <font>
      <sz val="11"/>
      <name val="‚l‚r –¾’©"/>
    </font>
    <font>
      <b/>
      <sz val="10"/>
      <name val="Tahoma"/>
      <family val="2"/>
    </font>
    <font>
      <b/>
      <sz val="8"/>
      <color indexed="72"/>
      <name val="Arial"/>
      <family val="2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sz val="10"/>
      <color indexed="16"/>
      <name val="Helvetica-Black"/>
    </font>
    <font>
      <i/>
      <sz val="8"/>
      <name val="Times New Roman"/>
      <family val="1"/>
    </font>
    <font>
      <sz val="10"/>
      <name val="Tms Rmn"/>
    </font>
    <font>
      <sz val="16"/>
      <color indexed="9"/>
      <name val="Tahoma"/>
      <family val="2"/>
    </font>
    <font>
      <b/>
      <sz val="9"/>
      <name val="Arial"/>
      <family val="2"/>
    </font>
    <font>
      <sz val="8"/>
      <name val="Univers (WN)"/>
    </font>
    <font>
      <sz val="9"/>
      <name val="Tahoma"/>
      <family val="2"/>
    </font>
    <font>
      <sz val="9"/>
      <color indexed="8"/>
      <name val="Helvetica"/>
      <family val="2"/>
    </font>
    <font>
      <sz val="10"/>
      <name val="GillSans Light"/>
      <family val="2"/>
    </font>
    <font>
      <sz val="9.5"/>
      <color indexed="23"/>
      <name val="Helvetica-Black"/>
    </font>
    <font>
      <i/>
      <sz val="12"/>
      <name val="Helvetica"/>
      <family val="2"/>
    </font>
    <font>
      <sz val="10"/>
      <color indexed="8"/>
      <name val="MS Sans Serif"/>
      <family val="2"/>
    </font>
    <font>
      <b/>
      <sz val="9"/>
      <color indexed="8"/>
      <name val="Swis721 Cn BT"/>
      <family val="2"/>
    </font>
    <font>
      <sz val="9"/>
      <color indexed="18"/>
      <name val="Swis721 Cn BT"/>
      <family val="2"/>
    </font>
    <font>
      <b/>
      <sz val="12"/>
      <color indexed="10"/>
      <name val="Swis721 Cn BT"/>
      <family val="2"/>
    </font>
    <font>
      <b/>
      <sz val="12"/>
      <color indexed="10"/>
      <name val="Helv"/>
    </font>
    <font>
      <b/>
      <sz val="11"/>
      <color indexed="9"/>
      <name val="Arial"/>
      <family val="2"/>
    </font>
    <font>
      <i/>
      <sz val="10"/>
      <name val="Arial"/>
      <family val="2"/>
    </font>
    <font>
      <sz val="10"/>
      <color indexed="9"/>
      <name val="Arial"/>
      <family val="2"/>
    </font>
    <font>
      <b/>
      <i/>
      <sz val="12"/>
      <color indexed="8"/>
      <name val="Times New Roman"/>
      <family val="1"/>
    </font>
    <font>
      <b/>
      <i/>
      <sz val="12"/>
      <color indexed="8"/>
      <name val="Arial"/>
      <family val="2"/>
    </font>
    <font>
      <b/>
      <sz val="18"/>
      <name val="Times New Roman"/>
      <family val="1"/>
    </font>
    <font>
      <b/>
      <sz val="8"/>
      <color indexed="8"/>
      <name val="Helv"/>
    </font>
    <font>
      <sz val="14"/>
      <name val="Arial"/>
      <family val="2"/>
    </font>
    <font>
      <vertAlign val="superscript"/>
      <sz val="10"/>
      <name val="Futura Bk BT"/>
      <family val="2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12"/>
      <color indexed="60"/>
      <name val="Swis721 Cn BT"/>
      <family val="2"/>
    </font>
    <font>
      <sz val="9"/>
      <name val="Helvetica-Black"/>
    </font>
    <font>
      <b/>
      <sz val="8"/>
      <color indexed="63"/>
      <name val="Verdana"/>
      <family val="2"/>
    </font>
    <font>
      <sz val="12"/>
      <color indexed="8"/>
      <name val="Palatino"/>
      <family val="1"/>
    </font>
    <font>
      <sz val="11"/>
      <color indexed="8"/>
      <name val="Helvetica-Black"/>
    </font>
    <font>
      <b/>
      <sz val="11"/>
      <name val="Times New Roman"/>
      <family val="1"/>
    </font>
    <font>
      <sz val="24"/>
      <color indexed="13"/>
      <name val="Helv"/>
    </font>
    <font>
      <u/>
      <sz val="8"/>
      <name val="Times New Roman"/>
      <family val="1"/>
    </font>
    <font>
      <b/>
      <sz val="8"/>
      <name val="Helv"/>
    </font>
    <font>
      <b/>
      <i/>
      <sz val="24"/>
      <name val="Arial"/>
      <family val="2"/>
    </font>
    <font>
      <b/>
      <sz val="7"/>
      <color indexed="12"/>
      <name val="Arial"/>
      <family val="2"/>
    </font>
    <font>
      <u/>
      <sz val="8"/>
      <color indexed="8"/>
      <name val="Arial"/>
      <family val="2"/>
    </font>
    <font>
      <sz val="7"/>
      <name val="Times New Roman"/>
      <family val="1"/>
    </font>
    <font>
      <b/>
      <i/>
      <sz val="8"/>
      <name val="Helv"/>
    </font>
    <font>
      <sz val="11"/>
      <name val="ZapfCalligr BT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Garamond"/>
      <family val="1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24"/>
      <name val="Geneva"/>
      <family val="2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indexed="62"/>
      <name val="Cambria"/>
      <family val="2"/>
    </font>
    <font>
      <b/>
      <sz val="18"/>
      <color theme="3"/>
      <name val="Cambria"/>
      <family val="2"/>
      <scheme val="maj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Garamond"/>
      <family val="1"/>
    </font>
    <font>
      <sz val="11"/>
      <color theme="1"/>
      <name val="Garamond"/>
      <family val="1"/>
    </font>
    <font>
      <sz val="10"/>
      <name val="Garamond"/>
      <family val="1"/>
    </font>
    <font>
      <sz val="10"/>
      <color rgb="FF0000FF"/>
      <name val="Garamond"/>
      <family val="1"/>
    </font>
    <font>
      <b/>
      <sz val="22"/>
      <name val="Garamond"/>
      <family val="1"/>
    </font>
    <font>
      <b/>
      <sz val="11"/>
      <name val="Garamond"/>
      <family val="1"/>
    </font>
    <font>
      <sz val="11"/>
      <name val="Garamond"/>
      <family val="1"/>
    </font>
    <font>
      <sz val="14"/>
      <name val="Garamond"/>
      <family val="1"/>
    </font>
    <font>
      <b/>
      <u/>
      <sz val="11"/>
      <name val="Garamond"/>
      <family val="1"/>
    </font>
    <font>
      <sz val="11"/>
      <color indexed="10"/>
      <name val="Garamond"/>
      <family val="1"/>
    </font>
    <font>
      <b/>
      <sz val="11"/>
      <color rgb="FF0000FF"/>
      <name val="Garamond"/>
      <family val="1"/>
    </font>
    <font>
      <b/>
      <sz val="11"/>
      <color theme="0"/>
      <name val="Garamond"/>
      <family val="1"/>
    </font>
    <font>
      <sz val="11"/>
      <color indexed="8"/>
      <name val="Garamond"/>
      <family val="1"/>
    </font>
    <font>
      <b/>
      <sz val="11"/>
      <color indexed="10"/>
      <name val="Garamond"/>
      <family val="1"/>
    </font>
    <font>
      <sz val="11"/>
      <color theme="0"/>
      <name val="Garamond"/>
      <family val="1"/>
    </font>
    <font>
      <b/>
      <sz val="16"/>
      <name val="Garamond"/>
      <family val="1"/>
    </font>
    <font>
      <sz val="14"/>
      <color indexed="8"/>
      <name val="Garamond"/>
      <family val="1"/>
    </font>
    <font>
      <b/>
      <sz val="12"/>
      <color indexed="8"/>
      <name val="Garamond"/>
      <family val="1"/>
    </font>
    <font>
      <sz val="12"/>
      <color indexed="8"/>
      <name val="Garamond"/>
      <family val="1"/>
    </font>
    <font>
      <b/>
      <sz val="12"/>
      <name val="Garamond"/>
      <family val="1"/>
    </font>
    <font>
      <b/>
      <sz val="12"/>
      <color theme="0"/>
      <name val="Garamond"/>
      <family val="1"/>
    </font>
    <font>
      <sz val="12"/>
      <color theme="0"/>
      <name val="Garamond"/>
      <family val="1"/>
    </font>
    <font>
      <b/>
      <sz val="12"/>
      <color indexed="9"/>
      <name val="Garamond"/>
      <family val="1"/>
    </font>
    <font>
      <sz val="12"/>
      <color indexed="9"/>
      <name val="Garamond"/>
      <family val="1"/>
    </font>
    <font>
      <b/>
      <u/>
      <sz val="12"/>
      <name val="Garamond"/>
      <family val="1"/>
    </font>
    <font>
      <i/>
      <u/>
      <sz val="12"/>
      <color indexed="8"/>
      <name val="Garamond"/>
      <family val="1"/>
    </font>
    <font>
      <b/>
      <u/>
      <sz val="12"/>
      <color indexed="8"/>
      <name val="Garamond"/>
      <family val="1"/>
    </font>
    <font>
      <u/>
      <sz val="12"/>
      <name val="Garamond"/>
      <family val="1"/>
    </font>
    <font>
      <b/>
      <vertAlign val="superscript"/>
      <sz val="12"/>
      <name val="Garamond"/>
      <family val="1"/>
    </font>
    <font>
      <b/>
      <sz val="12"/>
      <color rgb="FF3333FF"/>
      <name val="Garamond"/>
      <family val="1"/>
    </font>
    <font>
      <sz val="11"/>
      <color rgb="FF0000FF"/>
      <name val="Garamond"/>
      <family val="1"/>
    </font>
    <font>
      <sz val="10"/>
      <color theme="1"/>
      <name val="Garamond"/>
      <family val="1"/>
    </font>
    <font>
      <sz val="10"/>
      <color rgb="FF3333FF"/>
      <name val="Garamond"/>
      <family val="1"/>
    </font>
    <font>
      <b/>
      <sz val="10"/>
      <color indexed="8"/>
      <name val="Garamond"/>
      <family val="1"/>
    </font>
    <font>
      <b/>
      <sz val="10"/>
      <color theme="1"/>
      <name val="Garamond"/>
      <family val="1"/>
    </font>
    <font>
      <sz val="11"/>
      <color rgb="FF0707F9"/>
      <name val="Garamond"/>
      <family val="1"/>
    </font>
    <font>
      <b/>
      <u/>
      <sz val="10"/>
      <color rgb="FF000000"/>
      <name val="Garamond"/>
      <family val="1"/>
    </font>
    <font>
      <sz val="10"/>
      <color rgb="FF000000"/>
      <name val="Garamond"/>
      <family val="1"/>
    </font>
    <font>
      <b/>
      <sz val="14"/>
      <name val="Garamond"/>
      <family val="1"/>
    </font>
    <font>
      <sz val="11"/>
      <color rgb="FF0033CC"/>
      <name val="Garamond"/>
      <family val="1"/>
    </font>
    <font>
      <sz val="11"/>
      <color rgb="FF017501"/>
      <name val="Garamond"/>
      <family val="1"/>
    </font>
    <font>
      <b/>
      <sz val="11"/>
      <color theme="5" tint="-0.499984740745262"/>
      <name val="Garamond"/>
      <family val="1"/>
    </font>
    <font>
      <i/>
      <sz val="11"/>
      <name val="Garamond"/>
      <family val="1"/>
    </font>
    <font>
      <b/>
      <sz val="11"/>
      <color rgb="FF0033CC"/>
      <name val="Garamond"/>
      <family val="1"/>
    </font>
    <font>
      <sz val="11"/>
      <color rgb="FFFFFFFF"/>
      <name val="Garamond"/>
      <family val="1"/>
    </font>
    <font>
      <b/>
      <u/>
      <sz val="11"/>
      <color rgb="FF007CBA"/>
      <name val="Garamond"/>
      <family val="1"/>
    </font>
    <font>
      <sz val="11"/>
      <color theme="1"/>
      <name val="Franklin Gothic Demi Cond"/>
      <family val="2"/>
    </font>
    <font>
      <b/>
      <sz val="11"/>
      <color theme="0"/>
      <name val="Franklin Gothic Medium Cond"/>
      <family val="2"/>
    </font>
    <font>
      <sz val="11"/>
      <color theme="0"/>
      <name val="Franklin Gothic Medium Cond"/>
      <family val="2"/>
    </font>
    <font>
      <sz val="11"/>
      <color theme="0"/>
      <name val="Franklin Gothic Demi Cond"/>
      <family val="2"/>
    </font>
    <font>
      <b/>
      <sz val="24"/>
      <color theme="1"/>
      <name val="Calibri"/>
      <family val="2"/>
      <scheme val="minor"/>
    </font>
    <font>
      <sz val="11"/>
      <color theme="4" tint="0.59996337778862885"/>
      <name val="Franklin Gothic Demi Cond"/>
      <family val="2"/>
    </font>
    <font>
      <sz val="24"/>
      <color theme="1"/>
      <name val="Franklin Gothic Demi Cond"/>
      <family val="2"/>
    </font>
    <font>
      <sz val="11"/>
      <color rgb="FFC00000"/>
      <name val="Garamond"/>
      <family val="1"/>
    </font>
    <font>
      <sz val="11"/>
      <color rgb="FF2F74C7"/>
      <name val="Garamond"/>
      <family val="1"/>
    </font>
    <font>
      <b/>
      <sz val="11"/>
      <color rgb="FF2F74C7"/>
      <name val="Garamond"/>
      <family val="1"/>
    </font>
    <font>
      <b/>
      <sz val="22"/>
      <name val="Times New Roman"/>
      <family val="1"/>
    </font>
    <font>
      <sz val="14"/>
      <name val="Times New Roman"/>
      <family val="1"/>
    </font>
    <font>
      <b/>
      <sz val="11"/>
      <color theme="0"/>
      <name val="Times New Roman"/>
      <family val="1"/>
    </font>
    <font>
      <sz val="16"/>
      <color rgb="FF000000"/>
      <name val="Times New Roman"/>
      <family val="1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6"/>
      <name val="Calibri"/>
      <family val="2"/>
      <scheme val="minor"/>
    </font>
    <font>
      <sz val="11"/>
      <color rgb="FF0000FF"/>
      <name val="Calibri"/>
      <family val="2"/>
      <scheme val="minor"/>
    </font>
    <font>
      <b/>
      <u/>
      <sz val="11"/>
      <name val="Calibri"/>
      <family val="2"/>
      <scheme val="minor"/>
    </font>
    <font>
      <sz val="12"/>
      <color theme="1"/>
      <name val="Garamond"/>
      <family val="1"/>
    </font>
    <font>
      <sz val="10"/>
      <color theme="0"/>
      <name val="Arial"/>
      <family val="2"/>
    </font>
    <font>
      <b/>
      <i/>
      <sz val="10"/>
      <name val="Arial"/>
      <family val="2"/>
    </font>
    <font>
      <sz val="10"/>
      <color rgb="FF3333FF"/>
      <name val="Arial"/>
      <family val="2"/>
    </font>
  </fonts>
  <fills count="10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lightGray">
        <fgColor indexed="15"/>
      </patternFill>
    </fill>
    <fill>
      <patternFill patternType="solid">
        <fgColor indexed="51"/>
        <bgColor indexed="64"/>
      </patternFill>
    </fill>
    <fill>
      <patternFill patternType="solid">
        <fgColor indexed="8"/>
        <bgColor indexed="64"/>
      </patternFill>
    </fill>
    <fill>
      <patternFill patternType="gray0625">
        <bgColor indexed="22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12"/>
      </patternFill>
    </fill>
    <fill>
      <patternFill patternType="solid">
        <fgColor indexed="10"/>
        <bgColor indexed="10"/>
      </patternFill>
    </fill>
    <fill>
      <patternFill patternType="gray0625"/>
    </fill>
    <fill>
      <patternFill patternType="gray0625">
        <fgColor indexed="13"/>
        <bgColor indexed="13"/>
      </patternFill>
    </fill>
    <fill>
      <patternFill patternType="solid">
        <fgColor indexed="42"/>
        <bgColor indexed="64"/>
      </patternFill>
    </fill>
    <fill>
      <patternFill patternType="gray0625">
        <fgColor indexed="10"/>
      </patternFill>
    </fill>
    <fill>
      <patternFill patternType="solid">
        <fgColor indexed="22"/>
        <bgColor indexed="22"/>
      </patternFill>
    </fill>
    <fill>
      <patternFill patternType="solid">
        <fgColor indexed="6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theme="4"/>
      </patternFill>
    </fill>
    <fill>
      <patternFill patternType="solid">
        <fgColor indexed="26"/>
        <bgColor indexed="26"/>
      </patternFill>
    </fill>
    <fill>
      <patternFill patternType="solid">
        <fgColor indexed="55"/>
        <bgColor indexed="55"/>
      </patternFill>
    </fill>
    <fill>
      <patternFill patternType="solid">
        <fgColor theme="5"/>
      </patternFill>
    </fill>
    <fill>
      <patternFill patternType="solid">
        <fgColor indexed="42"/>
        <bgColor indexed="42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indexed="27"/>
        <bgColor indexed="27"/>
      </patternFill>
    </fill>
    <fill>
      <patternFill patternType="solid">
        <fgColor theme="8"/>
      </patternFill>
    </fill>
    <fill>
      <patternFill patternType="solid">
        <fgColor indexed="47"/>
        <bgColor indexed="47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indexed="17"/>
        <bgColor indexed="64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3E3E3E"/>
        <bgColor indexed="64"/>
      </patternFill>
    </fill>
    <fill>
      <patternFill patternType="solid">
        <fgColor theme="4" tint="-0.4999542222357860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</fills>
  <borders count="28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18"/>
      </bottom>
      <diagonal/>
    </border>
    <border>
      <left style="thick">
        <color indexed="64"/>
      </left>
      <right/>
      <top style="thick">
        <color indexed="64"/>
      </top>
      <bottom style="double">
        <color indexed="64"/>
      </bottom>
      <diagonal/>
    </border>
    <border>
      <left style="medium">
        <color indexed="9"/>
      </left>
      <right style="medium">
        <color indexed="9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ck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55"/>
      </right>
      <top/>
      <bottom/>
      <diagonal/>
    </border>
    <border>
      <left/>
      <right/>
      <top/>
      <bottom style="medium">
        <color indexed="45"/>
      </bottom>
      <diagonal/>
    </border>
    <border>
      <left/>
      <right/>
      <top/>
      <bottom style="thin">
        <color indexed="45"/>
      </bottom>
      <diagonal/>
    </border>
    <border>
      <left/>
      <right/>
      <top style="medium">
        <color indexed="45"/>
      </top>
      <bottom/>
      <diagonal/>
    </border>
    <border>
      <left/>
      <right/>
      <top/>
      <bottom style="double">
        <color indexed="45"/>
      </bottom>
      <diagonal/>
    </border>
    <border>
      <left style="hair">
        <color indexed="10"/>
      </left>
      <right style="hair">
        <color indexed="10"/>
      </right>
      <top style="hair">
        <color indexed="10"/>
      </top>
      <bottom style="hair">
        <color indexed="10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22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/>
      <top/>
      <bottom style="dotted">
        <color indexed="18"/>
      </bottom>
      <diagonal/>
    </border>
    <border>
      <left/>
      <right/>
      <top/>
      <bottom style="double">
        <color indexed="18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hair">
        <color indexed="24"/>
      </top>
      <bottom style="hair">
        <color indexed="24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indexed="64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 tint="-0.24994659260841701"/>
      </top>
      <bottom style="thin">
        <color auto="1"/>
      </bottom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auto="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/>
      <bottom style="thin">
        <color theme="0" tint="-0.24994659260841701"/>
      </bottom>
      <diagonal/>
    </border>
    <border>
      <left/>
      <right/>
      <top/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theme="0" tint="-0.2499465926084170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/>
      <right style="thin">
        <color indexed="64"/>
      </right>
      <top style="medium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indexed="64"/>
      </top>
      <bottom/>
      <diagonal/>
    </border>
    <border>
      <left style="thin">
        <color theme="0" tint="-0.14993743705557422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0" tint="-0.14996795556505021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3743705557422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3743705557422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3743705557422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3743705557422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0" tint="-0.14996795556505021"/>
      </top>
      <bottom/>
      <diagonal/>
    </border>
    <border>
      <left style="thin">
        <color indexed="64"/>
      </left>
      <right style="thin">
        <color theme="0" tint="-0.14993743705557422"/>
      </right>
      <top style="thin">
        <color theme="0" tint="-0.14996795556505021"/>
      </top>
      <bottom/>
      <diagonal/>
    </border>
    <border>
      <left style="thin">
        <color theme="0" tint="-0.14993743705557422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3743705557422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medium">
        <color rgb="FF3E3E3E"/>
      </left>
      <right/>
      <top style="medium">
        <color rgb="FF3E3E3E"/>
      </top>
      <bottom/>
      <diagonal/>
    </border>
    <border>
      <left/>
      <right/>
      <top style="medium">
        <color rgb="FF3E3E3E"/>
      </top>
      <bottom/>
      <diagonal/>
    </border>
    <border>
      <left/>
      <right style="medium">
        <color rgb="FF3E3E3E"/>
      </right>
      <top style="medium">
        <color rgb="FF3E3E3E"/>
      </top>
      <bottom/>
      <diagonal/>
    </border>
    <border>
      <left style="medium">
        <color rgb="FF3E3E3E"/>
      </left>
      <right/>
      <top/>
      <bottom/>
      <diagonal/>
    </border>
    <border>
      <left/>
      <right style="medium">
        <color rgb="FF3E3E3E"/>
      </right>
      <top/>
      <bottom/>
      <diagonal/>
    </border>
    <border>
      <left style="medium">
        <color rgb="FF3E3E3E"/>
      </left>
      <right/>
      <top/>
      <bottom style="medium">
        <color rgb="FF3E3E3E"/>
      </bottom>
      <diagonal/>
    </border>
    <border>
      <left/>
      <right/>
      <top/>
      <bottom style="medium">
        <color rgb="FF3E3E3E"/>
      </bottom>
      <diagonal/>
    </border>
    <border>
      <left/>
      <right style="medium">
        <color rgb="FF3E3E3E"/>
      </right>
      <top/>
      <bottom style="medium">
        <color rgb="FF3E3E3E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theme="0" tint="-0.24994659260841701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auto="1"/>
      </right>
      <top/>
      <bottom style="thin">
        <color auto="1"/>
      </bottom>
      <diagonal/>
    </border>
    <border>
      <left/>
      <right style="thin">
        <color theme="0" tint="-0.24994659260841701"/>
      </right>
      <top/>
      <bottom style="thin">
        <color auto="1"/>
      </bottom>
      <diagonal/>
    </border>
    <border>
      <left style="thin">
        <color theme="0" tint="-0.24994659260841701"/>
      </left>
      <right/>
      <top/>
      <bottom style="thin">
        <color auto="1"/>
      </bottom>
      <diagonal/>
    </border>
    <border>
      <left style="thin">
        <color theme="0" tint="-0.24994659260841701"/>
      </left>
      <right/>
      <top style="thin">
        <color auto="1"/>
      </top>
      <bottom style="thin">
        <color theme="0" tint="-0.2499465926084170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/>
      <right style="thin">
        <color theme="0" tint="-0.24994659260841701"/>
      </right>
      <top style="medium">
        <color auto="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auto="1"/>
      </top>
      <bottom/>
      <diagonal/>
    </border>
    <border>
      <left style="thin">
        <color theme="0" tint="-0.24994659260841701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/>
      <diagonal/>
    </border>
  </borders>
  <cellStyleXfs count="1921">
    <xf numFmtId="174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9" borderId="0" applyNumberFormat="0" applyBorder="0" applyAlignment="0" applyProtection="0"/>
    <xf numFmtId="0" fontId="17" fillId="3" borderId="0" applyNumberFormat="0" applyBorder="0" applyAlignment="0" applyProtection="0"/>
    <xf numFmtId="0" fontId="18" fillId="20" borderId="1" applyNumberFormat="0" applyAlignment="0" applyProtection="0"/>
    <xf numFmtId="0" fontId="19" fillId="21" borderId="2" applyNumberFormat="0" applyAlignment="0" applyProtection="0"/>
    <xf numFmtId="43" fontId="13" fillId="0" borderId="0" applyFont="0" applyFill="0" applyBorder="0" applyAlignment="0" applyProtection="0"/>
    <xf numFmtId="43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173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38" fontId="23" fillId="22" borderId="0" applyNumberFormat="0" applyBorder="0" applyAlignment="0" applyProtection="0"/>
    <xf numFmtId="0" fontId="24" fillId="0" borderId="3" applyNumberFormat="0" applyAlignment="0" applyProtection="0">
      <alignment horizontal="left" vertical="center"/>
    </xf>
    <xf numFmtId="0" fontId="24" fillId="0" borderId="4">
      <alignment horizontal="left" vertical="center"/>
    </xf>
    <xf numFmtId="0" fontId="25" fillId="0" borderId="5" applyNumberFormat="0" applyFill="0" applyAlignment="0" applyProtection="0"/>
    <xf numFmtId="0" fontId="26" fillId="0" borderId="6" applyNumberFormat="0" applyFill="0" applyAlignment="0" applyProtection="0"/>
    <xf numFmtId="0" fontId="27" fillId="0" borderId="7" applyNumberFormat="0" applyFill="0" applyAlignment="0" applyProtection="0"/>
    <xf numFmtId="0" fontId="27" fillId="0" borderId="0" applyNumberFormat="0" applyFill="0" applyBorder="0" applyAlignment="0" applyProtection="0"/>
    <xf numFmtId="0" fontId="28" fillId="7" borderId="1" applyNumberFormat="0" applyAlignment="0" applyProtection="0"/>
    <xf numFmtId="10" fontId="23" fillId="23" borderId="8" applyNumberFormat="0" applyBorder="0" applyAlignment="0" applyProtection="0"/>
    <xf numFmtId="0" fontId="29" fillId="0" borderId="9" applyNumberFormat="0" applyFill="0" applyAlignment="0" applyProtection="0"/>
    <xf numFmtId="0" fontId="30" fillId="24" borderId="0" applyNumberFormat="0" applyBorder="0" applyAlignment="0" applyProtection="0"/>
    <xf numFmtId="169" fontId="1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8" fillId="0" borderId="0"/>
    <xf numFmtId="0" fontId="36" fillId="0" borderId="0"/>
    <xf numFmtId="0" fontId="38" fillId="0" borderId="0"/>
    <xf numFmtId="0" fontId="13" fillId="25" borderId="10" applyNumberFormat="0" applyFont="0" applyAlignment="0" applyProtection="0"/>
    <xf numFmtId="0" fontId="32" fillId="20" borderId="11" applyNumberFormat="0" applyAlignment="0" applyProtection="0"/>
    <xf numFmtId="9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168" fontId="13" fillId="0" borderId="0"/>
    <xf numFmtId="174" fontId="14" fillId="0" borderId="0"/>
    <xf numFmtId="0" fontId="33" fillId="0" borderId="0" applyNumberFormat="0" applyFill="0" applyBorder="0" applyAlignment="0" applyProtection="0"/>
    <xf numFmtId="0" fontId="34" fillId="0" borderId="12" applyNumberFormat="0" applyFill="0" applyAlignment="0" applyProtection="0"/>
    <xf numFmtId="0" fontId="35" fillId="0" borderId="0" applyNumberFormat="0" applyFill="0" applyBorder="0" applyAlignment="0" applyProtection="0"/>
    <xf numFmtId="193" fontId="47" fillId="0" borderId="0"/>
    <xf numFmtId="43" fontId="47" fillId="0" borderId="0" applyFont="0" applyFill="0" applyBorder="0" applyAlignment="0" applyProtection="0"/>
    <xf numFmtId="44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13" fillId="0" borderId="0"/>
    <xf numFmtId="0" fontId="20" fillId="0" borderId="0"/>
    <xf numFmtId="193" fontId="47" fillId="0" borderId="0"/>
    <xf numFmtId="44" fontId="48" fillId="0" borderId="0" applyFont="0" applyFill="0" applyBorder="0" applyAlignment="0" applyProtection="0"/>
    <xf numFmtId="193" fontId="47" fillId="0" borderId="0"/>
    <xf numFmtId="193" fontId="47" fillId="0" borderId="0"/>
    <xf numFmtId="177" fontId="49" fillId="0" borderId="0"/>
    <xf numFmtId="7" fontId="39" fillId="0" borderId="0" applyFont="0" applyFill="0" applyBorder="0" applyAlignment="0" applyProtection="0"/>
    <xf numFmtId="178" fontId="50" fillId="0" borderId="0">
      <alignment horizontal="right"/>
    </xf>
    <xf numFmtId="179" fontId="13" fillId="0" borderId="0" applyFont="0" applyFill="0" applyBorder="0" applyProtection="0">
      <alignment wrapText="1"/>
    </xf>
    <xf numFmtId="180" fontId="13" fillId="0" borderId="0" applyFont="0" applyFill="0" applyBorder="0" applyProtection="0">
      <alignment horizontal="left" wrapText="1"/>
    </xf>
    <xf numFmtId="181" fontId="13" fillId="0" borderId="0" applyFont="0" applyFill="0" applyBorder="0" applyProtection="0">
      <alignment wrapText="1"/>
    </xf>
    <xf numFmtId="182" fontId="13" fillId="0" borderId="0" applyFont="0" applyFill="0" applyBorder="0" applyProtection="0">
      <alignment wrapText="1"/>
    </xf>
    <xf numFmtId="183" fontId="13" fillId="0" borderId="0" applyFont="0" applyFill="0" applyBorder="0" applyProtection="0">
      <alignment wrapText="1"/>
    </xf>
    <xf numFmtId="184" fontId="13" fillId="0" borderId="0" applyFont="0" applyFill="0" applyBorder="0" applyProtection="0">
      <alignment wrapText="1"/>
    </xf>
    <xf numFmtId="185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Protection="0">
      <alignment horizontal="right"/>
    </xf>
    <xf numFmtId="188" fontId="13" fillId="0" borderId="0" applyFont="0" applyFill="0" applyBorder="0" applyProtection="0">
      <alignment horizontal="right"/>
    </xf>
    <xf numFmtId="189" fontId="13" fillId="0" borderId="0" applyFont="0" applyFill="0" applyBorder="0" applyProtection="0">
      <alignment horizontal="right"/>
    </xf>
    <xf numFmtId="190" fontId="13" fillId="0" borderId="0" applyFont="0" applyFill="0" applyBorder="0" applyProtection="0">
      <alignment horizontal="right"/>
    </xf>
    <xf numFmtId="191" fontId="13" fillId="0" borderId="0" applyFont="0" applyFill="0" applyBorder="0" applyProtection="0">
      <alignment horizontal="right"/>
    </xf>
    <xf numFmtId="192" fontId="13" fillId="0" borderId="0" applyFont="0" applyFill="0" applyBorder="0" applyProtection="0">
      <alignment horizontal="right"/>
    </xf>
    <xf numFmtId="193" fontId="13" fillId="0" borderId="0" applyFont="0" applyFill="0" applyBorder="0" applyProtection="0">
      <alignment horizontal="right"/>
    </xf>
    <xf numFmtId="194" fontId="13" fillId="0" borderId="0" applyFont="0" applyFill="0" applyBorder="0" applyProtection="0">
      <alignment horizontal="right"/>
    </xf>
    <xf numFmtId="195" fontId="13" fillId="0" borderId="0" applyFont="0" applyFill="0" applyBorder="0" applyProtection="0">
      <alignment horizontal="right"/>
    </xf>
    <xf numFmtId="196" fontId="13" fillId="0" borderId="0" applyFont="0" applyFill="0" applyBorder="0" applyProtection="0">
      <alignment horizontal="right"/>
    </xf>
    <xf numFmtId="197" fontId="13" fillId="0" borderId="0" applyFont="0" applyFill="0" applyBorder="0" applyProtection="0">
      <alignment horizontal="right"/>
    </xf>
    <xf numFmtId="198" fontId="13" fillId="0" borderId="0" applyFont="0" applyFill="0" applyBorder="0" applyProtection="0">
      <alignment horizontal="right"/>
    </xf>
    <xf numFmtId="199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0" fontId="49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0" fontId="49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0" fontId="49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4" fontId="23" fillId="0" borderId="0" applyFont="0" applyFill="0" applyBorder="0" applyAlignment="0" applyProtection="0"/>
    <xf numFmtId="205" fontId="13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13" fillId="24" borderId="0" applyNumberFormat="0" applyFont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0" fontId="49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0" fontId="13" fillId="0" borderId="0" applyFont="0" applyFill="0" applyBorder="0" applyAlignment="0" applyProtection="0"/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0" fontId="13" fillId="0" borderId="0" applyFont="0" applyFill="0" applyBorder="0" applyAlignment="0" applyProtection="0"/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0" fontId="49" fillId="0" borderId="0" applyFont="0" applyFill="0" applyBorder="0" applyAlignment="0" applyProtection="0"/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0" fontId="13" fillId="0" borderId="0" applyFont="0" applyFill="0" applyBorder="0" applyAlignment="0" applyProtection="0"/>
    <xf numFmtId="211" fontId="13" fillId="0" borderId="0" applyFont="0" applyFill="0" applyBorder="0" applyProtection="0">
      <alignment horizontal="right"/>
    </xf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0" fontId="13" fillId="0" borderId="0" applyFont="0" applyFill="0" applyBorder="0" applyAlignment="0" applyProtection="0"/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0" fontId="13" fillId="0" borderId="0" applyFont="0" applyFill="0" applyBorder="0" applyAlignment="0" applyProtection="0"/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1" fontId="13" fillId="0" borderId="0" applyFont="0" applyFill="0" applyBorder="0" applyProtection="0">
      <alignment horizontal="right"/>
    </xf>
    <xf numFmtId="211" fontId="13" fillId="0" borderId="0" applyFont="0" applyFill="0" applyBorder="0" applyProtection="0">
      <alignment horizontal="right"/>
    </xf>
    <xf numFmtId="212" fontId="13" fillId="0" borderId="0" applyFont="0" applyFill="0" applyBorder="0" applyAlignment="0" applyProtection="0"/>
    <xf numFmtId="213" fontId="13" fillId="0" borderId="0" applyFont="0" applyFill="0" applyBorder="0" applyAlignment="0" applyProtection="0"/>
    <xf numFmtId="213" fontId="13" fillId="0" borderId="0" applyFont="0" applyFill="0" applyBorder="0" applyAlignment="0" applyProtection="0"/>
    <xf numFmtId="213" fontId="13" fillId="0" borderId="0" applyFont="0" applyFill="0" applyBorder="0" applyAlignment="0" applyProtection="0"/>
    <xf numFmtId="185" fontId="49" fillId="0" borderId="0" applyFont="0" applyFill="0" applyBorder="0" applyProtection="0">
      <alignment horizontal="right"/>
    </xf>
    <xf numFmtId="0" fontId="49" fillId="0" borderId="0" applyFont="0" applyFill="0" applyBorder="0" applyAlignment="0" applyProtection="0"/>
    <xf numFmtId="43" fontId="39" fillId="0" borderId="0" applyNumberFormat="0" applyProtection="0">
      <alignment horizontal="right"/>
      <protection locked="0"/>
    </xf>
    <xf numFmtId="18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0" fontId="49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13" fillId="0" borderId="0" applyFont="0" applyFill="0" applyBorder="0" applyAlignment="0" applyProtection="0"/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2" fillId="0" borderId="0" applyNumberFormat="0" applyFill="0" applyBorder="0" applyProtection="0">
      <alignment vertical="top"/>
    </xf>
    <xf numFmtId="0" fontId="53" fillId="0" borderId="31" applyNumberFormat="0" applyFill="0" applyAlignment="0" applyProtection="0"/>
    <xf numFmtId="0" fontId="53" fillId="0" borderId="31" applyNumberFormat="0" applyFill="0" applyAlignment="0" applyProtection="0"/>
    <xf numFmtId="0" fontId="53" fillId="0" borderId="31" applyNumberFormat="0" applyFill="0" applyAlignment="0" applyProtection="0"/>
    <xf numFmtId="0" fontId="53" fillId="0" borderId="31" applyNumberFormat="0" applyFill="0" applyAlignment="0" applyProtection="0"/>
    <xf numFmtId="0" fontId="53" fillId="0" borderId="31" applyNumberFormat="0" applyFill="0" applyAlignment="0" applyProtection="0"/>
    <xf numFmtId="0" fontId="53" fillId="0" borderId="31" applyNumberFormat="0" applyFill="0" applyAlignment="0" applyProtection="0"/>
    <xf numFmtId="0" fontId="53" fillId="0" borderId="31" applyNumberFormat="0" applyFill="0" applyAlignment="0" applyProtection="0"/>
    <xf numFmtId="0" fontId="53" fillId="0" borderId="32" applyNumberFormat="0" applyFill="0" applyAlignment="0" applyProtection="0"/>
    <xf numFmtId="0" fontId="53" fillId="0" borderId="32" applyNumberFormat="0" applyFill="0" applyAlignment="0" applyProtection="0"/>
    <xf numFmtId="0" fontId="53" fillId="0" borderId="31" applyNumberFormat="0" applyFill="0" applyAlignment="0" applyProtection="0"/>
    <xf numFmtId="0" fontId="53" fillId="0" borderId="31" applyNumberFormat="0" applyFill="0" applyAlignment="0" applyProtection="0"/>
    <xf numFmtId="0" fontId="53" fillId="0" borderId="31" applyNumberFormat="0" applyFill="0" applyAlignment="0" applyProtection="0"/>
    <xf numFmtId="0" fontId="53" fillId="0" borderId="31" applyNumberFormat="0" applyFill="0" applyAlignment="0" applyProtection="0"/>
    <xf numFmtId="0" fontId="53" fillId="0" borderId="31" applyNumberFormat="0" applyFill="0" applyAlignment="0" applyProtection="0"/>
    <xf numFmtId="0" fontId="53" fillId="0" borderId="31" applyNumberFormat="0" applyFill="0" applyAlignment="0" applyProtection="0"/>
    <xf numFmtId="0" fontId="53" fillId="0" borderId="31" applyNumberFormat="0" applyFill="0" applyAlignment="0" applyProtection="0"/>
    <xf numFmtId="0" fontId="53" fillId="0" borderId="31" applyNumberFormat="0" applyFill="0" applyAlignment="0" applyProtection="0"/>
    <xf numFmtId="0" fontId="53" fillId="0" borderId="31" applyNumberFormat="0" applyFill="0" applyAlignment="0" applyProtection="0"/>
    <xf numFmtId="0" fontId="53" fillId="0" borderId="31" applyNumberFormat="0" applyFill="0" applyAlignment="0" applyProtection="0"/>
    <xf numFmtId="0" fontId="54" fillId="0" borderId="33" applyNumberFormat="0" applyFill="0" applyProtection="0">
      <alignment horizontal="center"/>
    </xf>
    <xf numFmtId="0" fontId="54" fillId="0" borderId="33" applyNumberFormat="0" applyFill="0" applyProtection="0">
      <alignment horizontal="center"/>
    </xf>
    <xf numFmtId="0" fontId="54" fillId="0" borderId="33" applyNumberFormat="0" applyFill="0" applyProtection="0">
      <alignment horizontal="center"/>
    </xf>
    <xf numFmtId="0" fontId="54" fillId="0" borderId="33" applyNumberFormat="0" applyFill="0" applyProtection="0">
      <alignment horizontal="center"/>
    </xf>
    <xf numFmtId="0" fontId="54" fillId="0" borderId="33" applyNumberFormat="0" applyFill="0" applyProtection="0">
      <alignment horizontal="center"/>
    </xf>
    <xf numFmtId="0" fontId="54" fillId="0" borderId="33" applyNumberFormat="0" applyFill="0" applyProtection="0">
      <alignment horizontal="center"/>
    </xf>
    <xf numFmtId="0" fontId="54" fillId="0" borderId="33" applyNumberFormat="0" applyFill="0" applyProtection="0">
      <alignment horizontal="center"/>
    </xf>
    <xf numFmtId="0" fontId="54" fillId="0" borderId="33" applyNumberFormat="0" applyFill="0" applyProtection="0">
      <alignment horizontal="center"/>
    </xf>
    <xf numFmtId="0" fontId="54" fillId="0" borderId="33" applyNumberFormat="0" applyFill="0" applyProtection="0">
      <alignment horizontal="center"/>
    </xf>
    <xf numFmtId="0" fontId="54" fillId="0" borderId="33" applyNumberFormat="0" applyFill="0" applyProtection="0">
      <alignment horizontal="center"/>
    </xf>
    <xf numFmtId="0" fontId="54" fillId="0" borderId="33" applyNumberFormat="0" applyFill="0" applyProtection="0">
      <alignment horizontal="center"/>
    </xf>
    <xf numFmtId="0" fontId="54" fillId="0" borderId="33" applyNumberFormat="0" applyFill="0" applyProtection="0">
      <alignment horizontal="center"/>
    </xf>
    <xf numFmtId="0" fontId="54" fillId="0" borderId="33" applyNumberFormat="0" applyFill="0" applyProtection="0">
      <alignment horizontal="center"/>
    </xf>
    <xf numFmtId="0" fontId="54" fillId="0" borderId="33" applyNumberFormat="0" applyFill="0" applyProtection="0">
      <alignment horizontal="center"/>
    </xf>
    <xf numFmtId="0" fontId="54" fillId="0" borderId="33" applyNumberFormat="0" applyFill="0" applyProtection="0">
      <alignment horizontal="center"/>
    </xf>
    <xf numFmtId="0" fontId="54" fillId="0" borderId="33" applyNumberFormat="0" applyFill="0" applyProtection="0">
      <alignment horizontal="center"/>
    </xf>
    <xf numFmtId="0" fontId="54" fillId="0" borderId="33" applyNumberFormat="0" applyFill="0" applyProtection="0">
      <alignment horizontal="center"/>
    </xf>
    <xf numFmtId="0" fontId="54" fillId="0" borderId="0" applyNumberFormat="0" applyFill="0" applyBorder="0" applyProtection="0">
      <alignment horizontal="left"/>
    </xf>
    <xf numFmtId="0" fontId="54" fillId="0" borderId="0" applyNumberFormat="0" applyFill="0" applyBorder="0" applyProtection="0">
      <alignment horizontal="left"/>
    </xf>
    <xf numFmtId="0" fontId="54" fillId="0" borderId="0" applyNumberFormat="0" applyFill="0" applyBorder="0" applyProtection="0">
      <alignment horizontal="left"/>
    </xf>
    <xf numFmtId="0" fontId="54" fillId="0" borderId="0" applyNumberFormat="0" applyFill="0" applyBorder="0" applyProtection="0">
      <alignment horizontal="left"/>
    </xf>
    <xf numFmtId="0" fontId="54" fillId="0" borderId="0" applyNumberFormat="0" applyFill="0" applyBorder="0" applyProtection="0">
      <alignment horizontal="left"/>
    </xf>
    <xf numFmtId="0" fontId="54" fillId="0" borderId="0" applyNumberFormat="0" applyFill="0" applyBorder="0" applyProtection="0">
      <alignment horizontal="left"/>
    </xf>
    <xf numFmtId="0" fontId="54" fillId="0" borderId="0" applyNumberFormat="0" applyFill="0" applyBorder="0" applyProtection="0">
      <alignment horizontal="left"/>
    </xf>
    <xf numFmtId="0" fontId="54" fillId="0" borderId="0" applyNumberFormat="0" applyFill="0" applyBorder="0" applyProtection="0">
      <alignment horizontal="left"/>
    </xf>
    <xf numFmtId="0" fontId="54" fillId="0" borderId="0" applyNumberFormat="0" applyFill="0" applyBorder="0" applyProtection="0">
      <alignment horizontal="left"/>
    </xf>
    <xf numFmtId="0" fontId="54" fillId="0" borderId="0" applyNumberFormat="0" applyFill="0" applyBorder="0" applyProtection="0">
      <alignment horizontal="left"/>
    </xf>
    <xf numFmtId="0" fontId="54" fillId="0" borderId="0" applyNumberFormat="0" applyFill="0" applyBorder="0" applyProtection="0">
      <alignment horizontal="left"/>
    </xf>
    <xf numFmtId="0" fontId="54" fillId="0" borderId="0" applyNumberFormat="0" applyFill="0" applyBorder="0" applyProtection="0">
      <alignment horizontal="left"/>
    </xf>
    <xf numFmtId="0" fontId="54" fillId="0" borderId="0" applyNumberFormat="0" applyFill="0" applyBorder="0" applyProtection="0">
      <alignment horizontal="left"/>
    </xf>
    <xf numFmtId="0" fontId="54" fillId="0" borderId="0" applyNumberFormat="0" applyFill="0" applyBorder="0" applyProtection="0">
      <alignment horizontal="left"/>
    </xf>
    <xf numFmtId="0" fontId="54" fillId="0" borderId="0" applyNumberFormat="0" applyFill="0" applyBorder="0" applyProtection="0">
      <alignment horizontal="left"/>
    </xf>
    <xf numFmtId="0" fontId="54" fillId="0" borderId="0" applyNumberFormat="0" applyFill="0" applyBorder="0" applyProtection="0">
      <alignment horizontal="left"/>
    </xf>
    <xf numFmtId="0" fontId="54" fillId="0" borderId="0" applyNumberFormat="0" applyFill="0" applyBorder="0" applyProtection="0">
      <alignment horizontal="left"/>
    </xf>
    <xf numFmtId="0" fontId="55" fillId="0" borderId="0" applyNumberFormat="0" applyFill="0" applyBorder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0" fontId="55" fillId="0" borderId="0" applyNumberFormat="0" applyFill="0" applyProtection="0">
      <alignment horizontal="centerContinuous"/>
    </xf>
    <xf numFmtId="0" fontId="55" fillId="0" borderId="0" applyNumberFormat="0" applyFill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0" fontId="55" fillId="0" borderId="0" applyNumberFormat="0" applyFill="0" applyBorder="0" applyProtection="0">
      <alignment horizontal="centerContinuous"/>
    </xf>
    <xf numFmtId="174" fontId="14" fillId="0" borderId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/>
    <xf numFmtId="1" fontId="45" fillId="0" borderId="0"/>
    <xf numFmtId="38" fontId="57" fillId="0" borderId="14"/>
    <xf numFmtId="0" fontId="24" fillId="0" borderId="34" applyNumberFormat="0" applyFont="0" applyBorder="0" applyAlignment="0">
      <alignment horizontal="center" vertical="center" wrapText="1"/>
    </xf>
    <xf numFmtId="215" fontId="58" fillId="0" borderId="0">
      <protection locked="0"/>
    </xf>
    <xf numFmtId="215" fontId="59" fillId="0" borderId="0" applyFont="0" applyFill="0" applyBorder="0" applyAlignment="0" applyProtection="0"/>
    <xf numFmtId="165" fontId="24" fillId="0" borderId="0" applyFont="0" applyFill="0" applyBorder="0" applyAlignment="0" applyProtection="0">
      <alignment horizontal="centerContinuous"/>
    </xf>
    <xf numFmtId="216" fontId="60" fillId="0" borderId="0" applyFont="0">
      <alignment horizontal="right"/>
    </xf>
    <xf numFmtId="0" fontId="57" fillId="0" borderId="0"/>
    <xf numFmtId="37" fontId="61" fillId="0" borderId="0" applyFont="0" applyAlignment="0">
      <alignment horizontal="centerContinuous" vertical="top"/>
    </xf>
    <xf numFmtId="217" fontId="62" fillId="0" borderId="0"/>
    <xf numFmtId="199" fontId="63" fillId="0" borderId="0"/>
    <xf numFmtId="37" fontId="64" fillId="26" borderId="21" applyBorder="0" applyProtection="0">
      <alignment vertical="center"/>
    </xf>
    <xf numFmtId="0" fontId="65" fillId="0" borderId="0">
      <alignment horizontal="center" wrapText="1"/>
      <protection locked="0"/>
    </xf>
    <xf numFmtId="0" fontId="1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37" fontId="24" fillId="26" borderId="19">
      <alignment horizontal="left"/>
    </xf>
    <xf numFmtId="0" fontId="66" fillId="0" borderId="0" applyNumberFormat="0" applyFill="0" applyBorder="0" applyAlignment="0" applyProtection="0"/>
    <xf numFmtId="199" fontId="13" fillId="0" borderId="0" applyNumberFormat="0" applyFont="0" applyAlignment="0" applyProtection="0"/>
    <xf numFmtId="218" fontId="57" fillId="0" borderId="0" applyFont="0" applyFill="0" applyBorder="0" applyAlignment="0" applyProtection="0"/>
    <xf numFmtId="219" fontId="57" fillId="0" borderId="0" applyFont="0" applyFill="0" applyBorder="0" applyAlignment="0" applyProtection="0"/>
    <xf numFmtId="0" fontId="67" fillId="0" borderId="0" applyNumberFormat="0" applyFill="0" applyBorder="0" applyAlignment="0" applyProtection="0"/>
    <xf numFmtId="220" fontId="58" fillId="0" borderId="0">
      <protection locked="0"/>
    </xf>
    <xf numFmtId="221" fontId="58" fillId="0" borderId="0">
      <alignment horizontal="right"/>
      <protection locked="0"/>
    </xf>
    <xf numFmtId="0" fontId="68" fillId="28" borderId="35">
      <alignment horizontal="center"/>
    </xf>
    <xf numFmtId="7" fontId="69" fillId="0" borderId="0">
      <alignment horizontal="right"/>
      <protection locked="0"/>
    </xf>
    <xf numFmtId="0" fontId="70" fillId="0" borderId="0" applyNumberFormat="0" applyFill="0" applyBorder="0" applyAlignment="0" applyProtection="0"/>
    <xf numFmtId="0" fontId="71" fillId="37" borderId="0" applyBorder="0">
      <alignment horizontal="left" vertical="center" indent="1"/>
    </xf>
    <xf numFmtId="0" fontId="72" fillId="0" borderId="22"/>
    <xf numFmtId="3" fontId="24" fillId="0" borderId="0"/>
    <xf numFmtId="0" fontId="73" fillId="0" borderId="18" applyNumberFormat="0" applyFill="0" applyAlignment="0" applyProtection="0"/>
    <xf numFmtId="0" fontId="74" fillId="0" borderId="14"/>
    <xf numFmtId="5" fontId="44" fillId="0" borderId="36" applyAlignment="0" applyProtection="0"/>
    <xf numFmtId="7" fontId="75" fillId="0" borderId="22"/>
    <xf numFmtId="0" fontId="76" fillId="0" borderId="37" applyNumberFormat="0" applyFill="0" applyAlignment="0">
      <alignment horizontal="center" vertical="center"/>
    </xf>
    <xf numFmtId="222" fontId="43" fillId="0" borderId="0"/>
    <xf numFmtId="0" fontId="77" fillId="0" borderId="0" applyNumberFormat="0">
      <alignment horizontal="center"/>
      <protection hidden="1"/>
    </xf>
    <xf numFmtId="223" fontId="78" fillId="0" borderId="0" applyFont="0" applyFill="0" applyBorder="0" applyAlignment="0" applyProtection="0"/>
    <xf numFmtId="0" fontId="56" fillId="0" borderId="0" applyFont="0" applyFill="0" applyBorder="0" applyAlignment="0" applyProtection="0"/>
    <xf numFmtId="37" fontId="79" fillId="0" borderId="0" applyFont="0" applyFill="0" applyBorder="0" applyAlignment="0" applyProtection="0"/>
    <xf numFmtId="164" fontId="79" fillId="0" borderId="0" applyFont="0" applyFill="0" applyBorder="0" applyAlignment="0" applyProtection="0"/>
    <xf numFmtId="0" fontId="79" fillId="0" borderId="0"/>
    <xf numFmtId="0" fontId="79" fillId="0" borderId="0"/>
    <xf numFmtId="224" fontId="13" fillId="0" borderId="0" applyFill="0" applyBorder="0" applyAlignment="0"/>
    <xf numFmtId="0" fontId="13" fillId="0" borderId="0" applyFill="0" applyBorder="0" applyAlignment="0"/>
    <xf numFmtId="167" fontId="13" fillId="0" borderId="0" applyFill="0" applyBorder="0" applyAlignment="0"/>
    <xf numFmtId="175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42" fontId="13" fillId="0" borderId="0" applyFont="0" applyFill="0" applyBorder="0" applyAlignment="0" applyProtection="0"/>
    <xf numFmtId="167" fontId="57" fillId="38" borderId="0" applyNumberFormat="0" applyFont="0" applyBorder="0" applyAlignment="0"/>
    <xf numFmtId="1" fontId="80" fillId="0" borderId="0"/>
    <xf numFmtId="0" fontId="81" fillId="0" borderId="0">
      <alignment horizontal="center"/>
      <protection hidden="1"/>
    </xf>
    <xf numFmtId="0" fontId="82" fillId="0" borderId="18" applyNumberFormat="0" applyFill="0" applyProtection="0">
      <alignment horizontal="centerContinuous" vertical="center"/>
    </xf>
    <xf numFmtId="0" fontId="83" fillId="0" borderId="0" applyFill="0" applyBorder="0" applyProtection="0">
      <alignment horizontal="center"/>
    </xf>
    <xf numFmtId="0" fontId="84" fillId="0" borderId="29">
      <alignment horizontal="center"/>
    </xf>
    <xf numFmtId="43" fontId="85" fillId="0" borderId="0" applyFont="0" applyFill="0" applyBorder="0" applyAlignment="0" applyProtection="0"/>
    <xf numFmtId="41" fontId="85" fillId="0" borderId="0" applyFont="0" applyFill="0" applyBorder="0" applyAlignment="0" applyProtection="0"/>
    <xf numFmtId="0" fontId="13" fillId="0" borderId="0" applyFont="0" applyFill="0" applyBorder="0" applyAlignment="0" applyProtection="0"/>
    <xf numFmtId="225" fontId="65" fillId="0" borderId="0" applyFont="0" applyFill="0" applyBorder="0" applyAlignment="0" applyProtection="0"/>
    <xf numFmtId="40" fontId="86" fillId="0" borderId="0" applyFont="0" applyFill="0" applyBorder="0" applyAlignment="0" applyProtection="0">
      <alignment horizontal="center"/>
    </xf>
    <xf numFmtId="170" fontId="86" fillId="0" borderId="0" applyFont="0" applyFill="0" applyBorder="0" applyAlignment="0" applyProtection="0">
      <alignment horizontal="center"/>
    </xf>
    <xf numFmtId="226" fontId="87" fillId="0" borderId="0" applyFont="0" applyFill="0" applyBorder="0" applyAlignment="0" applyProtection="0">
      <alignment horizontal="right"/>
    </xf>
    <xf numFmtId="227" fontId="8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8" fillId="0" borderId="0" applyFont="0" applyFill="0" applyBorder="0" applyAlignment="0" applyProtection="0"/>
    <xf numFmtId="38" fontId="56" fillId="0" borderId="0" applyFill="0" applyBorder="0" applyProtection="0">
      <alignment horizontal="center"/>
    </xf>
    <xf numFmtId="0" fontId="88" fillId="0" borderId="0"/>
    <xf numFmtId="0" fontId="88" fillId="0" borderId="0"/>
    <xf numFmtId="3" fontId="89" fillId="0" borderId="0">
      <alignment horizontal="left"/>
    </xf>
    <xf numFmtId="3" fontId="90" fillId="0" borderId="19" applyNumberFormat="0" applyProtection="0"/>
    <xf numFmtId="0" fontId="91" fillId="0" borderId="8" applyProtection="0">
      <alignment horizontal="center" vertical="top" wrapText="1"/>
      <protection hidden="1"/>
    </xf>
    <xf numFmtId="0" fontId="92" fillId="0" borderId="0" applyNumberFormat="0" applyAlignment="0">
      <alignment horizontal="left"/>
    </xf>
    <xf numFmtId="228" fontId="93" fillId="26" borderId="0" applyFont="0" applyBorder="0">
      <alignment horizontal="right" vertical="center"/>
    </xf>
    <xf numFmtId="0" fontId="50" fillId="0" borderId="0" applyNumberFormat="0" applyAlignment="0"/>
    <xf numFmtId="6" fontId="45" fillId="0" borderId="0" applyFont="0" applyFill="0" applyBorder="0" applyAlignment="0" applyProtection="0"/>
    <xf numFmtId="0" fontId="88" fillId="0" borderId="0"/>
    <xf numFmtId="0" fontId="88" fillId="0" borderId="0"/>
    <xf numFmtId="229" fontId="13" fillId="0" borderId="0" applyFont="0" applyFill="0" applyBorder="0" applyProtection="0"/>
    <xf numFmtId="230" fontId="13" fillId="0" borderId="0" applyFont="0" applyFill="0" applyBorder="0" applyProtection="0"/>
    <xf numFmtId="231" fontId="13" fillId="0" borderId="0" applyFont="0" applyFill="0" applyBorder="0" applyProtection="0"/>
    <xf numFmtId="5" fontId="39" fillId="0" borderId="0" applyFont="0" applyFill="0" applyBorder="0" applyAlignment="0" applyProtection="0">
      <alignment horizontal="center"/>
    </xf>
    <xf numFmtId="44" fontId="85" fillId="0" borderId="0" applyFont="0" applyFill="0" applyBorder="0" applyAlignment="0" applyProtection="0"/>
    <xf numFmtId="42" fontId="85" fillId="0" borderId="0" applyFont="0" applyFill="0" applyBorder="0" applyAlignment="0" applyProtection="0"/>
    <xf numFmtId="0" fontId="13" fillId="0" borderId="0" applyFont="0" applyFill="0" applyBorder="0" applyAlignment="0" applyProtection="0"/>
    <xf numFmtId="220" fontId="57" fillId="0" borderId="0" applyFont="0" applyFill="0" applyBorder="0" applyAlignment="0" applyProtection="0"/>
    <xf numFmtId="8" fontId="94" fillId="0" borderId="38">
      <protection locked="0"/>
    </xf>
    <xf numFmtId="232" fontId="65" fillId="0" borderId="0" applyFont="0" applyFill="0" applyBorder="0" applyAlignment="0" applyProtection="0"/>
    <xf numFmtId="233" fontId="87" fillId="0" borderId="0" applyFont="0" applyFill="0" applyBorder="0" applyAlignment="0" applyProtection="0">
      <alignment horizontal="right"/>
    </xf>
    <xf numFmtId="234" fontId="95" fillId="0" borderId="13" applyBorder="0"/>
    <xf numFmtId="44" fontId="15" fillId="0" borderId="0" applyFont="0" applyFill="0" applyBorder="0" applyAlignment="0" applyProtection="0"/>
    <xf numFmtId="235" fontId="62" fillId="0" borderId="0" applyFont="0" applyFill="0" applyBorder="0" applyAlignment="0" applyProtection="0"/>
    <xf numFmtId="236" fontId="62" fillId="0" borderId="0" applyFont="0" applyFill="0" applyBorder="0" applyAlignment="0" applyProtection="0"/>
    <xf numFmtId="0" fontId="96" fillId="0" borderId="0"/>
    <xf numFmtId="0" fontId="56" fillId="0" borderId="0" applyFont="0" applyFill="0" applyBorder="0" applyAlignment="0" applyProtection="0"/>
    <xf numFmtId="0" fontId="96" fillId="0" borderId="27"/>
    <xf numFmtId="8" fontId="97" fillId="0" borderId="0" applyNumberFormat="0" applyFill="0" applyBorder="0" applyAlignment="0"/>
    <xf numFmtId="37" fontId="84" fillId="0" borderId="0" applyNumberFormat="0" applyFont="0" applyFill="0" applyAlignment="0">
      <alignment horizontal="center"/>
    </xf>
    <xf numFmtId="0" fontId="41" fillId="0" borderId="39">
      <alignment horizontal="center"/>
    </xf>
    <xf numFmtId="0" fontId="96" fillId="0" borderId="0"/>
    <xf numFmtId="237" fontId="87" fillId="0" borderId="0" applyFont="0" applyFill="0" applyBorder="0" applyAlignment="0" applyProtection="0"/>
    <xf numFmtId="14" fontId="37" fillId="0" borderId="0" applyFill="0" applyBorder="0" applyAlignment="0"/>
    <xf numFmtId="17" fontId="96" fillId="0" borderId="0"/>
    <xf numFmtId="14" fontId="98" fillId="0" borderId="0">
      <alignment horizontal="right"/>
      <protection locked="0"/>
    </xf>
    <xf numFmtId="0" fontId="49" fillId="0" borderId="0"/>
    <xf numFmtId="37" fontId="75" fillId="0" borderId="32"/>
    <xf numFmtId="8" fontId="56" fillId="0" borderId="0" applyFill="0" applyBorder="0" applyProtection="0">
      <alignment horizontal="center"/>
    </xf>
    <xf numFmtId="238" fontId="99" fillId="0" borderId="0">
      <alignment horizontal="right"/>
    </xf>
    <xf numFmtId="239" fontId="99" fillId="0" borderId="0">
      <alignment horizontal="right"/>
    </xf>
    <xf numFmtId="6" fontId="56" fillId="0" borderId="0">
      <alignment horizontal="center"/>
    </xf>
    <xf numFmtId="240" fontId="65" fillId="0" borderId="0"/>
    <xf numFmtId="240" fontId="70" fillId="0" borderId="0">
      <protection locked="0"/>
    </xf>
    <xf numFmtId="7" fontId="65" fillId="0" borderId="0"/>
    <xf numFmtId="0" fontId="100" fillId="0" borderId="18" applyNumberFormat="0" applyFont="0" applyAlignment="0" applyProtection="0">
      <protection locked="0"/>
    </xf>
    <xf numFmtId="241" fontId="87" fillId="0" borderId="40" applyNumberFormat="0" applyFont="0" applyFill="0" applyAlignment="0" applyProtection="0"/>
    <xf numFmtId="42" fontId="101" fillId="0" borderId="0" applyFill="0" applyBorder="0" applyAlignment="0" applyProtection="0"/>
    <xf numFmtId="0" fontId="102" fillId="0" borderId="0"/>
    <xf numFmtId="0" fontId="103" fillId="0" borderId="16" applyFill="0" applyBorder="0" applyAlignment="0"/>
    <xf numFmtId="224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04" fillId="0" borderId="0" applyNumberFormat="0" applyAlignment="0">
      <alignment horizontal="left"/>
    </xf>
    <xf numFmtId="242" fontId="49" fillId="0" borderId="3" applyBorder="0">
      <alignment vertical="top"/>
    </xf>
    <xf numFmtId="0" fontId="88" fillId="0" borderId="0"/>
    <xf numFmtId="173" fontId="13" fillId="0" borderId="0" applyFont="0" applyFill="0" applyBorder="0" applyAlignment="0" applyProtection="0"/>
    <xf numFmtId="4" fontId="105" fillId="0" borderId="41">
      <alignment vertical="center"/>
    </xf>
    <xf numFmtId="0" fontId="106" fillId="0" borderId="0" applyFill="0" applyBorder="0" applyProtection="0">
      <alignment horizontal="left"/>
    </xf>
    <xf numFmtId="14" fontId="107" fillId="0" borderId="0">
      <alignment horizontal="right"/>
    </xf>
    <xf numFmtId="174" fontId="108" fillId="0" borderId="42" applyNumberFormat="0" applyAlignment="0"/>
    <xf numFmtId="243" fontId="87" fillId="0" borderId="0" applyFont="0" applyFill="0" applyBorder="0" applyAlignment="0" applyProtection="0">
      <alignment horizontal="right"/>
    </xf>
    <xf numFmtId="244" fontId="13" fillId="0" borderId="0" applyFont="0" applyFill="0" applyBorder="0" applyProtection="0"/>
    <xf numFmtId="245" fontId="13" fillId="0" borderId="0" applyFont="0" applyFill="0" applyBorder="0" applyProtection="0"/>
    <xf numFmtId="246" fontId="13" fillId="0" borderId="0" applyFont="0" applyFill="0" applyBorder="0" applyProtection="0"/>
    <xf numFmtId="0" fontId="57" fillId="39" borderId="8"/>
    <xf numFmtId="37" fontId="109" fillId="40" borderId="15" applyBorder="0">
      <alignment horizontal="left" vertical="center" indent="1"/>
    </xf>
    <xf numFmtId="37" fontId="110" fillId="22" borderId="3" applyFill="0">
      <alignment vertical="center"/>
    </xf>
    <xf numFmtId="0" fontId="111" fillId="0" borderId="0" applyProtection="0">
      <alignment horizontal="right"/>
    </xf>
    <xf numFmtId="0" fontId="110" fillId="0" borderId="20" applyNumberFormat="0" applyFill="0">
      <alignment horizontal="centerContinuous" vertical="top"/>
    </xf>
    <xf numFmtId="0" fontId="112" fillId="26" borderId="43" applyNumberFormat="0" applyBorder="0">
      <alignment horizontal="left" vertical="center" indent="1"/>
    </xf>
    <xf numFmtId="0" fontId="113" fillId="28" borderId="18"/>
    <xf numFmtId="0" fontId="114" fillId="0" borderId="0"/>
    <xf numFmtId="172" fontId="115" fillId="0" borderId="0"/>
    <xf numFmtId="0" fontId="116" fillId="0" borderId="0">
      <alignment horizontal="right"/>
    </xf>
    <xf numFmtId="0" fontId="116" fillId="0" borderId="0">
      <alignment horizontal="left"/>
    </xf>
    <xf numFmtId="0" fontId="116" fillId="41" borderId="0">
      <alignment horizontal="left"/>
    </xf>
    <xf numFmtId="0" fontId="116" fillId="0" borderId="0" applyProtection="0">
      <alignment horizontal="left"/>
    </xf>
    <xf numFmtId="0" fontId="61" fillId="0" borderId="0">
      <alignment horizontal="left"/>
    </xf>
    <xf numFmtId="0" fontId="73" fillId="0" borderId="0">
      <alignment horizontal="left"/>
    </xf>
    <xf numFmtId="0" fontId="117" fillId="0" borderId="0">
      <alignment horizontal="left"/>
    </xf>
    <xf numFmtId="172" fontId="115" fillId="0" borderId="0">
      <alignment horizontal="right"/>
    </xf>
    <xf numFmtId="0" fontId="118" fillId="0" borderId="30" applyNumberFormat="0" applyFill="0" applyBorder="0" applyAlignment="0" applyProtection="0">
      <alignment horizontal="left"/>
    </xf>
    <xf numFmtId="247" fontId="119" fillId="0" borderId="0"/>
    <xf numFmtId="37" fontId="13" fillId="26" borderId="15">
      <alignment vertical="center"/>
    </xf>
    <xf numFmtId="199" fontId="96" fillId="42" borderId="0"/>
    <xf numFmtId="0" fontId="46" fillId="0" borderId="0" applyNumberFormat="0" applyFill="0" applyBorder="0" applyAlignment="0">
      <protection locked="0"/>
    </xf>
    <xf numFmtId="0" fontId="13" fillId="0" borderId="20"/>
    <xf numFmtId="0" fontId="120" fillId="43" borderId="27"/>
    <xf numFmtId="248" fontId="65" fillId="0" borderId="0">
      <alignment horizontal="left"/>
    </xf>
    <xf numFmtId="0" fontId="121" fillId="0" borderId="0"/>
    <xf numFmtId="224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37" fontId="122" fillId="0" borderId="0" applyNumberFormat="0" applyFill="0" applyBorder="0" applyAlignment="0">
      <protection locked="0"/>
    </xf>
    <xf numFmtId="199" fontId="123" fillId="44" borderId="0"/>
    <xf numFmtId="0" fontId="48" fillId="0" borderId="0"/>
    <xf numFmtId="38" fontId="57" fillId="0" borderId="0"/>
    <xf numFmtId="38" fontId="124" fillId="1" borderId="18"/>
    <xf numFmtId="43" fontId="13" fillId="0" borderId="0" applyFont="0" applyFill="0" applyBorder="0" applyAlignment="0" applyProtection="0"/>
    <xf numFmtId="249" fontId="13" fillId="0" borderId="0" applyFont="0" applyFill="0" applyBorder="0" applyAlignment="0" applyProtection="0"/>
    <xf numFmtId="250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251" fontId="13" fillId="0" borderId="0" applyFont="0" applyFill="0" applyBorder="0" applyAlignment="0" applyProtection="0"/>
    <xf numFmtId="252" fontId="13" fillId="0" borderId="0" applyFont="0" applyFill="0" applyBorder="0" applyAlignment="0" applyProtection="0"/>
    <xf numFmtId="253" fontId="56" fillId="0" borderId="0" applyFill="0" applyBorder="0" applyProtection="0">
      <alignment horizontal="center"/>
    </xf>
    <xf numFmtId="254" fontId="57" fillId="0" borderId="18" applyFont="0" applyFill="0" applyBorder="0" applyProtection="0"/>
    <xf numFmtId="255" fontId="57" fillId="0" borderId="18" applyFont="0" applyFill="0" applyBorder="0" applyAlignment="0" applyProtection="0"/>
    <xf numFmtId="256" fontId="49" fillId="0" borderId="0"/>
    <xf numFmtId="257" fontId="13" fillId="0" borderId="0" applyFont="0" applyFill="0" applyBorder="0" applyProtection="0"/>
    <xf numFmtId="258" fontId="13" fillId="0" borderId="0" applyFont="0" applyFill="0" applyBorder="0" applyProtection="0"/>
    <xf numFmtId="259" fontId="13" fillId="0" borderId="0" applyFont="0" applyFill="0" applyBorder="0" applyProtection="0"/>
    <xf numFmtId="254" fontId="57" fillId="0" borderId="0" applyFont="0" applyFill="0" applyBorder="0" applyAlignment="0" applyProtection="0"/>
    <xf numFmtId="255" fontId="57" fillId="0" borderId="0" applyFont="0" applyFill="0" applyBorder="0" applyAlignment="0" applyProtection="0"/>
    <xf numFmtId="260" fontId="87" fillId="0" borderId="0" applyFont="0" applyFill="0" applyBorder="0" applyAlignment="0" applyProtection="0">
      <alignment horizontal="right"/>
    </xf>
    <xf numFmtId="261" fontId="62" fillId="0" borderId="0"/>
    <xf numFmtId="37" fontId="125" fillId="0" borderId="0"/>
    <xf numFmtId="37" fontId="125" fillId="0" borderId="0"/>
    <xf numFmtId="0" fontId="50" fillId="0" borderId="0"/>
    <xf numFmtId="0" fontId="61" fillId="0" borderId="0">
      <alignment horizontal="centerContinuous"/>
    </xf>
    <xf numFmtId="0" fontId="126" fillId="22" borderId="0">
      <alignment horizontal="left" indent="1"/>
    </xf>
    <xf numFmtId="37" fontId="127" fillId="0" borderId="8"/>
    <xf numFmtId="262" fontId="95" fillId="0" borderId="0" applyFont="0"/>
    <xf numFmtId="263" fontId="13" fillId="0" borderId="0"/>
    <xf numFmtId="208" fontId="95" fillId="0" borderId="13" applyBorder="0"/>
    <xf numFmtId="0" fontId="13" fillId="0" borderId="0"/>
    <xf numFmtId="0" fontId="12" fillId="0" borderId="0"/>
    <xf numFmtId="0" fontId="12" fillId="0" borderId="0"/>
    <xf numFmtId="264" fontId="65" fillId="0" borderId="0"/>
    <xf numFmtId="0" fontId="85" fillId="0" borderId="0"/>
    <xf numFmtId="0" fontId="13" fillId="0" borderId="0"/>
    <xf numFmtId="0" fontId="57" fillId="0" borderId="0"/>
    <xf numFmtId="1" fontId="70" fillId="0" borderId="0">
      <alignment horizontal="right"/>
      <protection locked="0"/>
    </xf>
    <xf numFmtId="208" fontId="63" fillId="0" borderId="0">
      <alignment horizontal="right"/>
      <protection locked="0"/>
    </xf>
    <xf numFmtId="199" fontId="70" fillId="0" borderId="0">
      <protection locked="0"/>
    </xf>
    <xf numFmtId="2" fontId="63" fillId="0" borderId="0">
      <alignment horizontal="right"/>
      <protection locked="0"/>
    </xf>
    <xf numFmtId="2" fontId="70" fillId="0" borderId="0">
      <alignment horizontal="right"/>
      <protection locked="0"/>
    </xf>
    <xf numFmtId="0" fontId="13" fillId="0" borderId="0"/>
    <xf numFmtId="40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0" fontId="129" fillId="45" borderId="8" applyNumberFormat="0" applyAlignment="0">
      <protection locked="0"/>
    </xf>
    <xf numFmtId="265" fontId="95" fillId="0" borderId="0" applyBorder="0" applyProtection="0"/>
    <xf numFmtId="0" fontId="130" fillId="0" borderId="0">
      <alignment horizontal="left" vertical="top"/>
      <protection locked="0"/>
    </xf>
    <xf numFmtId="40" fontId="131" fillId="26" borderId="0">
      <alignment horizontal="right"/>
    </xf>
    <xf numFmtId="0" fontId="132" fillId="26" borderId="0">
      <alignment horizontal="right"/>
    </xf>
    <xf numFmtId="0" fontId="133" fillId="26" borderId="16"/>
    <xf numFmtId="0" fontId="133" fillId="0" borderId="0" applyBorder="0">
      <alignment horizontal="centerContinuous"/>
    </xf>
    <xf numFmtId="0" fontId="134" fillId="0" borderId="0" applyBorder="0">
      <alignment horizontal="centerContinuous"/>
    </xf>
    <xf numFmtId="1" fontId="135" fillId="0" borderId="0" applyProtection="0">
      <alignment horizontal="right" vertical="center"/>
    </xf>
    <xf numFmtId="3" fontId="20" fillId="0" borderId="36"/>
    <xf numFmtId="0" fontId="79" fillId="46" borderId="8" applyNumberFormat="0" applyProtection="0">
      <alignment horizontal="center" vertical="top" wrapText="1"/>
      <protection hidden="1"/>
    </xf>
    <xf numFmtId="37" fontId="65" fillId="47" borderId="0" applyNumberFormat="0" applyFont="0" applyBorder="0" applyAlignment="0" applyProtection="0"/>
    <xf numFmtId="0" fontId="124" fillId="0" borderId="44" applyNumberFormat="0" applyAlignment="0" applyProtection="0"/>
    <xf numFmtId="0" fontId="57" fillId="48" borderId="0" applyNumberFormat="0" applyFont="0" applyBorder="0" applyAlignment="0" applyProtection="0"/>
    <xf numFmtId="0" fontId="23" fillId="29" borderId="13" applyNumberFormat="0" applyFont="0" applyBorder="0" applyAlignment="0" applyProtection="0">
      <alignment horizontal="center"/>
    </xf>
    <xf numFmtId="0" fontId="23" fillId="27" borderId="13" applyNumberFormat="0" applyFont="0" applyBorder="0" applyAlignment="0" applyProtection="0">
      <alignment horizontal="center"/>
    </xf>
    <xf numFmtId="0" fontId="57" fillId="0" borderId="45" applyNumberFormat="0" applyAlignment="0" applyProtection="0"/>
    <xf numFmtId="0" fontId="57" fillId="0" borderId="46" applyNumberFormat="0" applyAlignment="0" applyProtection="0"/>
    <xf numFmtId="0" fontId="124" fillId="0" borderId="47" applyNumberFormat="0" applyAlignment="0" applyProtection="0"/>
    <xf numFmtId="266" fontId="99" fillId="0" borderId="0"/>
    <xf numFmtId="14" fontId="65" fillId="0" borderId="0">
      <alignment horizontal="center" wrapText="1"/>
      <protection locked="0"/>
    </xf>
    <xf numFmtId="0" fontId="65" fillId="0" borderId="0">
      <alignment horizontal="right"/>
    </xf>
    <xf numFmtId="0" fontId="88" fillId="0" borderId="0"/>
    <xf numFmtId="0" fontId="13" fillId="0" borderId="0" applyFont="0" applyFill="0" applyBorder="0" applyAlignment="0" applyProtection="0"/>
    <xf numFmtId="267" fontId="13" fillId="0" borderId="0" applyFont="0" applyFill="0" applyBorder="0" applyAlignment="0" applyProtection="0"/>
    <xf numFmtId="167" fontId="136" fillId="0" borderId="0" applyFont="0" applyFill="0" applyBorder="0" applyAlignment="0" applyProtection="0"/>
    <xf numFmtId="10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3" fillId="0" borderId="0" applyFont="0" applyFill="0" applyBorder="0" applyProtection="0">
      <alignment horizontal="right"/>
    </xf>
    <xf numFmtId="268" fontId="60" fillId="0" borderId="0"/>
    <xf numFmtId="167" fontId="57" fillId="0" borderId="0" applyProtection="0"/>
    <xf numFmtId="167" fontId="70" fillId="0" borderId="0"/>
    <xf numFmtId="10" fontId="57" fillId="0" borderId="0" applyProtection="0"/>
    <xf numFmtId="10" fontId="70" fillId="0" borderId="0">
      <protection locked="0"/>
    </xf>
    <xf numFmtId="41" fontId="65" fillId="0" borderId="0"/>
    <xf numFmtId="269" fontId="57" fillId="0" borderId="0"/>
    <xf numFmtId="224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270" fontId="13" fillId="0" borderId="0" applyProtection="0">
      <alignment horizontal="right"/>
    </xf>
    <xf numFmtId="270" fontId="13" fillId="0" borderId="0">
      <alignment horizontal="right"/>
      <protection locked="0"/>
    </xf>
    <xf numFmtId="5" fontId="137" fillId="0" borderId="0"/>
    <xf numFmtId="0" fontId="138" fillId="37" borderId="0">
      <alignment horizontal="left" indent="1"/>
    </xf>
    <xf numFmtId="0" fontId="45" fillId="0" borderId="0" applyNumberFormat="0" applyFont="0" applyFill="0" applyBorder="0" applyAlignment="0" applyProtection="0">
      <alignment horizontal="left"/>
    </xf>
    <xf numFmtId="4" fontId="45" fillId="0" borderId="0" applyFont="0" applyFill="0" applyBorder="0" applyAlignment="0" applyProtection="0"/>
    <xf numFmtId="1" fontId="139" fillId="0" borderId="18">
      <alignment horizontal="center" vertical="top"/>
    </xf>
    <xf numFmtId="271" fontId="140" fillId="49" borderId="48">
      <alignment vertical="center"/>
    </xf>
    <xf numFmtId="272" fontId="13" fillId="0" borderId="0" applyFill="0" applyBorder="0"/>
    <xf numFmtId="0" fontId="141" fillId="0" borderId="0" applyNumberFormat="0" applyFill="0" applyBorder="0" applyAlignment="0" applyProtection="0"/>
    <xf numFmtId="0" fontId="96" fillId="0" borderId="0"/>
    <xf numFmtId="239" fontId="142" fillId="0" borderId="0">
      <alignment horizontal="right"/>
    </xf>
    <xf numFmtId="172" fontId="95" fillId="0" borderId="0" applyNumberFormat="0" applyFill="0" applyBorder="0" applyAlignment="0" applyProtection="0">
      <alignment horizontal="left"/>
    </xf>
    <xf numFmtId="0" fontId="143" fillId="0" borderId="0" applyNumberFormat="0" applyFill="0" applyBorder="0" applyProtection="0">
      <alignment horizontal="right" vertical="center"/>
    </xf>
    <xf numFmtId="5" fontId="39" fillId="0" borderId="0">
      <alignment horizontal="right" vertical="center" wrapText="1"/>
    </xf>
    <xf numFmtId="0" fontId="23" fillId="0" borderId="0">
      <alignment horizontal="right"/>
    </xf>
    <xf numFmtId="273" fontId="49" fillId="0" borderId="0" applyFill="0">
      <alignment vertical="top"/>
    </xf>
    <xf numFmtId="274" fontId="13" fillId="0" borderId="0"/>
    <xf numFmtId="275" fontId="87" fillId="0" borderId="22" applyFont="0" applyFill="0" applyBorder="0" applyAlignment="0" applyProtection="0">
      <alignment horizontal="centerContinuous"/>
    </xf>
    <xf numFmtId="0" fontId="13" fillId="0" borderId="0"/>
    <xf numFmtId="0" fontId="13" fillId="0" borderId="0"/>
    <xf numFmtId="0" fontId="13" fillId="0" borderId="0"/>
    <xf numFmtId="0" fontId="13" fillId="0" borderId="0"/>
    <xf numFmtId="199" fontId="91" fillId="0" borderId="0"/>
    <xf numFmtId="0" fontId="91" fillId="0" borderId="22">
      <protection locked="0"/>
    </xf>
    <xf numFmtId="0" fontId="91" fillId="0" borderId="0"/>
    <xf numFmtId="0" fontId="91" fillId="0" borderId="22">
      <alignment horizontal="centerContinuous"/>
    </xf>
    <xf numFmtId="0" fontId="144" fillId="0" borderId="49">
      <alignment vertical="center"/>
    </xf>
    <xf numFmtId="3" fontId="145" fillId="0" borderId="18"/>
    <xf numFmtId="0" fontId="137" fillId="0" borderId="24"/>
    <xf numFmtId="0" fontId="41" fillId="0" borderId="0">
      <alignment horizontal="left"/>
    </xf>
    <xf numFmtId="1" fontId="13" fillId="0" borderId="0"/>
    <xf numFmtId="42" fontId="78" fillId="0" borderId="0" applyFill="0" applyBorder="0" applyAlignment="0" applyProtection="0"/>
    <xf numFmtId="0" fontId="136" fillId="0" borderId="22"/>
    <xf numFmtId="276" fontId="13" fillId="0" borderId="0" applyFont="0" applyFill="0" applyBorder="0" applyProtection="0"/>
    <xf numFmtId="210" fontId="13" fillId="0" borderId="0" applyFont="0" applyFill="0" applyBorder="0" applyProtection="0"/>
    <xf numFmtId="277" fontId="13" fillId="0" borderId="0" applyFont="0" applyFill="0" applyBorder="0" applyProtection="0"/>
    <xf numFmtId="0" fontId="146" fillId="0" borderId="0"/>
    <xf numFmtId="0" fontId="147" fillId="50" borderId="0"/>
    <xf numFmtId="0" fontId="148" fillId="50" borderId="0"/>
    <xf numFmtId="0" fontId="50" fillId="50" borderId="0"/>
    <xf numFmtId="0" fontId="20" fillId="0" borderId="22"/>
    <xf numFmtId="0" fontId="20" fillId="0" borderId="22"/>
    <xf numFmtId="0" fontId="24" fillId="42" borderId="0"/>
    <xf numFmtId="0" fontId="24" fillId="42" borderId="0"/>
    <xf numFmtId="0" fontId="149" fillId="42" borderId="0"/>
    <xf numFmtId="0" fontId="150" fillId="0" borderId="50"/>
    <xf numFmtId="0" fontId="20" fillId="0" borderId="0"/>
    <xf numFmtId="0" fontId="20" fillId="0" borderId="0"/>
    <xf numFmtId="0" fontId="20" fillId="0" borderId="32"/>
    <xf numFmtId="0" fontId="20" fillId="0" borderId="32"/>
    <xf numFmtId="0" fontId="13" fillId="51" borderId="51" applyNumberFormat="0" applyProtection="0">
      <alignment horizontal="center" vertical="center"/>
    </xf>
    <xf numFmtId="0" fontId="13" fillId="0" borderId="52" applyNumberFormat="0" applyFont="0" applyFill="0" applyAlignment="0" applyProtection="0"/>
    <xf numFmtId="0" fontId="13" fillId="0" borderId="0" applyNumberFormat="0" applyFont="0" applyFill="0" applyAlignment="0" applyProtection="0"/>
    <xf numFmtId="0" fontId="13" fillId="0" borderId="53" applyNumberFormat="0" applyFont="0" applyFill="0" applyAlignment="0" applyProtection="0"/>
    <xf numFmtId="0" fontId="13" fillId="0" borderId="54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6" applyNumberFormat="0" applyFont="0" applyFill="0" applyAlignment="0" applyProtection="0"/>
    <xf numFmtId="0" fontId="13" fillId="0" borderId="57" applyNumberFormat="0" applyFont="0" applyFill="0" applyAlignment="0" applyProtection="0"/>
    <xf numFmtId="0" fontId="13" fillId="0" borderId="58" applyNumberFormat="0" applyFont="0" applyFill="0" applyAlignment="0" applyProtection="0"/>
    <xf numFmtId="0" fontId="13" fillId="0" borderId="52" applyNumberFormat="0" applyFont="0" applyFill="0" applyAlignment="0" applyProtection="0"/>
    <xf numFmtId="0" fontId="13" fillId="0" borderId="52" applyNumberFormat="0" applyFont="0" applyFill="0" applyAlignment="0" applyProtection="0"/>
    <xf numFmtId="0" fontId="13" fillId="0" borderId="0" applyNumberFormat="0" applyFont="0" applyFill="0" applyAlignment="0" applyProtection="0"/>
    <xf numFmtId="0" fontId="13" fillId="0" borderId="53" applyNumberFormat="0" applyFont="0" applyFill="0" applyAlignment="0" applyProtection="0"/>
    <xf numFmtId="0" fontId="13" fillId="0" borderId="54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6" applyNumberFormat="0" applyFont="0" applyFill="0" applyAlignment="0" applyProtection="0"/>
    <xf numFmtId="0" fontId="13" fillId="0" borderId="57" applyNumberFormat="0" applyFont="0" applyFill="0" applyAlignment="0" applyProtection="0"/>
    <xf numFmtId="0" fontId="13" fillId="0" borderId="58" applyNumberFormat="0" applyFont="0" applyFill="0" applyAlignment="0" applyProtection="0"/>
    <xf numFmtId="0" fontId="13" fillId="0" borderId="0">
      <alignment vertical="top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151" fillId="51" borderId="59" applyNumberFormat="0" applyProtection="0">
      <alignment horizontal="right"/>
    </xf>
    <xf numFmtId="0" fontId="151" fillId="51" borderId="59" applyNumberFormat="0" applyProtection="0">
      <alignment horizontal="right"/>
    </xf>
    <xf numFmtId="0" fontId="151" fillId="51" borderId="60" applyNumberFormat="0" applyProtection="0">
      <alignment horizontal="right"/>
    </xf>
    <xf numFmtId="0" fontId="151" fillId="51" borderId="60" applyNumberFormat="0" applyProtection="0">
      <alignment horizontal="right"/>
    </xf>
    <xf numFmtId="0" fontId="151" fillId="51" borderId="61" applyNumberFormat="0" applyProtection="0">
      <alignment horizontal="right"/>
    </xf>
    <xf numFmtId="0" fontId="151" fillId="51" borderId="61" applyNumberFormat="0" applyProtection="0">
      <alignment horizontal="right"/>
    </xf>
    <xf numFmtId="0" fontId="13" fillId="0" borderId="8" applyNumberFormat="0" applyFont="0" applyFill="0" applyProtection="0">
      <alignment horizontal="center"/>
    </xf>
    <xf numFmtId="0" fontId="13" fillId="0" borderId="8" applyNumberFormat="0" applyFont="0" applyFill="0" applyProtection="0">
      <alignment horizontal="center"/>
    </xf>
    <xf numFmtId="0" fontId="151" fillId="51" borderId="62" applyNumberFormat="0" applyAlignment="0" applyProtection="0"/>
    <xf numFmtId="0" fontId="151" fillId="51" borderId="62" applyNumberFormat="0" applyAlignment="0" applyProtection="0"/>
    <xf numFmtId="0" fontId="41" fillId="0" borderId="59" applyNumberFormat="0" applyFill="0" applyProtection="0">
      <alignment horizontal="right"/>
    </xf>
    <xf numFmtId="0" fontId="41" fillId="0" borderId="59" applyNumberFormat="0" applyFill="0" applyProtection="0">
      <alignment horizontal="right"/>
    </xf>
    <xf numFmtId="0" fontId="41" fillId="0" borderId="60" applyNumberFormat="0" applyFill="0" applyProtection="0">
      <alignment horizontal="right"/>
    </xf>
    <xf numFmtId="0" fontId="41" fillId="0" borderId="60" applyNumberFormat="0" applyFill="0" applyProtection="0">
      <alignment horizontal="right"/>
    </xf>
    <xf numFmtId="0" fontId="41" fillId="0" borderId="61" applyNumberFormat="0" applyFill="0" applyProtection="0">
      <alignment horizontal="right"/>
    </xf>
    <xf numFmtId="0" fontId="41" fillId="0" borderId="61" applyNumberFormat="0" applyFill="0" applyProtection="0">
      <alignment horizontal="right"/>
    </xf>
    <xf numFmtId="278" fontId="13" fillId="26" borderId="55" applyFont="0" applyAlignment="0" applyProtection="0"/>
    <xf numFmtId="278" fontId="13" fillId="26" borderId="55" applyFont="0" applyAlignment="0" applyProtection="0"/>
    <xf numFmtId="278" fontId="13" fillId="26" borderId="0" applyBorder="0" applyAlignment="0" applyProtection="0"/>
    <xf numFmtId="278" fontId="13" fillId="26" borderId="0" applyBorder="0" applyAlignment="0" applyProtection="0"/>
    <xf numFmtId="278" fontId="13" fillId="26" borderId="56" applyFont="0" applyAlignment="0" applyProtection="0"/>
    <xf numFmtId="278" fontId="13" fillId="26" borderId="56" applyFont="0" applyAlignment="0" applyProtection="0"/>
    <xf numFmtId="278" fontId="13" fillId="36" borderId="55" applyFont="0" applyAlignment="0" applyProtection="0"/>
    <xf numFmtId="278" fontId="13" fillId="36" borderId="55" applyFont="0" applyAlignment="0" applyProtection="0"/>
    <xf numFmtId="278" fontId="13" fillId="36" borderId="0" applyBorder="0" applyAlignment="0" applyProtection="0"/>
    <xf numFmtId="278" fontId="13" fillId="36" borderId="0" applyBorder="0" applyAlignment="0" applyProtection="0"/>
    <xf numFmtId="278" fontId="13" fillId="36" borderId="56" applyAlignment="0" applyProtection="0"/>
    <xf numFmtId="278" fontId="13" fillId="36" borderId="56" applyAlignment="0" applyProtection="0"/>
    <xf numFmtId="279" fontId="13" fillId="26" borderId="56" applyAlignment="0" applyProtection="0"/>
    <xf numFmtId="279" fontId="13" fillId="26" borderId="56" applyAlignment="0" applyProtection="0"/>
    <xf numFmtId="279" fontId="13" fillId="26" borderId="0" applyBorder="0" applyAlignment="0" applyProtection="0"/>
    <xf numFmtId="279" fontId="13" fillId="26" borderId="0" applyBorder="0" applyAlignment="0" applyProtection="0"/>
    <xf numFmtId="279" fontId="13" fillId="36" borderId="0" applyBorder="0" applyAlignment="0" applyProtection="0"/>
    <xf numFmtId="279" fontId="13" fillId="36" borderId="0" applyBorder="0" applyAlignment="0" applyProtection="0"/>
    <xf numFmtId="279" fontId="13" fillId="36" borderId="56" applyFont="0" applyAlignment="0" applyProtection="0"/>
    <xf numFmtId="279" fontId="13" fillId="36" borderId="56" applyFont="0" applyAlignment="0" applyProtection="0"/>
    <xf numFmtId="279" fontId="13" fillId="36" borderId="55" applyFont="0" applyAlignment="0" applyProtection="0"/>
    <xf numFmtId="279" fontId="13" fillId="36" borderId="55" applyFont="0" applyAlignment="0" applyProtection="0"/>
    <xf numFmtId="279" fontId="13" fillId="26" borderId="55" applyFont="0" applyAlignment="0" applyProtection="0"/>
    <xf numFmtId="279" fontId="13" fillId="26" borderId="55" applyFont="0" applyAlignment="0" applyProtection="0"/>
    <xf numFmtId="280" fontId="13" fillId="26" borderId="56" applyFont="0" applyAlignment="0" applyProtection="0"/>
    <xf numFmtId="280" fontId="13" fillId="26" borderId="56" applyFont="0" applyAlignment="0" applyProtection="0"/>
    <xf numFmtId="280" fontId="13" fillId="26" borderId="0" applyBorder="0" applyAlignment="0" applyProtection="0"/>
    <xf numFmtId="280" fontId="13" fillId="26" borderId="0" applyBorder="0" applyAlignment="0" applyProtection="0"/>
    <xf numFmtId="280" fontId="13" fillId="36" borderId="0" applyFont="0" applyBorder="0" applyAlignment="0" applyProtection="0"/>
    <xf numFmtId="280" fontId="13" fillId="36" borderId="0" applyFont="0" applyBorder="0" applyAlignment="0" applyProtection="0"/>
    <xf numFmtId="280" fontId="13" fillId="36" borderId="56" applyFont="0" applyAlignment="0" applyProtection="0"/>
    <xf numFmtId="280" fontId="13" fillId="36" borderId="56" applyFont="0" applyAlignment="0" applyProtection="0"/>
    <xf numFmtId="280" fontId="13" fillId="36" borderId="55" applyFont="0" applyAlignment="0" applyProtection="0"/>
    <xf numFmtId="280" fontId="13" fillId="36" borderId="55" applyFont="0" applyAlignment="0" applyProtection="0"/>
    <xf numFmtId="280" fontId="13" fillId="26" borderId="55" applyFont="0" applyAlignment="0" applyProtection="0"/>
    <xf numFmtId="280" fontId="13" fillId="26" borderId="55" applyFont="0" applyAlignment="0" applyProtection="0"/>
    <xf numFmtId="0" fontId="41" fillId="26" borderId="55" applyNumberFormat="0" applyProtection="0">
      <alignment horizontal="right"/>
    </xf>
    <xf numFmtId="0" fontId="41" fillId="26" borderId="55" applyNumberFormat="0" applyProtection="0">
      <alignment horizontal="right"/>
    </xf>
    <xf numFmtId="0" fontId="41" fillId="36" borderId="55" applyNumberFormat="0" applyProtection="0">
      <alignment horizontal="right"/>
    </xf>
    <xf numFmtId="0" fontId="41" fillId="36" borderId="55" applyNumberFormat="0" applyProtection="0">
      <alignment horizontal="right"/>
    </xf>
    <xf numFmtId="0" fontId="13" fillId="0" borderId="52" applyNumberFormat="0" applyFont="0" applyFill="0" applyAlignment="0" applyProtection="0"/>
    <xf numFmtId="0" fontId="13" fillId="0" borderId="52" applyNumberFormat="0" applyFont="0" applyFill="0" applyAlignment="0" applyProtection="0"/>
    <xf numFmtId="279" fontId="152" fillId="0" borderId="63" applyFill="0" applyAlignment="0" applyProtection="0"/>
    <xf numFmtId="279" fontId="152" fillId="0" borderId="63" applyFill="0" applyAlignment="0" applyProtection="0"/>
    <xf numFmtId="279" fontId="152" fillId="0" borderId="63" applyFill="0" applyAlignment="0" applyProtection="0"/>
    <xf numFmtId="279" fontId="152" fillId="0" borderId="63" applyFill="0" applyAlignment="0" applyProtection="0"/>
    <xf numFmtId="168" fontId="41" fillId="26" borderId="55" applyProtection="0">
      <alignment horizontal="right"/>
    </xf>
    <xf numFmtId="168" fontId="41" fillId="26" borderId="55" applyProtection="0">
      <alignment horizontal="right"/>
    </xf>
    <xf numFmtId="168" fontId="41" fillId="36" borderId="55" applyProtection="0">
      <alignment horizontal="right"/>
    </xf>
    <xf numFmtId="168" fontId="41" fillId="36" borderId="55" applyProtection="0">
      <alignment horizontal="right"/>
    </xf>
    <xf numFmtId="279" fontId="13" fillId="26" borderId="55" applyFont="0" applyAlignment="0" applyProtection="0"/>
    <xf numFmtId="279" fontId="13" fillId="26" borderId="55" applyFont="0" applyAlignment="0" applyProtection="0"/>
    <xf numFmtId="279" fontId="13" fillId="36" borderId="55" applyFont="0" applyAlignment="0" applyProtection="0"/>
    <xf numFmtId="279" fontId="13" fillId="36" borderId="55" applyFont="0" applyAlignment="0" applyProtection="0"/>
    <xf numFmtId="280" fontId="13" fillId="26" borderId="56" applyFont="0" applyAlignment="0" applyProtection="0"/>
    <xf numFmtId="280" fontId="13" fillId="26" borderId="56" applyFont="0" applyAlignment="0" applyProtection="0"/>
    <xf numFmtId="280" fontId="13" fillId="36" borderId="56" applyFont="0" applyAlignment="0" applyProtection="0"/>
    <xf numFmtId="280" fontId="13" fillId="36" borderId="56" applyFont="0" applyAlignment="0" applyProtection="0"/>
    <xf numFmtId="281" fontId="13" fillId="26" borderId="55" applyFont="0" applyAlignment="0" applyProtection="0"/>
    <xf numFmtId="281" fontId="13" fillId="26" borderId="55" applyFont="0" applyAlignment="0" applyProtection="0"/>
    <xf numFmtId="278" fontId="13" fillId="36" borderId="55" applyFont="0" applyAlignment="0" applyProtection="0"/>
    <xf numFmtId="278" fontId="13" fillId="36" borderId="55" applyFont="0" applyAlignment="0" applyProtection="0"/>
    <xf numFmtId="281" fontId="13" fillId="26" borderId="56" applyFont="0" applyAlignment="0" applyProtection="0"/>
    <xf numFmtId="281" fontId="13" fillId="26" borderId="56" applyFont="0" applyAlignment="0" applyProtection="0"/>
    <xf numFmtId="281" fontId="13" fillId="36" borderId="56" applyFont="0" applyAlignment="0" applyProtection="0"/>
    <xf numFmtId="281" fontId="13" fillId="36" borderId="56" applyFont="0" applyAlignment="0" applyProtection="0"/>
    <xf numFmtId="0" fontId="13" fillId="0" borderId="52" applyNumberFormat="0" applyFont="0" applyFill="0" applyAlignment="0" applyProtection="0"/>
    <xf numFmtId="0" fontId="13" fillId="0" borderId="52" applyNumberFormat="0" applyFont="0" applyFill="0" applyAlignment="0" applyProtection="0"/>
    <xf numFmtId="278" fontId="13" fillId="0" borderId="59" applyFill="0" applyAlignment="0" applyProtection="0"/>
    <xf numFmtId="278" fontId="13" fillId="0" borderId="59" applyFill="0" applyAlignment="0" applyProtection="0"/>
    <xf numFmtId="278" fontId="13" fillId="0" borderId="60" applyFont="0" applyFill="0" applyAlignment="0" applyProtection="0"/>
    <xf numFmtId="278" fontId="13" fillId="0" borderId="60" applyFont="0" applyFill="0" applyAlignment="0" applyProtection="0"/>
    <xf numFmtId="278" fontId="13" fillId="0" borderId="61" applyFont="0" applyFill="0" applyAlignment="0" applyProtection="0"/>
    <xf numFmtId="278" fontId="13" fillId="0" borderId="61" applyFont="0" applyFill="0" applyAlignment="0" applyProtection="0"/>
    <xf numFmtId="279" fontId="13" fillId="0" borderId="59" applyFill="0" applyAlignment="0" applyProtection="0"/>
    <xf numFmtId="279" fontId="13" fillId="0" borderId="59" applyFill="0" applyAlignment="0" applyProtection="0"/>
    <xf numFmtId="279" fontId="13" fillId="0" borderId="60" applyFont="0" applyFill="0" applyAlignment="0" applyProtection="0"/>
    <xf numFmtId="279" fontId="13" fillId="0" borderId="60" applyFont="0" applyFill="0" applyAlignment="0" applyProtection="0"/>
    <xf numFmtId="279" fontId="13" fillId="0" borderId="61" applyFont="0" applyFill="0" applyAlignment="0" applyProtection="0"/>
    <xf numFmtId="279" fontId="13" fillId="0" borderId="61" applyFont="0" applyFill="0" applyAlignment="0" applyProtection="0"/>
    <xf numFmtId="280" fontId="13" fillId="0" borderId="59" applyFill="0" applyAlignment="0" applyProtection="0"/>
    <xf numFmtId="280" fontId="13" fillId="0" borderId="59" applyFill="0" applyAlignment="0" applyProtection="0"/>
    <xf numFmtId="280" fontId="13" fillId="0" borderId="60" applyFont="0" applyFill="0" applyAlignment="0" applyProtection="0"/>
    <xf numFmtId="280" fontId="13" fillId="0" borderId="60" applyFont="0" applyFill="0" applyAlignment="0" applyProtection="0"/>
    <xf numFmtId="280" fontId="13" fillId="0" borderId="61" applyFont="0" applyFill="0" applyAlignment="0" applyProtection="0"/>
    <xf numFmtId="280" fontId="13" fillId="0" borderId="61" applyFont="0" applyFill="0" applyAlignment="0" applyProtection="0"/>
    <xf numFmtId="280" fontId="13" fillId="26" borderId="55" applyFont="0" applyAlignment="0" applyProtection="0"/>
    <xf numFmtId="280" fontId="13" fillId="26" borderId="55" applyFont="0" applyAlignment="0" applyProtection="0"/>
    <xf numFmtId="280" fontId="13" fillId="36" borderId="55" applyFont="0" applyAlignment="0" applyProtection="0"/>
    <xf numFmtId="280" fontId="13" fillId="36" borderId="55" applyFont="0" applyAlignment="0" applyProtection="0"/>
    <xf numFmtId="0" fontId="13" fillId="0" borderId="0">
      <alignment vertical="top"/>
    </xf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151" fillId="51" borderId="62" applyNumberFormat="0" applyAlignment="0" applyProtection="0"/>
    <xf numFmtId="0" fontId="151" fillId="51" borderId="62" applyNumberFormat="0" applyAlignment="0" applyProtection="0"/>
    <xf numFmtId="0" fontId="41" fillId="0" borderId="59" applyNumberFormat="0" applyFill="0" applyProtection="0">
      <alignment horizontal="right"/>
    </xf>
    <xf numFmtId="0" fontId="41" fillId="0" borderId="59" applyNumberFormat="0" applyFill="0" applyProtection="0">
      <alignment horizontal="right"/>
    </xf>
    <xf numFmtId="0" fontId="41" fillId="0" borderId="60" applyNumberFormat="0" applyFill="0" applyProtection="0">
      <alignment horizontal="right"/>
    </xf>
    <xf numFmtId="0" fontId="41" fillId="0" borderId="60" applyNumberFormat="0" applyFill="0" applyProtection="0">
      <alignment horizontal="right"/>
    </xf>
    <xf numFmtId="0" fontId="41" fillId="0" borderId="61" applyNumberFormat="0" applyFill="0" applyProtection="0">
      <alignment horizontal="right"/>
    </xf>
    <xf numFmtId="0" fontId="41" fillId="0" borderId="61" applyNumberFormat="0" applyFill="0" applyProtection="0">
      <alignment horizontal="right"/>
    </xf>
    <xf numFmtId="280" fontId="13" fillId="0" borderId="56" applyFont="0" applyFill="0" applyAlignment="0" applyProtection="0"/>
    <xf numFmtId="280" fontId="13" fillId="0" borderId="56" applyFont="0" applyFill="0" applyAlignment="0" applyProtection="0"/>
    <xf numFmtId="280" fontId="13" fillId="0" borderId="0" applyFont="0" applyFill="0" applyBorder="0" applyAlignment="0" applyProtection="0"/>
    <xf numFmtId="280" fontId="13" fillId="0" borderId="0" applyFont="0" applyFill="0" applyBorder="0" applyAlignment="0" applyProtection="0"/>
    <xf numFmtId="280" fontId="13" fillId="36" borderId="0" applyFont="0" applyBorder="0" applyAlignment="0" applyProtection="0"/>
    <xf numFmtId="280" fontId="13" fillId="36" borderId="0" applyFont="0" applyBorder="0" applyAlignment="0" applyProtection="0"/>
    <xf numFmtId="280" fontId="13" fillId="36" borderId="56" applyFont="0" applyAlignment="0" applyProtection="0"/>
    <xf numFmtId="280" fontId="13" fillId="36" borderId="56" applyFont="0" applyAlignment="0" applyProtection="0"/>
    <xf numFmtId="280" fontId="13" fillId="36" borderId="55" applyFont="0" applyAlignment="0" applyProtection="0"/>
    <xf numFmtId="280" fontId="13" fillId="36" borderId="55" applyFont="0" applyAlignment="0" applyProtection="0"/>
    <xf numFmtId="280" fontId="13" fillId="0" borderId="55" applyFont="0" applyFill="0" applyAlignment="0" applyProtection="0"/>
    <xf numFmtId="280" fontId="13" fillId="0" borderId="55" applyFont="0" applyFill="0" applyAlignment="0" applyProtection="0"/>
    <xf numFmtId="0" fontId="41" fillId="0" borderId="55" applyNumberFormat="0" applyFill="0" applyProtection="0">
      <alignment horizontal="right"/>
    </xf>
    <xf numFmtId="0" fontId="41" fillId="0" borderId="55" applyNumberFormat="0" applyFill="0" applyProtection="0">
      <alignment horizontal="right"/>
    </xf>
    <xf numFmtId="0" fontId="41" fillId="36" borderId="55" applyNumberFormat="0" applyProtection="0">
      <alignment horizontal="right"/>
    </xf>
    <xf numFmtId="0" fontId="41" fillId="36" borderId="55" applyNumberFormat="0" applyProtection="0">
      <alignment horizontal="right"/>
    </xf>
    <xf numFmtId="280" fontId="13" fillId="0" borderId="59" applyFill="0" applyAlignment="0" applyProtection="0"/>
    <xf numFmtId="280" fontId="13" fillId="0" borderId="59" applyFill="0" applyAlignment="0" applyProtection="0"/>
    <xf numFmtId="280" fontId="13" fillId="0" borderId="60" applyFont="0" applyFill="0" applyAlignment="0" applyProtection="0"/>
    <xf numFmtId="280" fontId="13" fillId="0" borderId="60" applyFont="0" applyFill="0" applyAlignment="0" applyProtection="0"/>
    <xf numFmtId="280" fontId="13" fillId="0" borderId="61" applyFont="0" applyFill="0" applyAlignment="0" applyProtection="0"/>
    <xf numFmtId="280" fontId="13" fillId="0" borderId="61" applyFont="0" applyFill="0" applyAlignment="0" applyProtection="0"/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151" fillId="51" borderId="59" applyNumberFormat="0" applyProtection="0">
      <alignment horizontal="right"/>
    </xf>
    <xf numFmtId="0" fontId="151" fillId="51" borderId="59" applyNumberFormat="0" applyProtection="0">
      <alignment horizontal="right"/>
    </xf>
    <xf numFmtId="0" fontId="151" fillId="51" borderId="60" applyNumberFormat="0" applyProtection="0">
      <alignment horizontal="right"/>
    </xf>
    <xf numFmtId="0" fontId="151" fillId="51" borderId="60" applyNumberFormat="0" applyProtection="0">
      <alignment horizontal="right"/>
    </xf>
    <xf numFmtId="0" fontId="151" fillId="51" borderId="61" applyNumberFormat="0" applyProtection="0">
      <alignment horizontal="right"/>
    </xf>
    <xf numFmtId="0" fontId="151" fillId="51" borderId="61" applyNumberFormat="0" applyProtection="0">
      <alignment horizontal="right"/>
    </xf>
    <xf numFmtId="0" fontId="151" fillId="51" borderId="62" applyNumberFormat="0" applyAlignment="0" applyProtection="0"/>
    <xf numFmtId="0" fontId="151" fillId="51" borderId="62" applyNumberFormat="0" applyAlignment="0" applyProtection="0"/>
    <xf numFmtId="280" fontId="13" fillId="0" borderId="56" applyFont="0" applyFill="0" applyAlignment="0" applyProtection="0"/>
    <xf numFmtId="280" fontId="13" fillId="0" borderId="56" applyFont="0" applyFill="0" applyAlignment="0" applyProtection="0"/>
    <xf numFmtId="280" fontId="13" fillId="0" borderId="0" applyFont="0" applyFill="0" applyBorder="0" applyAlignment="0" applyProtection="0"/>
    <xf numFmtId="280" fontId="13" fillId="0" borderId="0" applyFont="0" applyFill="0" applyBorder="0" applyAlignment="0" applyProtection="0"/>
    <xf numFmtId="280" fontId="13" fillId="36" borderId="0" applyFont="0" applyBorder="0" applyAlignment="0" applyProtection="0"/>
    <xf numFmtId="280" fontId="13" fillId="36" borderId="0" applyFont="0" applyBorder="0" applyAlignment="0" applyProtection="0"/>
    <xf numFmtId="280" fontId="13" fillId="36" borderId="56" applyFont="0" applyAlignment="0" applyProtection="0"/>
    <xf numFmtId="280" fontId="13" fillId="36" borderId="56" applyFont="0" applyAlignment="0" applyProtection="0"/>
    <xf numFmtId="280" fontId="13" fillId="36" borderId="55" applyFont="0" applyAlignment="0" applyProtection="0"/>
    <xf numFmtId="280" fontId="13" fillId="36" borderId="55" applyFont="0" applyAlignment="0" applyProtection="0"/>
    <xf numFmtId="280" fontId="13" fillId="0" borderId="55" applyFont="0" applyFill="0" applyAlignment="0" applyProtection="0"/>
    <xf numFmtId="280" fontId="13" fillId="0" borderId="55" applyFont="0" applyFill="0" applyAlignment="0" applyProtection="0"/>
    <xf numFmtId="0" fontId="41" fillId="0" borderId="55" applyNumberFormat="0" applyFill="0" applyProtection="0">
      <alignment horizontal="right"/>
    </xf>
    <xf numFmtId="0" fontId="41" fillId="0" borderId="55" applyNumberFormat="0" applyFill="0" applyProtection="0">
      <alignment horizontal="right"/>
    </xf>
    <xf numFmtId="0" fontId="41" fillId="36" borderId="55" applyNumberFormat="0" applyProtection="0">
      <alignment horizontal="right"/>
    </xf>
    <xf numFmtId="0" fontId="41" fillId="36" borderId="55" applyNumberFormat="0" applyProtection="0">
      <alignment horizontal="right"/>
    </xf>
    <xf numFmtId="0" fontId="13" fillId="0" borderId="52" applyNumberFormat="0" applyFont="0" applyFill="0" applyAlignment="0" applyProtection="0"/>
    <xf numFmtId="0" fontId="13" fillId="0" borderId="52" applyNumberFormat="0" applyFont="0" applyFill="0" applyAlignment="0" applyProtection="0"/>
    <xf numFmtId="278" fontId="13" fillId="36" borderId="56" applyFont="0" applyAlignment="0" applyProtection="0"/>
    <xf numFmtId="278" fontId="13" fillId="36" borderId="56" applyFont="0" applyAlignment="0" applyProtection="0"/>
    <xf numFmtId="279" fontId="13" fillId="0" borderId="56" applyFont="0" applyFill="0" applyAlignment="0" applyProtection="0"/>
    <xf numFmtId="279" fontId="13" fillId="0" borderId="56" applyFont="0" applyFill="0" applyAlignment="0" applyProtection="0"/>
    <xf numFmtId="279" fontId="13" fillId="0" borderId="0" applyFont="0" applyFill="0" applyBorder="0" applyAlignment="0" applyProtection="0"/>
    <xf numFmtId="279" fontId="13" fillId="0" borderId="0" applyFont="0" applyFill="0" applyBorder="0" applyAlignment="0" applyProtection="0"/>
    <xf numFmtId="279" fontId="13" fillId="36" borderId="0" applyFont="0" applyBorder="0" applyAlignment="0" applyProtection="0"/>
    <xf numFmtId="279" fontId="13" fillId="36" borderId="0" applyFont="0" applyBorder="0" applyAlignment="0" applyProtection="0"/>
    <xf numFmtId="279" fontId="13" fillId="36" borderId="56" applyFont="0" applyAlignment="0" applyProtection="0"/>
    <xf numFmtId="279" fontId="13" fillId="36" borderId="56" applyFont="0" applyAlignment="0" applyProtection="0"/>
    <xf numFmtId="279" fontId="13" fillId="36" borderId="55" applyFont="0" applyAlignment="0" applyProtection="0"/>
    <xf numFmtId="279" fontId="13" fillId="36" borderId="55" applyFont="0" applyAlignment="0" applyProtection="0"/>
    <xf numFmtId="279" fontId="13" fillId="0" borderId="55" applyFont="0" applyFill="0" applyAlignment="0" applyProtection="0"/>
    <xf numFmtId="279" fontId="13" fillId="0" borderId="55" applyFont="0" applyFill="0" applyAlignment="0" applyProtection="0"/>
    <xf numFmtId="280" fontId="13" fillId="0" borderId="56" applyFont="0" applyFill="0" applyAlignment="0" applyProtection="0"/>
    <xf numFmtId="280" fontId="13" fillId="0" borderId="56" applyFont="0" applyFill="0" applyAlignment="0" applyProtection="0"/>
    <xf numFmtId="280" fontId="13" fillId="0" borderId="0" applyFont="0" applyFill="0" applyBorder="0" applyAlignment="0" applyProtection="0"/>
    <xf numFmtId="280" fontId="13" fillId="0" borderId="0" applyFont="0" applyFill="0" applyBorder="0" applyAlignment="0" applyProtection="0"/>
    <xf numFmtId="280" fontId="13" fillId="36" borderId="0" applyFont="0" applyBorder="0" applyAlignment="0" applyProtection="0"/>
    <xf numFmtId="280" fontId="13" fillId="36" borderId="0" applyFont="0" applyBorder="0" applyAlignment="0" applyProtection="0"/>
    <xf numFmtId="0" fontId="13" fillId="26" borderId="55" applyNumberFormat="0">
      <alignment horizontal="left"/>
    </xf>
    <xf numFmtId="0" fontId="13" fillId="26" borderId="55" applyNumberFormat="0">
      <alignment horizontal="left"/>
    </xf>
    <xf numFmtId="0" fontId="13" fillId="36" borderId="55" applyNumberFormat="0">
      <alignment horizontal="left"/>
    </xf>
    <xf numFmtId="0" fontId="13" fillId="36" borderId="55" applyNumberFormat="0">
      <alignment horizontal="left"/>
    </xf>
    <xf numFmtId="0" fontId="13" fillId="26" borderId="55" applyNumberFormat="0">
      <alignment horizontal="right"/>
    </xf>
    <xf numFmtId="0" fontId="13" fillId="26" borderId="55" applyNumberFormat="0">
      <alignment horizontal="right"/>
    </xf>
    <xf numFmtId="0" fontId="13" fillId="36" borderId="55" applyNumberFormat="0">
      <alignment horizontal="right"/>
    </xf>
    <xf numFmtId="0" fontId="13" fillId="36" borderId="55" applyNumberFormat="0">
      <alignment horizontal="right"/>
    </xf>
    <xf numFmtId="0" fontId="13" fillId="26" borderId="55" applyNumberFormat="0">
      <alignment horizontal="center"/>
    </xf>
    <xf numFmtId="0" fontId="13" fillId="26" borderId="55" applyNumberFormat="0">
      <alignment horizontal="center"/>
    </xf>
    <xf numFmtId="0" fontId="13" fillId="36" borderId="55" applyNumberFormat="0">
      <alignment horizontal="center"/>
    </xf>
    <xf numFmtId="0" fontId="13" fillId="36" borderId="55" applyNumberFormat="0">
      <alignment horizontal="center"/>
    </xf>
    <xf numFmtId="0" fontId="13" fillId="37" borderId="0" applyNumberFormat="0" applyBorder="0"/>
    <xf numFmtId="0" fontId="13" fillId="37" borderId="0" applyNumberFormat="0" applyBorder="0"/>
    <xf numFmtId="0" fontId="13" fillId="0" borderId="52" applyNumberFormat="0"/>
    <xf numFmtId="0" fontId="13" fillId="0" borderId="52" applyNumberFormat="0"/>
    <xf numFmtId="0" fontId="13" fillId="0" borderId="55" applyNumberFormat="0"/>
    <xf numFmtId="0" fontId="13" fillId="0" borderId="55" applyNumberFormat="0"/>
    <xf numFmtId="279" fontId="13" fillId="0" borderId="60" applyFont="0" applyFill="0" applyAlignment="0" applyProtection="0"/>
    <xf numFmtId="279" fontId="13" fillId="0" borderId="60" applyFont="0" applyFill="0" applyAlignment="0" applyProtection="0"/>
    <xf numFmtId="279" fontId="13" fillId="0" borderId="61" applyFont="0" applyFill="0" applyAlignment="0" applyProtection="0"/>
    <xf numFmtId="279" fontId="13" fillId="0" borderId="61" applyFont="0" applyFill="0" applyAlignment="0" applyProtection="0"/>
    <xf numFmtId="0" fontId="13" fillId="26" borderId="55" applyNumberFormat="0" applyFont="0" applyProtection="0">
      <alignment horizontal="left"/>
    </xf>
    <xf numFmtId="0" fontId="13" fillId="26" borderId="55" applyNumberFormat="0" applyFont="0" applyProtection="0">
      <alignment horizontal="left"/>
    </xf>
    <xf numFmtId="0" fontId="13" fillId="36" borderId="55" applyNumberFormat="0" applyFont="0" applyProtection="0">
      <alignment horizontal="left"/>
    </xf>
    <xf numFmtId="0" fontId="13" fillId="36" borderId="55" applyNumberFormat="0" applyFont="0" applyProtection="0">
      <alignment horizontal="left"/>
    </xf>
    <xf numFmtId="0" fontId="13" fillId="26" borderId="55" applyNumberFormat="0" applyFont="0" applyProtection="0">
      <alignment horizontal="right"/>
    </xf>
    <xf numFmtId="0" fontId="13" fillId="26" borderId="55" applyNumberFormat="0" applyFont="0" applyProtection="0">
      <alignment horizontal="right"/>
    </xf>
    <xf numFmtId="0" fontId="13" fillId="36" borderId="55" applyNumberFormat="0" applyFont="0" applyProtection="0">
      <alignment horizontal="right"/>
    </xf>
    <xf numFmtId="0" fontId="13" fillId="36" borderId="55" applyNumberFormat="0" applyFont="0" applyProtection="0">
      <alignment horizontal="right"/>
    </xf>
    <xf numFmtId="0" fontId="13" fillId="26" borderId="55" applyNumberFormat="0" applyFont="0" applyProtection="0">
      <alignment horizontal="center"/>
    </xf>
    <xf numFmtId="0" fontId="13" fillId="26" borderId="55" applyNumberFormat="0" applyFont="0" applyProtection="0">
      <alignment horizontal="center"/>
    </xf>
    <xf numFmtId="0" fontId="13" fillId="36" borderId="55" applyNumberFormat="0" applyFont="0" applyProtection="0">
      <alignment horizontal="center"/>
    </xf>
    <xf numFmtId="0" fontId="13" fillId="36" borderId="55" applyNumberFormat="0" applyFont="0" applyProtection="0">
      <alignment horizontal="center"/>
    </xf>
    <xf numFmtId="0" fontId="13" fillId="0" borderId="52" applyNumberFormat="0" applyFont="0" applyFill="0" applyAlignment="0" applyProtection="0"/>
    <xf numFmtId="0" fontId="13" fillId="0" borderId="52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9" applyNumberFormat="0" applyFont="0" applyFill="0" applyAlignment="0" applyProtection="0"/>
    <xf numFmtId="0" fontId="13" fillId="0" borderId="59" applyNumberFormat="0" applyFont="0" applyFill="0" applyAlignment="0" applyProtection="0"/>
    <xf numFmtId="0" fontId="13" fillId="0" borderId="60" applyNumberFormat="0" applyFont="0" applyFill="0" applyAlignment="0" applyProtection="0"/>
    <xf numFmtId="0" fontId="13" fillId="0" borderId="60" applyNumberFormat="0" applyFont="0" applyFill="0" applyAlignment="0" applyProtection="0"/>
    <xf numFmtId="282" fontId="13" fillId="36" borderId="55" applyFont="0" applyProtection="0">
      <alignment horizontal="left"/>
    </xf>
    <xf numFmtId="282" fontId="13" fillId="36" borderId="55" applyFont="0" applyProtection="0">
      <alignment horizontal="left"/>
    </xf>
    <xf numFmtId="282" fontId="13" fillId="26" borderId="55" applyFont="0" applyProtection="0">
      <alignment horizontal="left"/>
    </xf>
    <xf numFmtId="282" fontId="13" fillId="26" borderId="55" applyFont="0" applyProtection="0">
      <alignment horizontal="left"/>
    </xf>
    <xf numFmtId="0" fontId="13" fillId="0" borderId="57" applyNumberFormat="0"/>
    <xf numFmtId="0" fontId="13" fillId="0" borderId="57" applyNumberFormat="0"/>
    <xf numFmtId="0" fontId="13" fillId="0" borderId="58" applyNumberFormat="0"/>
    <xf numFmtId="0" fontId="13" fillId="0" borderId="58" applyNumberFormat="0"/>
    <xf numFmtId="279" fontId="13" fillId="0" borderId="56" applyFont="0" applyFill="0" applyAlignment="0" applyProtection="0"/>
    <xf numFmtId="279" fontId="13" fillId="0" borderId="56" applyFont="0" applyFill="0" applyAlignment="0" applyProtection="0"/>
    <xf numFmtId="279" fontId="13" fillId="0" borderId="0" applyFill="0" applyBorder="0" applyAlignment="0" applyProtection="0"/>
    <xf numFmtId="279" fontId="13" fillId="0" borderId="0" applyFill="0" applyBorder="0" applyAlignment="0" applyProtection="0"/>
    <xf numFmtId="279" fontId="13" fillId="36" borderId="0" applyBorder="0" applyAlignment="0" applyProtection="0"/>
    <xf numFmtId="279" fontId="13" fillId="36" borderId="0" applyBorder="0" applyAlignment="0" applyProtection="0"/>
    <xf numFmtId="279" fontId="13" fillId="36" borderId="56" applyFont="0" applyAlignment="0" applyProtection="0"/>
    <xf numFmtId="279" fontId="13" fillId="36" borderId="56" applyFont="0" applyAlignment="0" applyProtection="0"/>
    <xf numFmtId="280" fontId="13" fillId="0" borderId="56" applyFont="0" applyFill="0" applyAlignment="0" applyProtection="0"/>
    <xf numFmtId="280" fontId="13" fillId="0" borderId="56" applyFont="0" applyFill="0" applyAlignment="0" applyProtection="0"/>
    <xf numFmtId="280" fontId="13" fillId="0" borderId="0" applyFill="0" applyBorder="0" applyAlignment="0" applyProtection="0"/>
    <xf numFmtId="280" fontId="13" fillId="0" borderId="0" applyFill="0" applyBorder="0" applyAlignment="0" applyProtection="0"/>
    <xf numFmtId="280" fontId="13" fillId="36" borderId="0" applyBorder="0" applyAlignment="0" applyProtection="0"/>
    <xf numFmtId="280" fontId="13" fillId="36" borderId="0" applyBorder="0" applyAlignment="0" applyProtection="0"/>
    <xf numFmtId="280" fontId="13" fillId="36" borderId="56" applyFont="0" applyAlignment="0" applyProtection="0"/>
    <xf numFmtId="280" fontId="13" fillId="36" borderId="56" applyFont="0" applyAlignment="0" applyProtection="0"/>
    <xf numFmtId="0" fontId="41" fillId="0" borderId="55" applyNumberFormat="0" applyFill="0" applyProtection="0">
      <alignment horizontal="right"/>
    </xf>
    <xf numFmtId="0" fontId="41" fillId="0" borderId="55" applyNumberFormat="0" applyFill="0" applyProtection="0">
      <alignment horizontal="right"/>
    </xf>
    <xf numFmtId="0" fontId="41" fillId="36" borderId="55" applyNumberFormat="0" applyProtection="0">
      <alignment horizontal="right"/>
    </xf>
    <xf numFmtId="0" fontId="41" fillId="36" borderId="55" applyNumberFormat="0" applyProtection="0">
      <alignment horizontal="right"/>
    </xf>
    <xf numFmtId="0" fontId="13" fillId="0" borderId="52" applyNumberFormat="0" applyFont="0" applyFill="0" applyAlignment="0" applyProtection="0"/>
    <xf numFmtId="0" fontId="13" fillId="0" borderId="52" applyNumberFormat="0" applyFont="0" applyFill="0" applyAlignment="0" applyProtection="0"/>
    <xf numFmtId="0" fontId="13" fillId="37" borderId="0" applyNumberFormat="0" applyBorder="0"/>
    <xf numFmtId="0" fontId="13" fillId="37" borderId="0" applyNumberFormat="0" applyBorder="0"/>
    <xf numFmtId="0" fontId="13" fillId="0" borderId="52" applyNumberFormat="0" applyFont="0" applyFill="0" applyAlignment="0" applyProtection="0"/>
    <xf numFmtId="0" fontId="13" fillId="0" borderId="52" applyNumberFormat="0" applyFont="0" applyFill="0" applyAlignment="0" applyProtection="0"/>
    <xf numFmtId="0" fontId="13" fillId="0" borderId="52" applyNumberFormat="0" applyFont="0" applyFill="0" applyAlignment="0" applyProtection="0"/>
    <xf numFmtId="0" fontId="13" fillId="0" borderId="0" applyNumberFormat="0" applyFont="0" applyFill="0" applyAlignment="0" applyProtection="0"/>
    <xf numFmtId="0" fontId="13" fillId="0" borderId="0" applyNumberFormat="0" applyFont="0" applyFill="0" applyAlignment="0" applyProtection="0"/>
    <xf numFmtId="0" fontId="13" fillId="0" borderId="53" applyNumberFormat="0" applyFont="0" applyFill="0" applyAlignment="0" applyProtection="0"/>
    <xf numFmtId="0" fontId="13" fillId="0" borderId="53" applyNumberFormat="0" applyFont="0" applyFill="0" applyAlignment="0" applyProtection="0"/>
    <xf numFmtId="0" fontId="13" fillId="0" borderId="54" applyNumberFormat="0" applyFont="0" applyFill="0" applyAlignment="0" applyProtection="0"/>
    <xf numFmtId="0" fontId="13" fillId="0" borderId="54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6" applyNumberFormat="0" applyFont="0" applyFill="0" applyAlignment="0" applyProtection="0"/>
    <xf numFmtId="0" fontId="13" fillId="0" borderId="56" applyNumberFormat="0" applyFont="0" applyFill="0" applyAlignment="0" applyProtection="0"/>
    <xf numFmtId="0" fontId="13" fillId="0" borderId="57" applyNumberFormat="0" applyFont="0" applyFill="0" applyAlignment="0" applyProtection="0"/>
    <xf numFmtId="0" fontId="13" fillId="0" borderId="57" applyNumberFormat="0" applyFont="0" applyFill="0" applyAlignment="0" applyProtection="0"/>
    <xf numFmtId="0" fontId="13" fillId="0" borderId="58" applyNumberFormat="0" applyFont="0" applyFill="0" applyAlignment="0" applyProtection="0"/>
    <xf numFmtId="0" fontId="13" fillId="0" borderId="58" applyNumberFormat="0" applyFont="0" applyFill="0" applyAlignment="0" applyProtection="0"/>
    <xf numFmtId="0" fontId="13" fillId="0" borderId="52" applyNumberFormat="0" applyFont="0" applyFill="0" applyAlignment="0" applyProtection="0"/>
    <xf numFmtId="0" fontId="13" fillId="0" borderId="0" applyNumberFormat="0" applyFont="0" applyFill="0" applyAlignment="0" applyProtection="0"/>
    <xf numFmtId="0" fontId="13" fillId="0" borderId="53" applyNumberFormat="0" applyFont="0" applyFill="0" applyAlignment="0" applyProtection="0"/>
    <xf numFmtId="0" fontId="13" fillId="0" borderId="54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6" applyNumberFormat="0" applyFont="0" applyFill="0" applyAlignment="0" applyProtection="0"/>
    <xf numFmtId="0" fontId="13" fillId="0" borderId="57" applyNumberFormat="0" applyFont="0" applyFill="0" applyAlignment="0" applyProtection="0"/>
    <xf numFmtId="0" fontId="13" fillId="0" borderId="58" applyNumberFormat="0" applyFont="0" applyFill="0" applyAlignment="0" applyProtection="0"/>
    <xf numFmtId="0" fontId="41" fillId="0" borderId="60" applyNumberFormat="0" applyFill="0" applyProtection="0">
      <alignment horizontal="right"/>
    </xf>
    <xf numFmtId="0" fontId="41" fillId="0" borderId="61" applyNumberFormat="0" applyFill="0" applyProtection="0">
      <alignment horizontal="right"/>
    </xf>
    <xf numFmtId="280" fontId="13" fillId="0" borderId="56" applyFont="0" applyFill="0" applyAlignment="0" applyProtection="0"/>
    <xf numFmtId="280" fontId="13" fillId="0" borderId="0" applyFont="0" applyFill="0" applyBorder="0" applyAlignment="0" applyProtection="0"/>
    <xf numFmtId="280" fontId="13" fillId="36" borderId="0" applyFont="0" applyBorder="0" applyAlignment="0" applyProtection="0"/>
    <xf numFmtId="280" fontId="13" fillId="36" borderId="56" applyFont="0" applyAlignment="0" applyProtection="0"/>
    <xf numFmtId="280" fontId="13" fillId="36" borderId="55" applyFont="0" applyAlignment="0" applyProtection="0"/>
    <xf numFmtId="280" fontId="13" fillId="0" borderId="55" applyFont="0" applyFill="0" applyAlignment="0" applyProtection="0"/>
    <xf numFmtId="0" fontId="41" fillId="0" borderId="55" applyNumberFormat="0" applyFill="0" applyProtection="0">
      <alignment horizontal="right"/>
    </xf>
    <xf numFmtId="0" fontId="41" fillId="36" borderId="55" applyNumberFormat="0" applyProtection="0">
      <alignment horizontal="right"/>
    </xf>
    <xf numFmtId="280" fontId="13" fillId="0" borderId="59" applyFill="0" applyAlignment="0" applyProtection="0"/>
    <xf numFmtId="280" fontId="13" fillId="0" borderId="60" applyFont="0" applyFill="0" applyAlignment="0" applyProtection="0"/>
    <xf numFmtId="280" fontId="13" fillId="0" borderId="61" applyFont="0" applyFill="0" applyAlignment="0" applyProtection="0"/>
    <xf numFmtId="168" fontId="41" fillId="0" borderId="55" applyFill="0" applyProtection="0">
      <alignment horizontal="right"/>
    </xf>
    <xf numFmtId="168" fontId="41" fillId="0" borderId="55" applyFill="0" applyProtection="0">
      <alignment horizontal="right"/>
    </xf>
    <xf numFmtId="168" fontId="41" fillId="36" borderId="55" applyProtection="0">
      <alignment horizontal="right"/>
    </xf>
    <xf numFmtId="168" fontId="41" fillId="36" borderId="55" applyProtection="0">
      <alignment horizontal="right"/>
    </xf>
    <xf numFmtId="279" fontId="13" fillId="0" borderId="55" applyFont="0" applyFill="0" applyAlignment="0" applyProtection="0"/>
    <xf numFmtId="279" fontId="13" fillId="0" borderId="55" applyFont="0" applyFill="0" applyAlignment="0" applyProtection="0"/>
    <xf numFmtId="279" fontId="13" fillId="36" borderId="55" applyFont="0" applyAlignment="0" applyProtection="0"/>
    <xf numFmtId="279" fontId="13" fillId="36" borderId="55" applyFont="0" applyAlignment="0" applyProtection="0"/>
    <xf numFmtId="280" fontId="13" fillId="0" borderId="56" applyFont="0" applyFill="0" applyAlignment="0" applyProtection="0"/>
    <xf numFmtId="280" fontId="13" fillId="0" borderId="56" applyFont="0" applyFill="0" applyAlignment="0" applyProtection="0"/>
    <xf numFmtId="280" fontId="13" fillId="36" borderId="56" applyFont="0" applyAlignment="0" applyProtection="0"/>
    <xf numFmtId="280" fontId="13" fillId="36" borderId="56" applyFont="0" applyAlignment="0" applyProtection="0"/>
    <xf numFmtId="281" fontId="13" fillId="0" borderId="55" applyFont="0" applyFill="0" applyAlignment="0" applyProtection="0"/>
    <xf numFmtId="281" fontId="13" fillId="0" borderId="55" applyFont="0" applyFill="0" applyAlignment="0" applyProtection="0"/>
    <xf numFmtId="278" fontId="13" fillId="36" borderId="55" applyFont="0" applyAlignment="0" applyProtection="0"/>
    <xf numFmtId="278" fontId="13" fillId="36" borderId="55" applyFont="0" applyAlignment="0" applyProtection="0"/>
    <xf numFmtId="281" fontId="13" fillId="0" borderId="56" applyFont="0" applyFill="0" applyAlignment="0" applyProtection="0"/>
    <xf numFmtId="281" fontId="13" fillId="0" borderId="56" applyFont="0" applyFill="0" applyAlignment="0" applyProtection="0"/>
    <xf numFmtId="281" fontId="13" fillId="36" borderId="56" applyFont="0" applyAlignment="0" applyProtection="0"/>
    <xf numFmtId="281" fontId="13" fillId="36" borderId="56" applyFont="0" applyAlignment="0" applyProtection="0"/>
    <xf numFmtId="0" fontId="13" fillId="0" borderId="52" applyNumberFormat="0" applyFont="0" applyFill="0" applyAlignment="0" applyProtection="0"/>
    <xf numFmtId="0" fontId="13" fillId="0" borderId="52" applyNumberFormat="0" applyFont="0" applyFill="0" applyAlignment="0" applyProtection="0"/>
    <xf numFmtId="280" fontId="13" fillId="0" borderId="55" applyFont="0" applyFill="0" applyAlignment="0" applyProtection="0"/>
    <xf numFmtId="280" fontId="13" fillId="0" borderId="55" applyFont="0" applyFill="0" applyAlignment="0" applyProtection="0"/>
    <xf numFmtId="280" fontId="13" fillId="36" borderId="55" applyFont="0" applyAlignment="0" applyProtection="0"/>
    <xf numFmtId="280" fontId="13" fillId="36" borderId="55" applyFont="0" applyAlignment="0" applyProtection="0"/>
    <xf numFmtId="0" fontId="13" fillId="0" borderId="0" applyNumberFormat="0" applyFont="0" applyFill="0" applyBorder="0" applyAlignment="0" applyProtection="0"/>
    <xf numFmtId="0" fontId="151" fillId="51" borderId="59" applyNumberFormat="0" applyProtection="0">
      <alignment horizontal="right"/>
    </xf>
    <xf numFmtId="0" fontId="151" fillId="51" borderId="60" applyNumberFormat="0" applyProtection="0">
      <alignment horizontal="right"/>
    </xf>
    <xf numFmtId="0" fontId="151" fillId="51" borderId="61" applyNumberFormat="0" applyProtection="0">
      <alignment horizontal="right"/>
    </xf>
    <xf numFmtId="0" fontId="41" fillId="0" borderId="55" applyNumberFormat="0" applyFill="0" applyProtection="0">
      <alignment horizontal="right"/>
    </xf>
    <xf numFmtId="0" fontId="41" fillId="0" borderId="55" applyNumberFormat="0" applyFill="0" applyProtection="0">
      <alignment horizontal="right"/>
    </xf>
    <xf numFmtId="0" fontId="41" fillId="36" borderId="55" applyNumberFormat="0" applyProtection="0">
      <alignment horizontal="right"/>
    </xf>
    <xf numFmtId="0" fontId="41" fillId="36" borderId="55" applyNumberFormat="0" applyProtection="0">
      <alignment horizontal="right"/>
    </xf>
    <xf numFmtId="279" fontId="13" fillId="0" borderId="55" applyFont="0" applyFill="0" applyAlignment="0" applyProtection="0"/>
    <xf numFmtId="279" fontId="13" fillId="0" borderId="55" applyFont="0" applyFill="0" applyAlignment="0" applyProtection="0"/>
    <xf numFmtId="279" fontId="13" fillId="36" borderId="55" applyFont="0" applyAlignment="0" applyProtection="0"/>
    <xf numFmtId="279" fontId="13" fillId="36" borderId="55" applyFont="0" applyAlignment="0" applyProtection="0"/>
    <xf numFmtId="280" fontId="13" fillId="0" borderId="56" applyFont="0" applyFill="0" applyAlignment="0" applyProtection="0"/>
    <xf numFmtId="280" fontId="13" fillId="0" borderId="56" applyFont="0" applyFill="0" applyAlignment="0" applyProtection="0"/>
    <xf numFmtId="280" fontId="13" fillId="36" borderId="56" applyFont="0" applyAlignment="0" applyProtection="0"/>
    <xf numFmtId="280" fontId="13" fillId="36" borderId="56" applyFont="0" applyAlignment="0" applyProtection="0"/>
    <xf numFmtId="281" fontId="13" fillId="0" borderId="55" applyFont="0" applyFill="0" applyAlignment="0" applyProtection="0"/>
    <xf numFmtId="281" fontId="13" fillId="0" borderId="55" applyFont="0" applyFill="0" applyAlignment="0" applyProtection="0"/>
    <xf numFmtId="278" fontId="13" fillId="36" borderId="55" applyFont="0" applyAlignment="0" applyProtection="0"/>
    <xf numFmtId="278" fontId="13" fillId="36" borderId="55" applyFont="0" applyAlignment="0" applyProtection="0"/>
    <xf numFmtId="281" fontId="13" fillId="0" borderId="56" applyFont="0" applyFill="0" applyAlignment="0" applyProtection="0"/>
    <xf numFmtId="281" fontId="13" fillId="0" borderId="56" applyFont="0" applyFill="0" applyAlignment="0" applyProtection="0"/>
    <xf numFmtId="281" fontId="13" fillId="36" borderId="56" applyFont="0" applyAlignment="0" applyProtection="0"/>
    <xf numFmtId="281" fontId="13" fillId="36" borderId="56" applyFont="0" applyAlignment="0" applyProtection="0"/>
    <xf numFmtId="0" fontId="13" fillId="0" borderId="52" applyNumberFormat="0" applyFont="0" applyFill="0" applyAlignment="0" applyProtection="0"/>
    <xf numFmtId="0" fontId="13" fillId="0" borderId="52" applyNumberFormat="0" applyFont="0" applyFill="0" applyAlignment="0" applyProtection="0"/>
    <xf numFmtId="280" fontId="13" fillId="0" borderId="55" applyFont="0" applyFill="0" applyAlignment="0" applyProtection="0"/>
    <xf numFmtId="280" fontId="13" fillId="0" borderId="55" applyFont="0" applyFill="0" applyAlignment="0" applyProtection="0"/>
    <xf numFmtId="280" fontId="13" fillId="36" borderId="55" applyFont="0" applyAlignment="0" applyProtection="0"/>
    <xf numFmtId="280" fontId="13" fillId="36" borderId="55" applyFont="0" applyAlignment="0" applyProtection="0"/>
    <xf numFmtId="280" fontId="153" fillId="37" borderId="55" applyAlignment="0" applyProtection="0"/>
    <xf numFmtId="280" fontId="153" fillId="37" borderId="55" applyAlignment="0" applyProtection="0"/>
    <xf numFmtId="280" fontId="153" fillId="37" borderId="56" applyAlignment="0" applyProtection="0"/>
    <xf numFmtId="280" fontId="153" fillId="37" borderId="56" applyAlignment="0" applyProtection="0"/>
    <xf numFmtId="279" fontId="153" fillId="37" borderId="55" applyAlignment="0" applyProtection="0"/>
    <xf numFmtId="279" fontId="153" fillId="37" borderId="55" applyAlignment="0" applyProtection="0"/>
    <xf numFmtId="278" fontId="153" fillId="37" borderId="55" applyAlignment="0" applyProtection="0"/>
    <xf numFmtId="278" fontId="153" fillId="37" borderId="55" applyAlignment="0" applyProtection="0"/>
    <xf numFmtId="278" fontId="153" fillId="37" borderId="56" applyAlignment="0" applyProtection="0"/>
    <xf numFmtId="278" fontId="153" fillId="37" borderId="56" applyAlignment="0" applyProtection="0"/>
    <xf numFmtId="0" fontId="153" fillId="37" borderId="55" applyNumberFormat="0" applyProtection="0">
      <alignment horizontal="right"/>
    </xf>
    <xf numFmtId="0" fontId="153" fillId="37" borderId="55" applyNumberFormat="0" applyProtection="0">
      <alignment horizontal="right"/>
    </xf>
    <xf numFmtId="0" fontId="13" fillId="0" borderId="0" applyNumberFormat="0" applyFont="0" applyFill="0" applyBorder="0" applyAlignment="0" applyProtection="0"/>
    <xf numFmtId="0" fontId="13" fillId="0" borderId="8" applyNumberFormat="0" applyFont="0" applyFill="0" applyProtection="0">
      <alignment horizontal="center"/>
    </xf>
    <xf numFmtId="0" fontId="151" fillId="51" borderId="62" applyNumberFormat="0" applyAlignment="0" applyProtection="0"/>
    <xf numFmtId="0" fontId="41" fillId="0" borderId="59" applyNumberFormat="0" applyFill="0" applyProtection="0">
      <alignment horizontal="right"/>
    </xf>
    <xf numFmtId="0" fontId="13" fillId="26" borderId="55" applyNumberFormat="0" applyFont="0" applyProtection="0">
      <alignment horizontal="left"/>
    </xf>
    <xf numFmtId="0" fontId="13" fillId="26" borderId="55" applyNumberFormat="0" applyFont="0" applyProtection="0">
      <alignment horizontal="left"/>
    </xf>
    <xf numFmtId="0" fontId="13" fillId="36" borderId="55" applyNumberFormat="0" applyFont="0" applyProtection="0">
      <alignment horizontal="left"/>
    </xf>
    <xf numFmtId="0" fontId="13" fillId="36" borderId="55" applyNumberFormat="0" applyFont="0" applyProtection="0">
      <alignment horizontal="left"/>
    </xf>
    <xf numFmtId="0" fontId="13" fillId="26" borderId="55" applyNumberFormat="0" applyFont="0" applyProtection="0">
      <alignment horizontal="right"/>
    </xf>
    <xf numFmtId="0" fontId="13" fillId="26" borderId="55" applyNumberFormat="0" applyFont="0" applyProtection="0">
      <alignment horizontal="right"/>
    </xf>
    <xf numFmtId="0" fontId="13" fillId="36" borderId="55" applyNumberFormat="0" applyFont="0" applyProtection="0">
      <alignment horizontal="right"/>
    </xf>
    <xf numFmtId="0" fontId="13" fillId="36" borderId="55" applyNumberFormat="0" applyFont="0" applyProtection="0">
      <alignment horizontal="right"/>
    </xf>
    <xf numFmtId="0" fontId="13" fillId="26" borderId="55" applyNumberFormat="0" applyFont="0" applyProtection="0">
      <alignment horizontal="center"/>
    </xf>
    <xf numFmtId="0" fontId="13" fillId="26" borderId="55" applyNumberFormat="0" applyFont="0" applyProtection="0">
      <alignment horizontal="center"/>
    </xf>
    <xf numFmtId="0" fontId="13" fillId="36" borderId="55" applyNumberFormat="0" applyFont="0" applyProtection="0">
      <alignment horizontal="center"/>
    </xf>
    <xf numFmtId="0" fontId="13" fillId="36" borderId="55" applyNumberFormat="0" applyFont="0" applyProtection="0">
      <alignment horizontal="center"/>
    </xf>
    <xf numFmtId="0" fontId="13" fillId="0" borderId="52" applyNumberFormat="0" applyFont="0" applyFill="0" applyAlignment="0" applyProtection="0"/>
    <xf numFmtId="0" fontId="13" fillId="0" borderId="52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9" applyNumberFormat="0" applyFont="0" applyFill="0" applyAlignment="0" applyProtection="0"/>
    <xf numFmtId="0" fontId="13" fillId="0" borderId="59" applyNumberFormat="0" applyFont="0" applyFill="0" applyAlignment="0" applyProtection="0"/>
    <xf numFmtId="0" fontId="13" fillId="0" borderId="60" applyNumberFormat="0" applyFont="0" applyFill="0" applyAlignment="0" applyProtection="0"/>
    <xf numFmtId="0" fontId="13" fillId="0" borderId="60" applyNumberFormat="0" applyFont="0" applyFill="0" applyAlignment="0" applyProtection="0"/>
    <xf numFmtId="282" fontId="13" fillId="36" borderId="55" applyFont="0" applyProtection="0">
      <alignment horizontal="left"/>
    </xf>
    <xf numFmtId="282" fontId="13" fillId="36" borderId="55" applyFont="0" applyProtection="0">
      <alignment horizontal="left"/>
    </xf>
    <xf numFmtId="282" fontId="13" fillId="26" borderId="55" applyFont="0" applyProtection="0">
      <alignment horizontal="left"/>
    </xf>
    <xf numFmtId="282" fontId="13" fillId="26" borderId="55" applyFont="0" applyProtection="0">
      <alignment horizontal="left"/>
    </xf>
    <xf numFmtId="280" fontId="13" fillId="36" borderId="0" applyBorder="0" applyAlignment="0" applyProtection="0"/>
    <xf numFmtId="280" fontId="13" fillId="36" borderId="56" applyFont="0" applyAlignment="0" applyProtection="0"/>
    <xf numFmtId="0" fontId="41" fillId="0" borderId="55" applyNumberFormat="0" applyFill="0" applyProtection="0">
      <alignment horizontal="right"/>
    </xf>
    <xf numFmtId="0" fontId="41" fillId="36" borderId="55" applyNumberFormat="0" applyProtection="0">
      <alignment horizontal="right"/>
    </xf>
    <xf numFmtId="0" fontId="13" fillId="0" borderId="52" applyNumberFormat="0" applyFont="0" applyFill="0" applyAlignment="0" applyProtection="0"/>
    <xf numFmtId="0" fontId="13" fillId="0" borderId="0" applyNumberFormat="0" applyFont="0" applyFill="0" applyBorder="0" applyAlignment="0" applyProtection="0"/>
    <xf numFmtId="0" fontId="13" fillId="0" borderId="8" applyNumberFormat="0" applyFont="0" applyFill="0" applyProtection="0">
      <alignment horizontal="center"/>
    </xf>
    <xf numFmtId="0" fontId="151" fillId="51" borderId="62" applyNumberFormat="0" applyAlignment="0" applyProtection="0"/>
    <xf numFmtId="0" fontId="41" fillId="0" borderId="59" applyNumberFormat="0" applyFill="0" applyProtection="0">
      <alignment horizontal="right"/>
    </xf>
    <xf numFmtId="0" fontId="41" fillId="0" borderId="60" applyNumberFormat="0" applyFill="0" applyProtection="0">
      <alignment horizontal="right"/>
    </xf>
    <xf numFmtId="0" fontId="41" fillId="0" borderId="61" applyNumberFormat="0" applyFill="0" applyProtection="0">
      <alignment horizontal="right"/>
    </xf>
    <xf numFmtId="278" fontId="13" fillId="0" borderId="0" applyFill="0" applyBorder="0" applyAlignment="0" applyProtection="0"/>
    <xf numFmtId="278" fontId="13" fillId="0" borderId="56" applyFont="0" applyFill="0" applyAlignment="0" applyProtection="0"/>
    <xf numFmtId="278" fontId="13" fillId="36" borderId="0" applyBorder="0" applyAlignment="0" applyProtection="0"/>
    <xf numFmtId="278" fontId="13" fillId="36" borderId="56" applyAlignment="0" applyProtection="0"/>
    <xf numFmtId="279" fontId="13" fillId="0" borderId="56" applyFont="0" applyFill="0" applyAlignment="0" applyProtection="0"/>
    <xf numFmtId="279" fontId="13" fillId="0" borderId="0" applyFill="0" applyBorder="0" applyAlignment="0" applyProtection="0"/>
    <xf numFmtId="279" fontId="13" fillId="36" borderId="0" applyBorder="0" applyAlignment="0" applyProtection="0"/>
    <xf numFmtId="279" fontId="13" fillId="36" borderId="56" applyAlignment="0" applyProtection="0"/>
    <xf numFmtId="280" fontId="13" fillId="0" borderId="56" applyFont="0" applyFill="0" applyAlignment="0" applyProtection="0"/>
    <xf numFmtId="280" fontId="13" fillId="0" borderId="0" applyFill="0" applyBorder="0" applyAlignment="0" applyProtection="0"/>
    <xf numFmtId="280" fontId="13" fillId="36" borderId="0" applyBorder="0" applyAlignment="0" applyProtection="0"/>
    <xf numFmtId="280" fontId="13" fillId="36" borderId="56" applyFont="0" applyAlignment="0" applyProtection="0"/>
    <xf numFmtId="0" fontId="41" fillId="0" borderId="55" applyNumberFormat="0" applyFill="0" applyProtection="0">
      <alignment horizontal="right"/>
    </xf>
    <xf numFmtId="0" fontId="41" fillId="36" borderId="55" applyNumberFormat="0" applyProtection="0">
      <alignment horizontal="right"/>
    </xf>
    <xf numFmtId="0" fontId="13" fillId="0" borderId="52" applyNumberFormat="0" applyFont="0" applyFill="0" applyAlignment="0" applyProtection="0"/>
    <xf numFmtId="0" fontId="13" fillId="0" borderId="52" applyNumberFormat="0" applyFont="0" applyFill="0" applyAlignment="0" applyProtection="0"/>
    <xf numFmtId="0" fontId="13" fillId="0" borderId="52" applyNumberFormat="0" applyFont="0" applyFill="0" applyAlignment="0" applyProtection="0"/>
    <xf numFmtId="0" fontId="13" fillId="0" borderId="0" applyNumberFormat="0" applyFont="0" applyFill="0" applyAlignment="0" applyProtection="0"/>
    <xf numFmtId="0" fontId="13" fillId="0" borderId="0" applyNumberFormat="0" applyFont="0" applyFill="0" applyAlignment="0" applyProtection="0"/>
    <xf numFmtId="0" fontId="13" fillId="0" borderId="53" applyNumberFormat="0" applyFont="0" applyFill="0" applyAlignment="0" applyProtection="0"/>
    <xf numFmtId="0" fontId="13" fillId="0" borderId="53" applyNumberFormat="0" applyFont="0" applyFill="0" applyAlignment="0" applyProtection="0"/>
    <xf numFmtId="0" fontId="13" fillId="0" borderId="54" applyNumberFormat="0" applyFont="0" applyFill="0" applyAlignment="0" applyProtection="0"/>
    <xf numFmtId="0" fontId="13" fillId="0" borderId="54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6" applyNumberFormat="0" applyFont="0" applyFill="0" applyAlignment="0" applyProtection="0"/>
    <xf numFmtId="0" fontId="13" fillId="0" borderId="56" applyNumberFormat="0" applyFont="0" applyFill="0" applyAlignment="0" applyProtection="0"/>
    <xf numFmtId="0" fontId="13" fillId="0" borderId="57" applyNumberFormat="0" applyFont="0" applyFill="0" applyAlignment="0" applyProtection="0"/>
    <xf numFmtId="0" fontId="13" fillId="0" borderId="57" applyNumberFormat="0" applyFont="0" applyFill="0" applyAlignment="0" applyProtection="0"/>
    <xf numFmtId="0" fontId="13" fillId="0" borderId="58" applyNumberFormat="0" applyFont="0" applyFill="0" applyAlignment="0" applyProtection="0"/>
    <xf numFmtId="0" fontId="13" fillId="0" borderId="58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6" applyNumberFormat="0" applyFont="0" applyFill="0" applyAlignment="0" applyProtection="0"/>
    <xf numFmtId="0" fontId="13" fillId="0" borderId="56" applyNumberFormat="0" applyFont="0" applyFill="0" applyAlignment="0" applyProtection="0"/>
    <xf numFmtId="0" fontId="13" fillId="0" borderId="57" applyNumberFormat="0" applyFont="0" applyFill="0" applyAlignment="0" applyProtection="0"/>
    <xf numFmtId="0" fontId="13" fillId="0" borderId="57" applyNumberFormat="0" applyFont="0" applyFill="0" applyAlignment="0" applyProtection="0"/>
    <xf numFmtId="0" fontId="13" fillId="0" borderId="58" applyNumberFormat="0" applyFont="0" applyFill="0" applyAlignment="0" applyProtection="0"/>
    <xf numFmtId="0" fontId="13" fillId="0" borderId="58" applyNumberFormat="0" applyFont="0" applyFill="0" applyAlignment="0" applyProtection="0"/>
    <xf numFmtId="168" fontId="41" fillId="0" borderId="55" applyFill="0" applyProtection="0">
      <alignment horizontal="right"/>
    </xf>
    <xf numFmtId="168" fontId="41" fillId="36" borderId="55" applyProtection="0">
      <alignment horizontal="right"/>
    </xf>
    <xf numFmtId="0" fontId="13" fillId="0" borderId="52" applyNumberFormat="0"/>
    <xf numFmtId="0" fontId="13" fillId="0" borderId="0" applyNumberFormat="0"/>
    <xf numFmtId="0" fontId="13" fillId="0" borderId="53" applyNumberFormat="0"/>
    <xf numFmtId="0" fontId="13" fillId="0" borderId="54" applyNumberFormat="0"/>
    <xf numFmtId="0" fontId="13" fillId="0" borderId="55" applyNumberFormat="0"/>
    <xf numFmtId="0" fontId="13" fillId="0" borderId="56" applyNumberFormat="0"/>
    <xf numFmtId="0" fontId="13" fillId="0" borderId="57" applyNumberFormat="0"/>
    <xf numFmtId="0" fontId="13" fillId="0" borderId="58" applyNumberFormat="0"/>
    <xf numFmtId="0" fontId="13" fillId="0" borderId="52" applyNumberFormat="0" applyFont="0" applyFill="0" applyAlignment="0" applyProtection="0"/>
    <xf numFmtId="280" fontId="13" fillId="0" borderId="55" applyFont="0" applyFill="0" applyAlignment="0" applyProtection="0"/>
    <xf numFmtId="280" fontId="13" fillId="36" borderId="55" applyFont="0" applyAlignment="0" applyProtection="0"/>
    <xf numFmtId="168" fontId="41" fillId="0" borderId="55" applyFill="0" applyProtection="0">
      <alignment horizontal="right"/>
    </xf>
    <xf numFmtId="168" fontId="41" fillId="36" borderId="55" applyProtection="0">
      <alignment horizontal="right"/>
    </xf>
    <xf numFmtId="279" fontId="13" fillId="0" borderId="55" applyFont="0" applyFill="0" applyAlignment="0" applyProtection="0"/>
    <xf numFmtId="279" fontId="13" fillId="36" borderId="55" applyFont="0" applyAlignment="0" applyProtection="0"/>
    <xf numFmtId="280" fontId="13" fillId="0" borderId="56" applyFont="0" applyFill="0" applyAlignment="0" applyProtection="0"/>
    <xf numFmtId="0" fontId="41" fillId="0" borderId="55" applyNumberFormat="0" applyFill="0" applyProtection="0">
      <alignment horizontal="right"/>
    </xf>
    <xf numFmtId="0" fontId="41" fillId="36" borderId="55" applyNumberFormat="0" applyProtection="0">
      <alignment horizontal="right"/>
    </xf>
    <xf numFmtId="279" fontId="13" fillId="0" borderId="55" applyFont="0" applyFill="0" applyAlignment="0" applyProtection="0"/>
    <xf numFmtId="279" fontId="13" fillId="36" borderId="55" applyFont="0" applyAlignment="0" applyProtection="0"/>
    <xf numFmtId="280" fontId="13" fillId="0" borderId="56" applyFont="0" applyFill="0" applyAlignment="0" applyProtection="0"/>
    <xf numFmtId="280" fontId="13" fillId="36" borderId="56" applyFont="0" applyAlignment="0" applyProtection="0"/>
    <xf numFmtId="281" fontId="13" fillId="0" borderId="55" applyFont="0" applyFill="0" applyAlignment="0" applyProtection="0"/>
    <xf numFmtId="278" fontId="13" fillId="36" borderId="55" applyFont="0" applyAlignment="0" applyProtection="0"/>
    <xf numFmtId="281" fontId="13" fillId="0" borderId="56" applyFont="0" applyFill="0" applyAlignment="0" applyProtection="0"/>
    <xf numFmtId="281" fontId="13" fillId="36" borderId="56" applyFont="0" applyAlignment="0" applyProtection="0"/>
    <xf numFmtId="0" fontId="13" fillId="0" borderId="52" applyNumberFormat="0" applyFont="0" applyFill="0" applyAlignment="0" applyProtection="0"/>
    <xf numFmtId="280" fontId="13" fillId="0" borderId="55" applyFont="0" applyFill="0" applyAlignment="0" applyProtection="0"/>
    <xf numFmtId="280" fontId="13" fillId="36" borderId="55" applyFont="0" applyAlignment="0" applyProtection="0"/>
    <xf numFmtId="280" fontId="153" fillId="37" borderId="55" applyAlignment="0" applyProtection="0"/>
    <xf numFmtId="280" fontId="153" fillId="37" borderId="56" applyAlignment="0" applyProtection="0"/>
    <xf numFmtId="279" fontId="153" fillId="37" borderId="55" applyAlignment="0" applyProtection="0"/>
    <xf numFmtId="278" fontId="153" fillId="37" borderId="55" applyAlignment="0" applyProtection="0"/>
    <xf numFmtId="278" fontId="153" fillId="37" borderId="56" applyAlignment="0" applyProtection="0"/>
    <xf numFmtId="0" fontId="153" fillId="37" borderId="55" applyNumberFormat="0" applyProtection="0">
      <alignment horizontal="right"/>
    </xf>
    <xf numFmtId="0" fontId="41" fillId="0" borderId="55" applyNumberFormat="0" applyFill="0" applyProtection="0">
      <alignment horizontal="right"/>
    </xf>
    <xf numFmtId="0" fontId="41" fillId="36" borderId="55" applyNumberFormat="0" applyProtection="0">
      <alignment horizontal="right"/>
    </xf>
    <xf numFmtId="279" fontId="13" fillId="0" borderId="55" applyFont="0" applyFill="0" applyAlignment="0" applyProtection="0"/>
    <xf numFmtId="279" fontId="13" fillId="36" borderId="55" applyFont="0" applyAlignment="0" applyProtection="0"/>
    <xf numFmtId="280" fontId="13" fillId="0" borderId="56" applyFont="0" applyFill="0" applyAlignment="0" applyProtection="0"/>
    <xf numFmtId="280" fontId="13" fillId="36" borderId="56" applyFont="0" applyAlignment="0" applyProtection="0"/>
    <xf numFmtId="281" fontId="13" fillId="0" borderId="55" applyFont="0" applyFill="0" applyAlignment="0" applyProtection="0"/>
    <xf numFmtId="278" fontId="13" fillId="36" borderId="55" applyFont="0" applyAlignment="0" applyProtection="0"/>
    <xf numFmtId="281" fontId="13" fillId="0" borderId="56" applyFont="0" applyFill="0" applyAlignment="0" applyProtection="0"/>
    <xf numFmtId="281" fontId="13" fillId="36" borderId="56" applyFont="0" applyAlignment="0" applyProtection="0"/>
    <xf numFmtId="0" fontId="13" fillId="0" borderId="52" applyNumberFormat="0" applyFont="0" applyFill="0" applyAlignment="0" applyProtection="0"/>
    <xf numFmtId="280" fontId="13" fillId="0" borderId="55" applyFont="0" applyFill="0" applyAlignment="0" applyProtection="0"/>
    <xf numFmtId="280" fontId="13" fillId="36" borderId="55" applyFont="0" applyAlignment="0" applyProtection="0"/>
    <xf numFmtId="280" fontId="153" fillId="37" borderId="55" applyAlignment="0" applyProtection="0"/>
    <xf numFmtId="280" fontId="153" fillId="37" borderId="56" applyAlignment="0" applyProtection="0"/>
    <xf numFmtId="279" fontId="153" fillId="37" borderId="55" applyAlignment="0" applyProtection="0"/>
    <xf numFmtId="0" fontId="13" fillId="36" borderId="55" applyNumberFormat="0" applyFont="0" applyProtection="0">
      <alignment horizontal="left"/>
    </xf>
    <xf numFmtId="0" fontId="13" fillId="26" borderId="55" applyNumberFormat="0" applyFont="0" applyProtection="0">
      <alignment horizontal="right"/>
    </xf>
    <xf numFmtId="0" fontId="13" fillId="36" borderId="55" applyNumberFormat="0" applyFont="0" applyProtection="0">
      <alignment horizontal="left"/>
    </xf>
    <xf numFmtId="0" fontId="13" fillId="36" borderId="55" applyNumberFormat="0" applyFont="0" applyProtection="0">
      <alignment horizontal="left"/>
    </xf>
    <xf numFmtId="0" fontId="13" fillId="26" borderId="55" applyNumberFormat="0" applyFont="0" applyProtection="0">
      <alignment horizontal="right"/>
    </xf>
    <xf numFmtId="0" fontId="13" fillId="26" borderId="55" applyNumberFormat="0" applyFont="0" applyProtection="0">
      <alignment horizontal="right"/>
    </xf>
    <xf numFmtId="0" fontId="13" fillId="36" borderId="55" applyNumberFormat="0" applyFont="0" applyProtection="0">
      <alignment horizontal="right"/>
    </xf>
    <xf numFmtId="0" fontId="13" fillId="36" borderId="55" applyNumberFormat="0" applyFont="0" applyProtection="0">
      <alignment horizontal="right"/>
    </xf>
    <xf numFmtId="0" fontId="13" fillId="26" borderId="55" applyNumberFormat="0" applyFont="0" applyProtection="0">
      <alignment horizontal="center"/>
    </xf>
    <xf numFmtId="0" fontId="13" fillId="26" borderId="55" applyNumberFormat="0" applyFont="0" applyProtection="0">
      <alignment horizontal="center"/>
    </xf>
    <xf numFmtId="0" fontId="13" fillId="36" borderId="55" applyNumberFormat="0" applyFont="0" applyProtection="0">
      <alignment horizontal="center"/>
    </xf>
    <xf numFmtId="0" fontId="13" fillId="36" borderId="55" applyNumberFormat="0" applyFont="0" applyProtection="0">
      <alignment horizontal="center"/>
    </xf>
    <xf numFmtId="0" fontId="13" fillId="0" borderId="52" applyNumberFormat="0" applyFont="0" applyFill="0" applyAlignment="0" applyProtection="0"/>
    <xf numFmtId="0" fontId="13" fillId="0" borderId="52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9" applyNumberFormat="0" applyFont="0" applyFill="0" applyAlignment="0" applyProtection="0"/>
    <xf numFmtId="0" fontId="13" fillId="0" borderId="59" applyNumberFormat="0" applyFont="0" applyFill="0" applyAlignment="0" applyProtection="0"/>
    <xf numFmtId="0" fontId="13" fillId="0" borderId="60" applyNumberFormat="0" applyFont="0" applyFill="0" applyAlignment="0" applyProtection="0"/>
    <xf numFmtId="0" fontId="13" fillId="0" borderId="60" applyNumberFormat="0" applyFont="0" applyFill="0" applyAlignment="0" applyProtection="0"/>
    <xf numFmtId="282" fontId="13" fillId="36" borderId="55" applyFont="0" applyProtection="0">
      <alignment horizontal="left"/>
    </xf>
    <xf numFmtId="282" fontId="13" fillId="36" borderId="55" applyFont="0" applyProtection="0">
      <alignment horizontal="left"/>
    </xf>
    <xf numFmtId="282" fontId="13" fillId="26" borderId="55" applyFont="0" applyProtection="0">
      <alignment horizontal="left"/>
    </xf>
    <xf numFmtId="282" fontId="13" fillId="26" borderId="55" applyFont="0" applyProtection="0">
      <alignment horizontal="left"/>
    </xf>
    <xf numFmtId="0" fontId="13" fillId="26" borderId="55" applyNumberFormat="0" applyFont="0" applyProtection="0">
      <alignment horizontal="left"/>
    </xf>
    <xf numFmtId="0" fontId="13" fillId="36" borderId="55" applyNumberFormat="0" applyFont="0" applyProtection="0">
      <alignment horizontal="left"/>
    </xf>
    <xf numFmtId="0" fontId="13" fillId="26" borderId="55" applyNumberFormat="0" applyFont="0" applyProtection="0">
      <alignment horizontal="right"/>
    </xf>
    <xf numFmtId="280" fontId="13" fillId="51" borderId="0" applyAlignment="0" applyProtection="0"/>
    <xf numFmtId="280" fontId="13" fillId="51" borderId="56" applyAlignment="0" applyProtection="0"/>
    <xf numFmtId="280" fontId="13" fillId="51" borderId="55" applyAlignment="0" applyProtection="0"/>
    <xf numFmtId="280" fontId="13" fillId="26" borderId="0" applyAlignment="0" applyProtection="0"/>
    <xf numFmtId="280" fontId="13" fillId="26" borderId="56" applyAlignment="0" applyProtection="0"/>
    <xf numFmtId="280" fontId="13" fillId="26" borderId="55" applyAlignment="0" applyProtection="0"/>
    <xf numFmtId="280" fontId="13" fillId="26" borderId="59" applyAlignment="0" applyProtection="0"/>
    <xf numFmtId="280" fontId="13" fillId="26" borderId="60" applyAlignment="0" applyProtection="0"/>
    <xf numFmtId="280" fontId="13" fillId="26" borderId="61" applyAlignment="0" applyProtection="0"/>
    <xf numFmtId="0" fontId="151" fillId="30" borderId="62" applyNumberFormat="0" applyAlignment="0" applyProtection="0"/>
    <xf numFmtId="0" fontId="41" fillId="26" borderId="59" applyNumberFormat="0" applyProtection="0">
      <alignment horizontal="right"/>
    </xf>
    <xf numFmtId="0" fontId="41" fillId="26" borderId="60" applyNumberFormat="0" applyProtection="0">
      <alignment horizontal="right"/>
    </xf>
    <xf numFmtId="280" fontId="13" fillId="51" borderId="56" applyAlignment="0" applyProtection="0"/>
    <xf numFmtId="0" fontId="41" fillId="26" borderId="61" applyNumberFormat="0" applyProtection="0">
      <alignment horizontal="right"/>
    </xf>
    <xf numFmtId="280" fontId="13" fillId="51" borderId="55" applyAlignment="0" applyProtection="0"/>
    <xf numFmtId="0" fontId="41" fillId="51" borderId="55" applyNumberFormat="0" applyProtection="0">
      <alignment horizontal="right"/>
    </xf>
    <xf numFmtId="280" fontId="13" fillId="26" borderId="56" applyAlignment="0" applyProtection="0"/>
    <xf numFmtId="280" fontId="13" fillId="26" borderId="55" applyAlignment="0" applyProtection="0"/>
    <xf numFmtId="0" fontId="41" fillId="26" borderId="55" applyNumberFormat="0" applyProtection="0">
      <alignment horizontal="right"/>
    </xf>
    <xf numFmtId="0" fontId="13" fillId="0" borderId="0" applyNumberFormat="0" applyFont="0" applyFill="0" applyAlignment="0" applyProtection="0"/>
    <xf numFmtId="0" fontId="13" fillId="0" borderId="0" applyNumberFormat="0" applyFont="0" applyFill="0" applyAlignment="0" applyProtection="0"/>
    <xf numFmtId="0" fontId="13" fillId="0" borderId="53" applyNumberFormat="0" applyFont="0" applyFill="0" applyAlignment="0" applyProtection="0"/>
    <xf numFmtId="0" fontId="13" fillId="0" borderId="53" applyNumberFormat="0" applyFont="0" applyFill="0" applyAlignment="0" applyProtection="0"/>
    <xf numFmtId="0" fontId="13" fillId="0" borderId="54" applyNumberFormat="0" applyFont="0" applyFill="0" applyAlignment="0" applyProtection="0"/>
    <xf numFmtId="0" fontId="13" fillId="0" borderId="54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5" applyNumberFormat="0" applyFont="0" applyFill="0" applyAlignment="0" applyProtection="0"/>
    <xf numFmtId="0" fontId="13" fillId="0" borderId="56" applyNumberFormat="0" applyFont="0" applyFill="0" applyAlignment="0" applyProtection="0"/>
    <xf numFmtId="0" fontId="13" fillId="0" borderId="56" applyNumberFormat="0" applyFont="0" applyFill="0" applyAlignment="0" applyProtection="0"/>
    <xf numFmtId="0" fontId="13" fillId="0" borderId="57" applyNumberFormat="0" applyFont="0" applyFill="0" applyAlignment="0" applyProtection="0"/>
    <xf numFmtId="0" fontId="13" fillId="0" borderId="57" applyNumberFormat="0" applyFont="0" applyFill="0" applyAlignment="0" applyProtection="0"/>
    <xf numFmtId="0" fontId="13" fillId="0" borderId="58" applyNumberFormat="0" applyFont="0" applyFill="0" applyAlignment="0" applyProtection="0"/>
    <xf numFmtId="0" fontId="13" fillId="0" borderId="58" applyNumberFormat="0" applyFont="0" applyFill="0" applyAlignment="0" applyProtection="0"/>
    <xf numFmtId="279" fontId="13" fillId="51" borderId="0" applyAlignment="0" applyProtection="0"/>
    <xf numFmtId="279" fontId="13" fillId="51" borderId="56" applyAlignment="0" applyProtection="0"/>
    <xf numFmtId="279" fontId="13" fillId="51" borderId="55" applyAlignment="0" applyProtection="0"/>
    <xf numFmtId="279" fontId="13" fillId="26" borderId="0" applyAlignment="0" applyProtection="0"/>
    <xf numFmtId="279" fontId="13" fillId="26" borderId="56" applyAlignment="0" applyProtection="0"/>
    <xf numFmtId="279" fontId="13" fillId="26" borderId="55" applyAlignment="0" applyProtection="0"/>
    <xf numFmtId="279" fontId="13" fillId="26" borderId="59" applyAlignment="0" applyProtection="0"/>
    <xf numFmtId="279" fontId="13" fillId="26" borderId="60" applyAlignment="0" applyProtection="0"/>
    <xf numFmtId="279" fontId="13" fillId="26" borderId="61" applyAlignment="0" applyProtection="0"/>
    <xf numFmtId="279" fontId="13" fillId="51" borderId="56" applyAlignment="0" applyProtection="0"/>
    <xf numFmtId="279" fontId="13" fillId="51" borderId="55" applyAlignment="0" applyProtection="0"/>
    <xf numFmtId="279" fontId="13" fillId="26" borderId="56" applyAlignment="0" applyProtection="0"/>
    <xf numFmtId="279" fontId="13" fillId="26" borderId="55" applyAlignment="0" applyProtection="0"/>
    <xf numFmtId="278" fontId="13" fillId="51" borderId="0" applyAlignment="0" applyProtection="0"/>
    <xf numFmtId="278" fontId="13" fillId="51" borderId="56" applyAlignment="0" applyProtection="0"/>
    <xf numFmtId="278" fontId="13" fillId="51" borderId="55" applyAlignment="0" applyProtection="0"/>
    <xf numFmtId="278" fontId="13" fillId="26" borderId="0" applyAlignment="0" applyProtection="0"/>
    <xf numFmtId="278" fontId="13" fillId="26" borderId="56" applyAlignment="0" applyProtection="0"/>
    <xf numFmtId="278" fontId="13" fillId="26" borderId="55" applyAlignment="0" applyProtection="0"/>
    <xf numFmtId="278" fontId="13" fillId="26" borderId="59" applyAlignment="0" applyProtection="0"/>
    <xf numFmtId="278" fontId="13" fillId="26" borderId="60" applyAlignment="0" applyProtection="0"/>
    <xf numFmtId="278" fontId="13" fillId="26" borderId="61" applyAlignment="0" applyProtection="0"/>
    <xf numFmtId="278" fontId="13" fillId="51" borderId="56" applyAlignment="0" applyProtection="0"/>
    <xf numFmtId="278" fontId="13" fillId="51" borderId="56" applyAlignment="0" applyProtection="0"/>
    <xf numFmtId="278" fontId="13" fillId="51" borderId="55" applyAlignment="0" applyProtection="0"/>
    <xf numFmtId="278" fontId="13" fillId="26" borderId="56" applyAlignment="0" applyProtection="0"/>
    <xf numFmtId="278" fontId="13" fillId="26" borderId="56" applyAlignment="0" applyProtection="0"/>
    <xf numFmtId="278" fontId="13" fillId="26" borderId="55" applyAlignment="0" applyProtection="0"/>
    <xf numFmtId="0" fontId="151" fillId="30" borderId="59" applyNumberFormat="0" applyProtection="0">
      <alignment horizontal="right"/>
    </xf>
    <xf numFmtId="0" fontId="151" fillId="30" borderId="60" applyNumberFormat="0" applyProtection="0">
      <alignment horizontal="right"/>
    </xf>
    <xf numFmtId="0" fontId="151" fillId="30" borderId="61" applyNumberFormat="0" applyProtection="0">
      <alignment horizontal="right"/>
    </xf>
    <xf numFmtId="0" fontId="13" fillId="0" borderId="52" applyNumberFormat="0" applyFill="0" applyAlignment="0" applyProtection="0"/>
    <xf numFmtId="0" fontId="13" fillId="0" borderId="62" applyNumberFormat="0" applyFill="0" applyProtection="0">
      <alignment horizontal="center"/>
    </xf>
    <xf numFmtId="0" fontId="153" fillId="52" borderId="55" applyNumberFormat="0" applyProtection="0">
      <alignment horizontal="right"/>
    </xf>
    <xf numFmtId="280" fontId="153" fillId="52" borderId="55" applyProtection="0">
      <alignment horizontal="right"/>
    </xf>
    <xf numFmtId="280" fontId="153" fillId="52" borderId="56" applyProtection="0">
      <alignment horizontal="right"/>
    </xf>
    <xf numFmtId="279" fontId="153" fillId="52" borderId="55" applyProtection="0">
      <alignment horizontal="right"/>
    </xf>
    <xf numFmtId="278" fontId="153" fillId="52" borderId="55" applyProtection="0">
      <alignment horizontal="right"/>
    </xf>
    <xf numFmtId="278" fontId="153" fillId="52" borderId="56" applyProtection="0">
      <alignment horizontal="right"/>
    </xf>
    <xf numFmtId="0" fontId="13" fillId="51" borderId="55" applyNumberFormat="0" applyProtection="0">
      <alignment horizontal="center"/>
    </xf>
    <xf numFmtId="0" fontId="13" fillId="51" borderId="55" applyNumberFormat="0" applyProtection="0">
      <alignment horizontal="left"/>
    </xf>
    <xf numFmtId="282" fontId="13" fillId="51" borderId="55" applyProtection="0">
      <alignment horizontal="left"/>
    </xf>
    <xf numFmtId="0" fontId="13" fillId="51" borderId="55" applyNumberFormat="0" applyProtection="0">
      <alignment horizontal="right"/>
    </xf>
    <xf numFmtId="0" fontId="13" fillId="26" borderId="55" applyNumberFormat="0" applyProtection="0">
      <alignment horizontal="center"/>
    </xf>
    <xf numFmtId="0" fontId="13" fillId="26" borderId="55" applyNumberFormat="0" applyProtection="0">
      <alignment horizontal="left"/>
    </xf>
    <xf numFmtId="282" fontId="13" fillId="26" borderId="55" applyProtection="0">
      <alignment horizontal="left"/>
    </xf>
    <xf numFmtId="0" fontId="13" fillId="26" borderId="55" applyNumberFormat="0" applyProtection="0">
      <alignment horizontal="right"/>
    </xf>
    <xf numFmtId="0" fontId="13" fillId="26" borderId="55" applyNumberFormat="0" applyAlignment="0" applyProtection="0"/>
    <xf numFmtId="0" fontId="13" fillId="26" borderId="59" applyNumberFormat="0" applyAlignment="0" applyProtection="0"/>
    <xf numFmtId="0" fontId="13" fillId="26" borderId="60" applyNumberFormat="0" applyAlignment="0" applyProtection="0"/>
    <xf numFmtId="0" fontId="13" fillId="26" borderId="53" applyNumberFormat="0" applyAlignment="0" applyProtection="0"/>
    <xf numFmtId="0" fontId="13" fillId="26" borderId="57" applyNumberFormat="0" applyAlignment="0" applyProtection="0"/>
    <xf numFmtId="0" fontId="13" fillId="26" borderId="54" applyNumberFormat="0" applyAlignment="0" applyProtection="0"/>
    <xf numFmtId="0" fontId="13" fillId="26" borderId="56" applyNumberFormat="0" applyAlignment="0" applyProtection="0"/>
    <xf numFmtId="0" fontId="37" fillId="0" borderId="0" applyNumberFormat="0" applyBorder="0" applyAlignment="0"/>
    <xf numFmtId="0" fontId="57" fillId="0" borderId="0"/>
    <xf numFmtId="0" fontId="37" fillId="0" borderId="0" applyNumberFormat="0" applyBorder="0" applyAlignment="0"/>
    <xf numFmtId="0" fontId="91" fillId="0" borderId="0" applyNumberFormat="0" applyBorder="0" applyAlignment="0"/>
    <xf numFmtId="0" fontId="79" fillId="0" borderId="0" applyNumberFormat="0" applyBorder="0" applyAlignment="0"/>
    <xf numFmtId="0" fontId="69" fillId="0" borderId="0" applyNumberFormat="0" applyBorder="0" applyAlignment="0"/>
    <xf numFmtId="0" fontId="154" fillId="0" borderId="0" applyNumberFormat="0" applyBorder="0" applyAlignment="0"/>
    <xf numFmtId="0" fontId="132" fillId="0" borderId="0" applyNumberFormat="0" applyBorder="0" applyAlignment="0"/>
    <xf numFmtId="0" fontId="91" fillId="0" borderId="0" applyNumberFormat="0" applyBorder="0" applyAlignment="0"/>
    <xf numFmtId="0" fontId="79" fillId="0" borderId="0" applyNumberFormat="0" applyBorder="0" applyAlignment="0"/>
    <xf numFmtId="0" fontId="79" fillId="0" borderId="0" applyNumberFormat="0" applyBorder="0" applyAlignment="0"/>
    <xf numFmtId="0" fontId="154" fillId="0" borderId="0" applyNumberFormat="0" applyBorder="0" applyAlignment="0"/>
    <xf numFmtId="0" fontId="132" fillId="0" borderId="0" applyNumberFormat="0" applyBorder="0" applyAlignment="0"/>
    <xf numFmtId="0" fontId="40" fillId="0" borderId="0" applyNumberFormat="0" applyBorder="0" applyAlignment="0"/>
    <xf numFmtId="0" fontId="57" fillId="0" borderId="0"/>
    <xf numFmtId="0" fontId="155" fillId="0" borderId="0" applyNumberFormat="0" applyBorder="0" applyAlignment="0"/>
    <xf numFmtId="0" fontId="91" fillId="0" borderId="0" applyNumberFormat="0" applyBorder="0" applyAlignment="0"/>
    <xf numFmtId="0" fontId="79" fillId="0" borderId="0" applyNumberFormat="0" applyBorder="0" applyAlignment="0"/>
    <xf numFmtId="0" fontId="154" fillId="0" borderId="0" applyNumberFormat="0" applyBorder="0" applyAlignment="0"/>
    <xf numFmtId="0" fontId="132" fillId="0" borderId="0" applyNumberFormat="0" applyBorder="0" applyAlignment="0"/>
    <xf numFmtId="0" fontId="91" fillId="0" borderId="0" applyNumberFormat="0" applyBorder="0" applyAlignment="0"/>
    <xf numFmtId="0" fontId="79" fillId="0" borderId="0" applyNumberFormat="0" applyBorder="0" applyAlignment="0"/>
    <xf numFmtId="0" fontId="79" fillId="0" borderId="0" applyNumberFormat="0" applyBorder="0" applyAlignment="0"/>
    <xf numFmtId="0" fontId="69" fillId="0" borderId="0" applyNumberFormat="0" applyBorder="0" applyAlignment="0"/>
    <xf numFmtId="0" fontId="20" fillId="0" borderId="0"/>
    <xf numFmtId="0" fontId="57" fillId="0" borderId="0"/>
    <xf numFmtId="0" fontId="20" fillId="0" borderId="0"/>
    <xf numFmtId="0" fontId="132" fillId="0" borderId="0" applyNumberFormat="0" applyBorder="0" applyAlignment="0"/>
    <xf numFmtId="0" fontId="37" fillId="0" borderId="0" applyNumberFormat="0" applyBorder="0" applyAlignment="0"/>
    <xf numFmtId="0" fontId="57" fillId="0" borderId="0"/>
    <xf numFmtId="0" fontId="91" fillId="0" borderId="0" applyNumberFormat="0" applyBorder="0" applyAlignment="0"/>
    <xf numFmtId="0" fontId="79" fillId="0" borderId="0" applyNumberFormat="0" applyBorder="0" applyAlignment="0"/>
    <xf numFmtId="0" fontId="79" fillId="0" borderId="0" applyNumberFormat="0" applyBorder="0" applyAlignment="0"/>
    <xf numFmtId="0" fontId="69" fillId="0" borderId="0" applyNumberFormat="0" applyBorder="0" applyAlignment="0"/>
    <xf numFmtId="0" fontId="154" fillId="0" borderId="0" applyNumberFormat="0" applyBorder="0" applyAlignment="0"/>
    <xf numFmtId="0" fontId="132" fillId="0" borderId="0" applyNumberFormat="0" applyBorder="0" applyAlignment="0"/>
    <xf numFmtId="3" fontId="24" fillId="0" borderId="19" applyNumberFormat="0" applyFill="0" applyProtection="0"/>
    <xf numFmtId="9" fontId="44" fillId="0" borderId="0" applyNumberFormat="0" applyFill="0" applyAlignment="0" applyProtection="0"/>
    <xf numFmtId="0" fontId="156" fillId="0" borderId="0"/>
    <xf numFmtId="0" fontId="149" fillId="50" borderId="0"/>
    <xf numFmtId="40" fontId="157" fillId="0" borderId="0" applyBorder="0">
      <alignment horizontal="right"/>
    </xf>
    <xf numFmtId="9" fontId="158" fillId="0" borderId="19" applyNumberFormat="0" applyFont="0" applyBorder="0" applyAlignment="0"/>
    <xf numFmtId="0" fontId="159" fillId="0" borderId="0" applyNumberFormat="0" applyFill="0" applyBorder="0" applyAlignment="0" applyProtection="0"/>
    <xf numFmtId="0" fontId="96" fillId="0" borderId="27"/>
    <xf numFmtId="0" fontId="160" fillId="0" borderId="0" applyBorder="0" applyProtection="0">
      <alignment vertical="center"/>
    </xf>
    <xf numFmtId="241" fontId="160" fillId="0" borderId="18" applyBorder="0" applyProtection="0">
      <alignment horizontal="right" vertical="center"/>
    </xf>
    <xf numFmtId="0" fontId="161" fillId="53" borderId="0" applyBorder="0" applyProtection="0">
      <alignment horizontal="centerContinuous" vertical="center"/>
    </xf>
    <xf numFmtId="0" fontId="161" fillId="40" borderId="18" applyBorder="0" applyProtection="0">
      <alignment horizontal="centerContinuous" vertical="center"/>
    </xf>
    <xf numFmtId="0" fontId="162" fillId="0" borderId="0"/>
    <xf numFmtId="0" fontId="163" fillId="0" borderId="50"/>
    <xf numFmtId="0" fontId="85" fillId="0" borderId="0"/>
    <xf numFmtId="0" fontId="164" fillId="0" borderId="0" applyFill="0" applyBorder="0" applyProtection="0">
      <alignment horizontal="left"/>
    </xf>
    <xf numFmtId="0" fontId="106" fillId="0" borderId="15" applyFill="0" applyBorder="0" applyProtection="0">
      <alignment horizontal="left" vertical="top"/>
    </xf>
    <xf numFmtId="0" fontId="124" fillId="0" borderId="0">
      <alignment horizontal="centerContinuous"/>
    </xf>
    <xf numFmtId="0" fontId="165" fillId="37" borderId="0" applyBorder="0">
      <alignment horizontal="left" vertical="center" indent="1"/>
    </xf>
    <xf numFmtId="0" fontId="166" fillId="0" borderId="0"/>
    <xf numFmtId="0" fontId="70" fillId="0" borderId="0">
      <alignment horizontal="left"/>
      <protection locked="0"/>
    </xf>
    <xf numFmtId="0" fontId="167" fillId="0" borderId="0"/>
    <xf numFmtId="49" fontId="37" fillId="0" borderId="0" applyFill="0" applyBorder="0" applyAlignment="0"/>
    <xf numFmtId="224" fontId="13" fillId="0" borderId="0" applyFill="0" applyBorder="0" applyAlignment="0"/>
    <xf numFmtId="0" fontId="13" fillId="0" borderId="0" applyFill="0" applyBorder="0" applyAlignment="0"/>
    <xf numFmtId="283" fontId="57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40" fontId="168" fillId="0" borderId="0"/>
    <xf numFmtId="0" fontId="73" fillId="0" borderId="0" applyNumberFormat="0" applyFont="0" applyBorder="0" applyAlignment="0"/>
    <xf numFmtId="284" fontId="62" fillId="0" borderId="0" applyFont="0" applyFill="0" applyBorder="0" applyAlignment="0" applyProtection="0"/>
    <xf numFmtId="285" fontId="62" fillId="0" borderId="0"/>
    <xf numFmtId="0" fontId="169" fillId="44" borderId="0"/>
    <xf numFmtId="248" fontId="124" fillId="0" borderId="0">
      <alignment horizontal="centerContinuous"/>
    </xf>
    <xf numFmtId="248" fontId="170" fillId="0" borderId="50">
      <alignment horizontal="centerContinuous"/>
    </xf>
    <xf numFmtId="248" fontId="86" fillId="0" borderId="0">
      <alignment horizontal="centerContinuous"/>
      <protection locked="0"/>
    </xf>
    <xf numFmtId="248" fontId="86" fillId="0" borderId="0">
      <alignment horizontal="left"/>
    </xf>
    <xf numFmtId="0" fontId="171" fillId="0" borderId="0">
      <alignment horizontal="center"/>
    </xf>
    <xf numFmtId="0" fontId="171" fillId="0" borderId="0">
      <alignment horizontal="left"/>
    </xf>
    <xf numFmtId="0" fontId="75" fillId="0" borderId="32"/>
    <xf numFmtId="0" fontId="42" fillId="22" borderId="28">
      <alignment horizontal="center" wrapText="1"/>
    </xf>
    <xf numFmtId="0" fontId="20" fillId="0" borderId="32"/>
    <xf numFmtId="0" fontId="20" fillId="0" borderId="32"/>
    <xf numFmtId="0" fontId="172" fillId="0" borderId="0"/>
    <xf numFmtId="0" fontId="120" fillId="0" borderId="64"/>
    <xf numFmtId="0" fontId="120" fillId="0" borderId="27"/>
    <xf numFmtId="178" fontId="13" fillId="0" borderId="0">
      <alignment horizontal="right"/>
    </xf>
    <xf numFmtId="174" fontId="173" fillId="0" borderId="0">
      <alignment horizontal="left"/>
      <protection locked="0"/>
    </xf>
    <xf numFmtId="0" fontId="13" fillId="0" borderId="65" applyNumberFormat="0" applyFont="0" applyFill="0" applyAlignment="0" applyProtection="0"/>
    <xf numFmtId="0" fontId="13" fillId="0" borderId="33" applyNumberFormat="0" applyFont="0" applyFill="0" applyAlignment="0" applyProtection="0"/>
    <xf numFmtId="0" fontId="13" fillId="0" borderId="66" applyNumberFormat="0" applyFont="0" applyFill="0" applyAlignment="0" applyProtection="0"/>
    <xf numFmtId="0" fontId="174" fillId="0" borderId="0">
      <alignment horizontal="fill"/>
    </xf>
    <xf numFmtId="0" fontId="75" fillId="0" borderId="0"/>
    <xf numFmtId="0" fontId="41" fillId="22" borderId="0">
      <alignment horizontal="center"/>
    </xf>
    <xf numFmtId="248" fontId="49" fillId="0" borderId="0"/>
    <xf numFmtId="286" fontId="57" fillId="0" borderId="0" applyFont="0" applyFill="0" applyBorder="0" applyAlignment="0" applyProtection="0">
      <alignment horizontal="right"/>
    </xf>
    <xf numFmtId="199" fontId="175" fillId="43" borderId="0">
      <alignment horizontal="right"/>
    </xf>
    <xf numFmtId="287" fontId="176" fillId="0" borderId="18" applyBorder="0" applyProtection="0">
      <alignment horizontal="right"/>
    </xf>
    <xf numFmtId="288" fontId="78" fillId="0" borderId="0" applyFont="0" applyFill="0" applyBorder="0" applyAlignment="0" applyProtection="0"/>
    <xf numFmtId="0" fontId="177" fillId="0" borderId="0"/>
    <xf numFmtId="0" fontId="57" fillId="0" borderId="0"/>
    <xf numFmtId="0" fontId="11" fillId="0" borderId="0"/>
    <xf numFmtId="0" fontId="56" fillId="0" borderId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20" fillId="0" borderId="73"/>
    <xf numFmtId="0" fontId="47" fillId="0" borderId="0" applyNumberFormat="0" applyFill="0" applyBorder="0" applyProtection="0">
      <alignment vertical="top"/>
    </xf>
    <xf numFmtId="4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3" fillId="0" borderId="0"/>
    <xf numFmtId="0" fontId="10" fillId="0" borderId="0"/>
    <xf numFmtId="0" fontId="9" fillId="0" borderId="0"/>
    <xf numFmtId="0" fontId="8" fillId="0" borderId="0"/>
    <xf numFmtId="0" fontId="8" fillId="0" borderId="0"/>
    <xf numFmtId="44" fontId="13" fillId="0" borderId="0" applyFont="0" applyFill="0" applyBorder="0" applyAlignment="0" applyProtection="0"/>
    <xf numFmtId="0" fontId="13" fillId="0" borderId="0"/>
    <xf numFmtId="0" fontId="57" fillId="0" borderId="0"/>
    <xf numFmtId="174" fontId="14" fillId="0" borderId="0"/>
    <xf numFmtId="174" fontId="14" fillId="0" borderId="0"/>
    <xf numFmtId="0" fontId="14" fillId="0" borderId="0"/>
    <xf numFmtId="174" fontId="14" fillId="0" borderId="0"/>
    <xf numFmtId="0" fontId="181" fillId="0" borderId="0"/>
    <xf numFmtId="0" fontId="181" fillId="0" borderId="0"/>
    <xf numFmtId="0" fontId="7" fillId="56" borderId="0" applyNumberFormat="0" applyBorder="0" applyAlignment="0" applyProtection="0"/>
    <xf numFmtId="0" fontId="7" fillId="56" borderId="0" applyNumberFormat="0" applyBorder="0" applyAlignment="0" applyProtection="0"/>
    <xf numFmtId="0" fontId="7" fillId="57" borderId="0" applyNumberFormat="0" applyBorder="0" applyAlignment="0" applyProtection="0"/>
    <xf numFmtId="0" fontId="7" fillId="57" borderId="0" applyNumberFormat="0" applyBorder="0" applyAlignment="0" applyProtection="0"/>
    <xf numFmtId="0" fontId="7" fillId="58" borderId="0" applyNumberFormat="0" applyBorder="0" applyAlignment="0" applyProtection="0"/>
    <xf numFmtId="0" fontId="7" fillId="58" borderId="0" applyNumberFormat="0" applyBorder="0" applyAlignment="0" applyProtection="0"/>
    <xf numFmtId="0" fontId="7" fillId="59" borderId="0" applyNumberFormat="0" applyBorder="0" applyAlignment="0" applyProtection="0"/>
    <xf numFmtId="0" fontId="7" fillId="59" borderId="0" applyNumberFormat="0" applyBorder="0" applyAlignment="0" applyProtection="0"/>
    <xf numFmtId="0" fontId="7" fillId="60" borderId="0" applyNumberFormat="0" applyBorder="0" applyAlignment="0" applyProtection="0"/>
    <xf numFmtId="0" fontId="7" fillId="60" borderId="0" applyNumberFormat="0" applyBorder="0" applyAlignment="0" applyProtection="0"/>
    <xf numFmtId="0" fontId="7" fillId="61" borderId="0" applyNumberFormat="0" applyBorder="0" applyAlignment="0" applyProtection="0"/>
    <xf numFmtId="0" fontId="7" fillId="61" borderId="0" applyNumberFormat="0" applyBorder="0" applyAlignment="0" applyProtection="0"/>
    <xf numFmtId="0" fontId="7" fillId="62" borderId="0" applyNumberFormat="0" applyBorder="0" applyAlignment="0" applyProtection="0"/>
    <xf numFmtId="0" fontId="7" fillId="62" borderId="0" applyNumberFormat="0" applyBorder="0" applyAlignment="0" applyProtection="0"/>
    <xf numFmtId="0" fontId="7" fillId="63" borderId="0" applyNumberFormat="0" applyBorder="0" applyAlignment="0" applyProtection="0"/>
    <xf numFmtId="0" fontId="7" fillId="63" borderId="0" applyNumberFormat="0" applyBorder="0" applyAlignment="0" applyProtection="0"/>
    <xf numFmtId="0" fontId="7" fillId="64" borderId="0" applyNumberFormat="0" applyBorder="0" applyAlignment="0" applyProtection="0"/>
    <xf numFmtId="0" fontId="7" fillId="64" borderId="0" applyNumberFormat="0" applyBorder="0" applyAlignment="0" applyProtection="0"/>
    <xf numFmtId="0" fontId="7" fillId="65" borderId="0" applyNumberFormat="0" applyBorder="0" applyAlignment="0" applyProtection="0"/>
    <xf numFmtId="0" fontId="7" fillId="65" borderId="0" applyNumberFormat="0" applyBorder="0" applyAlignment="0" applyProtection="0"/>
    <xf numFmtId="0" fontId="7" fillId="66" borderId="0" applyNumberFormat="0" applyBorder="0" applyAlignment="0" applyProtection="0"/>
    <xf numFmtId="0" fontId="7" fillId="66" borderId="0" applyNumberFormat="0" applyBorder="0" applyAlignment="0" applyProtection="0"/>
    <xf numFmtId="0" fontId="7" fillId="67" borderId="0" applyNumberFormat="0" applyBorder="0" applyAlignment="0" applyProtection="0"/>
    <xf numFmtId="0" fontId="7" fillId="67" borderId="0" applyNumberFormat="0" applyBorder="0" applyAlignment="0" applyProtection="0"/>
    <xf numFmtId="0" fontId="178" fillId="68" borderId="0" applyNumberFormat="0" applyBorder="0" applyAlignment="0" applyProtection="0"/>
    <xf numFmtId="0" fontId="178" fillId="68" borderId="0" applyNumberFormat="0" applyBorder="0" applyAlignment="0" applyProtection="0"/>
    <xf numFmtId="0" fontId="178" fillId="69" borderId="0" applyNumberFormat="0" applyBorder="0" applyAlignment="0" applyProtection="0"/>
    <xf numFmtId="0" fontId="178" fillId="69" borderId="0" applyNumberFormat="0" applyBorder="0" applyAlignment="0" applyProtection="0"/>
    <xf numFmtId="0" fontId="178" fillId="70" borderId="0" applyNumberFormat="0" applyBorder="0" applyAlignment="0" applyProtection="0"/>
    <xf numFmtId="0" fontId="178" fillId="70" borderId="0" applyNumberFormat="0" applyBorder="0" applyAlignment="0" applyProtection="0"/>
    <xf numFmtId="0" fontId="178" fillId="71" borderId="0" applyNumberFormat="0" applyBorder="0" applyAlignment="0" applyProtection="0"/>
    <xf numFmtId="0" fontId="178" fillId="71" borderId="0" applyNumberFormat="0" applyBorder="0" applyAlignment="0" applyProtection="0"/>
    <xf numFmtId="0" fontId="178" fillId="72" borderId="0" applyNumberFormat="0" applyBorder="0" applyAlignment="0" applyProtection="0"/>
    <xf numFmtId="0" fontId="178" fillId="72" borderId="0" applyNumberFormat="0" applyBorder="0" applyAlignment="0" applyProtection="0"/>
    <xf numFmtId="0" fontId="178" fillId="73" borderId="0" applyNumberFormat="0" applyBorder="0" applyAlignment="0" applyProtection="0"/>
    <xf numFmtId="0" fontId="178" fillId="73" borderId="0" applyNumberFormat="0" applyBorder="0" applyAlignment="0" applyProtection="0"/>
    <xf numFmtId="0" fontId="15" fillId="74" borderId="0" applyNumberFormat="0" applyBorder="0" applyAlignment="0" applyProtection="0"/>
    <xf numFmtId="0" fontId="15" fillId="74" borderId="0" applyNumberFormat="0" applyBorder="0" applyAlignment="0" applyProtection="0"/>
    <xf numFmtId="0" fontId="16" fillId="75" borderId="0" applyNumberFormat="0" applyBorder="0" applyAlignment="0" applyProtection="0"/>
    <xf numFmtId="0" fontId="178" fillId="76" borderId="0" applyNumberFormat="0" applyBorder="0" applyAlignment="0" applyProtection="0"/>
    <xf numFmtId="0" fontId="178" fillId="76" borderId="0" applyNumberFormat="0" applyBorder="0" applyAlignment="0" applyProtection="0"/>
    <xf numFmtId="0" fontId="15" fillId="77" borderId="0" applyNumberFormat="0" applyBorder="0" applyAlignment="0" applyProtection="0"/>
    <xf numFmtId="0" fontId="15" fillId="50" borderId="0" applyNumberFormat="0" applyBorder="0" applyAlignment="0" applyProtection="0"/>
    <xf numFmtId="0" fontId="16" fillId="78" borderId="0" applyNumberFormat="0" applyBorder="0" applyAlignment="0" applyProtection="0"/>
    <xf numFmtId="0" fontId="178" fillId="79" borderId="0" applyNumberFormat="0" applyBorder="0" applyAlignment="0" applyProtection="0"/>
    <xf numFmtId="0" fontId="178" fillId="79" borderId="0" applyNumberFormat="0" applyBorder="0" applyAlignment="0" applyProtection="0"/>
    <xf numFmtId="0" fontId="15" fillId="77" borderId="0" applyNumberFormat="0" applyBorder="0" applyAlignment="0" applyProtection="0"/>
    <xf numFmtId="0" fontId="15" fillId="80" borderId="0" applyNumberFormat="0" applyBorder="0" applyAlignment="0" applyProtection="0"/>
    <xf numFmtId="0" fontId="16" fillId="50" borderId="0" applyNumberFormat="0" applyBorder="0" applyAlignment="0" applyProtection="0"/>
    <xf numFmtId="0" fontId="178" fillId="81" borderId="0" applyNumberFormat="0" applyBorder="0" applyAlignment="0" applyProtection="0"/>
    <xf numFmtId="0" fontId="178" fillId="81" borderId="0" applyNumberFormat="0" applyBorder="0" applyAlignment="0" applyProtection="0"/>
    <xf numFmtId="0" fontId="15" fillId="74" borderId="0" applyNumberFormat="0" applyBorder="0" applyAlignment="0" applyProtection="0"/>
    <xf numFmtId="0" fontId="15" fillId="50" borderId="0" applyNumberFormat="0" applyBorder="0" applyAlignment="0" applyProtection="0"/>
    <xf numFmtId="0" fontId="16" fillId="50" borderId="0" applyNumberFormat="0" applyBorder="0" applyAlignment="0" applyProtection="0"/>
    <xf numFmtId="0" fontId="178" fillId="82" borderId="0" applyNumberFormat="0" applyBorder="0" applyAlignment="0" applyProtection="0"/>
    <xf numFmtId="0" fontId="178" fillId="82" borderId="0" applyNumberFormat="0" applyBorder="0" applyAlignment="0" applyProtection="0"/>
    <xf numFmtId="0" fontId="15" fillId="83" borderId="0" applyNumberFormat="0" applyBorder="0" applyAlignment="0" applyProtection="0"/>
    <xf numFmtId="0" fontId="15" fillId="74" borderId="0" applyNumberFormat="0" applyBorder="0" applyAlignment="0" applyProtection="0"/>
    <xf numFmtId="0" fontId="16" fillId="75" borderId="0" applyNumberFormat="0" applyBorder="0" applyAlignment="0" applyProtection="0"/>
    <xf numFmtId="0" fontId="178" fillId="84" borderId="0" applyNumberFormat="0" applyBorder="0" applyAlignment="0" applyProtection="0"/>
    <xf numFmtId="0" fontId="178" fillId="84" borderId="0" applyNumberFormat="0" applyBorder="0" applyAlignment="0" applyProtection="0"/>
    <xf numFmtId="0" fontId="15" fillId="77" borderId="0" applyNumberFormat="0" applyBorder="0" applyAlignment="0" applyProtection="0"/>
    <xf numFmtId="0" fontId="15" fillId="85" borderId="0" applyNumberFormat="0" applyBorder="0" applyAlignment="0" applyProtection="0"/>
    <xf numFmtId="0" fontId="16" fillId="85" borderId="0" applyNumberFormat="0" applyBorder="0" applyAlignment="0" applyProtection="0"/>
    <xf numFmtId="0" fontId="178" fillId="86" borderId="0" applyNumberFormat="0" applyBorder="0" applyAlignment="0" applyProtection="0"/>
    <xf numFmtId="0" fontId="178" fillId="86" borderId="0" applyNumberFormat="0" applyBorder="0" applyAlignment="0" applyProtection="0"/>
    <xf numFmtId="0" fontId="182" fillId="87" borderId="0" applyNumberFormat="0" applyBorder="0" applyAlignment="0" applyProtection="0"/>
    <xf numFmtId="0" fontId="182" fillId="87" borderId="0" applyNumberFormat="0" applyBorder="0" applyAlignment="0" applyProtection="0"/>
    <xf numFmtId="298" fontId="48" fillId="0" borderId="77" applyNumberFormat="0" applyFill="0" applyAlignment="0" applyProtection="0">
      <alignment horizontal="center"/>
    </xf>
    <xf numFmtId="299" fontId="48" fillId="0" borderId="67" applyFill="0" applyAlignment="0" applyProtection="0">
      <alignment horizontal="center"/>
    </xf>
    <xf numFmtId="0" fontId="183" fillId="88" borderId="86" applyNumberFormat="0" applyAlignment="0" applyProtection="0"/>
    <xf numFmtId="0" fontId="183" fillId="88" borderId="86" applyNumberFormat="0" applyAlignment="0" applyProtection="0"/>
    <xf numFmtId="0" fontId="179" fillId="89" borderId="87" applyNumberFormat="0" applyAlignment="0" applyProtection="0"/>
    <xf numFmtId="0" fontId="179" fillId="89" borderId="87" applyNumberFormat="0" applyAlignment="0" applyProtection="0"/>
    <xf numFmtId="43" fontId="4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82" applyFont="0" applyFill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47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4" fillId="90" borderId="0" applyNumberFormat="0" applyBorder="0" applyAlignment="0" applyProtection="0"/>
    <xf numFmtId="0" fontId="34" fillId="91" borderId="0" applyNumberFormat="0" applyBorder="0" applyAlignment="0" applyProtection="0"/>
    <xf numFmtId="0" fontId="34" fillId="92" borderId="0" applyNumberFormat="0" applyBorder="0" applyAlignment="0" applyProtection="0"/>
    <xf numFmtId="0" fontId="184" fillId="0" borderId="0" applyNumberFormat="0" applyFill="0" applyBorder="0" applyAlignment="0" applyProtection="0"/>
    <xf numFmtId="0" fontId="184" fillId="0" borderId="0" applyNumberFormat="0" applyFill="0" applyBorder="0" applyAlignment="0" applyProtection="0"/>
    <xf numFmtId="0" fontId="185" fillId="93" borderId="0" applyNumberFormat="0" applyBorder="0" applyAlignment="0" applyProtection="0"/>
    <xf numFmtId="0" fontId="185" fillId="93" borderId="0" applyNumberFormat="0" applyBorder="0" applyAlignment="0" applyProtection="0"/>
    <xf numFmtId="0" fontId="24" fillId="0" borderId="84" applyNumberFormat="0" applyAlignment="0" applyProtection="0">
      <alignment horizontal="left" vertical="center"/>
    </xf>
    <xf numFmtId="0" fontId="24" fillId="0" borderId="84" applyNumberFormat="0" applyAlignment="0" applyProtection="0">
      <alignment horizontal="left" vertical="center"/>
    </xf>
    <xf numFmtId="0" fontId="24" fillId="0" borderId="81">
      <alignment horizontal="left" vertical="center"/>
    </xf>
    <xf numFmtId="0" fontId="24" fillId="0" borderId="81">
      <alignment horizontal="left" vertical="center"/>
    </xf>
    <xf numFmtId="0" fontId="186" fillId="0" borderId="88" applyNumberFormat="0" applyFill="0" applyAlignment="0" applyProtection="0"/>
    <xf numFmtId="0" fontId="186" fillId="0" borderId="88" applyNumberFormat="0" applyFill="0" applyAlignment="0" applyProtection="0"/>
    <xf numFmtId="0" fontId="187" fillId="0" borderId="89" applyNumberFormat="0" applyFill="0" applyAlignment="0" applyProtection="0"/>
    <xf numFmtId="0" fontId="187" fillId="0" borderId="89" applyNumberFormat="0" applyFill="0" applyAlignment="0" applyProtection="0"/>
    <xf numFmtId="0" fontId="188" fillId="0" borderId="90" applyNumberFormat="0" applyFill="0" applyAlignment="0" applyProtection="0"/>
    <xf numFmtId="0" fontId="188" fillId="0" borderId="90" applyNumberFormat="0" applyFill="0" applyAlignment="0" applyProtection="0"/>
    <xf numFmtId="0" fontId="188" fillId="0" borderId="0" applyNumberFormat="0" applyFill="0" applyBorder="0" applyAlignment="0" applyProtection="0"/>
    <xf numFmtId="0" fontId="188" fillId="0" borderId="0" applyNumberFormat="0" applyFill="0" applyBorder="0" applyAlignment="0" applyProtection="0"/>
    <xf numFmtId="0" fontId="189" fillId="0" borderId="67"/>
    <xf numFmtId="10" fontId="23" fillId="23" borderId="85" applyNumberFormat="0" applyBorder="0" applyAlignment="0" applyProtection="0"/>
    <xf numFmtId="10" fontId="23" fillId="23" borderId="85" applyNumberFormat="0" applyBorder="0" applyAlignment="0" applyProtection="0"/>
    <xf numFmtId="0" fontId="190" fillId="94" borderId="86" applyNumberFormat="0" applyAlignment="0" applyProtection="0"/>
    <xf numFmtId="0" fontId="190" fillId="94" borderId="86" applyNumberFormat="0" applyAlignment="0" applyProtection="0"/>
    <xf numFmtId="0" fontId="191" fillId="0" borderId="91" applyNumberFormat="0" applyFill="0" applyAlignment="0" applyProtection="0"/>
    <xf numFmtId="0" fontId="191" fillId="0" borderId="91" applyNumberFormat="0" applyFill="0" applyAlignment="0" applyProtection="0"/>
    <xf numFmtId="0" fontId="181" fillId="95" borderId="0" applyBorder="0"/>
    <xf numFmtId="0" fontId="192" fillId="96" borderId="0" applyNumberFormat="0" applyBorder="0" applyAlignment="0" applyProtection="0"/>
    <xf numFmtId="0" fontId="192" fillId="96" borderId="0" applyNumberFormat="0" applyBorder="0" applyAlignment="0" applyProtection="0"/>
    <xf numFmtId="0" fontId="48" fillId="0" borderId="0" applyNumberFormat="0" applyFill="0" applyAlignment="0" applyProtection="0"/>
    <xf numFmtId="0" fontId="13" fillId="0" borderId="0"/>
    <xf numFmtId="0" fontId="13" fillId="0" borderId="0"/>
    <xf numFmtId="41" fontId="13" fillId="0" borderId="0"/>
    <xf numFmtId="0" fontId="13" fillId="0" borderId="0"/>
    <xf numFmtId="0" fontId="37" fillId="0" borderId="0">
      <alignment vertical="top"/>
    </xf>
    <xf numFmtId="0" fontId="7" fillId="0" borderId="0"/>
    <xf numFmtId="0" fontId="37" fillId="0" borderId="0">
      <alignment vertical="top"/>
    </xf>
    <xf numFmtId="174" fontId="13" fillId="0" borderId="0"/>
    <xf numFmtId="0" fontId="37" fillId="0" borderId="0">
      <alignment vertical="top"/>
    </xf>
    <xf numFmtId="0" fontId="37" fillId="0" borderId="0">
      <alignment vertical="top"/>
    </xf>
    <xf numFmtId="0" fontId="7" fillId="0" borderId="0"/>
    <xf numFmtId="0" fontId="37" fillId="0" borderId="0">
      <alignment vertical="top"/>
    </xf>
    <xf numFmtId="193" fontId="4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1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7" fillId="0" borderId="0"/>
    <xf numFmtId="0" fontId="7" fillId="0" borderId="0"/>
    <xf numFmtId="0" fontId="37" fillId="0" borderId="0">
      <alignment vertical="top"/>
    </xf>
    <xf numFmtId="0" fontId="13" fillId="0" borderId="0"/>
    <xf numFmtId="0" fontId="13" fillId="0" borderId="0"/>
    <xf numFmtId="0" fontId="7" fillId="0" borderId="0"/>
    <xf numFmtId="0" fontId="7" fillId="0" borderId="0"/>
    <xf numFmtId="0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93" fontId="4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" fillId="97" borderId="92" applyNumberFormat="0" applyFont="0" applyAlignment="0" applyProtection="0"/>
    <xf numFmtId="0" fontId="7" fillId="97" borderId="92" applyNumberFormat="0" applyFont="0" applyAlignment="0" applyProtection="0"/>
    <xf numFmtId="298" fontId="48" fillId="0" borderId="0" applyFill="0" applyBorder="0" applyAlignment="0" applyProtection="0"/>
    <xf numFmtId="298" fontId="48" fillId="0" borderId="0" applyFill="0" applyBorder="0" applyAlignment="0" applyProtection="0"/>
    <xf numFmtId="298" fontId="48" fillId="0" borderId="0" applyFill="0" applyBorder="0" applyAlignment="0" applyProtection="0"/>
    <xf numFmtId="300" fontId="48" fillId="0" borderId="0" applyFill="0" applyBorder="0" applyAlignment="0" applyProtection="0"/>
    <xf numFmtId="0" fontId="193" fillId="88" borderId="93" applyNumberFormat="0" applyAlignment="0" applyProtection="0"/>
    <xf numFmtId="0" fontId="193" fillId="88" borderId="93" applyNumberFormat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94" fillId="0" borderId="0" applyNumberFormat="0" applyFill="0" applyBorder="0" applyAlignment="0" applyProtection="0"/>
    <xf numFmtId="0" fontId="48" fillId="0" borderId="67" applyNumberFormat="0" applyFill="0" applyAlignment="0" applyProtection="0"/>
    <xf numFmtId="0" fontId="13" fillId="26" borderId="94" applyNumberFormat="0" applyFont="0" applyProtection="0">
      <alignment horizontal="left" vertical="center"/>
    </xf>
    <xf numFmtId="0" fontId="13" fillId="51" borderId="94" applyNumberFormat="0" applyFont="0" applyProtection="0">
      <alignment horizontal="left" vertical="center"/>
    </xf>
    <xf numFmtId="280" fontId="13" fillId="0" borderId="95" applyFont="0" applyFill="0" applyAlignment="0" applyProtection="0"/>
    <xf numFmtId="0" fontId="13" fillId="0" borderId="96" applyNumberFormat="0" applyFont="0" applyFill="0" applyAlignment="0" applyProtection="0"/>
    <xf numFmtId="280" fontId="13" fillId="36" borderId="55" applyFont="0" applyAlignment="0" applyProtection="0"/>
    <xf numFmtId="0" fontId="153" fillId="37" borderId="55" applyNumberFormat="0" applyProtection="0">
      <alignment horizontal="right"/>
    </xf>
    <xf numFmtId="282" fontId="13" fillId="26" borderId="55" applyFont="0" applyProtection="0">
      <alignment horizontal="left"/>
    </xf>
    <xf numFmtId="0" fontId="13" fillId="0" borderId="55" applyNumberFormat="0" applyFont="0" applyFill="0" applyAlignment="0" applyProtection="0"/>
    <xf numFmtId="0" fontId="13" fillId="0" borderId="56" applyNumberFormat="0" applyFont="0" applyFill="0" applyAlignment="0" applyProtection="0"/>
    <xf numFmtId="0" fontId="13" fillId="0" borderId="58" applyNumberFormat="0" applyFont="0" applyFill="0" applyAlignment="0" applyProtection="0"/>
    <xf numFmtId="0" fontId="195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180" fillId="0" borderId="97" applyNumberFormat="0" applyFill="0" applyAlignment="0" applyProtection="0"/>
    <xf numFmtId="0" fontId="180" fillId="0" borderId="97" applyNumberFormat="0" applyFill="0" applyAlignment="0" applyProtection="0"/>
    <xf numFmtId="0" fontId="196" fillId="0" borderId="0" applyNumberFormat="0" applyFill="0" applyBorder="0" applyAlignment="0" applyProtection="0"/>
    <xf numFmtId="0" fontId="196" fillId="0" borderId="0" applyNumberForma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" fillId="0" borderId="0"/>
    <xf numFmtId="9" fontId="1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97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" fillId="0" borderId="0"/>
    <xf numFmtId="0" fontId="2" fillId="0" borderId="0"/>
    <xf numFmtId="0" fontId="246" fillId="0" borderId="0"/>
    <xf numFmtId="0" fontId="1" fillId="0" borderId="0"/>
    <xf numFmtId="174" fontId="13" fillId="0" borderId="0"/>
    <xf numFmtId="43" fontId="1" fillId="0" borderId="0" applyFont="0" applyFill="0" applyBorder="0" applyAlignment="0" applyProtection="0"/>
  </cellStyleXfs>
  <cellXfs count="1661">
    <xf numFmtId="41" fontId="0" fillId="0" borderId="0" xfId="0" applyNumberFormat="1"/>
    <xf numFmtId="174" fontId="200" fillId="0" borderId="0" xfId="0" applyFont="1"/>
    <xf numFmtId="41" fontId="202" fillId="0" borderId="0" xfId="0" applyNumberFormat="1" applyFont="1"/>
    <xf numFmtId="0" fontId="204" fillId="55" borderId="0" xfId="72" applyFont="1" applyFill="1"/>
    <xf numFmtId="0" fontId="205" fillId="55" borderId="0" xfId="72" applyFont="1" applyFill="1" applyAlignment="1">
      <alignment horizontal="centerContinuous"/>
    </xf>
    <xf numFmtId="0" fontId="206" fillId="55" borderId="0" xfId="72" applyFont="1" applyFill="1"/>
    <xf numFmtId="0" fontId="206" fillId="0" borderId="0" xfId="72" applyFont="1"/>
    <xf numFmtId="0" fontId="207" fillId="55" borderId="0" xfId="72" applyFont="1" applyFill="1"/>
    <xf numFmtId="0" fontId="205" fillId="55" borderId="0" xfId="72" applyFont="1" applyFill="1" applyAlignment="1">
      <alignment horizontal="right"/>
    </xf>
    <xf numFmtId="0" fontId="206" fillId="55" borderId="0" xfId="72" applyFont="1" applyFill="1" applyAlignment="1">
      <alignment horizontal="centerContinuous"/>
    </xf>
    <xf numFmtId="0" fontId="205" fillId="55" borderId="0" xfId="72" applyFont="1" applyFill="1"/>
    <xf numFmtId="166" fontId="206" fillId="55" borderId="0" xfId="1570" applyNumberFormat="1" applyFont="1" applyFill="1" applyAlignment="1">
      <alignment horizontal="centerContinuous"/>
    </xf>
    <xf numFmtId="166" fontId="205" fillId="55" borderId="0" xfId="1570" applyNumberFormat="1" applyFont="1" applyFill="1" applyAlignment="1">
      <alignment horizontal="right"/>
    </xf>
    <xf numFmtId="0" fontId="205" fillId="55" borderId="67" xfId="72" applyFont="1" applyFill="1" applyBorder="1"/>
    <xf numFmtId="166" fontId="205" fillId="55" borderId="67" xfId="1570" applyNumberFormat="1" applyFont="1" applyFill="1" applyBorder="1"/>
    <xf numFmtId="0" fontId="205" fillId="55" borderId="67" xfId="72" applyFont="1" applyFill="1" applyBorder="1" applyAlignment="1">
      <alignment horizontal="right"/>
    </xf>
    <xf numFmtId="3" fontId="205" fillId="55" borderId="67" xfId="28" applyNumberFormat="1" applyFont="1" applyFill="1" applyBorder="1"/>
    <xf numFmtId="4" fontId="205" fillId="55" borderId="67" xfId="28" applyNumberFormat="1" applyFont="1" applyFill="1" applyBorder="1"/>
    <xf numFmtId="167" fontId="205" fillId="55" borderId="67" xfId="59" applyNumberFormat="1" applyFont="1" applyFill="1" applyBorder="1"/>
    <xf numFmtId="166" fontId="206" fillId="55" borderId="0" xfId="1570" applyNumberFormat="1" applyFont="1" applyFill="1"/>
    <xf numFmtId="0" fontId="206" fillId="55" borderId="0" xfId="72" applyFont="1" applyFill="1" applyAlignment="1">
      <alignment horizontal="right"/>
    </xf>
    <xf numFmtId="3" fontId="206" fillId="55" borderId="0" xfId="1570" applyNumberFormat="1" applyFont="1" applyFill="1"/>
    <xf numFmtId="3" fontId="206" fillId="55" borderId="0" xfId="28" applyNumberFormat="1" applyFont="1" applyFill="1"/>
    <xf numFmtId="4" fontId="206" fillId="55" borderId="0" xfId="28" applyNumberFormat="1" applyFont="1" applyFill="1"/>
    <xf numFmtId="167" fontId="206" fillId="55" borderId="0" xfId="59" applyNumberFormat="1" applyFont="1" applyFill="1"/>
    <xf numFmtId="43" fontId="206" fillId="55" borderId="0" xfId="1571" applyFont="1" applyFill="1"/>
    <xf numFmtId="164" fontId="206" fillId="55" borderId="0" xfId="72" applyNumberFormat="1" applyFont="1" applyFill="1" applyAlignment="1">
      <alignment horizontal="right"/>
    </xf>
    <xf numFmtId="165" fontId="206" fillId="55" borderId="0" xfId="1571" applyNumberFormat="1" applyFont="1" applyFill="1"/>
    <xf numFmtId="0" fontId="206" fillId="55" borderId="67" xfId="72" applyFont="1" applyFill="1" applyBorder="1"/>
    <xf numFmtId="165" fontId="206" fillId="55" borderId="67" xfId="1571" applyNumberFormat="1" applyFont="1" applyFill="1" applyBorder="1"/>
    <xf numFmtId="3" fontId="206" fillId="55" borderId="67" xfId="1570" applyNumberFormat="1" applyFont="1" applyFill="1" applyBorder="1"/>
    <xf numFmtId="3" fontId="206" fillId="55" borderId="67" xfId="28" applyNumberFormat="1" applyFont="1" applyFill="1" applyBorder="1"/>
    <xf numFmtId="4" fontId="206" fillId="55" borderId="67" xfId="28" applyNumberFormat="1" applyFont="1" applyFill="1" applyBorder="1"/>
    <xf numFmtId="167" fontId="206" fillId="55" borderId="67" xfId="59" applyNumberFormat="1" applyFont="1" applyFill="1" applyBorder="1"/>
    <xf numFmtId="0" fontId="205" fillId="55" borderId="0" xfId="72" applyFont="1" applyFill="1" applyAlignment="1">
      <alignment horizontal="left"/>
    </xf>
    <xf numFmtId="166" fontId="205" fillId="55" borderId="0" xfId="1570" applyNumberFormat="1" applyFont="1" applyFill="1"/>
    <xf numFmtId="37" fontId="205" fillId="55" borderId="0" xfId="72" applyNumberFormat="1" applyFont="1" applyFill="1"/>
    <xf numFmtId="165" fontId="205" fillId="55" borderId="0" xfId="28" applyNumberFormat="1" applyFont="1" applyFill="1"/>
    <xf numFmtId="167" fontId="205" fillId="55" borderId="0" xfId="59" applyNumberFormat="1" applyFont="1" applyFill="1"/>
    <xf numFmtId="208" fontId="206" fillId="55" borderId="0" xfId="72" applyNumberFormat="1" applyFont="1" applyFill="1"/>
    <xf numFmtId="306" fontId="206" fillId="55" borderId="0" xfId="72" applyNumberFormat="1" applyFont="1" applyFill="1"/>
    <xf numFmtId="165" fontId="206" fillId="55" borderId="0" xfId="72" applyNumberFormat="1" applyFont="1" applyFill="1"/>
    <xf numFmtId="0" fontId="206" fillId="55" borderId="67" xfId="72" applyFont="1" applyFill="1" applyBorder="1" applyAlignment="1">
      <alignment horizontal="right"/>
    </xf>
    <xf numFmtId="10" fontId="206" fillId="55" borderId="67" xfId="1572" applyNumberFormat="1" applyFont="1" applyFill="1" applyBorder="1" applyAlignment="1">
      <alignment horizontal="center"/>
    </xf>
    <xf numFmtId="165" fontId="205" fillId="55" borderId="0" xfId="1571" applyNumberFormat="1" applyFont="1" applyFill="1"/>
    <xf numFmtId="166" fontId="205" fillId="55" borderId="0" xfId="1909" applyNumberFormat="1" applyFont="1" applyFill="1"/>
    <xf numFmtId="0" fontId="205" fillId="55" borderId="67" xfId="72" applyFont="1" applyFill="1" applyBorder="1" applyAlignment="1">
      <alignment horizontal="left"/>
    </xf>
    <xf numFmtId="165" fontId="205" fillId="55" borderId="67" xfId="72" applyNumberFormat="1" applyFont="1" applyFill="1" applyBorder="1"/>
    <xf numFmtId="3" fontId="205" fillId="55" borderId="67" xfId="1570" applyNumberFormat="1" applyFont="1" applyFill="1" applyBorder="1"/>
    <xf numFmtId="0" fontId="206" fillId="55" borderId="0" xfId="72" applyFont="1" applyFill="1" applyAlignment="1">
      <alignment horizontal="left"/>
    </xf>
    <xf numFmtId="1" fontId="206" fillId="55" borderId="0" xfId="1570" applyNumberFormat="1" applyFont="1" applyFill="1"/>
    <xf numFmtId="2" fontId="206" fillId="55" borderId="0" xfId="1570" applyNumberFormat="1" applyFont="1" applyFill="1"/>
    <xf numFmtId="3" fontId="205" fillId="55" borderId="0" xfId="28" applyNumberFormat="1" applyFont="1" applyFill="1"/>
    <xf numFmtId="4" fontId="205" fillId="55" borderId="0" xfId="28" applyNumberFormat="1" applyFont="1" applyFill="1"/>
    <xf numFmtId="37" fontId="206" fillId="55" borderId="0" xfId="72" applyNumberFormat="1" applyFont="1" applyFill="1"/>
    <xf numFmtId="164" fontId="206" fillId="55" borderId="0" xfId="1570" applyNumberFormat="1" applyFont="1" applyFill="1"/>
    <xf numFmtId="165" fontId="205" fillId="55" borderId="0" xfId="1571" applyNumberFormat="1" applyFont="1" applyFill="1" applyAlignment="1">
      <alignment horizontal="center"/>
    </xf>
    <xf numFmtId="10" fontId="205" fillId="55" borderId="0" xfId="71" applyNumberFormat="1" applyFont="1" applyFill="1"/>
    <xf numFmtId="164" fontId="205" fillId="55" borderId="0" xfId="1570" applyNumberFormat="1" applyFont="1" applyFill="1"/>
    <xf numFmtId="10" fontId="205" fillId="55" borderId="67" xfId="1572" applyNumberFormat="1" applyFont="1" applyFill="1" applyBorder="1" applyAlignment="1">
      <alignment horizontal="center"/>
    </xf>
    <xf numFmtId="166" fontId="205" fillId="55" borderId="67" xfId="72" applyNumberFormat="1" applyFont="1" applyFill="1" applyBorder="1"/>
    <xf numFmtId="10" fontId="205" fillId="55" borderId="0" xfId="1572" applyNumberFormat="1" applyFont="1" applyFill="1" applyAlignment="1">
      <alignment horizontal="center"/>
    </xf>
    <xf numFmtId="166" fontId="205" fillId="55" borderId="0" xfId="72" applyNumberFormat="1" applyFont="1" applyFill="1"/>
    <xf numFmtId="10" fontId="206" fillId="55" borderId="0" xfId="1572" applyNumberFormat="1" applyFont="1" applyFill="1"/>
    <xf numFmtId="10" fontId="206" fillId="55" borderId="0" xfId="1572" applyNumberFormat="1" applyFont="1" applyFill="1" applyAlignment="1">
      <alignment horizontal="center"/>
    </xf>
    <xf numFmtId="0" fontId="205" fillId="55" borderId="123" xfId="72" applyFont="1" applyFill="1" applyBorder="1"/>
    <xf numFmtId="10" fontId="205" fillId="55" borderId="123" xfId="1572" applyNumberFormat="1" applyFont="1" applyFill="1" applyBorder="1" applyAlignment="1">
      <alignment horizontal="center"/>
    </xf>
    <xf numFmtId="37" fontId="205" fillId="55" borderId="123" xfId="72" applyNumberFormat="1" applyFont="1" applyFill="1" applyBorder="1"/>
    <xf numFmtId="166" fontId="205" fillId="55" borderId="123" xfId="1570" applyNumberFormat="1" applyFont="1" applyFill="1" applyBorder="1"/>
    <xf numFmtId="9" fontId="205" fillId="55" borderId="123" xfId="59" applyFont="1" applyFill="1" applyBorder="1"/>
    <xf numFmtId="10" fontId="205" fillId="55" borderId="123" xfId="1572" applyNumberFormat="1" applyFont="1" applyFill="1" applyBorder="1"/>
    <xf numFmtId="167" fontId="205" fillId="55" borderId="123" xfId="59" applyNumberFormat="1" applyFont="1" applyFill="1" applyBorder="1"/>
    <xf numFmtId="10" fontId="205" fillId="55" borderId="67" xfId="1572" applyNumberFormat="1" applyFont="1" applyFill="1" applyBorder="1"/>
    <xf numFmtId="305" fontId="206" fillId="55" borderId="67" xfId="1572" applyNumberFormat="1" applyFont="1" applyFill="1" applyBorder="1" applyAlignment="1">
      <alignment horizontal="center"/>
    </xf>
    <xf numFmtId="10" fontId="205" fillId="55" borderId="67" xfId="59" applyNumberFormat="1" applyFont="1" applyFill="1" applyBorder="1"/>
    <xf numFmtId="295" fontId="206" fillId="55" borderId="0" xfId="72" applyNumberFormat="1" applyFont="1" applyFill="1"/>
    <xf numFmtId="175" fontId="206" fillId="55" borderId="0" xfId="1570" applyNumberFormat="1" applyFont="1" applyFill="1"/>
    <xf numFmtId="0" fontId="206" fillId="55" borderId="67" xfId="72" applyFont="1" applyFill="1" applyBorder="1" applyAlignment="1">
      <alignment horizontal="left"/>
    </xf>
    <xf numFmtId="43" fontId="205" fillId="55" borderId="0" xfId="28" applyFont="1" applyFill="1"/>
    <xf numFmtId="44" fontId="205" fillId="55" borderId="67" xfId="1570" applyFont="1" applyFill="1" applyBorder="1"/>
    <xf numFmtId="0" fontId="206" fillId="55" borderId="0" xfId="72" applyFont="1" applyFill="1" applyAlignment="1">
      <alignment horizontal="center"/>
    </xf>
    <xf numFmtId="0" fontId="208" fillId="55" borderId="0" xfId="72" applyFont="1" applyFill="1"/>
    <xf numFmtId="166" fontId="208" fillId="55" borderId="0" xfId="1570" applyNumberFormat="1" applyFont="1" applyFill="1"/>
    <xf numFmtId="0" fontId="208" fillId="55" borderId="0" xfId="72" applyFont="1" applyFill="1" applyAlignment="1">
      <alignment horizontal="right"/>
    </xf>
    <xf numFmtId="3" fontId="208" fillId="55" borderId="0" xfId="1570" applyNumberFormat="1" applyFont="1" applyFill="1"/>
    <xf numFmtId="3" fontId="208" fillId="55" borderId="0" xfId="28" applyNumberFormat="1" applyFont="1" applyFill="1"/>
    <xf numFmtId="4" fontId="208" fillId="55" borderId="0" xfId="28" applyNumberFormat="1" applyFont="1" applyFill="1"/>
    <xf numFmtId="167" fontId="208" fillId="55" borderId="0" xfId="59" applyNumberFormat="1" applyFont="1" applyFill="1"/>
    <xf numFmtId="289" fontId="206" fillId="55" borderId="67" xfId="71" applyNumberFormat="1" applyFont="1" applyFill="1" applyBorder="1"/>
    <xf numFmtId="166" fontId="206" fillId="55" borderId="67" xfId="72" applyNumberFormat="1" applyFont="1" applyFill="1" applyBorder="1"/>
    <xf numFmtId="3" fontId="205" fillId="55" borderId="67" xfId="72" applyNumberFormat="1" applyFont="1" applyFill="1" applyBorder="1"/>
    <xf numFmtId="44" fontId="206" fillId="55" borderId="0" xfId="1909" applyFont="1" applyFill="1"/>
    <xf numFmtId="290" fontId="206" fillId="55" borderId="0" xfId="71" applyNumberFormat="1" applyFont="1" applyFill="1" applyAlignment="1">
      <alignment horizontal="center"/>
    </xf>
    <xf numFmtId="10" fontId="206" fillId="55" borderId="0" xfId="59" applyNumberFormat="1" applyFont="1" applyFill="1" applyAlignment="1">
      <alignment horizontal="right"/>
    </xf>
    <xf numFmtId="37" fontId="206" fillId="55" borderId="67" xfId="72" applyNumberFormat="1" applyFont="1" applyFill="1" applyBorder="1"/>
    <xf numFmtId="290" fontId="205" fillId="55" borderId="0" xfId="71" applyNumberFormat="1" applyFont="1" applyFill="1" applyAlignment="1">
      <alignment horizontal="center"/>
    </xf>
    <xf numFmtId="1" fontId="205" fillId="55" borderId="0" xfId="72" applyNumberFormat="1" applyFont="1" applyFill="1" applyAlignment="1">
      <alignment horizontal="center"/>
    </xf>
    <xf numFmtId="164" fontId="205" fillId="55" borderId="0" xfId="72" applyNumberFormat="1" applyFont="1" applyFill="1"/>
    <xf numFmtId="165" fontId="206" fillId="55" borderId="67" xfId="72" applyNumberFormat="1" applyFont="1" applyFill="1" applyBorder="1"/>
    <xf numFmtId="290" fontId="205" fillId="55" borderId="67" xfId="71" applyNumberFormat="1" applyFont="1" applyFill="1" applyBorder="1" applyAlignment="1">
      <alignment horizontal="center"/>
    </xf>
    <xf numFmtId="10" fontId="206" fillId="55" borderId="0" xfId="71" applyNumberFormat="1" applyFont="1" applyFill="1" applyAlignment="1">
      <alignment horizontal="right"/>
    </xf>
    <xf numFmtId="37" fontId="205" fillId="55" borderId="67" xfId="72" applyNumberFormat="1" applyFont="1" applyFill="1" applyBorder="1"/>
    <xf numFmtId="3" fontId="205" fillId="55" borderId="67" xfId="71" applyNumberFormat="1" applyFont="1" applyFill="1" applyBorder="1" applyAlignment="1">
      <alignment horizontal="right"/>
    </xf>
    <xf numFmtId="307" fontId="205" fillId="55" borderId="67" xfId="71" applyNumberFormat="1" applyFont="1" applyFill="1" applyBorder="1" applyAlignment="1">
      <alignment horizontal="right"/>
    </xf>
    <xf numFmtId="3" fontId="206" fillId="55" borderId="0" xfId="71" applyNumberFormat="1" applyFont="1" applyFill="1" applyAlignment="1">
      <alignment horizontal="right"/>
    </xf>
    <xf numFmtId="307" fontId="206" fillId="55" borderId="0" xfId="71" applyNumberFormat="1" applyFont="1" applyFill="1" applyAlignment="1">
      <alignment horizontal="right"/>
    </xf>
    <xf numFmtId="3" fontId="206" fillId="55" borderId="67" xfId="72" applyNumberFormat="1" applyFont="1" applyFill="1" applyBorder="1" applyAlignment="1">
      <alignment horizontal="right"/>
    </xf>
    <xf numFmtId="0" fontId="206" fillId="55" borderId="67" xfId="72" applyFont="1" applyFill="1" applyBorder="1" applyAlignment="1">
      <alignment horizontal="center"/>
    </xf>
    <xf numFmtId="0" fontId="205" fillId="55" borderId="0" xfId="72" applyFont="1" applyFill="1" applyAlignment="1">
      <alignment horizontal="center"/>
    </xf>
    <xf numFmtId="9" fontId="205" fillId="55" borderId="0" xfId="71" applyFont="1" applyFill="1" applyAlignment="1">
      <alignment horizontal="center"/>
    </xf>
    <xf numFmtId="9" fontId="206" fillId="55" borderId="0" xfId="71" applyFont="1" applyFill="1" applyAlignment="1">
      <alignment horizontal="center"/>
    </xf>
    <xf numFmtId="166" fontId="206" fillId="55" borderId="0" xfId="72" applyNumberFormat="1" applyFont="1" applyFill="1"/>
    <xf numFmtId="44" fontId="206" fillId="55" borderId="0" xfId="72" applyNumberFormat="1" applyFont="1" applyFill="1" applyAlignment="1">
      <alignment horizontal="center"/>
    </xf>
    <xf numFmtId="166" fontId="206" fillId="55" borderId="0" xfId="1570" applyNumberFormat="1" applyFont="1" applyFill="1" applyAlignment="1">
      <alignment horizontal="left"/>
    </xf>
    <xf numFmtId="9" fontId="205" fillId="55" borderId="67" xfId="71" applyFont="1" applyFill="1" applyBorder="1"/>
    <xf numFmtId="9" fontId="206" fillId="55" borderId="0" xfId="71" applyFont="1" applyFill="1"/>
    <xf numFmtId="1" fontId="206" fillId="55" borderId="0" xfId="71" applyNumberFormat="1" applyFont="1" applyFill="1"/>
    <xf numFmtId="41" fontId="206" fillId="55" borderId="0" xfId="76" applyNumberFormat="1" applyFont="1" applyFill="1" applyProtection="1">
      <protection locked="0"/>
    </xf>
    <xf numFmtId="1" fontId="206" fillId="55" borderId="0" xfId="72" applyNumberFormat="1" applyFont="1" applyFill="1" applyAlignment="1">
      <alignment horizontal="right"/>
    </xf>
    <xf numFmtId="10" fontId="205" fillId="55" borderId="0" xfId="59" applyNumberFormat="1" applyFont="1" applyFill="1"/>
    <xf numFmtId="166" fontId="206" fillId="55" borderId="67" xfId="1570" applyNumberFormat="1" applyFont="1" applyFill="1" applyBorder="1"/>
    <xf numFmtId="3" fontId="205" fillId="55" borderId="0" xfId="1570" applyNumberFormat="1" applyFont="1" applyFill="1"/>
    <xf numFmtId="164" fontId="206" fillId="55" borderId="0" xfId="72" applyNumberFormat="1" applyFont="1" applyFill="1"/>
    <xf numFmtId="10" fontId="206" fillId="55" borderId="0" xfId="59" applyNumberFormat="1" applyFont="1" applyFill="1"/>
    <xf numFmtId="166" fontId="206" fillId="55" borderId="0" xfId="1570" applyNumberFormat="1" applyFont="1" applyFill="1" applyAlignment="1">
      <alignment horizontal="right"/>
    </xf>
    <xf numFmtId="0" fontId="206" fillId="55" borderId="0" xfId="1573" applyFont="1" applyFill="1"/>
    <xf numFmtId="308" fontId="206" fillId="55" borderId="0" xfId="1573" applyNumberFormat="1" applyFont="1" applyFill="1"/>
    <xf numFmtId="164" fontId="205" fillId="55" borderId="123" xfId="72" applyNumberFormat="1" applyFont="1" applyFill="1" applyBorder="1"/>
    <xf numFmtId="164" fontId="205" fillId="55" borderId="123" xfId="72" applyNumberFormat="1" applyFont="1" applyFill="1" applyBorder="1" applyAlignment="1">
      <alignment horizontal="right"/>
    </xf>
    <xf numFmtId="3" fontId="205" fillId="55" borderId="123" xfId="28" applyNumberFormat="1" applyFont="1" applyFill="1" applyBorder="1"/>
    <xf numFmtId="4" fontId="205" fillId="55" borderId="123" xfId="28" applyNumberFormat="1" applyFont="1" applyFill="1" applyBorder="1"/>
    <xf numFmtId="44" fontId="206" fillId="55" borderId="0" xfId="72" applyNumberFormat="1" applyFont="1" applyFill="1"/>
    <xf numFmtId="9" fontId="206" fillId="55" borderId="0" xfId="59" applyFont="1" applyFill="1"/>
    <xf numFmtId="0" fontId="205" fillId="55" borderId="123" xfId="72" applyFont="1" applyFill="1" applyBorder="1" applyAlignment="1">
      <alignment horizontal="right"/>
    </xf>
    <xf numFmtId="10" fontId="206" fillId="55" borderId="0" xfId="71" applyNumberFormat="1" applyFont="1" applyFill="1"/>
    <xf numFmtId="165" fontId="205" fillId="55" borderId="67" xfId="1571" applyNumberFormat="1" applyFont="1" applyFill="1" applyBorder="1"/>
    <xf numFmtId="0" fontId="206" fillId="55" borderId="0" xfId="723" applyFont="1" applyFill="1"/>
    <xf numFmtId="3" fontId="206" fillId="55" borderId="0" xfId="723" applyNumberFormat="1" applyFont="1" applyFill="1" applyAlignment="1">
      <alignment horizontal="right"/>
    </xf>
    <xf numFmtId="0" fontId="205" fillId="55" borderId="0" xfId="723" applyFont="1" applyFill="1"/>
    <xf numFmtId="3" fontId="205" fillId="55" borderId="0" xfId="723" applyNumberFormat="1" applyFont="1" applyFill="1" applyAlignment="1">
      <alignment horizontal="right"/>
    </xf>
    <xf numFmtId="0" fontId="206" fillId="55" borderId="0" xfId="723" applyFont="1" applyFill="1" applyAlignment="1">
      <alignment horizontal="left" indent="1"/>
    </xf>
    <xf numFmtId="166" fontId="206" fillId="55" borderId="0" xfId="1909" applyNumberFormat="1" applyFont="1" applyFill="1" applyAlignment="1">
      <alignment horizontal="right"/>
    </xf>
    <xf numFmtId="0" fontId="205" fillId="55" borderId="67" xfId="723" applyFont="1" applyFill="1" applyBorder="1"/>
    <xf numFmtId="166" fontId="205" fillId="55" borderId="67" xfId="1909" applyNumberFormat="1" applyFont="1" applyFill="1" applyBorder="1"/>
    <xf numFmtId="3" fontId="206" fillId="0" borderId="0" xfId="72" applyNumberFormat="1" applyFont="1"/>
    <xf numFmtId="166" fontId="206" fillId="55" borderId="0" xfId="1909" applyNumberFormat="1" applyFont="1" applyFill="1"/>
    <xf numFmtId="165" fontId="206" fillId="55" borderId="67" xfId="28" applyNumberFormat="1" applyFont="1" applyFill="1" applyBorder="1" applyAlignment="1">
      <alignment horizontal="left"/>
    </xf>
    <xf numFmtId="165" fontId="205" fillId="55" borderId="67" xfId="28" applyNumberFormat="1" applyFont="1" applyFill="1" applyBorder="1"/>
    <xf numFmtId="43" fontId="205" fillId="55" borderId="67" xfId="28" applyFont="1" applyFill="1" applyBorder="1"/>
    <xf numFmtId="0" fontId="206" fillId="0" borderId="0" xfId="72" applyFont="1" applyAlignment="1">
      <alignment horizontal="left"/>
    </xf>
    <xf numFmtId="37" fontId="206" fillId="0" borderId="0" xfId="72" applyNumberFormat="1" applyFont="1"/>
    <xf numFmtId="0" fontId="206" fillId="0" borderId="0" xfId="72" applyFont="1" applyAlignment="1">
      <alignment horizontal="right"/>
    </xf>
    <xf numFmtId="0" fontId="205" fillId="0" borderId="0" xfId="72" applyFont="1" applyAlignment="1">
      <alignment horizontal="right"/>
    </xf>
    <xf numFmtId="37" fontId="205" fillId="0" borderId="0" xfId="72" applyNumberFormat="1" applyFont="1"/>
    <xf numFmtId="0" fontId="205" fillId="0" borderId="0" xfId="72" applyFont="1"/>
    <xf numFmtId="0" fontId="206" fillId="0" borderId="0" xfId="0" applyNumberFormat="1" applyFont="1" applyAlignment="1">
      <alignment horizontal="center"/>
    </xf>
    <xf numFmtId="41" fontId="206" fillId="0" borderId="0" xfId="0" applyNumberFormat="1" applyFont="1" applyAlignment="1">
      <alignment horizontal="center"/>
    </xf>
    <xf numFmtId="1" fontId="206" fillId="0" borderId="0" xfId="0" applyNumberFormat="1" applyFont="1" applyAlignment="1">
      <alignment horizontal="center"/>
    </xf>
    <xf numFmtId="41" fontId="206" fillId="0" borderId="0" xfId="0" applyNumberFormat="1" applyFont="1"/>
    <xf numFmtId="41" fontId="209" fillId="0" borderId="0" xfId="0" applyNumberFormat="1" applyFont="1"/>
    <xf numFmtId="41" fontId="205" fillId="0" borderId="0" xfId="0" applyNumberFormat="1" applyFont="1" applyAlignment="1">
      <alignment horizontal="center" wrapText="1"/>
    </xf>
    <xf numFmtId="9" fontId="205" fillId="0" borderId="0" xfId="59" applyFont="1" applyAlignment="1">
      <alignment horizontal="right" wrapText="1"/>
    </xf>
    <xf numFmtId="41" fontId="205" fillId="0" borderId="0" xfId="0" applyNumberFormat="1" applyFont="1" applyAlignment="1">
      <alignment horizontal="right" wrapText="1"/>
    </xf>
    <xf numFmtId="166" fontId="206" fillId="0" borderId="0" xfId="0" applyNumberFormat="1" applyFont="1" applyAlignment="1">
      <alignment horizontal="center"/>
    </xf>
    <xf numFmtId="41" fontId="205" fillId="0" borderId="25" xfId="0" applyNumberFormat="1" applyFont="1" applyBorder="1" applyAlignment="1">
      <alignment horizontal="center"/>
    </xf>
    <xf numFmtId="41" fontId="206" fillId="0" borderId="25" xfId="0" applyNumberFormat="1" applyFont="1" applyBorder="1"/>
    <xf numFmtId="41" fontId="210" fillId="0" borderId="25" xfId="0" applyNumberFormat="1" applyFont="1" applyBorder="1" applyAlignment="1">
      <alignment horizontal="right" wrapText="1"/>
    </xf>
    <xf numFmtId="0" fontId="205" fillId="0" borderId="0" xfId="0" applyNumberFormat="1" applyFont="1" applyAlignment="1">
      <alignment horizontal="center"/>
    </xf>
    <xf numFmtId="41" fontId="205" fillId="0" borderId="0" xfId="0" applyNumberFormat="1" applyFont="1" applyAlignment="1">
      <alignment horizontal="center"/>
    </xf>
    <xf numFmtId="10" fontId="205" fillId="0" borderId="0" xfId="59" applyNumberFormat="1" applyFont="1" applyAlignment="1">
      <alignment horizontal="right"/>
    </xf>
    <xf numFmtId="9" fontId="205" fillId="0" borderId="0" xfId="59" applyFont="1" applyAlignment="1">
      <alignment horizontal="right"/>
    </xf>
    <xf numFmtId="41" fontId="205" fillId="0" borderId="0" xfId="0" applyNumberFormat="1" applyFont="1" applyAlignment="1">
      <alignment horizontal="right"/>
    </xf>
    <xf numFmtId="166" fontId="211" fillId="0" borderId="0" xfId="0" applyNumberFormat="1" applyFont="1" applyAlignment="1">
      <alignment horizontal="center"/>
    </xf>
    <xf numFmtId="41" fontId="206" fillId="0" borderId="0" xfId="0" applyNumberFormat="1" applyFont="1" applyAlignment="1">
      <alignment horizontal="right"/>
    </xf>
    <xf numFmtId="0" fontId="211" fillId="31" borderId="119" xfId="0" applyNumberFormat="1" applyFont="1" applyFill="1" applyBorder="1" applyAlignment="1">
      <alignment horizontal="center" wrapText="1"/>
    </xf>
    <xf numFmtId="166" fontId="211" fillId="31" borderId="119" xfId="28" applyNumberFormat="1" applyFont="1" applyFill="1" applyBorder="1" applyAlignment="1">
      <alignment horizontal="right" wrapText="1"/>
    </xf>
    <xf numFmtId="41" fontId="206" fillId="0" borderId="0" xfId="0" applyNumberFormat="1" applyFont="1" applyAlignment="1">
      <alignment wrapText="1"/>
    </xf>
    <xf numFmtId="171" fontId="201" fillId="0" borderId="116" xfId="28" applyNumberFormat="1" applyFont="1" applyBorder="1" applyAlignment="1">
      <alignment horizontal="center" wrapText="1"/>
    </xf>
    <xf numFmtId="3" fontId="201" fillId="0" borderId="117" xfId="28" applyNumberFormat="1" applyFont="1" applyBorder="1" applyAlignment="1">
      <alignment wrapText="1"/>
    </xf>
    <xf numFmtId="3" fontId="201" fillId="0" borderId="116" xfId="28" applyNumberFormat="1" applyFont="1" applyBorder="1" applyAlignment="1">
      <alignment wrapText="1"/>
    </xf>
    <xf numFmtId="4" fontId="201" fillId="0" borderId="116" xfId="28" applyNumberFormat="1" applyFont="1" applyBorder="1" applyAlignment="1">
      <alignment wrapText="1"/>
    </xf>
    <xf numFmtId="3" fontId="201" fillId="0" borderId="107" xfId="28" applyNumberFormat="1" applyFont="1" applyBorder="1" applyAlignment="1">
      <alignment wrapText="1"/>
    </xf>
    <xf numFmtId="3" fontId="206" fillId="0" borderId="116" xfId="28" applyNumberFormat="1" applyFont="1" applyBorder="1" applyAlignment="1">
      <alignment wrapText="1"/>
    </xf>
    <xf numFmtId="3" fontId="201" fillId="0" borderId="118" xfId="28" applyNumberFormat="1" applyFont="1" applyBorder="1" applyAlignment="1">
      <alignment wrapText="1"/>
    </xf>
    <xf numFmtId="0" fontId="206" fillId="98" borderId="0" xfId="1906" applyFont="1" applyFill="1"/>
    <xf numFmtId="171" fontId="201" fillId="0" borderId="107" xfId="28" applyNumberFormat="1" applyFont="1" applyBorder="1" applyAlignment="1">
      <alignment horizontal="center" wrapText="1"/>
    </xf>
    <xf numFmtId="3" fontId="201" fillId="0" borderId="114" xfId="28" applyNumberFormat="1" applyFont="1" applyBorder="1" applyAlignment="1">
      <alignment wrapText="1"/>
    </xf>
    <xf numFmtId="4" fontId="201" fillId="0" borderId="107" xfId="28" applyNumberFormat="1" applyFont="1" applyBorder="1" applyAlignment="1">
      <alignment wrapText="1"/>
    </xf>
    <xf numFmtId="3" fontId="206" fillId="0" borderId="107" xfId="28" applyNumberFormat="1" applyFont="1" applyBorder="1" applyAlignment="1">
      <alignment wrapText="1"/>
    </xf>
    <xf numFmtId="3" fontId="201" fillId="0" borderId="108" xfId="28" applyNumberFormat="1" applyFont="1" applyBorder="1" applyAlignment="1">
      <alignment wrapText="1"/>
    </xf>
    <xf numFmtId="41" fontId="206" fillId="0" borderId="0" xfId="0" applyNumberFormat="1" applyFont="1" applyAlignment="1">
      <alignment horizontal="right" wrapText="1"/>
    </xf>
    <xf numFmtId="166" fontId="206" fillId="0" borderId="0" xfId="0" applyNumberFormat="1" applyFont="1" applyAlignment="1">
      <alignment horizontal="right"/>
    </xf>
    <xf numFmtId="41" fontId="205" fillId="0" borderId="0" xfId="0" applyNumberFormat="1" applyFont="1"/>
    <xf numFmtId="0" fontId="212" fillId="0" borderId="0" xfId="1906" applyFont="1"/>
    <xf numFmtId="41" fontId="213" fillId="0" borderId="0" xfId="0" applyNumberFormat="1" applyFont="1"/>
    <xf numFmtId="41" fontId="213" fillId="0" borderId="0" xfId="0" applyNumberFormat="1" applyFont="1" applyAlignment="1">
      <alignment horizontal="center"/>
    </xf>
    <xf numFmtId="3" fontId="201" fillId="0" borderId="110" xfId="28" applyNumberFormat="1" applyFont="1" applyBorder="1" applyAlignment="1">
      <alignment wrapText="1"/>
    </xf>
    <xf numFmtId="3" fontId="206" fillId="0" borderId="110" xfId="28" applyNumberFormat="1" applyFont="1" applyBorder="1" applyAlignment="1">
      <alignment wrapText="1"/>
    </xf>
    <xf numFmtId="3" fontId="201" fillId="0" borderId="111" xfId="28" applyNumberFormat="1" applyFont="1" applyBorder="1" applyAlignment="1">
      <alignment wrapText="1"/>
    </xf>
    <xf numFmtId="171" fontId="201" fillId="0" borderId="0" xfId="28" applyNumberFormat="1" applyFont="1" applyAlignment="1">
      <alignment horizontal="center" wrapText="1"/>
    </xf>
    <xf numFmtId="0" fontId="211" fillId="31" borderId="0" xfId="0" applyNumberFormat="1" applyFont="1" applyFill="1"/>
    <xf numFmtId="3" fontId="211" fillId="31" borderId="0" xfId="0" applyNumberFormat="1" applyFont="1" applyFill="1"/>
    <xf numFmtId="0" fontId="205" fillId="0" borderId="0" xfId="0" applyNumberFormat="1" applyFont="1"/>
    <xf numFmtId="3" fontId="205" fillId="0" borderId="0" xfId="0" applyNumberFormat="1" applyFont="1" applyAlignment="1">
      <alignment horizontal="right" wrapText="1"/>
    </xf>
    <xf numFmtId="3" fontId="205" fillId="0" borderId="0" xfId="0" applyNumberFormat="1" applyFont="1" applyAlignment="1">
      <alignment horizontal="center" wrapText="1"/>
    </xf>
    <xf numFmtId="3" fontId="206" fillId="0" borderId="0" xfId="0" applyNumberFormat="1" applyFont="1" applyAlignment="1">
      <alignment horizontal="right"/>
    </xf>
    <xf numFmtId="0" fontId="205" fillId="0" borderId="0" xfId="0" applyNumberFormat="1" applyFont="1" applyAlignment="1">
      <alignment horizontal="left"/>
    </xf>
    <xf numFmtId="167" fontId="205" fillId="0" borderId="0" xfId="59" applyNumberFormat="1" applyFont="1" applyAlignment="1">
      <alignment horizontal="right"/>
    </xf>
    <xf numFmtId="165" fontId="206" fillId="0" borderId="0" xfId="28" applyNumberFormat="1" applyFont="1"/>
    <xf numFmtId="0" fontId="205" fillId="0" borderId="0" xfId="1903" applyFont="1"/>
    <xf numFmtId="167" fontId="205" fillId="0" borderId="0" xfId="59" applyNumberFormat="1" applyFont="1"/>
    <xf numFmtId="0" fontId="211" fillId="31" borderId="0" xfId="1903" applyFont="1" applyFill="1"/>
    <xf numFmtId="165" fontId="211" fillId="31" borderId="0" xfId="28" applyNumberFormat="1" applyFont="1" applyFill="1"/>
    <xf numFmtId="0" fontId="206" fillId="0" borderId="0" xfId="68" applyNumberFormat="1" applyFont="1"/>
    <xf numFmtId="0" fontId="206" fillId="0" borderId="0" xfId="68" applyNumberFormat="1" applyFont="1" applyAlignment="1">
      <alignment horizontal="center" wrapText="1"/>
    </xf>
    <xf numFmtId="165" fontId="206" fillId="0" borderId="0" xfId="69" applyNumberFormat="1" applyFont="1"/>
    <xf numFmtId="0" fontId="216" fillId="0" borderId="150" xfId="68" applyNumberFormat="1" applyFont="1" applyBorder="1"/>
    <xf numFmtId="0" fontId="219" fillId="0" borderId="76" xfId="68" applyNumberFormat="1" applyFont="1" applyBorder="1" applyAlignment="1">
      <alignment horizontal="center"/>
    </xf>
    <xf numFmtId="0" fontId="219" fillId="0" borderId="0" xfId="68" applyNumberFormat="1" applyFont="1" applyAlignment="1">
      <alignment horizontal="center"/>
    </xf>
    <xf numFmtId="0" fontId="181" fillId="0" borderId="0" xfId="68" applyNumberFormat="1" applyFont="1"/>
    <xf numFmtId="165" fontId="219" fillId="0" borderId="0" xfId="69" applyNumberFormat="1" applyFont="1" applyAlignment="1">
      <alignment horizontal="center"/>
    </xf>
    <xf numFmtId="165" fontId="219" fillId="0" borderId="75" xfId="69" applyNumberFormat="1" applyFont="1" applyBorder="1" applyAlignment="1">
      <alignment horizontal="center"/>
    </xf>
    <xf numFmtId="15" fontId="220" fillId="34" borderId="26" xfId="68" applyNumberFormat="1" applyFont="1" applyFill="1" applyBorder="1" applyAlignment="1">
      <alignment horizontal="centerContinuous" wrapText="1"/>
    </xf>
    <xf numFmtId="15" fontId="220" fillId="34" borderId="150" xfId="68" applyNumberFormat="1" applyFont="1" applyFill="1" applyBorder="1" applyAlignment="1">
      <alignment horizontal="centerContinuous" wrapText="1"/>
    </xf>
    <xf numFmtId="165" fontId="221" fillId="34" borderId="26" xfId="69" applyNumberFormat="1" applyFont="1" applyFill="1" applyBorder="1" applyAlignment="1">
      <alignment horizontal="centerContinuous"/>
    </xf>
    <xf numFmtId="165" fontId="221" fillId="34" borderId="150" xfId="69" applyNumberFormat="1" applyFont="1" applyFill="1" applyBorder="1" applyAlignment="1">
      <alignment horizontal="centerContinuous"/>
    </xf>
    <xf numFmtId="165" fontId="181" fillId="0" borderId="75" xfId="69" applyNumberFormat="1" applyFont="1" applyBorder="1"/>
    <xf numFmtId="0" fontId="219" fillId="0" borderId="163" xfId="68" applyNumberFormat="1" applyFont="1" applyBorder="1" applyAlignment="1">
      <alignment horizontal="right"/>
    </xf>
    <xf numFmtId="0" fontId="219" fillId="0" borderId="0" xfId="68" applyNumberFormat="1" applyFont="1" applyAlignment="1">
      <alignment horizontal="right"/>
    </xf>
    <xf numFmtId="0" fontId="181" fillId="0" borderId="123" xfId="68" applyNumberFormat="1" applyFont="1" applyBorder="1"/>
    <xf numFmtId="0" fontId="219" fillId="0" borderId="167" xfId="68" applyNumberFormat="1" applyFont="1" applyBorder="1" applyAlignment="1" applyProtection="1">
      <alignment horizontal="right"/>
      <protection locked="0"/>
    </xf>
    <xf numFmtId="165" fontId="218" fillId="0" borderId="169" xfId="28" applyNumberFormat="1" applyFont="1" applyBorder="1" applyAlignment="1">
      <alignment horizontal="right"/>
    </xf>
    <xf numFmtId="0" fontId="181" fillId="0" borderId="163" xfId="68" applyNumberFormat="1" applyFont="1" applyBorder="1"/>
    <xf numFmtId="0" fontId="219" fillId="0" borderId="123" xfId="69" applyNumberFormat="1" applyFont="1" applyBorder="1" applyAlignment="1">
      <alignment horizontal="right"/>
    </xf>
    <xf numFmtId="165" fontId="181" fillId="0" borderId="164" xfId="69" applyNumberFormat="1" applyFont="1" applyBorder="1"/>
    <xf numFmtId="0" fontId="217" fillId="0" borderId="76" xfId="68" applyNumberFormat="1" applyFont="1" applyBorder="1" applyAlignment="1">
      <alignment horizontal="right" vertical="center"/>
    </xf>
    <xf numFmtId="165" fontId="181" fillId="0" borderId="0" xfId="28" applyNumberFormat="1" applyFont="1"/>
    <xf numFmtId="0" fontId="219" fillId="0" borderId="72" xfId="68" applyNumberFormat="1" applyFont="1" applyBorder="1" applyAlignment="1" applyProtection="1">
      <alignment horizontal="right"/>
      <protection locked="0"/>
    </xf>
    <xf numFmtId="165" fontId="218" fillId="0" borderId="170" xfId="28" applyNumberFormat="1" applyFont="1" applyBorder="1" applyAlignment="1">
      <alignment horizontal="right" wrapText="1"/>
    </xf>
    <xf numFmtId="0" fontId="181" fillId="0" borderId="76" xfId="68" applyNumberFormat="1" applyFont="1" applyBorder="1"/>
    <xf numFmtId="0" fontId="181" fillId="0" borderId="0" xfId="69" applyNumberFormat="1" applyFont="1" applyAlignment="1">
      <alignment horizontal="right"/>
    </xf>
    <xf numFmtId="2" fontId="181" fillId="0" borderId="75" xfId="68" applyNumberFormat="1" applyFont="1" applyBorder="1"/>
    <xf numFmtId="43" fontId="181" fillId="0" borderId="0" xfId="68" applyNumberFormat="1" applyFont="1"/>
    <xf numFmtId="10" fontId="181" fillId="0" borderId="75" xfId="59" applyNumberFormat="1" applyFont="1" applyBorder="1"/>
    <xf numFmtId="294" fontId="181" fillId="0" borderId="0" xfId="68" applyNumberFormat="1" applyFont="1"/>
    <xf numFmtId="10" fontId="181" fillId="0" borderId="75" xfId="28" applyNumberFormat="1" applyFont="1" applyBorder="1"/>
    <xf numFmtId="3" fontId="181" fillId="0" borderId="0" xfId="68" applyNumberFormat="1" applyFont="1"/>
    <xf numFmtId="302" fontId="181" fillId="0" borderId="75" xfId="68" applyNumberFormat="1" applyFont="1" applyBorder="1"/>
    <xf numFmtId="165" fontId="218" fillId="0" borderId="170" xfId="28" applyNumberFormat="1" applyFont="1" applyBorder="1"/>
    <xf numFmtId="0" fontId="219" fillId="0" borderId="0" xfId="69" applyNumberFormat="1" applyFont="1" applyAlignment="1">
      <alignment horizontal="right"/>
    </xf>
    <xf numFmtId="165" fontId="181" fillId="0" borderId="0" xfId="69" applyNumberFormat="1" applyFont="1"/>
    <xf numFmtId="296" fontId="181" fillId="0" borderId="0" xfId="68" applyNumberFormat="1" applyFont="1"/>
    <xf numFmtId="1" fontId="181" fillId="0" borderId="0" xfId="68" applyNumberFormat="1" applyFont="1" applyAlignment="1">
      <alignment horizontal="right"/>
    </xf>
    <xf numFmtId="165" fontId="181" fillId="0" borderId="75" xfId="28" applyNumberFormat="1" applyFont="1" applyBorder="1"/>
    <xf numFmtId="165" fontId="217" fillId="0" borderId="76" xfId="69" applyNumberFormat="1" applyFont="1" applyBorder="1"/>
    <xf numFmtId="43" fontId="181" fillId="0" borderId="75" xfId="28" applyFont="1" applyBorder="1"/>
    <xf numFmtId="1" fontId="181" fillId="0" borderId="0" xfId="68" applyNumberFormat="1" applyFont="1"/>
    <xf numFmtId="0" fontId="181" fillId="0" borderId="72" xfId="68" applyNumberFormat="1" applyFont="1" applyBorder="1" applyAlignment="1" applyProtection="1">
      <alignment horizontal="right"/>
      <protection locked="0"/>
    </xf>
    <xf numFmtId="0" fontId="218" fillId="0" borderId="0" xfId="69" applyNumberFormat="1" applyFont="1" applyAlignment="1">
      <alignment horizontal="right"/>
    </xf>
    <xf numFmtId="0" fontId="217" fillId="0" borderId="0" xfId="68" applyNumberFormat="1" applyFont="1" applyAlignment="1">
      <alignment horizontal="right" vertical="center"/>
    </xf>
    <xf numFmtId="0" fontId="181" fillId="0" borderId="0" xfId="68" applyNumberFormat="1" applyFont="1" applyAlignment="1">
      <alignment horizontal="right"/>
    </xf>
    <xf numFmtId="0" fontId="219" fillId="0" borderId="0" xfId="68" applyNumberFormat="1" applyFont="1" applyAlignment="1" applyProtection="1">
      <alignment horizontal="right"/>
      <protection locked="0"/>
    </xf>
    <xf numFmtId="9" fontId="217" fillId="0" borderId="170" xfId="59" applyFont="1" applyBorder="1" applyAlignment="1">
      <alignment horizontal="right"/>
    </xf>
    <xf numFmtId="0" fontId="181" fillId="0" borderId="126" xfId="68" applyNumberFormat="1" applyFont="1" applyBorder="1"/>
    <xf numFmtId="0" fontId="181" fillId="0" borderId="151" xfId="68" applyNumberFormat="1" applyFont="1" applyBorder="1"/>
    <xf numFmtId="0" fontId="217" fillId="0" borderId="151" xfId="68" applyNumberFormat="1" applyFont="1" applyBorder="1" applyAlignment="1">
      <alignment horizontal="right" vertical="center"/>
    </xf>
    <xf numFmtId="0" fontId="181" fillId="0" borderId="151" xfId="68" applyNumberFormat="1" applyFont="1" applyBorder="1" applyProtection="1">
      <protection locked="0"/>
    </xf>
    <xf numFmtId="5" fontId="218" fillId="0" borderId="151" xfId="70" applyNumberFormat="1" applyFont="1" applyBorder="1"/>
    <xf numFmtId="41" fontId="181" fillId="0" borderId="129" xfId="68" applyNumberFormat="1" applyFont="1" applyBorder="1"/>
    <xf numFmtId="5" fontId="217" fillId="0" borderId="0" xfId="70" applyNumberFormat="1" applyFont="1"/>
    <xf numFmtId="0" fontId="218" fillId="0" borderId="151" xfId="69" applyNumberFormat="1" applyFont="1" applyBorder="1" applyAlignment="1">
      <alignment horizontal="right"/>
    </xf>
    <xf numFmtId="10" fontId="218" fillId="0" borderId="131" xfId="59" applyNumberFormat="1" applyFont="1" applyBorder="1" applyAlignment="1">
      <alignment horizontal="right"/>
    </xf>
    <xf numFmtId="0" fontId="217" fillId="0" borderId="0" xfId="68" applyNumberFormat="1" applyFont="1" applyAlignment="1">
      <alignment horizontal="justify" vertical="center"/>
    </xf>
    <xf numFmtId="164" fontId="218" fillId="0" borderId="0" xfId="68" applyNumberFormat="1" applyFont="1"/>
    <xf numFmtId="0" fontId="218" fillId="0" borderId="0" xfId="68" applyNumberFormat="1" applyFont="1" applyAlignment="1">
      <alignment horizontal="left"/>
    </xf>
    <xf numFmtId="165" fontId="218" fillId="0" borderId="75" xfId="69" applyNumberFormat="1" applyFont="1" applyBorder="1" applyAlignment="1">
      <alignment horizontal="left"/>
    </xf>
    <xf numFmtId="0" fontId="212" fillId="0" borderId="0" xfId="68" applyNumberFormat="1" applyFont="1" applyAlignment="1">
      <alignment horizontal="left"/>
    </xf>
    <xf numFmtId="293" fontId="220" fillId="34" borderId="26" xfId="68" applyNumberFormat="1" applyFont="1" applyFill="1" applyBorder="1" applyAlignment="1">
      <alignment horizontal="centerContinuous" vertical="center"/>
    </xf>
    <xf numFmtId="293" fontId="220" fillId="34" borderId="150" xfId="68" applyNumberFormat="1" applyFont="1" applyFill="1" applyBorder="1" applyAlignment="1">
      <alignment horizontal="centerContinuous" vertical="center"/>
    </xf>
    <xf numFmtId="293" fontId="222" fillId="34" borderId="152" xfId="68" applyNumberFormat="1" applyFont="1" applyFill="1" applyBorder="1" applyAlignment="1">
      <alignment horizontal="center" vertical="center"/>
    </xf>
    <xf numFmtId="293" fontId="222" fillId="34" borderId="153" xfId="68" applyNumberFormat="1" applyFont="1" applyFill="1" applyBorder="1" applyAlignment="1">
      <alignment horizontal="center" vertical="center"/>
    </xf>
    <xf numFmtId="0" fontId="223" fillId="0" borderId="0" xfId="68" applyNumberFormat="1" applyFont="1" applyAlignment="1" applyProtection="1">
      <alignment horizontal="center"/>
      <protection locked="0"/>
    </xf>
    <xf numFmtId="165" fontId="221" fillId="34" borderId="154" xfId="69" applyNumberFormat="1" applyFont="1" applyFill="1" applyBorder="1" applyAlignment="1">
      <alignment horizontal="centerContinuous"/>
    </xf>
    <xf numFmtId="165" fontId="223" fillId="0" borderId="75" xfId="69" applyNumberFormat="1" applyFont="1" applyBorder="1" applyAlignment="1" applyProtection="1">
      <alignment horizontal="center"/>
      <protection locked="0"/>
    </xf>
    <xf numFmtId="0" fontId="220" fillId="34" borderId="163" xfId="68" applyNumberFormat="1" applyFont="1" applyFill="1" applyBorder="1" applyAlignment="1">
      <alignment horizontal="center" vertical="center"/>
    </xf>
    <xf numFmtId="0" fontId="220" fillId="34" borderId="123" xfId="68" applyNumberFormat="1" applyFont="1" applyFill="1" applyBorder="1" applyAlignment="1">
      <alignment horizontal="center" vertical="center"/>
    </xf>
    <xf numFmtId="0" fontId="220" fillId="34" borderId="171" xfId="68" applyNumberFormat="1" applyFont="1" applyFill="1" applyBorder="1" applyAlignment="1">
      <alignment horizontal="center" vertical="center"/>
    </xf>
    <xf numFmtId="164" fontId="217" fillId="0" borderId="0" xfId="68" applyNumberFormat="1" applyFont="1" applyAlignment="1">
      <alignment horizontal="center"/>
    </xf>
    <xf numFmtId="0" fontId="224" fillId="0" borderId="123" xfId="72" applyFont="1" applyBorder="1" applyAlignment="1">
      <alignment horizontal="right"/>
    </xf>
    <xf numFmtId="0" fontId="224" fillId="0" borderId="123" xfId="72" applyFont="1" applyBorder="1" applyAlignment="1">
      <alignment horizontal="right" wrapText="1"/>
    </xf>
    <xf numFmtId="165" fontId="217" fillId="0" borderId="75" xfId="69" applyNumberFormat="1" applyFont="1" applyBorder="1" applyAlignment="1">
      <alignment horizontal="center"/>
    </xf>
    <xf numFmtId="0" fontId="220" fillId="34" borderId="76" xfId="68" applyNumberFormat="1" applyFont="1" applyFill="1" applyBorder="1" applyAlignment="1">
      <alignment horizontal="center" vertical="center"/>
    </xf>
    <xf numFmtId="0" fontId="220" fillId="34" borderId="0" xfId="68" applyNumberFormat="1" applyFont="1" applyFill="1" applyAlignment="1">
      <alignment horizontal="center" vertical="center"/>
    </xf>
    <xf numFmtId="0" fontId="220" fillId="34" borderId="174" xfId="68" applyNumberFormat="1" applyFont="1" applyFill="1" applyBorder="1" applyAlignment="1">
      <alignment horizontal="center" vertical="center"/>
    </xf>
    <xf numFmtId="0" fontId="181" fillId="0" borderId="76" xfId="72" applyFont="1" applyBorder="1" applyAlignment="1">
      <alignment horizontal="right"/>
    </xf>
    <xf numFmtId="14" fontId="181" fillId="0" borderId="75" xfId="71" applyNumberFormat="1" applyFont="1" applyBorder="1"/>
    <xf numFmtId="43" fontId="206" fillId="0" borderId="0" xfId="68" applyNumberFormat="1" applyFont="1"/>
    <xf numFmtId="15" fontId="220" fillId="34" borderId="76" xfId="68" applyNumberFormat="1" applyFont="1" applyFill="1" applyBorder="1" applyAlignment="1">
      <alignment horizontal="center" vertical="center"/>
    </xf>
    <xf numFmtId="15" fontId="220" fillId="34" borderId="0" xfId="68" applyNumberFormat="1" applyFont="1" applyFill="1" applyAlignment="1">
      <alignment horizontal="right" vertical="center"/>
    </xf>
    <xf numFmtId="15" fontId="220" fillId="34" borderId="174" xfId="68" applyNumberFormat="1" applyFont="1" applyFill="1" applyBorder="1" applyAlignment="1">
      <alignment horizontal="center" vertical="center"/>
    </xf>
    <xf numFmtId="0" fontId="217" fillId="0" borderId="163" xfId="68" applyNumberFormat="1" applyFont="1" applyBorder="1"/>
    <xf numFmtId="0" fontId="217" fillId="0" borderId="123" xfId="68" applyNumberFormat="1" applyFont="1" applyBorder="1" applyAlignment="1">
      <alignment horizontal="right" wrapText="1"/>
    </xf>
    <xf numFmtId="0" fontId="217" fillId="0" borderId="172" xfId="68" applyNumberFormat="1" applyFont="1" applyBorder="1"/>
    <xf numFmtId="165" fontId="217" fillId="0" borderId="172" xfId="28" applyNumberFormat="1" applyFont="1" applyBorder="1"/>
    <xf numFmtId="0" fontId="217" fillId="0" borderId="173" xfId="68" applyNumberFormat="1" applyFont="1" applyBorder="1"/>
    <xf numFmtId="7" fontId="218" fillId="0" borderId="0" xfId="68" applyNumberFormat="1" applyFont="1" applyAlignment="1">
      <alignment horizontal="left"/>
    </xf>
    <xf numFmtId="0" fontId="218" fillId="0" borderId="76" xfId="68" applyNumberFormat="1" applyFont="1" applyBorder="1"/>
    <xf numFmtId="3" fontId="181" fillId="0" borderId="0" xfId="68" applyNumberFormat="1" applyFont="1" applyAlignment="1">
      <alignment horizontal="right"/>
    </xf>
    <xf numFmtId="165" fontId="218" fillId="0" borderId="177" xfId="69" applyNumberFormat="1" applyFont="1" applyBorder="1" applyAlignment="1">
      <alignment horizontal="right"/>
    </xf>
    <xf numFmtId="43" fontId="218" fillId="0" borderId="23" xfId="28" applyFont="1" applyBorder="1" applyAlignment="1">
      <alignment horizontal="right"/>
    </xf>
    <xf numFmtId="165" fontId="218" fillId="0" borderId="23" xfId="28" applyNumberFormat="1" applyFont="1" applyBorder="1" applyAlignment="1">
      <alignment horizontal="right"/>
    </xf>
    <xf numFmtId="10" fontId="218" fillId="0" borderId="176" xfId="59" applyNumberFormat="1" applyFont="1" applyBorder="1" applyAlignment="1">
      <alignment horizontal="right"/>
    </xf>
    <xf numFmtId="43" fontId="218" fillId="0" borderId="0" xfId="69" applyFont="1" applyAlignment="1">
      <alignment horizontal="right"/>
    </xf>
    <xf numFmtId="165" fontId="218" fillId="0" borderId="75" xfId="69" applyNumberFormat="1" applyFont="1" applyBorder="1" applyAlignment="1">
      <alignment horizontal="right"/>
    </xf>
    <xf numFmtId="43" fontId="206" fillId="0" borderId="0" xfId="28" applyFont="1"/>
    <xf numFmtId="14" fontId="181" fillId="0" borderId="75" xfId="69" applyNumberFormat="1" applyFont="1" applyBorder="1"/>
    <xf numFmtId="3" fontId="218" fillId="0" borderId="0" xfId="68" applyNumberFormat="1" applyFont="1" applyAlignment="1">
      <alignment horizontal="right"/>
    </xf>
    <xf numFmtId="165" fontId="218" fillId="0" borderId="175" xfId="69" applyNumberFormat="1" applyFont="1" applyBorder="1" applyAlignment="1">
      <alignment horizontal="right"/>
    </xf>
    <xf numFmtId="165" fontId="181" fillId="0" borderId="123" xfId="28" applyNumberFormat="1" applyFont="1" applyBorder="1" applyAlignment="1">
      <alignment horizontal="right"/>
    </xf>
    <xf numFmtId="9" fontId="181" fillId="0" borderId="123" xfId="72" applyNumberFormat="1" applyFont="1" applyBorder="1" applyAlignment="1">
      <alignment horizontal="right"/>
    </xf>
    <xf numFmtId="10" fontId="218" fillId="0" borderId="0" xfId="59" applyNumberFormat="1" applyFont="1" applyAlignment="1">
      <alignment horizontal="right"/>
    </xf>
    <xf numFmtId="10" fontId="218" fillId="0" borderId="72" xfId="59" applyNumberFormat="1" applyFont="1" applyBorder="1" applyAlignment="1">
      <alignment horizontal="right"/>
    </xf>
    <xf numFmtId="165" fontId="181" fillId="0" borderId="76" xfId="69" applyNumberFormat="1" applyFont="1" applyBorder="1"/>
    <xf numFmtId="41" fontId="206" fillId="0" borderId="0" xfId="0" applyNumberFormat="1" applyFont="1" applyAlignment="1">
      <alignment vertical="center"/>
    </xf>
    <xf numFmtId="0" fontId="218" fillId="0" borderId="0" xfId="68" applyNumberFormat="1" applyFont="1" applyAlignment="1">
      <alignment horizontal="right"/>
    </xf>
    <xf numFmtId="165" fontId="219" fillId="0" borderId="126" xfId="69" applyNumberFormat="1" applyFont="1" applyBorder="1" applyAlignment="1">
      <alignment horizontal="right"/>
    </xf>
    <xf numFmtId="165" fontId="219" fillId="0" borderId="151" xfId="69" applyNumberFormat="1" applyFont="1" applyBorder="1" applyAlignment="1">
      <alignment horizontal="right"/>
    </xf>
    <xf numFmtId="9" fontId="206" fillId="0" borderId="0" xfId="68" applyNumberFormat="1" applyFont="1"/>
    <xf numFmtId="0" fontId="217" fillId="0" borderId="158" xfId="68" applyNumberFormat="1" applyFont="1" applyBorder="1"/>
    <xf numFmtId="0" fontId="217" fillId="0" borderId="159" xfId="68" applyNumberFormat="1" applyFont="1" applyBorder="1" applyAlignment="1">
      <alignment horizontal="right"/>
    </xf>
    <xf numFmtId="165" fontId="219" fillId="0" borderId="160" xfId="69" applyNumberFormat="1" applyFont="1" applyBorder="1" applyAlignment="1">
      <alignment horizontal="right"/>
    </xf>
    <xf numFmtId="43" fontId="217" fillId="0" borderId="160" xfId="28" applyFont="1" applyBorder="1" applyAlignment="1">
      <alignment horizontal="right"/>
    </xf>
    <xf numFmtId="165" fontId="217" fillId="0" borderId="161" xfId="28" applyNumberFormat="1" applyFont="1" applyBorder="1" applyAlignment="1">
      <alignment horizontal="right"/>
    </xf>
    <xf numFmtId="10" fontId="217" fillId="0" borderId="162" xfId="59" applyNumberFormat="1" applyFont="1" applyBorder="1" applyAlignment="1">
      <alignment horizontal="right"/>
    </xf>
    <xf numFmtId="9" fontId="206" fillId="0" borderId="0" xfId="59" applyFont="1"/>
    <xf numFmtId="165" fontId="206" fillId="0" borderId="0" xfId="68" applyNumberFormat="1" applyFont="1"/>
    <xf numFmtId="0" fontId="181" fillId="0" borderId="180" xfId="68" applyNumberFormat="1" applyFont="1" applyBorder="1"/>
    <xf numFmtId="0" fontId="181" fillId="0" borderId="181" xfId="68" applyNumberFormat="1" applyFont="1" applyBorder="1"/>
    <xf numFmtId="43" fontId="181" fillId="0" borderId="182" xfId="28" applyFont="1" applyBorder="1"/>
    <xf numFmtId="165" fontId="181" fillId="0" borderId="182" xfId="28" applyNumberFormat="1" applyFont="1" applyBorder="1"/>
    <xf numFmtId="0" fontId="181" fillId="0" borderId="183" xfId="68" applyNumberFormat="1" applyFont="1" applyBorder="1"/>
    <xf numFmtId="3" fontId="206" fillId="0" borderId="0" xfId="68" applyNumberFormat="1" applyFont="1"/>
    <xf numFmtId="8" fontId="206" fillId="0" borderId="0" xfId="68" applyNumberFormat="1" applyFont="1"/>
    <xf numFmtId="0" fontId="217" fillId="0" borderId="76" xfId="68" applyNumberFormat="1" applyFont="1" applyBorder="1"/>
    <xf numFmtId="0" fontId="217" fillId="0" borderId="0" xfId="68" applyNumberFormat="1" applyFont="1" applyAlignment="1">
      <alignment horizontal="right"/>
    </xf>
    <xf numFmtId="43" fontId="218" fillId="0" borderId="175" xfId="28" applyFont="1" applyBorder="1" applyAlignment="1">
      <alignment horizontal="right"/>
    </xf>
    <xf numFmtId="165" fontId="218" fillId="0" borderId="175" xfId="28" applyNumberFormat="1" applyFont="1" applyBorder="1" applyAlignment="1">
      <alignment horizontal="right"/>
    </xf>
    <xf numFmtId="165" fontId="218" fillId="0" borderId="176" xfId="69" applyNumberFormat="1" applyFont="1" applyBorder="1" applyAlignment="1">
      <alignment horizontal="right"/>
    </xf>
    <xf numFmtId="43" fontId="181" fillId="0" borderId="0" xfId="69" applyFont="1" applyAlignment="1">
      <alignment horizontal="right"/>
    </xf>
    <xf numFmtId="165" fontId="181" fillId="0" borderId="76" xfId="69" applyNumberFormat="1" applyFont="1" applyBorder="1" applyAlignment="1">
      <alignment vertical="top"/>
    </xf>
    <xf numFmtId="165" fontId="181" fillId="0" borderId="0" xfId="69" applyNumberFormat="1" applyFont="1" applyAlignment="1">
      <alignment vertical="top"/>
    </xf>
    <xf numFmtId="165" fontId="181" fillId="0" borderId="75" xfId="69" applyNumberFormat="1" applyFont="1" applyBorder="1" applyAlignment="1">
      <alignment vertical="top"/>
    </xf>
    <xf numFmtId="165" fontId="219" fillId="0" borderId="75" xfId="69" applyNumberFormat="1" applyFont="1" applyBorder="1" applyAlignment="1">
      <alignment horizontal="right"/>
    </xf>
    <xf numFmtId="0" fontId="205" fillId="0" borderId="0" xfId="68" applyNumberFormat="1" applyFont="1" applyAlignment="1">
      <alignment horizontal="center"/>
    </xf>
    <xf numFmtId="41" fontId="218" fillId="0" borderId="0" xfId="68" applyNumberFormat="1" applyFont="1" applyAlignment="1">
      <alignment horizontal="right"/>
    </xf>
    <xf numFmtId="43" fontId="219" fillId="0" borderId="0" xfId="69" applyFont="1" applyAlignment="1">
      <alignment horizontal="right"/>
    </xf>
    <xf numFmtId="0" fontId="224" fillId="0" borderId="76" xfId="72" applyFont="1" applyBorder="1" applyAlignment="1">
      <alignment vertical="top"/>
    </xf>
    <xf numFmtId="165" fontId="181" fillId="0" borderId="75" xfId="69" applyNumberFormat="1" applyFont="1" applyBorder="1" applyAlignment="1">
      <alignment horizontal="right"/>
    </xf>
    <xf numFmtId="164" fontId="218" fillId="0" borderId="0" xfId="59" applyNumberFormat="1" applyFont="1" applyAlignment="1">
      <alignment horizontal="left"/>
    </xf>
    <xf numFmtId="164" fontId="218" fillId="0" borderId="72" xfId="59" applyNumberFormat="1" applyFont="1" applyBorder="1" applyAlignment="1">
      <alignment horizontal="left"/>
    </xf>
    <xf numFmtId="0" fontId="219" fillId="0" borderId="0" xfId="68" applyNumberFormat="1" applyFont="1" applyAlignment="1">
      <alignment horizontal="right" vertical="top"/>
    </xf>
    <xf numFmtId="165" fontId="219" fillId="0" borderId="146" xfId="28" applyNumberFormat="1" applyFont="1" applyBorder="1" applyAlignment="1">
      <alignment horizontal="right" vertical="top"/>
    </xf>
    <xf numFmtId="0" fontId="181" fillId="0" borderId="79" xfId="68" applyNumberFormat="1" applyFont="1" applyBorder="1"/>
    <xf numFmtId="0" fontId="181" fillId="0" borderId="0" xfId="68" applyNumberFormat="1" applyFont="1" applyAlignment="1">
      <alignment horizontal="right" vertical="top"/>
    </xf>
    <xf numFmtId="165" fontId="181" fillId="0" borderId="75" xfId="28" applyNumberFormat="1" applyFont="1" applyBorder="1" applyAlignment="1">
      <alignment vertical="top"/>
    </xf>
    <xf numFmtId="165" fontId="217" fillId="0" borderId="185" xfId="69" applyNumberFormat="1" applyFont="1" applyBorder="1" applyAlignment="1">
      <alignment horizontal="right"/>
    </xf>
    <xf numFmtId="43" fontId="217" fillId="0" borderId="185" xfId="28" applyFont="1" applyBorder="1" applyAlignment="1">
      <alignment horizontal="right"/>
    </xf>
    <xf numFmtId="165" fontId="217" fillId="0" borderId="186" xfId="28" applyNumberFormat="1" applyFont="1" applyBorder="1" applyAlignment="1">
      <alignment horizontal="right"/>
    </xf>
    <xf numFmtId="10" fontId="217" fillId="0" borderId="187" xfId="59" applyNumberFormat="1" applyFont="1" applyBorder="1" applyAlignment="1">
      <alignment horizontal="right"/>
    </xf>
    <xf numFmtId="0" fontId="208" fillId="0" borderId="0" xfId="68" applyNumberFormat="1" applyFont="1"/>
    <xf numFmtId="165" fontId="181" fillId="0" borderId="75" xfId="28" applyNumberFormat="1" applyFont="1" applyBorder="1" applyAlignment="1">
      <alignment horizontal="right" vertical="top"/>
    </xf>
    <xf numFmtId="0" fontId="212" fillId="0" borderId="0" xfId="68" applyNumberFormat="1" applyFont="1"/>
    <xf numFmtId="0" fontId="205" fillId="0" borderId="0" xfId="68" applyNumberFormat="1" applyFont="1" applyAlignment="1">
      <alignment horizontal="right"/>
    </xf>
    <xf numFmtId="42" fontId="205" fillId="0" borderId="0" xfId="68" applyNumberFormat="1" applyFont="1" applyAlignment="1">
      <alignment horizontal="right"/>
    </xf>
    <xf numFmtId="0" fontId="227" fillId="0" borderId="76" xfId="72" applyFont="1" applyBorder="1" applyAlignment="1">
      <alignment vertical="top"/>
    </xf>
    <xf numFmtId="0" fontId="206" fillId="0" borderId="0" xfId="68" applyNumberFormat="1" applyFont="1" applyAlignment="1">
      <alignment horizontal="right"/>
    </xf>
    <xf numFmtId="42" fontId="206" fillId="0" borderId="0" xfId="68" applyNumberFormat="1" applyFont="1" applyAlignment="1">
      <alignment horizontal="right"/>
    </xf>
    <xf numFmtId="0" fontId="219" fillId="0" borderId="76" xfId="72" applyFont="1" applyBorder="1" applyAlignment="1">
      <alignment vertical="top"/>
    </xf>
    <xf numFmtId="42" fontId="206" fillId="0" borderId="0" xfId="68" applyNumberFormat="1" applyFont="1"/>
    <xf numFmtId="0" fontId="217" fillId="0" borderId="192" xfId="68" applyNumberFormat="1" applyFont="1" applyBorder="1"/>
    <xf numFmtId="0" fontId="217" fillId="0" borderId="193" xfId="68" applyNumberFormat="1" applyFont="1" applyBorder="1" applyAlignment="1">
      <alignment horizontal="right"/>
    </xf>
    <xf numFmtId="165" fontId="217" fillId="0" borderId="194" xfId="69" applyNumberFormat="1" applyFont="1" applyBorder="1" applyAlignment="1">
      <alignment horizontal="right"/>
    </xf>
    <xf numFmtId="43" fontId="217" fillId="0" borderId="194" xfId="28" applyFont="1" applyBorder="1" applyAlignment="1">
      <alignment horizontal="right"/>
    </xf>
    <xf numFmtId="165" fontId="217" fillId="0" borderId="195" xfId="28" applyNumberFormat="1" applyFont="1" applyBorder="1" applyAlignment="1">
      <alignment horizontal="right"/>
    </xf>
    <xf numFmtId="10" fontId="217" fillId="0" borderId="196" xfId="59" applyNumberFormat="1" applyFont="1" applyBorder="1" applyAlignment="1">
      <alignment horizontal="right"/>
    </xf>
    <xf numFmtId="0" fontId="218" fillId="0" borderId="76" xfId="68" applyNumberFormat="1" applyFont="1" applyBorder="1" applyAlignment="1">
      <alignment vertical="top"/>
    </xf>
    <xf numFmtId="0" fontId="228" fillId="0" borderId="76" xfId="72" applyFont="1" applyBorder="1" applyAlignment="1">
      <alignment horizontal="right" vertical="top"/>
    </xf>
    <xf numFmtId="10" fontId="181" fillId="0" borderId="0" xfId="69" applyNumberFormat="1" applyFont="1" applyAlignment="1">
      <alignment horizontal="center"/>
    </xf>
    <xf numFmtId="10" fontId="218" fillId="0" borderId="0" xfId="59" applyNumberFormat="1" applyFont="1" applyAlignment="1">
      <alignment horizontal="left"/>
    </xf>
    <xf numFmtId="3" fontId="181" fillId="0" borderId="0" xfId="68" applyNumberFormat="1" applyFont="1" applyAlignment="1">
      <alignment horizontal="right" vertical="top"/>
    </xf>
    <xf numFmtId="0" fontId="224" fillId="0" borderId="76" xfId="68" applyNumberFormat="1" applyFont="1" applyBorder="1" applyAlignment="1">
      <alignment horizontal="left" vertical="top"/>
    </xf>
    <xf numFmtId="10" fontId="206" fillId="0" borderId="0" xfId="59" applyNumberFormat="1" applyFont="1"/>
    <xf numFmtId="10" fontId="206" fillId="0" borderId="0" xfId="68" applyNumberFormat="1" applyFont="1"/>
    <xf numFmtId="0" fontId="181" fillId="0" borderId="76" xfId="71" applyNumberFormat="1" applyFont="1" applyBorder="1" applyAlignment="1">
      <alignment vertical="top"/>
    </xf>
    <xf numFmtId="0" fontId="181" fillId="0" borderId="76" xfId="68" applyNumberFormat="1" applyFont="1" applyBorder="1" applyAlignment="1">
      <alignment vertical="top"/>
    </xf>
    <xf numFmtId="0" fontId="219" fillId="0" borderId="76" xfId="68" applyNumberFormat="1" applyFont="1" applyBorder="1" applyAlignment="1">
      <alignment horizontal="right" vertical="top"/>
    </xf>
    <xf numFmtId="3" fontId="219" fillId="0" borderId="0" xfId="68" applyNumberFormat="1" applyFont="1" applyAlignment="1">
      <alignment horizontal="right" vertical="top"/>
    </xf>
    <xf numFmtId="165" fontId="219" fillId="0" borderId="75" xfId="28" applyNumberFormat="1" applyFont="1" applyBorder="1" applyAlignment="1">
      <alignment vertical="top"/>
    </xf>
    <xf numFmtId="0" fontId="218" fillId="0" borderId="126" xfId="68" applyNumberFormat="1" applyFont="1" applyBorder="1" applyAlignment="1">
      <alignment vertical="top"/>
    </xf>
    <xf numFmtId="0" fontId="219" fillId="0" borderId="151" xfId="68" applyNumberFormat="1" applyFont="1" applyBorder="1" applyAlignment="1">
      <alignment horizontal="right" vertical="top"/>
    </xf>
    <xf numFmtId="43" fontId="219" fillId="0" borderId="131" xfId="28" applyFont="1" applyBorder="1" applyAlignment="1">
      <alignment horizontal="right" vertical="top"/>
    </xf>
    <xf numFmtId="0" fontId="218" fillId="0" borderId="0" xfId="59" applyNumberFormat="1" applyFont="1" applyAlignment="1">
      <alignment horizontal="left"/>
    </xf>
    <xf numFmtId="0" fontId="220" fillId="34" borderId="157" xfId="68" applyNumberFormat="1" applyFont="1" applyFill="1" applyBorder="1"/>
    <xf numFmtId="0" fontId="220" fillId="34" borderId="26" xfId="68" applyNumberFormat="1" applyFont="1" applyFill="1" applyBorder="1"/>
    <xf numFmtId="0" fontId="220" fillId="34" borderId="26" xfId="68" applyNumberFormat="1" applyFont="1" applyFill="1" applyBorder="1" applyAlignment="1">
      <alignment horizontal="center"/>
    </xf>
    <xf numFmtId="0" fontId="220" fillId="34" borderId="150" xfId="68" applyNumberFormat="1" applyFont="1" applyFill="1" applyBorder="1" applyAlignment="1">
      <alignment horizontal="right"/>
    </xf>
    <xf numFmtId="165" fontId="181" fillId="0" borderId="123" xfId="69" applyNumberFormat="1" applyFont="1" applyBorder="1"/>
    <xf numFmtId="0" fontId="181" fillId="0" borderId="123" xfId="28" applyNumberFormat="1" applyFont="1" applyBorder="1" applyAlignment="1">
      <alignment horizontal="center"/>
    </xf>
    <xf numFmtId="14" fontId="181" fillId="0" borderId="201" xfId="68" applyNumberFormat="1" applyFont="1" applyBorder="1" applyAlignment="1">
      <alignment horizontal="right"/>
    </xf>
    <xf numFmtId="10" fontId="217" fillId="0" borderId="188" xfId="59" applyNumberFormat="1" applyFont="1" applyBorder="1" applyAlignment="1">
      <alignment horizontal="right"/>
    </xf>
    <xf numFmtId="10" fontId="217" fillId="0" borderId="189" xfId="59" applyNumberFormat="1" applyFont="1" applyBorder="1" applyAlignment="1">
      <alignment horizontal="right"/>
    </xf>
    <xf numFmtId="0" fontId="181" fillId="0" borderId="0" xfId="68" applyNumberFormat="1" applyFont="1" applyAlignment="1">
      <alignment horizontal="center"/>
    </xf>
    <xf numFmtId="14" fontId="181" fillId="0" borderId="75" xfId="68" applyNumberFormat="1" applyFont="1" applyBorder="1" applyAlignment="1">
      <alignment horizontal="right"/>
    </xf>
    <xf numFmtId="165" fontId="218" fillId="0" borderId="0" xfId="69" applyNumberFormat="1" applyFont="1" applyAlignment="1">
      <alignment horizontal="right"/>
    </xf>
    <xf numFmtId="165" fontId="218" fillId="0" borderId="72" xfId="69" applyNumberFormat="1" applyFont="1" applyBorder="1" applyAlignment="1">
      <alignment horizontal="right"/>
    </xf>
    <xf numFmtId="0" fontId="219" fillId="0" borderId="76" xfId="68" applyNumberFormat="1" applyFont="1" applyBorder="1"/>
    <xf numFmtId="14" fontId="219" fillId="0" borderId="75" xfId="68" applyNumberFormat="1" applyFont="1" applyBorder="1" applyAlignment="1">
      <alignment horizontal="right"/>
    </xf>
    <xf numFmtId="0" fontId="217" fillId="0" borderId="23" xfId="68" applyNumberFormat="1" applyFont="1" applyBorder="1" applyAlignment="1">
      <alignment horizontal="right"/>
    </xf>
    <xf numFmtId="165" fontId="219" fillId="0" borderId="175" xfId="69" applyNumberFormat="1" applyFont="1" applyBorder="1" applyAlignment="1">
      <alignment horizontal="right"/>
    </xf>
    <xf numFmtId="43" fontId="217" fillId="0" borderId="175" xfId="28" applyFont="1" applyBorder="1" applyAlignment="1">
      <alignment horizontal="right"/>
    </xf>
    <xf numFmtId="165" fontId="217" fillId="0" borderId="23" xfId="28" applyNumberFormat="1" applyFont="1" applyBorder="1" applyAlignment="1">
      <alignment horizontal="right"/>
    </xf>
    <xf numFmtId="10" fontId="217" fillId="0" borderId="176" xfId="59" applyNumberFormat="1" applyFont="1" applyBorder="1" applyAlignment="1">
      <alignment horizontal="right"/>
    </xf>
    <xf numFmtId="10" fontId="217" fillId="0" borderId="133" xfId="59" applyNumberFormat="1" applyFont="1" applyBorder="1" applyAlignment="1">
      <alignment horizontal="right"/>
    </xf>
    <xf numFmtId="10" fontId="217" fillId="0" borderId="134" xfId="59" applyNumberFormat="1" applyFont="1" applyBorder="1" applyAlignment="1">
      <alignment horizontal="right"/>
    </xf>
    <xf numFmtId="0" fontId="218" fillId="0" borderId="123" xfId="68" applyNumberFormat="1" applyFont="1" applyBorder="1" applyAlignment="1">
      <alignment horizontal="right"/>
    </xf>
    <xf numFmtId="165" fontId="181" fillId="0" borderId="202" xfId="69" applyNumberFormat="1" applyFont="1" applyBorder="1" applyAlignment="1">
      <alignment horizontal="right"/>
    </xf>
    <xf numFmtId="43" fontId="181" fillId="0" borderId="202" xfId="28" applyFont="1" applyBorder="1" applyAlignment="1">
      <alignment horizontal="right"/>
    </xf>
    <xf numFmtId="165" fontId="181" fillId="0" borderId="202" xfId="28" applyNumberFormat="1" applyFont="1" applyBorder="1" applyAlignment="1">
      <alignment horizontal="right"/>
    </xf>
    <xf numFmtId="165" fontId="181" fillId="0" borderId="203" xfId="69" applyNumberFormat="1" applyFont="1" applyBorder="1" applyAlignment="1">
      <alignment horizontal="right"/>
    </xf>
    <xf numFmtId="165" fontId="181" fillId="0" borderId="0" xfId="69" applyNumberFormat="1" applyFont="1" applyAlignment="1">
      <alignment horizontal="right"/>
    </xf>
    <xf numFmtId="165" fontId="181" fillId="0" borderId="72" xfId="69" applyNumberFormat="1" applyFont="1" applyBorder="1" applyAlignment="1">
      <alignment horizontal="right"/>
    </xf>
    <xf numFmtId="165" fontId="219" fillId="0" borderId="0" xfId="69" applyNumberFormat="1" applyFont="1"/>
    <xf numFmtId="0" fontId="217" fillId="0" borderId="128" xfId="68" applyNumberFormat="1" applyFont="1" applyBorder="1" applyAlignment="1">
      <alignment horizontal="right"/>
    </xf>
    <xf numFmtId="165" fontId="217" fillId="0" borderId="141" xfId="69" applyNumberFormat="1" applyFont="1" applyBorder="1" applyAlignment="1">
      <alignment horizontal="right"/>
    </xf>
    <xf numFmtId="43" fontId="217" fillId="0" borderId="141" xfId="28" applyFont="1" applyBorder="1" applyAlignment="1">
      <alignment horizontal="right"/>
    </xf>
    <xf numFmtId="165" fontId="217" fillId="0" borderId="132" xfId="28" applyNumberFormat="1" applyFont="1" applyBorder="1" applyAlignment="1">
      <alignment horizontal="right"/>
    </xf>
    <xf numFmtId="10" fontId="217" fillId="0" borderId="142" xfId="59" applyNumberFormat="1" applyFont="1" applyBorder="1" applyAlignment="1">
      <alignment horizontal="right"/>
    </xf>
    <xf numFmtId="165" fontId="217" fillId="0" borderId="22" xfId="69" applyNumberFormat="1" applyFont="1" applyBorder="1" applyAlignment="1">
      <alignment horizontal="right"/>
    </xf>
    <xf numFmtId="165" fontId="217" fillId="0" borderId="78" xfId="69" applyNumberFormat="1" applyFont="1" applyBorder="1" applyAlignment="1">
      <alignment horizontal="right"/>
    </xf>
    <xf numFmtId="165" fontId="181" fillId="0" borderId="128" xfId="69" applyNumberFormat="1" applyFont="1" applyBorder="1"/>
    <xf numFmtId="0" fontId="181" fillId="0" borderId="128" xfId="68" applyNumberFormat="1" applyFont="1" applyBorder="1" applyAlignment="1">
      <alignment horizontal="center"/>
    </xf>
    <xf numFmtId="14" fontId="181" fillId="0" borderId="131" xfId="68" applyNumberFormat="1" applyFont="1" applyBorder="1" applyAlignment="1">
      <alignment horizontal="right"/>
    </xf>
    <xf numFmtId="0" fontId="181" fillId="0" borderId="128" xfId="68" applyNumberFormat="1" applyFont="1" applyBorder="1" applyAlignment="1">
      <alignment horizontal="left"/>
    </xf>
    <xf numFmtId="0" fontId="181" fillId="35" borderId="135" xfId="68" applyNumberFormat="1" applyFont="1" applyFill="1" applyBorder="1"/>
    <xf numFmtId="0" fontId="181" fillId="35" borderId="136" xfId="68" applyNumberFormat="1" applyFont="1" applyFill="1" applyBorder="1"/>
    <xf numFmtId="0" fontId="218" fillId="35" borderId="136" xfId="68" applyNumberFormat="1" applyFont="1" applyFill="1" applyBorder="1" applyAlignment="1">
      <alignment horizontal="right"/>
    </xf>
    <xf numFmtId="10" fontId="181" fillId="35" borderId="140" xfId="59" applyNumberFormat="1" applyFont="1" applyFill="1" applyBorder="1" applyAlignment="1">
      <alignment horizontal="right"/>
    </xf>
    <xf numFmtId="10" fontId="181" fillId="35" borderId="137" xfId="59" applyNumberFormat="1" applyFont="1" applyFill="1" applyBorder="1" applyAlignment="1">
      <alignment horizontal="right"/>
    </xf>
    <xf numFmtId="0" fontId="218" fillId="0" borderId="0" xfId="68" applyNumberFormat="1" applyFont="1"/>
    <xf numFmtId="0" fontId="181" fillId="35" borderId="68" xfId="68" applyNumberFormat="1" applyFont="1" applyFill="1" applyBorder="1"/>
    <xf numFmtId="0" fontId="181" fillId="35" borderId="69" xfId="68" applyNumberFormat="1" applyFont="1" applyFill="1" applyBorder="1"/>
    <xf numFmtId="0" fontId="218" fillId="35" borderId="69" xfId="68" applyNumberFormat="1" applyFont="1" applyFill="1" applyBorder="1" applyAlignment="1">
      <alignment horizontal="right"/>
    </xf>
    <xf numFmtId="41" fontId="181" fillId="35" borderId="143" xfId="28" applyNumberFormat="1" applyFont="1" applyFill="1" applyBorder="1" applyAlignment="1">
      <alignment horizontal="right"/>
    </xf>
    <xf numFmtId="41" fontId="181" fillId="35" borderId="74" xfId="28" applyNumberFormat="1" applyFont="1" applyFill="1" applyBorder="1" applyAlignment="1">
      <alignment horizontal="right"/>
    </xf>
    <xf numFmtId="165" fontId="205" fillId="0" borderId="0" xfId="68" applyNumberFormat="1" applyFont="1"/>
    <xf numFmtId="10" fontId="181" fillId="0" borderId="123" xfId="69" applyNumberFormat="1" applyFont="1" applyBorder="1"/>
    <xf numFmtId="165" fontId="181" fillId="0" borderId="201" xfId="28" applyNumberFormat="1" applyFont="1" applyBorder="1" applyAlignment="1">
      <alignment horizontal="right"/>
    </xf>
    <xf numFmtId="0" fontId="181" fillId="35" borderId="158" xfId="68" applyNumberFormat="1" applyFont="1" applyFill="1" applyBorder="1"/>
    <xf numFmtId="0" fontId="181" fillId="35" borderId="178" xfId="68" applyNumberFormat="1" applyFont="1" applyFill="1" applyBorder="1"/>
    <xf numFmtId="0" fontId="218" fillId="35" borderId="178" xfId="68" applyNumberFormat="1" applyFont="1" applyFill="1" applyBorder="1" applyAlignment="1">
      <alignment horizontal="right"/>
    </xf>
    <xf numFmtId="10" fontId="181" fillId="35" borderId="165" xfId="59" applyNumberFormat="1" applyFont="1" applyFill="1" applyBorder="1" applyAlignment="1">
      <alignment horizontal="right"/>
    </xf>
    <xf numFmtId="10" fontId="181" fillId="35" borderId="166" xfId="59" applyNumberFormat="1" applyFont="1" applyFill="1" applyBorder="1" applyAlignment="1">
      <alignment horizontal="right"/>
    </xf>
    <xf numFmtId="165" fontId="181" fillId="0" borderId="75" xfId="28" applyNumberFormat="1" applyFont="1" applyBorder="1" applyAlignment="1">
      <alignment horizontal="right"/>
    </xf>
    <xf numFmtId="176" fontId="181" fillId="35" borderId="165" xfId="59" applyNumberFormat="1" applyFont="1" applyFill="1" applyBorder="1" applyAlignment="1">
      <alignment horizontal="right"/>
    </xf>
    <xf numFmtId="176" fontId="181" fillId="35" borderId="166" xfId="59" applyNumberFormat="1" applyFont="1" applyFill="1" applyBorder="1" applyAlignment="1">
      <alignment horizontal="right"/>
    </xf>
    <xf numFmtId="0" fontId="219" fillId="0" borderId="180" xfId="68" applyNumberFormat="1" applyFont="1" applyBorder="1"/>
    <xf numFmtId="165" fontId="219" fillId="0" borderId="201" xfId="28" applyNumberFormat="1" applyFont="1" applyBorder="1" applyAlignment="1">
      <alignment horizontal="right"/>
    </xf>
    <xf numFmtId="0" fontId="181" fillId="35" borderId="180" xfId="68" applyNumberFormat="1" applyFont="1" applyFill="1" applyBorder="1"/>
    <xf numFmtId="0" fontId="181" fillId="35" borderId="123" xfId="68" applyNumberFormat="1" applyFont="1" applyFill="1" applyBorder="1"/>
    <xf numFmtId="0" fontId="218" fillId="35" borderId="123" xfId="68" applyNumberFormat="1" applyFont="1" applyFill="1" applyBorder="1" applyAlignment="1">
      <alignment horizontal="right"/>
    </xf>
    <xf numFmtId="10" fontId="181" fillId="35" borderId="184" xfId="59" applyNumberFormat="1" applyFont="1" applyFill="1" applyBorder="1" applyAlignment="1">
      <alignment horizontal="right"/>
    </xf>
    <xf numFmtId="10" fontId="181" fillId="35" borderId="201" xfId="59" applyNumberFormat="1" applyFont="1" applyFill="1" applyBorder="1" applyAlignment="1">
      <alignment horizontal="right"/>
    </xf>
    <xf numFmtId="0" fontId="181" fillId="35" borderId="147" xfId="68" applyNumberFormat="1" applyFont="1" applyFill="1" applyBorder="1"/>
    <xf numFmtId="0" fontId="181" fillId="35" borderId="148" xfId="68" applyNumberFormat="1" applyFont="1" applyFill="1" applyBorder="1"/>
    <xf numFmtId="0" fontId="218" fillId="35" borderId="144" xfId="68" applyNumberFormat="1" applyFont="1" applyFill="1" applyBorder="1" applyAlignment="1">
      <alignment horizontal="right"/>
    </xf>
    <xf numFmtId="10" fontId="181" fillId="35" borderId="149" xfId="59" applyNumberFormat="1" applyFont="1" applyFill="1" applyBorder="1" applyAlignment="1">
      <alignment horizontal="right"/>
    </xf>
    <xf numFmtId="2" fontId="205" fillId="0" borderId="0" xfId="68" applyNumberFormat="1" applyFont="1"/>
    <xf numFmtId="0" fontId="218" fillId="0" borderId="128" xfId="68" applyNumberFormat="1" applyFont="1" applyBorder="1" applyAlignment="1">
      <alignment horizontal="right"/>
    </xf>
    <xf numFmtId="10" fontId="219" fillId="0" borderId="128" xfId="59" applyNumberFormat="1" applyFont="1" applyBorder="1" applyAlignment="1">
      <alignment horizontal="right"/>
    </xf>
    <xf numFmtId="15" fontId="220" fillId="0" borderId="76" xfId="68" applyNumberFormat="1" applyFont="1" applyBorder="1" applyAlignment="1">
      <alignment horizontal="centerContinuous" wrapText="1"/>
    </xf>
    <xf numFmtId="0" fontId="219" fillId="0" borderId="123" xfId="68" applyNumberFormat="1" applyFont="1" applyBorder="1" applyAlignment="1">
      <alignment horizontal="right"/>
    </xf>
    <xf numFmtId="0" fontId="219" fillId="0" borderId="201" xfId="68" applyNumberFormat="1" applyFont="1" applyBorder="1" applyAlignment="1">
      <alignment horizontal="right"/>
    </xf>
    <xf numFmtId="0" fontId="219" fillId="0" borderId="123" xfId="68" applyNumberFormat="1" applyFont="1" applyBorder="1"/>
    <xf numFmtId="0" fontId="219" fillId="0" borderId="76" xfId="68" applyNumberFormat="1" applyFont="1" applyBorder="1" applyAlignment="1">
      <alignment horizontal="right"/>
    </xf>
    <xf numFmtId="9" fontId="219" fillId="0" borderId="0" xfId="59" applyFont="1"/>
    <xf numFmtId="9" fontId="219" fillId="0" borderId="75" xfId="68" applyNumberFormat="1" applyFont="1" applyBorder="1"/>
    <xf numFmtId="0" fontId="219" fillId="0" borderId="147" xfId="68" applyNumberFormat="1" applyFont="1" applyBorder="1"/>
    <xf numFmtId="0" fontId="219" fillId="0" borderId="148" xfId="68" applyNumberFormat="1" applyFont="1" applyBorder="1" applyAlignment="1">
      <alignment horizontal="center"/>
    </xf>
    <xf numFmtId="165" fontId="181" fillId="0" borderId="148" xfId="69" applyNumberFormat="1" applyFont="1" applyBorder="1"/>
    <xf numFmtId="43" fontId="219" fillId="0" borderId="149" xfId="28" applyFont="1" applyBorder="1" applyAlignment="1">
      <alignment horizontal="right"/>
    </xf>
    <xf numFmtId="0" fontId="181" fillId="0" borderId="76" xfId="68" applyNumberFormat="1" applyFont="1" applyBorder="1" applyAlignment="1">
      <alignment horizontal="right"/>
    </xf>
    <xf numFmtId="0" fontId="181" fillId="0" borderId="75" xfId="68" applyNumberFormat="1" applyFont="1" applyBorder="1"/>
    <xf numFmtId="0" fontId="219" fillId="0" borderId="180" xfId="68" applyNumberFormat="1" applyFont="1" applyBorder="1" applyAlignment="1">
      <alignment horizontal="center"/>
    </xf>
    <xf numFmtId="0" fontId="219" fillId="0" borderId="123" xfId="68" applyNumberFormat="1" applyFont="1" applyBorder="1" applyAlignment="1">
      <alignment horizontal="center"/>
    </xf>
    <xf numFmtId="0" fontId="219" fillId="0" borderId="201" xfId="68" applyNumberFormat="1" applyFont="1" applyBorder="1" applyAlignment="1">
      <alignment horizontal="center"/>
    </xf>
    <xf numFmtId="167" fontId="181" fillId="0" borderId="76" xfId="68" applyNumberFormat="1" applyFont="1" applyBorder="1" applyAlignment="1">
      <alignment horizontal="center"/>
    </xf>
    <xf numFmtId="10" fontId="181" fillId="0" borderId="0" xfId="68" applyNumberFormat="1" applyFont="1" applyAlignment="1">
      <alignment horizontal="center"/>
    </xf>
    <xf numFmtId="165" fontId="181" fillId="0" borderId="75" xfId="69" applyNumberFormat="1" applyFont="1" applyBorder="1" applyAlignment="1">
      <alignment horizontal="center"/>
    </xf>
    <xf numFmtId="10" fontId="181" fillId="0" borderId="76" xfId="68" applyNumberFormat="1" applyFont="1" applyBorder="1" applyAlignment="1">
      <alignment horizontal="center"/>
    </xf>
    <xf numFmtId="10" fontId="181" fillId="0" borderId="75" xfId="68" applyNumberFormat="1" applyFont="1" applyBorder="1" applyAlignment="1">
      <alignment horizontal="center"/>
    </xf>
    <xf numFmtId="0" fontId="219" fillId="98" borderId="76" xfId="68" applyNumberFormat="1" applyFont="1" applyFill="1" applyBorder="1" applyAlignment="1">
      <alignment horizontal="right"/>
    </xf>
    <xf numFmtId="165" fontId="219" fillId="98" borderId="0" xfId="28" applyNumberFormat="1" applyFont="1" applyFill="1"/>
    <xf numFmtId="165" fontId="219" fillId="98" borderId="75" xfId="28" applyNumberFormat="1" applyFont="1" applyFill="1" applyBorder="1"/>
    <xf numFmtId="297" fontId="219" fillId="98" borderId="0" xfId="1579" applyNumberFormat="1" applyFont="1" applyFill="1"/>
    <xf numFmtId="297" fontId="219" fillId="98" borderId="75" xfId="68" applyNumberFormat="1" applyFont="1" applyFill="1" applyBorder="1"/>
    <xf numFmtId="167" fontId="219" fillId="98" borderId="0" xfId="59" applyNumberFormat="1" applyFont="1" applyFill="1"/>
    <xf numFmtId="10" fontId="219" fillId="98" borderId="75" xfId="68" applyNumberFormat="1" applyFont="1" applyFill="1" applyBorder="1"/>
    <xf numFmtId="0" fontId="219" fillId="98" borderId="126" xfId="68" applyNumberFormat="1" applyFont="1" applyFill="1" applyBorder="1" applyAlignment="1">
      <alignment horizontal="right"/>
    </xf>
    <xf numFmtId="0" fontId="181" fillId="98" borderId="128" xfId="68" applyNumberFormat="1" applyFont="1" applyFill="1" applyBorder="1"/>
    <xf numFmtId="0" fontId="219" fillId="98" borderId="128" xfId="68" applyNumberFormat="1" applyFont="1" applyFill="1" applyBorder="1" applyAlignment="1">
      <alignment horizontal="right"/>
    </xf>
    <xf numFmtId="10" fontId="219" fillId="98" borderId="131" xfId="68" applyNumberFormat="1" applyFont="1" applyFill="1" applyBorder="1"/>
    <xf numFmtId="10" fontId="181" fillId="0" borderId="126" xfId="68" applyNumberFormat="1" applyFont="1" applyBorder="1" applyAlignment="1">
      <alignment horizontal="center"/>
    </xf>
    <xf numFmtId="10" fontId="181" fillId="0" borderId="128" xfId="68" applyNumberFormat="1" applyFont="1" applyBorder="1" applyAlignment="1">
      <alignment horizontal="center"/>
    </xf>
    <xf numFmtId="10" fontId="181" fillId="0" borderId="131" xfId="68" applyNumberFormat="1" applyFont="1" applyBorder="1" applyAlignment="1">
      <alignment horizontal="center"/>
    </xf>
    <xf numFmtId="0" fontId="181" fillId="0" borderId="128" xfId="68" applyNumberFormat="1" applyFont="1" applyBorder="1" applyAlignment="1">
      <alignment horizontal="right"/>
    </xf>
    <xf numFmtId="165" fontId="181" fillId="0" borderId="128" xfId="68" applyNumberFormat="1" applyFont="1" applyBorder="1"/>
    <xf numFmtId="0" fontId="181" fillId="0" borderId="128" xfId="68" applyNumberFormat="1" applyFont="1" applyBorder="1"/>
    <xf numFmtId="43" fontId="181" fillId="0" borderId="128" xfId="28" applyFont="1" applyBorder="1"/>
    <xf numFmtId="165" fontId="181" fillId="0" borderId="128" xfId="69" applyNumberFormat="1" applyFont="1" applyBorder="1" applyAlignment="1">
      <alignment horizontal="right"/>
    </xf>
    <xf numFmtId="0" fontId="181" fillId="0" borderId="131" xfId="68" applyNumberFormat="1" applyFont="1" applyBorder="1"/>
    <xf numFmtId="0" fontId="206" fillId="33" borderId="0" xfId="68" applyNumberFormat="1" applyFont="1" applyFill="1" applyAlignment="1">
      <alignment horizontal="left"/>
    </xf>
    <xf numFmtId="0" fontId="230" fillId="33" borderId="0" xfId="68" applyNumberFormat="1" applyFont="1" applyFill="1" applyAlignment="1">
      <alignment horizontal="center"/>
    </xf>
    <xf numFmtId="0" fontId="206" fillId="33" borderId="0" xfId="68" applyNumberFormat="1" applyFont="1" applyFill="1"/>
    <xf numFmtId="0" fontId="212" fillId="0" borderId="0" xfId="68" applyNumberFormat="1" applyFont="1" applyAlignment="1">
      <alignment horizontal="right"/>
    </xf>
    <xf numFmtId="0" fontId="231" fillId="0" borderId="0" xfId="1906" applyFont="1"/>
    <xf numFmtId="0" fontId="231" fillId="0" borderId="0" xfId="1906" applyFont="1" applyAlignment="1">
      <alignment horizontal="right"/>
    </xf>
    <xf numFmtId="0" fontId="231" fillId="0" borderId="0" xfId="1906" applyFont="1" applyAlignment="1">
      <alignment horizontal="center"/>
    </xf>
    <xf numFmtId="0" fontId="202" fillId="0" borderId="0" xfId="1906" applyFont="1"/>
    <xf numFmtId="167" fontId="231" fillId="0" borderId="0" xfId="1907" applyNumberFormat="1" applyFont="1" applyAlignment="1">
      <alignment horizontal="right"/>
    </xf>
    <xf numFmtId="10" fontId="231" fillId="0" borderId="0" xfId="1906" applyNumberFormat="1" applyFont="1" applyAlignment="1">
      <alignment horizontal="center"/>
    </xf>
    <xf numFmtId="0" fontId="202" fillId="0" borderId="81" xfId="1906" applyFont="1" applyBorder="1"/>
    <xf numFmtId="0" fontId="231" fillId="0" borderId="81" xfId="1906" applyFont="1" applyBorder="1" applyAlignment="1">
      <alignment horizontal="right"/>
    </xf>
    <xf numFmtId="9" fontId="231" fillId="0" borderId="81" xfId="59" applyFont="1" applyBorder="1" applyAlignment="1">
      <alignment horizontal="right"/>
    </xf>
    <xf numFmtId="9" fontId="231" fillId="0" borderId="124" xfId="59" applyFont="1" applyBorder="1" applyAlignment="1">
      <alignment horizontal="right"/>
    </xf>
    <xf numFmtId="9" fontId="231" fillId="0" borderId="127" xfId="59" applyFont="1" applyBorder="1" applyAlignment="1">
      <alignment horizontal="right"/>
    </xf>
    <xf numFmtId="0" fontId="231" fillId="0" borderId="81" xfId="1906" applyFont="1" applyBorder="1"/>
    <xf numFmtId="9" fontId="231" fillId="0" borderId="81" xfId="59" applyFont="1" applyBorder="1" applyAlignment="1">
      <alignment horizontal="center"/>
    </xf>
    <xf numFmtId="9" fontId="231" fillId="0" borderId="127" xfId="59" applyFont="1" applyBorder="1" applyAlignment="1">
      <alignment horizontal="center"/>
    </xf>
    <xf numFmtId="167" fontId="231" fillId="0" borderId="81" xfId="59" applyNumberFormat="1" applyFont="1" applyBorder="1" applyAlignment="1">
      <alignment horizontal="right"/>
    </xf>
    <xf numFmtId="9" fontId="231" fillId="0" borderId="125" xfId="59" applyFont="1" applyBorder="1" applyAlignment="1">
      <alignment horizontal="center"/>
    </xf>
    <xf numFmtId="0" fontId="233" fillId="0" borderId="67" xfId="1906" applyFont="1" applyBorder="1" applyAlignment="1">
      <alignment horizontal="right" wrapText="1"/>
    </xf>
    <xf numFmtId="167" fontId="231" fillId="0" borderId="100" xfId="1907" applyNumberFormat="1" applyFont="1" applyBorder="1" applyAlignment="1">
      <alignment horizontal="right"/>
    </xf>
    <xf numFmtId="167" fontId="231" fillId="0" borderId="101" xfId="1907" applyNumberFormat="1" applyFont="1" applyBorder="1" applyAlignment="1">
      <alignment horizontal="right"/>
    </xf>
    <xf numFmtId="167" fontId="233" fillId="0" borderId="81" xfId="1906" applyNumberFormat="1" applyFont="1" applyBorder="1" applyAlignment="1">
      <alignment horizontal="right"/>
    </xf>
    <xf numFmtId="165" fontId="234" fillId="0" borderId="0" xfId="1908" applyNumberFormat="1" applyFont="1" applyAlignment="1">
      <alignment horizontal="right"/>
    </xf>
    <xf numFmtId="167" fontId="231" fillId="0" borderId="0" xfId="1906" applyNumberFormat="1" applyFont="1" applyAlignment="1">
      <alignment horizontal="right"/>
    </xf>
    <xf numFmtId="0" fontId="201" fillId="0" borderId="0" xfId="1906" applyFont="1"/>
    <xf numFmtId="0" fontId="204" fillId="0" borderId="0" xfId="72" applyFont="1"/>
    <xf numFmtId="0" fontId="205" fillId="0" borderId="0" xfId="72" applyFont="1" applyAlignment="1">
      <alignment horizontal="centerContinuous"/>
    </xf>
    <xf numFmtId="0" fontId="207" fillId="0" borderId="20" xfId="72" applyFont="1" applyBorder="1"/>
    <xf numFmtId="0" fontId="205" fillId="0" borderId="20" xfId="72" applyFont="1" applyBorder="1" applyAlignment="1">
      <alignment horizontal="centerContinuous"/>
    </xf>
    <xf numFmtId="0" fontId="206" fillId="0" borderId="0" xfId="72" applyFont="1" applyAlignment="1">
      <alignment horizontal="centerContinuous"/>
    </xf>
    <xf numFmtId="166" fontId="206" fillId="0" borderId="0" xfId="1570" applyNumberFormat="1" applyFont="1" applyAlignment="1">
      <alignment horizontal="centerContinuous"/>
    </xf>
    <xf numFmtId="166" fontId="205" fillId="0" borderId="0" xfId="1570" applyNumberFormat="1" applyFont="1" applyAlignment="1">
      <alignment horizontal="right"/>
    </xf>
    <xf numFmtId="10" fontId="206" fillId="0" borderId="0" xfId="72" applyNumberFormat="1" applyFont="1"/>
    <xf numFmtId="0" fontId="206" fillId="0" borderId="100" xfId="72" applyFont="1" applyBorder="1"/>
    <xf numFmtId="0" fontId="206" fillId="0" borderId="100" xfId="72" applyFont="1" applyBorder="1" applyAlignment="1">
      <alignment horizontal="right"/>
    </xf>
    <xf numFmtId="3" fontId="206" fillId="0" borderId="100" xfId="28" applyNumberFormat="1" applyFont="1" applyBorder="1"/>
    <xf numFmtId="4" fontId="206" fillId="0" borderId="100" xfId="28" applyNumberFormat="1" applyFont="1" applyBorder="1"/>
    <xf numFmtId="167" fontId="206" fillId="0" borderId="100" xfId="59" applyNumberFormat="1" applyFont="1" applyBorder="1"/>
    <xf numFmtId="0" fontId="206" fillId="0" borderId="101" xfId="72" applyFont="1" applyBorder="1"/>
    <xf numFmtId="166" fontId="206" fillId="0" borderId="101" xfId="1570" applyNumberFormat="1" applyFont="1" applyBorder="1"/>
    <xf numFmtId="3" fontId="206" fillId="0" borderId="101" xfId="28" applyNumberFormat="1" applyFont="1" applyBorder="1"/>
    <xf numFmtId="4" fontId="206" fillId="0" borderId="101" xfId="28" applyNumberFormat="1" applyFont="1" applyBorder="1"/>
    <xf numFmtId="167" fontId="206" fillId="0" borderId="101" xfId="59" applyNumberFormat="1" applyFont="1" applyBorder="1"/>
    <xf numFmtId="310" fontId="230" fillId="0" borderId="0" xfId="72" applyNumberFormat="1" applyFont="1" applyProtection="1">
      <protection locked="0"/>
    </xf>
    <xf numFmtId="165" fontId="206" fillId="0" borderId="101" xfId="1571" applyNumberFormat="1" applyFont="1" applyBorder="1" applyProtection="1">
      <protection locked="0"/>
    </xf>
    <xf numFmtId="3" fontId="206" fillId="0" borderId="101" xfId="28" applyNumberFormat="1" applyFont="1" applyBorder="1" applyProtection="1">
      <protection locked="0"/>
    </xf>
    <xf numFmtId="4" fontId="206" fillId="0" borderId="101" xfId="28" applyNumberFormat="1" applyFont="1" applyBorder="1" applyProtection="1">
      <protection locked="0"/>
    </xf>
    <xf numFmtId="167" fontId="206" fillId="0" borderId="101" xfId="59" applyNumberFormat="1" applyFont="1" applyBorder="1" applyProtection="1">
      <protection locked="0"/>
    </xf>
    <xf numFmtId="0" fontId="230" fillId="0" borderId="101" xfId="72" applyFont="1" applyBorder="1" applyProtection="1">
      <protection locked="0"/>
    </xf>
    <xf numFmtId="0" fontId="206" fillId="0" borderId="101" xfId="72" applyFont="1" applyBorder="1" applyProtection="1">
      <protection locked="0"/>
    </xf>
    <xf numFmtId="0" fontId="230" fillId="0" borderId="103" xfId="72" applyFont="1" applyBorder="1" applyProtection="1">
      <protection locked="0"/>
    </xf>
    <xf numFmtId="0" fontId="206" fillId="0" borderId="103" xfId="72" applyFont="1" applyBorder="1" applyProtection="1">
      <protection locked="0"/>
    </xf>
    <xf numFmtId="165" fontId="206" fillId="0" borderId="103" xfId="1571" applyNumberFormat="1" applyFont="1" applyBorder="1" applyProtection="1">
      <protection locked="0"/>
    </xf>
    <xf numFmtId="3" fontId="206" fillId="0" borderId="103" xfId="28" applyNumberFormat="1" applyFont="1" applyBorder="1" applyProtection="1">
      <protection locked="0"/>
    </xf>
    <xf numFmtId="4" fontId="206" fillId="0" borderId="103" xfId="28" applyNumberFormat="1" applyFont="1" applyBorder="1" applyProtection="1">
      <protection locked="0"/>
    </xf>
    <xf numFmtId="167" fontId="206" fillId="0" borderId="103" xfId="59" applyNumberFormat="1" applyFont="1" applyBorder="1" applyProtection="1">
      <protection locked="0"/>
    </xf>
    <xf numFmtId="165" fontId="205" fillId="0" borderId="0" xfId="1571" applyNumberFormat="1" applyFont="1"/>
    <xf numFmtId="3" fontId="205" fillId="0" borderId="0" xfId="1570" applyNumberFormat="1" applyFont="1"/>
    <xf numFmtId="3" fontId="205" fillId="0" borderId="0" xfId="28" applyNumberFormat="1" applyFont="1"/>
    <xf numFmtId="4" fontId="205" fillId="0" borderId="0" xfId="28" applyNumberFormat="1" applyFont="1"/>
    <xf numFmtId="0" fontId="205" fillId="0" borderId="0" xfId="72" applyFont="1" applyAlignment="1">
      <alignment horizontal="left"/>
    </xf>
    <xf numFmtId="166" fontId="205" fillId="0" borderId="0" xfId="1570" applyNumberFormat="1" applyFont="1"/>
    <xf numFmtId="0" fontId="205" fillId="0" borderId="67" xfId="72" applyFont="1" applyBorder="1" applyAlignment="1">
      <alignment horizontal="right"/>
    </xf>
    <xf numFmtId="166" fontId="206" fillId="0" borderId="100" xfId="1570" applyNumberFormat="1" applyFont="1" applyBorder="1"/>
    <xf numFmtId="3" fontId="206" fillId="0" borderId="100" xfId="28" applyNumberFormat="1" applyFont="1" applyBorder="1" applyProtection="1">
      <protection locked="0"/>
    </xf>
    <xf numFmtId="4" fontId="206" fillId="0" borderId="100" xfId="28" applyNumberFormat="1" applyFont="1" applyBorder="1" applyProtection="1">
      <protection locked="0"/>
    </xf>
    <xf numFmtId="167" fontId="206" fillId="0" borderId="100" xfId="59" applyNumberFormat="1" applyFont="1" applyBorder="1" applyProtection="1">
      <protection locked="0"/>
    </xf>
    <xf numFmtId="43" fontId="206" fillId="0" borderId="101" xfId="1571" applyFont="1" applyBorder="1"/>
    <xf numFmtId="165" fontId="206" fillId="0" borderId="101" xfId="72" applyNumberFormat="1" applyFont="1" applyBorder="1"/>
    <xf numFmtId="165" fontId="206" fillId="0" borderId="101" xfId="72" applyNumberFormat="1" applyFont="1" applyBorder="1" applyProtection="1">
      <protection locked="0"/>
    </xf>
    <xf numFmtId="165" fontId="206" fillId="0" borderId="103" xfId="72" applyNumberFormat="1" applyFont="1" applyBorder="1" applyProtection="1">
      <protection locked="0"/>
    </xf>
    <xf numFmtId="10" fontId="205" fillId="0" borderId="0" xfId="1572" applyNumberFormat="1" applyFont="1" applyAlignment="1">
      <alignment horizontal="center"/>
    </xf>
    <xf numFmtId="166" fontId="205" fillId="0" borderId="0" xfId="72" applyNumberFormat="1" applyFont="1"/>
    <xf numFmtId="165" fontId="206" fillId="0" borderId="0" xfId="1571" applyNumberFormat="1" applyFont="1"/>
    <xf numFmtId="44" fontId="206" fillId="0" borderId="0" xfId="1570" applyFont="1"/>
    <xf numFmtId="0" fontId="205" fillId="0" borderId="67" xfId="72" applyFont="1" applyBorder="1"/>
    <xf numFmtId="0" fontId="206" fillId="0" borderId="67" xfId="72" applyFont="1" applyBorder="1" applyAlignment="1">
      <alignment horizontal="centerContinuous"/>
    </xf>
    <xf numFmtId="166" fontId="206" fillId="0" borderId="67" xfId="1570" applyNumberFormat="1" applyFont="1" applyBorder="1" applyAlignment="1">
      <alignment horizontal="centerContinuous"/>
    </xf>
    <xf numFmtId="166" fontId="205" fillId="0" borderId="67" xfId="1570" applyNumberFormat="1" applyFont="1" applyBorder="1" applyAlignment="1">
      <alignment horizontal="right"/>
    </xf>
    <xf numFmtId="0" fontId="206" fillId="0" borderId="100" xfId="72" applyFont="1" applyBorder="1" applyAlignment="1">
      <alignment horizontal="left"/>
    </xf>
    <xf numFmtId="0" fontId="206" fillId="0" borderId="101" xfId="72" applyFont="1" applyBorder="1" applyAlignment="1">
      <alignment horizontal="left"/>
    </xf>
    <xf numFmtId="1" fontId="206" fillId="0" borderId="101" xfId="1570" applyNumberFormat="1" applyFont="1" applyBorder="1"/>
    <xf numFmtId="2" fontId="206" fillId="0" borderId="101" xfId="1570" applyNumberFormat="1" applyFont="1" applyBorder="1"/>
    <xf numFmtId="3" fontId="206" fillId="0" borderId="103" xfId="28" applyNumberFormat="1" applyFont="1" applyBorder="1"/>
    <xf numFmtId="4" fontId="206" fillId="0" borderId="103" xfId="28" applyNumberFormat="1" applyFont="1" applyBorder="1"/>
    <xf numFmtId="167" fontId="206" fillId="0" borderId="103" xfId="59" applyNumberFormat="1" applyFont="1" applyBorder="1"/>
    <xf numFmtId="0" fontId="205" fillId="0" borderId="206" xfId="72" applyFont="1" applyBorder="1"/>
    <xf numFmtId="165" fontId="206" fillId="0" borderId="0" xfId="72" applyNumberFormat="1" applyFont="1"/>
    <xf numFmtId="164" fontId="206" fillId="0" borderId="0" xfId="1570" applyNumberFormat="1" applyFont="1"/>
    <xf numFmtId="3" fontId="206" fillId="0" borderId="0" xfId="28" applyNumberFormat="1" applyFont="1"/>
    <xf numFmtId="4" fontId="206" fillId="0" borderId="0" xfId="28" applyNumberFormat="1" applyFont="1"/>
    <xf numFmtId="167" fontId="206" fillId="0" borderId="0" xfId="59" applyNumberFormat="1" applyFont="1"/>
    <xf numFmtId="165" fontId="206" fillId="0" borderId="0" xfId="1571" applyNumberFormat="1" applyFont="1" applyAlignment="1">
      <alignment horizontal="center"/>
    </xf>
    <xf numFmtId="3" fontId="206" fillId="0" borderId="70" xfId="1570" applyNumberFormat="1" applyFont="1" applyBorder="1"/>
    <xf numFmtId="0" fontId="211" fillId="31" borderId="0" xfId="72" applyFont="1" applyFill="1"/>
    <xf numFmtId="10" fontId="211" fillId="31" borderId="0" xfId="1572" applyNumberFormat="1" applyFont="1" applyFill="1" applyAlignment="1">
      <alignment horizontal="center"/>
    </xf>
    <xf numFmtId="37" fontId="211" fillId="31" borderId="0" xfId="72" applyNumberFormat="1" applyFont="1" applyFill="1"/>
    <xf numFmtId="166" fontId="211" fillId="31" borderId="0" xfId="72" applyNumberFormat="1" applyFont="1" applyFill="1"/>
    <xf numFmtId="3" fontId="211" fillId="31" borderId="0" xfId="28" applyNumberFormat="1" applyFont="1" applyFill="1"/>
    <xf numFmtId="4" fontId="211" fillId="31" borderId="0" xfId="28" applyNumberFormat="1" applyFont="1" applyFill="1"/>
    <xf numFmtId="167" fontId="211" fillId="31" borderId="0" xfId="59" applyNumberFormat="1" applyFont="1" applyFill="1"/>
    <xf numFmtId="10" fontId="206" fillId="0" borderId="101" xfId="1572" applyNumberFormat="1" applyFont="1" applyBorder="1"/>
    <xf numFmtId="10" fontId="206" fillId="0" borderId="101" xfId="1572" applyNumberFormat="1" applyFont="1" applyBorder="1" applyProtection="1">
      <protection locked="0"/>
    </xf>
    <xf numFmtId="10" fontId="206" fillId="0" borderId="103" xfId="1572" applyNumberFormat="1" applyFont="1" applyBorder="1" applyProtection="1">
      <protection locked="0"/>
    </xf>
    <xf numFmtId="10" fontId="206" fillId="0" borderId="0" xfId="1572" applyNumberFormat="1" applyFont="1" applyAlignment="1">
      <alignment horizontal="center"/>
    </xf>
    <xf numFmtId="166" fontId="206" fillId="0" borderId="0" xfId="1570" applyNumberFormat="1" applyFont="1"/>
    <xf numFmtId="10" fontId="206" fillId="0" borderId="100" xfId="1572" applyNumberFormat="1" applyFont="1" applyBorder="1" applyAlignment="1">
      <alignment horizontal="center"/>
    </xf>
    <xf numFmtId="10" fontId="206" fillId="0" borderId="101" xfId="1572" applyNumberFormat="1" applyFont="1" applyBorder="1" applyAlignment="1">
      <alignment horizontal="center"/>
    </xf>
    <xf numFmtId="10" fontId="206" fillId="0" borderId="101" xfId="1572" applyNumberFormat="1" applyFont="1" applyBorder="1" applyAlignment="1" applyProtection="1">
      <alignment horizontal="center"/>
      <protection locked="0"/>
    </xf>
    <xf numFmtId="10" fontId="206" fillId="0" borderId="103" xfId="1572" applyNumberFormat="1" applyFont="1" applyBorder="1" applyAlignment="1" applyProtection="1">
      <alignment horizontal="center"/>
      <protection locked="0"/>
    </xf>
    <xf numFmtId="289" fontId="205" fillId="0" borderId="0" xfId="71" applyNumberFormat="1" applyFont="1"/>
    <xf numFmtId="10" fontId="206" fillId="0" borderId="0" xfId="1572" applyNumberFormat="1" applyFont="1"/>
    <xf numFmtId="0" fontId="206" fillId="0" borderId="130" xfId="72" applyFont="1" applyBorder="1"/>
    <xf numFmtId="10" fontId="206" fillId="0" borderId="130" xfId="1572" applyNumberFormat="1" applyFont="1" applyBorder="1"/>
    <xf numFmtId="305" fontId="205" fillId="0" borderId="0" xfId="1572" applyNumberFormat="1" applyFont="1" applyAlignment="1">
      <alignment horizontal="center"/>
    </xf>
    <xf numFmtId="0" fontId="206" fillId="0" borderId="130" xfId="72" applyFont="1" applyBorder="1" applyAlignment="1">
      <alignment horizontal="left"/>
    </xf>
    <xf numFmtId="295" fontId="206" fillId="0" borderId="101" xfId="72" applyNumberFormat="1" applyFont="1" applyBorder="1"/>
    <xf numFmtId="164" fontId="206" fillId="0" borderId="101" xfId="1570" applyNumberFormat="1" applyFont="1" applyBorder="1"/>
    <xf numFmtId="175" fontId="206" fillId="0" borderId="101" xfId="1570" applyNumberFormat="1" applyFont="1" applyBorder="1"/>
    <xf numFmtId="10" fontId="206" fillId="0" borderId="101" xfId="72" applyNumberFormat="1" applyFont="1" applyBorder="1" applyProtection="1">
      <protection locked="0"/>
    </xf>
    <xf numFmtId="166" fontId="206" fillId="0" borderId="101" xfId="1570" applyNumberFormat="1" applyFont="1" applyBorder="1" applyProtection="1">
      <protection locked="0"/>
    </xf>
    <xf numFmtId="166" fontId="206" fillId="0" borderId="103" xfId="1570" applyNumberFormat="1" applyFont="1" applyBorder="1" applyProtection="1">
      <protection locked="0"/>
    </xf>
    <xf numFmtId="10" fontId="205" fillId="0" borderId="0" xfId="28" applyNumberFormat="1" applyFont="1"/>
    <xf numFmtId="166" fontId="206" fillId="0" borderId="67" xfId="1570" applyNumberFormat="1" applyFont="1" applyBorder="1" applyAlignment="1">
      <alignment horizontal="right"/>
    </xf>
    <xf numFmtId="0" fontId="206" fillId="0" borderId="101" xfId="72" applyFont="1" applyBorder="1" applyAlignment="1">
      <alignment horizontal="center"/>
    </xf>
    <xf numFmtId="0" fontId="205" fillId="0" borderId="123" xfId="72" applyFont="1" applyBorder="1"/>
    <xf numFmtId="175" fontId="237" fillId="103" borderId="0" xfId="0" applyNumberFormat="1" applyFont="1" applyFill="1" applyAlignment="1">
      <alignment horizontal="center" vertical="center"/>
    </xf>
    <xf numFmtId="166" fontId="206" fillId="0" borderId="130" xfId="1570" applyNumberFormat="1" applyFont="1" applyBorder="1"/>
    <xf numFmtId="9" fontId="206" fillId="0" borderId="102" xfId="59" applyFont="1" applyBorder="1" applyAlignment="1">
      <alignment horizontal="right"/>
    </xf>
    <xf numFmtId="166" fontId="206" fillId="0" borderId="102" xfId="1570" applyNumberFormat="1" applyFont="1" applyBorder="1" applyAlignment="1">
      <alignment horizontal="centerContinuous"/>
    </xf>
    <xf numFmtId="290" fontId="206" fillId="0" borderId="101" xfId="71" applyNumberFormat="1" applyFont="1" applyBorder="1" applyAlignment="1" applyProtection="1">
      <alignment horizontal="center"/>
      <protection locked="0"/>
    </xf>
    <xf numFmtId="290" fontId="206" fillId="0" borderId="103" xfId="71" applyNumberFormat="1" applyFont="1" applyBorder="1" applyAlignment="1" applyProtection="1">
      <alignment horizontal="center"/>
      <protection locked="0"/>
    </xf>
    <xf numFmtId="290" fontId="206" fillId="0" borderId="0" xfId="71" applyNumberFormat="1" applyFont="1" applyAlignment="1">
      <alignment horizontal="center"/>
    </xf>
    <xf numFmtId="1" fontId="206" fillId="0" borderId="0" xfId="72" applyNumberFormat="1" applyFont="1" applyAlignment="1">
      <alignment horizontal="center"/>
    </xf>
    <xf numFmtId="164" fontId="206" fillId="0" borderId="0" xfId="72" applyNumberFormat="1" applyFont="1"/>
    <xf numFmtId="165" fontId="206" fillId="0" borderId="100" xfId="72" applyNumberFormat="1" applyFont="1" applyBorder="1"/>
    <xf numFmtId="290" fontId="206" fillId="0" borderId="130" xfId="71" applyNumberFormat="1" applyFont="1" applyBorder="1" applyAlignment="1">
      <alignment horizontal="center"/>
    </xf>
    <xf numFmtId="290" fontId="206" fillId="0" borderId="101" xfId="71" applyNumberFormat="1" applyFont="1" applyBorder="1" applyAlignment="1">
      <alignment horizontal="center"/>
    </xf>
    <xf numFmtId="10" fontId="206" fillId="0" borderId="101" xfId="71" applyNumberFormat="1" applyFont="1" applyBorder="1" applyAlignment="1">
      <alignment horizontal="right"/>
    </xf>
    <xf numFmtId="3" fontId="206" fillId="0" borderId="101" xfId="1570" applyNumberFormat="1" applyFont="1" applyBorder="1"/>
    <xf numFmtId="165" fontId="206" fillId="0" borderId="98" xfId="72" applyNumberFormat="1" applyFont="1" applyBorder="1" applyProtection="1">
      <protection locked="0"/>
    </xf>
    <xf numFmtId="10" fontId="206" fillId="0" borderId="0" xfId="72" applyNumberFormat="1" applyFont="1" applyProtection="1">
      <protection locked="0"/>
    </xf>
    <xf numFmtId="10" fontId="206" fillId="0" borderId="103" xfId="72" applyNumberFormat="1" applyFont="1" applyBorder="1" applyProtection="1">
      <protection locked="0"/>
    </xf>
    <xf numFmtId="0" fontId="211" fillId="0" borderId="0" xfId="72" applyFont="1"/>
    <xf numFmtId="0" fontId="206" fillId="0" borderId="99" xfId="72" applyFont="1" applyBorder="1"/>
    <xf numFmtId="165" fontId="206" fillId="0" borderId="99" xfId="72" applyNumberFormat="1" applyFont="1" applyBorder="1"/>
    <xf numFmtId="3" fontId="206" fillId="32" borderId="99" xfId="1570" applyNumberFormat="1" applyFont="1" applyFill="1" applyBorder="1"/>
    <xf numFmtId="3" fontId="206" fillId="0" borderId="99" xfId="28" applyNumberFormat="1" applyFont="1" applyBorder="1"/>
    <xf numFmtId="4" fontId="206" fillId="0" borderId="99" xfId="28" applyNumberFormat="1" applyFont="1" applyBorder="1"/>
    <xf numFmtId="167" fontId="206" fillId="0" borderId="99" xfId="59" applyNumberFormat="1" applyFont="1" applyBorder="1"/>
    <xf numFmtId="0" fontId="206" fillId="0" borderId="103" xfId="72" applyFont="1" applyBorder="1"/>
    <xf numFmtId="165" fontId="206" fillId="0" borderId="103" xfId="72" applyNumberFormat="1" applyFont="1" applyBorder="1"/>
    <xf numFmtId="3" fontId="206" fillId="0" borderId="103" xfId="1570" applyNumberFormat="1" applyFont="1" applyBorder="1"/>
    <xf numFmtId="165" fontId="206" fillId="0" borderId="130" xfId="72" applyNumberFormat="1" applyFont="1" applyBorder="1"/>
    <xf numFmtId="3" fontId="206" fillId="0" borderId="99" xfId="1570" applyNumberFormat="1" applyFont="1" applyBorder="1"/>
    <xf numFmtId="3" fontId="206" fillId="0" borderId="0" xfId="72" applyNumberFormat="1" applyFont="1" applyAlignment="1">
      <alignment horizontal="right"/>
    </xf>
    <xf numFmtId="0" fontId="206" fillId="0" borderId="0" xfId="72" applyFont="1" applyAlignment="1">
      <alignment horizontal="center"/>
    </xf>
    <xf numFmtId="0" fontId="206" fillId="0" borderId="99" xfId="72" applyFont="1" applyBorder="1" applyAlignment="1">
      <alignment horizontal="center"/>
    </xf>
    <xf numFmtId="166" fontId="206" fillId="0" borderId="99" xfId="72" applyNumberFormat="1" applyFont="1" applyBorder="1"/>
    <xf numFmtId="166" fontId="206" fillId="0" borderId="101" xfId="72" applyNumberFormat="1" applyFont="1" applyBorder="1"/>
    <xf numFmtId="166" fontId="205" fillId="0" borderId="0" xfId="1570" applyNumberFormat="1" applyFont="1" applyAlignment="1">
      <alignment horizontal="left"/>
    </xf>
    <xf numFmtId="0" fontId="206" fillId="0" borderId="130" xfId="72" applyFont="1" applyBorder="1" applyAlignment="1">
      <alignment horizontal="right"/>
    </xf>
    <xf numFmtId="0" fontId="206" fillId="0" borderId="101" xfId="72" applyFont="1" applyBorder="1" applyAlignment="1">
      <alignment horizontal="right"/>
    </xf>
    <xf numFmtId="9" fontId="206" fillId="0" borderId="101" xfId="71" applyFont="1" applyBorder="1"/>
    <xf numFmtId="1" fontId="206" fillId="0" borderId="101" xfId="71" applyNumberFormat="1" applyFont="1" applyBorder="1"/>
    <xf numFmtId="41" fontId="206" fillId="0" borderId="101" xfId="76" applyNumberFormat="1" applyFont="1" applyBorder="1" applyProtection="1">
      <protection locked="0"/>
    </xf>
    <xf numFmtId="1" fontId="206" fillId="0" borderId="101" xfId="72" applyNumberFormat="1" applyFont="1" applyBorder="1" applyAlignment="1">
      <alignment horizontal="right"/>
    </xf>
    <xf numFmtId="0" fontId="206" fillId="0" borderId="101" xfId="72" applyFont="1" applyBorder="1" applyAlignment="1" applyProtection="1">
      <alignment horizontal="right"/>
      <protection locked="0"/>
    </xf>
    <xf numFmtId="9" fontId="206" fillId="0" borderId="101" xfId="71" applyFont="1" applyBorder="1" applyProtection="1">
      <protection locked="0"/>
    </xf>
    <xf numFmtId="166" fontId="206" fillId="0" borderId="0" xfId="72" applyNumberFormat="1" applyFont="1"/>
    <xf numFmtId="0" fontId="206" fillId="0" borderId="103" xfId="72" applyFont="1" applyBorder="1" applyAlignment="1" applyProtection="1">
      <alignment horizontal="right"/>
      <protection locked="0"/>
    </xf>
    <xf numFmtId="9" fontId="206" fillId="0" borderId="103" xfId="71" applyFont="1" applyBorder="1" applyProtection="1">
      <protection locked="0"/>
    </xf>
    <xf numFmtId="164" fontId="206" fillId="0" borderId="130" xfId="72" applyNumberFormat="1" applyFont="1" applyBorder="1"/>
    <xf numFmtId="0" fontId="206" fillId="0" borderId="130" xfId="72" applyFont="1" applyBorder="1" applyProtection="1">
      <protection locked="0"/>
    </xf>
    <xf numFmtId="3" fontId="206" fillId="0" borderId="100" xfId="1570" applyNumberFormat="1" applyFont="1" applyBorder="1" applyProtection="1">
      <protection locked="0"/>
    </xf>
    <xf numFmtId="0" fontId="206" fillId="0" borderId="101" xfId="1573" applyFont="1" applyBorder="1"/>
    <xf numFmtId="3" fontId="206" fillId="0" borderId="101" xfId="1570" applyNumberFormat="1" applyFont="1" applyBorder="1" applyProtection="1">
      <protection locked="0"/>
    </xf>
    <xf numFmtId="10" fontId="206" fillId="0" borderId="101" xfId="59" applyNumberFormat="1" applyFont="1" applyBorder="1"/>
    <xf numFmtId="164" fontId="206" fillId="0" borderId="101" xfId="72" applyNumberFormat="1" applyFont="1" applyBorder="1"/>
    <xf numFmtId="164" fontId="206" fillId="0" borderId="101" xfId="72" applyNumberFormat="1" applyFont="1" applyBorder="1" applyAlignment="1">
      <alignment horizontal="right"/>
    </xf>
    <xf numFmtId="44" fontId="206" fillId="0" borderId="101" xfId="72" applyNumberFormat="1" applyFont="1" applyBorder="1" applyProtection="1">
      <protection locked="0"/>
    </xf>
    <xf numFmtId="9" fontId="206" fillId="0" borderId="100" xfId="71" applyFont="1" applyBorder="1" applyAlignment="1">
      <alignment horizontal="center"/>
    </xf>
    <xf numFmtId="9" fontId="206" fillId="0" borderId="103" xfId="71" applyFont="1" applyBorder="1" applyAlignment="1" applyProtection="1">
      <alignment horizontal="center"/>
      <protection locked="0"/>
    </xf>
    <xf numFmtId="3" fontId="205" fillId="0" borderId="70" xfId="1570" applyNumberFormat="1" applyFont="1" applyBorder="1"/>
    <xf numFmtId="10" fontId="205" fillId="0" borderId="0" xfId="59" applyNumberFormat="1" applyFont="1"/>
    <xf numFmtId="0" fontId="206" fillId="0" borderId="67" xfId="72" applyFont="1" applyBorder="1" applyAlignment="1">
      <alignment horizontal="right"/>
    </xf>
    <xf numFmtId="0" fontId="206" fillId="0" borderId="67" xfId="72" applyFont="1" applyBorder="1"/>
    <xf numFmtId="37" fontId="206" fillId="0" borderId="67" xfId="72" applyNumberFormat="1" applyFont="1" applyBorder="1"/>
    <xf numFmtId="0" fontId="206" fillId="0" borderId="101" xfId="723" applyFont="1" applyBorder="1"/>
    <xf numFmtId="37" fontId="206" fillId="0" borderId="101" xfId="72" applyNumberFormat="1" applyFont="1" applyBorder="1"/>
    <xf numFmtId="3" fontId="201" fillId="32" borderId="101" xfId="723" applyNumberFormat="1" applyFont="1" applyFill="1" applyBorder="1" applyAlignment="1">
      <alignment horizontal="right"/>
    </xf>
    <xf numFmtId="3" fontId="201" fillId="0" borderId="101" xfId="723" applyNumberFormat="1" applyFont="1" applyBorder="1" applyAlignment="1">
      <alignment horizontal="right"/>
    </xf>
    <xf numFmtId="0" fontId="206" fillId="0" borderId="103" xfId="723" applyFont="1" applyBorder="1"/>
    <xf numFmtId="37" fontId="206" fillId="0" borderId="103" xfId="72" applyNumberFormat="1" applyFont="1" applyBorder="1"/>
    <xf numFmtId="3" fontId="201" fillId="32" borderId="103" xfId="723" applyNumberFormat="1" applyFont="1" applyFill="1" applyBorder="1" applyAlignment="1">
      <alignment horizontal="right"/>
    </xf>
    <xf numFmtId="0" fontId="206" fillId="0" borderId="99" xfId="723" applyFont="1" applyBorder="1"/>
    <xf numFmtId="37" fontId="206" fillId="0" borderId="99" xfId="72" applyNumberFormat="1" applyFont="1" applyBorder="1"/>
    <xf numFmtId="3" fontId="201" fillId="32" borderId="99" xfId="723" applyNumberFormat="1" applyFont="1" applyFill="1" applyBorder="1" applyAlignment="1">
      <alignment horizontal="right"/>
    </xf>
    <xf numFmtId="0" fontId="206" fillId="0" borderId="98" xfId="723" applyFont="1" applyBorder="1"/>
    <xf numFmtId="0" fontId="206" fillId="0" borderId="98" xfId="72" applyFont="1" applyBorder="1"/>
    <xf numFmtId="37" fontId="206" fillId="0" borderId="98" xfId="72" applyNumberFormat="1" applyFont="1" applyBorder="1"/>
    <xf numFmtId="3" fontId="201" fillId="32" borderId="98" xfId="723" applyNumberFormat="1" applyFont="1" applyFill="1" applyBorder="1" applyAlignment="1">
      <alignment horizontal="right"/>
    </xf>
    <xf numFmtId="3" fontId="206" fillId="0" borderId="98" xfId="28" applyNumberFormat="1" applyFont="1" applyBorder="1"/>
    <xf numFmtId="4" fontId="206" fillId="0" borderId="98" xfId="28" applyNumberFormat="1" applyFont="1" applyBorder="1"/>
    <xf numFmtId="167" fontId="206" fillId="0" borderId="98" xfId="59" applyNumberFormat="1" applyFont="1" applyBorder="1"/>
    <xf numFmtId="0" fontId="206" fillId="98" borderId="0" xfId="72" applyFont="1" applyFill="1"/>
    <xf numFmtId="0" fontId="206" fillId="98" borderId="0" xfId="72" applyFont="1" applyFill="1" applyAlignment="1">
      <alignment horizontal="left"/>
    </xf>
    <xf numFmtId="165" fontId="206" fillId="98" borderId="0" xfId="28" applyNumberFormat="1" applyFont="1" applyFill="1"/>
    <xf numFmtId="37" fontId="206" fillId="98" borderId="0" xfId="72" applyNumberFormat="1" applyFont="1" applyFill="1"/>
    <xf numFmtId="174" fontId="201" fillId="0" borderId="208" xfId="0" applyFont="1" applyBorder="1"/>
    <xf numFmtId="0" fontId="206" fillId="0" borderId="0" xfId="0" applyNumberFormat="1" applyFont="1"/>
    <xf numFmtId="0" fontId="211" fillId="0" borderId="0" xfId="0" applyNumberFormat="1" applyFont="1" applyAlignment="1">
      <alignment horizontal="centerContinuous"/>
    </xf>
    <xf numFmtId="0" fontId="214" fillId="0" borderId="0" xfId="0" applyNumberFormat="1" applyFont="1" applyAlignment="1">
      <alignment horizontal="centerContinuous"/>
    </xf>
    <xf numFmtId="0" fontId="205" fillId="0" borderId="0" xfId="723" applyFont="1" applyAlignment="1">
      <alignment horizontal="left"/>
    </xf>
    <xf numFmtId="0" fontId="205" fillId="0" borderId="0" xfId="723" applyFont="1" applyAlignment="1">
      <alignment horizontal="centerContinuous"/>
    </xf>
    <xf numFmtId="0" fontId="206" fillId="0" borderId="0" xfId="0" applyNumberFormat="1" applyFont="1" applyAlignment="1">
      <alignment horizontal="centerContinuous"/>
    </xf>
    <xf numFmtId="0" fontId="206" fillId="0" borderId="0" xfId="723" applyFont="1"/>
    <xf numFmtId="0" fontId="238" fillId="0" borderId="0" xfId="0" applyNumberFormat="1" applyFont="1"/>
    <xf numFmtId="174" fontId="201" fillId="0" borderId="213" xfId="0" applyFont="1" applyBorder="1"/>
    <xf numFmtId="174" fontId="201" fillId="0" borderId="214" xfId="0" applyFont="1" applyBorder="1"/>
    <xf numFmtId="0" fontId="206" fillId="0" borderId="206" xfId="0" applyNumberFormat="1" applyFont="1" applyBorder="1"/>
    <xf numFmtId="174" fontId="201" fillId="0" borderId="0" xfId="0" applyFont="1"/>
    <xf numFmtId="174" fontId="201" fillId="0" borderId="209" xfId="0" applyFont="1" applyBorder="1"/>
    <xf numFmtId="174" fontId="201" fillId="0" borderId="210" xfId="0" applyFont="1" applyBorder="1"/>
    <xf numFmtId="165" fontId="240" fillId="0" borderId="212" xfId="28" applyNumberFormat="1" applyFont="1" applyBorder="1"/>
    <xf numFmtId="43" fontId="240" fillId="0" borderId="212" xfId="28" applyFont="1" applyBorder="1"/>
    <xf numFmtId="174" fontId="201" fillId="0" borderId="215" xfId="0" applyFont="1" applyBorder="1"/>
    <xf numFmtId="2" fontId="205" fillId="0" borderId="0" xfId="0" applyNumberFormat="1" applyFont="1"/>
    <xf numFmtId="165" fontId="206" fillId="0" borderId="216" xfId="28" applyNumberFormat="1" applyFont="1" applyBorder="1" applyAlignment="1">
      <alignment horizontal="right"/>
    </xf>
    <xf numFmtId="165" fontId="206" fillId="0" borderId="219" xfId="28" applyNumberFormat="1" applyFont="1" applyBorder="1" applyAlignment="1">
      <alignment horizontal="right"/>
    </xf>
    <xf numFmtId="14" fontId="201" fillId="0" borderId="221" xfId="0" applyNumberFormat="1" applyFont="1" applyBorder="1"/>
    <xf numFmtId="14" fontId="201" fillId="0" borderId="212" xfId="0" applyNumberFormat="1" applyFont="1" applyBorder="1"/>
    <xf numFmtId="165" fontId="206" fillId="0" borderId="218" xfId="28" applyNumberFormat="1" applyFont="1" applyBorder="1"/>
    <xf numFmtId="165" fontId="240" fillId="0" borderId="222" xfId="28" applyNumberFormat="1" applyFont="1" applyBorder="1"/>
    <xf numFmtId="14" fontId="201" fillId="0" borderId="223" xfId="0" applyNumberFormat="1" applyFont="1" applyBorder="1"/>
    <xf numFmtId="165" fontId="240" fillId="0" borderId="0" xfId="28" applyNumberFormat="1" applyFont="1" applyBorder="1"/>
    <xf numFmtId="14" fontId="201" fillId="0" borderId="0" xfId="0" applyNumberFormat="1" applyFont="1"/>
    <xf numFmtId="10" fontId="240" fillId="0" borderId="216" xfId="28" applyNumberFormat="1" applyFont="1" applyBorder="1"/>
    <xf numFmtId="312" fontId="240" fillId="0" borderId="211" xfId="28" applyNumberFormat="1" applyFont="1" applyBorder="1"/>
    <xf numFmtId="10" fontId="240" fillId="0" borderId="212" xfId="28" applyNumberFormat="1" applyFont="1" applyBorder="1"/>
    <xf numFmtId="165" fontId="206" fillId="0" borderId="212" xfId="28" applyNumberFormat="1" applyFont="1" applyBorder="1"/>
    <xf numFmtId="165" fontId="206" fillId="0" borderId="216" xfId="28" applyNumberFormat="1" applyFont="1" applyBorder="1"/>
    <xf numFmtId="14" fontId="206" fillId="0" borderId="216" xfId="28" applyNumberFormat="1" applyFont="1" applyBorder="1"/>
    <xf numFmtId="41" fontId="39" fillId="0" borderId="0" xfId="0" applyNumberFormat="1" applyFont="1"/>
    <xf numFmtId="0" fontId="206" fillId="0" borderId="204" xfId="0" applyNumberFormat="1" applyFont="1" applyBorder="1"/>
    <xf numFmtId="0" fontId="238" fillId="0" borderId="0" xfId="723" applyFont="1"/>
    <xf numFmtId="0" fontId="206" fillId="0" borderId="0" xfId="1564" applyFont="1"/>
    <xf numFmtId="0" fontId="211" fillId="31" borderId="67" xfId="0" applyNumberFormat="1" applyFont="1" applyFill="1" applyBorder="1" applyAlignment="1">
      <alignment horizontal="right" wrapText="1"/>
    </xf>
    <xf numFmtId="3" fontId="206" fillId="0" borderId="105" xfId="0" applyNumberFormat="1" applyFont="1" applyBorder="1"/>
    <xf numFmtId="3" fontId="206" fillId="0" borderId="107" xfId="0" applyNumberFormat="1" applyFont="1" applyBorder="1"/>
    <xf numFmtId="3" fontId="206" fillId="0" borderId="110" xfId="0" applyNumberFormat="1" applyFont="1" applyBorder="1"/>
    <xf numFmtId="3" fontId="206" fillId="0" borderId="0" xfId="0" applyNumberFormat="1" applyFont="1"/>
    <xf numFmtId="10" fontId="206" fillId="0" borderId="0" xfId="0" applyNumberFormat="1" applyFont="1"/>
    <xf numFmtId="0" fontId="211" fillId="31" borderId="67" xfId="0" applyNumberFormat="1" applyFont="1" applyFill="1" applyBorder="1"/>
    <xf numFmtId="3" fontId="205" fillId="0" borderId="0" xfId="0" applyNumberFormat="1" applyFont="1"/>
    <xf numFmtId="4" fontId="205" fillId="0" borderId="0" xfId="0" applyNumberFormat="1" applyFont="1"/>
    <xf numFmtId="9" fontId="211" fillId="31" borderId="0" xfId="0" applyNumberFormat="1" applyFont="1" applyFill="1"/>
    <xf numFmtId="9" fontId="211" fillId="0" borderId="0" xfId="0" applyNumberFormat="1" applyFont="1"/>
    <xf numFmtId="3" fontId="211" fillId="0" borderId="0" xfId="0" applyNumberFormat="1" applyFont="1"/>
    <xf numFmtId="4" fontId="211" fillId="0" borderId="0" xfId="0" applyNumberFormat="1" applyFont="1"/>
    <xf numFmtId="0" fontId="211" fillId="31" borderId="82" xfId="0" applyNumberFormat="1" applyFont="1" applyFill="1" applyBorder="1" applyAlignment="1">
      <alignment horizontal="right" wrapText="1"/>
    </xf>
    <xf numFmtId="309" fontId="206" fillId="0" borderId="104" xfId="0" applyNumberFormat="1" applyFont="1" applyBorder="1" applyAlignment="1">
      <alignment horizontal="left"/>
    </xf>
    <xf numFmtId="307" fontId="206" fillId="0" borderId="105" xfId="0" applyNumberFormat="1" applyFont="1" applyBorder="1"/>
    <xf numFmtId="3" fontId="206" fillId="0" borderId="139" xfId="0" applyNumberFormat="1" applyFont="1" applyBorder="1" applyAlignment="1">
      <alignment horizontal="right"/>
    </xf>
    <xf numFmtId="10" fontId="211" fillId="31" borderId="0" xfId="59" applyNumberFormat="1" applyFont="1" applyFill="1"/>
    <xf numFmtId="309" fontId="206" fillId="0" borderId="106" xfId="0" applyNumberFormat="1" applyFont="1" applyBorder="1" applyAlignment="1">
      <alignment horizontal="left"/>
    </xf>
    <xf numFmtId="307" fontId="206" fillId="0" borderId="107" xfId="0" applyNumberFormat="1" applyFont="1" applyBorder="1"/>
    <xf numFmtId="3" fontId="206" fillId="0" borderId="108" xfId="0" applyNumberFormat="1" applyFont="1" applyBorder="1" applyAlignment="1">
      <alignment horizontal="right"/>
    </xf>
    <xf numFmtId="290" fontId="205" fillId="0" borderId="0" xfId="59" applyNumberFormat="1" applyFont="1"/>
    <xf numFmtId="309" fontId="206" fillId="0" borderId="109" xfId="0" applyNumberFormat="1" applyFont="1" applyBorder="1" applyAlignment="1">
      <alignment horizontal="left"/>
    </xf>
    <xf numFmtId="307" fontId="206" fillId="0" borderId="110" xfId="0" applyNumberFormat="1" applyFont="1" applyBorder="1"/>
    <xf numFmtId="3" fontId="206" fillId="0" borderId="111" xfId="0" applyNumberFormat="1" applyFont="1" applyBorder="1" applyAlignment="1">
      <alignment horizontal="right"/>
    </xf>
    <xf numFmtId="3" fontId="211" fillId="31" borderId="72" xfId="0" applyNumberFormat="1" applyFont="1" applyFill="1" applyBorder="1" applyAlignment="1">
      <alignment horizontal="right"/>
    </xf>
    <xf numFmtId="0" fontId="206" fillId="33" borderId="0" xfId="0" applyNumberFormat="1" applyFont="1" applyFill="1"/>
    <xf numFmtId="0" fontId="211" fillId="31" borderId="0" xfId="0" applyNumberFormat="1" applyFont="1" applyFill="1" applyAlignment="1">
      <alignment horizontal="right" wrapText="1"/>
    </xf>
    <xf numFmtId="3" fontId="211" fillId="31" borderId="0" xfId="0" applyNumberFormat="1" applyFont="1" applyFill="1" applyAlignment="1">
      <alignment horizontal="right"/>
    </xf>
    <xf numFmtId="0" fontId="211" fillId="31" borderId="80" xfId="0" applyNumberFormat="1" applyFont="1" applyFill="1" applyBorder="1" applyAlignment="1">
      <alignment wrapText="1"/>
    </xf>
    <xf numFmtId="0" fontId="211" fillId="31" borderId="205" xfId="0" applyNumberFormat="1" applyFont="1" applyFill="1" applyBorder="1" applyAlignment="1">
      <alignment horizontal="right" wrapText="1"/>
    </xf>
    <xf numFmtId="0" fontId="211" fillId="31" borderId="225" xfId="0" applyNumberFormat="1" applyFont="1" applyFill="1" applyBorder="1" applyAlignment="1">
      <alignment horizontal="right" wrapText="1"/>
    </xf>
    <xf numFmtId="10" fontId="206" fillId="0" borderId="212" xfId="28" applyNumberFormat="1" applyFont="1" applyBorder="1"/>
    <xf numFmtId="0" fontId="211" fillId="31" borderId="83" xfId="0" applyNumberFormat="1" applyFont="1" applyFill="1" applyBorder="1"/>
    <xf numFmtId="3" fontId="211" fillId="31" borderId="67" xfId="0" applyNumberFormat="1" applyFont="1" applyFill="1" applyBorder="1"/>
    <xf numFmtId="3" fontId="211" fillId="31" borderId="17" xfId="0" applyNumberFormat="1" applyFont="1" applyFill="1" applyBorder="1"/>
    <xf numFmtId="165" fontId="211" fillId="31" borderId="205" xfId="28" applyNumberFormat="1" applyFont="1" applyFill="1" applyBorder="1" applyAlignment="1">
      <alignment horizontal="right" wrapText="1"/>
    </xf>
    <xf numFmtId="165" fontId="211" fillId="31" borderId="225" xfId="28" applyNumberFormat="1" applyFont="1" applyFill="1" applyBorder="1" applyAlignment="1">
      <alignment horizontal="right" wrapText="1"/>
    </xf>
    <xf numFmtId="0" fontId="206" fillId="0" borderId="67" xfId="1564" applyFont="1" applyBorder="1"/>
    <xf numFmtId="0" fontId="206" fillId="0" borderId="67" xfId="723" applyFont="1" applyBorder="1"/>
    <xf numFmtId="2" fontId="206" fillId="0" borderId="226" xfId="28" applyNumberFormat="1" applyFont="1" applyFill="1" applyBorder="1" applyAlignment="1">
      <alignment horizontal="left"/>
    </xf>
    <xf numFmtId="0" fontId="211" fillId="31" borderId="80" xfId="0" applyNumberFormat="1" applyFont="1" applyFill="1" applyBorder="1"/>
    <xf numFmtId="4" fontId="211" fillId="31" borderId="67" xfId="0" applyNumberFormat="1" applyFont="1" applyFill="1" applyBorder="1"/>
    <xf numFmtId="315" fontId="206" fillId="0" borderId="226" xfId="28" applyNumberFormat="1" applyFont="1" applyFill="1" applyBorder="1" applyAlignment="1">
      <alignment horizontal="left"/>
    </xf>
    <xf numFmtId="316" fontId="206" fillId="0" borderId="226" xfId="28" applyNumberFormat="1" applyFont="1" applyFill="1" applyBorder="1" applyAlignment="1">
      <alignment horizontal="left"/>
    </xf>
    <xf numFmtId="0" fontId="211" fillId="31" borderId="206" xfId="0" applyNumberFormat="1" applyFont="1" applyFill="1" applyBorder="1"/>
    <xf numFmtId="0" fontId="214" fillId="31" borderId="206" xfId="0" applyNumberFormat="1" applyFont="1" applyFill="1" applyBorder="1"/>
    <xf numFmtId="165" fontId="206" fillId="0" borderId="228" xfId="28" applyNumberFormat="1" applyFont="1" applyBorder="1"/>
    <xf numFmtId="165" fontId="206" fillId="0" borderId="222" xfId="28" applyNumberFormat="1" applyFont="1" applyBorder="1"/>
    <xf numFmtId="10" fontId="206" fillId="0" borderId="211" xfId="28" applyNumberFormat="1" applyFont="1" applyBorder="1"/>
    <xf numFmtId="10" fontId="206" fillId="0" borderId="216" xfId="28" applyNumberFormat="1" applyFont="1" applyBorder="1"/>
    <xf numFmtId="0" fontId="214" fillId="31" borderId="0" xfId="0" applyNumberFormat="1" applyFont="1" applyFill="1"/>
    <xf numFmtId="165" fontId="206" fillId="0" borderId="211" xfId="28" applyNumberFormat="1" applyFont="1" applyBorder="1"/>
    <xf numFmtId="165" fontId="211" fillId="31" borderId="123" xfId="28" applyNumberFormat="1" applyFont="1" applyFill="1" applyBorder="1"/>
    <xf numFmtId="2" fontId="206" fillId="0" borderId="227" xfId="28" applyNumberFormat="1" applyFont="1" applyFill="1" applyBorder="1" applyAlignment="1">
      <alignment horizontal="left"/>
    </xf>
    <xf numFmtId="316" fontId="206" fillId="0" borderId="229" xfId="28" applyNumberFormat="1" applyFont="1" applyFill="1" applyBorder="1" applyAlignment="1">
      <alignment horizontal="left"/>
    </xf>
    <xf numFmtId="10" fontId="206" fillId="0" borderId="222" xfId="28" applyNumberFormat="1" applyFont="1" applyBorder="1"/>
    <xf numFmtId="10" fontId="206" fillId="0" borderId="110" xfId="59" applyNumberFormat="1" applyFont="1" applyBorder="1"/>
    <xf numFmtId="0" fontId="211" fillId="31" borderId="80" xfId="0" applyNumberFormat="1" applyFont="1" applyFill="1" applyBorder="1" applyAlignment="1">
      <alignment horizontal="right" wrapText="1"/>
    </xf>
    <xf numFmtId="165" fontId="206" fillId="0" borderId="224" xfId="28" applyNumberFormat="1" applyFont="1" applyBorder="1"/>
    <xf numFmtId="165" fontId="206" fillId="0" borderId="108" xfId="28" applyNumberFormat="1" applyFont="1" applyBorder="1"/>
    <xf numFmtId="10" fontId="211" fillId="31" borderId="83" xfId="59" applyNumberFormat="1" applyFont="1" applyFill="1" applyBorder="1"/>
    <xf numFmtId="165" fontId="211" fillId="31" borderId="17" xfId="28" applyNumberFormat="1" applyFont="1" applyFill="1" applyBorder="1"/>
    <xf numFmtId="0" fontId="205" fillId="0" borderId="0" xfId="723" applyFont="1"/>
    <xf numFmtId="0" fontId="206" fillId="0" borderId="206" xfId="723" applyFont="1" applyBorder="1"/>
    <xf numFmtId="0" fontId="211" fillId="31" borderId="230" xfId="723" applyFont="1" applyFill="1" applyBorder="1"/>
    <xf numFmtId="0" fontId="211" fillId="31" borderId="206" xfId="723" applyFont="1" applyFill="1" applyBorder="1"/>
    <xf numFmtId="0" fontId="211" fillId="31" borderId="206" xfId="723" applyFont="1" applyFill="1" applyBorder="1" applyAlignment="1">
      <alignment horizontal="right"/>
    </xf>
    <xf numFmtId="0" fontId="211" fillId="31" borderId="207" xfId="723" applyFont="1" applyFill="1" applyBorder="1" applyAlignment="1">
      <alignment horizontal="right"/>
    </xf>
    <xf numFmtId="0" fontId="206" fillId="0" borderId="0" xfId="723" applyFont="1" applyAlignment="1">
      <alignment horizontal="right"/>
    </xf>
    <xf numFmtId="165" fontId="206" fillId="0" borderId="67" xfId="28" applyNumberFormat="1" applyFont="1" applyBorder="1" applyAlignment="1">
      <alignment horizontal="right"/>
    </xf>
    <xf numFmtId="165" fontId="206" fillId="0" borderId="67" xfId="28" applyNumberFormat="1" applyFont="1" applyBorder="1"/>
    <xf numFmtId="43" fontId="206" fillId="0" borderId="67" xfId="28" applyFont="1" applyBorder="1"/>
    <xf numFmtId="10" fontId="206" fillId="0" borderId="17" xfId="723" applyNumberFormat="1" applyFont="1" applyBorder="1"/>
    <xf numFmtId="0" fontId="211" fillId="31" borderId="83" xfId="723" applyFont="1" applyFill="1" applyBorder="1"/>
    <xf numFmtId="165" fontId="211" fillId="31" borderId="67" xfId="28" applyNumberFormat="1" applyFont="1" applyFill="1" applyBorder="1"/>
    <xf numFmtId="10" fontId="211" fillId="31" borderId="67" xfId="28" applyNumberFormat="1" applyFont="1" applyFill="1" applyBorder="1" applyAlignment="1">
      <alignment horizontal="right"/>
    </xf>
    <xf numFmtId="165" fontId="211" fillId="31" borderId="67" xfId="28" applyNumberFormat="1" applyFont="1" applyFill="1" applyBorder="1" applyAlignment="1">
      <alignment horizontal="right"/>
    </xf>
    <xf numFmtId="43" fontId="211" fillId="31" borderId="67" xfId="28" applyFont="1" applyFill="1" applyBorder="1" applyAlignment="1">
      <alignment horizontal="right"/>
    </xf>
    <xf numFmtId="10" fontId="211" fillId="31" borderId="17" xfId="28" applyNumberFormat="1" applyFont="1" applyFill="1" applyBorder="1" applyAlignment="1">
      <alignment horizontal="right"/>
    </xf>
    <xf numFmtId="2" fontId="205" fillId="0" borderId="0" xfId="723" applyNumberFormat="1" applyFont="1"/>
    <xf numFmtId="165" fontId="242" fillId="0" borderId="0" xfId="723" applyNumberFormat="1" applyFont="1" applyAlignment="1">
      <alignment horizontal="left" indent="1"/>
    </xf>
    <xf numFmtId="165" fontId="205" fillId="0" borderId="0" xfId="28" applyNumberFormat="1" applyFont="1" applyFill="1"/>
    <xf numFmtId="3" fontId="206" fillId="0" borderId="0" xfId="723" applyNumberFormat="1" applyFont="1"/>
    <xf numFmtId="0" fontId="205" fillId="33" borderId="0" xfId="723" applyFont="1" applyFill="1"/>
    <xf numFmtId="0" fontId="206" fillId="33" borderId="0" xfId="723" applyFont="1" applyFill="1"/>
    <xf numFmtId="0" fontId="206" fillId="33" borderId="0" xfId="723" applyFont="1" applyFill="1" applyAlignment="1">
      <alignment horizontal="left"/>
    </xf>
    <xf numFmtId="165" fontId="206" fillId="33" borderId="0" xfId="28" applyNumberFormat="1" applyFont="1" applyFill="1"/>
    <xf numFmtId="0" fontId="211" fillId="0" borderId="0" xfId="723" applyFont="1"/>
    <xf numFmtId="165" fontId="211" fillId="0" borderId="0" xfId="28" applyNumberFormat="1" applyFont="1" applyFill="1" applyBorder="1"/>
    <xf numFmtId="10" fontId="211" fillId="0" borderId="0" xfId="28" applyNumberFormat="1" applyFont="1" applyFill="1" applyBorder="1" applyAlignment="1">
      <alignment horizontal="right"/>
    </xf>
    <xf numFmtId="165" fontId="211" fillId="0" borderId="0" xfId="28" applyNumberFormat="1" applyFont="1" applyFill="1" applyBorder="1" applyAlignment="1">
      <alignment horizontal="right"/>
    </xf>
    <xf numFmtId="43" fontId="211" fillId="0" borderId="0" xfId="28" applyFont="1" applyFill="1" applyBorder="1" applyAlignment="1">
      <alignment horizontal="right"/>
    </xf>
    <xf numFmtId="3" fontId="230" fillId="0" borderId="0" xfId="723" applyNumberFormat="1" applyFont="1" applyAlignment="1" applyProtection="1">
      <alignment horizontal="center"/>
      <protection locked="0"/>
    </xf>
    <xf numFmtId="10" fontId="206" fillId="0" borderId="218" xfId="28" applyNumberFormat="1" applyFont="1" applyBorder="1"/>
    <xf numFmtId="43" fontId="206" fillId="0" borderId="218" xfId="28" applyFont="1" applyBorder="1"/>
    <xf numFmtId="10" fontId="205" fillId="0" borderId="218" xfId="28" applyNumberFormat="1" applyFont="1" applyBorder="1"/>
    <xf numFmtId="10" fontId="206" fillId="0" borderId="235" xfId="28" applyNumberFormat="1" applyFont="1" applyBorder="1"/>
    <xf numFmtId="10" fontId="205" fillId="0" borderId="228" xfId="28" applyNumberFormat="1" applyFont="1" applyBorder="1"/>
    <xf numFmtId="43" fontId="206" fillId="0" borderId="228" xfId="28" applyFont="1" applyBorder="1"/>
    <xf numFmtId="43" fontId="206" fillId="0" borderId="222" xfId="28" applyFont="1" applyBorder="1"/>
    <xf numFmtId="10" fontId="206" fillId="0" borderId="228" xfId="28" applyNumberFormat="1" applyFont="1" applyBorder="1"/>
    <xf numFmtId="165" fontId="205" fillId="0" borderId="228" xfId="28" applyNumberFormat="1" applyFont="1" applyBorder="1"/>
    <xf numFmtId="43" fontId="205" fillId="0" borderId="228" xfId="28" applyFont="1" applyBorder="1"/>
    <xf numFmtId="2" fontId="206" fillId="0" borderId="236" xfId="28" applyNumberFormat="1" applyFont="1" applyFill="1" applyBorder="1" applyAlignment="1">
      <alignment horizontal="left"/>
    </xf>
    <xf numFmtId="2" fontId="205" fillId="0" borderId="227" xfId="28" applyNumberFormat="1" applyFont="1" applyFill="1" applyBorder="1" applyAlignment="1">
      <alignment horizontal="left"/>
    </xf>
    <xf numFmtId="2" fontId="205" fillId="0" borderId="213" xfId="28" applyNumberFormat="1" applyFont="1" applyFill="1" applyBorder="1" applyAlignment="1">
      <alignment horizontal="left"/>
    </xf>
    <xf numFmtId="165" fontId="206" fillId="0" borderId="237" xfId="28" applyNumberFormat="1" applyFont="1" applyBorder="1"/>
    <xf numFmtId="165" fontId="205" fillId="0" borderId="228" xfId="28" applyNumberFormat="1" applyFont="1" applyBorder="1" applyAlignment="1">
      <alignment horizontal="right"/>
    </xf>
    <xf numFmtId="10" fontId="205" fillId="0" borderId="228" xfId="28" applyNumberFormat="1" applyFont="1" applyBorder="1" applyAlignment="1">
      <alignment horizontal="right"/>
    </xf>
    <xf numFmtId="165" fontId="205" fillId="0" borderId="218" xfId="28" applyNumberFormat="1" applyFont="1" applyBorder="1" applyAlignment="1">
      <alignment horizontal="right"/>
    </xf>
    <xf numFmtId="10" fontId="206" fillId="0" borderId="226" xfId="28" applyNumberFormat="1" applyFont="1" applyBorder="1"/>
    <xf numFmtId="10" fontId="206" fillId="0" borderId="229" xfId="28" applyNumberFormat="1" applyFont="1" applyBorder="1"/>
    <xf numFmtId="2" fontId="206" fillId="0" borderId="229" xfId="28" applyNumberFormat="1" applyFont="1" applyFill="1" applyBorder="1" applyAlignment="1">
      <alignment horizontal="left"/>
    </xf>
    <xf numFmtId="2" fontId="206" fillId="0" borderId="238" xfId="28" applyNumberFormat="1" applyFont="1" applyFill="1" applyBorder="1" applyAlignment="1">
      <alignment horizontal="left"/>
    </xf>
    <xf numFmtId="10" fontId="206" fillId="0" borderId="239" xfId="28" applyNumberFormat="1" applyFont="1" applyBorder="1"/>
    <xf numFmtId="10" fontId="206" fillId="0" borderId="240" xfId="28" applyNumberFormat="1" applyFont="1" applyBorder="1"/>
    <xf numFmtId="14" fontId="206" fillId="0" borderId="212" xfId="28" applyNumberFormat="1" applyFont="1" applyBorder="1"/>
    <xf numFmtId="43" fontId="206" fillId="0" borderId="212" xfId="28" applyFont="1" applyBorder="1"/>
    <xf numFmtId="43" fontId="206" fillId="0" borderId="216" xfId="28" applyFont="1" applyBorder="1"/>
    <xf numFmtId="0" fontId="211" fillId="31" borderId="230" xfId="723" applyFont="1" applyFill="1" applyBorder="1" applyAlignment="1">
      <alignment horizontal="centerContinuous"/>
    </xf>
    <xf numFmtId="0" fontId="214" fillId="31" borderId="206" xfId="723" applyFont="1" applyFill="1" applyBorder="1" applyAlignment="1">
      <alignment horizontal="centerContinuous"/>
    </xf>
    <xf numFmtId="0" fontId="211" fillId="31" borderId="207" xfId="723" applyFont="1" applyFill="1" applyBorder="1" applyAlignment="1">
      <alignment horizontal="centerContinuous"/>
    </xf>
    <xf numFmtId="9" fontId="232" fillId="0" borderId="0" xfId="59" applyFont="1" applyFill="1" applyAlignment="1" applyProtection="1">
      <alignment horizontal="center"/>
      <protection locked="0"/>
    </xf>
    <xf numFmtId="9" fontId="232" fillId="0" borderId="127" xfId="59" applyFont="1" applyFill="1" applyBorder="1" applyAlignment="1" applyProtection="1">
      <alignment horizontal="center"/>
      <protection locked="0"/>
    </xf>
    <xf numFmtId="0" fontId="202" fillId="0" borderId="0" xfId="1906" applyFont="1" applyAlignment="1">
      <alignment horizontal="center"/>
    </xf>
    <xf numFmtId="166" fontId="211" fillId="31" borderId="119" xfId="28" applyNumberFormat="1" applyFont="1" applyFill="1" applyBorder="1" applyAlignment="1">
      <alignment horizontal="center" wrapText="1"/>
    </xf>
    <xf numFmtId="0" fontId="231" fillId="0" borderId="100" xfId="1906" applyFont="1" applyBorder="1" applyAlignment="1">
      <alignment horizontal="center"/>
    </xf>
    <xf numFmtId="0" fontId="231" fillId="0" borderId="101" xfId="1906" applyFont="1" applyBorder="1" applyAlignment="1">
      <alignment horizontal="center"/>
    </xf>
    <xf numFmtId="0" fontId="233" fillId="0" borderId="81" xfId="1906" applyFont="1" applyBorder="1" applyAlignment="1">
      <alignment horizontal="center"/>
    </xf>
    <xf numFmtId="0" fontId="234" fillId="0" borderId="0" xfId="1906" applyFont="1" applyAlignment="1">
      <alignment horizontal="center"/>
    </xf>
    <xf numFmtId="0" fontId="202" fillId="0" borderId="0" xfId="1906" applyFont="1" applyAlignment="1">
      <alignment horizontal="right"/>
    </xf>
    <xf numFmtId="0" fontId="202" fillId="0" borderId="80" xfId="1906" applyFont="1" applyBorder="1" applyAlignment="1">
      <alignment horizontal="right"/>
    </xf>
    <xf numFmtId="14" fontId="231" fillId="0" borderId="100" xfId="1906" applyNumberFormat="1" applyFont="1" applyBorder="1" applyAlignment="1">
      <alignment horizontal="right"/>
    </xf>
    <xf numFmtId="14" fontId="231" fillId="0" borderId="101" xfId="1906" applyNumberFormat="1" applyFont="1" applyBorder="1" applyAlignment="1">
      <alignment horizontal="right"/>
    </xf>
    <xf numFmtId="0" fontId="211" fillId="0" borderId="0" xfId="0" applyNumberFormat="1" applyFont="1" applyAlignment="1">
      <alignment horizontal="center" wrapText="1"/>
    </xf>
    <xf numFmtId="171" fontId="201" fillId="0" borderId="241" xfId="28" applyNumberFormat="1" applyFont="1" applyBorder="1" applyAlignment="1">
      <alignment horizontal="center" wrapText="1"/>
    </xf>
    <xf numFmtId="171" fontId="201" fillId="0" borderId="232" xfId="28" applyNumberFormat="1" applyFont="1" applyBorder="1" applyAlignment="1">
      <alignment horizontal="center" wrapText="1"/>
    </xf>
    <xf numFmtId="171" fontId="201" fillId="0" borderId="233" xfId="28" applyNumberFormat="1" applyFont="1" applyBorder="1" applyAlignment="1">
      <alignment horizontal="center" wrapText="1"/>
    </xf>
    <xf numFmtId="171" fontId="201" fillId="0" borderId="0" xfId="28" applyNumberFormat="1" applyFont="1" applyFill="1" applyBorder="1" applyAlignment="1">
      <alignment horizontal="center" wrapText="1"/>
    </xf>
    <xf numFmtId="0" fontId="206" fillId="0" borderId="0" xfId="1903" applyFont="1"/>
    <xf numFmtId="0" fontId="206" fillId="0" borderId="0" xfId="1903" applyFont="1" applyAlignment="1">
      <alignment horizontal="center"/>
    </xf>
    <xf numFmtId="0" fontId="206" fillId="0" borderId="151" xfId="0" applyNumberFormat="1" applyFont="1" applyBorder="1"/>
    <xf numFmtId="0" fontId="206" fillId="0" borderId="25" xfId="1903" applyFont="1" applyBorder="1" applyAlignment="1">
      <alignment horizontal="center"/>
    </xf>
    <xf numFmtId="0" fontId="206" fillId="0" borderId="25" xfId="1903" quotePrefix="1" applyFont="1" applyBorder="1" applyAlignment="1">
      <alignment horizontal="center"/>
    </xf>
    <xf numFmtId="165" fontId="206" fillId="0" borderId="0" xfId="1903" applyNumberFormat="1" applyFont="1"/>
    <xf numFmtId="9" fontId="206" fillId="0" borderId="0" xfId="1903" applyNumberFormat="1" applyFont="1" applyAlignment="1">
      <alignment horizontal="center"/>
    </xf>
    <xf numFmtId="0" fontId="211" fillId="31" borderId="0" xfId="1903" applyFont="1" applyFill="1" applyAlignment="1">
      <alignment horizontal="center" wrapText="1"/>
    </xf>
    <xf numFmtId="0" fontId="206" fillId="0" borderId="0" xfId="1903" applyFont="1" applyAlignment="1">
      <alignment horizontal="center" wrapText="1"/>
    </xf>
    <xf numFmtId="0" fontId="205" fillId="0" borderId="113" xfId="1903" applyFont="1" applyBorder="1" applyAlignment="1">
      <alignment horizontal="centerContinuous"/>
    </xf>
    <xf numFmtId="0" fontId="206" fillId="0" borderId="112" xfId="1903" applyFont="1" applyBorder="1" applyAlignment="1">
      <alignment horizontal="centerContinuous"/>
    </xf>
    <xf numFmtId="0" fontId="205" fillId="0" borderId="120" xfId="1903" applyFont="1" applyBorder="1" applyAlignment="1">
      <alignment horizontal="centerContinuous"/>
    </xf>
    <xf numFmtId="0" fontId="205" fillId="0" borderId="0" xfId="1903" applyFont="1" applyAlignment="1">
      <alignment horizontal="right" wrapText="1"/>
    </xf>
    <xf numFmtId="165" fontId="206" fillId="0" borderId="0" xfId="28" applyNumberFormat="1" applyFont="1" applyAlignment="1">
      <alignment horizontal="center"/>
    </xf>
    <xf numFmtId="0" fontId="208" fillId="0" borderId="0" xfId="1903" applyFont="1" applyAlignment="1">
      <alignment horizontal="center"/>
    </xf>
    <xf numFmtId="0" fontId="206" fillId="0" borderId="0" xfId="1903" applyFont="1" applyAlignment="1">
      <alignment wrapText="1"/>
    </xf>
    <xf numFmtId="0" fontId="206" fillId="0" borderId="242" xfId="1903" applyFont="1" applyBorder="1" applyAlignment="1">
      <alignment horizontal="center"/>
    </xf>
    <xf numFmtId="171" fontId="206" fillId="0" borderId="105" xfId="1903" applyNumberFormat="1" applyFont="1" applyBorder="1" applyAlignment="1">
      <alignment horizontal="center"/>
    </xf>
    <xf numFmtId="165" fontId="206" fillId="101" borderId="105" xfId="28" applyNumberFormat="1" applyFont="1" applyFill="1" applyBorder="1" applyAlignment="1">
      <alignment horizontal="center"/>
    </xf>
    <xf numFmtId="165" fontId="206" fillId="101" borderId="107" xfId="28" applyNumberFormat="1" applyFont="1" applyFill="1" applyBorder="1" applyAlignment="1">
      <alignment horizontal="center"/>
    </xf>
    <xf numFmtId="165" fontId="206" fillId="0" borderId="105" xfId="28" applyNumberFormat="1" applyFont="1" applyBorder="1" applyAlignment="1">
      <alignment horizontal="center"/>
    </xf>
    <xf numFmtId="165" fontId="206" fillId="0" borderId="116" xfId="28" applyNumberFormat="1" applyFont="1" applyBorder="1" applyAlignment="1">
      <alignment horizontal="center"/>
    </xf>
    <xf numFmtId="165" fontId="206" fillId="102" borderId="107" xfId="28" applyNumberFormat="1" applyFont="1" applyFill="1" applyBorder="1" applyAlignment="1">
      <alignment horizontal="center"/>
    </xf>
    <xf numFmtId="165" fontId="206" fillId="32" borderId="107" xfId="28" applyNumberFormat="1" applyFont="1" applyFill="1" applyBorder="1" applyAlignment="1">
      <alignment horizontal="center"/>
    </xf>
    <xf numFmtId="165" fontId="206" fillId="32" borderId="105" xfId="28" applyNumberFormat="1" applyFont="1" applyFill="1" applyBorder="1" applyAlignment="1">
      <alignment horizontal="center"/>
    </xf>
    <xf numFmtId="165" fontId="206" fillId="102" borderId="105" xfId="28" applyNumberFormat="1" applyFont="1" applyFill="1" applyBorder="1" applyAlignment="1">
      <alignment horizontal="center"/>
    </xf>
    <xf numFmtId="165" fontId="206" fillId="100" borderId="105" xfId="28" applyNumberFormat="1" applyFont="1" applyFill="1" applyBorder="1" applyAlignment="1">
      <alignment horizontal="center"/>
    </xf>
    <xf numFmtId="9" fontId="206" fillId="100" borderId="105" xfId="59" applyFont="1" applyFill="1" applyBorder="1" applyAlignment="1">
      <alignment horizontal="center"/>
    </xf>
    <xf numFmtId="3" fontId="206" fillId="0" borderId="0" xfId="1903" applyNumberFormat="1" applyFont="1" applyAlignment="1">
      <alignment horizontal="center"/>
    </xf>
    <xf numFmtId="303" fontId="206" fillId="0" borderId="106" xfId="1903" applyNumberFormat="1" applyFont="1" applyBorder="1"/>
    <xf numFmtId="3" fontId="206" fillId="102" borderId="108" xfId="59" applyNumberFormat="1" applyFont="1" applyFill="1" applyBorder="1"/>
    <xf numFmtId="3" fontId="206" fillId="0" borderId="0" xfId="1903" applyNumberFormat="1" applyFont="1"/>
    <xf numFmtId="3" fontId="206" fillId="0" borderId="121" xfId="59" applyNumberFormat="1" applyFont="1" applyBorder="1"/>
    <xf numFmtId="3" fontId="206" fillId="102" borderId="0" xfId="1903" applyNumberFormat="1" applyFont="1" applyFill="1"/>
    <xf numFmtId="14" fontId="206" fillId="0" borderId="0" xfId="28" applyNumberFormat="1" applyFont="1" applyAlignment="1">
      <alignment horizontal="center"/>
    </xf>
    <xf numFmtId="0" fontId="206" fillId="0" borderId="114" xfId="1903" applyFont="1" applyBorder="1" applyAlignment="1">
      <alignment horizontal="center"/>
    </xf>
    <xf numFmtId="171" fontId="206" fillId="0" borderId="107" xfId="1903" applyNumberFormat="1" applyFont="1" applyBorder="1" applyAlignment="1">
      <alignment horizontal="center"/>
    </xf>
    <xf numFmtId="165" fontId="206" fillId="0" borderId="107" xfId="28" applyNumberFormat="1" applyFont="1" applyBorder="1" applyAlignment="1">
      <alignment horizontal="center"/>
    </xf>
    <xf numFmtId="165" fontId="206" fillId="100" borderId="107" xfId="28" applyNumberFormat="1" applyFont="1" applyFill="1" applyBorder="1" applyAlignment="1">
      <alignment horizontal="center"/>
    </xf>
    <xf numFmtId="9" fontId="206" fillId="100" borderId="107" xfId="59" applyFont="1" applyFill="1" applyBorder="1" applyAlignment="1">
      <alignment horizontal="center"/>
    </xf>
    <xf numFmtId="9" fontId="206" fillId="0" borderId="0" xfId="1903" applyNumberFormat="1" applyFont="1"/>
    <xf numFmtId="303" fontId="206" fillId="0" borderId="0" xfId="1903" applyNumberFormat="1" applyFont="1"/>
    <xf numFmtId="9" fontId="206" fillId="0" borderId="107" xfId="59" applyFont="1" applyBorder="1" applyAlignment="1">
      <alignment horizontal="center"/>
    </xf>
    <xf numFmtId="10" fontId="206" fillId="0" borderId="0" xfId="1903" applyNumberFormat="1" applyFont="1"/>
    <xf numFmtId="0" fontId="206" fillId="0" borderId="115" xfId="1903" applyFont="1" applyBorder="1" applyAlignment="1">
      <alignment horizontal="center"/>
    </xf>
    <xf numFmtId="171" fontId="206" fillId="0" borderId="110" xfId="1903" applyNumberFormat="1" applyFont="1" applyBorder="1" applyAlignment="1">
      <alignment horizontal="center"/>
    </xf>
    <xf numFmtId="165" fontId="206" fillId="101" borderId="110" xfId="28" applyNumberFormat="1" applyFont="1" applyFill="1" applyBorder="1" applyAlignment="1">
      <alignment horizontal="center"/>
    </xf>
    <xf numFmtId="165" fontId="206" fillId="102" borderId="110" xfId="28" applyNumberFormat="1" applyFont="1" applyFill="1" applyBorder="1" applyAlignment="1">
      <alignment horizontal="center"/>
    </xf>
    <xf numFmtId="165" fontId="206" fillId="0" borderId="110" xfId="28" applyNumberFormat="1" applyFont="1" applyBorder="1" applyAlignment="1">
      <alignment horizontal="center"/>
    </xf>
    <xf numFmtId="165" fontId="206" fillId="32" borderId="110" xfId="28" applyNumberFormat="1" applyFont="1" applyFill="1" applyBorder="1" applyAlignment="1">
      <alignment horizontal="center"/>
    </xf>
    <xf numFmtId="165" fontId="206" fillId="100" borderId="110" xfId="28" applyNumberFormat="1" applyFont="1" applyFill="1" applyBorder="1" applyAlignment="1">
      <alignment horizontal="center"/>
    </xf>
    <xf numFmtId="9" fontId="206" fillId="100" borderId="110" xfId="59" applyFont="1" applyFill="1" applyBorder="1" applyAlignment="1">
      <alignment horizontal="center"/>
    </xf>
    <xf numFmtId="0" fontId="206" fillId="0" borderId="206" xfId="1903" applyFont="1" applyBorder="1" applyAlignment="1">
      <alignment horizontal="center"/>
    </xf>
    <xf numFmtId="171" fontId="206" fillId="0" borderId="123" xfId="1903" applyNumberFormat="1" applyFont="1" applyBorder="1" applyAlignment="1">
      <alignment horizontal="center"/>
    </xf>
    <xf numFmtId="165" fontId="206" fillId="0" borderId="123" xfId="28" applyNumberFormat="1" applyFont="1" applyBorder="1" applyAlignment="1">
      <alignment horizontal="center"/>
    </xf>
    <xf numFmtId="3" fontId="206" fillId="0" borderId="108" xfId="59" applyNumberFormat="1" applyFont="1" applyBorder="1"/>
    <xf numFmtId="3" fontId="206" fillId="33" borderId="0" xfId="1903" applyNumberFormat="1" applyFont="1" applyFill="1"/>
    <xf numFmtId="171" fontId="211" fillId="31" borderId="0" xfId="1903" applyNumberFormat="1" applyFont="1" applyFill="1" applyAlignment="1">
      <alignment horizontal="center"/>
    </xf>
    <xf numFmtId="165" fontId="211" fillId="31" borderId="0" xfId="28" applyNumberFormat="1" applyFont="1" applyFill="1" applyAlignment="1">
      <alignment horizontal="center"/>
    </xf>
    <xf numFmtId="171" fontId="206" fillId="0" borderId="0" xfId="1903" applyNumberFormat="1" applyFont="1" applyAlignment="1">
      <alignment horizontal="center"/>
    </xf>
    <xf numFmtId="3" fontId="211" fillId="31" borderId="0" xfId="1903" applyNumberFormat="1" applyFont="1" applyFill="1"/>
    <xf numFmtId="0" fontId="206" fillId="0" borderId="0" xfId="1903" applyFont="1" applyAlignment="1">
      <alignment horizontal="left"/>
    </xf>
    <xf numFmtId="43" fontId="206" fillId="0" borderId="0" xfId="28" applyFont="1" applyAlignment="1">
      <alignment horizontal="center"/>
    </xf>
    <xf numFmtId="314" fontId="206" fillId="0" borderId="0" xfId="28" applyNumberFormat="1" applyFont="1" applyAlignment="1">
      <alignment horizontal="center"/>
    </xf>
    <xf numFmtId="313" fontId="206" fillId="0" borderId="0" xfId="28" applyNumberFormat="1" applyFont="1" applyAlignment="1">
      <alignment horizontal="center"/>
    </xf>
    <xf numFmtId="312" fontId="206" fillId="0" borderId="0" xfId="28" applyNumberFormat="1" applyFont="1" applyAlignment="1">
      <alignment horizontal="center"/>
    </xf>
    <xf numFmtId="165" fontId="206" fillId="0" borderId="0" xfId="1905" applyNumberFormat="1" applyFont="1"/>
    <xf numFmtId="43" fontId="206" fillId="0" borderId="0" xfId="1903" applyNumberFormat="1" applyFont="1"/>
    <xf numFmtId="10" fontId="205" fillId="0" borderId="211" xfId="28" applyNumberFormat="1" applyFont="1" applyBorder="1"/>
    <xf numFmtId="2" fontId="181" fillId="0" borderId="0" xfId="68" applyNumberFormat="1" applyFont="1" applyAlignment="1">
      <alignment horizontal="right" vertical="top"/>
    </xf>
    <xf numFmtId="0" fontId="211" fillId="31" borderId="0" xfId="1903" applyFont="1" applyFill="1" applyAlignment="1">
      <alignment horizontal="right" wrapText="1"/>
    </xf>
    <xf numFmtId="43" fontId="181" fillId="0" borderId="0" xfId="28" applyFont="1" applyAlignment="1">
      <alignment horizontal="left"/>
    </xf>
    <xf numFmtId="2" fontId="206" fillId="0" borderId="99" xfId="723" applyNumberFormat="1" applyFont="1" applyBorder="1" applyAlignment="1">
      <alignment horizontal="left" indent="1"/>
    </xf>
    <xf numFmtId="0" fontId="211" fillId="31" borderId="168" xfId="0" applyNumberFormat="1" applyFont="1" applyFill="1" applyBorder="1" applyAlignment="1">
      <alignment horizontal="right" wrapText="1"/>
    </xf>
    <xf numFmtId="10" fontId="211" fillId="31" borderId="231" xfId="59" applyNumberFormat="1" applyFont="1" applyFill="1" applyBorder="1"/>
    <xf numFmtId="10" fontId="206" fillId="0" borderId="120" xfId="28" applyNumberFormat="1" applyFont="1" applyBorder="1"/>
    <xf numFmtId="10" fontId="206" fillId="0" borderId="121" xfId="28" applyNumberFormat="1" applyFont="1" applyBorder="1"/>
    <xf numFmtId="165" fontId="220" fillId="34" borderId="138" xfId="69" applyNumberFormat="1" applyFont="1" applyFill="1" applyBorder="1" applyAlignment="1">
      <alignment horizontal="left"/>
    </xf>
    <xf numFmtId="165" fontId="220" fillId="34" borderId="157" xfId="69" applyNumberFormat="1" applyFont="1" applyFill="1" applyBorder="1" applyAlignment="1">
      <alignment horizontal="left"/>
    </xf>
    <xf numFmtId="293" fontId="220" fillId="34" borderId="157" xfId="68" applyNumberFormat="1" applyFont="1" applyFill="1" applyBorder="1" applyAlignment="1">
      <alignment horizontal="left"/>
    </xf>
    <xf numFmtId="15" fontId="220" fillId="34" borderId="157" xfId="68" applyNumberFormat="1" applyFont="1" applyFill="1" applyBorder="1" applyAlignment="1">
      <alignment horizontal="left" wrapText="1"/>
    </xf>
    <xf numFmtId="174" fontId="244" fillId="104" borderId="243" xfId="0" applyFont="1" applyFill="1" applyBorder="1"/>
    <xf numFmtId="174" fontId="244" fillId="104" borderId="244" xfId="0" applyFont="1" applyFill="1" applyBorder="1"/>
    <xf numFmtId="174" fontId="244" fillId="104" borderId="245" xfId="0" applyFont="1" applyFill="1" applyBorder="1"/>
    <xf numFmtId="14" fontId="206" fillId="0" borderId="0" xfId="0" applyNumberFormat="1" applyFont="1" applyAlignment="1">
      <alignment vertical="center" shrinkToFit="1"/>
    </xf>
    <xf numFmtId="174" fontId="206" fillId="0" borderId="0" xfId="0" applyFont="1"/>
    <xf numFmtId="174" fontId="245" fillId="0" borderId="0" xfId="0" applyFont="1"/>
    <xf numFmtId="41" fontId="206" fillId="0" borderId="0" xfId="1743" applyNumberFormat="1" applyFont="1"/>
    <xf numFmtId="14" fontId="206" fillId="0" borderId="0" xfId="1743" applyNumberFormat="1" applyFont="1"/>
    <xf numFmtId="41" fontId="205" fillId="0" borderId="0" xfId="1743" applyNumberFormat="1" applyFont="1" applyAlignment="1">
      <alignment horizontal="right"/>
    </xf>
    <xf numFmtId="10" fontId="206" fillId="0" borderId="0" xfId="1743" applyNumberFormat="1" applyFont="1"/>
    <xf numFmtId="41" fontId="205" fillId="0" borderId="0" xfId="1743" applyNumberFormat="1" applyFont="1" applyAlignment="1">
      <alignment horizontal="center" wrapText="1"/>
    </xf>
    <xf numFmtId="41" fontId="205" fillId="0" borderId="0" xfId="1743" applyNumberFormat="1" applyFont="1" applyAlignment="1">
      <alignment horizontal="center"/>
    </xf>
    <xf numFmtId="14" fontId="206" fillId="0" borderId="123" xfId="1743" applyNumberFormat="1" applyFont="1" applyBorder="1"/>
    <xf numFmtId="10" fontId="206" fillId="0" borderId="123" xfId="59" applyNumberFormat="1" applyFont="1" applyBorder="1"/>
    <xf numFmtId="41" fontId="206" fillId="0" borderId="123" xfId="1743" applyNumberFormat="1" applyFont="1" applyBorder="1"/>
    <xf numFmtId="10" fontId="206" fillId="0" borderId="123" xfId="1743" applyNumberFormat="1" applyFont="1" applyBorder="1"/>
    <xf numFmtId="174" fontId="205" fillId="0" borderId="0" xfId="0" applyFont="1" applyAlignment="1">
      <alignment vertical="center"/>
    </xf>
    <xf numFmtId="0" fontId="246" fillId="0" borderId="0" xfId="1917"/>
    <xf numFmtId="0" fontId="246" fillId="0" borderId="0" xfId="1917" applyAlignment="1">
      <alignment horizontal="center"/>
    </xf>
    <xf numFmtId="317" fontId="246" fillId="0" borderId="0" xfId="1917" applyNumberFormat="1" applyAlignment="1">
      <alignment horizontal="center"/>
    </xf>
    <xf numFmtId="317" fontId="246" fillId="0" borderId="0" xfId="1917" applyNumberFormat="1"/>
    <xf numFmtId="0" fontId="247" fillId="31" borderId="0" xfId="1917" applyFont="1" applyFill="1" applyAlignment="1">
      <alignment horizontal="left" wrapText="1"/>
    </xf>
    <xf numFmtId="0" fontId="248" fillId="105" borderId="0" xfId="1917" applyFont="1" applyFill="1" applyAlignment="1">
      <alignment horizontal="center" vertical="center" textRotation="90" wrapText="1"/>
    </xf>
    <xf numFmtId="0" fontId="247" fillId="31" borderId="0" xfId="1917" applyFont="1" applyFill="1" applyAlignment="1">
      <alignment horizontal="center" wrapText="1"/>
    </xf>
    <xf numFmtId="317" fontId="247" fillId="31" borderId="0" xfId="1917" applyNumberFormat="1" applyFont="1" applyFill="1" applyAlignment="1">
      <alignment horizontal="center" wrapText="1"/>
    </xf>
    <xf numFmtId="317" fontId="247" fillId="31" borderId="0" xfId="1917" applyNumberFormat="1" applyFont="1" applyFill="1" applyAlignment="1">
      <alignment horizontal="left" wrapText="1"/>
    </xf>
    <xf numFmtId="0" fontId="249" fillId="105" borderId="0" xfId="1917" applyFont="1" applyFill="1" applyAlignment="1">
      <alignment horizontal="centerContinuous" vertical="center"/>
    </xf>
    <xf numFmtId="0" fontId="246" fillId="0" borderId="0" xfId="1917" applyAlignment="1">
      <alignment horizontal="centerContinuous"/>
    </xf>
    <xf numFmtId="317" fontId="246" fillId="0" borderId="0" xfId="1917" applyNumberFormat="1" applyAlignment="1">
      <alignment horizontal="centerContinuous"/>
    </xf>
    <xf numFmtId="318" fontId="246" fillId="0" borderId="0" xfId="1917" applyNumberFormat="1" applyAlignment="1">
      <alignment horizontal="centerContinuous"/>
    </xf>
    <xf numFmtId="0" fontId="250" fillId="0" borderId="0" xfId="1917" applyFont="1"/>
    <xf numFmtId="0" fontId="251" fillId="0" borderId="0" xfId="1917" applyFont="1" applyAlignment="1">
      <alignment horizontal="center"/>
    </xf>
    <xf numFmtId="0" fontId="250" fillId="0" borderId="0" xfId="1917" applyFont="1" applyAlignment="1">
      <alignment horizontal="centerContinuous"/>
    </xf>
    <xf numFmtId="317" fontId="250" fillId="0" borderId="0" xfId="1917" applyNumberFormat="1" applyFont="1" applyAlignment="1">
      <alignment horizontal="centerContinuous"/>
    </xf>
    <xf numFmtId="317" fontId="252" fillId="0" borderId="0" xfId="1917" applyNumberFormat="1" applyFont="1" applyAlignment="1">
      <alignment horizontal="centerContinuous"/>
    </xf>
    <xf numFmtId="0" fontId="250" fillId="0" borderId="0" xfId="1917" applyFont="1" applyAlignment="1">
      <alignment horizontal="center"/>
    </xf>
    <xf numFmtId="167" fontId="206" fillId="0" borderId="0" xfId="59" applyNumberFormat="1" applyFont="1" applyBorder="1"/>
    <xf numFmtId="167" fontId="206" fillId="0" borderId="0" xfId="59" applyNumberFormat="1" applyFont="1" applyBorder="1" applyProtection="1">
      <protection locked="0"/>
    </xf>
    <xf numFmtId="10" fontId="206" fillId="0" borderId="0" xfId="59" applyNumberFormat="1" applyFont="1" applyBorder="1"/>
    <xf numFmtId="175" fontId="237" fillId="103" borderId="0" xfId="0" applyNumberFormat="1" applyFont="1" applyFill="1" applyAlignment="1">
      <alignment horizontal="left" vertical="center"/>
    </xf>
    <xf numFmtId="0" fontId="253" fillId="0" borderId="101" xfId="72" applyFont="1" applyBorder="1" applyProtection="1">
      <protection locked="0"/>
    </xf>
    <xf numFmtId="3" fontId="206" fillId="0" borderId="101" xfId="28" applyNumberFormat="1" applyFont="1" applyFill="1" applyBorder="1" applyProtection="1"/>
    <xf numFmtId="4" fontId="206" fillId="0" borderId="101" xfId="28" applyNumberFormat="1" applyFont="1" applyFill="1" applyBorder="1" applyProtection="1"/>
    <xf numFmtId="167" fontId="206" fillId="0" borderId="101" xfId="59" applyNumberFormat="1" applyFont="1" applyFill="1" applyBorder="1" applyProtection="1"/>
    <xf numFmtId="0" fontId="206" fillId="0" borderId="145" xfId="72" applyFont="1" applyBorder="1"/>
    <xf numFmtId="0" fontId="206" fillId="0" borderId="123" xfId="72" applyFont="1" applyBorder="1"/>
    <xf numFmtId="0" fontId="253" fillId="0" borderId="99" xfId="72" applyFont="1" applyBorder="1" applyProtection="1">
      <protection locked="0"/>
    </xf>
    <xf numFmtId="0" fontId="253" fillId="0" borderId="103" xfId="72" applyFont="1" applyBorder="1" applyProtection="1">
      <protection locked="0"/>
    </xf>
    <xf numFmtId="0" fontId="206" fillId="0" borderId="99" xfId="72" applyFont="1" applyBorder="1" applyProtection="1">
      <protection locked="0"/>
    </xf>
    <xf numFmtId="0" fontId="206" fillId="0" borderId="0" xfId="72" applyFont="1" applyProtection="1">
      <protection locked="0"/>
    </xf>
    <xf numFmtId="0" fontId="206" fillId="0" borderId="98" xfId="72" applyFont="1" applyBorder="1" applyProtection="1">
      <protection locked="0"/>
    </xf>
    <xf numFmtId="0" fontId="206" fillId="0" borderId="98" xfId="72" applyFont="1" applyBorder="1" applyAlignment="1" applyProtection="1">
      <alignment horizontal="right"/>
      <protection locked="0"/>
    </xf>
    <xf numFmtId="3" fontId="206" fillId="0" borderId="0" xfId="28" applyNumberFormat="1" applyFont="1" applyBorder="1"/>
    <xf numFmtId="4" fontId="206" fillId="0" borderId="0" xfId="28" applyNumberFormat="1" applyFont="1" applyBorder="1"/>
    <xf numFmtId="165" fontId="239" fillId="106" borderId="212" xfId="28" applyNumberFormat="1" applyFont="1" applyFill="1" applyBorder="1" applyAlignment="1">
      <alignment horizontal="right"/>
    </xf>
    <xf numFmtId="10" fontId="239" fillId="106" borderId="211" xfId="28" applyNumberFormat="1" applyFont="1" applyFill="1" applyBorder="1" applyAlignment="1">
      <alignment horizontal="right"/>
    </xf>
    <xf numFmtId="10" fontId="239" fillId="106" borderId="216" xfId="28" applyNumberFormat="1" applyFont="1" applyFill="1" applyBorder="1" applyAlignment="1">
      <alignment horizontal="right"/>
    </xf>
    <xf numFmtId="14" fontId="239" fillId="106" borderId="220" xfId="28" applyNumberFormat="1" applyFont="1" applyFill="1" applyBorder="1" applyAlignment="1">
      <alignment horizontal="right"/>
    </xf>
    <xf numFmtId="165" fontId="239" fillId="106" borderId="217" xfId="28" applyNumberFormat="1" applyFont="1" applyFill="1" applyBorder="1" applyAlignment="1">
      <alignment horizontal="right"/>
    </xf>
    <xf numFmtId="165" fontId="239" fillId="106" borderId="218" xfId="28" applyNumberFormat="1" applyFont="1" applyFill="1" applyBorder="1" applyAlignment="1">
      <alignment horizontal="right"/>
    </xf>
    <xf numFmtId="14" fontId="239" fillId="106" borderId="212" xfId="28" applyNumberFormat="1" applyFont="1" applyFill="1" applyBorder="1" applyAlignment="1">
      <alignment horizontal="right"/>
    </xf>
    <xf numFmtId="2" fontId="239" fillId="106" borderId="227" xfId="28" applyNumberFormat="1" applyFont="1" applyFill="1" applyBorder="1" applyAlignment="1">
      <alignment horizontal="left"/>
    </xf>
    <xf numFmtId="165" fontId="239" fillId="106" borderId="228" xfId="28" applyNumberFormat="1" applyFont="1" applyFill="1" applyBorder="1" applyAlignment="1">
      <alignment horizontal="right"/>
    </xf>
    <xf numFmtId="2" fontId="239" fillId="106" borderId="226" xfId="28" applyNumberFormat="1" applyFont="1" applyFill="1" applyBorder="1" applyAlignment="1">
      <alignment horizontal="left"/>
    </xf>
    <xf numFmtId="2" fontId="239" fillId="106" borderId="229" xfId="28" applyNumberFormat="1" applyFont="1" applyFill="1" applyBorder="1" applyAlignment="1">
      <alignment horizontal="left"/>
    </xf>
    <xf numFmtId="165" fontId="239" fillId="106" borderId="222" xfId="28" applyNumberFormat="1" applyFont="1" applyFill="1" applyBorder="1" applyAlignment="1">
      <alignment horizontal="right"/>
    </xf>
    <xf numFmtId="10" fontId="239" fillId="106" borderId="228" xfId="28" applyNumberFormat="1" applyFont="1" applyFill="1" applyBorder="1" applyAlignment="1">
      <alignment horizontal="right"/>
    </xf>
    <xf numFmtId="10" fontId="239" fillId="106" borderId="218" xfId="28" applyNumberFormat="1" applyFont="1" applyFill="1" applyBorder="1" applyAlignment="1">
      <alignment horizontal="right"/>
    </xf>
    <xf numFmtId="10" fontId="239" fillId="106" borderId="222" xfId="28" applyNumberFormat="1" applyFont="1" applyFill="1" applyBorder="1" applyAlignment="1">
      <alignment horizontal="right"/>
    </xf>
    <xf numFmtId="10" fontId="239" fillId="106" borderId="226" xfId="28" applyNumberFormat="1" applyFont="1" applyFill="1" applyBorder="1" applyAlignment="1">
      <alignment horizontal="right"/>
    </xf>
    <xf numFmtId="9" fontId="230" fillId="106" borderId="107" xfId="0" applyNumberFormat="1" applyFont="1" applyFill="1" applyBorder="1"/>
    <xf numFmtId="9" fontId="230" fillId="106" borderId="122" xfId="59" applyFont="1" applyFill="1" applyBorder="1"/>
    <xf numFmtId="311" fontId="230" fillId="106" borderId="145" xfId="72" applyNumberFormat="1" applyFont="1" applyFill="1" applyBorder="1" applyProtection="1">
      <protection locked="0"/>
    </xf>
    <xf numFmtId="0" fontId="230" fillId="106" borderId="100" xfId="72" applyFont="1" applyFill="1" applyBorder="1" applyAlignment="1" applyProtection="1">
      <alignment horizontal="right"/>
      <protection locked="0"/>
    </xf>
    <xf numFmtId="0" fontId="230" fillId="106" borderId="101" xfId="72" applyFont="1" applyFill="1" applyBorder="1" applyAlignment="1" applyProtection="1">
      <alignment horizontal="right"/>
      <protection locked="0"/>
    </xf>
    <xf numFmtId="3" fontId="235" fillId="106" borderId="101" xfId="1570" applyNumberFormat="1" applyFont="1" applyFill="1" applyBorder="1" applyProtection="1">
      <protection locked="0"/>
    </xf>
    <xf numFmtId="164" fontId="230" fillId="106" borderId="101" xfId="72" applyNumberFormat="1" applyFont="1" applyFill="1" applyBorder="1" applyAlignment="1" applyProtection="1">
      <alignment horizontal="right"/>
      <protection locked="0"/>
    </xf>
    <xf numFmtId="3" fontId="230" fillId="106" borderId="101" xfId="1570" applyNumberFormat="1" applyFont="1" applyFill="1" applyBorder="1" applyProtection="1">
      <protection locked="0"/>
    </xf>
    <xf numFmtId="164" fontId="230" fillId="106" borderId="103" xfId="72" applyNumberFormat="1" applyFont="1" applyFill="1" applyBorder="1" applyAlignment="1" applyProtection="1">
      <alignment horizontal="right"/>
      <protection locked="0"/>
    </xf>
    <xf numFmtId="3" fontId="230" fillId="106" borderId="103" xfId="1570" applyNumberFormat="1" applyFont="1" applyFill="1" applyBorder="1" applyProtection="1">
      <protection locked="0"/>
    </xf>
    <xf numFmtId="311" fontId="230" fillId="106" borderId="0" xfId="72" applyNumberFormat="1" applyFont="1" applyFill="1" applyProtection="1">
      <protection locked="0"/>
    </xf>
    <xf numFmtId="10" fontId="235" fillId="106" borderId="101" xfId="1570" applyNumberFormat="1" applyFont="1" applyFill="1" applyBorder="1" applyProtection="1">
      <protection locked="0"/>
    </xf>
    <xf numFmtId="3" fontId="230" fillId="106" borderId="100" xfId="28" applyNumberFormat="1" applyFont="1" applyFill="1" applyBorder="1" applyProtection="1">
      <protection locked="0"/>
    </xf>
    <xf numFmtId="0" fontId="230" fillId="106" borderId="103" xfId="72" applyFont="1" applyFill="1" applyBorder="1" applyAlignment="1" applyProtection="1">
      <alignment horizontal="right"/>
      <protection locked="0"/>
    </xf>
    <xf numFmtId="165" fontId="235" fillId="106" borderId="145" xfId="28" applyNumberFormat="1" applyFont="1" applyFill="1" applyBorder="1" applyProtection="1">
      <protection locked="0"/>
    </xf>
    <xf numFmtId="3" fontId="235" fillId="106" borderId="100" xfId="1570" applyNumberFormat="1" applyFont="1" applyFill="1" applyBorder="1" applyProtection="1">
      <protection locked="0"/>
    </xf>
    <xf numFmtId="3" fontId="235" fillId="106" borderId="103" xfId="1570" applyNumberFormat="1" applyFont="1" applyFill="1" applyBorder="1" applyProtection="1">
      <protection locked="0"/>
    </xf>
    <xf numFmtId="10" fontId="230" fillId="106" borderId="102" xfId="71" applyNumberFormat="1" applyFont="1" applyFill="1" applyBorder="1" applyProtection="1">
      <protection locked="0"/>
    </xf>
    <xf numFmtId="10" fontId="230" fillId="106" borderId="145" xfId="28" applyNumberFormat="1" applyFont="1" applyFill="1" applyBorder="1" applyProtection="1">
      <protection locked="0"/>
    </xf>
    <xf numFmtId="0" fontId="230" fillId="106" borderId="130" xfId="72" applyFont="1" applyFill="1" applyBorder="1" applyAlignment="1" applyProtection="1">
      <alignment horizontal="right"/>
      <protection locked="0"/>
    </xf>
    <xf numFmtId="165" fontId="235" fillId="106" borderId="103" xfId="28" applyNumberFormat="1" applyFont="1" applyFill="1" applyBorder="1" applyProtection="1">
      <protection locked="0"/>
    </xf>
    <xf numFmtId="8" fontId="230" fillId="106" borderId="101" xfId="1570" applyNumberFormat="1" applyFont="1" applyFill="1" applyBorder="1" applyProtection="1">
      <protection locked="0"/>
    </xf>
    <xf numFmtId="3" fontId="235" fillId="106" borderId="130" xfId="1570" applyNumberFormat="1" applyFont="1" applyFill="1" applyBorder="1" applyProtection="1">
      <protection locked="0"/>
    </xf>
    <xf numFmtId="10" fontId="230" fillId="106" borderId="130" xfId="59" applyNumberFormat="1" applyFont="1" applyFill="1" applyBorder="1" applyProtection="1">
      <protection locked="0"/>
    </xf>
    <xf numFmtId="3" fontId="206" fillId="106" borderId="130" xfId="72" applyNumberFormat="1" applyFont="1" applyFill="1" applyBorder="1" applyProtection="1">
      <protection locked="0"/>
    </xf>
    <xf numFmtId="0" fontId="230" fillId="106" borderId="99" xfId="72" applyFont="1" applyFill="1" applyBorder="1" applyAlignment="1" applyProtection="1">
      <alignment horizontal="right"/>
      <protection locked="0"/>
    </xf>
    <xf numFmtId="10" fontId="230" fillId="106" borderId="101" xfId="71" applyNumberFormat="1" applyFont="1" applyFill="1" applyBorder="1" applyAlignment="1" applyProtection="1">
      <alignment horizontal="right"/>
      <protection locked="0"/>
    </xf>
    <xf numFmtId="10" fontId="235" fillId="106" borderId="101" xfId="1570" applyNumberFormat="1" applyFont="1" applyFill="1" applyBorder="1" applyAlignment="1" applyProtection="1">
      <alignment horizontal="right"/>
      <protection locked="0"/>
    </xf>
    <xf numFmtId="3" fontId="230" fillId="106" borderId="130" xfId="71" applyNumberFormat="1" applyFont="1" applyFill="1" applyBorder="1" applyAlignment="1" applyProtection="1">
      <alignment horizontal="right"/>
      <protection locked="0"/>
    </xf>
    <xf numFmtId="307" fontId="230" fillId="106" borderId="130" xfId="71" applyNumberFormat="1" applyFont="1" applyFill="1" applyBorder="1" applyAlignment="1" applyProtection="1">
      <alignment horizontal="right"/>
      <protection locked="0"/>
    </xf>
    <xf numFmtId="3" fontId="230" fillId="106" borderId="101" xfId="71" applyNumberFormat="1" applyFont="1" applyFill="1" applyBorder="1" applyAlignment="1" applyProtection="1">
      <alignment horizontal="right"/>
      <protection locked="0"/>
    </xf>
    <xf numFmtId="307" fontId="230" fillId="106" borderId="101" xfId="71" applyNumberFormat="1" applyFont="1" applyFill="1" applyBorder="1" applyAlignment="1" applyProtection="1">
      <alignment horizontal="right"/>
      <protection locked="0"/>
    </xf>
    <xf numFmtId="9" fontId="230" fillId="106" borderId="99" xfId="71" applyFont="1" applyFill="1" applyBorder="1" applyAlignment="1" applyProtection="1">
      <alignment horizontal="center"/>
      <protection locked="0"/>
    </xf>
    <xf numFmtId="9" fontId="230" fillId="106" borderId="101" xfId="71" applyFont="1" applyFill="1" applyBorder="1" applyAlignment="1" applyProtection="1">
      <alignment horizontal="center"/>
      <protection locked="0"/>
    </xf>
    <xf numFmtId="10" fontId="230" fillId="106" borderId="145" xfId="71" applyNumberFormat="1" applyFont="1" applyFill="1" applyBorder="1" applyAlignment="1" applyProtection="1">
      <alignment horizontal="right"/>
      <protection locked="0"/>
    </xf>
    <xf numFmtId="0" fontId="230" fillId="106" borderId="98" xfId="72" applyFont="1" applyFill="1" applyBorder="1" applyAlignment="1" applyProtection="1">
      <alignment horizontal="right"/>
      <protection locked="0"/>
    </xf>
    <xf numFmtId="3" fontId="230" fillId="106" borderId="98" xfId="1570" applyNumberFormat="1" applyFont="1" applyFill="1" applyBorder="1" applyProtection="1">
      <protection locked="0"/>
    </xf>
    <xf numFmtId="0" fontId="230" fillId="106" borderId="0" xfId="72" applyFont="1" applyFill="1" applyAlignment="1" applyProtection="1">
      <alignment horizontal="right"/>
      <protection locked="0"/>
    </xf>
    <xf numFmtId="3" fontId="235" fillId="106" borderId="0" xfId="1570" applyNumberFormat="1" applyFont="1" applyFill="1" applyBorder="1" applyProtection="1">
      <protection locked="0"/>
    </xf>
    <xf numFmtId="167" fontId="230" fillId="106" borderId="0" xfId="59" applyNumberFormat="1" applyFont="1" applyFill="1" applyBorder="1" applyAlignment="1" applyProtection="1">
      <alignment horizontal="right"/>
      <protection locked="0"/>
    </xf>
    <xf numFmtId="308" fontId="230" fillId="106" borderId="101" xfId="1573" applyNumberFormat="1" applyFont="1" applyFill="1" applyBorder="1" applyProtection="1">
      <protection locked="0"/>
    </xf>
    <xf numFmtId="10" fontId="230" fillId="106" borderId="101" xfId="1570" applyNumberFormat="1" applyFont="1" applyFill="1" applyBorder="1" applyProtection="1">
      <protection locked="0"/>
    </xf>
    <xf numFmtId="3" fontId="235" fillId="106" borderId="101" xfId="28" applyNumberFormat="1" applyFont="1" applyFill="1" applyBorder="1" applyProtection="1">
      <protection locked="0"/>
    </xf>
    <xf numFmtId="2" fontId="239" fillId="106" borderId="236" xfId="28" applyNumberFormat="1" applyFont="1" applyFill="1" applyBorder="1" applyAlignment="1">
      <alignment horizontal="left"/>
    </xf>
    <xf numFmtId="10" fontId="230" fillId="106" borderId="105" xfId="0" applyNumberFormat="1" applyFont="1" applyFill="1" applyBorder="1"/>
    <xf numFmtId="10" fontId="230" fillId="106" borderId="107" xfId="0" applyNumberFormat="1" applyFont="1" applyFill="1" applyBorder="1"/>
    <xf numFmtId="165" fontId="243" fillId="106" borderId="234" xfId="28" applyNumberFormat="1" applyFont="1" applyFill="1" applyBorder="1" applyAlignment="1">
      <alignment horizontal="right"/>
    </xf>
    <xf numFmtId="10" fontId="230" fillId="106" borderId="122" xfId="0" applyNumberFormat="1" applyFont="1" applyFill="1" applyBorder="1"/>
    <xf numFmtId="165" fontId="243" fillId="106" borderId="235" xfId="28" applyNumberFormat="1" applyFont="1" applyFill="1" applyBorder="1" applyAlignment="1">
      <alignment horizontal="right"/>
    </xf>
    <xf numFmtId="43" fontId="230" fillId="106" borderId="168" xfId="28" applyFont="1" applyFill="1" applyBorder="1" applyProtection="1">
      <protection locked="0"/>
    </xf>
    <xf numFmtId="10" fontId="230" fillId="106" borderId="110" xfId="0" applyNumberFormat="1" applyFont="1" applyFill="1" applyBorder="1"/>
    <xf numFmtId="10" fontId="230" fillId="106" borderId="224" xfId="0" applyNumberFormat="1" applyFont="1" applyFill="1" applyBorder="1"/>
    <xf numFmtId="10" fontId="230" fillId="106" borderId="108" xfId="0" applyNumberFormat="1" applyFont="1" applyFill="1" applyBorder="1"/>
    <xf numFmtId="10" fontId="230" fillId="106" borderId="111" xfId="0" applyNumberFormat="1" applyFont="1" applyFill="1" applyBorder="1"/>
    <xf numFmtId="3" fontId="230" fillId="106" borderId="168" xfId="59" applyNumberFormat="1" applyFont="1" applyFill="1" applyBorder="1" applyAlignment="1">
      <alignment horizontal="right"/>
    </xf>
    <xf numFmtId="10" fontId="230" fillId="106" borderId="168" xfId="59" applyNumberFormat="1" applyFont="1" applyFill="1" applyBorder="1" applyAlignment="1">
      <alignment horizontal="right"/>
    </xf>
    <xf numFmtId="3" fontId="230" fillId="106" borderId="102" xfId="723" applyNumberFormat="1" applyFont="1" applyFill="1" applyBorder="1" applyAlignment="1" applyProtection="1">
      <alignment horizontal="center"/>
      <protection locked="0"/>
    </xf>
    <xf numFmtId="10" fontId="230" fillId="106" borderId="116" xfId="0" applyNumberFormat="1" applyFont="1" applyFill="1" applyBorder="1"/>
    <xf numFmtId="10" fontId="230" fillId="106" borderId="118" xfId="0" applyNumberFormat="1" applyFont="1" applyFill="1" applyBorder="1"/>
    <xf numFmtId="10" fontId="230" fillId="106" borderId="207" xfId="59" applyNumberFormat="1" applyFont="1" applyFill="1" applyBorder="1" applyAlignment="1">
      <alignment horizontal="right"/>
    </xf>
    <xf numFmtId="165" fontId="243" fillId="106" borderId="212" xfId="28" applyNumberFormat="1" applyFont="1" applyFill="1" applyBorder="1" applyAlignment="1">
      <alignment horizontal="right"/>
    </xf>
    <xf numFmtId="2" fontId="203" fillId="106" borderId="0" xfId="1906" applyNumberFormat="1" applyFont="1" applyFill="1" applyAlignment="1">
      <alignment horizontal="right"/>
    </xf>
    <xf numFmtId="9" fontId="232" fillId="106" borderId="67" xfId="59" applyFont="1" applyFill="1" applyBorder="1" applyAlignment="1" applyProtection="1">
      <alignment horizontal="center"/>
      <protection locked="0"/>
    </xf>
    <xf numFmtId="9" fontId="232" fillId="106" borderId="81" xfId="59" applyFont="1" applyFill="1" applyBorder="1" applyAlignment="1" applyProtection="1">
      <alignment horizontal="center"/>
      <protection locked="0"/>
    </xf>
    <xf numFmtId="167" fontId="203" fillId="106" borderId="81" xfId="59" applyNumberFormat="1" applyFont="1" applyFill="1" applyBorder="1" applyAlignment="1" applyProtection="1">
      <alignment horizontal="right"/>
      <protection locked="0"/>
    </xf>
    <xf numFmtId="9" fontId="232" fillId="106" borderId="125" xfId="59" applyFont="1" applyFill="1" applyBorder="1" applyAlignment="1" applyProtection="1">
      <alignment horizontal="center"/>
      <protection locked="0"/>
    </xf>
    <xf numFmtId="14" fontId="254" fillId="106" borderId="246" xfId="0" applyNumberFormat="1" applyFont="1" applyFill="1" applyBorder="1"/>
    <xf numFmtId="10" fontId="254" fillId="106" borderId="0" xfId="0" applyNumberFormat="1" applyFont="1" applyFill="1" applyAlignment="1">
      <alignment horizontal="center" vertical="center"/>
    </xf>
    <xf numFmtId="10" fontId="254" fillId="106" borderId="247" xfId="0" applyNumberFormat="1" applyFont="1" applyFill="1" applyBorder="1" applyAlignment="1">
      <alignment horizontal="center" vertical="center"/>
    </xf>
    <xf numFmtId="174" fontId="254" fillId="106" borderId="247" xfId="0" applyFont="1" applyFill="1" applyBorder="1"/>
    <xf numFmtId="14" fontId="254" fillId="106" borderId="248" xfId="0" applyNumberFormat="1" applyFont="1" applyFill="1" applyBorder="1"/>
    <xf numFmtId="10" fontId="254" fillId="106" borderId="249" xfId="0" applyNumberFormat="1" applyFont="1" applyFill="1" applyBorder="1" applyAlignment="1">
      <alignment horizontal="center" vertical="center"/>
    </xf>
    <xf numFmtId="174" fontId="254" fillId="106" borderId="250" xfId="0" applyFont="1" applyFill="1" applyBorder="1"/>
    <xf numFmtId="1" fontId="206" fillId="0" borderId="0" xfId="0" applyNumberFormat="1" applyFont="1"/>
    <xf numFmtId="2" fontId="206" fillId="0" borderId="0" xfId="68" applyNumberFormat="1" applyFont="1"/>
    <xf numFmtId="1" fontId="205" fillId="0" borderId="0" xfId="68" applyNumberFormat="1" applyFont="1" applyAlignment="1">
      <alignment horizontal="center"/>
    </xf>
    <xf numFmtId="3" fontId="226" fillId="0" borderId="0" xfId="68" applyNumberFormat="1" applyFont="1" applyAlignment="1">
      <alignment horizontal="right"/>
    </xf>
    <xf numFmtId="0" fontId="208" fillId="0" borderId="16" xfId="68" applyNumberFormat="1" applyFont="1" applyBorder="1" applyAlignment="1">
      <alignment horizontal="right"/>
    </xf>
    <xf numFmtId="10" fontId="229" fillId="106" borderId="18" xfId="69" applyNumberFormat="1" applyFont="1" applyFill="1" applyBorder="1" applyAlignment="1">
      <alignment horizontal="right"/>
    </xf>
    <xf numFmtId="165" fontId="219" fillId="0" borderId="0" xfId="69" applyNumberFormat="1" applyFont="1" applyBorder="1" applyAlignment="1">
      <alignment horizontal="right"/>
    </xf>
    <xf numFmtId="3" fontId="181" fillId="0" borderId="0" xfId="72" applyNumberFormat="1" applyFont="1" applyAlignment="1">
      <alignment horizontal="right"/>
    </xf>
    <xf numFmtId="165" fontId="221" fillId="34" borderId="252" xfId="69" applyNumberFormat="1" applyFont="1" applyFill="1" applyBorder="1" applyAlignment="1">
      <alignment horizontal="centerContinuous"/>
    </xf>
    <xf numFmtId="0" fontId="181" fillId="0" borderId="180" xfId="72" applyFont="1" applyBorder="1"/>
    <xf numFmtId="0" fontId="224" fillId="0" borderId="253" xfId="68" applyNumberFormat="1" applyFont="1" applyBorder="1" applyAlignment="1">
      <alignment horizontal="right"/>
    </xf>
    <xf numFmtId="165" fontId="181" fillId="0" borderId="0" xfId="28" applyNumberFormat="1" applyFont="1" applyBorder="1" applyAlignment="1">
      <alignment horizontal="right"/>
    </xf>
    <xf numFmtId="9" fontId="181" fillId="0" borderId="0" xfId="72" applyNumberFormat="1" applyFont="1" applyAlignment="1">
      <alignment horizontal="right"/>
    </xf>
    <xf numFmtId="9" fontId="181" fillId="0" borderId="0" xfId="68" applyNumberFormat="1" applyFont="1"/>
    <xf numFmtId="0" fontId="181" fillId="0" borderId="254" xfId="72" applyFont="1" applyBorder="1" applyAlignment="1">
      <alignment horizontal="right"/>
    </xf>
    <xf numFmtId="166" fontId="181" fillId="0" borderId="253" xfId="71" applyNumberFormat="1" applyFont="1" applyBorder="1"/>
    <xf numFmtId="165" fontId="219" fillId="0" borderId="255" xfId="69" applyNumberFormat="1" applyFont="1" applyBorder="1"/>
    <xf numFmtId="9" fontId="219" fillId="0" borderId="256" xfId="59" applyFont="1" applyBorder="1"/>
    <xf numFmtId="165" fontId="218" fillId="0" borderId="257" xfId="69" applyNumberFormat="1" applyFont="1" applyBorder="1" applyAlignment="1">
      <alignment horizontal="right"/>
    </xf>
    <xf numFmtId="165" fontId="217" fillId="0" borderId="258" xfId="28" applyNumberFormat="1" applyFont="1" applyBorder="1" applyAlignment="1">
      <alignment horizontal="right"/>
    </xf>
    <xf numFmtId="0" fontId="217" fillId="0" borderId="259" xfId="68" applyNumberFormat="1" applyFont="1" applyBorder="1" applyAlignment="1">
      <alignment horizontal="center" vertical="center"/>
    </xf>
    <xf numFmtId="10" fontId="255" fillId="106" borderId="0" xfId="1743" applyNumberFormat="1" applyFont="1" applyFill="1"/>
    <xf numFmtId="0" fontId="201" fillId="0" borderId="0" xfId="1918" applyFont="1"/>
    <xf numFmtId="0" fontId="1" fillId="0" borderId="0" xfId="1918"/>
    <xf numFmtId="166" fontId="201" fillId="0" borderId="0" xfId="1918" applyNumberFormat="1" applyFont="1"/>
    <xf numFmtId="166" fontId="201" fillId="0" borderId="0" xfId="1578" applyNumberFormat="1" applyFont="1"/>
    <xf numFmtId="165" fontId="200" fillId="0" borderId="0" xfId="589" applyNumberFormat="1" applyFont="1"/>
    <xf numFmtId="0" fontId="200" fillId="0" borderId="0" xfId="1918" applyFont="1"/>
    <xf numFmtId="165" fontId="211" fillId="54" borderId="0" xfId="589" applyNumberFormat="1" applyFont="1" applyFill="1"/>
    <xf numFmtId="165" fontId="201" fillId="0" borderId="0" xfId="589" applyNumberFormat="1" applyFont="1"/>
    <xf numFmtId="304" fontId="200" fillId="0" borderId="67" xfId="1918" applyNumberFormat="1" applyFont="1" applyBorder="1"/>
    <xf numFmtId="167" fontId="200" fillId="0" borderId="123" xfId="767" applyNumberFormat="1" applyFont="1" applyBorder="1"/>
    <xf numFmtId="14" fontId="201" fillId="0" borderId="0" xfId="1918" applyNumberFormat="1" applyFont="1"/>
    <xf numFmtId="174" fontId="206" fillId="0" borderId="0" xfId="1919" applyFont="1"/>
    <xf numFmtId="3" fontId="206" fillId="33" borderId="0" xfId="1918" applyNumberFormat="1" applyFont="1" applyFill="1"/>
    <xf numFmtId="303" fontId="200" fillId="0" borderId="0" xfId="1918" applyNumberFormat="1" applyFont="1"/>
    <xf numFmtId="319" fontId="200" fillId="0" borderId="0" xfId="1918" applyNumberFormat="1" applyFont="1" applyAlignment="1">
      <alignment horizontal="center"/>
    </xf>
    <xf numFmtId="320" fontId="201" fillId="0" borderId="0" xfId="1918" applyNumberFormat="1" applyFont="1"/>
    <xf numFmtId="164" fontId="201" fillId="0" borderId="0" xfId="1918" applyNumberFormat="1" applyFont="1"/>
    <xf numFmtId="3" fontId="201" fillId="0" borderId="0" xfId="1918" applyNumberFormat="1" applyFont="1"/>
    <xf numFmtId="0" fontId="200" fillId="33" borderId="0" xfId="1918" applyFont="1" applyFill="1"/>
    <xf numFmtId="0" fontId="201" fillId="33" borderId="0" xfId="1918" applyFont="1" applyFill="1"/>
    <xf numFmtId="167" fontId="200" fillId="33" borderId="0" xfId="1918" applyNumberFormat="1" applyFont="1" applyFill="1"/>
    <xf numFmtId="164" fontId="201" fillId="0" borderId="0" xfId="589" applyNumberFormat="1" applyFont="1"/>
    <xf numFmtId="0" fontId="200" fillId="0" borderId="0" xfId="1918" applyFont="1" applyAlignment="1">
      <alignment horizontal="center"/>
    </xf>
    <xf numFmtId="0" fontId="211" fillId="0" borderId="0" xfId="1918" applyFont="1" applyAlignment="1">
      <alignment horizontal="centerContinuous"/>
    </xf>
    <xf numFmtId="10" fontId="205" fillId="0" borderId="0" xfId="1918" applyNumberFormat="1" applyFont="1" applyAlignment="1">
      <alignment horizontal="centerContinuous"/>
    </xf>
    <xf numFmtId="165" fontId="211" fillId="0" borderId="0" xfId="589" applyNumberFormat="1" applyFont="1"/>
    <xf numFmtId="0" fontId="211" fillId="54" borderId="0" xfId="1918" applyFont="1" applyFill="1"/>
    <xf numFmtId="165" fontId="201" fillId="0" borderId="0" xfId="1918" applyNumberFormat="1" applyFont="1"/>
    <xf numFmtId="253" fontId="200" fillId="0" borderId="0" xfId="1578" applyNumberFormat="1" applyFont="1"/>
    <xf numFmtId="321" fontId="200" fillId="0" borderId="67" xfId="1578" applyNumberFormat="1" applyFont="1" applyBorder="1"/>
    <xf numFmtId="321" fontId="200" fillId="0" borderId="67" xfId="1918" applyNumberFormat="1" applyFont="1" applyBorder="1"/>
    <xf numFmtId="0" fontId="200" fillId="0" borderId="67" xfId="1918" applyFont="1" applyBorder="1"/>
    <xf numFmtId="10" fontId="201" fillId="0" borderId="0" xfId="1918" applyNumberFormat="1" applyFont="1"/>
    <xf numFmtId="167" fontId="200" fillId="0" borderId="0" xfId="767" applyNumberFormat="1" applyFont="1"/>
    <xf numFmtId="10" fontId="200" fillId="0" borderId="123" xfId="767" applyNumberFormat="1" applyFont="1" applyBorder="1"/>
    <xf numFmtId="0" fontId="200" fillId="0" borderId="123" xfId="1918" applyFont="1" applyBorder="1"/>
    <xf numFmtId="9" fontId="201" fillId="0" borderId="0" xfId="1918" applyNumberFormat="1" applyFont="1"/>
    <xf numFmtId="165" fontId="201" fillId="0" borderId="123" xfId="1918" applyNumberFormat="1" applyFont="1" applyBorder="1"/>
    <xf numFmtId="0" fontId="201" fillId="0" borderId="123" xfId="1918" applyFont="1" applyBorder="1"/>
    <xf numFmtId="43" fontId="201" fillId="0" borderId="0" xfId="589" applyFont="1"/>
    <xf numFmtId="165" fontId="206" fillId="0" borderId="0" xfId="589" applyNumberFormat="1" applyFont="1"/>
    <xf numFmtId="304" fontId="201" fillId="0" borderId="0" xfId="1918" applyNumberFormat="1" applyFont="1"/>
    <xf numFmtId="167" fontId="201" fillId="0" borderId="0" xfId="767" applyNumberFormat="1" applyFont="1"/>
    <xf numFmtId="3" fontId="211" fillId="54" borderId="0" xfId="1918" applyNumberFormat="1" applyFont="1" applyFill="1"/>
    <xf numFmtId="3" fontId="211" fillId="0" borderId="0" xfId="1918" applyNumberFormat="1" applyFont="1"/>
    <xf numFmtId="165" fontId="201" fillId="0" borderId="123" xfId="589" applyNumberFormat="1" applyFont="1" applyBorder="1"/>
    <xf numFmtId="14" fontId="201" fillId="0" borderId="123" xfId="1918" applyNumberFormat="1" applyFont="1" applyBorder="1"/>
    <xf numFmtId="37" fontId="201" fillId="0" borderId="0" xfId="1918" applyNumberFormat="1" applyFont="1"/>
    <xf numFmtId="303" fontId="201" fillId="0" borderId="0" xfId="1918" applyNumberFormat="1" applyFont="1" applyAlignment="1">
      <alignment horizontal="left"/>
    </xf>
    <xf numFmtId="0" fontId="211" fillId="54" borderId="0" xfId="1918" applyFont="1" applyFill="1" applyAlignment="1">
      <alignment horizontal="center"/>
    </xf>
    <xf numFmtId="0" fontId="211" fillId="54" borderId="0" xfId="1918" applyFont="1" applyFill="1" applyAlignment="1">
      <alignment horizontal="centerContinuous"/>
    </xf>
    <xf numFmtId="0" fontId="200" fillId="0" borderId="0" xfId="1918" applyFont="1" applyAlignment="1">
      <alignment horizontal="left"/>
    </xf>
    <xf numFmtId="10" fontId="200" fillId="98" borderId="123" xfId="1918" applyNumberFormat="1" applyFont="1" applyFill="1" applyBorder="1"/>
    <xf numFmtId="0" fontId="200" fillId="98" borderId="123" xfId="1918" applyFont="1" applyFill="1" applyBorder="1" applyAlignment="1">
      <alignment horizontal="left"/>
    </xf>
    <xf numFmtId="0" fontId="201" fillId="0" borderId="0" xfId="1918" applyFont="1" applyAlignment="1">
      <alignment horizontal="left"/>
    </xf>
    <xf numFmtId="10" fontId="200" fillId="0" borderId="123" xfId="1918" applyNumberFormat="1" applyFont="1" applyBorder="1"/>
    <xf numFmtId="0" fontId="200" fillId="0" borderId="123" xfId="1918" applyFont="1" applyBorder="1" applyAlignment="1">
      <alignment horizontal="left"/>
    </xf>
    <xf numFmtId="0" fontId="201" fillId="0" borderId="0" xfId="1918" quotePrefix="1" applyFont="1"/>
    <xf numFmtId="37" fontId="201" fillId="0" borderId="123" xfId="1918" applyNumberFormat="1" applyFont="1" applyBorder="1"/>
    <xf numFmtId="303" fontId="201" fillId="0" borderId="123" xfId="1918" applyNumberFormat="1" applyFont="1" applyBorder="1" applyAlignment="1">
      <alignment horizontal="left"/>
    </xf>
    <xf numFmtId="3" fontId="201" fillId="0" borderId="123" xfId="1918" applyNumberFormat="1" applyFont="1" applyBorder="1"/>
    <xf numFmtId="43" fontId="201" fillId="0" borderId="123" xfId="589" applyFont="1" applyBorder="1"/>
    <xf numFmtId="37" fontId="206" fillId="0" borderId="0" xfId="1918" applyNumberFormat="1" applyFont="1"/>
    <xf numFmtId="14" fontId="206" fillId="0" borderId="0" xfId="1918" applyNumberFormat="1" applyFont="1"/>
    <xf numFmtId="0" fontId="200" fillId="0" borderId="0" xfId="1918" applyFont="1" applyAlignment="1">
      <alignment horizontal="right"/>
    </xf>
    <xf numFmtId="10" fontId="201" fillId="0" borderId="123" xfId="1918" applyNumberFormat="1" applyFont="1" applyBorder="1"/>
    <xf numFmtId="304" fontId="200" fillId="0" borderId="0" xfId="1918" applyNumberFormat="1" applyFont="1" applyAlignment="1">
      <alignment horizontal="right"/>
    </xf>
    <xf numFmtId="167" fontId="201" fillId="0" borderId="0" xfId="1918" applyNumberFormat="1" applyFont="1"/>
    <xf numFmtId="3" fontId="200" fillId="98" borderId="123" xfId="1918" applyNumberFormat="1" applyFont="1" applyFill="1" applyBorder="1"/>
    <xf numFmtId="165" fontId="201" fillId="0" borderId="0" xfId="1920" applyNumberFormat="1" applyFont="1" applyBorder="1"/>
    <xf numFmtId="165" fontId="206" fillId="0" borderId="123" xfId="589" applyNumberFormat="1" applyFont="1" applyBorder="1"/>
    <xf numFmtId="165" fontId="200" fillId="0" borderId="123" xfId="1920" applyNumberFormat="1" applyFont="1" applyBorder="1"/>
    <xf numFmtId="165" fontId="201" fillId="0" borderId="0" xfId="1920" applyNumberFormat="1" applyFont="1"/>
    <xf numFmtId="0" fontId="242" fillId="0" borderId="0" xfId="723" applyFont="1" applyAlignment="1">
      <alignment horizontal="left" indent="1"/>
    </xf>
    <xf numFmtId="165" fontId="201" fillId="0" borderId="123" xfId="1920" applyNumberFormat="1" applyFont="1" applyBorder="1"/>
    <xf numFmtId="3" fontId="200" fillId="0" borderId="0" xfId="1918" applyNumberFormat="1" applyFont="1" applyAlignment="1">
      <alignment horizontal="right"/>
    </xf>
    <xf numFmtId="0" fontId="214" fillId="54" borderId="0" xfId="1918" applyFont="1" applyFill="1" applyAlignment="1">
      <alignment horizontal="centerContinuous"/>
    </xf>
    <xf numFmtId="0" fontId="211" fillId="54" borderId="0" xfId="1918" applyFont="1" applyFill="1" applyAlignment="1">
      <alignment horizontal="left"/>
    </xf>
    <xf numFmtId="167" fontId="206" fillId="0" borderId="168" xfId="767" applyNumberFormat="1" applyFont="1" applyBorder="1" applyProtection="1">
      <protection locked="0"/>
    </xf>
    <xf numFmtId="3" fontId="211" fillId="54" borderId="0" xfId="723" applyNumberFormat="1" applyFont="1" applyFill="1" applyAlignment="1">
      <alignment horizontal="center"/>
    </xf>
    <xf numFmtId="0" fontId="211" fillId="54" borderId="0" xfId="723" applyFont="1" applyFill="1"/>
    <xf numFmtId="175" fontId="201" fillId="0" borderId="0" xfId="1918" applyNumberFormat="1" applyFont="1"/>
    <xf numFmtId="167" fontId="206" fillId="0" borderId="0" xfId="767" applyNumberFormat="1" applyFont="1" applyProtection="1">
      <protection locked="0"/>
    </xf>
    <xf numFmtId="322" fontId="206" fillId="0" borderId="0" xfId="723" applyNumberFormat="1" applyFont="1"/>
    <xf numFmtId="175" fontId="206" fillId="0" borderId="0" xfId="723" applyNumberFormat="1" applyFont="1"/>
    <xf numFmtId="323" fontId="206" fillId="0" borderId="0" xfId="723" applyNumberFormat="1" applyFont="1"/>
    <xf numFmtId="3" fontId="206" fillId="0" borderId="168" xfId="723" applyNumberFormat="1" applyFont="1" applyBorder="1" applyAlignment="1">
      <alignment horizontal="right"/>
    </xf>
    <xf numFmtId="3" fontId="206" fillId="0" borderId="168" xfId="723" applyNumberFormat="1" applyFont="1" applyBorder="1" applyProtection="1">
      <protection locked="0"/>
    </xf>
    <xf numFmtId="37" fontId="206" fillId="0" borderId="123" xfId="1918" applyNumberFormat="1" applyFont="1" applyBorder="1"/>
    <xf numFmtId="14" fontId="206" fillId="0" borderId="123" xfId="1918" applyNumberFormat="1" applyFont="1" applyBorder="1"/>
    <xf numFmtId="0" fontId="200" fillId="0" borderId="67" xfId="1918" applyFont="1" applyBorder="1" applyAlignment="1">
      <alignment horizontal="right"/>
    </xf>
    <xf numFmtId="166" fontId="200" fillId="0" borderId="0" xfId="1918" applyNumberFormat="1" applyFont="1" applyAlignment="1">
      <alignment horizontal="right"/>
    </xf>
    <xf numFmtId="166" fontId="200" fillId="0" borderId="67" xfId="1918" applyNumberFormat="1" applyFont="1" applyBorder="1" applyAlignment="1">
      <alignment horizontal="right"/>
    </xf>
    <xf numFmtId="166" fontId="200" fillId="0" borderId="67" xfId="1578" applyNumberFormat="1" applyFont="1" applyBorder="1" applyAlignment="1">
      <alignment horizontal="right"/>
    </xf>
    <xf numFmtId="166" fontId="200" fillId="0" borderId="0" xfId="1578" applyNumberFormat="1" applyFont="1" applyAlignment="1">
      <alignment horizontal="right"/>
    </xf>
    <xf numFmtId="0" fontId="200" fillId="0" borderId="67" xfId="1918" applyFont="1" applyBorder="1" applyAlignment="1">
      <alignment horizontal="center"/>
    </xf>
    <xf numFmtId="0" fontId="200" fillId="0" borderId="67" xfId="1918" applyFont="1" applyBorder="1" applyAlignment="1">
      <alignment horizontal="left"/>
    </xf>
    <xf numFmtId="0" fontId="211" fillId="54" borderId="0" xfId="723" applyFont="1" applyFill="1" applyAlignment="1">
      <alignment horizontal="center"/>
    </xf>
    <xf numFmtId="166" fontId="211" fillId="0" borderId="0" xfId="1918" applyNumberFormat="1" applyFont="1" applyAlignment="1">
      <alignment horizontal="centerContinuous"/>
    </xf>
    <xf numFmtId="166" fontId="200" fillId="0" borderId="151" xfId="1918" applyNumberFormat="1" applyFont="1" applyBorder="1" applyAlignment="1">
      <alignment horizontal="right"/>
    </xf>
    <xf numFmtId="166" fontId="201" fillId="0" borderId="151" xfId="1578" applyNumberFormat="1" applyFont="1" applyBorder="1"/>
    <xf numFmtId="0" fontId="201" fillId="0" borderId="151" xfId="1918" applyFont="1" applyBorder="1"/>
    <xf numFmtId="303" fontId="230" fillId="0" borderId="151" xfId="589" applyNumberFormat="1" applyFont="1" applyBorder="1" applyAlignment="1" applyProtection="1">
      <alignment horizontal="center"/>
      <protection locked="0"/>
    </xf>
    <xf numFmtId="0" fontId="201" fillId="0" borderId="151" xfId="1918" applyFont="1" applyBorder="1" applyAlignment="1">
      <alignment horizontal="right"/>
    </xf>
    <xf numFmtId="0" fontId="214" fillId="0" borderId="0" xfId="1918" applyFont="1"/>
    <xf numFmtId="10" fontId="206" fillId="0" borderId="168" xfId="767" applyNumberFormat="1" applyFont="1" applyFill="1" applyBorder="1" applyProtection="1">
      <protection locked="0"/>
    </xf>
    <xf numFmtId="10" fontId="206" fillId="32" borderId="168" xfId="767" applyNumberFormat="1" applyFont="1" applyFill="1" applyBorder="1" applyProtection="1">
      <protection locked="0"/>
    </xf>
    <xf numFmtId="167" fontId="206" fillId="32" borderId="168" xfId="767" applyNumberFormat="1" applyFont="1" applyFill="1" applyBorder="1" applyProtection="1">
      <protection locked="0"/>
    </xf>
    <xf numFmtId="167" fontId="206" fillId="0" borderId="168" xfId="767" applyNumberFormat="1" applyFont="1" applyFill="1" applyBorder="1" applyProtection="1">
      <protection locked="0"/>
    </xf>
    <xf numFmtId="165" fontId="206" fillId="0" borderId="123" xfId="1920" applyNumberFormat="1" applyFont="1" applyFill="1" applyBorder="1" applyProtection="1">
      <protection locked="0"/>
    </xf>
    <xf numFmtId="165" fontId="206" fillId="0" borderId="0" xfId="1920" applyNumberFormat="1" applyFont="1" applyFill="1" applyProtection="1">
      <protection locked="0"/>
    </xf>
    <xf numFmtId="165" fontId="206" fillId="0" borderId="168" xfId="767" applyNumberFormat="1" applyFont="1" applyBorder="1" applyProtection="1">
      <protection locked="0"/>
    </xf>
    <xf numFmtId="14" fontId="206" fillId="0" borderId="168" xfId="767" applyNumberFormat="1" applyFont="1" applyFill="1" applyBorder="1" applyProtection="1">
      <protection locked="0"/>
    </xf>
    <xf numFmtId="165" fontId="206" fillId="0" borderId="168" xfId="1920" applyNumberFormat="1" applyFont="1" applyFill="1" applyBorder="1" applyProtection="1">
      <protection locked="0"/>
    </xf>
    <xf numFmtId="321" fontId="201" fillId="0" borderId="0" xfId="1918" applyNumberFormat="1" applyFont="1"/>
    <xf numFmtId="14" fontId="206" fillId="0" borderId="18" xfId="1918" applyNumberFormat="1" applyFont="1" applyBorder="1"/>
    <xf numFmtId="165" fontId="206" fillId="0" borderId="18" xfId="589" applyNumberFormat="1" applyFont="1" applyBorder="1"/>
    <xf numFmtId="10" fontId="201" fillId="0" borderId="0" xfId="59" applyNumberFormat="1" applyFont="1"/>
    <xf numFmtId="10" fontId="201" fillId="0" borderId="151" xfId="59" applyNumberFormat="1" applyFont="1" applyBorder="1"/>
    <xf numFmtId="10" fontId="211" fillId="54" borderId="0" xfId="59" applyNumberFormat="1" applyFont="1" applyFill="1"/>
    <xf numFmtId="10" fontId="200" fillId="0" borderId="67" xfId="59" applyNumberFormat="1" applyFont="1" applyBorder="1" applyAlignment="1">
      <alignment horizontal="center"/>
    </xf>
    <xf numFmtId="10" fontId="206" fillId="0" borderId="18" xfId="59" applyNumberFormat="1" applyFont="1" applyBorder="1"/>
    <xf numFmtId="41" fontId="241" fillId="0" borderId="207" xfId="0" applyNumberFormat="1" applyFont="1" applyBorder="1" applyAlignment="1">
      <alignment horizontal="right"/>
    </xf>
    <xf numFmtId="41" fontId="241" fillId="0" borderId="72" xfId="0" applyNumberFormat="1" applyFont="1" applyBorder="1" applyAlignment="1">
      <alignment horizontal="right"/>
    </xf>
    <xf numFmtId="0" fontId="256" fillId="0" borderId="0" xfId="723" applyFont="1"/>
    <xf numFmtId="0" fontId="48" fillId="0" borderId="0" xfId="723" applyFont="1"/>
    <xf numFmtId="0" fontId="257" fillId="0" borderId="151" xfId="1564" applyFont="1" applyBorder="1"/>
    <xf numFmtId="0" fontId="48" fillId="0" borderId="151" xfId="723" applyFont="1" applyBorder="1"/>
    <xf numFmtId="0" fontId="48" fillId="0" borderId="0" xfId="0" applyNumberFormat="1" applyFont="1"/>
    <xf numFmtId="0" fontId="168" fillId="0" borderId="260" xfId="0" applyNumberFormat="1" applyFont="1" applyBorder="1" applyAlignment="1">
      <alignment horizontal="centerContinuous"/>
    </xf>
    <xf numFmtId="0" fontId="168" fillId="0" borderId="178" xfId="0" applyNumberFormat="1" applyFont="1" applyBorder="1" applyAlignment="1">
      <alignment horizontal="centerContinuous"/>
    </xf>
    <xf numFmtId="0" fontId="168" fillId="0" borderId="225" xfId="0" applyNumberFormat="1" applyFont="1" applyBorder="1" applyAlignment="1">
      <alignment horizontal="centerContinuous"/>
    </xf>
    <xf numFmtId="0" fontId="168" fillId="0" borderId="0" xfId="0" applyNumberFormat="1" applyFont="1"/>
    <xf numFmtId="0" fontId="168" fillId="0" borderId="0" xfId="0" applyNumberFormat="1" applyFont="1" applyAlignment="1">
      <alignment horizontal="right" wrapText="1"/>
    </xf>
    <xf numFmtId="0" fontId="168" fillId="0" borderId="261" xfId="0" applyNumberFormat="1" applyFont="1" applyBorder="1" applyAlignment="1">
      <alignment horizontal="right" wrapText="1"/>
    </xf>
    <xf numFmtId="0" fontId="168" fillId="0" borderId="262" xfId="0" applyNumberFormat="1" applyFont="1" applyBorder="1" applyAlignment="1">
      <alignment horizontal="right" wrapText="1"/>
    </xf>
    <xf numFmtId="0" fontId="168" fillId="0" borderId="263" xfId="0" applyNumberFormat="1" applyFont="1" applyBorder="1" applyAlignment="1">
      <alignment horizontal="right" wrapText="1"/>
    </xf>
    <xf numFmtId="0" fontId="168" fillId="0" borderId="264" xfId="0" applyNumberFormat="1" applyFont="1" applyBorder="1" applyAlignment="1">
      <alignment horizontal="right" wrapText="1"/>
    </xf>
    <xf numFmtId="0" fontId="168" fillId="0" borderId="265" xfId="0" applyNumberFormat="1" applyFont="1" applyBorder="1" applyAlignment="1">
      <alignment horizontal="right" wrapText="1"/>
    </xf>
    <xf numFmtId="324" fontId="48" fillId="0" borderId="104" xfId="0" applyNumberFormat="1" applyFont="1" applyBorder="1" applyAlignment="1">
      <alignment horizontal="left" vertical="center"/>
    </xf>
    <xf numFmtId="167" fontId="48" fillId="0" borderId="105" xfId="0" applyNumberFormat="1" applyFont="1" applyBorder="1" applyAlignment="1">
      <alignment vertical="center"/>
    </xf>
    <xf numFmtId="167" fontId="48" fillId="0" borderId="266" xfId="0" applyNumberFormat="1" applyFont="1" applyBorder="1" applyAlignment="1">
      <alignment vertical="center"/>
    </xf>
    <xf numFmtId="3" fontId="48" fillId="0" borderId="104" xfId="0" applyNumberFormat="1" applyFont="1" applyBorder="1" applyAlignment="1">
      <alignment vertical="center"/>
    </xf>
    <xf numFmtId="3" fontId="48" fillId="0" borderId="105" xfId="0" applyNumberFormat="1" applyFont="1" applyBorder="1" applyAlignment="1">
      <alignment vertical="center"/>
    </xf>
    <xf numFmtId="3" fontId="48" fillId="0" borderId="224" xfId="0" applyNumberFormat="1" applyFont="1" applyBorder="1" applyAlignment="1">
      <alignment vertical="center"/>
    </xf>
    <xf numFmtId="10" fontId="48" fillId="0" borderId="242" xfId="0" applyNumberFormat="1" applyFont="1" applyBorder="1" applyAlignment="1">
      <alignment vertical="center"/>
    </xf>
    <xf numFmtId="43" fontId="48" fillId="0" borderId="105" xfId="28" applyFont="1" applyFill="1" applyBorder="1" applyAlignment="1">
      <alignment vertical="center"/>
    </xf>
    <xf numFmtId="3" fontId="48" fillId="0" borderId="266" xfId="0" applyNumberFormat="1" applyFont="1" applyBorder="1" applyAlignment="1">
      <alignment vertical="center"/>
    </xf>
    <xf numFmtId="10" fontId="48" fillId="0" borderId="266" xfId="0" applyNumberFormat="1" applyFont="1" applyBorder="1" applyAlignment="1">
      <alignment vertical="center"/>
    </xf>
    <xf numFmtId="43" fontId="48" fillId="0" borderId="266" xfId="28" applyFont="1" applyFill="1" applyBorder="1" applyAlignment="1">
      <alignment vertical="center"/>
    </xf>
    <xf numFmtId="3" fontId="48" fillId="0" borderId="224" xfId="0" applyNumberFormat="1" applyFont="1" applyBorder="1" applyAlignment="1">
      <alignment horizontal="right" vertical="center"/>
    </xf>
    <xf numFmtId="324" fontId="48" fillId="0" borderId="106" xfId="0" applyNumberFormat="1" applyFont="1" applyBorder="1" applyAlignment="1">
      <alignment horizontal="left" vertical="center"/>
    </xf>
    <xf numFmtId="167" fontId="48" fillId="0" borderId="107" xfId="0" applyNumberFormat="1" applyFont="1" applyBorder="1" applyAlignment="1">
      <alignment vertical="center"/>
    </xf>
    <xf numFmtId="167" fontId="48" fillId="0" borderId="232" xfId="0" applyNumberFormat="1" applyFont="1" applyBorder="1" applyAlignment="1">
      <alignment vertical="center"/>
    </xf>
    <xf numFmtId="3" fontId="48" fillId="0" borderId="106" xfId="0" applyNumberFormat="1" applyFont="1" applyBorder="1" applyAlignment="1">
      <alignment vertical="center"/>
    </xf>
    <xf numFmtId="3" fontId="48" fillId="0" borderId="107" xfId="0" applyNumberFormat="1" applyFont="1" applyBorder="1" applyAlignment="1">
      <alignment vertical="center"/>
    </xf>
    <xf numFmtId="3" fontId="48" fillId="0" borderId="108" xfId="0" applyNumberFormat="1" applyFont="1" applyBorder="1" applyAlignment="1">
      <alignment vertical="center"/>
    </xf>
    <xf numFmtId="10" fontId="48" fillId="0" borderId="114" xfId="0" applyNumberFormat="1" applyFont="1" applyBorder="1" applyAlignment="1">
      <alignment vertical="center"/>
    </xf>
    <xf numFmtId="43" fontId="48" fillId="0" borderId="107" xfId="28" applyFont="1" applyFill="1" applyBorder="1" applyAlignment="1">
      <alignment vertical="center"/>
    </xf>
    <xf numFmtId="3" fontId="48" fillId="0" borderId="232" xfId="0" applyNumberFormat="1" applyFont="1" applyBorder="1" applyAlignment="1">
      <alignment vertical="center"/>
    </xf>
    <xf numFmtId="10" fontId="48" fillId="0" borderId="232" xfId="0" applyNumberFormat="1" applyFont="1" applyBorder="1" applyAlignment="1">
      <alignment vertical="center"/>
    </xf>
    <xf numFmtId="43" fontId="48" fillId="0" borderId="232" xfId="28" applyFont="1" applyFill="1" applyBorder="1" applyAlignment="1">
      <alignment vertical="center"/>
    </xf>
    <xf numFmtId="3" fontId="48" fillId="0" borderId="108" xfId="0" applyNumberFormat="1" applyFont="1" applyBorder="1" applyAlignment="1">
      <alignment horizontal="right" vertical="center"/>
    </xf>
    <xf numFmtId="324" fontId="258" fillId="54" borderId="106" xfId="0" applyNumberFormat="1" applyFont="1" applyFill="1" applyBorder="1" applyAlignment="1">
      <alignment horizontal="left" vertical="center"/>
    </xf>
    <xf numFmtId="167" fontId="258" fillId="54" borderId="107" xfId="0" applyNumberFormat="1" applyFont="1" applyFill="1" applyBorder="1" applyAlignment="1">
      <alignment vertical="center"/>
    </xf>
    <xf numFmtId="167" fontId="258" fillId="54" borderId="232" xfId="0" applyNumberFormat="1" applyFont="1" applyFill="1" applyBorder="1" applyAlignment="1">
      <alignment vertical="center"/>
    </xf>
    <xf numFmtId="3" fontId="258" fillId="54" borderId="106" xfId="0" applyNumberFormat="1" applyFont="1" applyFill="1" applyBorder="1" applyAlignment="1">
      <alignment vertical="center"/>
    </xf>
    <xf numFmtId="3" fontId="258" fillId="54" borderId="107" xfId="0" applyNumberFormat="1" applyFont="1" applyFill="1" applyBorder="1" applyAlignment="1">
      <alignment vertical="center"/>
    </xf>
    <xf numFmtId="3" fontId="258" fillId="54" borderId="108" xfId="0" applyNumberFormat="1" applyFont="1" applyFill="1" applyBorder="1" applyAlignment="1">
      <alignment vertical="center"/>
    </xf>
    <xf numFmtId="10" fontId="258" fillId="54" borderId="114" xfId="0" applyNumberFormat="1" applyFont="1" applyFill="1" applyBorder="1" applyAlignment="1">
      <alignment vertical="center"/>
    </xf>
    <xf numFmtId="43" fontId="258" fillId="54" borderId="107" xfId="28" applyFont="1" applyFill="1" applyBorder="1" applyAlignment="1">
      <alignment vertical="center"/>
    </xf>
    <xf numFmtId="3" fontId="258" fillId="54" borderId="232" xfId="0" applyNumberFormat="1" applyFont="1" applyFill="1" applyBorder="1" applyAlignment="1">
      <alignment vertical="center"/>
    </xf>
    <xf numFmtId="10" fontId="258" fillId="54" borderId="232" xfId="0" applyNumberFormat="1" applyFont="1" applyFill="1" applyBorder="1" applyAlignment="1">
      <alignment vertical="center"/>
    </xf>
    <xf numFmtId="43" fontId="258" fillId="54" borderId="232" xfId="28" applyFont="1" applyFill="1" applyBorder="1" applyAlignment="1">
      <alignment vertical="center"/>
    </xf>
    <xf numFmtId="3" fontId="258" fillId="54" borderId="108" xfId="0" applyNumberFormat="1" applyFont="1" applyFill="1" applyBorder="1" applyAlignment="1">
      <alignment horizontal="right" vertical="center"/>
    </xf>
    <xf numFmtId="324" fontId="48" fillId="0" borderId="109" xfId="0" applyNumberFormat="1" applyFont="1" applyBorder="1" applyAlignment="1">
      <alignment horizontal="left" vertical="center"/>
    </xf>
    <xf numFmtId="167" fontId="48" fillId="0" borderId="110" xfId="0" applyNumberFormat="1" applyFont="1" applyBorder="1" applyAlignment="1">
      <alignment vertical="center"/>
    </xf>
    <xf numFmtId="167" fontId="48" fillId="0" borderId="233" xfId="0" applyNumberFormat="1" applyFont="1" applyBorder="1" applyAlignment="1">
      <alignment vertical="center"/>
    </xf>
    <xf numFmtId="3" fontId="48" fillId="0" borderId="109" xfId="0" applyNumberFormat="1" applyFont="1" applyBorder="1" applyAlignment="1">
      <alignment vertical="center"/>
    </xf>
    <xf numFmtId="3" fontId="48" fillId="0" borderId="110" xfId="0" applyNumberFormat="1" applyFont="1" applyBorder="1" applyAlignment="1">
      <alignment vertical="center"/>
    </xf>
    <xf numFmtId="3" fontId="48" fillId="0" borderId="111" xfId="0" applyNumberFormat="1" applyFont="1" applyBorder="1" applyAlignment="1">
      <alignment vertical="center"/>
    </xf>
    <xf numFmtId="10" fontId="48" fillId="0" borderId="115" xfId="0" applyNumberFormat="1" applyFont="1" applyBorder="1" applyAlignment="1">
      <alignment vertical="center"/>
    </xf>
    <xf numFmtId="43" fontId="48" fillId="0" borderId="110" xfId="28" applyFont="1" applyFill="1" applyBorder="1" applyAlignment="1">
      <alignment vertical="center"/>
    </xf>
    <xf numFmtId="3" fontId="48" fillId="0" borderId="233" xfId="0" applyNumberFormat="1" applyFont="1" applyBorder="1" applyAlignment="1">
      <alignment vertical="center"/>
    </xf>
    <xf numFmtId="10" fontId="48" fillId="0" borderId="233" xfId="0" applyNumberFormat="1" applyFont="1" applyBorder="1" applyAlignment="1">
      <alignment vertical="center"/>
    </xf>
    <xf numFmtId="43" fontId="48" fillId="0" borderId="233" xfId="28" applyFont="1" applyFill="1" applyBorder="1" applyAlignment="1">
      <alignment vertical="center"/>
    </xf>
    <xf numFmtId="3" fontId="48" fillId="0" borderId="111" xfId="0" applyNumberFormat="1" applyFont="1" applyBorder="1" applyAlignment="1">
      <alignment horizontal="right" vertical="center"/>
    </xf>
    <xf numFmtId="10" fontId="48" fillId="0" borderId="0" xfId="0" applyNumberFormat="1" applyFont="1"/>
    <xf numFmtId="43" fontId="48" fillId="0" borderId="0" xfId="28" applyFont="1"/>
    <xf numFmtId="0" fontId="48" fillId="0" borderId="0" xfId="0" applyNumberFormat="1" applyFont="1" applyAlignment="1">
      <alignment horizontal="right"/>
    </xf>
    <xf numFmtId="0" fontId="168" fillId="0" borderId="109" xfId="0" applyNumberFormat="1" applyFont="1" applyBorder="1" applyAlignment="1">
      <alignment horizontal="right" wrapText="1"/>
    </xf>
    <xf numFmtId="0" fontId="168" fillId="0" borderId="110" xfId="0" applyNumberFormat="1" applyFont="1" applyBorder="1" applyAlignment="1">
      <alignment horizontal="right" wrapText="1"/>
    </xf>
    <xf numFmtId="0" fontId="168" fillId="0" borderId="111" xfId="0" applyNumberFormat="1" applyFont="1" applyBorder="1" applyAlignment="1">
      <alignment horizontal="right" wrapText="1"/>
    </xf>
    <xf numFmtId="0" fontId="168" fillId="0" borderId="115" xfId="0" applyNumberFormat="1" applyFont="1" applyBorder="1" applyAlignment="1">
      <alignment horizontal="right" wrapText="1"/>
    </xf>
    <xf numFmtId="0" fontId="168" fillId="0" borderId="233" xfId="0" applyNumberFormat="1" applyFont="1" applyBorder="1" applyAlignment="1">
      <alignment horizontal="right" wrapText="1"/>
    </xf>
    <xf numFmtId="0" fontId="48" fillId="33" borderId="267" xfId="0" applyNumberFormat="1" applyFont="1" applyFill="1" applyBorder="1"/>
    <xf numFmtId="167" fontId="48" fillId="33" borderId="123" xfId="0" applyNumberFormat="1" applyFont="1" applyFill="1" applyBorder="1"/>
    <xf numFmtId="3" fontId="48" fillId="33" borderId="123" xfId="0" applyNumberFormat="1" applyFont="1" applyFill="1" applyBorder="1"/>
    <xf numFmtId="10" fontId="48" fillId="33" borderId="123" xfId="28" applyNumberFormat="1" applyFont="1" applyFill="1" applyBorder="1"/>
    <xf numFmtId="43" fontId="48" fillId="33" borderId="123" xfId="28" applyFont="1" applyFill="1" applyBorder="1"/>
    <xf numFmtId="165" fontId="48" fillId="33" borderId="123" xfId="28" applyNumberFormat="1" applyFont="1" applyFill="1" applyBorder="1"/>
    <xf numFmtId="3" fontId="48" fillId="33" borderId="184" xfId="0" applyNumberFormat="1" applyFont="1" applyFill="1" applyBorder="1" applyAlignment="1">
      <alignment horizontal="right"/>
    </xf>
    <xf numFmtId="0" fontId="48" fillId="33" borderId="71" xfId="0" applyNumberFormat="1" applyFont="1" applyFill="1" applyBorder="1"/>
    <xf numFmtId="167" fontId="48" fillId="33" borderId="0" xfId="0" applyNumberFormat="1" applyFont="1" applyFill="1"/>
    <xf numFmtId="3" fontId="48" fillId="33" borderId="0" xfId="0" applyNumberFormat="1" applyFont="1" applyFill="1"/>
    <xf numFmtId="10" fontId="48" fillId="33" borderId="0" xfId="28" applyNumberFormat="1" applyFont="1" applyFill="1" applyBorder="1"/>
    <xf numFmtId="43" fontId="48" fillId="33" borderId="0" xfId="28" applyFont="1" applyFill="1" applyBorder="1"/>
    <xf numFmtId="165" fontId="48" fillId="33" borderId="0" xfId="28" applyNumberFormat="1" applyFont="1" applyFill="1" applyBorder="1"/>
    <xf numFmtId="9" fontId="48" fillId="33" borderId="0" xfId="59" applyFont="1" applyFill="1" applyBorder="1"/>
    <xf numFmtId="3" fontId="48" fillId="33" borderId="72" xfId="0" applyNumberFormat="1" applyFont="1" applyFill="1" applyBorder="1" applyAlignment="1">
      <alignment horizontal="right"/>
    </xf>
    <xf numFmtId="0" fontId="48" fillId="33" borderId="268" xfId="0" applyNumberFormat="1" applyFont="1" applyFill="1" applyBorder="1"/>
    <xf numFmtId="3" fontId="48" fillId="33" borderId="18" xfId="0" applyNumberFormat="1" applyFont="1" applyFill="1" applyBorder="1"/>
    <xf numFmtId="10" fontId="48" fillId="33" borderId="18" xfId="28" applyNumberFormat="1" applyFont="1" applyFill="1" applyBorder="1"/>
    <xf numFmtId="43" fontId="48" fillId="33" borderId="18" xfId="28" applyFont="1" applyFill="1" applyBorder="1"/>
    <xf numFmtId="3" fontId="48" fillId="33" borderId="269" xfId="0" applyNumberFormat="1" applyFont="1" applyFill="1" applyBorder="1" applyAlignment="1">
      <alignment horizontal="right"/>
    </xf>
    <xf numFmtId="3" fontId="206" fillId="0" borderId="101" xfId="1570" applyNumberFormat="1" applyFont="1" applyFill="1" applyBorder="1" applyProtection="1"/>
    <xf numFmtId="41" fontId="41" fillId="0" borderId="0" xfId="0" applyNumberFormat="1" applyFont="1"/>
    <xf numFmtId="41" fontId="41" fillId="0" borderId="0" xfId="0" applyNumberFormat="1" applyFont="1" applyAlignment="1">
      <alignment horizontal="center"/>
    </xf>
    <xf numFmtId="41" fontId="41" fillId="0" borderId="0" xfId="0" applyNumberFormat="1" applyFont="1" applyAlignment="1">
      <alignment horizontal="right"/>
    </xf>
    <xf numFmtId="0" fontId="253" fillId="0" borderId="98" xfId="72" applyFont="1" applyBorder="1" applyProtection="1">
      <protection locked="0"/>
    </xf>
    <xf numFmtId="0" fontId="208" fillId="0" borderId="0" xfId="72" applyFont="1" applyAlignment="1">
      <alignment horizontal="center"/>
    </xf>
    <xf numFmtId="41" fontId="202" fillId="0" borderId="251" xfId="0" applyNumberFormat="1" applyFont="1" applyBorder="1" applyAlignment="1">
      <alignment horizontal="center"/>
    </xf>
    <xf numFmtId="41" fontId="202" fillId="0" borderId="177" xfId="0" applyNumberFormat="1" applyFont="1" applyBorder="1" applyAlignment="1">
      <alignment horizontal="center"/>
    </xf>
    <xf numFmtId="41" fontId="202" fillId="0" borderId="231" xfId="0" applyNumberFormat="1" applyFont="1" applyBorder="1" applyAlignment="1">
      <alignment horizontal="center"/>
    </xf>
    <xf numFmtId="0" fontId="206" fillId="0" borderId="177" xfId="72" applyFont="1" applyBorder="1" applyAlignment="1">
      <alignment horizontal="center"/>
    </xf>
    <xf numFmtId="0" fontId="206" fillId="0" borderId="231" xfId="72" applyFont="1" applyBorder="1" applyAlignment="1">
      <alignment horizontal="center"/>
    </xf>
    <xf numFmtId="41" fontId="202" fillId="0" borderId="168" xfId="0" applyNumberFormat="1" applyFont="1" applyBorder="1" applyAlignment="1">
      <alignment horizontal="center"/>
    </xf>
    <xf numFmtId="41" fontId="0" fillId="0" borderId="0" xfId="0" applyNumberFormat="1" applyAlignment="1">
      <alignment horizontal="center"/>
    </xf>
    <xf numFmtId="2" fontId="206" fillId="0" borderId="270" xfId="28" applyNumberFormat="1" applyFont="1" applyFill="1" applyBorder="1" applyAlignment="1">
      <alignment horizontal="left"/>
    </xf>
    <xf numFmtId="0" fontId="211" fillId="31" borderId="267" xfId="723" applyFont="1" applyFill="1" applyBorder="1"/>
    <xf numFmtId="3" fontId="211" fillId="31" borderId="206" xfId="723" applyNumberFormat="1" applyFont="1" applyFill="1" applyBorder="1" applyAlignment="1">
      <alignment horizontal="right"/>
    </xf>
    <xf numFmtId="3" fontId="211" fillId="31" borderId="207" xfId="723" applyNumberFormat="1" applyFont="1" applyFill="1" applyBorder="1" applyAlignment="1">
      <alignment horizontal="right"/>
    </xf>
    <xf numFmtId="0" fontId="206" fillId="0" borderId="271" xfId="0" applyNumberFormat="1" applyFont="1" applyBorder="1" applyAlignment="1">
      <alignment horizontal="center"/>
    </xf>
    <xf numFmtId="0" fontId="201" fillId="0" borderId="106" xfId="0" applyNumberFormat="1" applyFont="1" applyBorder="1" applyAlignment="1">
      <alignment horizontal="center"/>
    </xf>
    <xf numFmtId="0" fontId="211" fillId="31" borderId="272" xfId="0" applyNumberFormat="1" applyFont="1" applyFill="1" applyBorder="1" applyAlignment="1">
      <alignment horizontal="center" wrapText="1"/>
    </xf>
    <xf numFmtId="41" fontId="211" fillId="31" borderId="3" xfId="0" applyNumberFormat="1" applyFont="1" applyFill="1" applyBorder="1" applyAlignment="1">
      <alignment horizontal="center" wrapText="1"/>
    </xf>
    <xf numFmtId="41" fontId="211" fillId="31" borderId="3" xfId="0" applyNumberFormat="1" applyFont="1" applyFill="1" applyBorder="1" applyAlignment="1">
      <alignment horizontal="right" wrapText="1"/>
    </xf>
    <xf numFmtId="0" fontId="211" fillId="31" borderId="3" xfId="0" applyNumberFormat="1" applyFont="1" applyFill="1" applyBorder="1" applyAlignment="1">
      <alignment horizontal="right" wrapText="1"/>
    </xf>
    <xf numFmtId="41" fontId="206" fillId="0" borderId="151" xfId="0" applyNumberFormat="1" applyFont="1" applyBorder="1"/>
    <xf numFmtId="167" fontId="210" fillId="99" borderId="252" xfId="59" applyNumberFormat="1" applyFont="1" applyFill="1" applyBorder="1" applyAlignment="1">
      <alignment wrapText="1"/>
    </xf>
    <xf numFmtId="3" fontId="201" fillId="0" borderId="0" xfId="28" applyNumberFormat="1" applyFont="1" applyBorder="1" applyAlignment="1">
      <alignment wrapText="1"/>
    </xf>
    <xf numFmtId="166" fontId="205" fillId="0" borderId="0" xfId="0" applyNumberFormat="1" applyFont="1" applyAlignment="1">
      <alignment horizontal="right" wrapText="1"/>
    </xf>
    <xf numFmtId="41" fontId="211" fillId="0" borderId="0" xfId="0" applyNumberFormat="1" applyFont="1" applyAlignment="1">
      <alignment horizontal="center" wrapText="1"/>
    </xf>
    <xf numFmtId="3" fontId="201" fillId="0" borderId="0" xfId="28" applyNumberFormat="1" applyFont="1" applyFill="1" applyBorder="1" applyAlignment="1">
      <alignment wrapText="1"/>
    </xf>
    <xf numFmtId="166" fontId="201" fillId="0" borderId="0" xfId="28" applyNumberFormat="1" applyFont="1" applyFill="1" applyBorder="1" applyAlignment="1">
      <alignment horizontal="center" wrapText="1"/>
    </xf>
    <xf numFmtId="167" fontId="205" fillId="0" borderId="0" xfId="59" applyNumberFormat="1" applyFont="1" applyFill="1" applyBorder="1" applyAlignment="1">
      <alignment horizontal="right"/>
    </xf>
    <xf numFmtId="0" fontId="211" fillId="31" borderId="273" xfId="0" applyNumberFormat="1" applyFont="1" applyFill="1" applyBorder="1" applyAlignment="1">
      <alignment horizontal="right" wrapText="1"/>
    </xf>
    <xf numFmtId="301" fontId="211" fillId="31" borderId="146" xfId="0" applyNumberFormat="1" applyFont="1" applyFill="1" applyBorder="1" applyAlignment="1">
      <alignment horizontal="right" wrapText="1"/>
    </xf>
    <xf numFmtId="3" fontId="201" fillId="0" borderId="121" xfId="28" applyNumberFormat="1" applyFont="1" applyBorder="1" applyAlignment="1">
      <alignment wrapText="1"/>
    </xf>
    <xf numFmtId="41" fontId="210" fillId="99" borderId="275" xfId="0" applyNumberFormat="1" applyFont="1" applyFill="1" applyBorder="1" applyAlignment="1" applyProtection="1">
      <alignment horizontal="center" wrapText="1"/>
      <protection locked="0"/>
    </xf>
    <xf numFmtId="41" fontId="210" fillId="99" borderId="276" xfId="0" applyNumberFormat="1" applyFont="1" applyFill="1" applyBorder="1" applyAlignment="1" applyProtection="1">
      <alignment horizontal="center" wrapText="1"/>
      <protection locked="0"/>
    </xf>
    <xf numFmtId="41" fontId="205" fillId="0" borderId="276" xfId="0" applyNumberFormat="1" applyFont="1" applyBorder="1" applyAlignment="1" applyProtection="1">
      <alignment horizontal="center" wrapText="1"/>
      <protection locked="0"/>
    </xf>
    <xf numFmtId="41" fontId="210" fillId="99" borderId="277" xfId="0" applyNumberFormat="1" applyFont="1" applyFill="1" applyBorder="1" applyAlignment="1" applyProtection="1">
      <alignment horizontal="center" wrapText="1"/>
      <protection locked="0"/>
    </xf>
    <xf numFmtId="166" fontId="211" fillId="0" borderId="252" xfId="0" applyNumberFormat="1" applyFont="1" applyBorder="1" applyAlignment="1">
      <alignment horizontal="center"/>
    </xf>
    <xf numFmtId="41" fontId="210" fillId="99" borderId="277" xfId="0" applyNumberFormat="1" applyFont="1" applyFill="1" applyBorder="1" applyAlignment="1">
      <alignment horizontal="center" wrapText="1"/>
    </xf>
    <xf numFmtId="41" fontId="210" fillId="99" borderId="252" xfId="0" applyNumberFormat="1" applyFont="1" applyFill="1" applyBorder="1" applyAlignment="1">
      <alignment horizontal="center" wrapText="1"/>
    </xf>
    <xf numFmtId="41" fontId="211" fillId="0" borderId="252" xfId="0" applyNumberFormat="1" applyFont="1" applyBorder="1" applyAlignment="1">
      <alignment horizontal="center"/>
    </xf>
    <xf numFmtId="166" fontId="211" fillId="31" borderId="272" xfId="0" applyNumberFormat="1" applyFont="1" applyFill="1" applyBorder="1" applyAlignment="1">
      <alignment horizontal="right" wrapText="1"/>
    </xf>
    <xf numFmtId="166" fontId="211" fillId="31" borderId="3" xfId="28" applyNumberFormat="1" applyFont="1" applyFill="1" applyBorder="1" applyAlignment="1">
      <alignment horizontal="right" wrapText="1"/>
    </xf>
    <xf numFmtId="41" fontId="211" fillId="31" borderId="273" xfId="0" applyNumberFormat="1" applyFont="1" applyFill="1" applyBorder="1" applyAlignment="1">
      <alignment horizontal="right" wrapText="1"/>
    </xf>
    <xf numFmtId="3" fontId="201" fillId="0" borderId="278" xfId="28" applyNumberFormat="1" applyFont="1" applyBorder="1" applyAlignment="1">
      <alignment wrapText="1"/>
    </xf>
    <xf numFmtId="171" fontId="201" fillId="0" borderId="121" xfId="28" applyNumberFormat="1" applyFont="1" applyBorder="1" applyAlignment="1">
      <alignment horizontal="center" wrapText="1"/>
    </xf>
    <xf numFmtId="171" fontId="201" fillId="0" borderId="274" xfId="28" applyNumberFormat="1" applyFont="1" applyBorder="1" applyAlignment="1">
      <alignment horizontal="center" wrapText="1"/>
    </xf>
    <xf numFmtId="171" fontId="201" fillId="0" borderId="278" xfId="28" applyNumberFormat="1" applyFont="1" applyBorder="1" applyAlignment="1">
      <alignment horizontal="center" wrapText="1"/>
    </xf>
    <xf numFmtId="0" fontId="211" fillId="31" borderId="146" xfId="0" applyNumberFormat="1" applyFont="1" applyFill="1" applyBorder="1" applyAlignment="1">
      <alignment horizontal="center" wrapText="1"/>
    </xf>
    <xf numFmtId="171" fontId="201" fillId="0" borderId="122" xfId="28" applyNumberFormat="1" applyFont="1" applyBorder="1" applyAlignment="1">
      <alignment horizontal="center" wrapText="1"/>
    </xf>
    <xf numFmtId="0" fontId="201" fillId="0" borderId="279" xfId="0" applyNumberFormat="1" applyFont="1" applyBorder="1" applyAlignment="1">
      <alignment horizontal="center"/>
    </xf>
    <xf numFmtId="3" fontId="201" fillId="0" borderId="280" xfId="28" applyNumberFormat="1" applyFont="1" applyBorder="1" applyAlignment="1">
      <alignment wrapText="1"/>
    </xf>
    <xf numFmtId="3" fontId="201" fillId="0" borderId="122" xfId="28" applyNumberFormat="1" applyFont="1" applyBorder="1" applyAlignment="1">
      <alignment wrapText="1"/>
    </xf>
    <xf numFmtId="4" fontId="201" fillId="0" borderId="122" xfId="28" applyNumberFormat="1" applyFont="1" applyBorder="1" applyAlignment="1">
      <alignment wrapText="1"/>
    </xf>
    <xf numFmtId="3" fontId="201" fillId="0" borderId="281" xfId="28" applyNumberFormat="1" applyFont="1" applyBorder="1" applyAlignment="1">
      <alignment wrapText="1"/>
    </xf>
    <xf numFmtId="3" fontId="201" fillId="0" borderId="282" xfId="28" applyNumberFormat="1" applyFont="1" applyBorder="1" applyAlignment="1">
      <alignment wrapText="1"/>
    </xf>
    <xf numFmtId="171" fontId="201" fillId="0" borderId="0" xfId="28" applyNumberFormat="1" applyFont="1" applyBorder="1" applyAlignment="1">
      <alignment horizontal="center" wrapText="1"/>
    </xf>
    <xf numFmtId="166" fontId="201" fillId="0" borderId="0" xfId="28" applyNumberFormat="1" applyFont="1" applyBorder="1" applyAlignment="1">
      <alignment horizontal="right" wrapText="1"/>
    </xf>
    <xf numFmtId="0" fontId="201" fillId="0" borderId="206" xfId="0" applyNumberFormat="1" applyFont="1" applyBorder="1" applyAlignment="1">
      <alignment horizontal="center"/>
    </xf>
    <xf numFmtId="171" fontId="201" fillId="0" borderId="206" xfId="28" applyNumberFormat="1" applyFont="1" applyBorder="1" applyAlignment="1">
      <alignment horizontal="center" wrapText="1"/>
    </xf>
    <xf numFmtId="1" fontId="201" fillId="0" borderId="206" xfId="28" applyNumberFormat="1" applyFont="1" applyBorder="1" applyAlignment="1">
      <alignment horizontal="center" wrapText="1"/>
    </xf>
    <xf numFmtId="166" fontId="201" fillId="0" borderId="206" xfId="28" applyNumberFormat="1" applyFont="1" applyBorder="1" applyAlignment="1">
      <alignment horizontal="right" wrapText="1"/>
    </xf>
    <xf numFmtId="3" fontId="201" fillId="0" borderId="206" xfId="28" applyNumberFormat="1" applyFont="1" applyBorder="1" applyAlignment="1">
      <alignment wrapText="1"/>
    </xf>
    <xf numFmtId="166" fontId="201" fillId="0" borderId="206" xfId="28" applyNumberFormat="1" applyFont="1" applyBorder="1" applyAlignment="1">
      <alignment horizontal="center" wrapText="1"/>
    </xf>
    <xf numFmtId="43" fontId="235" fillId="0" borderId="101" xfId="28" applyFont="1" applyFill="1" applyBorder="1" applyProtection="1">
      <protection locked="0"/>
    </xf>
    <xf numFmtId="43" fontId="235" fillId="99" borderId="101" xfId="28" applyFont="1" applyFill="1" applyBorder="1" applyProtection="1">
      <protection locked="0"/>
    </xf>
    <xf numFmtId="165" fontId="239" fillId="106" borderId="211" xfId="28" applyNumberFormat="1" applyFont="1" applyFill="1" applyBorder="1" applyAlignment="1">
      <alignment horizontal="center"/>
    </xf>
    <xf numFmtId="165" fontId="212" fillId="0" borderId="0" xfId="28" applyNumberFormat="1" applyFont="1"/>
    <xf numFmtId="165" fontId="206" fillId="0" borderId="0" xfId="28" applyNumberFormat="1" applyFont="1" applyAlignment="1">
      <alignment horizontal="center" vertical="top"/>
    </xf>
    <xf numFmtId="0" fontId="205" fillId="0" borderId="0" xfId="68" applyNumberFormat="1" applyFont="1"/>
    <xf numFmtId="42" fontId="205" fillId="0" borderId="0" xfId="68" applyNumberFormat="1" applyFont="1"/>
    <xf numFmtId="165" fontId="219" fillId="0" borderId="123" xfId="68" applyNumberFormat="1" applyFont="1" applyBorder="1" applyAlignment="1">
      <alignment horizontal="center"/>
    </xf>
    <xf numFmtId="10" fontId="219" fillId="0" borderId="0" xfId="68" applyNumberFormat="1" applyFont="1" applyAlignment="1">
      <alignment horizontal="center" vertical="top"/>
    </xf>
    <xf numFmtId="2" fontId="181" fillId="0" borderId="18" xfId="68" applyNumberFormat="1" applyFont="1" applyBorder="1" applyAlignment="1">
      <alignment horizontal="right" vertical="top"/>
    </xf>
    <xf numFmtId="10" fontId="181" fillId="0" borderId="18" xfId="69" applyNumberFormat="1" applyFont="1" applyBorder="1" applyAlignment="1">
      <alignment horizontal="center"/>
    </xf>
    <xf numFmtId="175" fontId="236" fillId="103" borderId="0" xfId="0" applyNumberFormat="1" applyFont="1" applyFill="1" applyAlignment="1">
      <alignment horizontal="center" vertical="center"/>
    </xf>
    <xf numFmtId="43" fontId="239" fillId="106" borderId="212" xfId="28" applyFont="1" applyFill="1" applyBorder="1" applyAlignment="1">
      <alignment horizontal="right"/>
    </xf>
    <xf numFmtId="0" fontId="260" fillId="0" borderId="0" xfId="72" applyFont="1"/>
    <xf numFmtId="8" fontId="260" fillId="0" borderId="0" xfId="72" applyNumberFormat="1" applyFont="1"/>
    <xf numFmtId="0" fontId="261" fillId="0" borderId="206" xfId="72" applyFont="1" applyBorder="1"/>
    <xf numFmtId="8" fontId="261" fillId="0" borderId="206" xfId="72" applyNumberFormat="1" applyFont="1" applyBorder="1"/>
    <xf numFmtId="166" fontId="260" fillId="0" borderId="0" xfId="72" applyNumberFormat="1" applyFont="1"/>
    <xf numFmtId="0" fontId="262" fillId="0" borderId="0" xfId="72" applyFont="1"/>
    <xf numFmtId="0" fontId="260" fillId="0" borderId="0" xfId="72" applyFont="1" applyAlignment="1">
      <alignment horizontal="right"/>
    </xf>
    <xf numFmtId="0" fontId="263" fillId="0" borderId="0" xfId="72" applyFont="1"/>
    <xf numFmtId="9" fontId="260" fillId="0" borderId="0" xfId="59" applyFont="1" applyFill="1" applyBorder="1"/>
    <xf numFmtId="0" fontId="264" fillId="0" borderId="0" xfId="72" applyFont="1"/>
    <xf numFmtId="0" fontId="261" fillId="0" borderId="0" xfId="72" applyFont="1" applyAlignment="1">
      <alignment horizontal="center"/>
    </xf>
    <xf numFmtId="9" fontId="263" fillId="99" borderId="99" xfId="71" applyFont="1" applyFill="1" applyBorder="1" applyAlignment="1" applyProtection="1">
      <alignment horizontal="center"/>
      <protection locked="0"/>
    </xf>
    <xf numFmtId="1" fontId="206" fillId="0" borderId="0" xfId="0" applyNumberFormat="1" applyFont="1" applyAlignment="1">
      <alignment horizontal="right"/>
    </xf>
    <xf numFmtId="41" fontId="206" fillId="0" borderId="151" xfId="0" applyNumberFormat="1" applyFont="1" applyBorder="1" applyAlignment="1">
      <alignment horizontal="right"/>
    </xf>
    <xf numFmtId="41" fontId="210" fillId="99" borderId="252" xfId="0" applyNumberFormat="1" applyFont="1" applyFill="1" applyBorder="1" applyAlignment="1" applyProtection="1">
      <alignment horizontal="right" wrapText="1"/>
      <protection locked="0"/>
    </xf>
    <xf numFmtId="3" fontId="201" fillId="0" borderId="271" xfId="28" applyNumberFormat="1" applyFont="1" applyBorder="1" applyAlignment="1">
      <alignment horizontal="right" wrapText="1"/>
    </xf>
    <xf numFmtId="3" fontId="201" fillId="0" borderId="106" xfId="28" applyNumberFormat="1" applyFont="1" applyBorder="1" applyAlignment="1">
      <alignment horizontal="right" wrapText="1"/>
    </xf>
    <xf numFmtId="3" fontId="201" fillId="0" borderId="109" xfId="28" applyNumberFormat="1" applyFont="1" applyBorder="1" applyAlignment="1">
      <alignment horizontal="right" wrapText="1"/>
    </xf>
    <xf numFmtId="3" fontId="201" fillId="0" borderId="0" xfId="28" applyNumberFormat="1" applyFont="1" applyBorder="1" applyAlignment="1">
      <alignment horizontal="right" wrapText="1"/>
    </xf>
    <xf numFmtId="41" fontId="202" fillId="0" borderId="0" xfId="0" applyNumberFormat="1" applyFont="1" applyAlignment="1">
      <alignment horizontal="center"/>
    </xf>
    <xf numFmtId="10" fontId="0" fillId="0" borderId="0" xfId="59" applyNumberFormat="1" applyFont="1"/>
    <xf numFmtId="41" fontId="13" fillId="0" borderId="0" xfId="0" applyNumberFormat="1" applyFont="1"/>
    <xf numFmtId="1" fontId="0" fillId="0" borderId="0" xfId="0" applyNumberFormat="1"/>
    <xf numFmtId="0" fontId="206" fillId="106" borderId="130" xfId="72" applyFont="1" applyFill="1" applyBorder="1"/>
    <xf numFmtId="0" fontId="206" fillId="106" borderId="101" xfId="72" applyFont="1" applyFill="1" applyBorder="1" applyAlignment="1">
      <alignment horizontal="left"/>
    </xf>
    <xf numFmtId="165" fontId="235" fillId="99" borderId="101" xfId="28" applyNumberFormat="1" applyFont="1" applyFill="1" applyBorder="1" applyProtection="1">
      <protection locked="0"/>
    </xf>
    <xf numFmtId="325" fontId="202" fillId="0" borderId="0" xfId="0" applyNumberFormat="1" applyFont="1"/>
    <xf numFmtId="41" fontId="202" fillId="0" borderId="0" xfId="0" applyNumberFormat="1" applyFont="1" applyAlignment="1">
      <alignment horizontal="right"/>
    </xf>
    <xf numFmtId="0" fontId="265" fillId="0" borderId="0" xfId="68" applyNumberFormat="1" applyFont="1" applyAlignment="1">
      <alignment horizontal="right"/>
    </xf>
    <xf numFmtId="165" fontId="265" fillId="0" borderId="175" xfId="69" applyNumberFormat="1" applyFont="1" applyBorder="1" applyAlignment="1">
      <alignment horizontal="right"/>
    </xf>
    <xf numFmtId="43" fontId="265" fillId="0" borderId="23" xfId="28" applyFont="1" applyBorder="1" applyAlignment="1">
      <alignment horizontal="right"/>
    </xf>
    <xf numFmtId="165" fontId="265" fillId="0" borderId="23" xfId="28" applyNumberFormat="1" applyFont="1" applyBorder="1" applyAlignment="1">
      <alignment horizontal="right"/>
    </xf>
    <xf numFmtId="10" fontId="265" fillId="0" borderId="176" xfId="59" applyNumberFormat="1" applyFont="1" applyBorder="1" applyAlignment="1">
      <alignment horizontal="right"/>
    </xf>
    <xf numFmtId="0" fontId="220" fillId="34" borderId="172" xfId="68" applyNumberFormat="1" applyFont="1" applyFill="1" applyBorder="1" applyAlignment="1">
      <alignment horizontal="center" vertical="center"/>
    </xf>
    <xf numFmtId="0" fontId="220" fillId="34" borderId="172" xfId="68" applyNumberFormat="1" applyFont="1" applyFill="1" applyBorder="1" applyAlignment="1">
      <alignment horizontal="justify" vertical="center"/>
    </xf>
    <xf numFmtId="0" fontId="220" fillId="34" borderId="173" xfId="68" applyNumberFormat="1" applyFont="1" applyFill="1" applyBorder="1" applyAlignment="1">
      <alignment horizontal="justify" vertical="center"/>
    </xf>
    <xf numFmtId="0" fontId="220" fillId="34" borderId="175" xfId="68" applyNumberFormat="1" applyFont="1" applyFill="1" applyBorder="1" applyAlignment="1">
      <alignment horizontal="center" vertical="center"/>
    </xf>
    <xf numFmtId="0" fontId="220" fillId="34" borderId="176" xfId="68" applyNumberFormat="1" applyFont="1" applyFill="1" applyBorder="1" applyAlignment="1">
      <alignment horizontal="center" vertical="center"/>
    </xf>
    <xf numFmtId="175" fontId="181" fillId="98" borderId="283" xfId="68" applyNumberFormat="1" applyFont="1" applyFill="1" applyBorder="1" applyAlignment="1">
      <alignment horizontal="center"/>
    </xf>
    <xf numFmtId="175" fontId="181" fillId="98" borderId="158" xfId="68" applyNumberFormat="1" applyFont="1" applyFill="1" applyBorder="1" applyAlignment="1">
      <alignment horizontal="center"/>
    </xf>
    <xf numFmtId="164" fontId="181" fillId="98" borderId="178" xfId="68" applyNumberFormat="1" applyFont="1" applyFill="1" applyBorder="1" applyAlignment="1">
      <alignment horizontal="center"/>
    </xf>
    <xf numFmtId="10" fontId="181" fillId="98" borderId="18" xfId="59" applyNumberFormat="1" applyFont="1" applyFill="1" applyBorder="1" applyAlignment="1">
      <alignment horizontal="center"/>
    </xf>
    <xf numFmtId="321" fontId="181" fillId="98" borderId="166" xfId="69" applyNumberFormat="1" applyFont="1" applyFill="1" applyBorder="1" applyAlignment="1">
      <alignment horizontal="center"/>
    </xf>
    <xf numFmtId="164" fontId="219" fillId="107" borderId="178" xfId="68" applyNumberFormat="1" applyFont="1" applyFill="1" applyBorder="1" applyAlignment="1">
      <alignment horizontal="center"/>
    </xf>
    <xf numFmtId="10" fontId="219" fillId="107" borderId="178" xfId="59" applyNumberFormat="1" applyFont="1" applyFill="1" applyBorder="1" applyAlignment="1">
      <alignment horizontal="center"/>
    </xf>
    <xf numFmtId="175" fontId="181" fillId="98" borderId="147" xfId="68" applyNumberFormat="1" applyFont="1" applyFill="1" applyBorder="1" applyAlignment="1">
      <alignment horizontal="center"/>
    </xf>
    <xf numFmtId="164" fontId="181" fillId="98" borderId="148" xfId="68" applyNumberFormat="1" applyFont="1" applyFill="1" applyBorder="1" applyAlignment="1">
      <alignment horizontal="center"/>
    </xf>
    <xf numFmtId="10" fontId="181" fillId="98" borderId="148" xfId="59" applyNumberFormat="1" applyFont="1" applyFill="1" applyBorder="1" applyAlignment="1">
      <alignment horizontal="center"/>
    </xf>
    <xf numFmtId="321" fontId="181" fillId="98" borderId="166" xfId="68" applyNumberFormat="1" applyFont="1" applyFill="1" applyBorder="1" applyAlignment="1">
      <alignment horizontal="center"/>
    </xf>
    <xf numFmtId="10" fontId="181" fillId="98" borderId="178" xfId="59" applyNumberFormat="1" applyFont="1" applyFill="1" applyBorder="1" applyAlignment="1">
      <alignment horizontal="center"/>
    </xf>
    <xf numFmtId="321" fontId="181" fillId="98" borderId="149" xfId="68" applyNumberFormat="1" applyFont="1" applyFill="1" applyBorder="1" applyAlignment="1">
      <alignment horizontal="center"/>
    </xf>
    <xf numFmtId="0" fontId="220" fillId="34" borderId="254" xfId="68" applyNumberFormat="1" applyFont="1" applyFill="1" applyBorder="1" applyAlignment="1">
      <alignment horizontal="center"/>
    </xf>
    <xf numFmtId="0" fontId="220" fillId="34" borderId="206" xfId="68" applyNumberFormat="1" applyFont="1" applyFill="1" applyBorder="1" applyAlignment="1">
      <alignment horizontal="center"/>
    </xf>
    <xf numFmtId="9" fontId="220" fillId="34" borderId="206" xfId="59" applyFont="1" applyFill="1" applyBorder="1" applyAlignment="1">
      <alignment horizontal="center"/>
    </xf>
    <xf numFmtId="0" fontId="220" fillId="34" borderId="253" xfId="68" applyNumberFormat="1" applyFont="1" applyFill="1" applyBorder="1" applyAlignment="1">
      <alignment horizontal="center"/>
    </xf>
    <xf numFmtId="0" fontId="220" fillId="34" borderId="76" xfId="68" applyNumberFormat="1" applyFont="1" applyFill="1" applyBorder="1" applyAlignment="1">
      <alignment horizontal="center"/>
    </xf>
    <xf numFmtId="0" fontId="220" fillId="34" borderId="0" xfId="68" applyNumberFormat="1" applyFont="1" applyFill="1" applyAlignment="1">
      <alignment horizontal="center"/>
    </xf>
    <xf numFmtId="9" fontId="220" fillId="34" borderId="0" xfId="59" applyFont="1" applyFill="1" applyBorder="1" applyAlignment="1">
      <alignment horizontal="center"/>
    </xf>
    <xf numFmtId="0" fontId="220" fillId="34" borderId="75" xfId="68" applyNumberFormat="1" applyFont="1" applyFill="1" applyBorder="1" applyAlignment="1">
      <alignment horizontal="center"/>
    </xf>
    <xf numFmtId="314" fontId="239" fillId="106" borderId="228" xfId="28" applyNumberFormat="1" applyFont="1" applyFill="1" applyBorder="1" applyAlignment="1">
      <alignment horizontal="right"/>
    </xf>
    <xf numFmtId="9" fontId="230" fillId="106" borderId="103" xfId="71" applyFont="1" applyFill="1" applyBorder="1" applyAlignment="1" applyProtection="1">
      <alignment horizontal="center"/>
      <protection locked="0"/>
    </xf>
    <xf numFmtId="175" fontId="181" fillId="98" borderId="79" xfId="68" applyNumberFormat="1" applyFont="1" applyFill="1" applyBorder="1" applyAlignment="1">
      <alignment horizontal="center"/>
    </xf>
    <xf numFmtId="164" fontId="181" fillId="98" borderId="0" xfId="68" applyNumberFormat="1" applyFont="1" applyFill="1" applyAlignment="1">
      <alignment horizontal="center"/>
    </xf>
    <xf numFmtId="321" fontId="181" fillId="98" borderId="75" xfId="69" applyNumberFormat="1" applyFont="1" applyFill="1" applyBorder="1" applyAlignment="1">
      <alignment horizontal="center"/>
    </xf>
    <xf numFmtId="164" fontId="181" fillId="98" borderId="136" xfId="68" applyNumberFormat="1" applyFont="1" applyFill="1" applyBorder="1" applyAlignment="1">
      <alignment horizontal="center"/>
    </xf>
    <xf numFmtId="10" fontId="181" fillId="98" borderId="136" xfId="59" applyNumberFormat="1" applyFont="1" applyFill="1" applyBorder="1" applyAlignment="1">
      <alignment horizontal="center"/>
    </xf>
    <xf numFmtId="321" fontId="181" fillId="98" borderId="137" xfId="69" applyNumberFormat="1" applyFont="1" applyFill="1" applyBorder="1" applyAlignment="1">
      <alignment horizontal="center"/>
    </xf>
    <xf numFmtId="321" fontId="181" fillId="98" borderId="149" xfId="69" applyNumberFormat="1" applyFont="1" applyFill="1" applyBorder="1" applyAlignment="1">
      <alignment horizontal="center"/>
    </xf>
    <xf numFmtId="321" fontId="181" fillId="98" borderId="137" xfId="68" applyNumberFormat="1" applyFont="1" applyFill="1" applyBorder="1" applyAlignment="1">
      <alignment horizontal="center"/>
    </xf>
    <xf numFmtId="0" fontId="206" fillId="106" borderId="103" xfId="72" applyFont="1" applyFill="1" applyBorder="1" applyProtection="1">
      <protection locked="0"/>
    </xf>
    <xf numFmtId="164" fontId="230" fillId="106" borderId="103" xfId="72" applyNumberFormat="1" applyFont="1" applyFill="1" applyBorder="1" applyProtection="1">
      <protection locked="0"/>
    </xf>
    <xf numFmtId="165" fontId="218" fillId="0" borderId="284" xfId="69" applyNumberFormat="1" applyFont="1" applyBorder="1" applyAlignment="1">
      <alignment horizontal="right"/>
    </xf>
    <xf numFmtId="10" fontId="218" fillId="0" borderId="285" xfId="59" applyNumberFormat="1" applyFont="1" applyBorder="1" applyAlignment="1">
      <alignment horizontal="right"/>
    </xf>
    <xf numFmtId="9" fontId="219" fillId="0" borderId="0" xfId="59" applyFont="1" applyBorder="1"/>
    <xf numFmtId="3" fontId="206" fillId="0" borderId="103" xfId="1570" applyNumberFormat="1" applyFont="1" applyFill="1" applyBorder="1" applyProtection="1"/>
    <xf numFmtId="3" fontId="235" fillId="99" borderId="103" xfId="28" applyNumberFormat="1" applyFont="1" applyFill="1" applyBorder="1" applyProtection="1">
      <protection locked="0"/>
    </xf>
    <xf numFmtId="4" fontId="206" fillId="0" borderId="103" xfId="28" applyNumberFormat="1" applyFont="1" applyFill="1" applyBorder="1" applyProtection="1"/>
    <xf numFmtId="167" fontId="206" fillId="0" borderId="103" xfId="59" applyNumberFormat="1" applyFont="1" applyFill="1" applyBorder="1" applyProtection="1"/>
    <xf numFmtId="3" fontId="206" fillId="0" borderId="130" xfId="1570" applyNumberFormat="1" applyFont="1" applyFill="1" applyBorder="1" applyProtection="1"/>
    <xf numFmtId="3" fontId="206" fillId="0" borderId="100" xfId="28" applyNumberFormat="1" applyFont="1" applyFill="1" applyBorder="1" applyProtection="1"/>
    <xf numFmtId="4" fontId="206" fillId="0" borderId="100" xfId="28" applyNumberFormat="1" applyFont="1" applyFill="1" applyBorder="1" applyProtection="1"/>
    <xf numFmtId="167" fontId="206" fillId="0" borderId="100" xfId="59" applyNumberFormat="1" applyFont="1" applyFill="1" applyBorder="1" applyProtection="1"/>
    <xf numFmtId="167" fontId="235" fillId="99" borderId="100" xfId="59" applyNumberFormat="1" applyFont="1" applyFill="1" applyBorder="1" applyProtection="1">
      <protection locked="0"/>
    </xf>
    <xf numFmtId="0" fontId="214" fillId="0" borderId="0" xfId="72" applyFont="1"/>
    <xf numFmtId="317" fontId="266" fillId="0" borderId="0" xfId="0" applyNumberFormat="1" applyFont="1" applyAlignment="1">
      <alignment horizontal="center"/>
    </xf>
    <xf numFmtId="3" fontId="235" fillId="99" borderId="101" xfId="28" applyNumberFormat="1" applyFont="1" applyFill="1" applyBorder="1" applyProtection="1">
      <protection locked="0"/>
    </xf>
    <xf numFmtId="165" fontId="206" fillId="0" borderId="101" xfId="28" applyNumberFormat="1" applyFont="1" applyFill="1" applyBorder="1" applyProtection="1"/>
    <xf numFmtId="165" fontId="206" fillId="0" borderId="103" xfId="28" applyNumberFormat="1" applyFont="1" applyFill="1" applyBorder="1" applyProtection="1"/>
    <xf numFmtId="3" fontId="221" fillId="0" borderId="0" xfId="68" applyNumberFormat="1" applyFont="1" applyAlignment="1">
      <alignment horizontal="right"/>
    </xf>
    <xf numFmtId="165" fontId="221" fillId="0" borderId="177" xfId="69" applyNumberFormat="1" applyFont="1" applyBorder="1" applyAlignment="1">
      <alignment horizontal="right"/>
    </xf>
    <xf numFmtId="43" fontId="221" fillId="0" borderId="23" xfId="28" applyFont="1" applyBorder="1" applyAlignment="1">
      <alignment horizontal="right"/>
    </xf>
    <xf numFmtId="165" fontId="221" fillId="0" borderId="23" xfId="28" applyNumberFormat="1" applyFont="1" applyBorder="1" applyAlignment="1">
      <alignment horizontal="right"/>
    </xf>
    <xf numFmtId="10" fontId="221" fillId="0" borderId="176" xfId="59" applyNumberFormat="1" applyFont="1" applyBorder="1" applyAlignment="1">
      <alignment horizontal="right"/>
    </xf>
    <xf numFmtId="3" fontId="206" fillId="0" borderId="100" xfId="1570" applyNumberFormat="1" applyFont="1" applyFill="1" applyBorder="1" applyProtection="1"/>
    <xf numFmtId="4" fontId="235" fillId="99" borderId="100" xfId="28" applyNumberFormat="1" applyFont="1" applyFill="1" applyBorder="1" applyProtection="1">
      <protection locked="0"/>
    </xf>
    <xf numFmtId="4" fontId="235" fillId="99" borderId="101" xfId="28" applyNumberFormat="1" applyFont="1" applyFill="1" applyBorder="1" applyProtection="1">
      <protection locked="0"/>
    </xf>
    <xf numFmtId="167" fontId="235" fillId="99" borderId="101" xfId="59" applyNumberFormat="1" applyFont="1" applyFill="1" applyBorder="1" applyProtection="1">
      <protection locked="0"/>
    </xf>
    <xf numFmtId="3" fontId="235" fillId="106" borderId="145" xfId="28" applyNumberFormat="1" applyFont="1" applyFill="1" applyBorder="1" applyProtection="1">
      <protection locked="0"/>
    </xf>
    <xf numFmtId="41" fontId="152" fillId="0" borderId="267" xfId="0" applyNumberFormat="1" applyFont="1" applyBorder="1"/>
    <xf numFmtId="41" fontId="0" fillId="0" borderId="206" xfId="0" applyNumberFormat="1" applyBorder="1"/>
    <xf numFmtId="3" fontId="206" fillId="0" borderId="112" xfId="1570" applyNumberFormat="1" applyFont="1" applyBorder="1"/>
    <xf numFmtId="41" fontId="152" fillId="0" borderId="204" xfId="0" applyNumberFormat="1" applyFont="1" applyBorder="1"/>
    <xf numFmtId="3" fontId="206" fillId="0" borderId="286" xfId="1570" applyNumberFormat="1" applyFont="1" applyBorder="1"/>
    <xf numFmtId="9" fontId="206" fillId="0" borderId="286" xfId="59" applyFont="1" applyBorder="1"/>
    <xf numFmtId="41" fontId="267" fillId="0" borderId="18" xfId="0" applyNumberFormat="1" applyFont="1" applyBorder="1"/>
    <xf numFmtId="9" fontId="206" fillId="0" borderId="287" xfId="59" applyFont="1" applyBorder="1"/>
    <xf numFmtId="41" fontId="152" fillId="0" borderId="268" xfId="0" applyNumberFormat="1" applyFont="1" applyBorder="1"/>
    <xf numFmtId="9" fontId="268" fillId="0" borderId="184" xfId="0" applyNumberFormat="1" applyFont="1" applyBorder="1"/>
    <xf numFmtId="9" fontId="41" fillId="0" borderId="0" xfId="0" applyNumberFormat="1" applyFont="1"/>
    <xf numFmtId="41" fontId="41" fillId="0" borderId="18" xfId="0" applyNumberFormat="1" applyFont="1" applyBorder="1"/>
    <xf numFmtId="3" fontId="206" fillId="0" borderId="72" xfId="1570" applyNumberFormat="1" applyFont="1" applyBorder="1"/>
    <xf numFmtId="41" fontId="13" fillId="0" borderId="0" xfId="1743" applyNumberFormat="1"/>
    <xf numFmtId="0" fontId="48" fillId="0" borderId="0" xfId="1743" applyNumberFormat="1" applyFont="1"/>
    <xf numFmtId="0" fontId="48" fillId="0" borderId="288" xfId="1743" applyNumberFormat="1" applyFont="1" applyBorder="1"/>
    <xf numFmtId="0" fontId="168" fillId="0" borderId="260" xfId="1743" applyNumberFormat="1" applyFont="1" applyBorder="1" applyAlignment="1">
      <alignment horizontal="centerContinuous"/>
    </xf>
    <xf numFmtId="0" fontId="168" fillId="0" borderId="225" xfId="1743" applyNumberFormat="1" applyFont="1" applyBorder="1" applyAlignment="1">
      <alignment horizontal="centerContinuous"/>
    </xf>
    <xf numFmtId="0" fontId="168" fillId="0" borderId="0" xfId="1743" applyNumberFormat="1" applyFont="1"/>
    <xf numFmtId="0" fontId="168" fillId="0" borderId="18" xfId="1743" applyNumberFormat="1" applyFont="1" applyBorder="1" applyAlignment="1">
      <alignment horizontal="right" wrapText="1"/>
    </xf>
    <xf numFmtId="0" fontId="168" fillId="0" borderId="0" xfId="1743" applyNumberFormat="1" applyFont="1" applyAlignment="1">
      <alignment horizontal="right" wrapText="1"/>
    </xf>
    <xf numFmtId="0" fontId="168" fillId="0" borderId="261" xfId="1743" applyNumberFormat="1" applyFont="1" applyBorder="1" applyAlignment="1">
      <alignment horizontal="right" wrapText="1"/>
    </xf>
    <xf numFmtId="0" fontId="168" fillId="0" borderId="263" xfId="1743" applyNumberFormat="1" applyFont="1" applyBorder="1" applyAlignment="1">
      <alignment horizontal="right" wrapText="1"/>
    </xf>
    <xf numFmtId="324" fontId="48" fillId="0" borderId="104" xfId="1743" applyNumberFormat="1" applyFont="1" applyBorder="1" applyAlignment="1">
      <alignment horizontal="left" vertical="center"/>
    </xf>
    <xf numFmtId="167" fontId="48" fillId="0" borderId="116" xfId="1743" applyNumberFormat="1" applyFont="1" applyBorder="1" applyAlignment="1">
      <alignment vertical="center"/>
    </xf>
    <xf numFmtId="167" fontId="48" fillId="0" borderId="266" xfId="1743" applyNumberFormat="1" applyFont="1" applyBorder="1" applyAlignment="1">
      <alignment vertical="center"/>
    </xf>
    <xf numFmtId="3" fontId="48" fillId="0" borderId="104" xfId="1743" applyNumberFormat="1" applyFont="1" applyBorder="1" applyAlignment="1">
      <alignment vertical="center"/>
    </xf>
    <xf numFmtId="3" fontId="48" fillId="0" borderId="224" xfId="1743" applyNumberFormat="1" applyFont="1" applyBorder="1" applyAlignment="1">
      <alignment vertical="center"/>
    </xf>
    <xf numFmtId="324" fontId="48" fillId="0" borderId="106" xfId="1743" applyNumberFormat="1" applyFont="1" applyBorder="1" applyAlignment="1">
      <alignment horizontal="left" vertical="center"/>
    </xf>
    <xf numFmtId="167" fontId="48" fillId="0" borderId="107" xfId="1743" applyNumberFormat="1" applyFont="1" applyBorder="1" applyAlignment="1">
      <alignment vertical="center"/>
    </xf>
    <xf numFmtId="167" fontId="48" fillId="0" borderId="232" xfId="1743" applyNumberFormat="1" applyFont="1" applyBorder="1" applyAlignment="1">
      <alignment vertical="center"/>
    </xf>
    <xf numFmtId="3" fontId="48" fillId="0" borderId="106" xfId="1743" applyNumberFormat="1" applyFont="1" applyBorder="1" applyAlignment="1">
      <alignment vertical="center"/>
    </xf>
    <xf numFmtId="3" fontId="48" fillId="0" borderId="108" xfId="1743" applyNumberFormat="1" applyFont="1" applyBorder="1" applyAlignment="1">
      <alignment vertical="center"/>
    </xf>
    <xf numFmtId="324" fontId="48" fillId="0" borderId="109" xfId="1743" applyNumberFormat="1" applyFont="1" applyBorder="1" applyAlignment="1">
      <alignment horizontal="left" vertical="center"/>
    </xf>
    <xf numFmtId="167" fontId="48" fillId="0" borderId="110" xfId="1743" applyNumberFormat="1" applyFont="1" applyBorder="1" applyAlignment="1">
      <alignment vertical="center"/>
    </xf>
    <xf numFmtId="167" fontId="48" fillId="0" borderId="233" xfId="1743" applyNumberFormat="1" applyFont="1" applyBorder="1" applyAlignment="1">
      <alignment vertical="center"/>
    </xf>
    <xf numFmtId="3" fontId="48" fillId="0" borderId="109" xfId="1743" applyNumberFormat="1" applyFont="1" applyBorder="1" applyAlignment="1">
      <alignment vertical="center"/>
    </xf>
    <xf numFmtId="3" fontId="48" fillId="0" borderId="111" xfId="1743" applyNumberFormat="1" applyFont="1" applyBorder="1" applyAlignment="1">
      <alignment vertical="center"/>
    </xf>
    <xf numFmtId="0" fontId="48" fillId="0" borderId="72" xfId="1743" applyNumberFormat="1" applyFont="1" applyBorder="1"/>
    <xf numFmtId="167" fontId="48" fillId="0" borderId="105" xfId="1743" applyNumberFormat="1" applyFont="1" applyBorder="1" applyAlignment="1">
      <alignment vertical="center"/>
    </xf>
    <xf numFmtId="0" fontId="48" fillId="33" borderId="267" xfId="1743" applyNumberFormat="1" applyFont="1" applyFill="1" applyBorder="1"/>
    <xf numFmtId="167" fontId="48" fillId="33" borderId="206" xfId="1743" applyNumberFormat="1" applyFont="1" applyFill="1" applyBorder="1"/>
    <xf numFmtId="3" fontId="48" fillId="33" borderId="206" xfId="1743" applyNumberFormat="1" applyFont="1" applyFill="1" applyBorder="1"/>
    <xf numFmtId="3" fontId="48" fillId="33" borderId="184" xfId="1743" applyNumberFormat="1" applyFont="1" applyFill="1" applyBorder="1"/>
    <xf numFmtId="0" fontId="48" fillId="33" borderId="204" xfId="1743" applyNumberFormat="1" applyFont="1" applyFill="1" applyBorder="1"/>
    <xf numFmtId="167" fontId="48" fillId="33" borderId="0" xfId="1743" applyNumberFormat="1" applyFont="1" applyFill="1"/>
    <xf numFmtId="3" fontId="48" fillId="33" borderId="0" xfId="1743" applyNumberFormat="1" applyFont="1" applyFill="1"/>
    <xf numFmtId="3" fontId="48" fillId="33" borderId="72" xfId="1743" applyNumberFormat="1" applyFont="1" applyFill="1" applyBorder="1"/>
    <xf numFmtId="0" fontId="48" fillId="33" borderId="268" xfId="1743" applyNumberFormat="1" applyFont="1" applyFill="1" applyBorder="1"/>
    <xf numFmtId="3" fontId="48" fillId="33" borderId="18" xfId="1743" applyNumberFormat="1" applyFont="1" applyFill="1" applyBorder="1"/>
    <xf numFmtId="3" fontId="48" fillId="33" borderId="269" xfId="1743" applyNumberFormat="1" applyFont="1" applyFill="1" applyBorder="1"/>
    <xf numFmtId="41" fontId="41" fillId="0" borderId="0" xfId="1743" applyNumberFormat="1" applyFont="1"/>
    <xf numFmtId="41" fontId="41" fillId="0" borderId="0" xfId="1743" applyNumberFormat="1" applyFont="1" applyAlignment="1">
      <alignment horizontal="center"/>
    </xf>
    <xf numFmtId="41" fontId="41" fillId="0" borderId="0" xfId="1743" applyNumberFormat="1" applyFont="1" applyAlignment="1">
      <alignment horizontal="right"/>
    </xf>
    <xf numFmtId="324" fontId="258" fillId="31" borderId="106" xfId="1743" applyNumberFormat="1" applyFont="1" applyFill="1" applyBorder="1" applyAlignment="1">
      <alignment horizontal="left" vertical="center"/>
    </xf>
    <xf numFmtId="167" fontId="258" fillId="31" borderId="107" xfId="1743" applyNumberFormat="1" applyFont="1" applyFill="1" applyBorder="1" applyAlignment="1">
      <alignment vertical="center"/>
    </xf>
    <xf numFmtId="167" fontId="258" fillId="31" borderId="232" xfId="1743" applyNumberFormat="1" applyFont="1" applyFill="1" applyBorder="1" applyAlignment="1">
      <alignment vertical="center"/>
    </xf>
    <xf numFmtId="3" fontId="258" fillId="31" borderId="106" xfId="1743" applyNumberFormat="1" applyFont="1" applyFill="1" applyBorder="1" applyAlignment="1">
      <alignment vertical="center"/>
    </xf>
    <xf numFmtId="3" fontId="258" fillId="31" borderId="108" xfId="1743" applyNumberFormat="1" applyFont="1" applyFill="1" applyBorder="1" applyAlignment="1">
      <alignment vertical="center"/>
    </xf>
    <xf numFmtId="314" fontId="239" fillId="106" borderId="218" xfId="28" applyNumberFormat="1" applyFont="1" applyFill="1" applyBorder="1" applyAlignment="1">
      <alignment horizontal="right"/>
    </xf>
    <xf numFmtId="166" fontId="205" fillId="0" borderId="0" xfId="1570" applyNumberFormat="1" applyFont="1" applyFill="1"/>
    <xf numFmtId="0" fontId="215" fillId="0" borderId="157" xfId="68" applyNumberFormat="1" applyFont="1" applyBorder="1" applyAlignment="1">
      <alignment horizontal="center"/>
    </xf>
    <xf numFmtId="0" fontId="215" fillId="0" borderId="26" xfId="68" applyNumberFormat="1" applyFont="1" applyBorder="1" applyAlignment="1">
      <alignment horizontal="center"/>
    </xf>
    <xf numFmtId="165" fontId="218" fillId="0" borderId="199" xfId="69" applyNumberFormat="1" applyFont="1" applyBorder="1" applyAlignment="1">
      <alignment horizontal="right"/>
    </xf>
    <xf numFmtId="165" fontId="218" fillId="0" borderId="200" xfId="69" applyNumberFormat="1" applyFont="1" applyBorder="1" applyAlignment="1">
      <alignment horizontal="right"/>
    </xf>
    <xf numFmtId="165" fontId="218" fillId="0" borderId="0" xfId="69" applyNumberFormat="1" applyFont="1" applyAlignment="1">
      <alignment horizontal="right"/>
    </xf>
    <xf numFmtId="165" fontId="218" fillId="0" borderId="72" xfId="69" applyNumberFormat="1" applyFont="1" applyBorder="1" applyAlignment="1">
      <alignment horizontal="right"/>
    </xf>
    <xf numFmtId="10" fontId="221" fillId="0" borderId="0" xfId="59" applyNumberFormat="1" applyFont="1" applyAlignment="1">
      <alignment horizontal="left"/>
    </xf>
    <xf numFmtId="10" fontId="221" fillId="0" borderId="72" xfId="59" applyNumberFormat="1" applyFont="1" applyBorder="1" applyAlignment="1">
      <alignment horizontal="left"/>
    </xf>
    <xf numFmtId="165" fontId="218" fillId="0" borderId="190" xfId="69" applyNumberFormat="1" applyFont="1" applyBorder="1" applyAlignment="1">
      <alignment horizontal="center"/>
    </xf>
    <xf numFmtId="165" fontId="218" fillId="0" borderId="191" xfId="69" applyNumberFormat="1" applyFont="1" applyBorder="1" applyAlignment="1">
      <alignment horizontal="center"/>
    </xf>
    <xf numFmtId="3" fontId="221" fillId="0" borderId="0" xfId="59" applyNumberFormat="1" applyFont="1" applyAlignment="1">
      <alignment horizontal="left"/>
    </xf>
    <xf numFmtId="3" fontId="221" fillId="0" borderId="72" xfId="59" applyNumberFormat="1" applyFont="1" applyBorder="1" applyAlignment="1">
      <alignment horizontal="left"/>
    </xf>
    <xf numFmtId="10" fontId="217" fillId="0" borderId="188" xfId="59" applyNumberFormat="1" applyFont="1" applyBorder="1" applyAlignment="1">
      <alignment horizontal="center"/>
    </xf>
    <xf numFmtId="10" fontId="217" fillId="0" borderId="189" xfId="59" applyNumberFormat="1" applyFont="1" applyBorder="1" applyAlignment="1">
      <alignment horizontal="center"/>
    </xf>
    <xf numFmtId="10" fontId="217" fillId="0" borderId="197" xfId="59" applyNumberFormat="1" applyFont="1" applyBorder="1" applyAlignment="1">
      <alignment horizontal="left"/>
    </xf>
    <xf numFmtId="10" fontId="217" fillId="0" borderId="198" xfId="59" applyNumberFormat="1" applyFont="1" applyBorder="1" applyAlignment="1">
      <alignment horizontal="left"/>
    </xf>
    <xf numFmtId="0" fontId="225" fillId="0" borderId="0" xfId="69" applyNumberFormat="1" applyFont="1" applyAlignment="1">
      <alignment horizontal="left"/>
    </xf>
    <xf numFmtId="0" fontId="225" fillId="0" borderId="72" xfId="69" applyNumberFormat="1" applyFont="1" applyBorder="1" applyAlignment="1">
      <alignment horizontal="left"/>
    </xf>
    <xf numFmtId="167" fontId="218" fillId="0" borderId="0" xfId="59" applyNumberFormat="1" applyFont="1" applyAlignment="1">
      <alignment horizontal="left"/>
    </xf>
    <xf numFmtId="167" fontId="218" fillId="0" borderId="72" xfId="59" applyNumberFormat="1" applyFont="1" applyBorder="1" applyAlignment="1">
      <alignment horizontal="left"/>
    </xf>
    <xf numFmtId="10" fontId="218" fillId="0" borderId="0" xfId="59" applyNumberFormat="1" applyFont="1" applyAlignment="1">
      <alignment horizontal="right"/>
    </xf>
    <xf numFmtId="10" fontId="218" fillId="0" borderId="72" xfId="59" applyNumberFormat="1" applyFont="1" applyBorder="1" applyAlignment="1">
      <alignment horizontal="right"/>
    </xf>
    <xf numFmtId="10" fontId="218" fillId="0" borderId="0" xfId="59" applyNumberFormat="1" applyFont="1" applyAlignment="1">
      <alignment horizontal="left"/>
    </xf>
    <xf numFmtId="10" fontId="218" fillId="0" borderId="72" xfId="59" applyNumberFormat="1" applyFont="1" applyBorder="1" applyAlignment="1">
      <alignment horizontal="left"/>
    </xf>
    <xf numFmtId="10" fontId="218" fillId="0" borderId="22" xfId="59" applyNumberFormat="1" applyFont="1" applyBorder="1" applyAlignment="1">
      <alignment horizontal="left"/>
    </xf>
    <xf numFmtId="10" fontId="218" fillId="0" borderId="78" xfId="59" applyNumberFormat="1" applyFont="1" applyBorder="1" applyAlignment="1">
      <alignment horizontal="left"/>
    </xf>
    <xf numFmtId="0" fontId="217" fillId="0" borderId="76" xfId="68" applyNumberFormat="1" applyFont="1" applyBorder="1" applyAlignment="1">
      <alignment horizontal="center"/>
    </xf>
    <xf numFmtId="0" fontId="218" fillId="0" borderId="0" xfId="68" applyNumberFormat="1" applyFont="1" applyAlignment="1">
      <alignment horizontal="center"/>
    </xf>
    <xf numFmtId="0" fontId="218" fillId="0" borderId="75" xfId="68" applyNumberFormat="1" applyFont="1" applyBorder="1" applyAlignment="1">
      <alignment horizontal="center"/>
    </xf>
    <xf numFmtId="164" fontId="221" fillId="0" borderId="0" xfId="59" applyNumberFormat="1" applyFont="1" applyAlignment="1">
      <alignment horizontal="left"/>
    </xf>
    <xf numFmtId="164" fontId="221" fillId="0" borderId="72" xfId="59" applyNumberFormat="1" applyFont="1" applyBorder="1" applyAlignment="1">
      <alignment horizontal="left"/>
    </xf>
    <xf numFmtId="15" fontId="220" fillId="34" borderId="157" xfId="68" applyNumberFormat="1" applyFont="1" applyFill="1" applyBorder="1" applyAlignment="1">
      <alignment horizontal="left" wrapText="1"/>
    </xf>
    <xf numFmtId="15" fontId="220" fillId="34" borderId="26" xfId="68" applyNumberFormat="1" applyFont="1" applyFill="1" applyBorder="1" applyAlignment="1">
      <alignment horizontal="left" wrapText="1"/>
    </xf>
    <xf numFmtId="0" fontId="217" fillId="0" borderId="155" xfId="68" applyNumberFormat="1" applyFont="1" applyBorder="1" applyAlignment="1">
      <alignment horizontal="justify" vertical="center"/>
    </xf>
    <xf numFmtId="0" fontId="217" fillId="0" borderId="156" xfId="68" applyNumberFormat="1" applyFont="1" applyBorder="1" applyAlignment="1">
      <alignment horizontal="justify" vertical="center"/>
    </xf>
    <xf numFmtId="0" fontId="217" fillId="0" borderId="0" xfId="68" applyNumberFormat="1" applyFont="1" applyAlignment="1">
      <alignment horizontal="center" vertical="center"/>
    </xf>
    <xf numFmtId="0" fontId="217" fillId="0" borderId="72" xfId="68" applyNumberFormat="1" applyFont="1" applyBorder="1" applyAlignment="1">
      <alignment horizontal="center" vertical="center"/>
    </xf>
    <xf numFmtId="0" fontId="217" fillId="0" borderId="155" xfId="68" applyNumberFormat="1" applyFont="1" applyBorder="1"/>
    <xf numFmtId="0" fontId="217" fillId="0" borderId="156" xfId="68" applyNumberFormat="1" applyFont="1" applyBorder="1"/>
    <xf numFmtId="0" fontId="181" fillId="0" borderId="123" xfId="68" applyNumberFormat="1" applyFont="1" applyBorder="1" applyAlignment="1">
      <alignment horizontal="center"/>
    </xf>
    <xf numFmtId="0" fontId="181" fillId="0" borderId="184" xfId="68" applyNumberFormat="1" applyFont="1" applyBorder="1" applyAlignment="1">
      <alignment horizontal="center"/>
    </xf>
    <xf numFmtId="10" fontId="218" fillId="0" borderId="18" xfId="59" applyNumberFormat="1" applyFont="1" applyBorder="1" applyAlignment="1">
      <alignment horizontal="right"/>
    </xf>
    <xf numFmtId="10" fontId="218" fillId="0" borderId="17" xfId="59" applyNumberFormat="1" applyFont="1" applyBorder="1" applyAlignment="1">
      <alignment horizontal="right"/>
    </xf>
    <xf numFmtId="0" fontId="217" fillId="0" borderId="133" xfId="68" applyNumberFormat="1" applyFont="1" applyBorder="1" applyAlignment="1">
      <alignment horizontal="left" vertical="center"/>
    </xf>
    <xf numFmtId="0" fontId="217" fillId="0" borderId="134" xfId="68" applyNumberFormat="1" applyFont="1" applyBorder="1" applyAlignment="1">
      <alignment horizontal="left" vertical="center"/>
    </xf>
    <xf numFmtId="175" fontId="218" fillId="0" borderId="0" xfId="59" applyNumberFormat="1" applyFont="1" applyAlignment="1">
      <alignment horizontal="left"/>
    </xf>
    <xf numFmtId="175" fontId="218" fillId="0" borderId="72" xfId="59" applyNumberFormat="1" applyFont="1" applyBorder="1" applyAlignment="1">
      <alignment horizontal="left"/>
    </xf>
    <xf numFmtId="10" fontId="217" fillId="0" borderId="178" xfId="59" applyNumberFormat="1" applyFont="1" applyBorder="1" applyAlignment="1">
      <alignment horizontal="left"/>
    </xf>
    <xf numFmtId="10" fontId="217" fillId="0" borderId="179" xfId="59" applyNumberFormat="1" applyFont="1" applyBorder="1" applyAlignment="1">
      <alignment horizontal="left"/>
    </xf>
    <xf numFmtId="291" fontId="206" fillId="0" borderId="101" xfId="1573" applyNumberFormat="1" applyFont="1" applyBorder="1" applyAlignment="1" applyProtection="1">
      <alignment horizontal="left"/>
      <protection locked="0"/>
    </xf>
    <xf numFmtId="292" fontId="206" fillId="0" borderId="101" xfId="1573" applyNumberFormat="1" applyFont="1" applyBorder="1" applyAlignment="1" applyProtection="1">
      <alignment horizontal="left"/>
      <protection locked="0"/>
    </xf>
    <xf numFmtId="0" fontId="211" fillId="54" borderId="0" xfId="1918" applyFont="1" applyFill="1" applyAlignment="1">
      <alignment horizontal="center"/>
    </xf>
    <xf numFmtId="291" fontId="206" fillId="55" borderId="0" xfId="1573" applyNumberFormat="1" applyFont="1" applyFill="1" applyAlignment="1" applyProtection="1">
      <alignment horizontal="left"/>
      <protection locked="0"/>
    </xf>
    <xf numFmtId="292" fontId="206" fillId="55" borderId="0" xfId="1573" applyNumberFormat="1" applyFont="1" applyFill="1" applyAlignment="1" applyProtection="1">
      <alignment horizontal="left"/>
      <protection locked="0"/>
    </xf>
  </cellXfs>
  <cellStyles count="1921">
    <cellStyle name="_ heading%" xfId="85" xr:uid="{00000000-0005-0000-0000-000004000000}"/>
    <cellStyle name="_ heading$" xfId="84" xr:uid="{00000000-0005-0000-0000-000003000000}"/>
    <cellStyle name="_ heading£" xfId="86" xr:uid="{00000000-0005-0000-0000-000005000000}"/>
    <cellStyle name="_ heading¥" xfId="87" xr:uid="{00000000-0005-0000-0000-000006000000}"/>
    <cellStyle name="_ heading€" xfId="88" xr:uid="{00000000-0005-0000-0000-000007000000}"/>
    <cellStyle name="_ headingx" xfId="89" xr:uid="{00000000-0005-0000-0000-000008000000}"/>
    <cellStyle name="_%(SignOnly)" xfId="90" xr:uid="{00000000-0005-0000-0000-000009000000}"/>
    <cellStyle name="_%(SignSpaceOnly)" xfId="91" xr:uid="{00000000-0005-0000-0000-00000A000000}"/>
    <cellStyle name="_0.0[1space]" xfId="92" xr:uid="{00000000-0005-0000-0000-00000B000000}"/>
    <cellStyle name="_0.0[2space]" xfId="93" xr:uid="{00000000-0005-0000-0000-00000C000000}"/>
    <cellStyle name="_0.0[3space]" xfId="94" xr:uid="{00000000-0005-0000-0000-00000D000000}"/>
    <cellStyle name="_0.0[4space]" xfId="95" xr:uid="{00000000-0005-0000-0000-00000E000000}"/>
    <cellStyle name="_0.00[1space]" xfId="96" xr:uid="{00000000-0005-0000-0000-00000F000000}"/>
    <cellStyle name="_0.00[2space]" xfId="97" xr:uid="{00000000-0005-0000-0000-000010000000}"/>
    <cellStyle name="_0.00[3space]" xfId="98" xr:uid="{00000000-0005-0000-0000-000011000000}"/>
    <cellStyle name="_0.00[4space]" xfId="99" xr:uid="{00000000-0005-0000-0000-000012000000}"/>
    <cellStyle name="_0[1space]" xfId="100" xr:uid="{00000000-0005-0000-0000-000013000000}"/>
    <cellStyle name="_0[2space]" xfId="101" xr:uid="{00000000-0005-0000-0000-000014000000}"/>
    <cellStyle name="_0[3space]" xfId="102" xr:uid="{00000000-0005-0000-0000-000015000000}"/>
    <cellStyle name="_0[4space]" xfId="103" xr:uid="{00000000-0005-0000-0000-000016000000}"/>
    <cellStyle name="_2009-06-22 500 Brickell Cash Needs Projection 7 m" xfId="1581" xr:uid="{00000000-0005-0000-0000-000017000000}"/>
    <cellStyle name="_Budget Trump Hollywood 093007-draft" xfId="1582" xr:uid="{00000000-0005-0000-0000-000018000000}"/>
    <cellStyle name="_Comma" xfId="104" xr:uid="{00000000-0005-0000-0000-000019000000}"/>
    <cellStyle name="_Comma__ListMappings_" xfId="105" xr:uid="{00000000-0005-0000-0000-00001A000000}"/>
    <cellStyle name="_Comma__SchemaMappings_" xfId="106" xr:uid="{00000000-0005-0000-0000-00001B000000}"/>
    <cellStyle name="_Comma__UpgradesErrors_" xfId="107" xr:uid="{00000000-0005-0000-0000-00001C000000}"/>
    <cellStyle name="_Comma__Variables_" xfId="108" xr:uid="{00000000-0005-0000-0000-00001D000000}"/>
    <cellStyle name="_Comma_04 CPJ Merger Model" xfId="109" xr:uid="{00000000-0005-0000-0000-00001E000000}"/>
    <cellStyle name="_Comma_15 CPW Model v42" xfId="110" xr:uid="{00000000-0005-0000-0000-00001F000000}"/>
    <cellStyle name="_Comma_15 CPW Model v45" xfId="111" xr:uid="{00000000-0005-0000-0000-000020000000}"/>
    <cellStyle name="_Comma_2004 Depreciation Expense" xfId="112" xr:uid="{00000000-0005-0000-0000-000021000000}"/>
    <cellStyle name="_Comma_250 Montgomery v31 - LC" xfId="113" xr:uid="{00000000-0005-0000-0000-000022000000}"/>
    <cellStyle name="_Comma_704b" xfId="114" xr:uid="{00000000-0005-0000-0000-000023000000}"/>
    <cellStyle name="_Comma_AVP" xfId="115" xr:uid="{00000000-0005-0000-0000-000024000000}"/>
    <cellStyle name="_Comma_Book1" xfId="116" xr:uid="{00000000-0005-0000-0000-000025000000}"/>
    <cellStyle name="_Comma_Book1_04 CPJ Merger Model" xfId="117" xr:uid="{00000000-0005-0000-0000-000026000000}"/>
    <cellStyle name="_Comma_Book2" xfId="118" xr:uid="{00000000-0005-0000-0000-000027000000}"/>
    <cellStyle name="_Comma_CD Merger Model 01" xfId="119" xr:uid="{00000000-0005-0000-0000-000028000000}"/>
    <cellStyle name="_Comma_Comparison" xfId="120" xr:uid="{00000000-0005-0000-0000-000029000000}"/>
    <cellStyle name="_Comma_compress list" xfId="121" xr:uid="{00000000-0005-0000-0000-00002A000000}"/>
    <cellStyle name="_Comma_contribution_analysis" xfId="122" xr:uid="{00000000-0005-0000-0000-00002B000000}"/>
    <cellStyle name="_Comma_Debt" xfId="123" xr:uid="{00000000-0005-0000-0000-00002C000000}"/>
    <cellStyle name="_Comma_Debt Allocation Analysis - 12.08.03  v.1" xfId="124" xr:uid="{00000000-0005-0000-0000-00002D000000}"/>
    <cellStyle name="_Comma_Debt Allocation Schedules" xfId="125" xr:uid="{00000000-0005-0000-0000-00002E000000}"/>
    <cellStyle name="_Comma_Debt Balances" xfId="126" xr:uid="{00000000-0005-0000-0000-00002F000000}"/>
    <cellStyle name="_Comma_Depreciation Expense Forecast - Totals" xfId="127" xr:uid="{00000000-0005-0000-0000-000030000000}"/>
    <cellStyle name="_Comma_Grizzly Sources and Uses" xfId="128" xr:uid="{00000000-0005-0000-0000-000031000000}"/>
    <cellStyle name="_Comma_HMSModel 8.30.01_b" xfId="129" xr:uid="{00000000-0005-0000-0000-000032000000}"/>
    <cellStyle name="_Comma_Income Allocation 3-3-04" xfId="130" xr:uid="{00000000-0005-0000-0000-000033000000}"/>
    <cellStyle name="_Comma_IPO Capital Account Analysis - Revised A Pool Distributed without DC and East Side" xfId="131" xr:uid="{00000000-0005-0000-0000-000034000000}"/>
    <cellStyle name="_Comma_IPO Model Balance SHeet -EAST SIDE EXCLUDED" xfId="132" xr:uid="{00000000-0005-0000-0000-000035000000}"/>
    <cellStyle name="_Comma_Keystone Cap Structure Summary" xfId="133" xr:uid="{00000000-0005-0000-0000-000036000000}"/>
    <cellStyle name="_Comma_merger_plans_lasalle" xfId="134" xr:uid="{00000000-0005-0000-0000-000037000000}"/>
    <cellStyle name="_Comma_New MODEL_5" xfId="135" xr:uid="{00000000-0005-0000-0000-000038000000}"/>
    <cellStyle name="_Comma_New MODEL_6_WBM" xfId="136" xr:uid="{00000000-0005-0000-0000-000039000000}"/>
    <cellStyle name="_Comma_NOI REVPAR GROWTH FOR PRESENTATION" xfId="137" xr:uid="{00000000-0005-0000-0000-00003A000000}"/>
    <cellStyle name="_Comma_Options Plan (2)" xfId="138" xr:uid="{00000000-0005-0000-0000-00003B000000}"/>
    <cellStyle name="_Comma_Paramount v15 - higher bid" xfId="139" xr:uid="{00000000-0005-0000-0000-00003C000000}"/>
    <cellStyle name="_Comma_Paramount v5" xfId="140" xr:uid="{00000000-0005-0000-0000-00003D000000}"/>
    <cellStyle name="_Comma_Phantom Interests Calculation" xfId="141" xr:uid="{00000000-0005-0000-0000-00003E000000}"/>
    <cellStyle name="_Comma_Red Roof v16" xfId="142" xr:uid="{00000000-0005-0000-0000-00003F000000}"/>
    <cellStyle name="_Comma_SHC 2003 Cashflows" xfId="143" xr:uid="{00000000-0005-0000-0000-000040000000}"/>
    <cellStyle name="_Comma_SHC IPO-Revised_Valuation_Writedown" xfId="144" xr:uid="{00000000-0005-0000-0000-000041000000}"/>
    <cellStyle name="_Comma_SHC Operating Stats" xfId="145" xr:uid="{00000000-0005-0000-0000-000042000000}"/>
    <cellStyle name="_Comma_Sheet10" xfId="146" xr:uid="{00000000-0005-0000-0000-000043000000}"/>
    <cellStyle name="_Comma_Strategic Hotel Summary Sheet 9_11" xfId="147" xr:uid="{00000000-0005-0000-0000-000044000000}"/>
    <cellStyle name="_Comma_Strategic Hotels Analysis" xfId="148" xr:uid="{00000000-0005-0000-0000-000045000000}"/>
    <cellStyle name="_Comma_summary page" xfId="149" xr:uid="{00000000-0005-0000-0000-000046000000}"/>
    <cellStyle name="_Comma_Valuations" xfId="150" xr:uid="{00000000-0005-0000-0000-000047000000}"/>
    <cellStyle name="_Comma_Wailea Model_CL v12" xfId="151" xr:uid="{00000000-0005-0000-0000-000048000000}"/>
    <cellStyle name="_Comma_Westin US Port 03-12-07" xfId="152" xr:uid="{00000000-0005-0000-0000-000049000000}"/>
    <cellStyle name="_Comma_WH 4_Strategic Hotel Capital_MY2003" xfId="153" xr:uid="{00000000-0005-0000-0000-00004A000000}"/>
    <cellStyle name="_Comma_WH 4_Strategic Hotel Capital_YE2003" xfId="154" xr:uid="{00000000-0005-0000-0000-00004B000000}"/>
    <cellStyle name="_Comma_WH 5_ICON Parking_MY2003_promote" xfId="155" xr:uid="{00000000-0005-0000-0000-00004C000000}"/>
    <cellStyle name="_Comma_WH 5_Mallah Company_MY 2002" xfId="156" xr:uid="{00000000-0005-0000-0000-00004D000000}"/>
    <cellStyle name="_Comma_WH 5_Mallah Company_MY 2002_Rebuy_12.02.022" xfId="157" xr:uid="{00000000-0005-0000-0000-00004E000000}"/>
    <cellStyle name="_Comma_Wolv Pfd" xfId="158" xr:uid="{00000000-0005-0000-0000-00004F000000}"/>
    <cellStyle name="_Copy of 2009-02-28 Oasis Payables" xfId="1583" xr:uid="{00000000-0005-0000-0000-000050000000}"/>
    <cellStyle name="_Copy of 2009-02-28 Oasis Payables 2" xfId="1584" xr:uid="{00000000-0005-0000-0000-000051000000}"/>
    <cellStyle name="_Currency" xfId="159" xr:uid="{00000000-0005-0000-0000-000052000000}"/>
    <cellStyle name="_Currency__ListMappings_" xfId="160" xr:uid="{00000000-0005-0000-0000-000053000000}"/>
    <cellStyle name="_Currency__SchemaMappings_" xfId="161" xr:uid="{00000000-0005-0000-0000-000054000000}"/>
    <cellStyle name="_Currency__UpgradesErrors_" xfId="162" xr:uid="{00000000-0005-0000-0000-000055000000}"/>
    <cellStyle name="_Currency__Variables_" xfId="163" xr:uid="{00000000-0005-0000-0000-000056000000}"/>
    <cellStyle name="_Currency_04 CPJ Merger Model" xfId="164" xr:uid="{00000000-0005-0000-0000-000057000000}"/>
    <cellStyle name="_Currency_15 CPW Model v42" xfId="165" xr:uid="{00000000-0005-0000-0000-000058000000}"/>
    <cellStyle name="_Currency_15 CPW Model v45" xfId="166" xr:uid="{00000000-0005-0000-0000-000059000000}"/>
    <cellStyle name="_Currency_2004 Depreciation Expense" xfId="167" xr:uid="{00000000-0005-0000-0000-00005A000000}"/>
    <cellStyle name="_Currency_250 Montgomery v31 - LC" xfId="168" xr:uid="{00000000-0005-0000-0000-00005B000000}"/>
    <cellStyle name="_Currency_704b" xfId="169" xr:uid="{00000000-0005-0000-0000-00005C000000}"/>
    <cellStyle name="_Currency_AVP" xfId="170" xr:uid="{00000000-0005-0000-0000-00005D000000}"/>
    <cellStyle name="_Currency_Book1" xfId="171" xr:uid="{00000000-0005-0000-0000-00005E000000}"/>
    <cellStyle name="_Currency_Book1_04 CPJ Merger Model" xfId="172" xr:uid="{00000000-0005-0000-0000-00005F000000}"/>
    <cellStyle name="_Currency_Book2" xfId="173" xr:uid="{00000000-0005-0000-0000-000060000000}"/>
    <cellStyle name="_Currency_CD Merger Model 01" xfId="174" xr:uid="{00000000-0005-0000-0000-000061000000}"/>
    <cellStyle name="_Currency_Comparison" xfId="175" xr:uid="{00000000-0005-0000-0000-000062000000}"/>
    <cellStyle name="_Currency_compress list" xfId="176" xr:uid="{00000000-0005-0000-0000-000063000000}"/>
    <cellStyle name="_Currency_contribution_analysis" xfId="177" xr:uid="{00000000-0005-0000-0000-000064000000}"/>
    <cellStyle name="_Currency_Debt" xfId="178" xr:uid="{00000000-0005-0000-0000-000065000000}"/>
    <cellStyle name="_Currency_Debt Allocation Analysis - 12.08.03  v.1" xfId="179" xr:uid="{00000000-0005-0000-0000-000066000000}"/>
    <cellStyle name="_Currency_Debt Allocation Schedules" xfId="180" xr:uid="{00000000-0005-0000-0000-000067000000}"/>
    <cellStyle name="_Currency_Debt Balances" xfId="181" xr:uid="{00000000-0005-0000-0000-000068000000}"/>
    <cellStyle name="_Currency_Depreciation Expense Forecast - Totals" xfId="182" xr:uid="{00000000-0005-0000-0000-000069000000}"/>
    <cellStyle name="_Currency_Grizzly Sources and Uses" xfId="183" xr:uid="{00000000-0005-0000-0000-00006A000000}"/>
    <cellStyle name="_Currency_HMSModel 8.30.01_b" xfId="184" xr:uid="{00000000-0005-0000-0000-00006B000000}"/>
    <cellStyle name="_Currency_Income Allocation 3-3-04" xfId="185" xr:uid="{00000000-0005-0000-0000-00006C000000}"/>
    <cellStyle name="_Currency_IPO Capital Account Analysis - Revised A Pool Distributed without DC and East Side" xfId="186" xr:uid="{00000000-0005-0000-0000-00006D000000}"/>
    <cellStyle name="_Currency_IPO Model Balance SHeet -EAST SIDE EXCLUDED" xfId="187" xr:uid="{00000000-0005-0000-0000-00006E000000}"/>
    <cellStyle name="_Currency_Keystone Cap Structure Summary" xfId="188" xr:uid="{00000000-0005-0000-0000-00006F000000}"/>
    <cellStyle name="_Currency_merger_plans_lasalle" xfId="189" xr:uid="{00000000-0005-0000-0000-000070000000}"/>
    <cellStyle name="_Currency_New MODEL_5" xfId="190" xr:uid="{00000000-0005-0000-0000-000071000000}"/>
    <cellStyle name="_Currency_New MODEL_6_WBM" xfId="191" xr:uid="{00000000-0005-0000-0000-000072000000}"/>
    <cellStyle name="_Currency_NOI REVPAR GROWTH FOR PRESENTATION" xfId="192" xr:uid="{00000000-0005-0000-0000-000073000000}"/>
    <cellStyle name="_Currency_Options Plan (2)" xfId="193" xr:uid="{00000000-0005-0000-0000-000074000000}"/>
    <cellStyle name="_Currency_Paramount v15 - higher bid" xfId="194" xr:uid="{00000000-0005-0000-0000-000075000000}"/>
    <cellStyle name="_Currency_Paramount v5" xfId="195" xr:uid="{00000000-0005-0000-0000-000076000000}"/>
    <cellStyle name="_Currency_Phantom Interests Calculation" xfId="196" xr:uid="{00000000-0005-0000-0000-000077000000}"/>
    <cellStyle name="_Currency_Red Roof v16" xfId="197" xr:uid="{00000000-0005-0000-0000-000078000000}"/>
    <cellStyle name="_Currency_SHC 2003 Cashflows" xfId="198" xr:uid="{00000000-0005-0000-0000-000079000000}"/>
    <cellStyle name="_Currency_SHC IPO-Revised_Valuation_Writedown" xfId="199" xr:uid="{00000000-0005-0000-0000-00007A000000}"/>
    <cellStyle name="_Currency_SHC Operating Stats" xfId="200" xr:uid="{00000000-0005-0000-0000-00007B000000}"/>
    <cellStyle name="_Currency_Sheet10" xfId="201" xr:uid="{00000000-0005-0000-0000-00007C000000}"/>
    <cellStyle name="_Currency_Strategic Hotel Summary Sheet 9_11" xfId="202" xr:uid="{00000000-0005-0000-0000-00007D000000}"/>
    <cellStyle name="_Currency_Strategic Hotels Analysis" xfId="203" xr:uid="{00000000-0005-0000-0000-00007E000000}"/>
    <cellStyle name="_Currency_summary page" xfId="204" xr:uid="{00000000-0005-0000-0000-00007F000000}"/>
    <cellStyle name="_Currency_Valuations" xfId="205" xr:uid="{00000000-0005-0000-0000-000080000000}"/>
    <cellStyle name="_Currency_Wailea Model_CL v12" xfId="206" xr:uid="{00000000-0005-0000-0000-000081000000}"/>
    <cellStyle name="_Currency_Westin US Port 03-12-07" xfId="207" xr:uid="{00000000-0005-0000-0000-000082000000}"/>
    <cellStyle name="_Currency_WH 4_Strategic Hotel Capital_MY2003" xfId="208" xr:uid="{00000000-0005-0000-0000-000083000000}"/>
    <cellStyle name="_Currency_WH 4_Strategic Hotel Capital_YE2003" xfId="209" xr:uid="{00000000-0005-0000-0000-000084000000}"/>
    <cellStyle name="_Currency_WH 5_ICON Parking_MY2003_promote" xfId="210" xr:uid="{00000000-0005-0000-0000-000085000000}"/>
    <cellStyle name="_Currency_WH 5_Mallah Company_MY 2002" xfId="211" xr:uid="{00000000-0005-0000-0000-000086000000}"/>
    <cellStyle name="_Currency_WH 5_Mallah Company_MY 2002_Rebuy_12.02.022" xfId="212" xr:uid="{00000000-0005-0000-0000-000087000000}"/>
    <cellStyle name="_Currency_Wolv Pfd" xfId="213" xr:uid="{00000000-0005-0000-0000-000088000000}"/>
    <cellStyle name="_CurrencySpace" xfId="214" xr:uid="{00000000-0005-0000-0000-000089000000}"/>
    <cellStyle name="_CurrencySpace__ListMappings_" xfId="215" xr:uid="{00000000-0005-0000-0000-00008A000000}"/>
    <cellStyle name="_CurrencySpace__SchemaMappings_" xfId="216" xr:uid="{00000000-0005-0000-0000-00008B000000}"/>
    <cellStyle name="_CurrencySpace__UpgradesErrors_" xfId="217" xr:uid="{00000000-0005-0000-0000-00008C000000}"/>
    <cellStyle name="_CurrencySpace__Variables_" xfId="218" xr:uid="{00000000-0005-0000-0000-00008D000000}"/>
    <cellStyle name="_CurrencySpace_04 CPJ Merger Model" xfId="219" xr:uid="{00000000-0005-0000-0000-00008E000000}"/>
    <cellStyle name="_CurrencySpace_15 CPW Model v42" xfId="220" xr:uid="{00000000-0005-0000-0000-00008F000000}"/>
    <cellStyle name="_CurrencySpace_15 CPW Model v45" xfId="221" xr:uid="{00000000-0005-0000-0000-000090000000}"/>
    <cellStyle name="_CurrencySpace_2004 Depreciation Expense" xfId="222" xr:uid="{00000000-0005-0000-0000-000091000000}"/>
    <cellStyle name="_CurrencySpace_250 Montgomery v31 - LC" xfId="223" xr:uid="{00000000-0005-0000-0000-000092000000}"/>
    <cellStyle name="_CurrencySpace_704b" xfId="224" xr:uid="{00000000-0005-0000-0000-000093000000}"/>
    <cellStyle name="_CurrencySpace_AVP" xfId="225" xr:uid="{00000000-0005-0000-0000-000094000000}"/>
    <cellStyle name="_CurrencySpace_Book1" xfId="226" xr:uid="{00000000-0005-0000-0000-000095000000}"/>
    <cellStyle name="_CurrencySpace_Book1_04 CPJ Merger Model" xfId="227" xr:uid="{00000000-0005-0000-0000-000096000000}"/>
    <cellStyle name="_CurrencySpace_Book2" xfId="228" xr:uid="{00000000-0005-0000-0000-000097000000}"/>
    <cellStyle name="_CurrencySpace_CD Merger Model 01" xfId="229" xr:uid="{00000000-0005-0000-0000-000098000000}"/>
    <cellStyle name="_CurrencySpace_Comparison" xfId="230" xr:uid="{00000000-0005-0000-0000-000099000000}"/>
    <cellStyle name="_CurrencySpace_compress list" xfId="231" xr:uid="{00000000-0005-0000-0000-00009A000000}"/>
    <cellStyle name="_CurrencySpace_contribution_analysis" xfId="232" xr:uid="{00000000-0005-0000-0000-00009B000000}"/>
    <cellStyle name="_CurrencySpace_Debt" xfId="233" xr:uid="{00000000-0005-0000-0000-00009C000000}"/>
    <cellStyle name="_CurrencySpace_Debt Allocation Analysis - 12.08.03  v.1" xfId="234" xr:uid="{00000000-0005-0000-0000-00009D000000}"/>
    <cellStyle name="_CurrencySpace_Debt Allocation Schedules" xfId="235" xr:uid="{00000000-0005-0000-0000-00009E000000}"/>
    <cellStyle name="_CurrencySpace_Debt Balances" xfId="236" xr:uid="{00000000-0005-0000-0000-00009F000000}"/>
    <cellStyle name="_CurrencySpace_Depreciation Expense Forecast - Totals" xfId="237" xr:uid="{00000000-0005-0000-0000-0000A0000000}"/>
    <cellStyle name="_CurrencySpace_Grizzly Sources and Uses" xfId="238" xr:uid="{00000000-0005-0000-0000-0000A1000000}"/>
    <cellStyle name="_CurrencySpace_HMSModel 8.30.01_b" xfId="239" xr:uid="{00000000-0005-0000-0000-0000A2000000}"/>
    <cellStyle name="_CurrencySpace_Income Allocation 3-3-04" xfId="240" xr:uid="{00000000-0005-0000-0000-0000A3000000}"/>
    <cellStyle name="_CurrencySpace_IPO Capital Account Analysis - Revised A Pool Distributed without DC and East Side" xfId="241" xr:uid="{00000000-0005-0000-0000-0000A4000000}"/>
    <cellStyle name="_CurrencySpace_IPO Model Balance SHeet -EAST SIDE EXCLUDED" xfId="242" xr:uid="{00000000-0005-0000-0000-0000A5000000}"/>
    <cellStyle name="_CurrencySpace_Keystone Cap Structure Summary" xfId="243" xr:uid="{00000000-0005-0000-0000-0000A6000000}"/>
    <cellStyle name="_CurrencySpace_merger_plans_lasalle" xfId="244" xr:uid="{00000000-0005-0000-0000-0000A7000000}"/>
    <cellStyle name="_CurrencySpace_New MODEL_5" xfId="245" xr:uid="{00000000-0005-0000-0000-0000A8000000}"/>
    <cellStyle name="_CurrencySpace_New MODEL_6_WBM" xfId="246" xr:uid="{00000000-0005-0000-0000-0000A9000000}"/>
    <cellStyle name="_CurrencySpace_NOI REVPAR GROWTH FOR PRESENTATION" xfId="247" xr:uid="{00000000-0005-0000-0000-0000AA000000}"/>
    <cellStyle name="_CurrencySpace_Phantom Interests Calculation" xfId="248" xr:uid="{00000000-0005-0000-0000-0000AB000000}"/>
    <cellStyle name="_CurrencySpace_Red Roof v16" xfId="249" xr:uid="{00000000-0005-0000-0000-0000AC000000}"/>
    <cellStyle name="_CurrencySpace_Sahara Template-Middle" xfId="250" xr:uid="{00000000-0005-0000-0000-0000AD000000}"/>
    <cellStyle name="_CurrencySpace_SHC 2003 Cashflows" xfId="251" xr:uid="{00000000-0005-0000-0000-0000AE000000}"/>
    <cellStyle name="_CurrencySpace_SHC IPO-Revised_Valuation_Writedown" xfId="252" xr:uid="{00000000-0005-0000-0000-0000AF000000}"/>
    <cellStyle name="_CurrencySpace_SHC Operating Stats" xfId="253" xr:uid="{00000000-0005-0000-0000-0000B0000000}"/>
    <cellStyle name="_CurrencySpace_Sheet10" xfId="254" xr:uid="{00000000-0005-0000-0000-0000B1000000}"/>
    <cellStyle name="_CurrencySpace_Strategic Hotel Summary Sheet 9_11" xfId="255" xr:uid="{00000000-0005-0000-0000-0000B2000000}"/>
    <cellStyle name="_CurrencySpace_Strategic Hotels Analysis" xfId="256" xr:uid="{00000000-0005-0000-0000-0000B3000000}"/>
    <cellStyle name="_CurrencySpace_summary page" xfId="257" xr:uid="{00000000-0005-0000-0000-0000B4000000}"/>
    <cellStyle name="_CurrencySpace_Valuations" xfId="258" xr:uid="{00000000-0005-0000-0000-0000B5000000}"/>
    <cellStyle name="_CurrencySpace_Wailea Model_CL v12" xfId="259" xr:uid="{00000000-0005-0000-0000-0000B6000000}"/>
    <cellStyle name="_CurrencySpace_WH 4_Strategic Hotel Capital_MY2003" xfId="260" xr:uid="{00000000-0005-0000-0000-0000B7000000}"/>
    <cellStyle name="_CurrencySpace_WH 4_Strategic Hotel Capital_YE2003" xfId="261" xr:uid="{00000000-0005-0000-0000-0000B8000000}"/>
    <cellStyle name="_CurrencySpace_WH 5_ICON Parking_MY2003_promote" xfId="262" xr:uid="{00000000-0005-0000-0000-0000B9000000}"/>
    <cellStyle name="_CurrencySpace_WH 5_Mallah Company_MY 2002" xfId="263" xr:uid="{00000000-0005-0000-0000-0000BA000000}"/>
    <cellStyle name="_CurrencySpace_WH 5_Mallah Company_MY 2002_Rebuy_12.02.022" xfId="264" xr:uid="{00000000-0005-0000-0000-0000BB000000}"/>
    <cellStyle name="_CurrencySpace_Wolv Pfd" xfId="265" xr:uid="{00000000-0005-0000-0000-0000BC000000}"/>
    <cellStyle name="_Dollar" xfId="266" xr:uid="{00000000-0005-0000-0000-0000BD000000}"/>
    <cellStyle name="_Euro" xfId="267" xr:uid="{00000000-0005-0000-0000-0000BE000000}"/>
    <cellStyle name="_Heading" xfId="268" xr:uid="{00000000-0005-0000-0000-0000BF000000}"/>
    <cellStyle name="_Heading__ListMappings_" xfId="269" xr:uid="{00000000-0005-0000-0000-0000C0000000}"/>
    <cellStyle name="_Heading__SchemaMappings_" xfId="270" xr:uid="{00000000-0005-0000-0000-0000C1000000}"/>
    <cellStyle name="_Heading__UpgradesErrors_" xfId="271" xr:uid="{00000000-0005-0000-0000-0000C2000000}"/>
    <cellStyle name="_Heading__Variables_" xfId="272" xr:uid="{00000000-0005-0000-0000-0000C3000000}"/>
    <cellStyle name="_Heading_250 Montgomery v31 - LC" xfId="273" xr:uid="{00000000-0005-0000-0000-0000C4000000}"/>
    <cellStyle name="_Heading_Ala Wai Watermark Model_May 2005_2Roy" xfId="274" xr:uid="{00000000-0005-0000-0000-0000C5000000}"/>
    <cellStyle name="_Heading_CD Merger Model 01" xfId="275" xr:uid="{00000000-0005-0000-0000-0000C6000000}"/>
    <cellStyle name="_Heading_HMSModel 8.30.01_b" xfId="276" xr:uid="{00000000-0005-0000-0000-0000C7000000}"/>
    <cellStyle name="_Heading_Hyatt model 5" xfId="277" xr:uid="{00000000-0005-0000-0000-0000C8000000}"/>
    <cellStyle name="_Heading_Intercon Valuation 02" xfId="278" xr:uid="{00000000-0005-0000-0000-0000C9000000}"/>
    <cellStyle name="_Heading_Options Plan (2)" xfId="279" xr:uid="{00000000-0005-0000-0000-0000CA000000}"/>
    <cellStyle name="_Heading_Paramount v15 - higher bid" xfId="280" xr:uid="{00000000-0005-0000-0000-0000CB000000}"/>
    <cellStyle name="_Heading_Paramount v5" xfId="281" xr:uid="{00000000-0005-0000-0000-0000CC000000}"/>
    <cellStyle name="_Heading_Penn National 02" xfId="282" xr:uid="{00000000-0005-0000-0000-0000CD000000}"/>
    <cellStyle name="_Heading_prestemp" xfId="283" xr:uid="{00000000-0005-0000-0000-0000CE000000}"/>
    <cellStyle name="_Heading_Promote_CL_1_22_06" xfId="284" xr:uid="{00000000-0005-0000-0000-0000CF000000}"/>
    <cellStyle name="_Heading_Red Roof v16" xfId="285" xr:uid="{00000000-0005-0000-0000-0000D0000000}"/>
    <cellStyle name="_Heading_Sheet10" xfId="286" xr:uid="{00000000-0005-0000-0000-0000D1000000}"/>
    <cellStyle name="_Heading_Strategic Hotels Analysis" xfId="287" xr:uid="{00000000-0005-0000-0000-0000D2000000}"/>
    <cellStyle name="_Heading_summary page" xfId="288" xr:uid="{00000000-0005-0000-0000-0000D3000000}"/>
    <cellStyle name="_Heading_Sunnyca front page charts" xfId="289" xr:uid="{00000000-0005-0000-0000-0000D4000000}"/>
    <cellStyle name="_Heading_Westin US Port 03-12-07" xfId="290" xr:uid="{00000000-0005-0000-0000-0000D5000000}"/>
    <cellStyle name="_Highlight" xfId="291" xr:uid="{00000000-0005-0000-0000-0000D6000000}"/>
    <cellStyle name="_Multiple" xfId="292" xr:uid="{00000000-0005-0000-0000-0000D7000000}"/>
    <cellStyle name="_Multiple__ListMappings_" xfId="293" xr:uid="{00000000-0005-0000-0000-0000D8000000}"/>
    <cellStyle name="_Multiple__SchemaMappings_" xfId="294" xr:uid="{00000000-0005-0000-0000-0000D9000000}"/>
    <cellStyle name="_Multiple__UpgradesErrors_" xfId="295" xr:uid="{00000000-0005-0000-0000-0000DA000000}"/>
    <cellStyle name="_Multiple__Variables_" xfId="296" xr:uid="{00000000-0005-0000-0000-0000DB000000}"/>
    <cellStyle name="_Multiple_04 CPJ Merger Model" xfId="297" xr:uid="{00000000-0005-0000-0000-0000DC000000}"/>
    <cellStyle name="_Multiple_15 CPW Model v42" xfId="298" xr:uid="{00000000-0005-0000-0000-0000DD000000}"/>
    <cellStyle name="_Multiple_15 CPW Model v45" xfId="299" xr:uid="{00000000-0005-0000-0000-0000DE000000}"/>
    <cellStyle name="_Multiple_2004 Depreciation Expense" xfId="300" xr:uid="{00000000-0005-0000-0000-0000DF000000}"/>
    <cellStyle name="_Multiple_250 Montgomery v31 - LC" xfId="301" xr:uid="{00000000-0005-0000-0000-0000E0000000}"/>
    <cellStyle name="_Multiple_704b" xfId="302" xr:uid="{00000000-0005-0000-0000-0000E1000000}"/>
    <cellStyle name="_Multiple_AVP" xfId="303" xr:uid="{00000000-0005-0000-0000-0000E2000000}"/>
    <cellStyle name="_Multiple_Book1" xfId="304" xr:uid="{00000000-0005-0000-0000-0000E3000000}"/>
    <cellStyle name="_Multiple_Book1_04 CPJ Merger Model" xfId="305" xr:uid="{00000000-0005-0000-0000-0000E4000000}"/>
    <cellStyle name="_Multiple_Book2" xfId="306" xr:uid="{00000000-0005-0000-0000-0000E5000000}"/>
    <cellStyle name="_Multiple_CD Merger Model 01" xfId="307" xr:uid="{00000000-0005-0000-0000-0000E6000000}"/>
    <cellStyle name="_Multiple_Comparison" xfId="308" xr:uid="{00000000-0005-0000-0000-0000E7000000}"/>
    <cellStyle name="_Multiple_compress list" xfId="309" xr:uid="{00000000-0005-0000-0000-0000E8000000}"/>
    <cellStyle name="_Multiple_contribution_analysis" xfId="310" xr:uid="{00000000-0005-0000-0000-0000E9000000}"/>
    <cellStyle name="_Multiple_DCF" xfId="311" xr:uid="{00000000-0005-0000-0000-0000EA000000}"/>
    <cellStyle name="_Multiple_Debt" xfId="312" xr:uid="{00000000-0005-0000-0000-0000EB000000}"/>
    <cellStyle name="_Multiple_Debt Allocation Analysis - 12.08.03  v.1" xfId="313" xr:uid="{00000000-0005-0000-0000-0000EC000000}"/>
    <cellStyle name="_Multiple_Debt Allocation Schedules" xfId="314" xr:uid="{00000000-0005-0000-0000-0000ED000000}"/>
    <cellStyle name="_Multiple_Debt Balances" xfId="315" xr:uid="{00000000-0005-0000-0000-0000EE000000}"/>
    <cellStyle name="_Multiple_Depreciation Expense Forecast - Totals" xfId="316" xr:uid="{00000000-0005-0000-0000-0000EF000000}"/>
    <cellStyle name="_Multiple_Grizzly Sources and Uses" xfId="317" xr:uid="{00000000-0005-0000-0000-0000F0000000}"/>
    <cellStyle name="_Multiple_HMSModel 8.30.01_b" xfId="318" xr:uid="{00000000-0005-0000-0000-0000F1000000}"/>
    <cellStyle name="_Multiple_Income Allocation 3-3-04" xfId="319" xr:uid="{00000000-0005-0000-0000-0000F2000000}"/>
    <cellStyle name="_Multiple_IPO Capital Account Analysis - Revised A Pool Distributed without DC and East Side" xfId="320" xr:uid="{00000000-0005-0000-0000-0000F3000000}"/>
    <cellStyle name="_Multiple_IPO Model Balance SHeet -EAST SIDE EXCLUDED" xfId="321" xr:uid="{00000000-0005-0000-0000-0000F4000000}"/>
    <cellStyle name="_Multiple_Keystone Cap Structure Summary" xfId="322" xr:uid="{00000000-0005-0000-0000-0000F5000000}"/>
    <cellStyle name="_Multiple_LBO 7" xfId="323" xr:uid="{00000000-0005-0000-0000-0000F6000000}"/>
    <cellStyle name="_Multiple_merger_plans_lasalle" xfId="324" xr:uid="{00000000-0005-0000-0000-0000F7000000}"/>
    <cellStyle name="_Multiple_Model 12 Board" xfId="325" xr:uid="{00000000-0005-0000-0000-0000F8000000}"/>
    <cellStyle name="_Multiple_Model 60" xfId="326" xr:uid="{00000000-0005-0000-0000-0000F9000000}"/>
    <cellStyle name="_Multiple_New MODEL_5" xfId="327" xr:uid="{00000000-0005-0000-0000-0000FA000000}"/>
    <cellStyle name="_Multiple_New MODEL_6_WBM" xfId="328" xr:uid="{00000000-0005-0000-0000-0000FB000000}"/>
    <cellStyle name="_Multiple_NOI REVPAR GROWTH FOR PRESENTATION" xfId="329" xr:uid="{00000000-0005-0000-0000-0000FC000000}"/>
    <cellStyle name="_Multiple_Options" xfId="330" xr:uid="{00000000-0005-0000-0000-0000FD000000}"/>
    <cellStyle name="_Multiple_Options Plan (2)" xfId="331" xr:uid="{00000000-0005-0000-0000-0000FE000000}"/>
    <cellStyle name="_Multiple_Paramount v15 - higher bid" xfId="332" xr:uid="{00000000-0005-0000-0000-0000FF000000}"/>
    <cellStyle name="_Multiple_Paramount v5" xfId="333" xr:uid="{00000000-0005-0000-0000-000000010000}"/>
    <cellStyle name="_Multiple_Penn National 02" xfId="334" xr:uid="{00000000-0005-0000-0000-000001010000}"/>
    <cellStyle name="_Multiple_Phantom Interests Calculation" xfId="335" xr:uid="{00000000-0005-0000-0000-000002010000}"/>
    <cellStyle name="_Multiple_Red Roof v16" xfId="336" xr:uid="{00000000-0005-0000-0000-000003010000}"/>
    <cellStyle name="_Multiple_SHC 2003 Cashflows" xfId="337" xr:uid="{00000000-0005-0000-0000-000004010000}"/>
    <cellStyle name="_Multiple_SHC IPO-Revised_Valuation_Writedown" xfId="338" xr:uid="{00000000-0005-0000-0000-000005010000}"/>
    <cellStyle name="_Multiple_SHC Operating Stats" xfId="339" xr:uid="{00000000-0005-0000-0000-000006010000}"/>
    <cellStyle name="_Multiple_Sheet10" xfId="340" xr:uid="{00000000-0005-0000-0000-000007010000}"/>
    <cellStyle name="_Multiple_Strategic Hotel Summary Sheet 9_11" xfId="341" xr:uid="{00000000-0005-0000-0000-000008010000}"/>
    <cellStyle name="_Multiple_Strategic Hotels Analysis" xfId="342" xr:uid="{00000000-0005-0000-0000-000009010000}"/>
    <cellStyle name="_Multiple_summary page" xfId="343" xr:uid="{00000000-0005-0000-0000-00000A010000}"/>
    <cellStyle name="_Multiple_Valuations" xfId="344" xr:uid="{00000000-0005-0000-0000-00000B010000}"/>
    <cellStyle name="_Multiple_WACC" xfId="345" xr:uid="{00000000-0005-0000-0000-00000C010000}"/>
    <cellStyle name="_Multiple_Wailea Model_CL v12" xfId="346" xr:uid="{00000000-0005-0000-0000-00000D010000}"/>
    <cellStyle name="_Multiple_Westin US Port 03-12-07" xfId="347" xr:uid="{00000000-0005-0000-0000-00000E010000}"/>
    <cellStyle name="_Multiple_WH 4_Strategic Hotel Capital_MY2003" xfId="348" xr:uid="{00000000-0005-0000-0000-00000F010000}"/>
    <cellStyle name="_Multiple_WH 4_Strategic Hotel Capital_YE2003" xfId="349" xr:uid="{00000000-0005-0000-0000-000010010000}"/>
    <cellStyle name="_Multiple_WH 5_ICON Parking_MY2003_promote" xfId="350" xr:uid="{00000000-0005-0000-0000-000011010000}"/>
    <cellStyle name="_Multiple_WH 5_Mallah Company_MY 2002" xfId="351" xr:uid="{00000000-0005-0000-0000-000012010000}"/>
    <cellStyle name="_Multiple_WH 5_Mallah Company_MY 2002_Rebuy_12.02.022" xfId="352" xr:uid="{00000000-0005-0000-0000-000013010000}"/>
    <cellStyle name="_Multiple_Wolv Pfd" xfId="353" xr:uid="{00000000-0005-0000-0000-000014010000}"/>
    <cellStyle name="_MultipleSpace" xfId="354" xr:uid="{00000000-0005-0000-0000-000015010000}"/>
    <cellStyle name="_MultipleSpace__ListMappings_" xfId="355" xr:uid="{00000000-0005-0000-0000-000016010000}"/>
    <cellStyle name="_MultipleSpace__SchemaMappings_" xfId="356" xr:uid="{00000000-0005-0000-0000-000017010000}"/>
    <cellStyle name="_MultipleSpace__UpgradesErrors_" xfId="357" xr:uid="{00000000-0005-0000-0000-000018010000}"/>
    <cellStyle name="_MultipleSpace__Variables_" xfId="358" xr:uid="{00000000-0005-0000-0000-000019010000}"/>
    <cellStyle name="_MultipleSpace_04 CPJ Merger Model" xfId="359" xr:uid="{00000000-0005-0000-0000-00001A010000}"/>
    <cellStyle name="_MultipleSpace_15 CPW Model v42" xfId="360" xr:uid="{00000000-0005-0000-0000-00001B010000}"/>
    <cellStyle name="_MultipleSpace_15 CPW Model v45" xfId="361" xr:uid="{00000000-0005-0000-0000-00001C010000}"/>
    <cellStyle name="_MultipleSpace_2004 Depreciation Expense" xfId="362" xr:uid="{00000000-0005-0000-0000-00001D010000}"/>
    <cellStyle name="_MultipleSpace_250 Montgomery v31 - LC" xfId="363" xr:uid="{00000000-0005-0000-0000-00001E010000}"/>
    <cellStyle name="_MultipleSpace_704b" xfId="364" xr:uid="{00000000-0005-0000-0000-00001F010000}"/>
    <cellStyle name="_MultipleSpace_AVP" xfId="365" xr:uid="{00000000-0005-0000-0000-000020010000}"/>
    <cellStyle name="_MultipleSpace_Book1" xfId="366" xr:uid="{00000000-0005-0000-0000-000021010000}"/>
    <cellStyle name="_MultipleSpace_Book1_04 CPJ Merger Model" xfId="367" xr:uid="{00000000-0005-0000-0000-000022010000}"/>
    <cellStyle name="_MultipleSpace_Book2" xfId="368" xr:uid="{00000000-0005-0000-0000-000023010000}"/>
    <cellStyle name="_MultipleSpace_CD Merger Model 01" xfId="369" xr:uid="{00000000-0005-0000-0000-000024010000}"/>
    <cellStyle name="_MultipleSpace_Comparison" xfId="370" xr:uid="{00000000-0005-0000-0000-000025010000}"/>
    <cellStyle name="_MultipleSpace_compress list" xfId="371" xr:uid="{00000000-0005-0000-0000-000026010000}"/>
    <cellStyle name="_MultipleSpace_contribution_analysis" xfId="372" xr:uid="{00000000-0005-0000-0000-000027010000}"/>
    <cellStyle name="_MultipleSpace_Debt" xfId="373" xr:uid="{00000000-0005-0000-0000-000028010000}"/>
    <cellStyle name="_MultipleSpace_Debt Allocation Analysis - 12.08.03  v.1" xfId="374" xr:uid="{00000000-0005-0000-0000-000029010000}"/>
    <cellStyle name="_MultipleSpace_Debt Allocation Schedules" xfId="375" xr:uid="{00000000-0005-0000-0000-00002A010000}"/>
    <cellStyle name="_MultipleSpace_Debt Balances" xfId="376" xr:uid="{00000000-0005-0000-0000-00002B010000}"/>
    <cellStyle name="_MultipleSpace_Depreciation Expense Forecast - Totals" xfId="377" xr:uid="{00000000-0005-0000-0000-00002C010000}"/>
    <cellStyle name="_MultipleSpace_Grizzly Sources and Uses" xfId="378" xr:uid="{00000000-0005-0000-0000-00002D010000}"/>
    <cellStyle name="_MultipleSpace_HMSModel 8.30.01_b" xfId="379" xr:uid="{00000000-0005-0000-0000-00002E010000}"/>
    <cellStyle name="_MultipleSpace_Income Allocation 3-3-04" xfId="380" xr:uid="{00000000-0005-0000-0000-00002F010000}"/>
    <cellStyle name="_MultipleSpace_IPO Capital Account Analysis - Revised A Pool Distributed without DC and East Side" xfId="381" xr:uid="{00000000-0005-0000-0000-000030010000}"/>
    <cellStyle name="_MultipleSpace_IPO Model Balance SHeet -EAST SIDE EXCLUDED" xfId="382" xr:uid="{00000000-0005-0000-0000-000031010000}"/>
    <cellStyle name="_MultipleSpace_Keystone Cap Structure Summary" xfId="383" xr:uid="{00000000-0005-0000-0000-000032010000}"/>
    <cellStyle name="_MultipleSpace_merger_plans_lasalle" xfId="384" xr:uid="{00000000-0005-0000-0000-000033010000}"/>
    <cellStyle name="_MultipleSpace_New MODEL_5" xfId="385" xr:uid="{00000000-0005-0000-0000-000034010000}"/>
    <cellStyle name="_MultipleSpace_New MODEL_6_WBM" xfId="386" xr:uid="{00000000-0005-0000-0000-000035010000}"/>
    <cellStyle name="_MultipleSpace_NOI REVPAR GROWTH FOR PRESENTATION" xfId="387" xr:uid="{00000000-0005-0000-0000-000036010000}"/>
    <cellStyle name="_MultipleSpace_Options Plan (2)" xfId="388" xr:uid="{00000000-0005-0000-0000-000037010000}"/>
    <cellStyle name="_MultipleSpace_Paramount v15 - higher bid" xfId="389" xr:uid="{00000000-0005-0000-0000-000038010000}"/>
    <cellStyle name="_MultipleSpace_Paramount v5" xfId="390" xr:uid="{00000000-0005-0000-0000-000039010000}"/>
    <cellStyle name="_MultipleSpace_Phantom Interests Calculation" xfId="391" xr:uid="{00000000-0005-0000-0000-00003A010000}"/>
    <cellStyle name="_MultipleSpace_Red Roof v16" xfId="392" xr:uid="{00000000-0005-0000-0000-00003B010000}"/>
    <cellStyle name="_MultipleSpace_SHC 2003 Cashflows" xfId="393" xr:uid="{00000000-0005-0000-0000-00003C010000}"/>
    <cellStyle name="_MultipleSpace_SHC IPO-Revised_Valuation_Writedown" xfId="394" xr:uid="{00000000-0005-0000-0000-00003D010000}"/>
    <cellStyle name="_MultipleSpace_SHC Operating Stats" xfId="395" xr:uid="{00000000-0005-0000-0000-00003E010000}"/>
    <cellStyle name="_MultipleSpace_Sheet10" xfId="396" xr:uid="{00000000-0005-0000-0000-00003F010000}"/>
    <cellStyle name="_MultipleSpace_Strategic Hotel Summary Sheet 9_11" xfId="397" xr:uid="{00000000-0005-0000-0000-000040010000}"/>
    <cellStyle name="_MultipleSpace_Strategic Hotels Analysis" xfId="398" xr:uid="{00000000-0005-0000-0000-000041010000}"/>
    <cellStyle name="_MultipleSpace_summary page" xfId="399" xr:uid="{00000000-0005-0000-0000-000042010000}"/>
    <cellStyle name="_MultipleSpace_Valuations" xfId="400" xr:uid="{00000000-0005-0000-0000-000043010000}"/>
    <cellStyle name="_MultipleSpace_Wailea Model_CL v12" xfId="401" xr:uid="{00000000-0005-0000-0000-000044010000}"/>
    <cellStyle name="_MultipleSpace_Westin US Port 03-12-07" xfId="402" xr:uid="{00000000-0005-0000-0000-000045010000}"/>
    <cellStyle name="_MultipleSpace_WH 4_Strategic Hotel Capital_MY2003" xfId="403" xr:uid="{00000000-0005-0000-0000-000046010000}"/>
    <cellStyle name="_MultipleSpace_WH 4_Strategic Hotel Capital_YE2003" xfId="404" xr:uid="{00000000-0005-0000-0000-000047010000}"/>
    <cellStyle name="_MultipleSpace_WH 5_ICON Parking_MY2003_promote" xfId="405" xr:uid="{00000000-0005-0000-0000-000048010000}"/>
    <cellStyle name="_MultipleSpace_WH 5_Mallah Company_MY 2002" xfId="406" xr:uid="{00000000-0005-0000-0000-000049010000}"/>
    <cellStyle name="_MultipleSpace_WH 5_Mallah Company_MY 2002_Rebuy_12.02.022" xfId="407" xr:uid="{00000000-0005-0000-0000-00004A010000}"/>
    <cellStyle name="_MultipleSpace_Wolv Pfd" xfId="408" xr:uid="{00000000-0005-0000-0000-00004B010000}"/>
    <cellStyle name="_Percent" xfId="409" xr:uid="{00000000-0005-0000-0000-00004C010000}"/>
    <cellStyle name="_Percent_AVP" xfId="410" xr:uid="{00000000-0005-0000-0000-00004D010000}"/>
    <cellStyle name="_Percent_Book1" xfId="411" xr:uid="{00000000-0005-0000-0000-00004E010000}"/>
    <cellStyle name="_Percent_Book2" xfId="412" xr:uid="{00000000-0005-0000-0000-00004F010000}"/>
    <cellStyle name="_Percent_contribution_analysis" xfId="413" xr:uid="{00000000-0005-0000-0000-000050010000}"/>
    <cellStyle name="_Percent_U and Z Debt Schedules" xfId="414" xr:uid="{00000000-0005-0000-0000-000051010000}"/>
    <cellStyle name="_Percent_Wolv Pfd" xfId="415" xr:uid="{00000000-0005-0000-0000-000052010000}"/>
    <cellStyle name="_PercentSpace" xfId="416" xr:uid="{00000000-0005-0000-0000-000053010000}"/>
    <cellStyle name="_PercentSpace_AVP" xfId="417" xr:uid="{00000000-0005-0000-0000-000054010000}"/>
    <cellStyle name="_PercentSpace_Book1" xfId="418" xr:uid="{00000000-0005-0000-0000-000055010000}"/>
    <cellStyle name="_PercentSpace_contribution_analysis" xfId="419" xr:uid="{00000000-0005-0000-0000-000056010000}"/>
    <cellStyle name="_PercentSpace_Wolv Pfd" xfId="420" xr:uid="{00000000-0005-0000-0000-000057010000}"/>
    <cellStyle name="_Publix May 07" xfId="1585" xr:uid="{00000000-0005-0000-0000-000058010000}"/>
    <cellStyle name="_Red Roof v16" xfId="421" xr:uid="{00000000-0005-0000-0000-000059010000}"/>
    <cellStyle name="_Sahara Template-Middle" xfId="422" xr:uid="{00000000-0005-0000-0000-00005A010000}"/>
    <cellStyle name="_Sheet1" xfId="1586" xr:uid="{00000000-0005-0000-0000-00005B010000}"/>
    <cellStyle name="_SubHeading" xfId="423" xr:uid="{00000000-0005-0000-0000-00005C010000}"/>
    <cellStyle name="_SubHeading__ListMappings_" xfId="424" xr:uid="{00000000-0005-0000-0000-00005D010000}"/>
    <cellStyle name="_SubHeading__SchemaMappings_" xfId="425" xr:uid="{00000000-0005-0000-0000-00005E010000}"/>
    <cellStyle name="_SubHeading__UpgradesErrors_" xfId="426" xr:uid="{00000000-0005-0000-0000-00005F010000}"/>
    <cellStyle name="_SubHeading__Variables_" xfId="427" xr:uid="{00000000-0005-0000-0000-000060010000}"/>
    <cellStyle name="_SubHeading_250 Montgomery v31 - LC" xfId="428" xr:uid="{00000000-0005-0000-0000-000061010000}"/>
    <cellStyle name="_SubHeading_Ala Wai Watermark Model_May 2005_2Roy" xfId="429" xr:uid="{00000000-0005-0000-0000-000062010000}"/>
    <cellStyle name="_SubHeading_CD Merger Model 01" xfId="430" xr:uid="{00000000-0005-0000-0000-000063010000}"/>
    <cellStyle name="_SubHeading_HMSModel 8.30.01_b" xfId="431" xr:uid="{00000000-0005-0000-0000-000064010000}"/>
    <cellStyle name="_SubHeading_Hyatt model 5" xfId="432" xr:uid="{00000000-0005-0000-0000-000065010000}"/>
    <cellStyle name="_SubHeading_Intercon Valuation 02" xfId="433" xr:uid="{00000000-0005-0000-0000-000066010000}"/>
    <cellStyle name="_SubHeading_Options Plan (2)" xfId="434" xr:uid="{00000000-0005-0000-0000-000067010000}"/>
    <cellStyle name="_SubHeading_Paramount v15 - higher bid" xfId="435" xr:uid="{00000000-0005-0000-0000-000068010000}"/>
    <cellStyle name="_SubHeading_Paramount v5" xfId="436" xr:uid="{00000000-0005-0000-0000-000069010000}"/>
    <cellStyle name="_SubHeading_Penn National 02" xfId="437" xr:uid="{00000000-0005-0000-0000-00006A010000}"/>
    <cellStyle name="_SubHeading_prestemp" xfId="438" xr:uid="{00000000-0005-0000-0000-00006B010000}"/>
    <cellStyle name="_SubHeading_Promote_CL_1_22_06" xfId="439" xr:uid="{00000000-0005-0000-0000-00006C010000}"/>
    <cellStyle name="_SubHeading_Red Roof v16" xfId="440" xr:uid="{00000000-0005-0000-0000-00006D010000}"/>
    <cellStyle name="_SubHeading_Sheet10" xfId="441" xr:uid="{00000000-0005-0000-0000-00006E010000}"/>
    <cellStyle name="_SubHeading_Strategic Hotels Analysis" xfId="442" xr:uid="{00000000-0005-0000-0000-00006F010000}"/>
    <cellStyle name="_SubHeading_summary page" xfId="443" xr:uid="{00000000-0005-0000-0000-000070010000}"/>
    <cellStyle name="_SubHeading_Sunnyca front page charts" xfId="444" xr:uid="{00000000-0005-0000-0000-000071010000}"/>
    <cellStyle name="_SubHeading_Westin US Port 03-12-07" xfId="445" xr:uid="{00000000-0005-0000-0000-000072010000}"/>
    <cellStyle name="_Table" xfId="446" xr:uid="{00000000-0005-0000-0000-000073010000}"/>
    <cellStyle name="_Table__ListMappings_" xfId="447" xr:uid="{00000000-0005-0000-0000-000074010000}"/>
    <cellStyle name="_Table__SchemaMappings_" xfId="448" xr:uid="{00000000-0005-0000-0000-000075010000}"/>
    <cellStyle name="_Table__UpgradesErrors_" xfId="449" xr:uid="{00000000-0005-0000-0000-000076010000}"/>
    <cellStyle name="_Table__Variables_" xfId="450" xr:uid="{00000000-0005-0000-0000-000077010000}"/>
    <cellStyle name="_Table_250 Montgomery v31 - LC" xfId="451" xr:uid="{00000000-0005-0000-0000-000078010000}"/>
    <cellStyle name="_Table_Ala Wai Watermark Model_May 2005_2Roy" xfId="452" xr:uid="{00000000-0005-0000-0000-000079010000}"/>
    <cellStyle name="_Table_CBL Merger Plan (Utes) 3-4-02" xfId="453" xr:uid="{00000000-0005-0000-0000-00007A010000}"/>
    <cellStyle name="_Table_HMSModel 8.30.01_b" xfId="454" xr:uid="{00000000-0005-0000-0000-00007B010000}"/>
    <cellStyle name="_Table_Options Plan (2)" xfId="455" xr:uid="{00000000-0005-0000-0000-00007C010000}"/>
    <cellStyle name="_Table_Paramount v15 - higher bid" xfId="456" xr:uid="{00000000-0005-0000-0000-00007D010000}"/>
    <cellStyle name="_Table_Paramount v5" xfId="457" xr:uid="{00000000-0005-0000-0000-00007E010000}"/>
    <cellStyle name="_Table_Penn National 02" xfId="458" xr:uid="{00000000-0005-0000-0000-00007F010000}"/>
    <cellStyle name="_Table_Promote_CL_1_22_06" xfId="459" xr:uid="{00000000-0005-0000-0000-000080010000}"/>
    <cellStyle name="_Table_Red Roof v16" xfId="460" xr:uid="{00000000-0005-0000-0000-000081010000}"/>
    <cellStyle name="_Table_Sheet10" xfId="461" xr:uid="{00000000-0005-0000-0000-000082010000}"/>
    <cellStyle name="_Table_Strategic Hotels Analysis" xfId="462" xr:uid="{00000000-0005-0000-0000-000083010000}"/>
    <cellStyle name="_Table_Sunnyca front page charts" xfId="463" xr:uid="{00000000-0005-0000-0000-000084010000}"/>
    <cellStyle name="_Table_Westin US Port 03-12-07" xfId="464" xr:uid="{00000000-0005-0000-0000-000085010000}"/>
    <cellStyle name="_TableHead" xfId="465" xr:uid="{00000000-0005-0000-0000-000086010000}"/>
    <cellStyle name="_TableHead__ListMappings_" xfId="466" xr:uid="{00000000-0005-0000-0000-000087010000}"/>
    <cellStyle name="_TableHead__SchemaMappings_" xfId="467" xr:uid="{00000000-0005-0000-0000-000088010000}"/>
    <cellStyle name="_TableHead__UpgradesErrors_" xfId="468" xr:uid="{00000000-0005-0000-0000-000089010000}"/>
    <cellStyle name="_TableHead__Variables_" xfId="469" xr:uid="{00000000-0005-0000-0000-00008A010000}"/>
    <cellStyle name="_TableHead_250 Montgomery v31 - LC" xfId="470" xr:uid="{00000000-0005-0000-0000-00008B010000}"/>
    <cellStyle name="_TableHead_Ala Wai Watermark Model_May 2005_2Roy" xfId="471" xr:uid="{00000000-0005-0000-0000-00008C010000}"/>
    <cellStyle name="_TableHead_Options Plan (2)" xfId="472" xr:uid="{00000000-0005-0000-0000-00008D010000}"/>
    <cellStyle name="_TableHead_Paramount v15 - higher bid" xfId="473" xr:uid="{00000000-0005-0000-0000-00008E010000}"/>
    <cellStyle name="_TableHead_Paramount v5" xfId="474" xr:uid="{00000000-0005-0000-0000-00008F010000}"/>
    <cellStyle name="_TableHead_Penn National 02" xfId="475" xr:uid="{00000000-0005-0000-0000-000090010000}"/>
    <cellStyle name="_TableHead_Promote_CL_1_22_06" xfId="476" xr:uid="{00000000-0005-0000-0000-000091010000}"/>
    <cellStyle name="_TableHead_Red Roof v16" xfId="477" xr:uid="{00000000-0005-0000-0000-000092010000}"/>
    <cellStyle name="_TableHead_Sheet10" xfId="478" xr:uid="{00000000-0005-0000-0000-000093010000}"/>
    <cellStyle name="_TableHead_Strategic Hotels Analysis" xfId="479" xr:uid="{00000000-0005-0000-0000-000094010000}"/>
    <cellStyle name="_TableHead_Sunnyca front page charts" xfId="480" xr:uid="{00000000-0005-0000-0000-000095010000}"/>
    <cellStyle name="_TableHead_Westin US Port 03-12-07" xfId="481" xr:uid="{00000000-0005-0000-0000-000096010000}"/>
    <cellStyle name="_TableRowHead" xfId="482" xr:uid="{00000000-0005-0000-0000-000097010000}"/>
    <cellStyle name="_TableRowHead__ListMappings_" xfId="483" xr:uid="{00000000-0005-0000-0000-000098010000}"/>
    <cellStyle name="_TableRowHead__SchemaMappings_" xfId="484" xr:uid="{00000000-0005-0000-0000-000099010000}"/>
    <cellStyle name="_TableRowHead__UpgradesErrors_" xfId="485" xr:uid="{00000000-0005-0000-0000-00009A010000}"/>
    <cellStyle name="_TableRowHead__Variables_" xfId="486" xr:uid="{00000000-0005-0000-0000-00009B010000}"/>
    <cellStyle name="_TableRowHead_250 Montgomery v31 - LC" xfId="487" xr:uid="{00000000-0005-0000-0000-00009C010000}"/>
    <cellStyle name="_TableRowHead_Ala Wai Watermark Model_May 2005_2Roy" xfId="488" xr:uid="{00000000-0005-0000-0000-00009D010000}"/>
    <cellStyle name="_TableRowHead_Options Plan (2)" xfId="489" xr:uid="{00000000-0005-0000-0000-00009E010000}"/>
    <cellStyle name="_TableRowHead_Paramount v15 - higher bid" xfId="490" xr:uid="{00000000-0005-0000-0000-00009F010000}"/>
    <cellStyle name="_TableRowHead_Paramount v5" xfId="491" xr:uid="{00000000-0005-0000-0000-0000A0010000}"/>
    <cellStyle name="_TableRowHead_Penn National 02" xfId="492" xr:uid="{00000000-0005-0000-0000-0000A1010000}"/>
    <cellStyle name="_TableRowHead_Promote_CL_1_22_06" xfId="493" xr:uid="{00000000-0005-0000-0000-0000A2010000}"/>
    <cellStyle name="_TableRowHead_Red Roof v16" xfId="494" xr:uid="{00000000-0005-0000-0000-0000A3010000}"/>
    <cellStyle name="_TableRowHead_Sheet10" xfId="495" xr:uid="{00000000-0005-0000-0000-0000A4010000}"/>
    <cellStyle name="_TableRowHead_Strategic Hotels Analysis" xfId="496" xr:uid="{00000000-0005-0000-0000-0000A5010000}"/>
    <cellStyle name="_TableRowHead_Sunnyca front page charts" xfId="497" xr:uid="{00000000-0005-0000-0000-0000A6010000}"/>
    <cellStyle name="_TableRowHead_Westin US Port 03-12-07" xfId="498" xr:uid="{00000000-0005-0000-0000-0000A7010000}"/>
    <cellStyle name="_TableSuperHead" xfId="499" xr:uid="{00000000-0005-0000-0000-0000A8010000}"/>
    <cellStyle name="_TableSuperHead__ListMappings_" xfId="500" xr:uid="{00000000-0005-0000-0000-0000A9010000}"/>
    <cellStyle name="_TableSuperHead__SchemaMappings_" xfId="501" xr:uid="{00000000-0005-0000-0000-0000AA010000}"/>
    <cellStyle name="_TableSuperHead__UpgradesErrors_" xfId="502" xr:uid="{00000000-0005-0000-0000-0000AB010000}"/>
    <cellStyle name="_TableSuperHead__Variables_" xfId="503" xr:uid="{00000000-0005-0000-0000-0000AC010000}"/>
    <cellStyle name="_TableSuperHead_250 Montgomery v31 - LC" xfId="504" xr:uid="{00000000-0005-0000-0000-0000AD010000}"/>
    <cellStyle name="_TableSuperHead_Ala Wai Watermark Model_May 2005_2Roy" xfId="505" xr:uid="{00000000-0005-0000-0000-0000AE010000}"/>
    <cellStyle name="_TableSuperHead_CBL Merger Plan (Utes) 3-4-02" xfId="506" xr:uid="{00000000-0005-0000-0000-0000AF010000}"/>
    <cellStyle name="_TableSuperHead_HMSModel 8.30.01_b" xfId="507" xr:uid="{00000000-0005-0000-0000-0000B0010000}"/>
    <cellStyle name="_TableSuperHead_Options Plan (2)" xfId="508" xr:uid="{00000000-0005-0000-0000-0000B1010000}"/>
    <cellStyle name="_TableSuperHead_Paramount v15 - higher bid" xfId="509" xr:uid="{00000000-0005-0000-0000-0000B2010000}"/>
    <cellStyle name="_TableSuperHead_Paramount v5" xfId="510" xr:uid="{00000000-0005-0000-0000-0000B3010000}"/>
    <cellStyle name="_TableSuperHead_Penn National 02" xfId="511" xr:uid="{00000000-0005-0000-0000-0000B4010000}"/>
    <cellStyle name="_TableSuperHead_Promote_CL_1_22_06" xfId="512" xr:uid="{00000000-0005-0000-0000-0000B5010000}"/>
    <cellStyle name="_TableSuperHead_Red Roof v16" xfId="513" xr:uid="{00000000-0005-0000-0000-0000B6010000}"/>
    <cellStyle name="_TableSuperHead_Sheet10" xfId="514" xr:uid="{00000000-0005-0000-0000-0000B7010000}"/>
    <cellStyle name="_TableSuperHead_Strategic Hotels Analysis" xfId="515" xr:uid="{00000000-0005-0000-0000-0000B8010000}"/>
    <cellStyle name="_TableSuperHead_Sunnyca front page charts" xfId="516" xr:uid="{00000000-0005-0000-0000-0000B9010000}"/>
    <cellStyle name="_TableSuperHead_Westin US Port 03-12-07" xfId="517" xr:uid="{00000000-0005-0000-0000-0000BA010000}"/>
    <cellStyle name="_Trump PB_Capital Structure_083107" xfId="518" xr:uid="{00000000-0005-0000-0000-0000BB010000}"/>
    <cellStyle name="% Center" xfId="83" xr:uid="{00000000-0005-0000-0000-000002000000}"/>
    <cellStyle name="•W€_GE 3 MINIMUM" xfId="521" xr:uid="{00000000-0005-0000-0000-0000BE010000}"/>
    <cellStyle name="$" xfId="81" xr:uid="{00000000-0005-0000-0000-000000000000}"/>
    <cellStyle name="$00.00" xfId="82" xr:uid="{00000000-0005-0000-0000-000001000000}"/>
    <cellStyle name="£ BP" xfId="519" xr:uid="{00000000-0005-0000-0000-0000BC010000}"/>
    <cellStyle name="¥ JY" xfId="520" xr:uid="{00000000-0005-0000-0000-0000BD010000}"/>
    <cellStyle name="0" xfId="522" xr:uid="{00000000-0005-0000-0000-0000BF010000}"/>
    <cellStyle name="000" xfId="523" xr:uid="{00000000-0005-0000-0000-0000C0010000}"/>
    <cellStyle name="1" xfId="524" xr:uid="{00000000-0005-0000-0000-0000C1010000}"/>
    <cellStyle name="20% - Accent1" xfId="1" builtinId="30" customBuiltin="1"/>
    <cellStyle name="20% - Accent1 2" xfId="1587" xr:uid="{00000000-0005-0000-0000-0000C3010000}"/>
    <cellStyle name="20% - Accent1 3" xfId="1588" xr:uid="{00000000-0005-0000-0000-0000C4010000}"/>
    <cellStyle name="20% - Accent2" xfId="2" builtinId="34" customBuiltin="1"/>
    <cellStyle name="20% - Accent2 2" xfId="1589" xr:uid="{00000000-0005-0000-0000-0000C6010000}"/>
    <cellStyle name="20% - Accent2 3" xfId="1590" xr:uid="{00000000-0005-0000-0000-0000C7010000}"/>
    <cellStyle name="20% - Accent3" xfId="3" builtinId="38" customBuiltin="1"/>
    <cellStyle name="20% - Accent3 2" xfId="1591" xr:uid="{00000000-0005-0000-0000-0000C9010000}"/>
    <cellStyle name="20% - Accent3 3" xfId="1592" xr:uid="{00000000-0005-0000-0000-0000CA010000}"/>
    <cellStyle name="20% - Accent4" xfId="4" builtinId="42" customBuiltin="1"/>
    <cellStyle name="20% - Accent4 2" xfId="1593" xr:uid="{00000000-0005-0000-0000-0000CC010000}"/>
    <cellStyle name="20% - Accent4 3" xfId="1594" xr:uid="{00000000-0005-0000-0000-0000CD010000}"/>
    <cellStyle name="20% - Accent5" xfId="5" builtinId="46" customBuiltin="1"/>
    <cellStyle name="20% - Accent5 2" xfId="1595" xr:uid="{00000000-0005-0000-0000-0000CF010000}"/>
    <cellStyle name="20% - Accent5 3" xfId="1596" xr:uid="{00000000-0005-0000-0000-0000D0010000}"/>
    <cellStyle name="20% - Accent6" xfId="6" builtinId="50" customBuiltin="1"/>
    <cellStyle name="20% - Accent6 2" xfId="1597" xr:uid="{00000000-0005-0000-0000-0000D2010000}"/>
    <cellStyle name="20% - Accent6 3" xfId="1598" xr:uid="{00000000-0005-0000-0000-0000D3010000}"/>
    <cellStyle name="3$" xfId="525" xr:uid="{00000000-0005-0000-0000-0000D4010000}"/>
    <cellStyle name="40% - Accent1" xfId="7" builtinId="31" customBuiltin="1"/>
    <cellStyle name="40% - Accent1 2" xfId="1599" xr:uid="{00000000-0005-0000-0000-0000D6010000}"/>
    <cellStyle name="40% - Accent1 3" xfId="1600" xr:uid="{00000000-0005-0000-0000-0000D7010000}"/>
    <cellStyle name="40% - Accent2" xfId="8" builtinId="35" customBuiltin="1"/>
    <cellStyle name="40% - Accent2 2" xfId="1601" xr:uid="{00000000-0005-0000-0000-0000D9010000}"/>
    <cellStyle name="40% - Accent2 3" xfId="1602" xr:uid="{00000000-0005-0000-0000-0000DA010000}"/>
    <cellStyle name="40% - Accent3" xfId="9" builtinId="39" customBuiltin="1"/>
    <cellStyle name="40% - Accent3 2" xfId="1603" xr:uid="{00000000-0005-0000-0000-0000DC010000}"/>
    <cellStyle name="40% - Accent3 3" xfId="1604" xr:uid="{00000000-0005-0000-0000-0000DD010000}"/>
    <cellStyle name="40% - Accent4" xfId="10" builtinId="43" customBuiltin="1"/>
    <cellStyle name="40% - Accent4 2" xfId="1605" xr:uid="{00000000-0005-0000-0000-0000DF010000}"/>
    <cellStyle name="40% - Accent4 3" xfId="1606" xr:uid="{00000000-0005-0000-0000-0000E0010000}"/>
    <cellStyle name="40% - Accent5" xfId="11" builtinId="47" customBuiltin="1"/>
    <cellStyle name="40% - Accent5 2" xfId="1607" xr:uid="{00000000-0005-0000-0000-0000E2010000}"/>
    <cellStyle name="40% - Accent5 3" xfId="1608" xr:uid="{00000000-0005-0000-0000-0000E3010000}"/>
    <cellStyle name="40% - Accent6" xfId="12" builtinId="51" customBuiltin="1"/>
    <cellStyle name="40% - Accent6 2" xfId="1609" xr:uid="{00000000-0005-0000-0000-0000E5010000}"/>
    <cellStyle name="40% - Accent6 3" xfId="1610" xr:uid="{00000000-0005-0000-0000-0000E6010000}"/>
    <cellStyle name="60% - Accent1" xfId="13" builtinId="32" customBuiltin="1"/>
    <cellStyle name="60% - Accent1 2" xfId="1611" xr:uid="{00000000-0005-0000-0000-0000E8010000}"/>
    <cellStyle name="60% - Accent1 3" xfId="1612" xr:uid="{00000000-0005-0000-0000-0000E9010000}"/>
    <cellStyle name="60% - Accent2" xfId="14" builtinId="36" customBuiltin="1"/>
    <cellStyle name="60% - Accent2 2" xfId="1613" xr:uid="{00000000-0005-0000-0000-0000EB010000}"/>
    <cellStyle name="60% - Accent2 3" xfId="1614" xr:uid="{00000000-0005-0000-0000-0000EC010000}"/>
    <cellStyle name="60% - Accent3" xfId="15" builtinId="40" customBuiltin="1"/>
    <cellStyle name="60% - Accent3 2" xfId="1615" xr:uid="{00000000-0005-0000-0000-0000EE010000}"/>
    <cellStyle name="60% - Accent3 3" xfId="1616" xr:uid="{00000000-0005-0000-0000-0000EF010000}"/>
    <cellStyle name="60% - Accent4" xfId="16" builtinId="44" customBuiltin="1"/>
    <cellStyle name="60% - Accent4 2" xfId="1617" xr:uid="{00000000-0005-0000-0000-0000F1010000}"/>
    <cellStyle name="60% - Accent4 3" xfId="1618" xr:uid="{00000000-0005-0000-0000-0000F2010000}"/>
    <cellStyle name="60% - Accent5" xfId="17" builtinId="48" customBuiltin="1"/>
    <cellStyle name="60% - Accent5 2" xfId="1619" xr:uid="{00000000-0005-0000-0000-0000F4010000}"/>
    <cellStyle name="60% - Accent5 3" xfId="1620" xr:uid="{00000000-0005-0000-0000-0000F5010000}"/>
    <cellStyle name="60% - Accent6" xfId="18" builtinId="52" customBuiltin="1"/>
    <cellStyle name="60% - Accent6 2" xfId="1621" xr:uid="{00000000-0005-0000-0000-0000F7010000}"/>
    <cellStyle name="60% - Accent6 3" xfId="1622" xr:uid="{00000000-0005-0000-0000-0000F8010000}"/>
    <cellStyle name="Accent1" xfId="19" builtinId="29" customBuiltin="1"/>
    <cellStyle name="Accent1 - 20%" xfId="1623" xr:uid="{00000000-0005-0000-0000-0000FA010000}"/>
    <cellStyle name="Accent1 - 40%" xfId="1624" xr:uid="{00000000-0005-0000-0000-0000FB010000}"/>
    <cellStyle name="Accent1 - 60%" xfId="1625" xr:uid="{00000000-0005-0000-0000-0000FC010000}"/>
    <cellStyle name="Accent1 2" xfId="1626" xr:uid="{00000000-0005-0000-0000-0000FD010000}"/>
    <cellStyle name="Accent1 3" xfId="1627" xr:uid="{00000000-0005-0000-0000-0000FE010000}"/>
    <cellStyle name="Accent2" xfId="20" builtinId="33" customBuiltin="1"/>
    <cellStyle name="Accent2 - 20%" xfId="1628" xr:uid="{00000000-0005-0000-0000-000000020000}"/>
    <cellStyle name="Accent2 - 40%" xfId="1629" xr:uid="{00000000-0005-0000-0000-000001020000}"/>
    <cellStyle name="Accent2 - 60%" xfId="1630" xr:uid="{00000000-0005-0000-0000-000002020000}"/>
    <cellStyle name="Accent2 2" xfId="1631" xr:uid="{00000000-0005-0000-0000-000003020000}"/>
    <cellStyle name="Accent2 3" xfId="1632" xr:uid="{00000000-0005-0000-0000-000004020000}"/>
    <cellStyle name="Accent3" xfId="21" builtinId="37" customBuiltin="1"/>
    <cellStyle name="Accent3 - 20%" xfId="1633" xr:uid="{00000000-0005-0000-0000-000006020000}"/>
    <cellStyle name="Accent3 - 40%" xfId="1634" xr:uid="{00000000-0005-0000-0000-000007020000}"/>
    <cellStyle name="Accent3 - 60%" xfId="1635" xr:uid="{00000000-0005-0000-0000-000008020000}"/>
    <cellStyle name="Accent3 2" xfId="1636" xr:uid="{00000000-0005-0000-0000-000009020000}"/>
    <cellStyle name="Accent3 3" xfId="1637" xr:uid="{00000000-0005-0000-0000-00000A020000}"/>
    <cellStyle name="Accent4" xfId="22" builtinId="41" customBuiltin="1"/>
    <cellStyle name="Accent4 - 20%" xfId="1638" xr:uid="{00000000-0005-0000-0000-00000C020000}"/>
    <cellStyle name="Accent4 - 40%" xfId="1639" xr:uid="{00000000-0005-0000-0000-00000D020000}"/>
    <cellStyle name="Accent4 - 60%" xfId="1640" xr:uid="{00000000-0005-0000-0000-00000E020000}"/>
    <cellStyle name="Accent4 2" xfId="1641" xr:uid="{00000000-0005-0000-0000-00000F020000}"/>
    <cellStyle name="Accent4 3" xfId="1642" xr:uid="{00000000-0005-0000-0000-000010020000}"/>
    <cellStyle name="Accent5" xfId="23" builtinId="45" customBuiltin="1"/>
    <cellStyle name="Accent5 - 20%" xfId="1643" xr:uid="{00000000-0005-0000-0000-000012020000}"/>
    <cellStyle name="Accent5 - 40%" xfId="1644" xr:uid="{00000000-0005-0000-0000-000013020000}"/>
    <cellStyle name="Accent5 - 60%" xfId="1645" xr:uid="{00000000-0005-0000-0000-000014020000}"/>
    <cellStyle name="Accent5 2" xfId="1646" xr:uid="{00000000-0005-0000-0000-000015020000}"/>
    <cellStyle name="Accent5 3" xfId="1647" xr:uid="{00000000-0005-0000-0000-000016020000}"/>
    <cellStyle name="Accent6" xfId="24" builtinId="49" customBuiltin="1"/>
    <cellStyle name="Accent6 - 20%" xfId="1648" xr:uid="{00000000-0005-0000-0000-000018020000}"/>
    <cellStyle name="Accent6 - 40%" xfId="1649" xr:uid="{00000000-0005-0000-0000-000019020000}"/>
    <cellStyle name="Accent6 - 60%" xfId="1650" xr:uid="{00000000-0005-0000-0000-00001A020000}"/>
    <cellStyle name="Accent6 2" xfId="1651" xr:uid="{00000000-0005-0000-0000-00001B020000}"/>
    <cellStyle name="Accent6 3" xfId="1652" xr:uid="{00000000-0005-0000-0000-00001C020000}"/>
    <cellStyle name="Acctg" xfId="526" xr:uid="{00000000-0005-0000-0000-00001D020000}"/>
    <cellStyle name="Acctg12" xfId="527" xr:uid="{00000000-0005-0000-0000-00001E020000}"/>
    <cellStyle name="ADR" xfId="528" xr:uid="{00000000-0005-0000-0000-00001F020000}"/>
    <cellStyle name="AFE" xfId="529" xr:uid="{00000000-0005-0000-0000-000020020000}"/>
    <cellStyle name="ag" xfId="530" xr:uid="{00000000-0005-0000-0000-000021020000}"/>
    <cellStyle name="AJHCustom" xfId="531" xr:uid="{00000000-0005-0000-0000-000022020000}"/>
    <cellStyle name="al" xfId="532" xr:uid="{00000000-0005-0000-0000-000023020000}"/>
    <cellStyle name="amount" xfId="533" xr:uid="{00000000-0005-0000-0000-000024020000}"/>
    <cellStyle name="args.style" xfId="534" xr:uid="{00000000-0005-0000-0000-000025020000}"/>
    <cellStyle name="Arial 10" xfId="535" xr:uid="{00000000-0005-0000-0000-000026020000}"/>
    <cellStyle name="Arial 12" xfId="536" xr:uid="{00000000-0005-0000-0000-000027020000}"/>
    <cellStyle name="Bad" xfId="25" builtinId="27" customBuiltin="1"/>
    <cellStyle name="Bad 2" xfId="1653" xr:uid="{00000000-0005-0000-0000-000029020000}"/>
    <cellStyle name="Bad 3" xfId="1654" xr:uid="{00000000-0005-0000-0000-00002A020000}"/>
    <cellStyle name="Big Head" xfId="537" xr:uid="{00000000-0005-0000-0000-00002B020000}"/>
    <cellStyle name="BLACK" xfId="538" xr:uid="{00000000-0005-0000-0000-00002C020000}"/>
    <cellStyle name="blank" xfId="539" xr:uid="{00000000-0005-0000-0000-00002D020000}"/>
    <cellStyle name="Blank [,]" xfId="540" xr:uid="{00000000-0005-0000-0000-00002E020000}"/>
    <cellStyle name="Blank [2%]" xfId="541" xr:uid="{00000000-0005-0000-0000-00002F020000}"/>
    <cellStyle name="Blue" xfId="542" xr:uid="{00000000-0005-0000-0000-000030020000}"/>
    <cellStyle name="blue currency" xfId="543" xr:uid="{00000000-0005-0000-0000-000031020000}"/>
    <cellStyle name="BLUE date" xfId="544" xr:uid="{00000000-0005-0000-0000-000032020000}"/>
    <cellStyle name="Blue Title" xfId="545" xr:uid="{00000000-0005-0000-0000-000033020000}"/>
    <cellStyle name="Blue_HLF LBO Model.v11" xfId="547" xr:uid="{00000000-0005-0000-0000-000035020000}"/>
    <cellStyle name="blue$00" xfId="546" xr:uid="{00000000-0005-0000-0000-000034020000}"/>
    <cellStyle name="Body text" xfId="548" xr:uid="{00000000-0005-0000-0000-000036020000}"/>
    <cellStyle name="Bold and Bottom line" xfId="549" xr:uid="{00000000-0005-0000-0000-000037020000}"/>
    <cellStyle name="Bold subhead" xfId="550" xr:uid="{00000000-0005-0000-0000-000038020000}"/>
    <cellStyle name="Bold/Border" xfId="551" xr:uid="{00000000-0005-0000-0000-000039020000}"/>
    <cellStyle name="BOM-DOWN" xfId="552" xr:uid="{00000000-0005-0000-0000-00003A020000}"/>
    <cellStyle name="Border" xfId="553" xr:uid="{00000000-0005-0000-0000-00003B020000}"/>
    <cellStyle name="Bottom bold border" xfId="1655" xr:uid="{00000000-0005-0000-0000-00003C020000}"/>
    <cellStyle name="Bottom Border Line" xfId="554" xr:uid="{00000000-0005-0000-0000-00003D020000}"/>
    <cellStyle name="Bottom Line" xfId="555" xr:uid="{00000000-0005-0000-0000-00003E020000}"/>
    <cellStyle name="Bottom single border" xfId="1656" xr:uid="{00000000-0005-0000-0000-00003F020000}"/>
    <cellStyle name="BPS" xfId="556" xr:uid="{00000000-0005-0000-0000-000040020000}"/>
    <cellStyle name="Break" xfId="557" xr:uid="{00000000-0005-0000-0000-000041020000}"/>
    <cellStyle name="British Pound" xfId="558" xr:uid="{00000000-0005-0000-0000-000042020000}"/>
    <cellStyle name="Bullet" xfId="559" xr:uid="{00000000-0005-0000-0000-000043020000}"/>
    <cellStyle name="c" xfId="560" xr:uid="{00000000-0005-0000-0000-000044020000}"/>
    <cellStyle name="c_HardInc" xfId="561" xr:uid="{00000000-0005-0000-0000-000045020000}"/>
    <cellStyle name="c_HardInc " xfId="562" xr:uid="{00000000-0005-0000-0000-000046020000}"/>
    <cellStyle name="c_Tulip5_w_ppaids" xfId="563" xr:uid="{00000000-0005-0000-0000-000047020000}"/>
    <cellStyle name="Calc Currency (0)" xfId="564" xr:uid="{00000000-0005-0000-0000-000048020000}"/>
    <cellStyle name="Calc Currency (2)" xfId="565" xr:uid="{00000000-0005-0000-0000-000049020000}"/>
    <cellStyle name="Calc Percent (0)" xfId="566" xr:uid="{00000000-0005-0000-0000-00004A020000}"/>
    <cellStyle name="Calc Percent (1)" xfId="567" xr:uid="{00000000-0005-0000-0000-00004B020000}"/>
    <cellStyle name="Calc Percent (2)" xfId="568" xr:uid="{00000000-0005-0000-0000-00004C020000}"/>
    <cellStyle name="Calc Units (0)" xfId="569" xr:uid="{00000000-0005-0000-0000-00004D020000}"/>
    <cellStyle name="Calc Units (1)" xfId="570" xr:uid="{00000000-0005-0000-0000-00004E020000}"/>
    <cellStyle name="Calc Units (2)" xfId="571" xr:uid="{00000000-0005-0000-0000-00004F020000}"/>
    <cellStyle name="Calculation" xfId="26" builtinId="22" customBuiltin="1"/>
    <cellStyle name="Calculation 2" xfId="1657" xr:uid="{00000000-0005-0000-0000-000051020000}"/>
    <cellStyle name="Calculation 3" xfId="1658" xr:uid="{00000000-0005-0000-0000-000052020000}"/>
    <cellStyle name="Cärrency [0]" xfId="572" xr:uid="{00000000-0005-0000-0000-000053020000}"/>
    <cellStyle name="Case" xfId="573" xr:uid="{00000000-0005-0000-0000-000054020000}"/>
    <cellStyle name="Changeable" xfId="574" xr:uid="{00000000-0005-0000-0000-000055020000}"/>
    <cellStyle name="Check Cell" xfId="27" builtinId="23" customBuiltin="1"/>
    <cellStyle name="Check Cell 2" xfId="1659" xr:uid="{00000000-0005-0000-0000-000057020000}"/>
    <cellStyle name="Check Cell 3" xfId="1660" xr:uid="{00000000-0005-0000-0000-000058020000}"/>
    <cellStyle name="Classic" xfId="575" xr:uid="{00000000-0005-0000-0000-000059020000}"/>
    <cellStyle name="Colhead_straddle" xfId="576" xr:uid="{00000000-0005-0000-0000-00005A020000}"/>
    <cellStyle name="Column Head (Center)" xfId="577" xr:uid="{00000000-0005-0000-0000-00005B020000}"/>
    <cellStyle name="Column_Title" xfId="578" xr:uid="{00000000-0005-0000-0000-00005C020000}"/>
    <cellStyle name="Comma" xfId="28" builtinId="3"/>
    <cellStyle name="Comma [   0.00]" xfId="579" xr:uid="{00000000-0005-0000-0000-00005E020000}"/>
    <cellStyle name="Comma [   0]" xfId="580" xr:uid="{00000000-0005-0000-0000-00005F020000}"/>
    <cellStyle name="Comma [00]" xfId="581" xr:uid="{00000000-0005-0000-0000-000060020000}"/>
    <cellStyle name="Comma [1]" xfId="582" xr:uid="{00000000-0005-0000-0000-000061020000}"/>
    <cellStyle name="Comma [2]" xfId="583" xr:uid="{00000000-0005-0000-0000-000062020000}"/>
    <cellStyle name="Comma [3]" xfId="584" xr:uid="{00000000-0005-0000-0000-000063020000}"/>
    <cellStyle name="Comma 0" xfId="585" xr:uid="{00000000-0005-0000-0000-000064020000}"/>
    <cellStyle name="Comma 0*" xfId="586" xr:uid="{00000000-0005-0000-0000-000065020000}"/>
    <cellStyle name="Comma 10" xfId="1905" xr:uid="{00000000-0005-0000-0000-000066020000}"/>
    <cellStyle name="Comma 11" xfId="1908" xr:uid="{00000000-0005-0000-0000-000067020000}"/>
    <cellStyle name="Comma 12" xfId="1913" xr:uid="{00000000-0005-0000-0000-000068020000}"/>
    <cellStyle name="Comma 13" xfId="1920" xr:uid="{5DF02ED1-38A6-4BDE-A8C8-1556A68E4618}"/>
    <cellStyle name="Comma 2" xfId="69" xr:uid="{00000000-0005-0000-0000-000069020000}"/>
    <cellStyle name="Comma 2 2" xfId="587" xr:uid="{00000000-0005-0000-0000-00006A020000}"/>
    <cellStyle name="Comma 2 3" xfId="588" xr:uid="{00000000-0005-0000-0000-00006B020000}"/>
    <cellStyle name="Comma 2 4" xfId="1661" xr:uid="{00000000-0005-0000-0000-00006C020000}"/>
    <cellStyle name="Comma 2 5" xfId="1662" xr:uid="{00000000-0005-0000-0000-00006D020000}"/>
    <cellStyle name="Comma 3" xfId="589" xr:uid="{00000000-0005-0000-0000-00006E020000}"/>
    <cellStyle name="Comma 3 10" xfId="1663" xr:uid="{00000000-0005-0000-0000-00006F020000}"/>
    <cellStyle name="Comma 3 11" xfId="1664" xr:uid="{00000000-0005-0000-0000-000070020000}"/>
    <cellStyle name="Comma 3 12" xfId="1665" xr:uid="{00000000-0005-0000-0000-000071020000}"/>
    <cellStyle name="Comma 3 13" xfId="1666" xr:uid="{00000000-0005-0000-0000-000072020000}"/>
    <cellStyle name="Comma 3 14" xfId="1667" xr:uid="{00000000-0005-0000-0000-000073020000}"/>
    <cellStyle name="Comma 3 15" xfId="1668" xr:uid="{00000000-0005-0000-0000-000074020000}"/>
    <cellStyle name="Comma 3 16" xfId="1669" xr:uid="{00000000-0005-0000-0000-000075020000}"/>
    <cellStyle name="Comma 3 17" xfId="1670" xr:uid="{00000000-0005-0000-0000-000076020000}"/>
    <cellStyle name="Comma 3 2" xfId="1671" xr:uid="{00000000-0005-0000-0000-000077020000}"/>
    <cellStyle name="Comma 3 3" xfId="1672" xr:uid="{00000000-0005-0000-0000-000078020000}"/>
    <cellStyle name="Comma 3 4" xfId="1673" xr:uid="{00000000-0005-0000-0000-000079020000}"/>
    <cellStyle name="Comma 3 5" xfId="1674" xr:uid="{00000000-0005-0000-0000-00007A020000}"/>
    <cellStyle name="Comma 3 6" xfId="1675" xr:uid="{00000000-0005-0000-0000-00007B020000}"/>
    <cellStyle name="Comma 3 7" xfId="1676" xr:uid="{00000000-0005-0000-0000-00007C020000}"/>
    <cellStyle name="Comma 3 8" xfId="1677" xr:uid="{00000000-0005-0000-0000-00007D020000}"/>
    <cellStyle name="Comma 3 9" xfId="1678" xr:uid="{00000000-0005-0000-0000-00007E020000}"/>
    <cellStyle name="Comma 4" xfId="590" xr:uid="{00000000-0005-0000-0000-00007F020000}"/>
    <cellStyle name="Comma 4 10" xfId="1679" xr:uid="{00000000-0005-0000-0000-000080020000}"/>
    <cellStyle name="Comma 4 11" xfId="1680" xr:uid="{00000000-0005-0000-0000-000081020000}"/>
    <cellStyle name="Comma 4 12" xfId="1681" xr:uid="{00000000-0005-0000-0000-000082020000}"/>
    <cellStyle name="Comma 4 13" xfId="1682" xr:uid="{00000000-0005-0000-0000-000083020000}"/>
    <cellStyle name="Comma 4 2" xfId="1683" xr:uid="{00000000-0005-0000-0000-000084020000}"/>
    <cellStyle name="Comma 4 3" xfId="1684" xr:uid="{00000000-0005-0000-0000-000085020000}"/>
    <cellStyle name="Comma 4 4" xfId="1685" xr:uid="{00000000-0005-0000-0000-000086020000}"/>
    <cellStyle name="Comma 4 5" xfId="1686" xr:uid="{00000000-0005-0000-0000-000087020000}"/>
    <cellStyle name="Comma 4 6" xfId="1687" xr:uid="{00000000-0005-0000-0000-000088020000}"/>
    <cellStyle name="Comma 4 7" xfId="1688" xr:uid="{00000000-0005-0000-0000-000089020000}"/>
    <cellStyle name="Comma 4 8" xfId="1689" xr:uid="{00000000-0005-0000-0000-00008A020000}"/>
    <cellStyle name="Comma 4 9" xfId="1690" xr:uid="{00000000-0005-0000-0000-00008B020000}"/>
    <cellStyle name="Comma 5" xfId="591" xr:uid="{00000000-0005-0000-0000-00008C020000}"/>
    <cellStyle name="Comma 6" xfId="29" xr:uid="{00000000-0005-0000-0000-00008D020000}"/>
    <cellStyle name="Comma 6 2" xfId="1571" xr:uid="{00000000-0005-0000-0000-00008E020000}"/>
    <cellStyle name="Comma 7" xfId="1566" xr:uid="{00000000-0005-0000-0000-00008F020000}"/>
    <cellStyle name="Comma 8" xfId="1691" xr:uid="{00000000-0005-0000-0000-000090020000}"/>
    <cellStyle name="Comma 8 2" xfId="1692" xr:uid="{00000000-0005-0000-0000-000091020000}"/>
    <cellStyle name="Comma 9" xfId="1693" xr:uid="{00000000-0005-0000-0000-000092020000}"/>
    <cellStyle name="comma[0]" xfId="592" xr:uid="{00000000-0005-0000-0000-000093020000}"/>
    <cellStyle name="Comma0 - Style5" xfId="593" xr:uid="{00000000-0005-0000-0000-000094020000}"/>
    <cellStyle name="Comma1 - Style1" xfId="594" xr:uid="{00000000-0005-0000-0000-000095020000}"/>
    <cellStyle name="Command" xfId="595" xr:uid="{00000000-0005-0000-0000-000096020000}"/>
    <cellStyle name="company" xfId="596" xr:uid="{00000000-0005-0000-0000-000097020000}"/>
    <cellStyle name="Component" xfId="597" xr:uid="{00000000-0005-0000-0000-000098020000}"/>
    <cellStyle name="Copied" xfId="598" xr:uid="{00000000-0005-0000-0000-000099020000}"/>
    <cellStyle name="cost" xfId="599" xr:uid="{00000000-0005-0000-0000-00009A020000}"/>
    <cellStyle name="COST1" xfId="600" xr:uid="{00000000-0005-0000-0000-00009B020000}"/>
    <cellStyle name="Curr?ncy [0]_Sheet1_1" xfId="601" xr:uid="{00000000-0005-0000-0000-00009C020000}"/>
    <cellStyle name="Curren - Style2" xfId="602" xr:uid="{00000000-0005-0000-0000-00009D020000}"/>
    <cellStyle name="Curren - Style6" xfId="603" xr:uid="{00000000-0005-0000-0000-00009E020000}"/>
    <cellStyle name="Currency" xfId="1909" builtinId="4"/>
    <cellStyle name="Currency (0)" xfId="604" xr:uid="{00000000-0005-0000-0000-0000A0020000}"/>
    <cellStyle name="Currency (1)" xfId="605" xr:uid="{00000000-0005-0000-0000-0000A1020000}"/>
    <cellStyle name="Currency (2)" xfId="606" xr:uid="{00000000-0005-0000-0000-0000A2020000}"/>
    <cellStyle name="Currency (Rounded)" xfId="607" xr:uid="{00000000-0005-0000-0000-0000A3020000}"/>
    <cellStyle name="Currency [$     0.00]" xfId="608" xr:uid="{00000000-0005-0000-0000-0000A4020000}"/>
    <cellStyle name="Currency [$     0]" xfId="609" xr:uid="{00000000-0005-0000-0000-0000A5020000}"/>
    <cellStyle name="Currency [00]" xfId="610" xr:uid="{00000000-0005-0000-0000-0000A6020000}"/>
    <cellStyle name="Currency [1]" xfId="611" xr:uid="{00000000-0005-0000-0000-0000A7020000}"/>
    <cellStyle name="Currency [2]" xfId="612" xr:uid="{00000000-0005-0000-0000-0000A8020000}"/>
    <cellStyle name="Currency [3]" xfId="613" xr:uid="{00000000-0005-0000-0000-0000A9020000}"/>
    <cellStyle name="Currency 0" xfId="614" xr:uid="{00000000-0005-0000-0000-0000AA020000}"/>
    <cellStyle name="Currency 0.0" xfId="615" xr:uid="{00000000-0005-0000-0000-0000AB020000}"/>
    <cellStyle name="Currency 2" xfId="70" xr:uid="{00000000-0005-0000-0000-0000AC020000}"/>
    <cellStyle name="Currency 2 10" xfId="1694" xr:uid="{00000000-0005-0000-0000-0000AD020000}"/>
    <cellStyle name="Currency 2 11" xfId="1695" xr:uid="{00000000-0005-0000-0000-0000AE020000}"/>
    <cellStyle name="Currency 2 12" xfId="1696" xr:uid="{00000000-0005-0000-0000-0000AF020000}"/>
    <cellStyle name="Currency 2 13" xfId="1697" xr:uid="{00000000-0005-0000-0000-0000B0020000}"/>
    <cellStyle name="Currency 2 2" xfId="616" xr:uid="{00000000-0005-0000-0000-0000B1020000}"/>
    <cellStyle name="Currency 2 2 2" xfId="1578" xr:uid="{00000000-0005-0000-0000-0000B2020000}"/>
    <cellStyle name="Currency 2 3" xfId="1698" xr:uid="{00000000-0005-0000-0000-0000B3020000}"/>
    <cellStyle name="Currency 2 4" xfId="1699" xr:uid="{00000000-0005-0000-0000-0000B4020000}"/>
    <cellStyle name="Currency 2 5" xfId="1700" xr:uid="{00000000-0005-0000-0000-0000B5020000}"/>
    <cellStyle name="Currency 2 6" xfId="1701" xr:uid="{00000000-0005-0000-0000-0000B6020000}"/>
    <cellStyle name="Currency 2 7" xfId="1702" xr:uid="{00000000-0005-0000-0000-0000B7020000}"/>
    <cellStyle name="Currency 2 8" xfId="1703" xr:uid="{00000000-0005-0000-0000-0000B8020000}"/>
    <cellStyle name="Currency 2 9" xfId="1704" xr:uid="{00000000-0005-0000-0000-0000B9020000}"/>
    <cellStyle name="Currency 3" xfId="30" xr:uid="{00000000-0005-0000-0000-0000BA020000}"/>
    <cellStyle name="Currency 3 2" xfId="74" xr:uid="{00000000-0005-0000-0000-0000BB020000}"/>
    <cellStyle name="Currency 4" xfId="31" xr:uid="{00000000-0005-0000-0000-0000BC020000}"/>
    <cellStyle name="Currency 4 2" xfId="1570" xr:uid="{00000000-0005-0000-0000-0000BD020000}"/>
    <cellStyle name="Currency 5" xfId="78" xr:uid="{00000000-0005-0000-0000-0000BE020000}"/>
    <cellStyle name="Currency 6" xfId="1567" xr:uid="{00000000-0005-0000-0000-0000BF020000}"/>
    <cellStyle name="Currency 7" xfId="1705" xr:uid="{00000000-0005-0000-0000-0000C0020000}"/>
    <cellStyle name="Currency 8" xfId="1912" xr:uid="{00000000-0005-0000-0000-0000C1020000}"/>
    <cellStyle name="Currency$" xfId="617" xr:uid="{00000000-0005-0000-0000-0000C2020000}"/>
    <cellStyle name="Currencyunder" xfId="618" xr:uid="{00000000-0005-0000-0000-0000C3020000}"/>
    <cellStyle name="Custom - Style8" xfId="619" xr:uid="{00000000-0005-0000-0000-0000C4020000}"/>
    <cellStyle name="Dash" xfId="620" xr:uid="{00000000-0005-0000-0000-0000C5020000}"/>
    <cellStyle name="Data   - Style2" xfId="621" xr:uid="{00000000-0005-0000-0000-0000C6020000}"/>
    <cellStyle name="Data Link" xfId="622" xr:uid="{00000000-0005-0000-0000-0000C7020000}"/>
    <cellStyle name="datacell" xfId="623" xr:uid="{00000000-0005-0000-0000-0000C8020000}"/>
    <cellStyle name="Date" xfId="624" xr:uid="{00000000-0005-0000-0000-0000C9020000}"/>
    <cellStyle name="Date - Style4" xfId="625" xr:uid="{00000000-0005-0000-0000-0000CA020000}"/>
    <cellStyle name="Date Aligned" xfId="626" xr:uid="{00000000-0005-0000-0000-0000CB020000}"/>
    <cellStyle name="Date Short" xfId="627" xr:uid="{00000000-0005-0000-0000-0000CC020000}"/>
    <cellStyle name="date_250 Montgomery v31 - LC" xfId="628" xr:uid="{00000000-0005-0000-0000-0000CD020000}"/>
    <cellStyle name="Date1" xfId="629" xr:uid="{00000000-0005-0000-0000-0000CE020000}"/>
    <cellStyle name="default" xfId="630" xr:uid="{00000000-0005-0000-0000-0000CF020000}"/>
    <cellStyle name="Dex Doub Line" xfId="631" xr:uid="{00000000-0005-0000-0000-0000D0020000}"/>
    <cellStyle name="dollar" xfId="632" xr:uid="{00000000-0005-0000-0000-0000D1020000}"/>
    <cellStyle name="Dollar.$" xfId="633" xr:uid="{00000000-0005-0000-0000-0000D2020000}"/>
    <cellStyle name="dollar.0" xfId="634" xr:uid="{00000000-0005-0000-0000-0000D3020000}"/>
    <cellStyle name="dollar[0]" xfId="635" xr:uid="{00000000-0005-0000-0000-0000D4020000}"/>
    <cellStyle name="Dollar1" xfId="636" xr:uid="{00000000-0005-0000-0000-0000D5020000}"/>
    <cellStyle name="Dollar1Blue" xfId="637" xr:uid="{00000000-0005-0000-0000-0000D6020000}"/>
    <cellStyle name="Dollar2" xfId="638" xr:uid="{00000000-0005-0000-0000-0000D7020000}"/>
    <cellStyle name="dotted" xfId="639" xr:uid="{00000000-0005-0000-0000-0000D8020000}"/>
    <cellStyle name="Dotted Line" xfId="640" xr:uid="{00000000-0005-0000-0000-0000D9020000}"/>
    <cellStyle name="Double Accounting" xfId="641" xr:uid="{00000000-0005-0000-0000-0000DA020000}"/>
    <cellStyle name="DownLoad" xfId="642" xr:uid="{00000000-0005-0000-0000-0000DB020000}"/>
    <cellStyle name="DSYSPROJ" xfId="643" xr:uid="{00000000-0005-0000-0000-0000DC020000}"/>
    <cellStyle name="Emphasis 1" xfId="1706" xr:uid="{00000000-0005-0000-0000-0000DD020000}"/>
    <cellStyle name="Emphasis 2" xfId="1707" xr:uid="{00000000-0005-0000-0000-0000DE020000}"/>
    <cellStyle name="Emphasis 3" xfId="1708" xr:uid="{00000000-0005-0000-0000-0000DF020000}"/>
    <cellStyle name="Enter Currency (0)" xfId="644" xr:uid="{00000000-0005-0000-0000-0000E0020000}"/>
    <cellStyle name="Enter Currency (2)" xfId="645" xr:uid="{00000000-0005-0000-0000-0000E1020000}"/>
    <cellStyle name="Enter Units (0)" xfId="646" xr:uid="{00000000-0005-0000-0000-0000E2020000}"/>
    <cellStyle name="Enter Units (1)" xfId="647" xr:uid="{00000000-0005-0000-0000-0000E3020000}"/>
    <cellStyle name="Enter Units (2)" xfId="648" xr:uid="{00000000-0005-0000-0000-0000E4020000}"/>
    <cellStyle name="Entered" xfId="649" xr:uid="{00000000-0005-0000-0000-0000E5020000}"/>
    <cellStyle name="EPS" xfId="650" xr:uid="{00000000-0005-0000-0000-0000E6020000}"/>
    <cellStyle name="Erase  - Style7" xfId="651" xr:uid="{00000000-0005-0000-0000-0000E7020000}"/>
    <cellStyle name="Euro" xfId="32" xr:uid="{00000000-0005-0000-0000-0000E8020000}"/>
    <cellStyle name="Euro 2" xfId="652" xr:uid="{00000000-0005-0000-0000-0000E9020000}"/>
    <cellStyle name="Explanatory Text" xfId="33" builtinId="53" customBuiltin="1"/>
    <cellStyle name="Explanatory Text 2" xfId="1709" xr:uid="{00000000-0005-0000-0000-0000EB020000}"/>
    <cellStyle name="Explanatory Text 3" xfId="1710" xr:uid="{00000000-0005-0000-0000-0000EC020000}"/>
    <cellStyle name="f" xfId="653" xr:uid="{00000000-0005-0000-0000-0000ED020000}"/>
    <cellStyle name="Footnote" xfId="654" xr:uid="{00000000-0005-0000-0000-0000EE020000}"/>
    <cellStyle name="funky" xfId="655" xr:uid="{00000000-0005-0000-0000-0000EF020000}"/>
    <cellStyle name="GerBOM1" xfId="656" xr:uid="{00000000-0005-0000-0000-0000F0020000}"/>
    <cellStyle name="Good" xfId="34" builtinId="26" customBuiltin="1"/>
    <cellStyle name="Good 2" xfId="1711" xr:uid="{00000000-0005-0000-0000-0000F2020000}"/>
    <cellStyle name="Good 3" xfId="1712" xr:uid="{00000000-0005-0000-0000-0000F3020000}"/>
    <cellStyle name="Grey" xfId="35" xr:uid="{00000000-0005-0000-0000-0000F4020000}"/>
    <cellStyle name="Hard Percent" xfId="657" xr:uid="{00000000-0005-0000-0000-0000F5020000}"/>
    <cellStyle name="Hard Percent (0)" xfId="658" xr:uid="{00000000-0005-0000-0000-0000F6020000}"/>
    <cellStyle name="Hard Percent (1)" xfId="659" xr:uid="{00000000-0005-0000-0000-0000F7020000}"/>
    <cellStyle name="Hard Percent (2)" xfId="660" xr:uid="{00000000-0005-0000-0000-0000F8020000}"/>
    <cellStyle name="Hardcode" xfId="661" xr:uid="{00000000-0005-0000-0000-0000F9020000}"/>
    <cellStyle name="header" xfId="662" xr:uid="{00000000-0005-0000-0000-0000FA020000}"/>
    <cellStyle name="Header Total" xfId="663" xr:uid="{00000000-0005-0000-0000-0000FB020000}"/>
    <cellStyle name="Header_Options Plan (2)" xfId="664" xr:uid="{00000000-0005-0000-0000-0000FC020000}"/>
    <cellStyle name="Header1" xfId="36" xr:uid="{00000000-0005-0000-0000-0000FD020000}"/>
    <cellStyle name="Header1 2" xfId="1713" xr:uid="{00000000-0005-0000-0000-0000FE020000}"/>
    <cellStyle name="Header1 3" xfId="1714" xr:uid="{00000000-0005-0000-0000-0000FF020000}"/>
    <cellStyle name="Header2" xfId="37" xr:uid="{00000000-0005-0000-0000-000000030000}"/>
    <cellStyle name="Header2 2" xfId="1715" xr:uid="{00000000-0005-0000-0000-000001030000}"/>
    <cellStyle name="Header2 3" xfId="1716" xr:uid="{00000000-0005-0000-0000-000002030000}"/>
    <cellStyle name="Header3" xfId="665" xr:uid="{00000000-0005-0000-0000-000003030000}"/>
    <cellStyle name="Header4" xfId="666" xr:uid="{00000000-0005-0000-0000-000004030000}"/>
    <cellStyle name="Headers" xfId="667" xr:uid="{00000000-0005-0000-0000-000005030000}"/>
    <cellStyle name="Headin - Style4" xfId="668" xr:uid="{00000000-0005-0000-0000-000006030000}"/>
    <cellStyle name="Heading" xfId="669" xr:uid="{00000000-0005-0000-0000-000007030000}"/>
    <cellStyle name="Heading 1" xfId="38" builtinId="16" customBuiltin="1"/>
    <cellStyle name="Heading 1 2" xfId="1717" xr:uid="{00000000-0005-0000-0000-000009030000}"/>
    <cellStyle name="Heading 1 3" xfId="1718" xr:uid="{00000000-0005-0000-0000-00000A030000}"/>
    <cellStyle name="Heading 2" xfId="39" builtinId="17" customBuiltin="1"/>
    <cellStyle name="Heading 2 2" xfId="1719" xr:uid="{00000000-0005-0000-0000-00000C030000}"/>
    <cellStyle name="Heading 2 3" xfId="1720" xr:uid="{00000000-0005-0000-0000-00000D030000}"/>
    <cellStyle name="Heading 3" xfId="40" builtinId="18" customBuiltin="1"/>
    <cellStyle name="Heading 3 2" xfId="1721" xr:uid="{00000000-0005-0000-0000-00000F030000}"/>
    <cellStyle name="Heading 3 3" xfId="1722" xr:uid="{00000000-0005-0000-0000-000010030000}"/>
    <cellStyle name="Heading 4" xfId="41" builtinId="19" customBuiltin="1"/>
    <cellStyle name="Heading 4 2" xfId="1723" xr:uid="{00000000-0005-0000-0000-000012030000}"/>
    <cellStyle name="Heading 4 3" xfId="1724" xr:uid="{00000000-0005-0000-0000-000013030000}"/>
    <cellStyle name="Heading Left" xfId="670" xr:uid="{00000000-0005-0000-0000-000014030000}"/>
    <cellStyle name="Heading Right" xfId="671" xr:uid="{00000000-0005-0000-0000-000015030000}"/>
    <cellStyle name="Heading1" xfId="672" xr:uid="{00000000-0005-0000-0000-000016030000}"/>
    <cellStyle name="Heading2" xfId="673" xr:uid="{00000000-0005-0000-0000-000017030000}"/>
    <cellStyle name="Heading3" xfId="674" xr:uid="{00000000-0005-0000-0000-000018030000}"/>
    <cellStyle name="Heading4" xfId="675" xr:uid="{00000000-0005-0000-0000-000019030000}"/>
    <cellStyle name="Heading5" xfId="676" xr:uid="{00000000-0005-0000-0000-00001A030000}"/>
    <cellStyle name="HeadingDate" xfId="677" xr:uid="{00000000-0005-0000-0000-00001B030000}"/>
    <cellStyle name="HeadingS" xfId="678" xr:uid="{00000000-0005-0000-0000-00001C030000}"/>
    <cellStyle name="Headline" xfId="1725" xr:uid="{00000000-0005-0000-0000-00001D030000}"/>
    <cellStyle name="Hidden" xfId="679" xr:uid="{00000000-0005-0000-0000-00001E030000}"/>
    <cellStyle name="inpit" xfId="680" xr:uid="{00000000-0005-0000-0000-00001F030000}"/>
    <cellStyle name="Input" xfId="42" builtinId="20" customBuiltin="1"/>
    <cellStyle name="Input [yellow]" xfId="43" xr:uid="{00000000-0005-0000-0000-000021030000}"/>
    <cellStyle name="Input [yellow] 2" xfId="1726" xr:uid="{00000000-0005-0000-0000-000022030000}"/>
    <cellStyle name="Input [yellow] 3" xfId="1727" xr:uid="{00000000-0005-0000-0000-000023030000}"/>
    <cellStyle name="Input 2" xfId="1728" xr:uid="{00000000-0005-0000-0000-000024030000}"/>
    <cellStyle name="Input 3" xfId="1729" xr:uid="{00000000-0005-0000-0000-000025030000}"/>
    <cellStyle name="Input Cells" xfId="681" xr:uid="{00000000-0005-0000-0000-000026030000}"/>
    <cellStyle name="InputBlueFont" xfId="682" xr:uid="{00000000-0005-0000-0000-000027030000}"/>
    <cellStyle name="Ivan" xfId="683" xr:uid="{00000000-0005-0000-0000-000028030000}"/>
    <cellStyle name="Labels - Style3" xfId="684" xr:uid="{00000000-0005-0000-0000-000029030000}"/>
    <cellStyle name="Lable8Left" xfId="685" xr:uid="{00000000-0005-0000-0000-00002A030000}"/>
    <cellStyle name="Legal 8? x 14 in" xfId="686" xr:uid="{00000000-0005-0000-0000-00002B030000}"/>
    <cellStyle name="Link Currency (0)" xfId="687" xr:uid="{00000000-0005-0000-0000-00002C030000}"/>
    <cellStyle name="Link Currency (2)" xfId="688" xr:uid="{00000000-0005-0000-0000-00002D030000}"/>
    <cellStyle name="Link Units (0)" xfId="689" xr:uid="{00000000-0005-0000-0000-00002E030000}"/>
    <cellStyle name="Link Units (1)" xfId="690" xr:uid="{00000000-0005-0000-0000-00002F030000}"/>
    <cellStyle name="Link Units (2)" xfId="691" xr:uid="{00000000-0005-0000-0000-000030030000}"/>
    <cellStyle name="Linked" xfId="692" xr:uid="{00000000-0005-0000-0000-000031030000}"/>
    <cellStyle name="Linked Cell" xfId="44" builtinId="24" customBuiltin="1"/>
    <cellStyle name="Linked Cell 2" xfId="1730" xr:uid="{00000000-0005-0000-0000-000033030000}"/>
    <cellStyle name="Linked Cell 3" xfId="1731" xr:uid="{00000000-0005-0000-0000-000034030000}"/>
    <cellStyle name="Linked Cells" xfId="693" xr:uid="{00000000-0005-0000-0000-000035030000}"/>
    <cellStyle name="m" xfId="694" xr:uid="{00000000-0005-0000-0000-000036030000}"/>
    <cellStyle name="MainData" xfId="695" xr:uid="{00000000-0005-0000-0000-000037030000}"/>
    <cellStyle name="MajorTotal" xfId="696" xr:uid="{00000000-0005-0000-0000-000038030000}"/>
    <cellStyle name="Master_Sheet" xfId="1732" xr:uid="{00000000-0005-0000-0000-000039030000}"/>
    <cellStyle name="Millares_Balance Sheet DIH December 2006" xfId="697" xr:uid="{00000000-0005-0000-0000-00003A030000}"/>
    <cellStyle name="Milliers [0]_!!!GO" xfId="698" xr:uid="{00000000-0005-0000-0000-00003B030000}"/>
    <cellStyle name="Milliers_!!!GO" xfId="699" xr:uid="{00000000-0005-0000-0000-00003C030000}"/>
    <cellStyle name="Moneda_Budget Proparmex July 02" xfId="700" xr:uid="{00000000-0005-0000-0000-00003D030000}"/>
    <cellStyle name="Monétaire [0]_!!!GO" xfId="701" xr:uid="{00000000-0005-0000-0000-00003E030000}"/>
    <cellStyle name="Monétaire_!!!GO" xfId="702" xr:uid="{00000000-0005-0000-0000-00003F030000}"/>
    <cellStyle name="mult" xfId="703" xr:uid="{00000000-0005-0000-0000-000040030000}"/>
    <cellStyle name="Mult No x" xfId="704" xr:uid="{00000000-0005-0000-0000-000041030000}"/>
    <cellStyle name="Mult With x" xfId="705" xr:uid="{00000000-0005-0000-0000-000042030000}"/>
    <cellStyle name="multiple" xfId="706" xr:uid="{00000000-0005-0000-0000-000043030000}"/>
    <cellStyle name="Multiple (0)" xfId="707" xr:uid="{00000000-0005-0000-0000-000044030000}"/>
    <cellStyle name="Multiple (1)" xfId="708" xr:uid="{00000000-0005-0000-0000-000045030000}"/>
    <cellStyle name="Multiple (2)" xfId="709" xr:uid="{00000000-0005-0000-0000-000046030000}"/>
    <cellStyle name="Multiple (no x)" xfId="710" xr:uid="{00000000-0005-0000-0000-000047030000}"/>
    <cellStyle name="Multiple (x)" xfId="711" xr:uid="{00000000-0005-0000-0000-000048030000}"/>
    <cellStyle name="Multiple_GILD - Simple Mini-Merger Model 12-30-03 v6" xfId="712" xr:uid="{00000000-0005-0000-0000-000049030000}"/>
    <cellStyle name="MultipleSpace" xfId="713" xr:uid="{00000000-0005-0000-0000-00004A030000}"/>
    <cellStyle name="Neutral" xfId="45" builtinId="28" customBuiltin="1"/>
    <cellStyle name="Neutral 2" xfId="1733" xr:uid="{00000000-0005-0000-0000-00004C030000}"/>
    <cellStyle name="Neutral 3" xfId="1734" xr:uid="{00000000-0005-0000-0000-00004D030000}"/>
    <cellStyle name="No Border" xfId="1735" xr:uid="{00000000-0005-0000-0000-00004E030000}"/>
    <cellStyle name="no dec" xfId="714" xr:uid="{00000000-0005-0000-0000-00004F030000}"/>
    <cellStyle name="no dec 2" xfId="715" xr:uid="{00000000-0005-0000-0000-000050030000}"/>
    <cellStyle name="No-definido" xfId="716" xr:uid="{00000000-0005-0000-0000-000051030000}"/>
    <cellStyle name="NOI" xfId="717" xr:uid="{00000000-0005-0000-0000-000052030000}"/>
    <cellStyle name="NonPrint_Heading" xfId="718" xr:uid="{00000000-0005-0000-0000-000053030000}"/>
    <cellStyle name="norma" xfId="719" xr:uid="{00000000-0005-0000-0000-000054030000}"/>
    <cellStyle name="Normal" xfId="0" builtinId="0"/>
    <cellStyle name="Normal - Style1" xfId="46" xr:uid="{00000000-0005-0000-0000-000057030000}"/>
    <cellStyle name="Normal - Style1 2" xfId="721" xr:uid="{00000000-0005-0000-0000-000058030000}"/>
    <cellStyle name="Normal - Style2" xfId="47" xr:uid="{00000000-0005-0000-0000-000059030000}"/>
    <cellStyle name="Normal - Style3" xfId="48" xr:uid="{00000000-0005-0000-0000-00005A030000}"/>
    <cellStyle name="Normal - Style4" xfId="49" xr:uid="{00000000-0005-0000-0000-00005B030000}"/>
    <cellStyle name="Normal - Style5" xfId="50" xr:uid="{00000000-0005-0000-0000-00005C030000}"/>
    <cellStyle name="Normal - Style6" xfId="51" xr:uid="{00000000-0005-0000-0000-00005D030000}"/>
    <cellStyle name="Normal - Style7" xfId="52" xr:uid="{00000000-0005-0000-0000-00005E030000}"/>
    <cellStyle name="Normal - Style8" xfId="53" xr:uid="{00000000-0005-0000-0000-00005F030000}"/>
    <cellStyle name="Normal -- No Dec." xfId="720" xr:uid="{00000000-0005-0000-0000-000056030000}"/>
    <cellStyle name="Normal 0.0" xfId="722" xr:uid="{00000000-0005-0000-0000-000060030000}"/>
    <cellStyle name="Normal 10" xfId="1569" xr:uid="{00000000-0005-0000-0000-000061030000}"/>
    <cellStyle name="Normal 10 2" xfId="1736" xr:uid="{00000000-0005-0000-0000-000062030000}"/>
    <cellStyle name="Normal 10 3" xfId="1737" xr:uid="{00000000-0005-0000-0000-000063030000}"/>
    <cellStyle name="Normal 11" xfId="1574" xr:uid="{00000000-0005-0000-0000-000064030000}"/>
    <cellStyle name="Normal 11 2" xfId="1738" xr:uid="{00000000-0005-0000-0000-000065030000}"/>
    <cellStyle name="Normal 11 3" xfId="1739" xr:uid="{00000000-0005-0000-0000-000066030000}"/>
    <cellStyle name="Normal 12" xfId="1575" xr:uid="{00000000-0005-0000-0000-000067030000}"/>
    <cellStyle name="Normal 12 2" xfId="1577" xr:uid="{00000000-0005-0000-0000-000068030000}"/>
    <cellStyle name="Normal 13" xfId="1576" xr:uid="{00000000-0005-0000-0000-000069030000}"/>
    <cellStyle name="Normal 13 2" xfId="1740" xr:uid="{00000000-0005-0000-0000-00006A030000}"/>
    <cellStyle name="Normal 14" xfId="1741" xr:uid="{00000000-0005-0000-0000-00006B030000}"/>
    <cellStyle name="Normal 14 2" xfId="1742" xr:uid="{00000000-0005-0000-0000-00006C030000}"/>
    <cellStyle name="Normal 15" xfId="1743" xr:uid="{00000000-0005-0000-0000-00006D030000}"/>
    <cellStyle name="Normal 16" xfId="1744" xr:uid="{00000000-0005-0000-0000-00006E030000}"/>
    <cellStyle name="Normal 17" xfId="1745" xr:uid="{00000000-0005-0000-0000-00006F030000}"/>
    <cellStyle name="Normal 18" xfId="1746" xr:uid="{00000000-0005-0000-0000-000070030000}"/>
    <cellStyle name="Normal 19" xfId="1747" xr:uid="{00000000-0005-0000-0000-000071030000}"/>
    <cellStyle name="Normal 2" xfId="68" xr:uid="{00000000-0005-0000-0000-000072030000}"/>
    <cellStyle name="Normal 2 2" xfId="723" xr:uid="{00000000-0005-0000-0000-000073030000}"/>
    <cellStyle name="Normal 2 2 2" xfId="1748" xr:uid="{00000000-0005-0000-0000-000074030000}"/>
    <cellStyle name="Normal 2 2 2 2" xfId="1749" xr:uid="{00000000-0005-0000-0000-000075030000}"/>
    <cellStyle name="Normal 2 2 2 2 2" xfId="1750" xr:uid="{00000000-0005-0000-0000-000076030000}"/>
    <cellStyle name="Normal 2 2 2 3" xfId="1751" xr:uid="{00000000-0005-0000-0000-000077030000}"/>
    <cellStyle name="Normal 2 2 2 3 2" xfId="1752" xr:uid="{00000000-0005-0000-0000-000078030000}"/>
    <cellStyle name="Normal 2 2 2 4" xfId="1753" xr:uid="{00000000-0005-0000-0000-000079030000}"/>
    <cellStyle name="Normal 2 2 3" xfId="1754" xr:uid="{00000000-0005-0000-0000-00007A030000}"/>
    <cellStyle name="Normal 2 2 3 2" xfId="1755" xr:uid="{00000000-0005-0000-0000-00007B030000}"/>
    <cellStyle name="Normal 2 2 3 2 2" xfId="1756" xr:uid="{00000000-0005-0000-0000-00007C030000}"/>
    <cellStyle name="Normal 2 2 3 3" xfId="1757" xr:uid="{00000000-0005-0000-0000-00007D030000}"/>
    <cellStyle name="Normal 2 2 3 3 2" xfId="1758" xr:uid="{00000000-0005-0000-0000-00007E030000}"/>
    <cellStyle name="Normal 2 2 3 4" xfId="1759" xr:uid="{00000000-0005-0000-0000-00007F030000}"/>
    <cellStyle name="Normal 2 2 4" xfId="1760" xr:uid="{00000000-0005-0000-0000-000080030000}"/>
    <cellStyle name="Normal 2 2 4 2" xfId="1761" xr:uid="{00000000-0005-0000-0000-000081030000}"/>
    <cellStyle name="Normal 2 2 4 2 2" xfId="1762" xr:uid="{00000000-0005-0000-0000-000082030000}"/>
    <cellStyle name="Normal 2 2 4 3" xfId="1763" xr:uid="{00000000-0005-0000-0000-000083030000}"/>
    <cellStyle name="Normal 2 2 4 3 2" xfId="1764" xr:uid="{00000000-0005-0000-0000-000084030000}"/>
    <cellStyle name="Normal 2 2 4 4" xfId="1765" xr:uid="{00000000-0005-0000-0000-000085030000}"/>
    <cellStyle name="Normal 2 2 5" xfId="1766" xr:uid="{00000000-0005-0000-0000-000086030000}"/>
    <cellStyle name="Normal 2 2 5 2" xfId="1767" xr:uid="{00000000-0005-0000-0000-000087030000}"/>
    <cellStyle name="Normal 2 2 6" xfId="1768" xr:uid="{00000000-0005-0000-0000-000088030000}"/>
    <cellStyle name="Normal 2 2 6 2" xfId="1769" xr:uid="{00000000-0005-0000-0000-000089030000}"/>
    <cellStyle name="Normal 2 2 7" xfId="1770" xr:uid="{00000000-0005-0000-0000-00008A030000}"/>
    <cellStyle name="Normal 2 2 8" xfId="1771" xr:uid="{00000000-0005-0000-0000-00008B030000}"/>
    <cellStyle name="Normal 2 3" xfId="724" xr:uid="{00000000-0005-0000-0000-00008C030000}"/>
    <cellStyle name="Normal 2 3 2" xfId="1772" xr:uid="{00000000-0005-0000-0000-00008D030000}"/>
    <cellStyle name="Normal 2 3 3" xfId="1773" xr:uid="{00000000-0005-0000-0000-00008E030000}"/>
    <cellStyle name="Normal 2 4" xfId="1774" xr:uid="{00000000-0005-0000-0000-00008F030000}"/>
    <cellStyle name="Normal 2 4 2" xfId="1775" xr:uid="{00000000-0005-0000-0000-000090030000}"/>
    <cellStyle name="Normal 2 4 2 2" xfId="1776" xr:uid="{00000000-0005-0000-0000-000091030000}"/>
    <cellStyle name="Normal 2 4 2 2 2" xfId="1777" xr:uid="{00000000-0005-0000-0000-000092030000}"/>
    <cellStyle name="Normal 2 4 2 3" xfId="1778" xr:uid="{00000000-0005-0000-0000-000093030000}"/>
    <cellStyle name="Normal 2 4 2 3 2" xfId="1779" xr:uid="{00000000-0005-0000-0000-000094030000}"/>
    <cellStyle name="Normal 2 4 2 4" xfId="1780" xr:uid="{00000000-0005-0000-0000-000095030000}"/>
    <cellStyle name="Normal 2 4 3" xfId="1781" xr:uid="{00000000-0005-0000-0000-000096030000}"/>
    <cellStyle name="Normal 2 4 3 2" xfId="1782" xr:uid="{00000000-0005-0000-0000-000097030000}"/>
    <cellStyle name="Normal 2 4 4" xfId="1783" xr:uid="{00000000-0005-0000-0000-000098030000}"/>
    <cellStyle name="Normal 2 4 4 2" xfId="1784" xr:uid="{00000000-0005-0000-0000-000099030000}"/>
    <cellStyle name="Normal 2 4 5" xfId="1785" xr:uid="{00000000-0005-0000-0000-00009A030000}"/>
    <cellStyle name="Normal 2 4 6" xfId="1786" xr:uid="{00000000-0005-0000-0000-00009B030000}"/>
    <cellStyle name="Normal 2 5" xfId="1787" xr:uid="{00000000-0005-0000-0000-00009C030000}"/>
    <cellStyle name="Normal 2 5 2" xfId="1788" xr:uid="{00000000-0005-0000-0000-00009D030000}"/>
    <cellStyle name="Normal 2 5 2 2" xfId="1789" xr:uid="{00000000-0005-0000-0000-00009E030000}"/>
    <cellStyle name="Normal 2 5 3" xfId="1790" xr:uid="{00000000-0005-0000-0000-00009F030000}"/>
    <cellStyle name="Normal 2 5 3 2" xfId="1791" xr:uid="{00000000-0005-0000-0000-0000A0030000}"/>
    <cellStyle name="Normal 2 5 4" xfId="1792" xr:uid="{00000000-0005-0000-0000-0000A1030000}"/>
    <cellStyle name="Normal 2 5 5" xfId="1793" xr:uid="{00000000-0005-0000-0000-0000A2030000}"/>
    <cellStyle name="Normal 2 6" xfId="1794" xr:uid="{00000000-0005-0000-0000-0000A3030000}"/>
    <cellStyle name="Normal 2 6 2" xfId="1795" xr:uid="{00000000-0005-0000-0000-0000A4030000}"/>
    <cellStyle name="Normal 2 7" xfId="1796" xr:uid="{00000000-0005-0000-0000-0000A5030000}"/>
    <cellStyle name="Normal 2 7 2" xfId="1797" xr:uid="{00000000-0005-0000-0000-0000A6030000}"/>
    <cellStyle name="Normal 2 8" xfId="1798" xr:uid="{00000000-0005-0000-0000-0000A7030000}"/>
    <cellStyle name="Normal 2 9" xfId="1799" xr:uid="{00000000-0005-0000-0000-0000A8030000}"/>
    <cellStyle name="Normal 20" xfId="1800" xr:uid="{00000000-0005-0000-0000-0000A9030000}"/>
    <cellStyle name="Normal 21" xfId="1801" xr:uid="{00000000-0005-0000-0000-0000AA030000}"/>
    <cellStyle name="Normal 22" xfId="1802" xr:uid="{00000000-0005-0000-0000-0000AB030000}"/>
    <cellStyle name="Normal 23" xfId="1903" xr:uid="{00000000-0005-0000-0000-0000AC030000}"/>
    <cellStyle name="Normal 23 2" xfId="1918" xr:uid="{310F7641-B945-4F52-94F4-8D4CC21385F6}"/>
    <cellStyle name="Normal 24" xfId="1906" xr:uid="{00000000-0005-0000-0000-0000AD030000}"/>
    <cellStyle name="Normal 25" xfId="1911" xr:uid="{00000000-0005-0000-0000-0000AE030000}"/>
    <cellStyle name="Normal 26" xfId="1910" xr:uid="{00000000-0005-0000-0000-0000AF030000}"/>
    <cellStyle name="Normal 27" xfId="1915" xr:uid="{00000000-0005-0000-0000-0000B0030000}"/>
    <cellStyle name="Normal 28" xfId="1916" xr:uid="{00000000-0005-0000-0000-0000B1030000}"/>
    <cellStyle name="Normal 29" xfId="1917" xr:uid="{8234CB48-E09F-4C40-BADF-6E6A99E0B24D}"/>
    <cellStyle name="Normal 3" xfId="54" xr:uid="{00000000-0005-0000-0000-0000B2030000}"/>
    <cellStyle name="Normal 3 2" xfId="75" xr:uid="{00000000-0005-0000-0000-0000B3030000}"/>
    <cellStyle name="Normal 3 3" xfId="1803" xr:uid="{00000000-0005-0000-0000-0000B4030000}"/>
    <cellStyle name="Normal 3 4" xfId="1804" xr:uid="{00000000-0005-0000-0000-0000B5030000}"/>
    <cellStyle name="Normal 4" xfId="55" xr:uid="{00000000-0005-0000-0000-0000B6030000}"/>
    <cellStyle name="Normal 4 2" xfId="76" xr:uid="{00000000-0005-0000-0000-0000B7030000}"/>
    <cellStyle name="Normal 4 2 2" xfId="725" xr:uid="{00000000-0005-0000-0000-0000B8030000}"/>
    <cellStyle name="Normal 4 2 2 2" xfId="1805" xr:uid="{00000000-0005-0000-0000-0000B9030000}"/>
    <cellStyle name="Normal 4 2 2 3" xfId="1806" xr:uid="{00000000-0005-0000-0000-0000BA030000}"/>
    <cellStyle name="Normal 4 2 3" xfId="1807" xr:uid="{00000000-0005-0000-0000-0000BB030000}"/>
    <cellStyle name="Normal 4 2 3 2" xfId="1808" xr:uid="{00000000-0005-0000-0000-0000BC030000}"/>
    <cellStyle name="Normal 4 2 4" xfId="1809" xr:uid="{00000000-0005-0000-0000-0000BD030000}"/>
    <cellStyle name="Normal 4 2 5" xfId="1810" xr:uid="{00000000-0005-0000-0000-0000BE030000}"/>
    <cellStyle name="Normal 4 3" xfId="1811" xr:uid="{00000000-0005-0000-0000-0000BF030000}"/>
    <cellStyle name="Normal 4 3 2" xfId="1812" xr:uid="{00000000-0005-0000-0000-0000C0030000}"/>
    <cellStyle name="Normal 4 3 3" xfId="1919" xr:uid="{9EBD307C-4BDD-44A4-9B28-268A2407DB2C}"/>
    <cellStyle name="Normal 4 4" xfId="1813" xr:uid="{00000000-0005-0000-0000-0000C1030000}"/>
    <cellStyle name="Normal 4 4 2" xfId="1814" xr:uid="{00000000-0005-0000-0000-0000C2030000}"/>
    <cellStyle name="Normal 4 5" xfId="1815" xr:uid="{00000000-0005-0000-0000-0000C3030000}"/>
    <cellStyle name="Normal 4 6" xfId="1816" xr:uid="{00000000-0005-0000-0000-0000C4030000}"/>
    <cellStyle name="Normal 5" xfId="77" xr:uid="{00000000-0005-0000-0000-0000C5030000}"/>
    <cellStyle name="Normal 5 2" xfId="1580" xr:uid="{00000000-0005-0000-0000-0000C6030000}"/>
    <cellStyle name="Normal 5 2 2" xfId="1817" xr:uid="{00000000-0005-0000-0000-0000C7030000}"/>
    <cellStyle name="Normal 5 2 2 2" xfId="1818" xr:uid="{00000000-0005-0000-0000-0000C8030000}"/>
    <cellStyle name="Normal 5 2 3" xfId="1819" xr:uid="{00000000-0005-0000-0000-0000C9030000}"/>
    <cellStyle name="Normal 5 2 3 2" xfId="1820" xr:uid="{00000000-0005-0000-0000-0000CA030000}"/>
    <cellStyle name="Normal 5 2 4" xfId="1821" xr:uid="{00000000-0005-0000-0000-0000CB030000}"/>
    <cellStyle name="Normal 5 3" xfId="1822" xr:uid="{00000000-0005-0000-0000-0000CC030000}"/>
    <cellStyle name="Normal 5 3 2" xfId="1823" xr:uid="{00000000-0005-0000-0000-0000CD030000}"/>
    <cellStyle name="Normal 5 4" xfId="1824" xr:uid="{00000000-0005-0000-0000-0000CE030000}"/>
    <cellStyle name="Normal 5 4 2" xfId="1825" xr:uid="{00000000-0005-0000-0000-0000CF030000}"/>
    <cellStyle name="Normal 5 5" xfId="1826" xr:uid="{00000000-0005-0000-0000-0000D0030000}"/>
    <cellStyle name="Normal 5 6" xfId="1827" xr:uid="{00000000-0005-0000-0000-0000D1030000}"/>
    <cellStyle name="Normal 6" xfId="79" xr:uid="{00000000-0005-0000-0000-0000D2030000}"/>
    <cellStyle name="Normal 6 2" xfId="1828" xr:uid="{00000000-0005-0000-0000-0000D3030000}"/>
    <cellStyle name="Normal 6 2 2" xfId="1829" xr:uid="{00000000-0005-0000-0000-0000D4030000}"/>
    <cellStyle name="Normal 6 2 2 2" xfId="1830" xr:uid="{00000000-0005-0000-0000-0000D5030000}"/>
    <cellStyle name="Normal 6 2 3" xfId="1831" xr:uid="{00000000-0005-0000-0000-0000D6030000}"/>
    <cellStyle name="Normal 6 2 3 2" xfId="1832" xr:uid="{00000000-0005-0000-0000-0000D7030000}"/>
    <cellStyle name="Normal 6 2 4" xfId="1833" xr:uid="{00000000-0005-0000-0000-0000D8030000}"/>
    <cellStyle name="Normal 6 3" xfId="1834" xr:uid="{00000000-0005-0000-0000-0000D9030000}"/>
    <cellStyle name="Normal 6 3 2" xfId="1835" xr:uid="{00000000-0005-0000-0000-0000DA030000}"/>
    <cellStyle name="Normal 6 4" xfId="1836" xr:uid="{00000000-0005-0000-0000-0000DB030000}"/>
    <cellStyle name="Normal 6 4 2" xfId="1837" xr:uid="{00000000-0005-0000-0000-0000DC030000}"/>
    <cellStyle name="Normal 6 5" xfId="1838" xr:uid="{00000000-0005-0000-0000-0000DD030000}"/>
    <cellStyle name="Normal 6 6" xfId="1839" xr:uid="{00000000-0005-0000-0000-0000DE030000}"/>
    <cellStyle name="Normal 7" xfId="56" xr:uid="{00000000-0005-0000-0000-0000DF030000}"/>
    <cellStyle name="Normal 7 2" xfId="72" xr:uid="{00000000-0005-0000-0000-0000E0030000}"/>
    <cellStyle name="Normal 7 2 2" xfId="1840" xr:uid="{00000000-0005-0000-0000-0000E1030000}"/>
    <cellStyle name="Normal 7 2 2 2" xfId="1841" xr:uid="{00000000-0005-0000-0000-0000E2030000}"/>
    <cellStyle name="Normal 7 2 3" xfId="1842" xr:uid="{00000000-0005-0000-0000-0000E3030000}"/>
    <cellStyle name="Normal 7 2 3 2" xfId="1843" xr:uid="{00000000-0005-0000-0000-0000E4030000}"/>
    <cellStyle name="Normal 7 2 4" xfId="1844" xr:uid="{00000000-0005-0000-0000-0000E5030000}"/>
    <cellStyle name="Normal 7 2 5" xfId="1845" xr:uid="{00000000-0005-0000-0000-0000E6030000}"/>
    <cellStyle name="Normal 7 3" xfId="1846" xr:uid="{00000000-0005-0000-0000-0000E7030000}"/>
    <cellStyle name="Normal 7 3 2" xfId="1847" xr:uid="{00000000-0005-0000-0000-0000E8030000}"/>
    <cellStyle name="Normal 7 4" xfId="1848" xr:uid="{00000000-0005-0000-0000-0000E9030000}"/>
    <cellStyle name="Normal 7 4 2" xfId="1849" xr:uid="{00000000-0005-0000-0000-0000EA030000}"/>
    <cellStyle name="Normal 7 5" xfId="1850" xr:uid="{00000000-0005-0000-0000-0000EB030000}"/>
    <cellStyle name="Normal 7 6" xfId="1851" xr:uid="{00000000-0005-0000-0000-0000EC030000}"/>
    <cellStyle name="Normal 8" xfId="80" xr:uid="{00000000-0005-0000-0000-0000ED030000}"/>
    <cellStyle name="Normal 8 2" xfId="1568" xr:uid="{00000000-0005-0000-0000-0000EE030000}"/>
    <cellStyle name="Normal 8 3" xfId="1852" xr:uid="{00000000-0005-0000-0000-0000EF030000}"/>
    <cellStyle name="Normal 8 4" xfId="1853" xr:uid="{00000000-0005-0000-0000-0000F0030000}"/>
    <cellStyle name="Normal 9" xfId="1563" xr:uid="{00000000-0005-0000-0000-0000F1030000}"/>
    <cellStyle name="Normal 9 2" xfId="1854" xr:uid="{00000000-0005-0000-0000-0000F2030000}"/>
    <cellStyle name="Normal 9 3" xfId="1855" xr:uid="{00000000-0005-0000-0000-0000F3030000}"/>
    <cellStyle name="Normal_2003.2.10 Boynton Proforma 245, 8,400,000, 338 Condos, 12 THs, 17,600 Retail" xfId="1573" xr:uid="{00000000-0005-0000-0000-0000F4030000}"/>
    <cellStyle name="Normal_Book1_2010-07-20_Oasis Development Modelv3 2" xfId="1579" xr:uid="{00000000-0005-0000-0000-0000F5030000}"/>
    <cellStyle name="Normal_Copy of W South Beach 06-30-05 All Condo (2)" xfId="1564" xr:uid="{00000000-0005-0000-0000-0000F6030000}"/>
    <cellStyle name="Normal0.0" xfId="726" xr:uid="{00000000-0005-0000-0000-0000F7030000}"/>
    <cellStyle name="NormalGB" xfId="727" xr:uid="{00000000-0005-0000-0000-0000F8030000}"/>
    <cellStyle name="NormalOPrint_Module_E (2)" xfId="728" xr:uid="{00000000-0005-0000-0000-0000F9030000}"/>
    <cellStyle name="Norm伀l_D_TR_OI" xfId="729" xr:uid="{00000000-0005-0000-0000-0000FA030000}"/>
    <cellStyle name="Note" xfId="57" builtinId="10" customBuiltin="1"/>
    <cellStyle name="Note 2" xfId="1856" xr:uid="{00000000-0005-0000-0000-0000FC030000}"/>
    <cellStyle name="Note 3" xfId="1857" xr:uid="{00000000-0005-0000-0000-0000FD030000}"/>
    <cellStyle name="Num0Un" xfId="730" xr:uid="{00000000-0005-0000-0000-0000FE030000}"/>
    <cellStyle name="Num1" xfId="731" xr:uid="{00000000-0005-0000-0000-0000FF030000}"/>
    <cellStyle name="Num1Blue" xfId="732" xr:uid="{00000000-0005-0000-0000-000000040000}"/>
    <cellStyle name="Num2" xfId="733" xr:uid="{00000000-0005-0000-0000-000001040000}"/>
    <cellStyle name="Num2Un" xfId="734" xr:uid="{00000000-0005-0000-0000-000002040000}"/>
    <cellStyle name="Number" xfId="735" xr:uid="{00000000-0005-0000-0000-000003040000}"/>
    <cellStyle name="Number 2" xfId="1858" xr:uid="{00000000-0005-0000-0000-000004040000}"/>
    <cellStyle name="Number 3" xfId="1859" xr:uid="{00000000-0005-0000-0000-000005040000}"/>
    <cellStyle name="Number 4" xfId="1860" xr:uid="{00000000-0005-0000-0000-000006040000}"/>
    <cellStyle name="Number_2011-03 Oasis Associates Monthly Report_final" xfId="1861" xr:uid="{00000000-0005-0000-0000-000007040000}"/>
    <cellStyle name="Œ…‹æØ‚è [0.00]_!!!GO" xfId="736" xr:uid="{00000000-0005-0000-0000-000008040000}"/>
    <cellStyle name="Œ…‹æØ‚è_!!!GO" xfId="737" xr:uid="{00000000-0005-0000-0000-000009040000}"/>
    <cellStyle name="One Pager Input" xfId="738" xr:uid="{00000000-0005-0000-0000-00000A040000}"/>
    <cellStyle name="onedec" xfId="739" xr:uid="{00000000-0005-0000-0000-00000B040000}"/>
    <cellStyle name="OSW_ColumnLabels" xfId="740" xr:uid="{00000000-0005-0000-0000-00000C040000}"/>
    <cellStyle name="Output" xfId="58" builtinId="21" customBuiltin="1"/>
    <cellStyle name="Output 2" xfId="1862" xr:uid="{00000000-0005-0000-0000-00000E040000}"/>
    <cellStyle name="Output 3" xfId="1863" xr:uid="{00000000-0005-0000-0000-00000F040000}"/>
    <cellStyle name="Output Amounts" xfId="741" xr:uid="{00000000-0005-0000-0000-000010040000}"/>
    <cellStyle name="Output Column Headings" xfId="742" xr:uid="{00000000-0005-0000-0000-000011040000}"/>
    <cellStyle name="Output Line Items" xfId="743" xr:uid="{00000000-0005-0000-0000-000012040000}"/>
    <cellStyle name="Output Report Heading" xfId="744" xr:uid="{00000000-0005-0000-0000-000013040000}"/>
    <cellStyle name="Output Report Title" xfId="745" xr:uid="{00000000-0005-0000-0000-000014040000}"/>
    <cellStyle name="Page Number" xfId="746" xr:uid="{00000000-0005-0000-0000-000015040000}"/>
    <cellStyle name="Parcel" xfId="747" xr:uid="{00000000-0005-0000-0000-000016040000}"/>
    <cellStyle name="Parent" xfId="748" xr:uid="{00000000-0005-0000-0000-000017040000}"/>
    <cellStyle name="Pattern" xfId="749" xr:uid="{00000000-0005-0000-0000-000018040000}"/>
    <cellStyle name="PB Table Heading" xfId="750" xr:uid="{00000000-0005-0000-0000-000019040000}"/>
    <cellStyle name="PB Table Highlight1" xfId="751" xr:uid="{00000000-0005-0000-0000-00001A040000}"/>
    <cellStyle name="PB Table Highlight2" xfId="752" xr:uid="{00000000-0005-0000-0000-00001B040000}"/>
    <cellStyle name="PB Table Highlight3" xfId="753" xr:uid="{00000000-0005-0000-0000-00001C040000}"/>
    <cellStyle name="PB Table Standard Row" xfId="754" xr:uid="{00000000-0005-0000-0000-00001D040000}"/>
    <cellStyle name="PB Table Subtotal Row" xfId="755" xr:uid="{00000000-0005-0000-0000-00001E040000}"/>
    <cellStyle name="PB Table Total Row" xfId="756" xr:uid="{00000000-0005-0000-0000-00001F040000}"/>
    <cellStyle name="Pence" xfId="757" xr:uid="{00000000-0005-0000-0000-000020040000}"/>
    <cellStyle name="per.style" xfId="758" xr:uid="{00000000-0005-0000-0000-000021040000}"/>
    <cellStyle name="Perc1" xfId="759" xr:uid="{00000000-0005-0000-0000-000022040000}"/>
    <cellStyle name="Percen - Style3" xfId="760" xr:uid="{00000000-0005-0000-0000-000023040000}"/>
    <cellStyle name="Percent" xfId="59" builtinId="5"/>
    <cellStyle name="Percent [0]" xfId="761" xr:uid="{00000000-0005-0000-0000-000025040000}"/>
    <cellStyle name="Percent [00]" xfId="762" xr:uid="{00000000-0005-0000-0000-000026040000}"/>
    <cellStyle name="Percent [1]" xfId="763" xr:uid="{00000000-0005-0000-0000-000027040000}"/>
    <cellStyle name="Percent [2]" xfId="60" xr:uid="{00000000-0005-0000-0000-000028040000}"/>
    <cellStyle name="Percent [2] 2" xfId="764" xr:uid="{00000000-0005-0000-0000-000029040000}"/>
    <cellStyle name="Percent 10" xfId="1914" xr:uid="{00000000-0005-0000-0000-00002A040000}"/>
    <cellStyle name="Percent 2" xfId="71" xr:uid="{00000000-0005-0000-0000-00002B040000}"/>
    <cellStyle name="Percent 2 10" xfId="1864" xr:uid="{00000000-0005-0000-0000-00002C040000}"/>
    <cellStyle name="Percent 2 11" xfId="1865" xr:uid="{00000000-0005-0000-0000-00002D040000}"/>
    <cellStyle name="Percent 2 12" xfId="1866" xr:uid="{00000000-0005-0000-0000-00002E040000}"/>
    <cellStyle name="Percent 2 13" xfId="1867" xr:uid="{00000000-0005-0000-0000-00002F040000}"/>
    <cellStyle name="Percent 2 14" xfId="1868" xr:uid="{00000000-0005-0000-0000-000030040000}"/>
    <cellStyle name="Percent 2 2" xfId="61" xr:uid="{00000000-0005-0000-0000-000031040000}"/>
    <cellStyle name="Percent 2 2 2" xfId="73" xr:uid="{00000000-0005-0000-0000-000032040000}"/>
    <cellStyle name="Percent 2 2 2 2" xfId="1869" xr:uid="{00000000-0005-0000-0000-000033040000}"/>
    <cellStyle name="Percent 2 2 2 3" xfId="1870" xr:uid="{00000000-0005-0000-0000-000034040000}"/>
    <cellStyle name="Percent 2 2 3" xfId="1871" xr:uid="{00000000-0005-0000-0000-000035040000}"/>
    <cellStyle name="Percent 2 2 3 2" xfId="1872" xr:uid="{00000000-0005-0000-0000-000036040000}"/>
    <cellStyle name="Percent 2 2 4" xfId="1873" xr:uid="{00000000-0005-0000-0000-000037040000}"/>
    <cellStyle name="Percent 2 2 5" xfId="1874" xr:uid="{00000000-0005-0000-0000-000038040000}"/>
    <cellStyle name="Percent 2 3" xfId="1875" xr:uid="{00000000-0005-0000-0000-000039040000}"/>
    <cellStyle name="Percent 2 4" xfId="1876" xr:uid="{00000000-0005-0000-0000-00003A040000}"/>
    <cellStyle name="Percent 2 4 2" xfId="1877" xr:uid="{00000000-0005-0000-0000-00003B040000}"/>
    <cellStyle name="Percent 2 5" xfId="1878" xr:uid="{00000000-0005-0000-0000-00003C040000}"/>
    <cellStyle name="Percent 2 5 2" xfId="1879" xr:uid="{00000000-0005-0000-0000-00003D040000}"/>
    <cellStyle name="Percent 2 6" xfId="1880" xr:uid="{00000000-0005-0000-0000-00003E040000}"/>
    <cellStyle name="Percent 2 7" xfId="1881" xr:uid="{00000000-0005-0000-0000-00003F040000}"/>
    <cellStyle name="Percent 2 8" xfId="1882" xr:uid="{00000000-0005-0000-0000-000040040000}"/>
    <cellStyle name="Percent 2 9" xfId="1883" xr:uid="{00000000-0005-0000-0000-000041040000}"/>
    <cellStyle name="Percent 3" xfId="765" xr:uid="{00000000-0005-0000-0000-000042040000}"/>
    <cellStyle name="Percent 3 2" xfId="766" xr:uid="{00000000-0005-0000-0000-000043040000}"/>
    <cellStyle name="Percent 3 3" xfId="1907" xr:uid="{00000000-0005-0000-0000-000044040000}"/>
    <cellStyle name="Percent 4" xfId="767" xr:uid="{00000000-0005-0000-0000-000045040000}"/>
    <cellStyle name="Percent 5" xfId="768" xr:uid="{00000000-0005-0000-0000-000046040000}"/>
    <cellStyle name="Percent 6" xfId="62" xr:uid="{00000000-0005-0000-0000-000047040000}"/>
    <cellStyle name="Percent 6 2" xfId="1572" xr:uid="{00000000-0005-0000-0000-000048040000}"/>
    <cellStyle name="Percent 7" xfId="1565" xr:uid="{00000000-0005-0000-0000-000049040000}"/>
    <cellStyle name="Percent 8" xfId="1884" xr:uid="{00000000-0005-0000-0000-00004A040000}"/>
    <cellStyle name="Percent 9" xfId="1904" xr:uid="{00000000-0005-0000-0000-00004B040000}"/>
    <cellStyle name="Percent Comma_ACB_growth case_update_01" xfId="769" xr:uid="{00000000-0005-0000-0000-00004C040000}"/>
    <cellStyle name="Percent.0" xfId="770" xr:uid="{00000000-0005-0000-0000-00004D040000}"/>
    <cellStyle name="Percent1" xfId="771" xr:uid="{00000000-0005-0000-0000-00004E040000}"/>
    <cellStyle name="Percent1Blue" xfId="772" xr:uid="{00000000-0005-0000-0000-00004F040000}"/>
    <cellStyle name="Percent2" xfId="773" xr:uid="{00000000-0005-0000-0000-000050040000}"/>
    <cellStyle name="Percent2Blue" xfId="774" xr:uid="{00000000-0005-0000-0000-000051040000}"/>
    <cellStyle name="PeriodName" xfId="63" xr:uid="{00000000-0005-0000-0000-000052040000}"/>
    <cellStyle name="Plain" xfId="775" xr:uid="{00000000-0005-0000-0000-000053040000}"/>
    <cellStyle name="Pounds" xfId="776" xr:uid="{00000000-0005-0000-0000-000054040000}"/>
    <cellStyle name="PrePop Currency (0)" xfId="777" xr:uid="{00000000-0005-0000-0000-000055040000}"/>
    <cellStyle name="PrePop Currency (2)" xfId="778" xr:uid="{00000000-0005-0000-0000-000056040000}"/>
    <cellStyle name="PrePop Units (0)" xfId="779" xr:uid="{00000000-0005-0000-0000-000057040000}"/>
    <cellStyle name="PrePop Units (1)" xfId="780" xr:uid="{00000000-0005-0000-0000-000058040000}"/>
    <cellStyle name="PrePop Units (2)" xfId="781" xr:uid="{00000000-0005-0000-0000-000059040000}"/>
    <cellStyle name="Price" xfId="782" xr:uid="{00000000-0005-0000-0000-00005A040000}"/>
    <cellStyle name="PriceUn" xfId="783" xr:uid="{00000000-0005-0000-0000-00005B040000}"/>
    <cellStyle name="pricing" xfId="784" xr:uid="{00000000-0005-0000-0000-00005C040000}"/>
    <cellStyle name="Product Title" xfId="785" xr:uid="{00000000-0005-0000-0000-00005D040000}"/>
    <cellStyle name="PSChar" xfId="786" xr:uid="{00000000-0005-0000-0000-00005E040000}"/>
    <cellStyle name="PSDec" xfId="787" xr:uid="{00000000-0005-0000-0000-00005F040000}"/>
    <cellStyle name="QYear" xfId="788" xr:uid="{00000000-0005-0000-0000-000060040000}"/>
    <cellStyle name="Randy" xfId="789" xr:uid="{00000000-0005-0000-0000-000061040000}"/>
    <cellStyle name="Rate" xfId="790" xr:uid="{00000000-0005-0000-0000-000062040000}"/>
    <cellStyle name="Reg5" xfId="791" xr:uid="{00000000-0005-0000-0000-000063040000}"/>
    <cellStyle name="Reset  - Style7" xfId="792" xr:uid="{00000000-0005-0000-0000-000064040000}"/>
    <cellStyle name="Revenue" xfId="793" xr:uid="{00000000-0005-0000-0000-000065040000}"/>
    <cellStyle name="RevList" xfId="794" xr:uid="{00000000-0005-0000-0000-000066040000}"/>
    <cellStyle name="Right" xfId="795" xr:uid="{00000000-0005-0000-0000-000067040000}"/>
    <cellStyle name="Right Margin" xfId="796" xr:uid="{00000000-0005-0000-0000-000068040000}"/>
    <cellStyle name="Roadrunner" xfId="797" xr:uid="{00000000-0005-0000-0000-000069040000}"/>
    <cellStyle name="RoomRate" xfId="798" xr:uid="{00000000-0005-0000-0000-00006A040000}"/>
    <cellStyle name="Rooms" xfId="799" xr:uid="{00000000-0005-0000-0000-00006B040000}"/>
    <cellStyle name="s" xfId="800" xr:uid="{00000000-0005-0000-0000-00006C040000}"/>
    <cellStyle name="s_DCFLBO Code" xfId="805" xr:uid="{00000000-0005-0000-0000-000071040000}"/>
    <cellStyle name="s_DCFLBO Code_1" xfId="806" xr:uid="{00000000-0005-0000-0000-000072040000}"/>
    <cellStyle name="s_HardInc " xfId="807" xr:uid="{00000000-0005-0000-0000-000073040000}"/>
    <cellStyle name="s_Valuation " xfId="808" xr:uid="{00000000-0005-0000-0000-000074040000}"/>
    <cellStyle name="s]_x000a__x000a_spooler=yes_x000a__x000a_run=_x000a__x000a_Beep=yes_x000a__x000a_NullPort=None_x000a__x000a_BorderWidth=3_x000a__x000a_CursorBlinkRate=530_x000a__x000a_DoubleClickSpeed=452_x000a__x000a_Programs=com" xfId="801" xr:uid="{00000000-0005-0000-0000-00006D040000}"/>
    <cellStyle name="s]_x000a__x000a_spooler=yes_x000a__x000a_run=_x000a__x000a_Beep=yes_x000a__x000a_NullPort=None_x000a__x000a_BorderWidth=3_x000a__x000a_CursorBlinkRate=530_x000a__x000a_DoubleClickSpeed=452_x000a__x000a_Programs=com " xfId="802" xr:uid="{00000000-0005-0000-0000-00006E040000}"/>
    <cellStyle name="s]_x000d__x000a_spooler=yes_x000d__x000a_run=_x000d__x000a_Beep=yes_x000d__x000a_NullPort=None_x000d__x000a_BorderWidth=3_x000d__x000a_CursorBlinkRate=530_x000d__x000a_DoubleClickSpeed=452_x000d__x000a_Programs=com" xfId="803" xr:uid="{00000000-0005-0000-0000-00006F040000}"/>
    <cellStyle name="s]_x000d__x000a_spooler=yes_x000d__x000a_run=_x000d__x000a_Beep=yes_x000d__x000a_NullPort=None_x000d__x000a_BorderWidth=3_x000d__x000a_CursorBlinkRate=530_x000d__x000a_DoubleClickSpeed=452_x000d__x000a_Programs=com " xfId="804" xr:uid="{00000000-0005-0000-0000-000070040000}"/>
    <cellStyle name="Salomon Logo" xfId="809" xr:uid="{00000000-0005-0000-0000-000075040000}"/>
    <cellStyle name="Scenario" xfId="810" xr:uid="{00000000-0005-0000-0000-000076040000}"/>
    <cellStyle name="ScotchRule" xfId="811" xr:uid="{00000000-0005-0000-0000-000077040000}"/>
    <cellStyle name="SectionTitle" xfId="812" xr:uid="{00000000-0005-0000-0000-000078040000}"/>
    <cellStyle name="Sheet Title" xfId="1885" xr:uid="{00000000-0005-0000-0000-000079040000}"/>
    <cellStyle name="ShOut" xfId="813" xr:uid="{00000000-0005-0000-0000-00007A040000}"/>
    <cellStyle name="Single Accounting" xfId="814" xr:uid="{00000000-0005-0000-0000-00007B040000}"/>
    <cellStyle name="Single Border" xfId="1886" xr:uid="{00000000-0005-0000-0000-00007C040000}"/>
    <cellStyle name="ssp " xfId="815" xr:uid="{00000000-0005-0000-0000-00007D040000}"/>
    <cellStyle name="Standard (0)" xfId="816" xr:uid="{00000000-0005-0000-0000-00007E040000}"/>
    <cellStyle name="Standard (1)" xfId="817" xr:uid="{00000000-0005-0000-0000-00007F040000}"/>
    <cellStyle name="Standard (2)" xfId="818" xr:uid="{00000000-0005-0000-0000-000080040000}"/>
    <cellStyle name="Standard_Tabelle1" xfId="819" xr:uid="{00000000-0005-0000-0000-000081040000}"/>
    <cellStyle name="STD Dark Title" xfId="820" xr:uid="{00000000-0005-0000-0000-000082040000}"/>
    <cellStyle name="STD Grey Input" xfId="821" xr:uid="{00000000-0005-0000-0000-000083040000}"/>
    <cellStyle name="STD Input Box BG" xfId="822" xr:uid="{00000000-0005-0000-0000-000084040000}"/>
    <cellStyle name="STYL1 - Style1" xfId="823" xr:uid="{00000000-0005-0000-0000-000085040000}"/>
    <cellStyle name="STYL1 - Style1 2" xfId="824" xr:uid="{00000000-0005-0000-0000-000086040000}"/>
    <cellStyle name="STYL2 - Style2" xfId="825" xr:uid="{00000000-0005-0000-0000-000087040000}"/>
    <cellStyle name="STYL2 - Style2 2" xfId="826" xr:uid="{00000000-0005-0000-0000-000088040000}"/>
    <cellStyle name="STYL3 - Style3" xfId="827" xr:uid="{00000000-0005-0000-0000-000089040000}"/>
    <cellStyle name="STYL4 - Style4" xfId="828" xr:uid="{00000000-0005-0000-0000-00008A040000}"/>
    <cellStyle name="STYL5 - Style5" xfId="829" xr:uid="{00000000-0005-0000-0000-00008B040000}"/>
    <cellStyle name="STYL5 - Style5 2" xfId="830" xr:uid="{00000000-0005-0000-0000-00008C040000}"/>
    <cellStyle name="STYL6 - Style6" xfId="831" xr:uid="{00000000-0005-0000-0000-00008D040000}"/>
    <cellStyle name="STYL6 - Style6 2" xfId="832" xr:uid="{00000000-0005-0000-0000-00008E040000}"/>
    <cellStyle name="Style 1" xfId="64" xr:uid="{00000000-0005-0000-0000-00008F040000}"/>
    <cellStyle name="Style 1031" xfId="833" xr:uid="{00000000-0005-0000-0000-000090040000}"/>
    <cellStyle name="Style 1123" xfId="834" xr:uid="{00000000-0005-0000-0000-000091040000}"/>
    <cellStyle name="Style 1124" xfId="835" xr:uid="{00000000-0005-0000-0000-000092040000}"/>
    <cellStyle name="Style 1125" xfId="836" xr:uid="{00000000-0005-0000-0000-000093040000}"/>
    <cellStyle name="Style 1126" xfId="837" xr:uid="{00000000-0005-0000-0000-000094040000}"/>
    <cellStyle name="Style 1127" xfId="838" xr:uid="{00000000-0005-0000-0000-000095040000}"/>
    <cellStyle name="Style 1128" xfId="839" xr:uid="{00000000-0005-0000-0000-000096040000}"/>
    <cellStyle name="Style 1129" xfId="840" xr:uid="{00000000-0005-0000-0000-000097040000}"/>
    <cellStyle name="Style 1130" xfId="841" xr:uid="{00000000-0005-0000-0000-000098040000}"/>
    <cellStyle name="Style 1133" xfId="842" xr:uid="{00000000-0005-0000-0000-000099040000}"/>
    <cellStyle name="Style 1134" xfId="843" xr:uid="{00000000-0005-0000-0000-00009A040000}"/>
    <cellStyle name="Style 1135" xfId="844" xr:uid="{00000000-0005-0000-0000-00009B040000}"/>
    <cellStyle name="Style 1136" xfId="845" xr:uid="{00000000-0005-0000-0000-00009C040000}"/>
    <cellStyle name="Style 1137" xfId="846" xr:uid="{00000000-0005-0000-0000-00009D040000}"/>
    <cellStyle name="Style 1138" xfId="847" xr:uid="{00000000-0005-0000-0000-00009E040000}"/>
    <cellStyle name="Style 1139" xfId="848" xr:uid="{00000000-0005-0000-0000-00009F040000}"/>
    <cellStyle name="Style 1140" xfId="849" xr:uid="{00000000-0005-0000-0000-0000A0040000}"/>
    <cellStyle name="Style 1141" xfId="850" xr:uid="{00000000-0005-0000-0000-0000A1040000}"/>
    <cellStyle name="Style 1163" xfId="1887" xr:uid="{00000000-0005-0000-0000-0000A2040000}"/>
    <cellStyle name="Style 1167" xfId="1888" xr:uid="{00000000-0005-0000-0000-0000A3040000}"/>
    <cellStyle name="Style 2" xfId="851" xr:uid="{00000000-0005-0000-0000-0000A4040000}"/>
    <cellStyle name="Style 213" xfId="852" xr:uid="{00000000-0005-0000-0000-0000A5040000}"/>
    <cellStyle name="Style 213 2" xfId="853" xr:uid="{00000000-0005-0000-0000-0000A6040000}"/>
    <cellStyle name="Style 214" xfId="854" xr:uid="{00000000-0005-0000-0000-0000A7040000}"/>
    <cellStyle name="Style 214 2" xfId="855" xr:uid="{00000000-0005-0000-0000-0000A8040000}"/>
    <cellStyle name="Style 215" xfId="856" xr:uid="{00000000-0005-0000-0000-0000A9040000}"/>
    <cellStyle name="Style 215 2" xfId="857" xr:uid="{00000000-0005-0000-0000-0000AA040000}"/>
    <cellStyle name="Style 216" xfId="858" xr:uid="{00000000-0005-0000-0000-0000AB040000}"/>
    <cellStyle name="Style 216 2" xfId="859" xr:uid="{00000000-0005-0000-0000-0000AC040000}"/>
    <cellStyle name="Style 217" xfId="860" xr:uid="{00000000-0005-0000-0000-0000AD040000}"/>
    <cellStyle name="Style 217 2" xfId="861" xr:uid="{00000000-0005-0000-0000-0000AE040000}"/>
    <cellStyle name="Style 218" xfId="862" xr:uid="{00000000-0005-0000-0000-0000AF040000}"/>
    <cellStyle name="Style 218 2" xfId="863" xr:uid="{00000000-0005-0000-0000-0000B0040000}"/>
    <cellStyle name="Style 219" xfId="864" xr:uid="{00000000-0005-0000-0000-0000B1040000}"/>
    <cellStyle name="Style 219 2" xfId="865" xr:uid="{00000000-0005-0000-0000-0000B2040000}"/>
    <cellStyle name="Style 220" xfId="866" xr:uid="{00000000-0005-0000-0000-0000B3040000}"/>
    <cellStyle name="Style 220 2" xfId="867" xr:uid="{00000000-0005-0000-0000-0000B4040000}"/>
    <cellStyle name="Style 221" xfId="868" xr:uid="{00000000-0005-0000-0000-0000B5040000}"/>
    <cellStyle name="Style 221 2" xfId="869" xr:uid="{00000000-0005-0000-0000-0000B6040000}"/>
    <cellStyle name="Style 222" xfId="870" xr:uid="{00000000-0005-0000-0000-0000B7040000}"/>
    <cellStyle name="Style 222 2" xfId="871" xr:uid="{00000000-0005-0000-0000-0000B8040000}"/>
    <cellStyle name="Style 223" xfId="872" xr:uid="{00000000-0005-0000-0000-0000B9040000}"/>
    <cellStyle name="Style 223 2" xfId="873" xr:uid="{00000000-0005-0000-0000-0000BA040000}"/>
    <cellStyle name="Style 224" xfId="874" xr:uid="{00000000-0005-0000-0000-0000BB040000}"/>
    <cellStyle name="Style 224 2" xfId="875" xr:uid="{00000000-0005-0000-0000-0000BC040000}"/>
    <cellStyle name="Style 225" xfId="876" xr:uid="{00000000-0005-0000-0000-0000BD040000}"/>
    <cellStyle name="Style 225 2" xfId="877" xr:uid="{00000000-0005-0000-0000-0000BE040000}"/>
    <cellStyle name="Style 226" xfId="878" xr:uid="{00000000-0005-0000-0000-0000BF040000}"/>
    <cellStyle name="Style 226 2" xfId="879" xr:uid="{00000000-0005-0000-0000-0000C0040000}"/>
    <cellStyle name="Style 227" xfId="880" xr:uid="{00000000-0005-0000-0000-0000C1040000}"/>
    <cellStyle name="Style 227 2" xfId="881" xr:uid="{00000000-0005-0000-0000-0000C2040000}"/>
    <cellStyle name="Style 228" xfId="882" xr:uid="{00000000-0005-0000-0000-0000C3040000}"/>
    <cellStyle name="Style 228 2" xfId="883" xr:uid="{00000000-0005-0000-0000-0000C4040000}"/>
    <cellStyle name="Style 229" xfId="884" xr:uid="{00000000-0005-0000-0000-0000C5040000}"/>
    <cellStyle name="Style 229 2" xfId="885" xr:uid="{00000000-0005-0000-0000-0000C6040000}"/>
    <cellStyle name="Style 230" xfId="886" xr:uid="{00000000-0005-0000-0000-0000C7040000}"/>
    <cellStyle name="Style 230 2" xfId="887" xr:uid="{00000000-0005-0000-0000-0000C8040000}"/>
    <cellStyle name="Style 231" xfId="888" xr:uid="{00000000-0005-0000-0000-0000C9040000}"/>
    <cellStyle name="Style 231 2" xfId="889" xr:uid="{00000000-0005-0000-0000-0000CA040000}"/>
    <cellStyle name="Style 232" xfId="890" xr:uid="{00000000-0005-0000-0000-0000CB040000}"/>
    <cellStyle name="Style 232 2" xfId="891" xr:uid="{00000000-0005-0000-0000-0000CC040000}"/>
    <cellStyle name="Style 233" xfId="892" xr:uid="{00000000-0005-0000-0000-0000CD040000}"/>
    <cellStyle name="Style 233 2" xfId="893" xr:uid="{00000000-0005-0000-0000-0000CE040000}"/>
    <cellStyle name="Style 234" xfId="894" xr:uid="{00000000-0005-0000-0000-0000CF040000}"/>
    <cellStyle name="Style 234 2" xfId="895" xr:uid="{00000000-0005-0000-0000-0000D0040000}"/>
    <cellStyle name="Style 235" xfId="896" xr:uid="{00000000-0005-0000-0000-0000D1040000}"/>
    <cellStyle name="Style 235 2" xfId="897" xr:uid="{00000000-0005-0000-0000-0000D2040000}"/>
    <cellStyle name="Style 236" xfId="898" xr:uid="{00000000-0005-0000-0000-0000D3040000}"/>
    <cellStyle name="Style 236 2" xfId="899" xr:uid="{00000000-0005-0000-0000-0000D4040000}"/>
    <cellStyle name="Style 237" xfId="900" xr:uid="{00000000-0005-0000-0000-0000D5040000}"/>
    <cellStyle name="Style 237 2" xfId="901" xr:uid="{00000000-0005-0000-0000-0000D6040000}"/>
    <cellStyle name="Style 238" xfId="902" xr:uid="{00000000-0005-0000-0000-0000D7040000}"/>
    <cellStyle name="Style 238 2" xfId="903" xr:uid="{00000000-0005-0000-0000-0000D8040000}"/>
    <cellStyle name="Style 239" xfId="904" xr:uid="{00000000-0005-0000-0000-0000D9040000}"/>
    <cellStyle name="Style 239 2" xfId="905" xr:uid="{00000000-0005-0000-0000-0000DA040000}"/>
    <cellStyle name="Style 240" xfId="906" xr:uid="{00000000-0005-0000-0000-0000DB040000}"/>
    <cellStyle name="Style 240 2" xfId="907" xr:uid="{00000000-0005-0000-0000-0000DC040000}"/>
    <cellStyle name="Style 241" xfId="908" xr:uid="{00000000-0005-0000-0000-0000DD040000}"/>
    <cellStyle name="Style 241 2" xfId="909" xr:uid="{00000000-0005-0000-0000-0000DE040000}"/>
    <cellStyle name="Style 242" xfId="910" xr:uid="{00000000-0005-0000-0000-0000DF040000}"/>
    <cellStyle name="Style 242 2" xfId="911" xr:uid="{00000000-0005-0000-0000-0000E0040000}"/>
    <cellStyle name="Style 243" xfId="912" xr:uid="{00000000-0005-0000-0000-0000E1040000}"/>
    <cellStyle name="Style 243 2" xfId="913" xr:uid="{00000000-0005-0000-0000-0000E2040000}"/>
    <cellStyle name="Style 244" xfId="914" xr:uid="{00000000-0005-0000-0000-0000E3040000}"/>
    <cellStyle name="Style 244 2" xfId="915" xr:uid="{00000000-0005-0000-0000-0000E4040000}"/>
    <cellStyle name="Style 245" xfId="916" xr:uid="{00000000-0005-0000-0000-0000E5040000}"/>
    <cellStyle name="Style 245 2" xfId="917" xr:uid="{00000000-0005-0000-0000-0000E6040000}"/>
    <cellStyle name="Style 246" xfId="918" xr:uid="{00000000-0005-0000-0000-0000E7040000}"/>
    <cellStyle name="Style 246 2" xfId="919" xr:uid="{00000000-0005-0000-0000-0000E8040000}"/>
    <cellStyle name="Style 247" xfId="920" xr:uid="{00000000-0005-0000-0000-0000E9040000}"/>
    <cellStyle name="Style 247 2" xfId="921" xr:uid="{00000000-0005-0000-0000-0000EA040000}"/>
    <cellStyle name="Style 248" xfId="922" xr:uid="{00000000-0005-0000-0000-0000EB040000}"/>
    <cellStyle name="Style 248 2" xfId="923" xr:uid="{00000000-0005-0000-0000-0000EC040000}"/>
    <cellStyle name="Style 249" xfId="924" xr:uid="{00000000-0005-0000-0000-0000ED040000}"/>
    <cellStyle name="Style 249 2" xfId="925" xr:uid="{00000000-0005-0000-0000-0000EE040000}"/>
    <cellStyle name="Style 250" xfId="926" xr:uid="{00000000-0005-0000-0000-0000EF040000}"/>
    <cellStyle name="Style 250 2" xfId="927" xr:uid="{00000000-0005-0000-0000-0000F0040000}"/>
    <cellStyle name="Style 251" xfId="928" xr:uid="{00000000-0005-0000-0000-0000F1040000}"/>
    <cellStyle name="Style 251 2" xfId="929" xr:uid="{00000000-0005-0000-0000-0000F2040000}"/>
    <cellStyle name="Style 252" xfId="930" xr:uid="{00000000-0005-0000-0000-0000F3040000}"/>
    <cellStyle name="Style 252 2" xfId="931" xr:uid="{00000000-0005-0000-0000-0000F4040000}"/>
    <cellStyle name="Style 253" xfId="932" xr:uid="{00000000-0005-0000-0000-0000F5040000}"/>
    <cellStyle name="Style 253 2" xfId="933" xr:uid="{00000000-0005-0000-0000-0000F6040000}"/>
    <cellStyle name="Style 254" xfId="934" xr:uid="{00000000-0005-0000-0000-0000F7040000}"/>
    <cellStyle name="Style 254 2" xfId="935" xr:uid="{00000000-0005-0000-0000-0000F8040000}"/>
    <cellStyle name="Style 255" xfId="936" xr:uid="{00000000-0005-0000-0000-0000F9040000}"/>
    <cellStyle name="Style 255 2" xfId="937" xr:uid="{00000000-0005-0000-0000-0000FA040000}"/>
    <cellStyle name="Style 256" xfId="938" xr:uid="{00000000-0005-0000-0000-0000FB040000}"/>
    <cellStyle name="Style 256 2" xfId="939" xr:uid="{00000000-0005-0000-0000-0000FC040000}"/>
    <cellStyle name="Style 257" xfId="940" xr:uid="{00000000-0005-0000-0000-0000FD040000}"/>
    <cellStyle name="Style 257 2" xfId="941" xr:uid="{00000000-0005-0000-0000-0000FE040000}"/>
    <cellStyle name="Style 258" xfId="942" xr:uid="{00000000-0005-0000-0000-0000FF040000}"/>
    <cellStyle name="Style 258 2" xfId="943" xr:uid="{00000000-0005-0000-0000-000000050000}"/>
    <cellStyle name="Style 259" xfId="944" xr:uid="{00000000-0005-0000-0000-000001050000}"/>
    <cellStyle name="Style 259 2" xfId="945" xr:uid="{00000000-0005-0000-0000-000002050000}"/>
    <cellStyle name="Style 260" xfId="946" xr:uid="{00000000-0005-0000-0000-000003050000}"/>
    <cellStyle name="Style 260 2" xfId="947" xr:uid="{00000000-0005-0000-0000-000004050000}"/>
    <cellStyle name="Style 261" xfId="948" xr:uid="{00000000-0005-0000-0000-000005050000}"/>
    <cellStyle name="Style 261 2" xfId="949" xr:uid="{00000000-0005-0000-0000-000006050000}"/>
    <cellStyle name="Style 262" xfId="950" xr:uid="{00000000-0005-0000-0000-000007050000}"/>
    <cellStyle name="Style 262 2" xfId="951" xr:uid="{00000000-0005-0000-0000-000008050000}"/>
    <cellStyle name="Style 263" xfId="952" xr:uid="{00000000-0005-0000-0000-000009050000}"/>
    <cellStyle name="Style 263 2" xfId="953" xr:uid="{00000000-0005-0000-0000-00000A050000}"/>
    <cellStyle name="Style 264" xfId="954" xr:uid="{00000000-0005-0000-0000-00000B050000}"/>
    <cellStyle name="Style 264 2" xfId="955" xr:uid="{00000000-0005-0000-0000-00000C050000}"/>
    <cellStyle name="Style 265" xfId="956" xr:uid="{00000000-0005-0000-0000-00000D050000}"/>
    <cellStyle name="Style 265 2" xfId="957" xr:uid="{00000000-0005-0000-0000-00000E050000}"/>
    <cellStyle name="Style 266" xfId="958" xr:uid="{00000000-0005-0000-0000-00000F050000}"/>
    <cellStyle name="Style 266 2" xfId="959" xr:uid="{00000000-0005-0000-0000-000010050000}"/>
    <cellStyle name="Style 3" xfId="960" xr:uid="{00000000-0005-0000-0000-000011050000}"/>
    <cellStyle name="Style 307" xfId="961" xr:uid="{00000000-0005-0000-0000-000012050000}"/>
    <cellStyle name="Style 307 2" xfId="962" xr:uid="{00000000-0005-0000-0000-000013050000}"/>
    <cellStyle name="Style 308" xfId="963" xr:uid="{00000000-0005-0000-0000-000014050000}"/>
    <cellStyle name="Style 308 2" xfId="964" xr:uid="{00000000-0005-0000-0000-000015050000}"/>
    <cellStyle name="Style 309" xfId="965" xr:uid="{00000000-0005-0000-0000-000016050000}"/>
    <cellStyle name="Style 309 2" xfId="966" xr:uid="{00000000-0005-0000-0000-000017050000}"/>
    <cellStyle name="Style 310" xfId="967" xr:uid="{00000000-0005-0000-0000-000018050000}"/>
    <cellStyle name="Style 310 2" xfId="968" xr:uid="{00000000-0005-0000-0000-000019050000}"/>
    <cellStyle name="Style 311" xfId="969" xr:uid="{00000000-0005-0000-0000-00001A050000}"/>
    <cellStyle name="Style 311 2" xfId="970" xr:uid="{00000000-0005-0000-0000-00001B050000}"/>
    <cellStyle name="Style 312" xfId="971" xr:uid="{00000000-0005-0000-0000-00001C050000}"/>
    <cellStyle name="Style 312 2" xfId="972" xr:uid="{00000000-0005-0000-0000-00001D050000}"/>
    <cellStyle name="Style 313" xfId="973" xr:uid="{00000000-0005-0000-0000-00001E050000}"/>
    <cellStyle name="Style 313 2" xfId="974" xr:uid="{00000000-0005-0000-0000-00001F050000}"/>
    <cellStyle name="Style 314" xfId="975" xr:uid="{00000000-0005-0000-0000-000020050000}"/>
    <cellStyle name="Style 314 2" xfId="976" xr:uid="{00000000-0005-0000-0000-000021050000}"/>
    <cellStyle name="Style 315" xfId="977" xr:uid="{00000000-0005-0000-0000-000022050000}"/>
    <cellStyle name="Style 315 2" xfId="978" xr:uid="{00000000-0005-0000-0000-000023050000}"/>
    <cellStyle name="Style 316" xfId="979" xr:uid="{00000000-0005-0000-0000-000024050000}"/>
    <cellStyle name="Style 316 2" xfId="980" xr:uid="{00000000-0005-0000-0000-000025050000}"/>
    <cellStyle name="Style 317" xfId="981" xr:uid="{00000000-0005-0000-0000-000026050000}"/>
    <cellStyle name="Style 317 2" xfId="982" xr:uid="{00000000-0005-0000-0000-000027050000}"/>
    <cellStyle name="Style 318" xfId="983" xr:uid="{00000000-0005-0000-0000-000028050000}"/>
    <cellStyle name="Style 318 2" xfId="984" xr:uid="{00000000-0005-0000-0000-000029050000}"/>
    <cellStyle name="Style 319" xfId="985" xr:uid="{00000000-0005-0000-0000-00002A050000}"/>
    <cellStyle name="Style 319 2" xfId="986" xr:uid="{00000000-0005-0000-0000-00002B050000}"/>
    <cellStyle name="Style 320" xfId="987" xr:uid="{00000000-0005-0000-0000-00002C050000}"/>
    <cellStyle name="Style 320 2" xfId="988" xr:uid="{00000000-0005-0000-0000-00002D050000}"/>
    <cellStyle name="Style 321" xfId="989" xr:uid="{00000000-0005-0000-0000-00002E050000}"/>
    <cellStyle name="Style 321 2" xfId="990" xr:uid="{00000000-0005-0000-0000-00002F050000}"/>
    <cellStyle name="Style 322" xfId="991" xr:uid="{00000000-0005-0000-0000-000030050000}"/>
    <cellStyle name="Style 322 2" xfId="992" xr:uid="{00000000-0005-0000-0000-000031050000}"/>
    <cellStyle name="Style 351" xfId="993" xr:uid="{00000000-0005-0000-0000-000032050000}"/>
    <cellStyle name="Style 351 2" xfId="994" xr:uid="{00000000-0005-0000-0000-000033050000}"/>
    <cellStyle name="Style 352" xfId="995" xr:uid="{00000000-0005-0000-0000-000034050000}"/>
    <cellStyle name="Style 352 2" xfId="996" xr:uid="{00000000-0005-0000-0000-000035050000}"/>
    <cellStyle name="Style 353" xfId="997" xr:uid="{00000000-0005-0000-0000-000036050000}"/>
    <cellStyle name="Style 353 2" xfId="998" xr:uid="{00000000-0005-0000-0000-000037050000}"/>
    <cellStyle name="Style 354" xfId="999" xr:uid="{00000000-0005-0000-0000-000038050000}"/>
    <cellStyle name="Style 354 2" xfId="1000" xr:uid="{00000000-0005-0000-0000-000039050000}"/>
    <cellStyle name="Style 355" xfId="1001" xr:uid="{00000000-0005-0000-0000-00003A050000}"/>
    <cellStyle name="Style 355 2" xfId="1002" xr:uid="{00000000-0005-0000-0000-00003B050000}"/>
    <cellStyle name="Style 356" xfId="1003" xr:uid="{00000000-0005-0000-0000-00003C050000}"/>
    <cellStyle name="Style 356 2" xfId="1004" xr:uid="{00000000-0005-0000-0000-00003D050000}"/>
    <cellStyle name="Style 357" xfId="1005" xr:uid="{00000000-0005-0000-0000-00003E050000}"/>
    <cellStyle name="Style 357 2" xfId="1006" xr:uid="{00000000-0005-0000-0000-00003F050000}"/>
    <cellStyle name="Style 358" xfId="1007" xr:uid="{00000000-0005-0000-0000-000040050000}"/>
    <cellStyle name="Style 358 2" xfId="1008" xr:uid="{00000000-0005-0000-0000-000041050000}"/>
    <cellStyle name="Style 359" xfId="1009" xr:uid="{00000000-0005-0000-0000-000042050000}"/>
    <cellStyle name="Style 359 2" xfId="1010" xr:uid="{00000000-0005-0000-0000-000043050000}"/>
    <cellStyle name="Style 360" xfId="1011" xr:uid="{00000000-0005-0000-0000-000044050000}"/>
    <cellStyle name="Style 360 2" xfId="1012" xr:uid="{00000000-0005-0000-0000-000045050000}"/>
    <cellStyle name="Style 361" xfId="1013" xr:uid="{00000000-0005-0000-0000-000046050000}"/>
    <cellStyle name="Style 361 2" xfId="1014" xr:uid="{00000000-0005-0000-0000-000047050000}"/>
    <cellStyle name="Style 362" xfId="1015" xr:uid="{00000000-0005-0000-0000-000048050000}"/>
    <cellStyle name="Style 362 2" xfId="1016" xr:uid="{00000000-0005-0000-0000-000049050000}"/>
    <cellStyle name="Style 363" xfId="1017" xr:uid="{00000000-0005-0000-0000-00004A050000}"/>
    <cellStyle name="Style 363 2" xfId="1018" xr:uid="{00000000-0005-0000-0000-00004B050000}"/>
    <cellStyle name="Style 364" xfId="1019" xr:uid="{00000000-0005-0000-0000-00004C050000}"/>
    <cellStyle name="Style 364 2" xfId="1020" xr:uid="{00000000-0005-0000-0000-00004D050000}"/>
    <cellStyle name="Style 365" xfId="1021" xr:uid="{00000000-0005-0000-0000-00004E050000}"/>
    <cellStyle name="Style 365 2" xfId="1022" xr:uid="{00000000-0005-0000-0000-00004F050000}"/>
    <cellStyle name="Style 366" xfId="1023" xr:uid="{00000000-0005-0000-0000-000050050000}"/>
    <cellStyle name="Style 366 2" xfId="1024" xr:uid="{00000000-0005-0000-0000-000051050000}"/>
    <cellStyle name="Style 367" xfId="1025" xr:uid="{00000000-0005-0000-0000-000052050000}"/>
    <cellStyle name="Style 367 2" xfId="1026" xr:uid="{00000000-0005-0000-0000-000053050000}"/>
    <cellStyle name="Style 368" xfId="1027" xr:uid="{00000000-0005-0000-0000-000054050000}"/>
    <cellStyle name="Style 368 2" xfId="1028" xr:uid="{00000000-0005-0000-0000-000055050000}"/>
    <cellStyle name="Style 369" xfId="1029" xr:uid="{00000000-0005-0000-0000-000056050000}"/>
    <cellStyle name="Style 369 2" xfId="1030" xr:uid="{00000000-0005-0000-0000-000057050000}"/>
    <cellStyle name="Style 370" xfId="1031" xr:uid="{00000000-0005-0000-0000-000058050000}"/>
    <cellStyle name="Style 370 2" xfId="1032" xr:uid="{00000000-0005-0000-0000-000059050000}"/>
    <cellStyle name="Style 371" xfId="1033" xr:uid="{00000000-0005-0000-0000-00005A050000}"/>
    <cellStyle name="Style 371 2" xfId="1034" xr:uid="{00000000-0005-0000-0000-00005B050000}"/>
    <cellStyle name="Style 372" xfId="1035" xr:uid="{00000000-0005-0000-0000-00005C050000}"/>
    <cellStyle name="Style 372 2" xfId="1036" xr:uid="{00000000-0005-0000-0000-00005D050000}"/>
    <cellStyle name="Style 373" xfId="1037" xr:uid="{00000000-0005-0000-0000-00005E050000}"/>
    <cellStyle name="Style 373 2" xfId="1038" xr:uid="{00000000-0005-0000-0000-00005F050000}"/>
    <cellStyle name="Style 374" xfId="1039" xr:uid="{00000000-0005-0000-0000-000060050000}"/>
    <cellStyle name="Style 374 2" xfId="1040" xr:uid="{00000000-0005-0000-0000-000061050000}"/>
    <cellStyle name="Style 375" xfId="1041" xr:uid="{00000000-0005-0000-0000-000062050000}"/>
    <cellStyle name="Style 375 2" xfId="1042" xr:uid="{00000000-0005-0000-0000-000063050000}"/>
    <cellStyle name="Style 376" xfId="1043" xr:uid="{00000000-0005-0000-0000-000064050000}"/>
    <cellStyle name="Style 376 2" xfId="1044" xr:uid="{00000000-0005-0000-0000-000065050000}"/>
    <cellStyle name="Style 377" xfId="1045" xr:uid="{00000000-0005-0000-0000-000066050000}"/>
    <cellStyle name="Style 377 2" xfId="1046" xr:uid="{00000000-0005-0000-0000-000067050000}"/>
    <cellStyle name="Style 378" xfId="1047" xr:uid="{00000000-0005-0000-0000-000068050000}"/>
    <cellStyle name="Style 378 2" xfId="1048" xr:uid="{00000000-0005-0000-0000-000069050000}"/>
    <cellStyle name="Style 379" xfId="1049" xr:uid="{00000000-0005-0000-0000-00006A050000}"/>
    <cellStyle name="Style 379 2" xfId="1050" xr:uid="{00000000-0005-0000-0000-00006B050000}"/>
    <cellStyle name="Style 380" xfId="1051" xr:uid="{00000000-0005-0000-0000-00006C050000}"/>
    <cellStyle name="Style 380 2" xfId="1052" xr:uid="{00000000-0005-0000-0000-00006D050000}"/>
    <cellStyle name="Style 381" xfId="1053" xr:uid="{00000000-0005-0000-0000-00006E050000}"/>
    <cellStyle name="Style 381 2" xfId="1054" xr:uid="{00000000-0005-0000-0000-00006F050000}"/>
    <cellStyle name="Style 382" xfId="1055" xr:uid="{00000000-0005-0000-0000-000070050000}"/>
    <cellStyle name="Style 382 2" xfId="1056" xr:uid="{00000000-0005-0000-0000-000071050000}"/>
    <cellStyle name="Style 383" xfId="1057" xr:uid="{00000000-0005-0000-0000-000072050000}"/>
    <cellStyle name="Style 383 2" xfId="1058" xr:uid="{00000000-0005-0000-0000-000073050000}"/>
    <cellStyle name="Style 384" xfId="1059" xr:uid="{00000000-0005-0000-0000-000074050000}"/>
    <cellStyle name="Style 384 2" xfId="1060" xr:uid="{00000000-0005-0000-0000-000075050000}"/>
    <cellStyle name="Style 385" xfId="1061" xr:uid="{00000000-0005-0000-0000-000076050000}"/>
    <cellStyle name="Style 385 2" xfId="1062" xr:uid="{00000000-0005-0000-0000-000077050000}"/>
    <cellStyle name="Style 386" xfId="1063" xr:uid="{00000000-0005-0000-0000-000078050000}"/>
    <cellStyle name="Style 386 2" xfId="1064" xr:uid="{00000000-0005-0000-0000-000079050000}"/>
    <cellStyle name="Style 387" xfId="1065" xr:uid="{00000000-0005-0000-0000-00007A050000}"/>
    <cellStyle name="Style 387 2" xfId="1066" xr:uid="{00000000-0005-0000-0000-00007B050000}"/>
    <cellStyle name="Style 388" xfId="1067" xr:uid="{00000000-0005-0000-0000-00007C050000}"/>
    <cellStyle name="Style 388 2" xfId="1068" xr:uid="{00000000-0005-0000-0000-00007D050000}"/>
    <cellStyle name="Style 389" xfId="1069" xr:uid="{00000000-0005-0000-0000-00007E050000}"/>
    <cellStyle name="Style 389 2" xfId="1070" xr:uid="{00000000-0005-0000-0000-00007F050000}"/>
    <cellStyle name="Style 390" xfId="1071" xr:uid="{00000000-0005-0000-0000-000080050000}"/>
    <cellStyle name="Style 390 2" xfId="1072" xr:uid="{00000000-0005-0000-0000-000081050000}"/>
    <cellStyle name="Style 391" xfId="1073" xr:uid="{00000000-0005-0000-0000-000082050000}"/>
    <cellStyle name="Style 391 2" xfId="1074" xr:uid="{00000000-0005-0000-0000-000083050000}"/>
    <cellStyle name="Style 392" xfId="1075" xr:uid="{00000000-0005-0000-0000-000084050000}"/>
    <cellStyle name="Style 392 2" xfId="1076" xr:uid="{00000000-0005-0000-0000-000085050000}"/>
    <cellStyle name="Style 393" xfId="1077" xr:uid="{00000000-0005-0000-0000-000086050000}"/>
    <cellStyle name="Style 393 2" xfId="1078" xr:uid="{00000000-0005-0000-0000-000087050000}"/>
    <cellStyle name="Style 394" xfId="1079" xr:uid="{00000000-0005-0000-0000-000088050000}"/>
    <cellStyle name="Style 394 2" xfId="1080" xr:uid="{00000000-0005-0000-0000-000089050000}"/>
    <cellStyle name="Style 395" xfId="1081" xr:uid="{00000000-0005-0000-0000-00008A050000}"/>
    <cellStyle name="Style 395 2" xfId="1082" xr:uid="{00000000-0005-0000-0000-00008B050000}"/>
    <cellStyle name="Style 396" xfId="1083" xr:uid="{00000000-0005-0000-0000-00008C050000}"/>
    <cellStyle name="Style 396 2" xfId="1084" xr:uid="{00000000-0005-0000-0000-00008D050000}"/>
    <cellStyle name="Style 397" xfId="1085" xr:uid="{00000000-0005-0000-0000-00008E050000}"/>
    <cellStyle name="Style 397 2" xfId="1086" xr:uid="{00000000-0005-0000-0000-00008F050000}"/>
    <cellStyle name="Style 398" xfId="1087" xr:uid="{00000000-0005-0000-0000-000090050000}"/>
    <cellStyle name="Style 398 2" xfId="1088" xr:uid="{00000000-0005-0000-0000-000091050000}"/>
    <cellStyle name="Style 399" xfId="1089" xr:uid="{00000000-0005-0000-0000-000092050000}"/>
    <cellStyle name="Style 399 2" xfId="1090" xr:uid="{00000000-0005-0000-0000-000093050000}"/>
    <cellStyle name="Style 400" xfId="1091" xr:uid="{00000000-0005-0000-0000-000094050000}"/>
    <cellStyle name="Style 400 2" xfId="1092" xr:uid="{00000000-0005-0000-0000-000095050000}"/>
    <cellStyle name="Style 401" xfId="1093" xr:uid="{00000000-0005-0000-0000-000096050000}"/>
    <cellStyle name="Style 401 2" xfId="1094" xr:uid="{00000000-0005-0000-0000-000097050000}"/>
    <cellStyle name="Style 402" xfId="1095" xr:uid="{00000000-0005-0000-0000-000098050000}"/>
    <cellStyle name="Style 402 2" xfId="1096" xr:uid="{00000000-0005-0000-0000-000099050000}"/>
    <cellStyle name="Style 403" xfId="1097" xr:uid="{00000000-0005-0000-0000-00009A050000}"/>
    <cellStyle name="Style 403 2" xfId="1098" xr:uid="{00000000-0005-0000-0000-00009B050000}"/>
    <cellStyle name="Style 404" xfId="1099" xr:uid="{00000000-0005-0000-0000-00009C050000}"/>
    <cellStyle name="Style 404 2" xfId="1100" xr:uid="{00000000-0005-0000-0000-00009D050000}"/>
    <cellStyle name="Style 405" xfId="1101" xr:uid="{00000000-0005-0000-0000-00009E050000}"/>
    <cellStyle name="Style 405 2" xfId="1102" xr:uid="{00000000-0005-0000-0000-00009F050000}"/>
    <cellStyle name="Style 406" xfId="1103" xr:uid="{00000000-0005-0000-0000-0000A0050000}"/>
    <cellStyle name="Style 406 2" xfId="1104" xr:uid="{00000000-0005-0000-0000-0000A1050000}"/>
    <cellStyle name="Style 407" xfId="1105" xr:uid="{00000000-0005-0000-0000-0000A2050000}"/>
    <cellStyle name="Style 407 2" xfId="1106" xr:uid="{00000000-0005-0000-0000-0000A3050000}"/>
    <cellStyle name="Style 408" xfId="1107" xr:uid="{00000000-0005-0000-0000-0000A4050000}"/>
    <cellStyle name="Style 408 2" xfId="1108" xr:uid="{00000000-0005-0000-0000-0000A5050000}"/>
    <cellStyle name="Style 409" xfId="1109" xr:uid="{00000000-0005-0000-0000-0000A6050000}"/>
    <cellStyle name="Style 409 2" xfId="1110" xr:uid="{00000000-0005-0000-0000-0000A7050000}"/>
    <cellStyle name="Style 410" xfId="1111" xr:uid="{00000000-0005-0000-0000-0000A8050000}"/>
    <cellStyle name="Style 410 2" xfId="1112" xr:uid="{00000000-0005-0000-0000-0000A9050000}"/>
    <cellStyle name="Style 411" xfId="1113" xr:uid="{00000000-0005-0000-0000-0000AA050000}"/>
    <cellStyle name="Style 411 2" xfId="1114" xr:uid="{00000000-0005-0000-0000-0000AB050000}"/>
    <cellStyle name="Style 412" xfId="1115" xr:uid="{00000000-0005-0000-0000-0000AC050000}"/>
    <cellStyle name="Style 413" xfId="1116" xr:uid="{00000000-0005-0000-0000-0000AD050000}"/>
    <cellStyle name="Style 413 2" xfId="1117" xr:uid="{00000000-0005-0000-0000-0000AE050000}"/>
    <cellStyle name="Style 414" xfId="1118" xr:uid="{00000000-0005-0000-0000-0000AF050000}"/>
    <cellStyle name="Style 414 2" xfId="1119" xr:uid="{00000000-0005-0000-0000-0000B0050000}"/>
    <cellStyle name="Style 415" xfId="1120" xr:uid="{00000000-0005-0000-0000-0000B1050000}"/>
    <cellStyle name="Style 415 2" xfId="1121" xr:uid="{00000000-0005-0000-0000-0000B2050000}"/>
    <cellStyle name="Style 416" xfId="1122" xr:uid="{00000000-0005-0000-0000-0000B3050000}"/>
    <cellStyle name="Style 416 2" xfId="1123" xr:uid="{00000000-0005-0000-0000-0000B4050000}"/>
    <cellStyle name="Style 417" xfId="1124" xr:uid="{00000000-0005-0000-0000-0000B5050000}"/>
    <cellStyle name="Style 417 2" xfId="1125" xr:uid="{00000000-0005-0000-0000-0000B6050000}"/>
    <cellStyle name="Style 418" xfId="1126" xr:uid="{00000000-0005-0000-0000-0000B7050000}"/>
    <cellStyle name="Style 418 2" xfId="1127" xr:uid="{00000000-0005-0000-0000-0000B8050000}"/>
    <cellStyle name="Style 419" xfId="1128" xr:uid="{00000000-0005-0000-0000-0000B9050000}"/>
    <cellStyle name="Style 419 2" xfId="1129" xr:uid="{00000000-0005-0000-0000-0000BA050000}"/>
    <cellStyle name="Style 420" xfId="1130" xr:uid="{00000000-0005-0000-0000-0000BB050000}"/>
    <cellStyle name="Style 420 2" xfId="1131" xr:uid="{00000000-0005-0000-0000-0000BC050000}"/>
    <cellStyle name="Style 433" xfId="1132" xr:uid="{00000000-0005-0000-0000-0000BD050000}"/>
    <cellStyle name="Style 434" xfId="1133" xr:uid="{00000000-0005-0000-0000-0000BE050000}"/>
    <cellStyle name="Style 435" xfId="1134" xr:uid="{00000000-0005-0000-0000-0000BF050000}"/>
    <cellStyle name="Style 436" xfId="1135" xr:uid="{00000000-0005-0000-0000-0000C0050000}"/>
    <cellStyle name="Style 437" xfId="1136" xr:uid="{00000000-0005-0000-0000-0000C1050000}"/>
    <cellStyle name="Style 438" xfId="1137" xr:uid="{00000000-0005-0000-0000-0000C2050000}"/>
    <cellStyle name="Style 439" xfId="1138" xr:uid="{00000000-0005-0000-0000-0000C3050000}"/>
    <cellStyle name="Style 440" xfId="1139" xr:uid="{00000000-0005-0000-0000-0000C4050000}"/>
    <cellStyle name="Style 441" xfId="1140" xr:uid="{00000000-0005-0000-0000-0000C5050000}"/>
    <cellStyle name="Style 442" xfId="1141" xr:uid="{00000000-0005-0000-0000-0000C6050000}"/>
    <cellStyle name="Style 443" xfId="1142" xr:uid="{00000000-0005-0000-0000-0000C7050000}"/>
    <cellStyle name="Style 444" xfId="1143" xr:uid="{00000000-0005-0000-0000-0000C8050000}"/>
    <cellStyle name="Style 445" xfId="1144" xr:uid="{00000000-0005-0000-0000-0000C9050000}"/>
    <cellStyle name="Style 446" xfId="1145" xr:uid="{00000000-0005-0000-0000-0000CA050000}"/>
    <cellStyle name="Style 447" xfId="1146" xr:uid="{00000000-0005-0000-0000-0000CB050000}"/>
    <cellStyle name="Style 448" xfId="1147" xr:uid="{00000000-0005-0000-0000-0000CC050000}"/>
    <cellStyle name="Style 449" xfId="1148" xr:uid="{00000000-0005-0000-0000-0000CD050000}"/>
    <cellStyle name="Style 450" xfId="1149" xr:uid="{00000000-0005-0000-0000-0000CE050000}"/>
    <cellStyle name="Style 451" xfId="1150" xr:uid="{00000000-0005-0000-0000-0000CF050000}"/>
    <cellStyle name="Style 452" xfId="1151" xr:uid="{00000000-0005-0000-0000-0000D0050000}"/>
    <cellStyle name="Style 453" xfId="1152" xr:uid="{00000000-0005-0000-0000-0000D1050000}"/>
    <cellStyle name="Style 454" xfId="1889" xr:uid="{00000000-0005-0000-0000-0000D2050000}"/>
    <cellStyle name="Style 459" xfId="1153" xr:uid="{00000000-0005-0000-0000-0000D3050000}"/>
    <cellStyle name="Style 459 2" xfId="1154" xr:uid="{00000000-0005-0000-0000-0000D4050000}"/>
    <cellStyle name="Style 460" xfId="1155" xr:uid="{00000000-0005-0000-0000-0000D5050000}"/>
    <cellStyle name="Style 460 2" xfId="1156" xr:uid="{00000000-0005-0000-0000-0000D6050000}"/>
    <cellStyle name="Style 461" xfId="1157" xr:uid="{00000000-0005-0000-0000-0000D7050000}"/>
    <cellStyle name="Style 461 2" xfId="1158" xr:uid="{00000000-0005-0000-0000-0000D8050000}"/>
    <cellStyle name="Style 462" xfId="1159" xr:uid="{00000000-0005-0000-0000-0000D9050000}"/>
    <cellStyle name="Style 462 2" xfId="1160" xr:uid="{00000000-0005-0000-0000-0000DA050000}"/>
    <cellStyle name="Style 463" xfId="1161" xr:uid="{00000000-0005-0000-0000-0000DB050000}"/>
    <cellStyle name="Style 463 2" xfId="1162" xr:uid="{00000000-0005-0000-0000-0000DC050000}"/>
    <cellStyle name="Style 464" xfId="1163" xr:uid="{00000000-0005-0000-0000-0000DD050000}"/>
    <cellStyle name="Style 464 2" xfId="1164" xr:uid="{00000000-0005-0000-0000-0000DE050000}"/>
    <cellStyle name="Style 465" xfId="1165" xr:uid="{00000000-0005-0000-0000-0000DF050000}"/>
    <cellStyle name="Style 465 2" xfId="1166" xr:uid="{00000000-0005-0000-0000-0000E0050000}"/>
    <cellStyle name="Style 466" xfId="1167" xr:uid="{00000000-0005-0000-0000-0000E1050000}"/>
    <cellStyle name="Style 466 2" xfId="1168" xr:uid="{00000000-0005-0000-0000-0000E2050000}"/>
    <cellStyle name="Style 467" xfId="1169" xr:uid="{00000000-0005-0000-0000-0000E3050000}"/>
    <cellStyle name="Style 467 2" xfId="1170" xr:uid="{00000000-0005-0000-0000-0000E4050000}"/>
    <cellStyle name="Style 468" xfId="1171" xr:uid="{00000000-0005-0000-0000-0000E5050000}"/>
    <cellStyle name="Style 468 2" xfId="1172" xr:uid="{00000000-0005-0000-0000-0000E6050000}"/>
    <cellStyle name="Style 469" xfId="1173" xr:uid="{00000000-0005-0000-0000-0000E7050000}"/>
    <cellStyle name="Style 469 2" xfId="1174" xr:uid="{00000000-0005-0000-0000-0000E8050000}"/>
    <cellStyle name="Style 470" xfId="1175" xr:uid="{00000000-0005-0000-0000-0000E9050000}"/>
    <cellStyle name="Style 470 2" xfId="1176" xr:uid="{00000000-0005-0000-0000-0000EA050000}"/>
    <cellStyle name="Style 471" xfId="1177" xr:uid="{00000000-0005-0000-0000-0000EB050000}"/>
    <cellStyle name="Style 471 2" xfId="1178" xr:uid="{00000000-0005-0000-0000-0000EC050000}"/>
    <cellStyle name="Style 482" xfId="1179" xr:uid="{00000000-0005-0000-0000-0000ED050000}"/>
    <cellStyle name="Style 483" xfId="1180" xr:uid="{00000000-0005-0000-0000-0000EE050000}"/>
    <cellStyle name="Style 484" xfId="1181" xr:uid="{00000000-0005-0000-0000-0000EF050000}"/>
    <cellStyle name="Style 485" xfId="1182" xr:uid="{00000000-0005-0000-0000-0000F0050000}"/>
    <cellStyle name="Style 486" xfId="1183" xr:uid="{00000000-0005-0000-0000-0000F1050000}"/>
    <cellStyle name="Style 486 2" xfId="1184" xr:uid="{00000000-0005-0000-0000-0000F2050000}"/>
    <cellStyle name="Style 487" xfId="1185" xr:uid="{00000000-0005-0000-0000-0000F3050000}"/>
    <cellStyle name="Style 487 2" xfId="1186" xr:uid="{00000000-0005-0000-0000-0000F4050000}"/>
    <cellStyle name="Style 488" xfId="1187" xr:uid="{00000000-0005-0000-0000-0000F5050000}"/>
    <cellStyle name="Style 488 2" xfId="1188" xr:uid="{00000000-0005-0000-0000-0000F6050000}"/>
    <cellStyle name="Style 489" xfId="1189" xr:uid="{00000000-0005-0000-0000-0000F7050000}"/>
    <cellStyle name="Style 489 2" xfId="1190" xr:uid="{00000000-0005-0000-0000-0000F8050000}"/>
    <cellStyle name="Style 490" xfId="1191" xr:uid="{00000000-0005-0000-0000-0000F9050000}"/>
    <cellStyle name="Style 490 2" xfId="1192" xr:uid="{00000000-0005-0000-0000-0000FA050000}"/>
    <cellStyle name="Style 491" xfId="1193" xr:uid="{00000000-0005-0000-0000-0000FB050000}"/>
    <cellStyle name="Style 491 2" xfId="1194" xr:uid="{00000000-0005-0000-0000-0000FC050000}"/>
    <cellStyle name="Style 492" xfId="1195" xr:uid="{00000000-0005-0000-0000-0000FD050000}"/>
    <cellStyle name="Style 492 2" xfId="1196" xr:uid="{00000000-0005-0000-0000-0000FE050000}"/>
    <cellStyle name="Style 493" xfId="1197" xr:uid="{00000000-0005-0000-0000-0000FF050000}"/>
    <cellStyle name="Style 493 2" xfId="1198" xr:uid="{00000000-0005-0000-0000-000000060000}"/>
    <cellStyle name="Style 494" xfId="1199" xr:uid="{00000000-0005-0000-0000-000001060000}"/>
    <cellStyle name="Style 494 2" xfId="1200" xr:uid="{00000000-0005-0000-0000-000002060000}"/>
    <cellStyle name="Style 495" xfId="1201" xr:uid="{00000000-0005-0000-0000-000003060000}"/>
    <cellStyle name="Style 495 2" xfId="1202" xr:uid="{00000000-0005-0000-0000-000004060000}"/>
    <cellStyle name="Style 496" xfId="1203" xr:uid="{00000000-0005-0000-0000-000005060000}"/>
    <cellStyle name="Style 496 2" xfId="1204" xr:uid="{00000000-0005-0000-0000-000006060000}"/>
    <cellStyle name="Style 497" xfId="1205" xr:uid="{00000000-0005-0000-0000-000007060000}"/>
    <cellStyle name="Style 497 2" xfId="1206" xr:uid="{00000000-0005-0000-0000-000008060000}"/>
    <cellStyle name="Style 498" xfId="1207" xr:uid="{00000000-0005-0000-0000-000009060000}"/>
    <cellStyle name="Style 498 2" xfId="1208" xr:uid="{00000000-0005-0000-0000-00000A060000}"/>
    <cellStyle name="Style 499" xfId="1209" xr:uid="{00000000-0005-0000-0000-00000B060000}"/>
    <cellStyle name="Style 499 2" xfId="1210" xr:uid="{00000000-0005-0000-0000-00000C060000}"/>
    <cellStyle name="Style 500" xfId="1211" xr:uid="{00000000-0005-0000-0000-00000D060000}"/>
    <cellStyle name="Style 500 2" xfId="1212" xr:uid="{00000000-0005-0000-0000-00000E060000}"/>
    <cellStyle name="Style 501" xfId="1213" xr:uid="{00000000-0005-0000-0000-00000F060000}"/>
    <cellStyle name="Style 501 2" xfId="1214" xr:uid="{00000000-0005-0000-0000-000010060000}"/>
    <cellStyle name="Style 502" xfId="1215" xr:uid="{00000000-0005-0000-0000-000011060000}"/>
    <cellStyle name="Style 502 2" xfId="1216" xr:uid="{00000000-0005-0000-0000-000012060000}"/>
    <cellStyle name="Style 503" xfId="1217" xr:uid="{00000000-0005-0000-0000-000013060000}"/>
    <cellStyle name="Style 503 2" xfId="1218" xr:uid="{00000000-0005-0000-0000-000014060000}"/>
    <cellStyle name="Style 504" xfId="1219" xr:uid="{00000000-0005-0000-0000-000015060000}"/>
    <cellStyle name="Style 504 2" xfId="1220" xr:uid="{00000000-0005-0000-0000-000016060000}"/>
    <cellStyle name="Style 521" xfId="1221" xr:uid="{00000000-0005-0000-0000-000017060000}"/>
    <cellStyle name="Style 522" xfId="1222" xr:uid="{00000000-0005-0000-0000-000018060000}"/>
    <cellStyle name="Style 523" xfId="1223" xr:uid="{00000000-0005-0000-0000-000019060000}"/>
    <cellStyle name="Style 524" xfId="1224" xr:uid="{00000000-0005-0000-0000-00001A060000}"/>
    <cellStyle name="Style 525" xfId="1225" xr:uid="{00000000-0005-0000-0000-00001B060000}"/>
    <cellStyle name="Style 525 2" xfId="1226" xr:uid="{00000000-0005-0000-0000-00001C060000}"/>
    <cellStyle name="Style 526" xfId="1227" xr:uid="{00000000-0005-0000-0000-00001D060000}"/>
    <cellStyle name="Style 526 2" xfId="1228" xr:uid="{00000000-0005-0000-0000-00001E060000}"/>
    <cellStyle name="Style 527" xfId="1229" xr:uid="{00000000-0005-0000-0000-00001F060000}"/>
    <cellStyle name="Style 527 2" xfId="1230" xr:uid="{00000000-0005-0000-0000-000020060000}"/>
    <cellStyle name="Style 528" xfId="1231" xr:uid="{00000000-0005-0000-0000-000021060000}"/>
    <cellStyle name="Style 528 2" xfId="1232" xr:uid="{00000000-0005-0000-0000-000022060000}"/>
    <cellStyle name="Style 529" xfId="1233" xr:uid="{00000000-0005-0000-0000-000023060000}"/>
    <cellStyle name="Style 529 2" xfId="1234" xr:uid="{00000000-0005-0000-0000-000024060000}"/>
    <cellStyle name="Style 530" xfId="1235" xr:uid="{00000000-0005-0000-0000-000025060000}"/>
    <cellStyle name="Style 530 2" xfId="1236" xr:uid="{00000000-0005-0000-0000-000026060000}"/>
    <cellStyle name="Style 531" xfId="1237" xr:uid="{00000000-0005-0000-0000-000027060000}"/>
    <cellStyle name="Style 531 2" xfId="1238" xr:uid="{00000000-0005-0000-0000-000028060000}"/>
    <cellStyle name="Style 532" xfId="1239" xr:uid="{00000000-0005-0000-0000-000029060000}"/>
    <cellStyle name="Style 532 2" xfId="1240" xr:uid="{00000000-0005-0000-0000-00002A060000}"/>
    <cellStyle name="Style 533" xfId="1241" xr:uid="{00000000-0005-0000-0000-00002B060000}"/>
    <cellStyle name="Style 533 2" xfId="1242" xr:uid="{00000000-0005-0000-0000-00002C060000}"/>
    <cellStyle name="Style 534" xfId="1243" xr:uid="{00000000-0005-0000-0000-00002D060000}"/>
    <cellStyle name="Style 534 2" xfId="1244" xr:uid="{00000000-0005-0000-0000-00002E060000}"/>
    <cellStyle name="Style 535" xfId="1245" xr:uid="{00000000-0005-0000-0000-00002F060000}"/>
    <cellStyle name="Style 535 2" xfId="1246" xr:uid="{00000000-0005-0000-0000-000030060000}"/>
    <cellStyle name="Style 536" xfId="1247" xr:uid="{00000000-0005-0000-0000-000031060000}"/>
    <cellStyle name="Style 536 2" xfId="1248" xr:uid="{00000000-0005-0000-0000-000032060000}"/>
    <cellStyle name="Style 537" xfId="1249" xr:uid="{00000000-0005-0000-0000-000033060000}"/>
    <cellStyle name="Style 538" xfId="1250" xr:uid="{00000000-0005-0000-0000-000034060000}"/>
    <cellStyle name="Style 539" xfId="1251" xr:uid="{00000000-0005-0000-0000-000035060000}"/>
    <cellStyle name="Style 540" xfId="1252" xr:uid="{00000000-0005-0000-0000-000036060000}"/>
    <cellStyle name="Style 541" xfId="1253" xr:uid="{00000000-0005-0000-0000-000037060000}"/>
    <cellStyle name="Style 542" xfId="1890" xr:uid="{00000000-0005-0000-0000-000038060000}"/>
    <cellStyle name="Style 543" xfId="1254" xr:uid="{00000000-0005-0000-0000-000039060000}"/>
    <cellStyle name="Style 544" xfId="1255" xr:uid="{00000000-0005-0000-0000-00003A060000}"/>
    <cellStyle name="Style 545" xfId="1256" xr:uid="{00000000-0005-0000-0000-00003B060000}"/>
    <cellStyle name="Style 546" xfId="1257" xr:uid="{00000000-0005-0000-0000-00003C060000}"/>
    <cellStyle name="Style 547" xfId="1258" xr:uid="{00000000-0005-0000-0000-00003D060000}"/>
    <cellStyle name="Style 548" xfId="1259" xr:uid="{00000000-0005-0000-0000-00003E060000}"/>
    <cellStyle name="Style 549" xfId="1260" xr:uid="{00000000-0005-0000-0000-00003F060000}"/>
    <cellStyle name="Style 550" xfId="1261" xr:uid="{00000000-0005-0000-0000-000040060000}"/>
    <cellStyle name="Style 551" xfId="1262" xr:uid="{00000000-0005-0000-0000-000041060000}"/>
    <cellStyle name="Style 552" xfId="1263" xr:uid="{00000000-0005-0000-0000-000042060000}"/>
    <cellStyle name="Style 553" xfId="1264" xr:uid="{00000000-0005-0000-0000-000043060000}"/>
    <cellStyle name="Style 554" xfId="1265" xr:uid="{00000000-0005-0000-0000-000044060000}"/>
    <cellStyle name="Style 555" xfId="1266" xr:uid="{00000000-0005-0000-0000-000045060000}"/>
    <cellStyle name="Style 556" xfId="1267" xr:uid="{00000000-0005-0000-0000-000046060000}"/>
    <cellStyle name="Style 557" xfId="1268" xr:uid="{00000000-0005-0000-0000-000047060000}"/>
    <cellStyle name="Style 558" xfId="1269" xr:uid="{00000000-0005-0000-0000-000048060000}"/>
    <cellStyle name="Style 559" xfId="1270" xr:uid="{00000000-0005-0000-0000-000049060000}"/>
    <cellStyle name="Style 560" xfId="1271" xr:uid="{00000000-0005-0000-0000-00004A060000}"/>
    <cellStyle name="Style 561" xfId="1272" xr:uid="{00000000-0005-0000-0000-00004B060000}"/>
    <cellStyle name="Style 562" xfId="1273" xr:uid="{00000000-0005-0000-0000-00004C060000}"/>
    <cellStyle name="Style 563" xfId="1274" xr:uid="{00000000-0005-0000-0000-00004D060000}"/>
    <cellStyle name="Style 568" xfId="1275" xr:uid="{00000000-0005-0000-0000-00004E060000}"/>
    <cellStyle name="Style 568 2" xfId="1276" xr:uid="{00000000-0005-0000-0000-00004F060000}"/>
    <cellStyle name="Style 569" xfId="1277" xr:uid="{00000000-0005-0000-0000-000050060000}"/>
    <cellStyle name="Style 569 2" xfId="1278" xr:uid="{00000000-0005-0000-0000-000051060000}"/>
    <cellStyle name="Style 570" xfId="1279" xr:uid="{00000000-0005-0000-0000-000052060000}"/>
    <cellStyle name="Style 570 2" xfId="1280" xr:uid="{00000000-0005-0000-0000-000053060000}"/>
    <cellStyle name="Style 571" xfId="1281" xr:uid="{00000000-0005-0000-0000-000054060000}"/>
    <cellStyle name="Style 571 2" xfId="1282" xr:uid="{00000000-0005-0000-0000-000055060000}"/>
    <cellStyle name="Style 572" xfId="1283" xr:uid="{00000000-0005-0000-0000-000056060000}"/>
    <cellStyle name="Style 572 2" xfId="1284" xr:uid="{00000000-0005-0000-0000-000057060000}"/>
    <cellStyle name="Style 573" xfId="1285" xr:uid="{00000000-0005-0000-0000-000058060000}"/>
    <cellStyle name="Style 573 2" xfId="1286" xr:uid="{00000000-0005-0000-0000-000059060000}"/>
    <cellStyle name="Style 574" xfId="1287" xr:uid="{00000000-0005-0000-0000-00005A060000}"/>
    <cellStyle name="Style 574 2" xfId="1288" xr:uid="{00000000-0005-0000-0000-00005B060000}"/>
    <cellStyle name="Style 575" xfId="1289" xr:uid="{00000000-0005-0000-0000-00005C060000}"/>
    <cellStyle name="Style 575 2" xfId="1290" xr:uid="{00000000-0005-0000-0000-00005D060000}"/>
    <cellStyle name="Style 576" xfId="1291" xr:uid="{00000000-0005-0000-0000-00005E060000}"/>
    <cellStyle name="Style 576 2" xfId="1292" xr:uid="{00000000-0005-0000-0000-00005F060000}"/>
    <cellStyle name="Style 577" xfId="1293" xr:uid="{00000000-0005-0000-0000-000060060000}"/>
    <cellStyle name="Style 577 2" xfId="1294" xr:uid="{00000000-0005-0000-0000-000061060000}"/>
    <cellStyle name="Style 578" xfId="1295" xr:uid="{00000000-0005-0000-0000-000062060000}"/>
    <cellStyle name="Style 578 2" xfId="1296" xr:uid="{00000000-0005-0000-0000-000063060000}"/>
    <cellStyle name="Style 579" xfId="1297" xr:uid="{00000000-0005-0000-0000-000064060000}"/>
    <cellStyle name="Style 579 2" xfId="1298" xr:uid="{00000000-0005-0000-0000-000065060000}"/>
    <cellStyle name="Style 590" xfId="1299" xr:uid="{00000000-0005-0000-0000-000066060000}"/>
    <cellStyle name="Style 591" xfId="1300" xr:uid="{00000000-0005-0000-0000-000067060000}"/>
    <cellStyle name="Style 592" xfId="1301" xr:uid="{00000000-0005-0000-0000-000068060000}"/>
    <cellStyle name="Style 593" xfId="1302" xr:uid="{00000000-0005-0000-0000-000069060000}"/>
    <cellStyle name="Style 594" xfId="1303" xr:uid="{00000000-0005-0000-0000-00006A060000}"/>
    <cellStyle name="Style 595" xfId="1304" xr:uid="{00000000-0005-0000-0000-00006B060000}"/>
    <cellStyle name="Style 596" xfId="1305" xr:uid="{00000000-0005-0000-0000-00006C060000}"/>
    <cellStyle name="Style 597" xfId="1306" xr:uid="{00000000-0005-0000-0000-00006D060000}"/>
    <cellStyle name="Style 598" xfId="1307" xr:uid="{00000000-0005-0000-0000-00006E060000}"/>
    <cellStyle name="Style 599" xfId="1308" xr:uid="{00000000-0005-0000-0000-00006F060000}"/>
    <cellStyle name="Style 600" xfId="1309" xr:uid="{00000000-0005-0000-0000-000070060000}"/>
    <cellStyle name="Style 601" xfId="1310" xr:uid="{00000000-0005-0000-0000-000071060000}"/>
    <cellStyle name="Style 602" xfId="1311" xr:uid="{00000000-0005-0000-0000-000072060000}"/>
    <cellStyle name="Style 603" xfId="1891" xr:uid="{00000000-0005-0000-0000-000073060000}"/>
    <cellStyle name="Style 612" xfId="1312" xr:uid="{00000000-0005-0000-0000-000074060000}"/>
    <cellStyle name="Style 613" xfId="1313" xr:uid="{00000000-0005-0000-0000-000075060000}"/>
    <cellStyle name="Style 614" xfId="1314" xr:uid="{00000000-0005-0000-0000-000076060000}"/>
    <cellStyle name="Style 615" xfId="1315" xr:uid="{00000000-0005-0000-0000-000077060000}"/>
    <cellStyle name="Style 616" xfId="1316" xr:uid="{00000000-0005-0000-0000-000078060000}"/>
    <cellStyle name="Style 617" xfId="1317" xr:uid="{00000000-0005-0000-0000-000079060000}"/>
    <cellStyle name="Style 618" xfId="1318" xr:uid="{00000000-0005-0000-0000-00007A060000}"/>
    <cellStyle name="Style 619" xfId="1319" xr:uid="{00000000-0005-0000-0000-00007B060000}"/>
    <cellStyle name="Style 620" xfId="1320" xr:uid="{00000000-0005-0000-0000-00007C060000}"/>
    <cellStyle name="Style 621" xfId="1321" xr:uid="{00000000-0005-0000-0000-00007D060000}"/>
    <cellStyle name="Style 622" xfId="1322" xr:uid="{00000000-0005-0000-0000-00007E060000}"/>
    <cellStyle name="Style 623" xfId="1323" xr:uid="{00000000-0005-0000-0000-00007F060000}"/>
    <cellStyle name="Style 624" xfId="1324" xr:uid="{00000000-0005-0000-0000-000080060000}"/>
    <cellStyle name="Style 625" xfId="1325" xr:uid="{00000000-0005-0000-0000-000081060000}"/>
    <cellStyle name="Style 626" xfId="1326" xr:uid="{00000000-0005-0000-0000-000082060000}"/>
    <cellStyle name="Style 627" xfId="1327" xr:uid="{00000000-0005-0000-0000-000083060000}"/>
    <cellStyle name="Style 628" xfId="1328" xr:uid="{00000000-0005-0000-0000-000084060000}"/>
    <cellStyle name="Style 629" xfId="1329" xr:uid="{00000000-0005-0000-0000-000085060000}"/>
    <cellStyle name="Style 630" xfId="1330" xr:uid="{00000000-0005-0000-0000-000086060000}"/>
    <cellStyle name="Style 631" xfId="1331" xr:uid="{00000000-0005-0000-0000-000087060000}"/>
    <cellStyle name="Style 632" xfId="1332" xr:uid="{00000000-0005-0000-0000-000088060000}"/>
    <cellStyle name="Style 633" xfId="1333" xr:uid="{00000000-0005-0000-0000-000089060000}"/>
    <cellStyle name="Style 634" xfId="1334" xr:uid="{00000000-0005-0000-0000-00008A060000}"/>
    <cellStyle name="Style 635" xfId="1335" xr:uid="{00000000-0005-0000-0000-00008B060000}"/>
    <cellStyle name="Style 636" xfId="1892" xr:uid="{00000000-0005-0000-0000-00008C060000}"/>
    <cellStyle name="Style 639" xfId="1336" xr:uid="{00000000-0005-0000-0000-00008D060000}"/>
    <cellStyle name="Style 640" xfId="1337" xr:uid="{00000000-0005-0000-0000-00008E060000}"/>
    <cellStyle name="Style 641" xfId="1338" xr:uid="{00000000-0005-0000-0000-00008F060000}"/>
    <cellStyle name="Style 642" xfId="1339" xr:uid="{00000000-0005-0000-0000-000090060000}"/>
    <cellStyle name="Style 643" xfId="1340" xr:uid="{00000000-0005-0000-0000-000091060000}"/>
    <cellStyle name="Style 644" xfId="1341" xr:uid="{00000000-0005-0000-0000-000092060000}"/>
    <cellStyle name="Style 645" xfId="1342" xr:uid="{00000000-0005-0000-0000-000093060000}"/>
    <cellStyle name="Style 646" xfId="1343" xr:uid="{00000000-0005-0000-0000-000094060000}"/>
    <cellStyle name="Style 647" xfId="1344" xr:uid="{00000000-0005-0000-0000-000095060000}"/>
    <cellStyle name="Style 648" xfId="1345" xr:uid="{00000000-0005-0000-0000-000096060000}"/>
    <cellStyle name="Style 649" xfId="1346" xr:uid="{00000000-0005-0000-0000-000097060000}"/>
    <cellStyle name="Style 650" xfId="1347" xr:uid="{00000000-0005-0000-0000-000098060000}"/>
    <cellStyle name="Style 651" xfId="1348" xr:uid="{00000000-0005-0000-0000-000099060000}"/>
    <cellStyle name="Style 652" xfId="1349" xr:uid="{00000000-0005-0000-0000-00009A060000}"/>
    <cellStyle name="Style 653" xfId="1350" xr:uid="{00000000-0005-0000-0000-00009B060000}"/>
    <cellStyle name="Style 654" xfId="1351" xr:uid="{00000000-0005-0000-0000-00009C060000}"/>
    <cellStyle name="Style 655" xfId="1352" xr:uid="{00000000-0005-0000-0000-00009D060000}"/>
    <cellStyle name="Style 656" xfId="1353" xr:uid="{00000000-0005-0000-0000-00009E060000}"/>
    <cellStyle name="Style 657" xfId="1354" xr:uid="{00000000-0005-0000-0000-00009F060000}"/>
    <cellStyle name="Style 657 2" xfId="1355" xr:uid="{00000000-0005-0000-0000-0000A0060000}"/>
    <cellStyle name="Style 658" xfId="1356" xr:uid="{00000000-0005-0000-0000-0000A1060000}"/>
    <cellStyle name="Style 658 2" xfId="1357" xr:uid="{00000000-0005-0000-0000-0000A2060000}"/>
    <cellStyle name="Style 659" xfId="1358" xr:uid="{00000000-0005-0000-0000-0000A3060000}"/>
    <cellStyle name="Style 659 2" xfId="1359" xr:uid="{00000000-0005-0000-0000-0000A4060000}"/>
    <cellStyle name="Style 660" xfId="1360" xr:uid="{00000000-0005-0000-0000-0000A5060000}"/>
    <cellStyle name="Style 660 2" xfId="1361" xr:uid="{00000000-0005-0000-0000-0000A6060000}"/>
    <cellStyle name="Style 661" xfId="1362" xr:uid="{00000000-0005-0000-0000-0000A7060000}"/>
    <cellStyle name="Style 661 2" xfId="1363" xr:uid="{00000000-0005-0000-0000-0000A8060000}"/>
    <cellStyle name="Style 662" xfId="1364" xr:uid="{00000000-0005-0000-0000-0000A9060000}"/>
    <cellStyle name="Style 662 2" xfId="1365" xr:uid="{00000000-0005-0000-0000-0000AA060000}"/>
    <cellStyle name="Style 663" xfId="1366" xr:uid="{00000000-0005-0000-0000-0000AB060000}"/>
    <cellStyle name="Style 663 2" xfId="1367" xr:uid="{00000000-0005-0000-0000-0000AC060000}"/>
    <cellStyle name="Style 664" xfId="1368" xr:uid="{00000000-0005-0000-0000-0000AD060000}"/>
    <cellStyle name="Style 664 2" xfId="1369" xr:uid="{00000000-0005-0000-0000-0000AE060000}"/>
    <cellStyle name="Style 665" xfId="1370" xr:uid="{00000000-0005-0000-0000-0000AF060000}"/>
    <cellStyle name="Style 665 2" xfId="1371" xr:uid="{00000000-0005-0000-0000-0000B0060000}"/>
    <cellStyle name="Style 666" xfId="1372" xr:uid="{00000000-0005-0000-0000-0000B1060000}"/>
    <cellStyle name="Style 666 2" xfId="1373" xr:uid="{00000000-0005-0000-0000-0000B2060000}"/>
    <cellStyle name="Style 667" xfId="1374" xr:uid="{00000000-0005-0000-0000-0000B3060000}"/>
    <cellStyle name="Style 667 2" xfId="1375" xr:uid="{00000000-0005-0000-0000-0000B4060000}"/>
    <cellStyle name="Style 668" xfId="1893" xr:uid="{00000000-0005-0000-0000-0000B5060000}"/>
    <cellStyle name="Style 678" xfId="1376" xr:uid="{00000000-0005-0000-0000-0000B6060000}"/>
    <cellStyle name="Style 679" xfId="1377" xr:uid="{00000000-0005-0000-0000-0000B7060000}"/>
    <cellStyle name="Style 680" xfId="1378" xr:uid="{00000000-0005-0000-0000-0000B8060000}"/>
    <cellStyle name="Style 681" xfId="1379" xr:uid="{00000000-0005-0000-0000-0000B9060000}"/>
    <cellStyle name="Style 682" xfId="1380" xr:uid="{00000000-0005-0000-0000-0000BA060000}"/>
    <cellStyle name="Style 683" xfId="1381" xr:uid="{00000000-0005-0000-0000-0000BB060000}"/>
    <cellStyle name="Style 684" xfId="1382" xr:uid="{00000000-0005-0000-0000-0000BC060000}"/>
    <cellStyle name="Style 685" xfId="1383" xr:uid="{00000000-0005-0000-0000-0000BD060000}"/>
    <cellStyle name="Style 686" xfId="1384" xr:uid="{00000000-0005-0000-0000-0000BE060000}"/>
    <cellStyle name="Style 687" xfId="1385" xr:uid="{00000000-0005-0000-0000-0000BF060000}"/>
    <cellStyle name="Style 688" xfId="1386" xr:uid="{00000000-0005-0000-0000-0000C0060000}"/>
    <cellStyle name="Style 689" xfId="1387" xr:uid="{00000000-0005-0000-0000-0000C1060000}"/>
    <cellStyle name="Style 690" xfId="1388" xr:uid="{00000000-0005-0000-0000-0000C2060000}"/>
    <cellStyle name="Style 693" xfId="1389" xr:uid="{00000000-0005-0000-0000-0000C3060000}"/>
    <cellStyle name="Style 695" xfId="1390" xr:uid="{00000000-0005-0000-0000-0000C4060000}"/>
    <cellStyle name="Style 697" xfId="1391" xr:uid="{00000000-0005-0000-0000-0000C5060000}"/>
    <cellStyle name="Style 697 2" xfId="1392" xr:uid="{00000000-0005-0000-0000-0000C6060000}"/>
    <cellStyle name="Style 698" xfId="1393" xr:uid="{00000000-0005-0000-0000-0000C7060000}"/>
    <cellStyle name="Style 699" xfId="1394" xr:uid="{00000000-0005-0000-0000-0000C8060000}"/>
    <cellStyle name="Style 700" xfId="1395" xr:uid="{00000000-0005-0000-0000-0000C9060000}"/>
    <cellStyle name="Style 701" xfId="1396" xr:uid="{00000000-0005-0000-0000-0000CA060000}"/>
    <cellStyle name="Style 702" xfId="1894" xr:uid="{00000000-0005-0000-0000-0000CB060000}"/>
    <cellStyle name="Style 703" xfId="1895" xr:uid="{00000000-0005-0000-0000-0000CC060000}"/>
    <cellStyle name="Style 704" xfId="1397" xr:uid="{00000000-0005-0000-0000-0000CD060000}"/>
    <cellStyle name="Style 705" xfId="1896" xr:uid="{00000000-0005-0000-0000-0000CE060000}"/>
    <cellStyle name="Style 706" xfId="1398" xr:uid="{00000000-0005-0000-0000-0000CF060000}"/>
    <cellStyle name="Style 706 2" xfId="1399" xr:uid="{00000000-0005-0000-0000-0000D0060000}"/>
    <cellStyle name="Style 707" xfId="1400" xr:uid="{00000000-0005-0000-0000-0000D1060000}"/>
    <cellStyle name="Style 707 2" xfId="1401" xr:uid="{00000000-0005-0000-0000-0000D2060000}"/>
    <cellStyle name="Style 708" xfId="1402" xr:uid="{00000000-0005-0000-0000-0000D3060000}"/>
    <cellStyle name="Style 708 2" xfId="1403" xr:uid="{00000000-0005-0000-0000-0000D4060000}"/>
    <cellStyle name="Style 709" xfId="1404" xr:uid="{00000000-0005-0000-0000-0000D5060000}"/>
    <cellStyle name="Style 709 2" xfId="1405" xr:uid="{00000000-0005-0000-0000-0000D6060000}"/>
    <cellStyle name="Style 710" xfId="1406" xr:uid="{00000000-0005-0000-0000-0000D7060000}"/>
    <cellStyle name="Style 710 2" xfId="1407" xr:uid="{00000000-0005-0000-0000-0000D8060000}"/>
    <cellStyle name="Style 711" xfId="1408" xr:uid="{00000000-0005-0000-0000-0000D9060000}"/>
    <cellStyle name="Style 711 2" xfId="1409" xr:uid="{00000000-0005-0000-0000-0000DA060000}"/>
    <cellStyle name="Style 712" xfId="1410" xr:uid="{00000000-0005-0000-0000-0000DB060000}"/>
    <cellStyle name="Style 712 2" xfId="1411" xr:uid="{00000000-0005-0000-0000-0000DC060000}"/>
    <cellStyle name="Style 713" xfId="1412" xr:uid="{00000000-0005-0000-0000-0000DD060000}"/>
    <cellStyle name="Style 714" xfId="1413" xr:uid="{00000000-0005-0000-0000-0000DE060000}"/>
    <cellStyle name="Style 715" xfId="1414" xr:uid="{00000000-0005-0000-0000-0000DF060000}"/>
    <cellStyle name="Style 716" xfId="1415" xr:uid="{00000000-0005-0000-0000-0000E0060000}"/>
    <cellStyle name="Style 717" xfId="1416" xr:uid="{00000000-0005-0000-0000-0000E1060000}"/>
    <cellStyle name="Style 718" xfId="1417" xr:uid="{00000000-0005-0000-0000-0000E2060000}"/>
    <cellStyle name="Style 719" xfId="1418" xr:uid="{00000000-0005-0000-0000-0000E3060000}"/>
    <cellStyle name="Style 720" xfId="1419" xr:uid="{00000000-0005-0000-0000-0000E4060000}"/>
    <cellStyle name="Style 721" xfId="1420" xr:uid="{00000000-0005-0000-0000-0000E5060000}"/>
    <cellStyle name="Style 729" xfId="1421" xr:uid="{00000000-0005-0000-0000-0000E6060000}"/>
    <cellStyle name="Style 730" xfId="1422" xr:uid="{00000000-0005-0000-0000-0000E7060000}"/>
    <cellStyle name="Style 732" xfId="1423" xr:uid="{00000000-0005-0000-0000-0000E8060000}"/>
    <cellStyle name="Style 733" xfId="1424" xr:uid="{00000000-0005-0000-0000-0000E9060000}"/>
    <cellStyle name="Style 735" xfId="1425" xr:uid="{00000000-0005-0000-0000-0000EA060000}"/>
    <cellStyle name="Style 736" xfId="1426" xr:uid="{00000000-0005-0000-0000-0000EB060000}"/>
    <cellStyle name="Style 737" xfId="1427" xr:uid="{00000000-0005-0000-0000-0000EC060000}"/>
    <cellStyle name="Style 738" xfId="1428" xr:uid="{00000000-0005-0000-0000-0000ED060000}"/>
    <cellStyle name="Style 739" xfId="1429" xr:uid="{00000000-0005-0000-0000-0000EE060000}"/>
    <cellStyle name="Style 740" xfId="1430" xr:uid="{00000000-0005-0000-0000-0000EF060000}"/>
    <cellStyle name="Style 741" xfId="1431" xr:uid="{00000000-0005-0000-0000-0000F0060000}"/>
    <cellStyle name="Style 742" xfId="1432" xr:uid="{00000000-0005-0000-0000-0000F1060000}"/>
    <cellStyle name="Style 743" xfId="1433" xr:uid="{00000000-0005-0000-0000-0000F2060000}"/>
    <cellStyle name="Style 751" xfId="1434" xr:uid="{00000000-0005-0000-0000-0000F3060000}"/>
    <cellStyle name="Style 751 2" xfId="1435" xr:uid="{00000000-0005-0000-0000-0000F4060000}"/>
    <cellStyle name="Style 752" xfId="1436" xr:uid="{00000000-0005-0000-0000-0000F5060000}"/>
    <cellStyle name="Style 754" xfId="1437" xr:uid="{00000000-0005-0000-0000-0000F6060000}"/>
    <cellStyle name="Style 754 2" xfId="1438" xr:uid="{00000000-0005-0000-0000-0000F7060000}"/>
    <cellStyle name="Style 755" xfId="1439" xr:uid="{00000000-0005-0000-0000-0000F8060000}"/>
    <cellStyle name="Style 773" xfId="1440" xr:uid="{00000000-0005-0000-0000-0000F9060000}"/>
    <cellStyle name="Style 775" xfId="1441" xr:uid="{00000000-0005-0000-0000-0000FA060000}"/>
    <cellStyle name="Style 777" xfId="1442" xr:uid="{00000000-0005-0000-0000-0000FB060000}"/>
    <cellStyle name="Style 779" xfId="1443" xr:uid="{00000000-0005-0000-0000-0000FC060000}"/>
    <cellStyle name="Style 818" xfId="1444" xr:uid="{00000000-0005-0000-0000-0000FD060000}"/>
    <cellStyle name="Style 825" xfId="1445" xr:uid="{00000000-0005-0000-0000-0000FE060000}"/>
    <cellStyle name="Style 827" xfId="1446" xr:uid="{00000000-0005-0000-0000-0000FF060000}"/>
    <cellStyle name="Style 829" xfId="1447" xr:uid="{00000000-0005-0000-0000-000000070000}"/>
    <cellStyle name="Style 831" xfId="1448" xr:uid="{00000000-0005-0000-0000-000001070000}"/>
    <cellStyle name="Style 833" xfId="1449" xr:uid="{00000000-0005-0000-0000-000002070000}"/>
    <cellStyle name="Style 835" xfId="1450" xr:uid="{00000000-0005-0000-0000-000003070000}"/>
    <cellStyle name="Style 838" xfId="1451" xr:uid="{00000000-0005-0000-0000-000004070000}"/>
    <cellStyle name="Style 840" xfId="1452" xr:uid="{00000000-0005-0000-0000-000005070000}"/>
    <cellStyle name="Style 842" xfId="1453" xr:uid="{00000000-0005-0000-0000-000006070000}"/>
    <cellStyle name="Style 844" xfId="1454" xr:uid="{00000000-0005-0000-0000-000007070000}"/>
    <cellStyle name="Style 847" xfId="1455" xr:uid="{00000000-0005-0000-0000-000008070000}"/>
    <cellStyle name="Style 849" xfId="1456" xr:uid="{00000000-0005-0000-0000-000009070000}"/>
    <cellStyle name="Style 851" xfId="1457" xr:uid="{00000000-0005-0000-0000-00000A070000}"/>
    <cellStyle name="Style 853" xfId="1458" xr:uid="{00000000-0005-0000-0000-00000B070000}"/>
    <cellStyle name="Style 861" xfId="1459" xr:uid="{00000000-0005-0000-0000-00000C070000}"/>
    <cellStyle name="Style 866" xfId="1460" xr:uid="{00000000-0005-0000-0000-00000D070000}"/>
    <cellStyle name="Style 868" xfId="1461" xr:uid="{00000000-0005-0000-0000-00000E070000}"/>
    <cellStyle name="Style 870" xfId="1462" xr:uid="{00000000-0005-0000-0000-00000F070000}"/>
    <cellStyle name="Style 872" xfId="1463" xr:uid="{00000000-0005-0000-0000-000010070000}"/>
    <cellStyle name="Style 874" xfId="1464" xr:uid="{00000000-0005-0000-0000-000011070000}"/>
    <cellStyle name="Style 876" xfId="1465" xr:uid="{00000000-0005-0000-0000-000012070000}"/>
    <cellStyle name="STYLE1" xfId="1466" xr:uid="{00000000-0005-0000-0000-000013070000}"/>
    <cellStyle name="STYLE1 - Style1" xfId="1467" xr:uid="{00000000-0005-0000-0000-000014070000}"/>
    <cellStyle name="STYLE1_DS TS 10-22-06 jas v19 floating" xfId="1468" xr:uid="{00000000-0005-0000-0000-000015070000}"/>
    <cellStyle name="STYLE10" xfId="1469" xr:uid="{00000000-0005-0000-0000-000016070000}"/>
    <cellStyle name="STYLE11" xfId="1470" xr:uid="{00000000-0005-0000-0000-000017070000}"/>
    <cellStyle name="STYLE12" xfId="1471" xr:uid="{00000000-0005-0000-0000-000018070000}"/>
    <cellStyle name="STYLE13" xfId="1472" xr:uid="{00000000-0005-0000-0000-000019070000}"/>
    <cellStyle name="STYLE14" xfId="1473" xr:uid="{00000000-0005-0000-0000-00001A070000}"/>
    <cellStyle name="STYLE15" xfId="1474" xr:uid="{00000000-0005-0000-0000-00001B070000}"/>
    <cellStyle name="STYLE16" xfId="1475" xr:uid="{00000000-0005-0000-0000-00001C070000}"/>
    <cellStyle name="STYLE17" xfId="1476" xr:uid="{00000000-0005-0000-0000-00001D070000}"/>
    <cellStyle name="STYLE18" xfId="1477" xr:uid="{00000000-0005-0000-0000-00001E070000}"/>
    <cellStyle name="STYLE19" xfId="1478" xr:uid="{00000000-0005-0000-0000-00001F070000}"/>
    <cellStyle name="STYLE2" xfId="1479" xr:uid="{00000000-0005-0000-0000-000020070000}"/>
    <cellStyle name="STYLE2 - Style2" xfId="1480" xr:uid="{00000000-0005-0000-0000-000021070000}"/>
    <cellStyle name="STYLE2_DS TS 10-22-06 jas v19 floating" xfId="1481" xr:uid="{00000000-0005-0000-0000-000022070000}"/>
    <cellStyle name="STYLE20" xfId="1482" xr:uid="{00000000-0005-0000-0000-000023070000}"/>
    <cellStyle name="STYLE21" xfId="1483" xr:uid="{00000000-0005-0000-0000-000024070000}"/>
    <cellStyle name="STYLE22" xfId="1484" xr:uid="{00000000-0005-0000-0000-000025070000}"/>
    <cellStyle name="STYLE23" xfId="1485" xr:uid="{00000000-0005-0000-0000-000026070000}"/>
    <cellStyle name="STYLE24" xfId="1486" xr:uid="{00000000-0005-0000-0000-000027070000}"/>
    <cellStyle name="STYLE25" xfId="1487" xr:uid="{00000000-0005-0000-0000-000028070000}"/>
    <cellStyle name="STYLE26" xfId="1488" xr:uid="{00000000-0005-0000-0000-000029070000}"/>
    <cellStyle name="STYLE27" xfId="1489" xr:uid="{00000000-0005-0000-0000-00002A070000}"/>
    <cellStyle name="Style3" xfId="1490" xr:uid="{00000000-0005-0000-0000-00002B070000}"/>
    <cellStyle name="STYLE3 - Style3" xfId="1491" xr:uid="{00000000-0005-0000-0000-00002C070000}"/>
    <cellStyle name="Style3 2" xfId="1492" xr:uid="{00000000-0005-0000-0000-00002D070000}"/>
    <cellStyle name="STYLE3_Paramount v15 - higher bid" xfId="1493" xr:uid="{00000000-0005-0000-0000-00002E070000}"/>
    <cellStyle name="STYLE4" xfId="1494" xr:uid="{00000000-0005-0000-0000-00002F070000}"/>
    <cellStyle name="STYLE4 - Style4" xfId="1495" xr:uid="{00000000-0005-0000-0000-000030070000}"/>
    <cellStyle name="STYLE4_Paramount v15 - higher bid" xfId="1496" xr:uid="{00000000-0005-0000-0000-000031070000}"/>
    <cellStyle name="STYLE5" xfId="1497" xr:uid="{00000000-0005-0000-0000-000032070000}"/>
    <cellStyle name="STYLE6" xfId="1498" xr:uid="{00000000-0005-0000-0000-000033070000}"/>
    <cellStyle name="STYLE7" xfId="1499" xr:uid="{00000000-0005-0000-0000-000034070000}"/>
    <cellStyle name="STYLE8" xfId="1500" xr:uid="{00000000-0005-0000-0000-000035070000}"/>
    <cellStyle name="STYLE9" xfId="1501" xr:uid="{00000000-0005-0000-0000-000036070000}"/>
    <cellStyle name="sub-title (red)" xfId="1505" xr:uid="{00000000-0005-0000-0000-00003A070000}"/>
    <cellStyle name="Subhead" xfId="1502" xr:uid="{00000000-0005-0000-0000-000037070000}"/>
    <cellStyle name="Subheader" xfId="1503" xr:uid="{00000000-0005-0000-0000-000038070000}"/>
    <cellStyle name="Subtitle" xfId="1504" xr:uid="{00000000-0005-0000-0000-000039070000}"/>
    <cellStyle name="Subtotal" xfId="1506" xr:uid="{00000000-0005-0000-0000-00003B070000}"/>
    <cellStyle name="summary" xfId="1507" xr:uid="{00000000-0005-0000-0000-00003C070000}"/>
    <cellStyle name="Superscript" xfId="1508" xr:uid="{00000000-0005-0000-0000-00003D070000}"/>
    <cellStyle name="Table  - Style6" xfId="1509" xr:uid="{00000000-0005-0000-0000-00003E070000}"/>
    <cellStyle name="Table Head" xfId="1510" xr:uid="{00000000-0005-0000-0000-00003F070000}"/>
    <cellStyle name="Table Head Aligned" xfId="1511" xr:uid="{00000000-0005-0000-0000-000040070000}"/>
    <cellStyle name="Table Head Blue" xfId="1512" xr:uid="{00000000-0005-0000-0000-000041070000}"/>
    <cellStyle name="Table Head Green" xfId="1513" xr:uid="{00000000-0005-0000-0000-000042070000}"/>
    <cellStyle name="Table Head_Val_Sum_Graph" xfId="1514" xr:uid="{00000000-0005-0000-0000-000043070000}"/>
    <cellStyle name="Table Label" xfId="1515" xr:uid="{00000000-0005-0000-0000-000044070000}"/>
    <cellStyle name="Table Text" xfId="1516" xr:uid="{00000000-0005-0000-0000-000045070000}"/>
    <cellStyle name="Table Title" xfId="1517" xr:uid="{00000000-0005-0000-0000-000046070000}"/>
    <cellStyle name="Table Units" xfId="1518" xr:uid="{00000000-0005-0000-0000-000047070000}"/>
    <cellStyle name="Table_Header" xfId="1519" xr:uid="{00000000-0005-0000-0000-000048070000}"/>
    <cellStyle name="Text" xfId="1520" xr:uid="{00000000-0005-0000-0000-000049070000}"/>
    <cellStyle name="Text 1" xfId="1521" xr:uid="{00000000-0005-0000-0000-00004A070000}"/>
    <cellStyle name="Text 8" xfId="1522" xr:uid="{00000000-0005-0000-0000-00004B070000}"/>
    <cellStyle name="Text Head 1" xfId="1523" xr:uid="{00000000-0005-0000-0000-00004C070000}"/>
    <cellStyle name="Text Indent A" xfId="1524" xr:uid="{00000000-0005-0000-0000-00004D070000}"/>
    <cellStyle name="Text Indent B" xfId="1525" xr:uid="{00000000-0005-0000-0000-00004E070000}"/>
    <cellStyle name="Text Indent C" xfId="1526" xr:uid="{00000000-0005-0000-0000-00004F070000}"/>
    <cellStyle name="Times [2]" xfId="1527" xr:uid="{00000000-0005-0000-0000-000050070000}"/>
    <cellStyle name="Times 10" xfId="1528" xr:uid="{00000000-0005-0000-0000-000051070000}"/>
    <cellStyle name="Times 12" xfId="1529" xr:uid="{00000000-0005-0000-0000-000052070000}"/>
    <cellStyle name="Times New Roman" xfId="1530" xr:uid="{00000000-0005-0000-0000-000053070000}"/>
    <cellStyle name="times roman" xfId="1531" xr:uid="{00000000-0005-0000-0000-000054070000}"/>
    <cellStyle name="Times_under" xfId="1532" xr:uid="{00000000-0005-0000-0000-000055070000}"/>
    <cellStyle name="timesales2under" xfId="1533" xr:uid="{00000000-0005-0000-0000-000056070000}"/>
    <cellStyle name="Title" xfId="65" builtinId="15" customBuiltin="1"/>
    <cellStyle name="Title  - Style1" xfId="1534" xr:uid="{00000000-0005-0000-0000-000058070000}"/>
    <cellStyle name="Title 2" xfId="1897" xr:uid="{00000000-0005-0000-0000-000059070000}"/>
    <cellStyle name="Title 3" xfId="1898" xr:uid="{00000000-0005-0000-0000-00005A070000}"/>
    <cellStyle name="Title10" xfId="1535" xr:uid="{00000000-0005-0000-0000-00005B070000}"/>
    <cellStyle name="Title2" xfId="1536" xr:uid="{00000000-0005-0000-0000-00005C070000}"/>
    <cellStyle name="Title8" xfId="1537" xr:uid="{00000000-0005-0000-0000-00005D070000}"/>
    <cellStyle name="Title8Left" xfId="1538" xr:uid="{00000000-0005-0000-0000-00005E070000}"/>
    <cellStyle name="TitleCenter" xfId="1539" xr:uid="{00000000-0005-0000-0000-00005F070000}"/>
    <cellStyle name="TitleLeft" xfId="1540" xr:uid="{00000000-0005-0000-0000-000060070000}"/>
    <cellStyle name="Top and Bottom Border" xfId="1541" xr:uid="{00000000-0005-0000-0000-000061070000}"/>
    <cellStyle name="Top Line" xfId="1542" xr:uid="{00000000-0005-0000-0000-000062070000}"/>
    <cellStyle name="TopBot - Style2" xfId="1543" xr:uid="{00000000-0005-0000-0000-000063070000}"/>
    <cellStyle name="TopBot - Style2 2" xfId="1544" xr:uid="{00000000-0005-0000-0000-000064070000}"/>
    <cellStyle name="topline" xfId="1545" xr:uid="{00000000-0005-0000-0000-000065070000}"/>
    <cellStyle name="Total" xfId="66" builtinId="25" customBuiltin="1"/>
    <cellStyle name="Total 2" xfId="1899" xr:uid="{00000000-0005-0000-0000-000067070000}"/>
    <cellStyle name="Total 3" xfId="1900" xr:uid="{00000000-0005-0000-0000-000068070000}"/>
    <cellStyle name="TotCol - Style5" xfId="1546" xr:uid="{00000000-0005-0000-0000-000069070000}"/>
    <cellStyle name="TotRow - Style4" xfId="1547" xr:uid="{00000000-0005-0000-0000-00006A070000}"/>
    <cellStyle name="TransVal" xfId="1548" xr:uid="{00000000-0005-0000-0000-00006B070000}"/>
    <cellStyle name="ubordinated Debt" xfId="1549" xr:uid="{00000000-0005-0000-0000-00006C070000}"/>
    <cellStyle name="Underline" xfId="1550" xr:uid="{00000000-0005-0000-0000-00006D070000}"/>
    <cellStyle name="Underline Bold" xfId="1551" xr:uid="{00000000-0005-0000-0000-00006E070000}"/>
    <cellStyle name="Underline Double" xfId="1552" xr:uid="{00000000-0005-0000-0000-00006F070000}"/>
    <cellStyle name="Underline_Single" xfId="1553" xr:uid="{00000000-0005-0000-0000-000070070000}"/>
    <cellStyle name="User_Defined_C" xfId="1554" xr:uid="{00000000-0005-0000-0000-000071070000}"/>
    <cellStyle name="w12" xfId="1555" xr:uid="{00000000-0005-0000-0000-000072070000}"/>
    <cellStyle name="Warning Text" xfId="67" builtinId="11" customBuiltin="1"/>
    <cellStyle name="Warning Text 2" xfId="1901" xr:uid="{00000000-0005-0000-0000-000074070000}"/>
    <cellStyle name="Warning Text 3" xfId="1902" xr:uid="{00000000-0005-0000-0000-000075070000}"/>
    <cellStyle name="x" xfId="1556" xr:uid="{00000000-0005-0000-0000-000076070000}"/>
    <cellStyle name="xstyle" xfId="1557" xr:uid="{00000000-0005-0000-0000-000077070000}"/>
    <cellStyle name="y" xfId="1558" xr:uid="{00000000-0005-0000-0000-000078070000}"/>
    <cellStyle name="year" xfId="1559" xr:uid="{00000000-0005-0000-0000-000079070000}"/>
    <cellStyle name="Yen" xfId="1560" xr:uid="{00000000-0005-0000-0000-00007A070000}"/>
    <cellStyle name="Zaph Call 11pt" xfId="1561" xr:uid="{00000000-0005-0000-0000-00007B070000}"/>
    <cellStyle name="標準_MOTOCHO" xfId="1562" xr:uid="{00000000-0005-0000-0000-00007C070000}"/>
  </cellStyles>
  <dxfs count="117"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theme="8" tint="-0.49995422223578601"/>
        </patternFill>
      </fill>
    </dxf>
    <dxf>
      <font>
        <color theme="0"/>
      </font>
      <fill>
        <patternFill>
          <bgColor theme="8" tint="-0.249916074098941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3285927915285"/>
        </patternFill>
      </fill>
    </dxf>
    <dxf>
      <fill>
        <patternFill>
          <bgColor theme="8" tint="0.79995117038483843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59993285927915285"/>
        </patternFill>
      </fill>
    </dxf>
    <dxf>
      <fill>
        <patternFill>
          <bgColor theme="9" tint="0.79995117038483843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3285927915285"/>
        </patternFill>
      </fill>
    </dxf>
    <dxf>
      <border>
        <top style="thin">
          <color auto="1"/>
        </top>
        <bottom style="thin">
          <color auto="1"/>
        </bottom>
      </border>
    </dxf>
    <dxf>
      <fill>
        <patternFill>
          <bgColor theme="0" tint="-0.49995422223578601"/>
        </patternFill>
      </fill>
    </dxf>
    <dxf>
      <font>
        <color theme="0" tint="-0.14993743705557422"/>
      </font>
    </dxf>
    <dxf>
      <numFmt numFmtId="326" formatCode="&quot;Condo&quot;"/>
    </dxf>
    <dxf>
      <font>
        <color theme="0"/>
      </font>
      <fill>
        <patternFill>
          <bgColor theme="8" tint="-0.49995422223578601"/>
        </patternFill>
      </fill>
    </dxf>
    <dxf>
      <font>
        <color theme="0"/>
      </font>
      <fill>
        <patternFill>
          <bgColor theme="8" tint="-0.249916074098941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3285927915285"/>
        </patternFill>
      </fill>
    </dxf>
    <dxf>
      <fill>
        <patternFill>
          <bgColor theme="8" tint="0.79995117038483843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59993285927915285"/>
        </patternFill>
      </fill>
    </dxf>
    <dxf>
      <fill>
        <patternFill>
          <bgColor theme="9" tint="0.79995117038483843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3285927915285"/>
        </patternFill>
      </fill>
    </dxf>
    <dxf>
      <border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theme="8" tint="-0.49995422223578601"/>
        </patternFill>
      </fill>
    </dxf>
    <dxf>
      <font>
        <color theme="0"/>
      </font>
      <fill>
        <patternFill>
          <bgColor theme="8" tint="-0.249916074098941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3285927915285"/>
        </patternFill>
      </fill>
    </dxf>
    <dxf>
      <fill>
        <patternFill>
          <bgColor theme="8" tint="0.79995117038483843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59993285927915285"/>
        </patternFill>
      </fill>
    </dxf>
    <dxf>
      <fill>
        <patternFill>
          <bgColor theme="9" tint="0.79995117038483843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3285927915285"/>
        </patternFill>
      </fill>
    </dxf>
    <dxf>
      <border>
        <top style="thin">
          <color auto="1"/>
        </top>
        <bottom style="thin">
          <color auto="1"/>
        </bottom>
      </border>
    </dxf>
    <dxf>
      <font>
        <color theme="0" tint="-0.14993743705557422"/>
      </font>
    </dxf>
    <dxf>
      <font>
        <color theme="0"/>
      </font>
      <fill>
        <patternFill>
          <bgColor theme="8" tint="-0.49995422223578601"/>
        </patternFill>
      </fill>
    </dxf>
    <dxf>
      <font>
        <color theme="0"/>
      </font>
      <fill>
        <patternFill>
          <bgColor theme="8" tint="-0.249916074098941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3285927915285"/>
        </patternFill>
      </fill>
    </dxf>
    <dxf>
      <fill>
        <patternFill>
          <bgColor theme="8" tint="0.79995117038483843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59993285927915285"/>
        </patternFill>
      </fill>
    </dxf>
    <dxf>
      <fill>
        <patternFill>
          <bgColor theme="9" tint="0.79995117038483843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3285927915285"/>
        </patternFill>
      </fill>
    </dxf>
    <dxf>
      <border>
        <top style="thin">
          <color auto="1"/>
        </top>
        <bottom style="thin">
          <color auto="1"/>
        </bottom>
      </border>
    </dxf>
    <dxf>
      <font>
        <color theme="0" tint="-0.14993743705557422"/>
      </font>
    </dxf>
    <dxf>
      <font>
        <color theme="0"/>
      </font>
      <fill>
        <patternFill>
          <bgColor theme="8" tint="-0.49995422223578601"/>
        </patternFill>
      </fill>
    </dxf>
    <dxf>
      <font>
        <color theme="0"/>
      </font>
      <fill>
        <patternFill>
          <bgColor theme="8" tint="-0.249916074098941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3285927915285"/>
        </patternFill>
      </fill>
    </dxf>
    <dxf>
      <fill>
        <patternFill>
          <bgColor theme="8" tint="0.79995117038483843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59993285927915285"/>
        </patternFill>
      </fill>
    </dxf>
    <dxf>
      <fill>
        <patternFill>
          <bgColor theme="9" tint="0.79995117038483843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3285927915285"/>
        </patternFill>
      </fill>
    </dxf>
    <dxf>
      <border>
        <top style="thin">
          <color auto="1"/>
        </top>
        <bottom style="thin">
          <color auto="1"/>
        </bottom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</dxfs>
  <tableStyles count="0" defaultTableStyle="TableStyleMedium9" defaultPivotStyle="PivotStyleLight16"/>
  <colors>
    <mruColors>
      <color rgb="FF0000FF"/>
      <color rgb="FFFFFFCC"/>
      <color rgb="FF2F74C7"/>
      <color rgb="FFFFFF99"/>
      <color rgb="FF3333FF"/>
      <color rgb="FFA39581"/>
      <color rgb="FFFF99CC"/>
      <color rgb="FFF0F6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7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5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externalLink" Target="externalLinks/externalLink6.xml"/><Relationship Id="rId29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openxmlformats.org/officeDocument/2006/relationships/styles" Target="styles.xml"/><Relationship Id="rId28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openxmlformats.org/officeDocument/2006/relationships/customXml" Target="../customXml/item1.xml"/><Relationship Id="rId30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anchor="ctr"/>
          <a:lstStyle/>
          <a:p>
            <a:pPr algn="ctr">
              <a:defRPr/>
            </a:pPr>
            <a:r>
              <a:rPr lang="en-US" sz="2000" b="1" i="0" u="none" baseline="0"/>
              <a:t>US Market Projections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1 Month USD LIBOR Forward Curve</c:v>
          </c:tx>
          <c:spPr>
            <a:ln>
              <a:solidFill>
                <a:srgbClr val="007CBA"/>
              </a:solidFill>
            </a:ln>
          </c:spPr>
          <c:marker>
            <c:symbol val="none"/>
          </c:marker>
          <c:cat>
            <c:numLit>
              <c:formatCode>General</c:formatCode>
              <c:ptCount val="121"/>
              <c:pt idx="0">
                <c:v>43913</c:v>
              </c:pt>
              <c:pt idx="1">
                <c:v>43944</c:v>
              </c:pt>
              <c:pt idx="2">
                <c:v>43976</c:v>
              </c:pt>
              <c:pt idx="3">
                <c:v>44005</c:v>
              </c:pt>
              <c:pt idx="4">
                <c:v>44035</c:v>
              </c:pt>
              <c:pt idx="5">
                <c:v>44067</c:v>
              </c:pt>
              <c:pt idx="6">
                <c:v>44097</c:v>
              </c:pt>
              <c:pt idx="7">
                <c:v>44127</c:v>
              </c:pt>
              <c:pt idx="8">
                <c:v>44158</c:v>
              </c:pt>
              <c:pt idx="9">
                <c:v>44188</c:v>
              </c:pt>
              <c:pt idx="10">
                <c:v>44221</c:v>
              </c:pt>
              <c:pt idx="11">
                <c:v>44250</c:v>
              </c:pt>
              <c:pt idx="12">
                <c:v>44278</c:v>
              </c:pt>
              <c:pt idx="13">
                <c:v>44309</c:v>
              </c:pt>
              <c:pt idx="14">
                <c:v>44340</c:v>
              </c:pt>
              <c:pt idx="15">
                <c:v>44370</c:v>
              </c:pt>
              <c:pt idx="16">
                <c:v>44400</c:v>
              </c:pt>
              <c:pt idx="17">
                <c:v>44431</c:v>
              </c:pt>
              <c:pt idx="18">
                <c:v>44462</c:v>
              </c:pt>
              <c:pt idx="19">
                <c:v>44494</c:v>
              </c:pt>
              <c:pt idx="20">
                <c:v>44523</c:v>
              </c:pt>
              <c:pt idx="21">
                <c:v>44553</c:v>
              </c:pt>
              <c:pt idx="22">
                <c:v>44585</c:v>
              </c:pt>
              <c:pt idx="23">
                <c:v>44615</c:v>
              </c:pt>
              <c:pt idx="24">
                <c:v>44643</c:v>
              </c:pt>
              <c:pt idx="25">
                <c:v>44676</c:v>
              </c:pt>
              <c:pt idx="26">
                <c:v>44704</c:v>
              </c:pt>
              <c:pt idx="27">
                <c:v>44735</c:v>
              </c:pt>
              <c:pt idx="28">
                <c:v>44767</c:v>
              </c:pt>
              <c:pt idx="29">
                <c:v>44796</c:v>
              </c:pt>
              <c:pt idx="30">
                <c:v>44827</c:v>
              </c:pt>
              <c:pt idx="31">
                <c:v>44858</c:v>
              </c:pt>
              <c:pt idx="32">
                <c:v>44888</c:v>
              </c:pt>
              <c:pt idx="33">
                <c:v>44918</c:v>
              </c:pt>
              <c:pt idx="34">
                <c:v>44949</c:v>
              </c:pt>
              <c:pt idx="35">
                <c:v>44980</c:v>
              </c:pt>
              <c:pt idx="36">
                <c:v>45008</c:v>
              </c:pt>
              <c:pt idx="37">
                <c:v>45040</c:v>
              </c:pt>
              <c:pt idx="38">
                <c:v>45069</c:v>
              </c:pt>
              <c:pt idx="39">
                <c:v>45100</c:v>
              </c:pt>
              <c:pt idx="40">
                <c:v>45131</c:v>
              </c:pt>
              <c:pt idx="41">
                <c:v>45161</c:v>
              </c:pt>
              <c:pt idx="42">
                <c:v>45194</c:v>
              </c:pt>
              <c:pt idx="43">
                <c:v>45222</c:v>
              </c:pt>
              <c:pt idx="44">
                <c:v>45253</c:v>
              </c:pt>
              <c:pt idx="45">
                <c:v>45285</c:v>
              </c:pt>
              <c:pt idx="46">
                <c:v>45314</c:v>
              </c:pt>
              <c:pt idx="47">
                <c:v>45345</c:v>
              </c:pt>
              <c:pt idx="48">
                <c:v>45376</c:v>
              </c:pt>
              <c:pt idx="49">
                <c:v>45405</c:v>
              </c:pt>
              <c:pt idx="50">
                <c:v>45435</c:v>
              </c:pt>
              <c:pt idx="51">
                <c:v>45467</c:v>
              </c:pt>
              <c:pt idx="52">
                <c:v>45496</c:v>
              </c:pt>
              <c:pt idx="53">
                <c:v>45527</c:v>
              </c:pt>
              <c:pt idx="54">
                <c:v>45558</c:v>
              </c:pt>
              <c:pt idx="55">
                <c:v>45588</c:v>
              </c:pt>
              <c:pt idx="56">
                <c:v>45621</c:v>
              </c:pt>
              <c:pt idx="57">
                <c:v>45649</c:v>
              </c:pt>
              <c:pt idx="58">
                <c:v>45680</c:v>
              </c:pt>
              <c:pt idx="59">
                <c:v>45712</c:v>
              </c:pt>
              <c:pt idx="60">
                <c:v>45740</c:v>
              </c:pt>
              <c:pt idx="61">
                <c:v>45770</c:v>
              </c:pt>
              <c:pt idx="62">
                <c:v>45800</c:v>
              </c:pt>
              <c:pt idx="63">
                <c:v>45831</c:v>
              </c:pt>
              <c:pt idx="64">
                <c:v>45861</c:v>
              </c:pt>
              <c:pt idx="65">
                <c:v>45894</c:v>
              </c:pt>
              <c:pt idx="66">
                <c:v>45923</c:v>
              </c:pt>
              <c:pt idx="67">
                <c:v>45953</c:v>
              </c:pt>
              <c:pt idx="68">
                <c:v>45985</c:v>
              </c:pt>
              <c:pt idx="69">
                <c:v>46014</c:v>
              </c:pt>
              <c:pt idx="70">
                <c:v>46045</c:v>
              </c:pt>
              <c:pt idx="71">
                <c:v>46076</c:v>
              </c:pt>
              <c:pt idx="72">
                <c:v>46104</c:v>
              </c:pt>
              <c:pt idx="73">
                <c:v>46135</c:v>
              </c:pt>
              <c:pt idx="74">
                <c:v>46167</c:v>
              </c:pt>
              <c:pt idx="75">
                <c:v>46196</c:v>
              </c:pt>
              <c:pt idx="76">
                <c:v>46226</c:v>
              </c:pt>
              <c:pt idx="77">
                <c:v>46258</c:v>
              </c:pt>
              <c:pt idx="78">
                <c:v>46288</c:v>
              </c:pt>
              <c:pt idx="79">
                <c:v>46318</c:v>
              </c:pt>
              <c:pt idx="80">
                <c:v>46349</c:v>
              </c:pt>
              <c:pt idx="81">
                <c:v>46379</c:v>
              </c:pt>
              <c:pt idx="82">
                <c:v>46412</c:v>
              </c:pt>
              <c:pt idx="83">
                <c:v>46441</c:v>
              </c:pt>
              <c:pt idx="84">
                <c:v>46469</c:v>
              </c:pt>
              <c:pt idx="85">
                <c:v>46500</c:v>
              </c:pt>
              <c:pt idx="86">
                <c:v>46531</c:v>
              </c:pt>
              <c:pt idx="87">
                <c:v>46561</c:v>
              </c:pt>
              <c:pt idx="88">
                <c:v>46591</c:v>
              </c:pt>
              <c:pt idx="89">
                <c:v>46622</c:v>
              </c:pt>
              <c:pt idx="90">
                <c:v>46653</c:v>
              </c:pt>
              <c:pt idx="91">
                <c:v>46685</c:v>
              </c:pt>
              <c:pt idx="92">
                <c:v>46714</c:v>
              </c:pt>
              <c:pt idx="93">
                <c:v>46744</c:v>
              </c:pt>
              <c:pt idx="94">
                <c:v>46776</c:v>
              </c:pt>
              <c:pt idx="95">
                <c:v>46806</c:v>
              </c:pt>
              <c:pt idx="96">
                <c:v>46835</c:v>
              </c:pt>
              <c:pt idx="97">
                <c:v>46867</c:v>
              </c:pt>
              <c:pt idx="98">
                <c:v>46896</c:v>
              </c:pt>
              <c:pt idx="99">
                <c:v>46927</c:v>
              </c:pt>
              <c:pt idx="100">
                <c:v>46958</c:v>
              </c:pt>
              <c:pt idx="101">
                <c:v>46988</c:v>
              </c:pt>
              <c:pt idx="102">
                <c:v>47021</c:v>
              </c:pt>
              <c:pt idx="103">
                <c:v>47049</c:v>
              </c:pt>
              <c:pt idx="104">
                <c:v>47080</c:v>
              </c:pt>
              <c:pt idx="105">
                <c:v>47112</c:v>
              </c:pt>
              <c:pt idx="106">
                <c:v>47141</c:v>
              </c:pt>
              <c:pt idx="107">
                <c:v>47172</c:v>
              </c:pt>
              <c:pt idx="108">
                <c:v>47200</c:v>
              </c:pt>
              <c:pt idx="109">
                <c:v>47231</c:v>
              </c:pt>
              <c:pt idx="110">
                <c:v>47261</c:v>
              </c:pt>
              <c:pt idx="111">
                <c:v>47294</c:v>
              </c:pt>
              <c:pt idx="112">
                <c:v>47322</c:v>
              </c:pt>
              <c:pt idx="113">
                <c:v>47353</c:v>
              </c:pt>
              <c:pt idx="114">
                <c:v>47385</c:v>
              </c:pt>
              <c:pt idx="115">
                <c:v>47414</c:v>
              </c:pt>
              <c:pt idx="116">
                <c:v>47445</c:v>
              </c:pt>
              <c:pt idx="117">
                <c:v>47476</c:v>
              </c:pt>
              <c:pt idx="118">
                <c:v>47506</c:v>
              </c:pt>
              <c:pt idx="119">
                <c:v>47539</c:v>
              </c:pt>
              <c:pt idx="120">
                <c:v>47567</c:v>
              </c:pt>
            </c:numLit>
          </c:cat>
          <c:val>
            <c:numLit>
              <c:formatCode>General</c:formatCode>
              <c:ptCount val="121"/>
              <c:pt idx="0">
                <c:v>9.2362999999999994E-3</c:v>
              </c:pt>
              <c:pt idx="1">
                <c:v>8.3497999999999992E-3</c:v>
              </c:pt>
              <c:pt idx="2">
                <c:v>6.9661999999999996E-3</c:v>
              </c:pt>
              <c:pt idx="3">
                <c:v>5.2189999999999997E-3</c:v>
              </c:pt>
              <c:pt idx="4">
                <c:v>3.9288999999999999E-3</c:v>
              </c:pt>
              <c:pt idx="5">
                <c:v>3.31E-3</c:v>
              </c:pt>
              <c:pt idx="6">
                <c:v>3.3419999999999999E-3</c:v>
              </c:pt>
              <c:pt idx="7">
                <c:v>3.5707E-3</c:v>
              </c:pt>
              <c:pt idx="8">
                <c:v>3.7035000000000002E-3</c:v>
              </c:pt>
              <c:pt idx="9">
                <c:v>3.7120999999999999E-3</c:v>
              </c:pt>
              <c:pt idx="10">
                <c:v>3.7296E-3</c:v>
              </c:pt>
              <c:pt idx="11">
                <c:v>3.7875999999999999E-3</c:v>
              </c:pt>
              <c:pt idx="12">
                <c:v>3.9290000000000002E-3</c:v>
              </c:pt>
              <c:pt idx="13">
                <c:v>4.1107000000000001E-3</c:v>
              </c:pt>
              <c:pt idx="14">
                <c:v>4.2827999999999998E-3</c:v>
              </c:pt>
              <c:pt idx="15">
                <c:v>4.4413999999999999E-3</c:v>
              </c:pt>
              <c:pt idx="16">
                <c:v>4.5764999999999998E-3</c:v>
              </c:pt>
              <c:pt idx="17">
                <c:v>4.6714E-3</c:v>
              </c:pt>
              <c:pt idx="18">
                <c:v>4.7467000000000004E-3</c:v>
              </c:pt>
              <c:pt idx="19">
                <c:v>4.8161000000000002E-3</c:v>
              </c:pt>
              <c:pt idx="20">
                <c:v>4.8767000000000003E-3</c:v>
              </c:pt>
              <c:pt idx="21">
                <c:v>4.9487999999999997E-3</c:v>
              </c:pt>
              <c:pt idx="22">
                <c:v>5.0366999999999999E-3</c:v>
              </c:pt>
              <c:pt idx="23">
                <c:v>5.1279000000000003E-3</c:v>
              </c:pt>
              <c:pt idx="24">
                <c:v>5.2367000000000004E-3</c:v>
              </c:pt>
              <c:pt idx="25">
                <c:v>5.3623000000000004E-3</c:v>
              </c:pt>
              <c:pt idx="26">
                <c:v>5.4884E-3</c:v>
              </c:pt>
              <c:pt idx="27">
                <c:v>5.6300999999999999E-3</c:v>
              </c:pt>
              <c:pt idx="28">
                <c:v>5.7876000000000004E-3</c:v>
              </c:pt>
              <c:pt idx="29">
                <c:v>5.9458999999999996E-3</c:v>
              </c:pt>
              <c:pt idx="30">
                <c:v>6.1208E-3</c:v>
              </c:pt>
              <c:pt idx="31">
                <c:v>6.3131000000000003E-3</c:v>
              </c:pt>
              <c:pt idx="32">
                <c:v>6.5088999999999998E-3</c:v>
              </c:pt>
              <c:pt idx="33">
                <c:v>6.7219999999999997E-3</c:v>
              </c:pt>
              <c:pt idx="34">
                <c:v>6.9516999999999999E-3</c:v>
              </c:pt>
              <c:pt idx="35">
                <c:v>7.1825999999999999E-3</c:v>
              </c:pt>
              <c:pt idx="36">
                <c:v>7.4202000000000001E-3</c:v>
              </c:pt>
              <c:pt idx="37">
                <c:v>7.6566000000000004E-3</c:v>
              </c:pt>
              <c:pt idx="38">
                <c:v>7.8762999999999993E-3</c:v>
              </c:pt>
              <c:pt idx="39">
                <c:v>8.0864999999999999E-3</c:v>
              </c:pt>
              <c:pt idx="40">
                <c:v>8.2868000000000004E-3</c:v>
              </c:pt>
              <c:pt idx="41">
                <c:v>8.4697000000000001E-3</c:v>
              </c:pt>
              <c:pt idx="42">
                <c:v>8.6444999999999994E-3</c:v>
              </c:pt>
              <c:pt idx="43">
                <c:v>8.8129000000000002E-3</c:v>
              </c:pt>
              <c:pt idx="44">
                <c:v>8.9697000000000006E-3</c:v>
              </c:pt>
              <c:pt idx="45">
                <c:v>9.1149999999999998E-3</c:v>
              </c:pt>
              <c:pt idx="46">
                <c:v>9.2771999999999993E-3</c:v>
              </c:pt>
              <c:pt idx="47">
                <c:v>9.4237000000000001E-3</c:v>
              </c:pt>
              <c:pt idx="48">
                <c:v>9.5697000000000004E-3</c:v>
              </c:pt>
              <c:pt idx="49">
                <c:v>9.7134999999999999E-3</c:v>
              </c:pt>
              <c:pt idx="50">
                <c:v>9.8505999999999993E-3</c:v>
              </c:pt>
              <c:pt idx="51">
                <c:v>9.9848000000000003E-3</c:v>
              </c:pt>
              <c:pt idx="52">
                <c:v>1.01163E-2</c:v>
              </c:pt>
              <c:pt idx="53">
                <c:v>1.0241999999999999E-2</c:v>
              </c:pt>
              <c:pt idx="54">
                <c:v>1.03648E-2</c:v>
              </c:pt>
              <c:pt idx="55">
                <c:v>1.0483900000000001E-2</c:v>
              </c:pt>
              <c:pt idx="56">
                <c:v>1.0594900000000001E-2</c:v>
              </c:pt>
              <c:pt idx="57">
                <c:v>1.0700400000000001E-2</c:v>
              </c:pt>
              <c:pt idx="58">
                <c:v>1.07995E-2</c:v>
              </c:pt>
              <c:pt idx="59">
                <c:v>1.0887900000000001E-2</c:v>
              </c:pt>
              <c:pt idx="60">
                <c:v>1.0973999999999999E-2</c:v>
              </c:pt>
              <c:pt idx="61">
                <c:v>1.10633E-2</c:v>
              </c:pt>
              <c:pt idx="62">
                <c:v>1.11498E-2</c:v>
              </c:pt>
              <c:pt idx="63">
                <c:v>1.1244000000000001E-2</c:v>
              </c:pt>
              <c:pt idx="64">
                <c:v>1.13451E-2</c:v>
              </c:pt>
              <c:pt idx="65">
                <c:v>1.1438E-2</c:v>
              </c:pt>
              <c:pt idx="66">
                <c:v>1.15402E-2</c:v>
              </c:pt>
              <c:pt idx="67">
                <c:v>1.1641800000000001E-2</c:v>
              </c:pt>
              <c:pt idx="68">
                <c:v>1.1733E-2</c:v>
              </c:pt>
              <c:pt idx="69">
                <c:v>1.18242E-2</c:v>
              </c:pt>
              <c:pt idx="70">
                <c:v>1.19151E-2</c:v>
              </c:pt>
              <c:pt idx="71">
                <c:v>1.19939E-2</c:v>
              </c:pt>
              <c:pt idx="72">
                <c:v>1.2071699999999999E-2</c:v>
              </c:pt>
              <c:pt idx="73">
                <c:v>1.2149399999999999E-2</c:v>
              </c:pt>
              <c:pt idx="74">
                <c:v>1.2214300000000001E-2</c:v>
              </c:pt>
              <c:pt idx="75">
                <c:v>1.22833E-2</c:v>
              </c:pt>
              <c:pt idx="76">
                <c:v>1.2351000000000001E-2</c:v>
              </c:pt>
              <c:pt idx="77">
                <c:v>1.24089E-2</c:v>
              </c:pt>
              <c:pt idx="78">
                <c:v>1.24682E-2</c:v>
              </c:pt>
              <c:pt idx="79">
                <c:v>1.25294E-2</c:v>
              </c:pt>
              <c:pt idx="80">
                <c:v>1.25814E-2</c:v>
              </c:pt>
              <c:pt idx="81">
                <c:v>1.26354E-2</c:v>
              </c:pt>
              <c:pt idx="82">
                <c:v>1.26914E-2</c:v>
              </c:pt>
              <c:pt idx="83">
                <c:v>1.2737099999999999E-2</c:v>
              </c:pt>
              <c:pt idx="84">
                <c:v>1.2782E-2</c:v>
              </c:pt>
              <c:pt idx="85">
                <c:v>1.2825E-2</c:v>
              </c:pt>
              <c:pt idx="86">
                <c:v>1.2855E-2</c:v>
              </c:pt>
              <c:pt idx="87">
                <c:v>1.2881699999999999E-2</c:v>
              </c:pt>
              <c:pt idx="88">
                <c:v>1.2905E-2</c:v>
              </c:pt>
              <c:pt idx="89">
                <c:v>1.2915100000000001E-2</c:v>
              </c:pt>
              <c:pt idx="90">
                <c:v>1.2922400000000001E-2</c:v>
              </c:pt>
              <c:pt idx="91">
                <c:v>1.29272E-2</c:v>
              </c:pt>
              <c:pt idx="92">
                <c:v>1.29192E-2</c:v>
              </c:pt>
              <c:pt idx="93">
                <c:v>1.2909199999999999E-2</c:v>
              </c:pt>
              <c:pt idx="94">
                <c:v>1.28982E-2</c:v>
              </c:pt>
              <c:pt idx="95">
                <c:v>1.28766E-2</c:v>
              </c:pt>
              <c:pt idx="96">
                <c:v>1.2855699999999999E-2</c:v>
              </c:pt>
              <c:pt idx="97">
                <c:v>1.2837100000000001E-2</c:v>
              </c:pt>
              <c:pt idx="98">
                <c:v>1.28123E-2</c:v>
              </c:pt>
              <c:pt idx="99">
                <c:v>1.27922E-2</c:v>
              </c:pt>
              <c:pt idx="100">
                <c:v>1.27776E-2</c:v>
              </c:pt>
              <c:pt idx="101">
                <c:v>1.2759299999999999E-2</c:v>
              </c:pt>
              <c:pt idx="102">
                <c:v>1.27476E-2</c:v>
              </c:pt>
              <c:pt idx="103">
                <c:v>1.27419E-2</c:v>
              </c:pt>
              <c:pt idx="104">
                <c:v>1.27326E-2</c:v>
              </c:pt>
              <c:pt idx="105">
                <c:v>1.27291E-2</c:v>
              </c:pt>
              <c:pt idx="106">
                <c:v>1.2729000000000001E-2</c:v>
              </c:pt>
              <c:pt idx="107">
                <c:v>1.2722300000000001E-2</c:v>
              </c:pt>
              <c:pt idx="108">
                <c:v>1.27165E-2</c:v>
              </c:pt>
              <c:pt idx="109">
                <c:v>1.27105E-2</c:v>
              </c:pt>
              <c:pt idx="110">
                <c:v>1.2692699999999999E-2</c:v>
              </c:pt>
              <c:pt idx="111">
                <c:v>1.26719E-2</c:v>
              </c:pt>
              <c:pt idx="112">
                <c:v>1.2646299999999999E-2</c:v>
              </c:pt>
              <c:pt idx="113">
                <c:v>1.26047E-2</c:v>
              </c:pt>
              <c:pt idx="114">
                <c:v>1.2555699999999999E-2</c:v>
              </c:pt>
              <c:pt idx="115">
                <c:v>1.24975E-2</c:v>
              </c:pt>
              <c:pt idx="116">
                <c:v>1.2418999999999999E-2</c:v>
              </c:pt>
              <c:pt idx="117">
                <c:v>1.2330199999999999E-2</c:v>
              </c:pt>
              <c:pt idx="118">
                <c:v>1.2231000000000001E-2</c:v>
              </c:pt>
              <c:pt idx="119">
                <c:v>1.21119E-2</c:v>
              </c:pt>
              <c:pt idx="120">
                <c:v>1.1989700000000001E-2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E8AF-44E9-8E8C-6AB91A9A1121}"/>
            </c:ext>
          </c:extLst>
        </c:ser>
        <c:ser>
          <c:idx val="1"/>
          <c:order val="1"/>
          <c:tx>
            <c:v>3 Month USD LIBOR Forward Curve</c:v>
          </c:tx>
          <c:spPr>
            <a:ln>
              <a:solidFill>
                <a:srgbClr val="004578"/>
              </a:solidFill>
            </a:ln>
          </c:spPr>
          <c:marker>
            <c:symbol val="none"/>
          </c:marker>
          <c:cat>
            <c:numLit>
              <c:formatCode>General</c:formatCode>
              <c:ptCount val="121"/>
              <c:pt idx="0">
                <c:v>43913</c:v>
              </c:pt>
              <c:pt idx="1">
                <c:v>43944</c:v>
              </c:pt>
              <c:pt idx="2">
                <c:v>43976</c:v>
              </c:pt>
              <c:pt idx="3">
                <c:v>44005</c:v>
              </c:pt>
              <c:pt idx="4">
                <c:v>44035</c:v>
              </c:pt>
              <c:pt idx="5">
                <c:v>44067</c:v>
              </c:pt>
              <c:pt idx="6">
                <c:v>44097</c:v>
              </c:pt>
              <c:pt idx="7">
                <c:v>44127</c:v>
              </c:pt>
              <c:pt idx="8">
                <c:v>44158</c:v>
              </c:pt>
              <c:pt idx="9">
                <c:v>44188</c:v>
              </c:pt>
              <c:pt idx="10">
                <c:v>44221</c:v>
              </c:pt>
              <c:pt idx="11">
                <c:v>44250</c:v>
              </c:pt>
              <c:pt idx="12">
                <c:v>44278</c:v>
              </c:pt>
              <c:pt idx="13">
                <c:v>44309</c:v>
              </c:pt>
              <c:pt idx="14">
                <c:v>44340</c:v>
              </c:pt>
              <c:pt idx="15">
                <c:v>44370</c:v>
              </c:pt>
              <c:pt idx="16">
                <c:v>44400</c:v>
              </c:pt>
              <c:pt idx="17">
                <c:v>44431</c:v>
              </c:pt>
              <c:pt idx="18">
                <c:v>44462</c:v>
              </c:pt>
              <c:pt idx="19">
                <c:v>44494</c:v>
              </c:pt>
              <c:pt idx="20">
                <c:v>44523</c:v>
              </c:pt>
              <c:pt idx="21">
                <c:v>44553</c:v>
              </c:pt>
              <c:pt idx="22">
                <c:v>44585</c:v>
              </c:pt>
              <c:pt idx="23">
                <c:v>44615</c:v>
              </c:pt>
              <c:pt idx="24">
                <c:v>44643</c:v>
              </c:pt>
              <c:pt idx="25">
                <c:v>44676</c:v>
              </c:pt>
              <c:pt idx="26">
                <c:v>44704</c:v>
              </c:pt>
              <c:pt idx="27">
                <c:v>44735</c:v>
              </c:pt>
              <c:pt idx="28">
                <c:v>44767</c:v>
              </c:pt>
              <c:pt idx="29">
                <c:v>44796</c:v>
              </c:pt>
              <c:pt idx="30">
                <c:v>44827</c:v>
              </c:pt>
              <c:pt idx="31">
                <c:v>44858</c:v>
              </c:pt>
              <c:pt idx="32">
                <c:v>44888</c:v>
              </c:pt>
              <c:pt idx="33">
                <c:v>44918</c:v>
              </c:pt>
              <c:pt idx="34">
                <c:v>44949</c:v>
              </c:pt>
              <c:pt idx="35">
                <c:v>44980</c:v>
              </c:pt>
              <c:pt idx="36">
                <c:v>45008</c:v>
              </c:pt>
              <c:pt idx="37">
                <c:v>45040</c:v>
              </c:pt>
              <c:pt idx="38">
                <c:v>45069</c:v>
              </c:pt>
              <c:pt idx="39">
                <c:v>45100</c:v>
              </c:pt>
              <c:pt idx="40">
                <c:v>45131</c:v>
              </c:pt>
              <c:pt idx="41">
                <c:v>45161</c:v>
              </c:pt>
              <c:pt idx="42">
                <c:v>45194</c:v>
              </c:pt>
              <c:pt idx="43">
                <c:v>45222</c:v>
              </c:pt>
              <c:pt idx="44">
                <c:v>45253</c:v>
              </c:pt>
              <c:pt idx="45">
                <c:v>45285</c:v>
              </c:pt>
              <c:pt idx="46">
                <c:v>45314</c:v>
              </c:pt>
              <c:pt idx="47">
                <c:v>45345</c:v>
              </c:pt>
              <c:pt idx="48">
                <c:v>45376</c:v>
              </c:pt>
              <c:pt idx="49">
                <c:v>45405</c:v>
              </c:pt>
              <c:pt idx="50">
                <c:v>45435</c:v>
              </c:pt>
              <c:pt idx="51">
                <c:v>45467</c:v>
              </c:pt>
              <c:pt idx="52">
                <c:v>45496</c:v>
              </c:pt>
              <c:pt idx="53">
                <c:v>45527</c:v>
              </c:pt>
              <c:pt idx="54">
                <c:v>45558</c:v>
              </c:pt>
              <c:pt idx="55">
                <c:v>45588</c:v>
              </c:pt>
              <c:pt idx="56">
                <c:v>45621</c:v>
              </c:pt>
              <c:pt idx="57">
                <c:v>45649</c:v>
              </c:pt>
              <c:pt idx="58">
                <c:v>45680</c:v>
              </c:pt>
              <c:pt idx="59">
                <c:v>45712</c:v>
              </c:pt>
              <c:pt idx="60">
                <c:v>45740</c:v>
              </c:pt>
              <c:pt idx="61">
                <c:v>45770</c:v>
              </c:pt>
              <c:pt idx="62">
                <c:v>45800</c:v>
              </c:pt>
              <c:pt idx="63">
                <c:v>45831</c:v>
              </c:pt>
              <c:pt idx="64">
                <c:v>45861</c:v>
              </c:pt>
              <c:pt idx="65">
                <c:v>45894</c:v>
              </c:pt>
              <c:pt idx="66">
                <c:v>45923</c:v>
              </c:pt>
              <c:pt idx="67">
                <c:v>45953</c:v>
              </c:pt>
              <c:pt idx="68">
                <c:v>45985</c:v>
              </c:pt>
              <c:pt idx="69">
                <c:v>46014</c:v>
              </c:pt>
              <c:pt idx="70">
                <c:v>46045</c:v>
              </c:pt>
              <c:pt idx="71">
                <c:v>46076</c:v>
              </c:pt>
              <c:pt idx="72">
                <c:v>46104</c:v>
              </c:pt>
              <c:pt idx="73">
                <c:v>46135</c:v>
              </c:pt>
              <c:pt idx="74">
                <c:v>46167</c:v>
              </c:pt>
              <c:pt idx="75">
                <c:v>46196</c:v>
              </c:pt>
              <c:pt idx="76">
                <c:v>46226</c:v>
              </c:pt>
              <c:pt idx="77">
                <c:v>46258</c:v>
              </c:pt>
              <c:pt idx="78">
                <c:v>46288</c:v>
              </c:pt>
              <c:pt idx="79">
                <c:v>46318</c:v>
              </c:pt>
              <c:pt idx="80">
                <c:v>46349</c:v>
              </c:pt>
              <c:pt idx="81">
                <c:v>46379</c:v>
              </c:pt>
              <c:pt idx="82">
                <c:v>46412</c:v>
              </c:pt>
              <c:pt idx="83">
                <c:v>46441</c:v>
              </c:pt>
              <c:pt idx="84">
                <c:v>46469</c:v>
              </c:pt>
              <c:pt idx="85">
                <c:v>46500</c:v>
              </c:pt>
              <c:pt idx="86">
                <c:v>46531</c:v>
              </c:pt>
              <c:pt idx="87">
                <c:v>46561</c:v>
              </c:pt>
              <c:pt idx="88">
                <c:v>46591</c:v>
              </c:pt>
              <c:pt idx="89">
                <c:v>46622</c:v>
              </c:pt>
              <c:pt idx="90">
                <c:v>46653</c:v>
              </c:pt>
              <c:pt idx="91">
                <c:v>46685</c:v>
              </c:pt>
              <c:pt idx="92">
                <c:v>46714</c:v>
              </c:pt>
              <c:pt idx="93">
                <c:v>46744</c:v>
              </c:pt>
              <c:pt idx="94">
                <c:v>46776</c:v>
              </c:pt>
              <c:pt idx="95">
                <c:v>46806</c:v>
              </c:pt>
              <c:pt idx="96">
                <c:v>46835</c:v>
              </c:pt>
              <c:pt idx="97">
                <c:v>46867</c:v>
              </c:pt>
              <c:pt idx="98">
                <c:v>46896</c:v>
              </c:pt>
              <c:pt idx="99">
                <c:v>46927</c:v>
              </c:pt>
              <c:pt idx="100">
                <c:v>46958</c:v>
              </c:pt>
              <c:pt idx="101">
                <c:v>46988</c:v>
              </c:pt>
              <c:pt idx="102">
                <c:v>47021</c:v>
              </c:pt>
              <c:pt idx="103">
                <c:v>47049</c:v>
              </c:pt>
              <c:pt idx="104">
                <c:v>47080</c:v>
              </c:pt>
              <c:pt idx="105">
                <c:v>47112</c:v>
              </c:pt>
              <c:pt idx="106">
                <c:v>47141</c:v>
              </c:pt>
              <c:pt idx="107">
                <c:v>47172</c:v>
              </c:pt>
              <c:pt idx="108">
                <c:v>47200</c:v>
              </c:pt>
              <c:pt idx="109">
                <c:v>47231</c:v>
              </c:pt>
              <c:pt idx="110">
                <c:v>47261</c:v>
              </c:pt>
              <c:pt idx="111">
                <c:v>47294</c:v>
              </c:pt>
              <c:pt idx="112">
                <c:v>47322</c:v>
              </c:pt>
              <c:pt idx="113">
                <c:v>47353</c:v>
              </c:pt>
              <c:pt idx="114">
                <c:v>47385</c:v>
              </c:pt>
              <c:pt idx="115">
                <c:v>47414</c:v>
              </c:pt>
              <c:pt idx="116">
                <c:v>47445</c:v>
              </c:pt>
              <c:pt idx="117">
                <c:v>47476</c:v>
              </c:pt>
              <c:pt idx="118">
                <c:v>47506</c:v>
              </c:pt>
              <c:pt idx="119">
                <c:v>47539</c:v>
              </c:pt>
              <c:pt idx="120">
                <c:v>47567</c:v>
              </c:pt>
            </c:numLit>
          </c:cat>
          <c:val>
            <c:numLit>
              <c:formatCode>General</c:formatCode>
              <c:ptCount val="121"/>
              <c:pt idx="0">
                <c:v>1.19513E-2</c:v>
              </c:pt>
              <c:pt idx="1">
                <c:v>9.9965000000000002E-3</c:v>
              </c:pt>
              <c:pt idx="2">
                <c:v>7.9787E-3</c:v>
              </c:pt>
              <c:pt idx="3">
                <c:v>6.1500000000000001E-3</c:v>
              </c:pt>
              <c:pt idx="4">
                <c:v>5.6908000000000002E-3</c:v>
              </c:pt>
              <c:pt idx="5">
                <c:v>5.2009999999999999E-3</c:v>
              </c:pt>
              <c:pt idx="6">
                <c:v>4.7418E-3</c:v>
              </c:pt>
              <c:pt idx="7">
                <c:v>4.8066000000000003E-3</c:v>
              </c:pt>
              <c:pt idx="8">
                <c:v>4.8735000000000002E-3</c:v>
              </c:pt>
              <c:pt idx="9">
                <c:v>4.9382999999999996E-3</c:v>
              </c:pt>
              <c:pt idx="10">
                <c:v>4.8653999999999998E-3</c:v>
              </c:pt>
              <c:pt idx="11">
                <c:v>4.8013999999999999E-3</c:v>
              </c:pt>
              <c:pt idx="12">
                <c:v>4.7396000000000001E-3</c:v>
              </c:pt>
              <c:pt idx="13">
                <c:v>4.8605000000000002E-3</c:v>
              </c:pt>
              <c:pt idx="14">
                <c:v>4.9813000000000001E-3</c:v>
              </c:pt>
              <c:pt idx="15">
                <c:v>5.0983000000000001E-3</c:v>
              </c:pt>
              <c:pt idx="16">
                <c:v>5.1580999999999997E-3</c:v>
              </c:pt>
              <c:pt idx="17">
                <c:v>5.2199000000000004E-3</c:v>
              </c:pt>
              <c:pt idx="18">
                <c:v>5.2817000000000003E-3</c:v>
              </c:pt>
              <c:pt idx="19">
                <c:v>5.3756000000000003E-3</c:v>
              </c:pt>
              <c:pt idx="20">
                <c:v>5.4606999999999998E-3</c:v>
              </c:pt>
              <c:pt idx="21">
                <c:v>5.5487000000000002E-3</c:v>
              </c:pt>
              <c:pt idx="22">
                <c:v>5.6728999999999998E-3</c:v>
              </c:pt>
              <c:pt idx="23">
                <c:v>5.7895000000000004E-3</c:v>
              </c:pt>
              <c:pt idx="24">
                <c:v>5.8982000000000001E-3</c:v>
              </c:pt>
              <c:pt idx="25">
                <c:v>6.0493999999999999E-3</c:v>
              </c:pt>
              <c:pt idx="26">
                <c:v>6.1776000000000001E-3</c:v>
              </c:pt>
              <c:pt idx="27">
                <c:v>6.3195999999999999E-3</c:v>
              </c:pt>
              <c:pt idx="28">
                <c:v>6.4910999999999996E-3</c:v>
              </c:pt>
              <c:pt idx="29">
                <c:v>6.6465999999999999E-3</c:v>
              </c:pt>
              <c:pt idx="30">
                <c:v>6.8127999999999999E-3</c:v>
              </c:pt>
              <c:pt idx="31">
                <c:v>7.0048999999999997E-3</c:v>
              </c:pt>
              <c:pt idx="32">
                <c:v>7.1909000000000001E-3</c:v>
              </c:pt>
              <c:pt idx="33">
                <c:v>7.3768000000000002E-3</c:v>
              </c:pt>
              <c:pt idx="34">
                <c:v>7.5951999999999999E-3</c:v>
              </c:pt>
              <c:pt idx="35">
                <c:v>7.8136999999999998E-3</c:v>
              </c:pt>
              <c:pt idx="36">
                <c:v>8.0110000000000008E-3</c:v>
              </c:pt>
              <c:pt idx="37">
                <c:v>8.2077000000000001E-3</c:v>
              </c:pt>
              <c:pt idx="38">
                <c:v>8.3861000000000005E-3</c:v>
              </c:pt>
              <c:pt idx="39">
                <c:v>8.5766999999999996E-3</c:v>
              </c:pt>
              <c:pt idx="40">
                <c:v>8.7402999999999995E-3</c:v>
              </c:pt>
              <c:pt idx="41">
                <c:v>8.8985999999999996E-3</c:v>
              </c:pt>
              <c:pt idx="42">
                <c:v>9.0728000000000007E-3</c:v>
              </c:pt>
              <c:pt idx="43">
                <c:v>9.2014000000000002E-3</c:v>
              </c:pt>
              <c:pt idx="44">
                <c:v>9.3436999999999999E-3</c:v>
              </c:pt>
              <c:pt idx="45">
                <c:v>9.4906999999999995E-3</c:v>
              </c:pt>
              <c:pt idx="46">
                <c:v>9.6095E-3</c:v>
              </c:pt>
              <c:pt idx="47">
                <c:v>9.7354E-3</c:v>
              </c:pt>
              <c:pt idx="48">
                <c:v>9.8612000000000005E-3</c:v>
              </c:pt>
              <c:pt idx="49">
                <c:v>9.9793E-3</c:v>
              </c:pt>
              <c:pt idx="50">
                <c:v>1.01014E-2</c:v>
              </c:pt>
              <c:pt idx="51">
                <c:v>1.02316E-2</c:v>
              </c:pt>
              <c:pt idx="52">
                <c:v>1.03526E-2</c:v>
              </c:pt>
              <c:pt idx="53">
                <c:v>1.0481799999999999E-2</c:v>
              </c:pt>
              <c:pt idx="54">
                <c:v>1.06111E-2</c:v>
              </c:pt>
              <c:pt idx="55">
                <c:v>1.0739200000000001E-2</c:v>
              </c:pt>
              <c:pt idx="56">
                <c:v>1.08801E-2</c:v>
              </c:pt>
              <c:pt idx="57">
                <c:v>1.0999699999999999E-2</c:v>
              </c:pt>
              <c:pt idx="58">
                <c:v>1.11351E-2</c:v>
              </c:pt>
              <c:pt idx="59">
                <c:v>1.1274899999999999E-2</c:v>
              </c:pt>
              <c:pt idx="60">
                <c:v>1.13972E-2</c:v>
              </c:pt>
              <c:pt idx="61">
                <c:v>1.1514099999999999E-2</c:v>
              </c:pt>
              <c:pt idx="62">
                <c:v>1.16309E-2</c:v>
              </c:pt>
              <c:pt idx="63">
                <c:v>1.17517E-2</c:v>
              </c:pt>
              <c:pt idx="64">
                <c:v>1.18531E-2</c:v>
              </c:pt>
              <c:pt idx="65">
                <c:v>1.1964600000000001E-2</c:v>
              </c:pt>
              <c:pt idx="66">
                <c:v>1.20626E-2</c:v>
              </c:pt>
              <c:pt idx="67">
                <c:v>1.2151E-2</c:v>
              </c:pt>
              <c:pt idx="68">
                <c:v>1.2245199999999999E-2</c:v>
              </c:pt>
              <c:pt idx="69">
                <c:v>1.2330600000000001E-2</c:v>
              </c:pt>
              <c:pt idx="70">
                <c:v>1.2408300000000001E-2</c:v>
              </c:pt>
              <c:pt idx="71">
                <c:v>1.2486000000000001E-2</c:v>
              </c:pt>
              <c:pt idx="72">
                <c:v>1.25562E-2</c:v>
              </c:pt>
              <c:pt idx="73">
                <c:v>1.2623499999999999E-2</c:v>
              </c:pt>
              <c:pt idx="74">
                <c:v>1.26929E-2</c:v>
              </c:pt>
              <c:pt idx="75">
                <c:v>1.2755799999999999E-2</c:v>
              </c:pt>
              <c:pt idx="76">
                <c:v>1.2812499999999999E-2</c:v>
              </c:pt>
              <c:pt idx="77">
                <c:v>1.28729E-2</c:v>
              </c:pt>
              <c:pt idx="78">
                <c:v>1.29295E-2</c:v>
              </c:pt>
              <c:pt idx="79">
                <c:v>1.29783E-2</c:v>
              </c:pt>
              <c:pt idx="80">
                <c:v>1.3028700000000001E-2</c:v>
              </c:pt>
              <c:pt idx="81">
                <c:v>1.3077500000000001E-2</c:v>
              </c:pt>
              <c:pt idx="82">
                <c:v>1.31226E-2</c:v>
              </c:pt>
              <c:pt idx="83">
                <c:v>1.3162099999999999E-2</c:v>
              </c:pt>
              <c:pt idx="84">
                <c:v>1.32003E-2</c:v>
              </c:pt>
              <c:pt idx="85">
                <c:v>1.32246E-2</c:v>
              </c:pt>
              <c:pt idx="86">
                <c:v>1.3248899999999999E-2</c:v>
              </c:pt>
              <c:pt idx="87">
                <c:v>1.32724E-2</c:v>
              </c:pt>
              <c:pt idx="88">
                <c:v>1.32794E-2</c:v>
              </c:pt>
              <c:pt idx="89">
                <c:v>1.3286600000000001E-2</c:v>
              </c:pt>
              <c:pt idx="90">
                <c:v>1.32938E-2</c:v>
              </c:pt>
              <c:pt idx="91">
                <c:v>1.32838E-2</c:v>
              </c:pt>
              <c:pt idx="92">
                <c:v>1.32747E-2</c:v>
              </c:pt>
              <c:pt idx="93">
                <c:v>1.3265300000000001E-2</c:v>
              </c:pt>
              <c:pt idx="94">
                <c:v>1.3237799999999999E-2</c:v>
              </c:pt>
              <c:pt idx="95">
                <c:v>1.3212E-2</c:v>
              </c:pt>
              <c:pt idx="96">
                <c:v>1.3187000000000001E-2</c:v>
              </c:pt>
              <c:pt idx="97">
                <c:v>1.3166499999999999E-2</c:v>
              </c:pt>
              <c:pt idx="98">
                <c:v>1.3148E-2</c:v>
              </c:pt>
              <c:pt idx="99">
                <c:v>1.31281E-2</c:v>
              </c:pt>
              <c:pt idx="100">
                <c:v>1.31152E-2</c:v>
              </c:pt>
              <c:pt idx="101">
                <c:v>1.31027E-2</c:v>
              </c:pt>
              <c:pt idx="102">
                <c:v>1.3088900000000001E-2</c:v>
              </c:pt>
              <c:pt idx="103">
                <c:v>1.30829E-2</c:v>
              </c:pt>
              <c:pt idx="104">
                <c:v>1.30764E-2</c:v>
              </c:pt>
              <c:pt idx="105">
                <c:v>1.3069600000000001E-2</c:v>
              </c:pt>
              <c:pt idx="106">
                <c:v>1.30686E-2</c:v>
              </c:pt>
              <c:pt idx="107">
                <c:v>1.30679E-2</c:v>
              </c:pt>
              <c:pt idx="108">
                <c:v>1.30673E-2</c:v>
              </c:pt>
              <c:pt idx="109">
                <c:v>1.30452E-2</c:v>
              </c:pt>
              <c:pt idx="110">
                <c:v>1.3023699999999999E-2</c:v>
              </c:pt>
              <c:pt idx="111">
                <c:v>1.3000100000000001E-2</c:v>
              </c:pt>
              <c:pt idx="112">
                <c:v>1.2959999999999999E-2</c:v>
              </c:pt>
              <c:pt idx="113">
                <c:v>1.2915599999999999E-2</c:v>
              </c:pt>
              <c:pt idx="114">
                <c:v>1.2869800000000001E-2</c:v>
              </c:pt>
              <c:pt idx="115">
                <c:v>1.28082E-2</c:v>
              </c:pt>
              <c:pt idx="116">
                <c:v>1.27423E-2</c:v>
              </c:pt>
              <c:pt idx="117">
                <c:v>1.26765E-2</c:v>
              </c:pt>
              <c:pt idx="118">
                <c:v>1.25921E-2</c:v>
              </c:pt>
              <c:pt idx="119">
                <c:v>1.24992E-2</c:v>
              </c:pt>
              <c:pt idx="120">
                <c:v>1.24204E-2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E8AF-44E9-8E8C-6AB91A9A1121}"/>
            </c:ext>
          </c:extLst>
        </c:ser>
        <c:ser>
          <c:idx val="2"/>
          <c:order val="2"/>
          <c:tx>
            <c:v>Daily SOFR Forward Curve</c:v>
          </c:tx>
          <c:spPr>
            <a:ln>
              <a:solidFill>
                <a:srgbClr val="00AF9C"/>
              </a:solidFill>
            </a:ln>
          </c:spPr>
          <c:marker>
            <c:symbol val="none"/>
          </c:marker>
          <c:cat>
            <c:numLit>
              <c:formatCode>General</c:formatCode>
              <c:ptCount val="121"/>
              <c:pt idx="0">
                <c:v>43913</c:v>
              </c:pt>
              <c:pt idx="1">
                <c:v>43944</c:v>
              </c:pt>
              <c:pt idx="2">
                <c:v>43976</c:v>
              </c:pt>
              <c:pt idx="3">
                <c:v>44005</c:v>
              </c:pt>
              <c:pt idx="4">
                <c:v>44035</c:v>
              </c:pt>
              <c:pt idx="5">
                <c:v>44067</c:v>
              </c:pt>
              <c:pt idx="6">
                <c:v>44097</c:v>
              </c:pt>
              <c:pt idx="7">
                <c:v>44127</c:v>
              </c:pt>
              <c:pt idx="8">
                <c:v>44158</c:v>
              </c:pt>
              <c:pt idx="9">
                <c:v>44188</c:v>
              </c:pt>
              <c:pt idx="10">
                <c:v>44221</c:v>
              </c:pt>
              <c:pt idx="11">
                <c:v>44250</c:v>
              </c:pt>
              <c:pt idx="12">
                <c:v>44278</c:v>
              </c:pt>
              <c:pt idx="13">
                <c:v>44309</c:v>
              </c:pt>
              <c:pt idx="14">
                <c:v>44340</c:v>
              </c:pt>
              <c:pt idx="15">
                <c:v>44370</c:v>
              </c:pt>
              <c:pt idx="16">
                <c:v>44400</c:v>
              </c:pt>
              <c:pt idx="17">
                <c:v>44431</c:v>
              </c:pt>
              <c:pt idx="18">
                <c:v>44462</c:v>
              </c:pt>
              <c:pt idx="19">
                <c:v>44494</c:v>
              </c:pt>
              <c:pt idx="20">
                <c:v>44523</c:v>
              </c:pt>
              <c:pt idx="21">
                <c:v>44553</c:v>
              </c:pt>
              <c:pt idx="22">
                <c:v>44585</c:v>
              </c:pt>
              <c:pt idx="23">
                <c:v>44615</c:v>
              </c:pt>
              <c:pt idx="24">
                <c:v>44643</c:v>
              </c:pt>
              <c:pt idx="25">
                <c:v>44676</c:v>
              </c:pt>
              <c:pt idx="26">
                <c:v>44704</c:v>
              </c:pt>
              <c:pt idx="27">
                <c:v>44735</c:v>
              </c:pt>
              <c:pt idx="28">
                <c:v>44767</c:v>
              </c:pt>
              <c:pt idx="29">
                <c:v>44796</c:v>
              </c:pt>
              <c:pt idx="30">
                <c:v>44827</c:v>
              </c:pt>
              <c:pt idx="31">
                <c:v>44858</c:v>
              </c:pt>
              <c:pt idx="32">
                <c:v>44888</c:v>
              </c:pt>
              <c:pt idx="33">
                <c:v>44918</c:v>
              </c:pt>
              <c:pt idx="34">
                <c:v>44949</c:v>
              </c:pt>
              <c:pt idx="35">
                <c:v>44980</c:v>
              </c:pt>
              <c:pt idx="36">
                <c:v>45008</c:v>
              </c:pt>
              <c:pt idx="37">
                <c:v>45040</c:v>
              </c:pt>
              <c:pt idx="38">
                <c:v>45069</c:v>
              </c:pt>
              <c:pt idx="39">
                <c:v>45100</c:v>
              </c:pt>
              <c:pt idx="40">
                <c:v>45131</c:v>
              </c:pt>
              <c:pt idx="41">
                <c:v>45161</c:v>
              </c:pt>
              <c:pt idx="42">
                <c:v>45194</c:v>
              </c:pt>
              <c:pt idx="43">
                <c:v>45222</c:v>
              </c:pt>
              <c:pt idx="44">
                <c:v>45253</c:v>
              </c:pt>
              <c:pt idx="45">
                <c:v>45285</c:v>
              </c:pt>
              <c:pt idx="46">
                <c:v>45314</c:v>
              </c:pt>
              <c:pt idx="47">
                <c:v>45345</c:v>
              </c:pt>
              <c:pt idx="48">
                <c:v>45376</c:v>
              </c:pt>
              <c:pt idx="49">
                <c:v>45405</c:v>
              </c:pt>
              <c:pt idx="50">
                <c:v>45435</c:v>
              </c:pt>
              <c:pt idx="51">
                <c:v>45467</c:v>
              </c:pt>
              <c:pt idx="52">
                <c:v>45496</c:v>
              </c:pt>
              <c:pt idx="53">
                <c:v>45527</c:v>
              </c:pt>
              <c:pt idx="54">
                <c:v>45558</c:v>
              </c:pt>
              <c:pt idx="55">
                <c:v>45588</c:v>
              </c:pt>
              <c:pt idx="56">
                <c:v>45621</c:v>
              </c:pt>
              <c:pt idx="57">
                <c:v>45649</c:v>
              </c:pt>
              <c:pt idx="58">
                <c:v>45680</c:v>
              </c:pt>
              <c:pt idx="59">
                <c:v>45712</c:v>
              </c:pt>
              <c:pt idx="60">
                <c:v>45740</c:v>
              </c:pt>
              <c:pt idx="61">
                <c:v>45770</c:v>
              </c:pt>
              <c:pt idx="62">
                <c:v>45800</c:v>
              </c:pt>
              <c:pt idx="63">
                <c:v>45831</c:v>
              </c:pt>
              <c:pt idx="64">
                <c:v>45861</c:v>
              </c:pt>
              <c:pt idx="65">
                <c:v>45894</c:v>
              </c:pt>
              <c:pt idx="66">
                <c:v>45923</c:v>
              </c:pt>
              <c:pt idx="67">
                <c:v>45953</c:v>
              </c:pt>
              <c:pt idx="68">
                <c:v>45985</c:v>
              </c:pt>
              <c:pt idx="69">
                <c:v>46014</c:v>
              </c:pt>
              <c:pt idx="70">
                <c:v>46045</c:v>
              </c:pt>
              <c:pt idx="71">
                <c:v>46076</c:v>
              </c:pt>
              <c:pt idx="72">
                <c:v>46104</c:v>
              </c:pt>
              <c:pt idx="73">
                <c:v>46135</c:v>
              </c:pt>
              <c:pt idx="74">
                <c:v>46167</c:v>
              </c:pt>
              <c:pt idx="75">
                <c:v>46196</c:v>
              </c:pt>
              <c:pt idx="76">
                <c:v>46226</c:v>
              </c:pt>
              <c:pt idx="77">
                <c:v>46258</c:v>
              </c:pt>
              <c:pt idx="78">
                <c:v>46288</c:v>
              </c:pt>
              <c:pt idx="79">
                <c:v>46318</c:v>
              </c:pt>
              <c:pt idx="80">
                <c:v>46349</c:v>
              </c:pt>
              <c:pt idx="81">
                <c:v>46379</c:v>
              </c:pt>
              <c:pt idx="82">
                <c:v>46412</c:v>
              </c:pt>
              <c:pt idx="83">
                <c:v>46441</c:v>
              </c:pt>
              <c:pt idx="84">
                <c:v>46469</c:v>
              </c:pt>
              <c:pt idx="85">
                <c:v>46500</c:v>
              </c:pt>
              <c:pt idx="86">
                <c:v>46531</c:v>
              </c:pt>
              <c:pt idx="87">
                <c:v>46561</c:v>
              </c:pt>
              <c:pt idx="88">
                <c:v>46591</c:v>
              </c:pt>
              <c:pt idx="89">
                <c:v>46622</c:v>
              </c:pt>
              <c:pt idx="90">
                <c:v>46653</c:v>
              </c:pt>
              <c:pt idx="91">
                <c:v>46685</c:v>
              </c:pt>
              <c:pt idx="92">
                <c:v>46714</c:v>
              </c:pt>
              <c:pt idx="93">
                <c:v>46744</c:v>
              </c:pt>
              <c:pt idx="94">
                <c:v>46776</c:v>
              </c:pt>
              <c:pt idx="95">
                <c:v>46806</c:v>
              </c:pt>
              <c:pt idx="96">
                <c:v>46835</c:v>
              </c:pt>
              <c:pt idx="97">
                <c:v>46867</c:v>
              </c:pt>
              <c:pt idx="98">
                <c:v>46896</c:v>
              </c:pt>
              <c:pt idx="99">
                <c:v>46927</c:v>
              </c:pt>
              <c:pt idx="100">
                <c:v>46958</c:v>
              </c:pt>
              <c:pt idx="101">
                <c:v>46988</c:v>
              </c:pt>
              <c:pt idx="102">
                <c:v>47021</c:v>
              </c:pt>
              <c:pt idx="103">
                <c:v>47049</c:v>
              </c:pt>
              <c:pt idx="104">
                <c:v>47080</c:v>
              </c:pt>
              <c:pt idx="105">
                <c:v>47112</c:v>
              </c:pt>
              <c:pt idx="106">
                <c:v>47141</c:v>
              </c:pt>
              <c:pt idx="107">
                <c:v>47172</c:v>
              </c:pt>
              <c:pt idx="108">
                <c:v>47200</c:v>
              </c:pt>
              <c:pt idx="109">
                <c:v>47231</c:v>
              </c:pt>
              <c:pt idx="110">
                <c:v>47261</c:v>
              </c:pt>
              <c:pt idx="111">
                <c:v>47294</c:v>
              </c:pt>
              <c:pt idx="112">
                <c:v>47322</c:v>
              </c:pt>
              <c:pt idx="113">
                <c:v>47353</c:v>
              </c:pt>
              <c:pt idx="114">
                <c:v>47385</c:v>
              </c:pt>
              <c:pt idx="115">
                <c:v>47414</c:v>
              </c:pt>
              <c:pt idx="116">
                <c:v>47445</c:v>
              </c:pt>
              <c:pt idx="117">
                <c:v>47476</c:v>
              </c:pt>
              <c:pt idx="118">
                <c:v>47506</c:v>
              </c:pt>
              <c:pt idx="119">
                <c:v>47539</c:v>
              </c:pt>
              <c:pt idx="120">
                <c:v>47567</c:v>
              </c:pt>
            </c:numLit>
          </c:cat>
          <c:val>
            <c:numLit>
              <c:formatCode>General</c:formatCode>
              <c:ptCount val="60"/>
              <c:pt idx="0">
                <c:v>1.2005E-3</c:v>
              </c:pt>
              <c:pt idx="1">
                <c:v>1.2005E-3</c:v>
              </c:pt>
              <c:pt idx="2">
                <c:v>1.1884E-3</c:v>
              </c:pt>
              <c:pt idx="3">
                <c:v>9.3880000000000005E-4</c:v>
              </c:pt>
              <c:pt idx="4">
                <c:v>9.3880000000000005E-4</c:v>
              </c:pt>
              <c:pt idx="5">
                <c:v>7.986E-4</c:v>
              </c:pt>
              <c:pt idx="6">
                <c:v>7.9290000000000003E-4</c:v>
              </c:pt>
              <c:pt idx="7">
                <c:v>7.9290000000000003E-4</c:v>
              </c:pt>
              <c:pt idx="8">
                <c:v>7.9290000000000003E-4</c:v>
              </c:pt>
              <c:pt idx="9">
                <c:v>1.2359000000000001E-3</c:v>
              </c:pt>
              <c:pt idx="10">
                <c:v>1.2359000000000001E-3</c:v>
              </c:pt>
              <c:pt idx="11">
                <c:v>1.2359000000000001E-3</c:v>
              </c:pt>
              <c:pt idx="12">
                <c:v>1.6766000000000001E-3</c:v>
              </c:pt>
              <c:pt idx="13">
                <c:v>1.6766000000000001E-3</c:v>
              </c:pt>
              <c:pt idx="14">
                <c:v>1.6766000000000001E-3</c:v>
              </c:pt>
              <c:pt idx="15">
                <c:v>2.1151E-3</c:v>
              </c:pt>
              <c:pt idx="16">
                <c:v>2.1151E-3</c:v>
              </c:pt>
              <c:pt idx="17">
                <c:v>2.1151E-3</c:v>
              </c:pt>
              <c:pt idx="18">
                <c:v>2.3016E-3</c:v>
              </c:pt>
              <c:pt idx="19">
                <c:v>2.3016E-3</c:v>
              </c:pt>
              <c:pt idx="20">
                <c:v>2.3016E-3</c:v>
              </c:pt>
              <c:pt idx="21">
                <c:v>2.3360999999999998E-3</c:v>
              </c:pt>
              <c:pt idx="22">
                <c:v>2.3360999999999998E-3</c:v>
              </c:pt>
              <c:pt idx="23">
                <c:v>2.3360999999999998E-3</c:v>
              </c:pt>
              <c:pt idx="24">
                <c:v>2.5685E-3</c:v>
              </c:pt>
              <c:pt idx="25">
                <c:v>2.5685E-3</c:v>
              </c:pt>
              <c:pt idx="26">
                <c:v>2.5685E-3</c:v>
              </c:pt>
              <c:pt idx="27">
                <c:v>3.3976000000000002E-3</c:v>
              </c:pt>
              <c:pt idx="28">
                <c:v>3.3976000000000002E-3</c:v>
              </c:pt>
              <c:pt idx="29">
                <c:v>3.3976000000000002E-3</c:v>
              </c:pt>
              <c:pt idx="30">
                <c:v>4.0248000000000003E-3</c:v>
              </c:pt>
              <c:pt idx="31">
                <c:v>4.0248000000000003E-3</c:v>
              </c:pt>
              <c:pt idx="32">
                <c:v>4.0248000000000003E-3</c:v>
              </c:pt>
              <c:pt idx="33">
                <c:v>4.4022000000000002E-3</c:v>
              </c:pt>
              <c:pt idx="34">
                <c:v>4.4022000000000002E-3</c:v>
              </c:pt>
              <c:pt idx="35">
                <c:v>4.4022000000000002E-3</c:v>
              </c:pt>
              <c:pt idx="36">
                <c:v>4.5266000000000004E-3</c:v>
              </c:pt>
              <c:pt idx="37">
                <c:v>4.5266000000000004E-3</c:v>
              </c:pt>
              <c:pt idx="38">
                <c:v>4.5266000000000004E-3</c:v>
              </c:pt>
              <c:pt idx="39">
                <c:v>4.5488000000000004E-3</c:v>
              </c:pt>
              <c:pt idx="40">
                <c:v>4.5488000000000004E-3</c:v>
              </c:pt>
              <c:pt idx="41">
                <c:v>4.5488000000000004E-3</c:v>
              </c:pt>
              <c:pt idx="42">
                <c:v>4.5700999999999997E-3</c:v>
              </c:pt>
              <c:pt idx="43">
                <c:v>4.5700999999999997E-3</c:v>
              </c:pt>
              <c:pt idx="44">
                <c:v>4.5700999999999997E-3</c:v>
              </c:pt>
              <c:pt idx="45">
                <c:v>4.5897000000000004E-3</c:v>
              </c:pt>
              <c:pt idx="46">
                <c:v>4.5897000000000004E-3</c:v>
              </c:pt>
              <c:pt idx="47">
                <c:v>4.5897000000000004E-3</c:v>
              </c:pt>
              <c:pt idx="48">
                <c:v>4.6075999999999999E-3</c:v>
              </c:pt>
              <c:pt idx="49">
                <c:v>4.6075999999999999E-3</c:v>
              </c:pt>
              <c:pt idx="50">
                <c:v>4.6075999999999999E-3</c:v>
              </c:pt>
              <c:pt idx="51">
                <c:v>4.6239999999999996E-3</c:v>
              </c:pt>
              <c:pt idx="52">
                <c:v>4.6239999999999996E-3</c:v>
              </c:pt>
              <c:pt idx="53">
                <c:v>4.6239999999999996E-3</c:v>
              </c:pt>
              <c:pt idx="54">
                <c:v>4.6386999999999999E-3</c:v>
              </c:pt>
              <c:pt idx="55">
                <c:v>4.6386999999999999E-3</c:v>
              </c:pt>
              <c:pt idx="56">
                <c:v>4.6386999999999999E-3</c:v>
              </c:pt>
              <c:pt idx="57">
                <c:v>4.8018000000000002E-3</c:v>
              </c:pt>
              <c:pt idx="58">
                <c:v>4.8018000000000002E-3</c:v>
              </c:pt>
              <c:pt idx="59">
                <c:v>4.8018000000000002E-3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E8AF-44E9-8E8C-6AB91A9A11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779406"/>
        <c:axId val="17585112"/>
      </c:lineChart>
      <c:catAx>
        <c:axId val="45779406"/>
        <c:scaling>
          <c:orientation val="minMax"/>
        </c:scaling>
        <c:delete val="0"/>
        <c:axPos val="b"/>
        <c:title>
          <c:tx>
            <c:rich>
              <a:bodyPr rot="0" anchor="ctr"/>
              <a:lstStyle/>
              <a:p>
                <a:pPr algn="ctr">
                  <a:defRPr/>
                </a:pPr>
                <a:r>
                  <a:rPr lang="en-US"/>
                  <a:t>Date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numFmt formatCode="General" sourceLinked="1"/>
        <c:majorTickMark val="in"/>
        <c:minorTickMark val="none"/>
        <c:tickLblPos val="low"/>
        <c:crossAx val="17585112"/>
        <c:crosses val="autoZero"/>
        <c:auto val="1"/>
        <c:lblAlgn val="ctr"/>
        <c:lblOffset val="100"/>
        <c:tickMarkSkip val="1"/>
        <c:noMultiLvlLbl val="1"/>
      </c:catAx>
      <c:valAx>
        <c:axId val="17585112"/>
        <c:scaling>
          <c:orientation val="minMax"/>
          <c:max val="1.57938254047485E-2"/>
          <c:min val="-1.7071070830583499E-3"/>
        </c:scaling>
        <c:delete val="0"/>
        <c:axPos val="l"/>
        <c:majorGridlines>
          <c:spPr>
            <a:ln/>
          </c:spPr>
        </c:majorGridlines>
        <c:title>
          <c:tx>
            <c:rich>
              <a:bodyPr rot="-5400000" anchor="ctr"/>
              <a:lstStyle/>
              <a:p>
                <a:pPr algn="ctr">
                  <a:defRPr/>
                </a:pPr>
                <a:r>
                  <a:rPr lang="en-US"/>
                  <a:t>Rate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numFmt formatCode="0.00%" sourceLinked="0"/>
        <c:majorTickMark val="in"/>
        <c:minorTickMark val="none"/>
        <c:tickLblPos val="nextTo"/>
        <c:crossAx val="45779406"/>
        <c:crosses val="autoZero"/>
        <c:crossBetween val="between"/>
        <c:minorUnit val="2.5000000000000001E-3"/>
      </c:valAx>
      <c:spPr>
        <a:solidFill>
          <a:srgbClr val="C0C0C0"/>
        </a:solidFill>
        <a:ln w="12700">
          <a:solidFill>
            <a:srgbClr val="808080"/>
          </a:solidFill>
        </a:ln>
      </c:spPr>
    </c:plotArea>
    <c:legend>
      <c:legendPos val="t"/>
      <c:overlay val="0"/>
      <c:txPr>
        <a:bodyPr rot="0"/>
        <a:lstStyle/>
        <a:p>
          <a:pPr>
            <a:defRPr lang="en-US" sz="1000" b="0" i="0" u="none" baseline="0"/>
          </a:pPr>
          <a:endParaRPr lang="en-US"/>
        </a:p>
      </c:txPr>
    </c:legend>
    <c:plotVisOnly val="1"/>
    <c:dispBlanksAs val="gap"/>
    <c:showDLblsOverMax val="0"/>
  </c:chart>
  <c:txPr>
    <a:bodyPr rot="0"/>
    <a:lstStyle/>
    <a:p>
      <a:pPr>
        <a:defRPr lang="en-US" sz="1000" b="0" i="0" u="none" baseline="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101600</xdr:colOff>
          <xdr:row>0</xdr:row>
          <xdr:rowOff>76200</xdr:rowOff>
        </xdr:from>
        <xdr:to>
          <xdr:col>20</xdr:col>
          <xdr:colOff>0</xdr:colOff>
          <xdr:row>2</xdr:row>
          <xdr:rowOff>215900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0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Times New Roman" pitchFamily="1" charset="0"/>
                  <a:cs typeface="Times New Roman" pitchFamily="1" charset="0"/>
                </a:rPr>
                <a:t>Run SA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41413</xdr:colOff>
      <xdr:row>1</xdr:row>
      <xdr:rowOff>49696</xdr:rowOff>
    </xdr:from>
    <xdr:to>
      <xdr:col>9</xdr:col>
      <xdr:colOff>24847</xdr:colOff>
      <xdr:row>2</xdr:row>
      <xdr:rowOff>139562</xdr:rowOff>
    </xdr:to>
    <xdr:sp macro="[0]!FixIt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247283" y="240196"/>
          <a:ext cx="1209260" cy="330062"/>
        </a:xfrm>
        <a:prstGeom prst="roundRect">
          <a:avLst/>
        </a:prstGeom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000" b="1">
              <a:latin typeface="Garamond" panose="02020404030301010803" pitchFamily="18" charset="0"/>
              <a:cs typeface="Times New Roman" pitchFamily="18" charset="0"/>
            </a:rPr>
            <a:t>Fix Model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123267</xdr:colOff>
      <xdr:row>1</xdr:row>
      <xdr:rowOff>33618</xdr:rowOff>
    </xdr:from>
    <xdr:to>
      <xdr:col>12</xdr:col>
      <xdr:colOff>1136278</xdr:colOff>
      <xdr:row>4</xdr:row>
      <xdr:rowOff>93569</xdr:rowOff>
    </xdr:to>
    <xdr:sp macro="[0]!FixIt" textlink="">
      <xdr:nvSpPr>
        <xdr:cNvPr id="5" name="Rounded Rectangl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10275796" y="224118"/>
          <a:ext cx="1875864" cy="676275"/>
        </a:xfrm>
        <a:prstGeom prst="roundRect">
          <a:avLst/>
        </a:prstGeom>
        <a:gradFill rotWithShape="1">
          <a:gsLst>
            <a:gs pos="0">
              <a:sysClr val="windowText" lastClr="000000">
                <a:shade val="51000"/>
                <a:satMod val="130000"/>
              </a:sysClr>
            </a:gs>
            <a:gs pos="80000">
              <a:sysClr val="windowText" lastClr="000000">
                <a:shade val="93000"/>
                <a:satMod val="130000"/>
              </a:sysClr>
            </a:gs>
            <a:gs pos="100000">
              <a:sysClr val="windowText" lastClr="000000">
                <a:shade val="94000"/>
                <a:satMod val="135000"/>
              </a:sysClr>
            </a:gs>
          </a:gsLst>
          <a:lin ang="16200000" scaled="0"/>
        </a:gradFill>
        <a:ln w="9525" cap="flat" cmpd="sng" algn="ctr">
          <a:solidFill>
            <a:sysClr val="windowText" lastClr="000000">
              <a:shade val="95000"/>
              <a:satMod val="105000"/>
            </a:sys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2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Fix Model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466725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61925"/>
          <a:ext cx="2295525" cy="73342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1</xdr:col>
      <xdr:colOff>0</xdr:colOff>
      <xdr:row>13</xdr:row>
      <xdr:rowOff>0</xdr:rowOff>
    </xdr:from>
    <xdr:to>
      <xdr:col>13</xdr:col>
      <xdr:colOff>0</xdr:colOff>
      <xdr:row>36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0</xdr:colOff>
      <xdr:row>5</xdr:row>
      <xdr:rowOff>0</xdr:rowOff>
    </xdr:from>
    <xdr:to>
      <xdr:col>13</xdr:col>
      <xdr:colOff>57150</xdr:colOff>
      <xdr:row>9</xdr:row>
      <xdr:rowOff>28575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315200" y="809625"/>
          <a:ext cx="666750" cy="676275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rvices.intralinks.com/servlets/GetDocumentAttachment/BP%20RRI%20June%202006_v.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rvices.intralinks.com/servlets/GetDocumentAttachment/BP%20RRI%20November%20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d%20Roof%20Corporate%20Model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d%20Roof%20v16" TargetMode="External"/></Relationships>
</file>

<file path=xl/externalLinks/_rels/externalLink5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shaharglam/Library/Mobile%20Documents/com~apple~CloudDocs/Ori/Bay%20Harbor/3%20-%209720/Bay%20Harbor%209720-V4.xlsx" TargetMode="External"/><Relationship Id="rId2" Type="http://schemas.openxmlformats.org/officeDocument/2006/relationships/externalLinkPath" Target="/Users/shaharglam/Library/Mobile%20Documents/com~apple~CloudDocs/Ori/Bay%20Harbor/3%20-%209720/Bay%20Harbor%209720-V4.xlsx" TargetMode="External"/><Relationship Id="rId1" Type="http://schemas.openxmlformats.org/officeDocument/2006/relationships/externalLinkPath" Target="/Users/shaharglam/Library/Mobile%20Documents/com~apple~CloudDocs/Ori/Bay%20Harbor/3%20-%209720/Bay%20Harbor%209720-V4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s/pehlers/Desktop/2016_01_07_Armani%20Casa%20(Lender%20Budget)%20(8%25%20+%2060%25%20resi%20presales,%2036%20month....xlsb" TargetMode="External"/></Relationships>
</file>

<file path=xl/externalLinks/_rels/externalLink7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shaharglam/Library/Mobile%20Documents/com~apple~CloudDocs/Ori/Investors/Bay%20Harbor/1%20-%201125/1125%2097%20St-Condo%20Profoma.xlsm" TargetMode="External"/><Relationship Id="rId2" Type="http://schemas.openxmlformats.org/officeDocument/2006/relationships/externalLinkPath" Target="/Users/shaharglam/Library/Mobile%20Documents/com~apple~CloudDocs/Ori/Investors/Bay%20Harbor/1%20-%201125/1125%2097%20St-Condo%20Profoma.xlsm" TargetMode="External"/><Relationship Id="rId1" Type="http://schemas.openxmlformats.org/officeDocument/2006/relationships/externalLinkPath" Target="/Users/shaharglam/Library/Mobile%20Documents/com~apple~CloudDocs/Ori/Investors/Bay%20Harbor/1%20-%201125/1125%2097%20St-Condo%20Profom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BP RRI standalone-FORMATTED"/>
      <sheetName val="BP RRI standalone-SUMMARY"/>
      <sheetName val="BP RRI standalone-ProForma"/>
      <sheetName val="BP RRI standalone"/>
      <sheetName val="BP RRI conversions"/>
      <sheetName val="BP RRI Conv DVP"/>
      <sheetName val="Corporate disposals"/>
      <sheetName val="Development"/>
      <sheetName val="Network proposal"/>
      <sheetName val="Below CP "/>
      <sheetName val="Below CP Conversions Disposals"/>
      <sheetName val="Below CP DVP"/>
      <sheetName val="UCC rents summary "/>
      <sheetName val="Rouge rents summary"/>
      <sheetName val="Charts"/>
      <sheetName val="Stacked Chart"/>
      <sheetName val="Historical Financial"/>
      <sheetName val="Historical Financial (2)"/>
      <sheetName val="#REF"/>
    </sheetNames>
    <sheetDataSet>
      <sheetData sheetId="0" refreshError="1"/>
      <sheetData sheetId="1">
        <row r="1">
          <cell r="J1">
            <v>366</v>
          </cell>
          <cell r="L1">
            <v>365</v>
          </cell>
          <cell r="N1">
            <v>365</v>
          </cell>
          <cell r="P1">
            <v>365</v>
          </cell>
          <cell r="R1">
            <v>366</v>
          </cell>
          <cell r="T1">
            <v>365</v>
          </cell>
          <cell r="V1">
            <v>365</v>
          </cell>
          <cell r="X1">
            <v>365</v>
          </cell>
        </row>
        <row r="2">
          <cell r="A2" t="str">
            <v>BUSINESS PLAN 2006-2011</v>
          </cell>
        </row>
        <row r="4">
          <cell r="Z4" t="str">
            <v>% of…</v>
          </cell>
          <cell r="AA4" t="str">
            <v>COLA</v>
          </cell>
          <cell r="AB4" t="str">
            <v>CPOR</v>
          </cell>
          <cell r="AC4" t="str">
            <v>CPAR</v>
          </cell>
          <cell r="AD4">
            <v>2002</v>
          </cell>
          <cell r="AF4" t="str">
            <v>2003 E</v>
          </cell>
          <cell r="AH4" t="str">
            <v>2004 B</v>
          </cell>
          <cell r="AJ4" t="str">
            <v>2005 F</v>
          </cell>
          <cell r="AL4" t="str">
            <v>2006 F</v>
          </cell>
          <cell r="AN4" t="str">
            <v>2007 F</v>
          </cell>
          <cell r="AP4" t="str">
            <v>2008 F</v>
          </cell>
          <cell r="AR4" t="str">
            <v>2009 F</v>
          </cell>
        </row>
        <row r="6">
          <cell r="A6" t="str">
            <v>Red Roof Inns Standalone ($ in 000s)</v>
          </cell>
          <cell r="B6" t="str">
            <v>2000A</v>
          </cell>
          <cell r="D6" t="str">
            <v>2001A</v>
          </cell>
          <cell r="F6" t="str">
            <v>2002A</v>
          </cell>
          <cell r="H6" t="str">
            <v>2003 A</v>
          </cell>
          <cell r="J6" t="str">
            <v>2004 A</v>
          </cell>
          <cell r="L6" t="str">
            <v>2005 A</v>
          </cell>
          <cell r="N6" t="str">
            <v>2006 E</v>
          </cell>
          <cell r="P6" t="str">
            <v>2007 F</v>
          </cell>
          <cell r="R6" t="str">
            <v>2008 F</v>
          </cell>
          <cell r="T6" t="str">
            <v>2009F</v>
          </cell>
          <cell r="V6" t="str">
            <v>2010F</v>
          </cell>
          <cell r="X6" t="str">
            <v>2011F</v>
          </cell>
        </row>
        <row r="7">
          <cell r="A7" t="str">
            <v>No. Hotels</v>
          </cell>
          <cell r="B7">
            <v>261</v>
          </cell>
          <cell r="D7">
            <v>260</v>
          </cell>
          <cell r="F7">
            <v>259</v>
          </cell>
          <cell r="H7">
            <v>251</v>
          </cell>
          <cell r="J7">
            <v>247</v>
          </cell>
          <cell r="K7">
            <v>-1.5936254980079681E-2</v>
          </cell>
          <cell r="L7">
            <v>245</v>
          </cell>
          <cell r="M7">
            <v>-8.0971659919028341E-3</v>
          </cell>
          <cell r="N7">
            <v>238</v>
          </cell>
          <cell r="O7">
            <v>-2.8571428571428571E-2</v>
          </cell>
          <cell r="P7">
            <v>238</v>
          </cell>
          <cell r="Q7">
            <v>0</v>
          </cell>
          <cell r="R7">
            <v>238</v>
          </cell>
          <cell r="S7">
            <v>0</v>
          </cell>
          <cell r="T7">
            <v>238</v>
          </cell>
          <cell r="U7">
            <v>0</v>
          </cell>
          <cell r="V7">
            <v>238</v>
          </cell>
          <cell r="W7">
            <v>0</v>
          </cell>
          <cell r="X7">
            <v>238</v>
          </cell>
          <cell r="Y7">
            <v>0</v>
          </cell>
        </row>
        <row r="8">
          <cell r="A8" t="str">
            <v>Rooms Rented</v>
          </cell>
          <cell r="B8">
            <v>7538529</v>
          </cell>
          <cell r="D8">
            <v>7422397</v>
          </cell>
          <cell r="F8">
            <v>7167483</v>
          </cell>
          <cell r="H8">
            <v>6898973</v>
          </cell>
          <cell r="J8">
            <v>6678366</v>
          </cell>
          <cell r="L8">
            <v>6548206</v>
          </cell>
          <cell r="N8">
            <v>6374214</v>
          </cell>
          <cell r="P8">
            <v>6554816</v>
          </cell>
          <cell r="R8">
            <v>6675474</v>
          </cell>
          <cell r="T8">
            <v>6687960.7000000002</v>
          </cell>
          <cell r="V8">
            <v>6687960.7000000002</v>
          </cell>
          <cell r="X8">
            <v>6687960.7000000002</v>
          </cell>
        </row>
        <row r="9">
          <cell r="A9" t="str">
            <v>Rooms Available</v>
          </cell>
          <cell r="B9">
            <v>11074946</v>
          </cell>
          <cell r="D9">
            <v>11116038</v>
          </cell>
          <cell r="F9">
            <v>10941553</v>
          </cell>
          <cell r="H9">
            <v>10928573</v>
          </cell>
          <cell r="J9">
            <v>10666363</v>
          </cell>
          <cell r="L9">
            <v>10571472</v>
          </cell>
          <cell r="N9">
            <v>10284396</v>
          </cell>
          <cell r="P9">
            <v>10241900</v>
          </cell>
          <cell r="R9">
            <v>10269960</v>
          </cell>
          <cell r="T9">
            <v>10241900</v>
          </cell>
          <cell r="V9">
            <v>10241900</v>
          </cell>
          <cell r="X9">
            <v>10241900</v>
          </cell>
        </row>
        <row r="10">
          <cell r="A10" t="str">
            <v>Occupancy</v>
          </cell>
          <cell r="B10">
            <v>0.68068313831959093</v>
          </cell>
          <cell r="D10">
            <v>0.66771964975290654</v>
          </cell>
          <cell r="E10">
            <v>-1.2963488566684389E-2</v>
          </cell>
          <cell r="F10">
            <v>0.65506998869356114</v>
          </cell>
          <cell r="G10">
            <v>-1.2649661059345396E-2</v>
          </cell>
          <cell r="H10">
            <v>0.63127848439132905</v>
          </cell>
          <cell r="I10">
            <v>-2.3791504302232092E-2</v>
          </cell>
          <cell r="J10">
            <v>0.62611463720107785</v>
          </cell>
          <cell r="K10">
            <v>-5.1638471902512029E-3</v>
          </cell>
          <cell r="L10">
            <v>0.61942234723792489</v>
          </cell>
          <cell r="M10">
            <v>-6.6922899631529642E-3</v>
          </cell>
          <cell r="N10">
            <v>0.61979468701905294</v>
          </cell>
          <cell r="O10">
            <v>3.7233978112805044E-4</v>
          </cell>
          <cell r="P10">
            <v>0.64</v>
          </cell>
          <cell r="Q10">
            <v>2.0205312980947077E-2</v>
          </cell>
          <cell r="R10">
            <v>0.65</v>
          </cell>
          <cell r="S10">
            <v>1.0000000000000009E-2</v>
          </cell>
          <cell r="T10">
            <v>0.65300000000000002</v>
          </cell>
          <cell r="U10">
            <v>3.0000000000000027E-3</v>
          </cell>
          <cell r="V10">
            <v>0.65300000000000002</v>
          </cell>
          <cell r="W10">
            <v>0</v>
          </cell>
          <cell r="X10">
            <v>0.65300000000000002</v>
          </cell>
          <cell r="Y10">
            <v>0</v>
          </cell>
        </row>
        <row r="11">
          <cell r="A11" t="str">
            <v>ADR</v>
          </cell>
          <cell r="B11">
            <v>50.082437037782839</v>
          </cell>
          <cell r="D11">
            <v>48.392866617078013</v>
          </cell>
          <cell r="E11">
            <v>-3.3735786847397052E-2</v>
          </cell>
          <cell r="F11">
            <v>47.367970318171665</v>
          </cell>
          <cell r="G11">
            <v>-2.1178664760988949E-2</v>
          </cell>
          <cell r="H11">
            <v>47.390024283324486</v>
          </cell>
          <cell r="I11">
            <v>4.6558813908817215E-4</v>
          </cell>
          <cell r="J11">
            <v>48.854844433503644</v>
          </cell>
          <cell r="K11">
            <v>3.0909883932990424E-2</v>
          </cell>
          <cell r="L11">
            <v>51.778897914940366</v>
          </cell>
          <cell r="M11">
            <v>5.9851863522289037E-2</v>
          </cell>
          <cell r="N11">
            <v>55.039274646254427</v>
          </cell>
          <cell r="O11">
            <v>6.2967287111248202E-2</v>
          </cell>
          <cell r="P11">
            <v>56.5</v>
          </cell>
          <cell r="Q11">
            <v>2.6539691213844505E-2</v>
          </cell>
          <cell r="R11">
            <v>58.873000000000005</v>
          </cell>
          <cell r="S11">
            <v>4.2000000000000086E-2</v>
          </cell>
          <cell r="T11">
            <v>60.933554999999998</v>
          </cell>
          <cell r="U11">
            <v>3.4999999999999892E-2</v>
          </cell>
          <cell r="V11">
            <v>62.1522261</v>
          </cell>
          <cell r="W11">
            <v>2.0000000000000028E-2</v>
          </cell>
          <cell r="X11">
            <v>63.395270621999998</v>
          </cell>
          <cell r="Y11">
            <v>1.9999999999999969E-2</v>
          </cell>
        </row>
        <row r="12">
          <cell r="A12" t="str">
            <v>REVPAR</v>
          </cell>
          <cell r="B12">
            <v>34.09027041757134</v>
          </cell>
          <cell r="D12">
            <v>32.312867948094457</v>
          </cell>
          <cell r="E12">
            <v>-5.213811588190706E-2</v>
          </cell>
          <cell r="F12">
            <v>31.029335780761652</v>
          </cell>
          <cell r="G12">
            <v>-3.9722013205222055E-2</v>
          </cell>
          <cell r="H12">
            <v>29.916302704845361</v>
          </cell>
          <cell r="I12">
            <v>-3.5870348104788563E-2</v>
          </cell>
          <cell r="J12">
            <v>30.588733197998231</v>
          </cell>
          <cell r="K12">
            <v>2.2477058739078761E-2</v>
          </cell>
          <cell r="L12">
            <v>32.073006483865257</v>
          </cell>
          <cell r="M12">
            <v>4.8523529113136302E-2</v>
          </cell>
          <cell r="N12">
            <v>34.113050003130958</v>
          </cell>
          <cell r="O12">
            <v>6.3606245341919276E-2</v>
          </cell>
          <cell r="P12">
            <v>36.160000000000004</v>
          </cell>
          <cell r="Q12">
            <v>6.0004895389921827E-2</v>
          </cell>
          <cell r="R12">
            <v>38.267450000000004</v>
          </cell>
          <cell r="S12">
            <v>5.8281249999999993E-2</v>
          </cell>
          <cell r="T12">
            <v>39.789611415000003</v>
          </cell>
          <cell r="U12">
            <v>3.9776923076923057E-2</v>
          </cell>
          <cell r="V12">
            <v>40.585403643300005</v>
          </cell>
          <cell r="W12">
            <v>2.0000000000000039E-2</v>
          </cell>
          <cell r="X12">
            <v>41.397111716166002</v>
          </cell>
          <cell r="Y12">
            <v>1.9999999999999928E-2</v>
          </cell>
        </row>
        <row r="14">
          <cell r="A14" t="str">
            <v>Room Revenue</v>
          </cell>
          <cell r="B14">
            <v>377547.90399999998</v>
          </cell>
          <cell r="D14">
            <v>359191.06800000003</v>
          </cell>
          <cell r="F14">
            <v>339509.12199999997</v>
          </cell>
          <cell r="H14">
            <v>326942.49800000002</v>
          </cell>
          <cell r="J14">
            <v>326270.53200000001</v>
          </cell>
          <cell r="L14">
            <v>339058.89</v>
          </cell>
          <cell r="N14">
            <v>350832.11499999999</v>
          </cell>
          <cell r="P14">
            <v>370347.10399999999</v>
          </cell>
          <cell r="R14">
            <v>393005.18080200005</v>
          </cell>
          <cell r="T14">
            <v>407521.22115128848</v>
          </cell>
          <cell r="V14">
            <v>415671.64557431429</v>
          </cell>
          <cell r="X14">
            <v>423985.07848580054</v>
          </cell>
        </row>
        <row r="15">
          <cell r="A15" t="str">
            <v>Other Revenue</v>
          </cell>
          <cell r="B15">
            <v>13603.254000000001</v>
          </cell>
          <cell r="D15">
            <v>12599.285</v>
          </cell>
          <cell r="F15">
            <v>5126.9830000000002</v>
          </cell>
          <cell r="H15">
            <v>8976.2810000000009</v>
          </cell>
          <cell r="J15">
            <v>8732.5300000000007</v>
          </cell>
          <cell r="L15">
            <v>7535.37</v>
          </cell>
          <cell r="N15">
            <v>7651.2960000000003</v>
          </cell>
          <cell r="P15">
            <v>7777.2891840000002</v>
          </cell>
          <cell r="R15">
            <v>8253.1087968420015</v>
          </cell>
          <cell r="T15">
            <v>8557.9456441770581</v>
          </cell>
          <cell r="V15">
            <v>8729.1045570606002</v>
          </cell>
          <cell r="X15">
            <v>8903.6866482018122</v>
          </cell>
          <cell r="Z15">
            <v>2.1000000000000001E-2</v>
          </cell>
          <cell r="AD15">
            <v>1.5101164203770645E-2</v>
          </cell>
          <cell r="AF15">
            <v>2.7455228533795568E-2</v>
          </cell>
          <cell r="AH15">
            <v>2.6764691087701419E-2</v>
          </cell>
          <cell r="AJ15">
            <v>2.2224369341856808E-2</v>
          </cell>
        </row>
        <row r="16">
          <cell r="A16" t="str">
            <v>F&amp;B Revenue</v>
          </cell>
        </row>
        <row r="17">
          <cell r="A17" t="str">
            <v>Franchise / Mgt Revenue</v>
          </cell>
          <cell r="J17">
            <v>8592</v>
          </cell>
          <cell r="L17">
            <v>8990</v>
          </cell>
          <cell r="N17">
            <v>10247.589</v>
          </cell>
          <cell r="P17">
            <v>11893.152525478166</v>
          </cell>
          <cell r="R17">
            <v>14194.706879957916</v>
          </cell>
          <cell r="T17">
            <v>16734.61683644569</v>
          </cell>
          <cell r="V17">
            <v>19294.51493612527</v>
          </cell>
          <cell r="X17">
            <v>21871.104567191585</v>
          </cell>
        </row>
        <row r="18">
          <cell r="A18" t="str">
            <v xml:space="preserve">     Total Revenue</v>
          </cell>
          <cell r="B18">
            <v>391151.158</v>
          </cell>
          <cell r="D18">
            <v>371790.353</v>
          </cell>
          <cell r="E18">
            <v>-4.9496990112451601E-2</v>
          </cell>
          <cell r="F18">
            <v>344636.10499999998</v>
          </cell>
          <cell r="G18">
            <v>-7.3036451271235703E-2</v>
          </cell>
          <cell r="H18">
            <v>335918.77900000004</v>
          </cell>
          <cell r="I18">
            <v>-2.5294291206082262E-2</v>
          </cell>
          <cell r="J18">
            <v>343595.06200000003</v>
          </cell>
          <cell r="K18">
            <v>2.2851604256396738E-2</v>
          </cell>
          <cell r="L18">
            <v>355584.26</v>
          </cell>
          <cell r="M18">
            <v>3.4893394364322892E-2</v>
          </cell>
          <cell r="N18">
            <v>368730.99999999994</v>
          </cell>
          <cell r="O18">
            <v>3.6972221436347978E-2</v>
          </cell>
          <cell r="P18">
            <v>390017.54570947814</v>
          </cell>
          <cell r="Q18">
            <v>5.7729200174322766E-2</v>
          </cell>
          <cell r="R18">
            <v>415452.99647879996</v>
          </cell>
          <cell r="S18">
            <v>6.5216170526514058E-2</v>
          </cell>
          <cell r="T18">
            <v>432813.78363191121</v>
          </cell>
          <cell r="U18">
            <v>4.1787608466550427E-2</v>
          </cell>
          <cell r="V18">
            <v>443695.26506750012</v>
          </cell>
          <cell r="W18">
            <v>2.5141254384918398E-2</v>
          </cell>
          <cell r="X18">
            <v>454759.86970119394</v>
          </cell>
          <cell r="Y18">
            <v>2.4937396237506702E-2</v>
          </cell>
        </row>
        <row r="20">
          <cell r="A20" t="str">
            <v>Salaries &amp; Wages</v>
          </cell>
          <cell r="B20">
            <v>-78737.596999999994</v>
          </cell>
          <cell r="C20">
            <v>-0.20129710826524</v>
          </cell>
          <cell r="D20">
            <v>-75807.857000000004</v>
          </cell>
          <cell r="E20">
            <v>-0.2038994728838486</v>
          </cell>
          <cell r="F20">
            <v>-74448.653999999995</v>
          </cell>
          <cell r="G20">
            <v>-0.21602105211814646</v>
          </cell>
          <cell r="H20">
            <v>-75216.822</v>
          </cell>
          <cell r="I20">
            <v>-0.22391371576163055</v>
          </cell>
          <cell r="J20">
            <v>-72050.820999999996</v>
          </cell>
          <cell r="K20">
            <v>-0.20969690478264205</v>
          </cell>
          <cell r="L20">
            <v>-74330.157000000007</v>
          </cell>
          <cell r="M20">
            <v>-0.20903669076915835</v>
          </cell>
          <cell r="N20">
            <v>-75686.915999999997</v>
          </cell>
          <cell r="O20">
            <v>-0.20526322983421522</v>
          </cell>
          <cell r="P20">
            <v>-77579.088899999988</v>
          </cell>
          <cell r="Q20">
            <v>-0.1989117919268899</v>
          </cell>
          <cell r="R20">
            <v>-79518.566122499979</v>
          </cell>
          <cell r="S20">
            <v>-0.19140207627930231</v>
          </cell>
          <cell r="T20">
            <v>-81506.530275562458</v>
          </cell>
          <cell r="U20">
            <v>-0.18831777858738463</v>
          </cell>
          <cell r="V20">
            <v>-83544.193532451507</v>
          </cell>
          <cell r="W20">
            <v>-0.1882918302491729</v>
          </cell>
          <cell r="X20">
            <v>-85632.798370762786</v>
          </cell>
          <cell r="Y20">
            <v>-0.18830333122187973</v>
          </cell>
          <cell r="AA20">
            <v>2.5000000000000001E-2</v>
          </cell>
          <cell r="AD20">
            <v>-1.7929579515748726E-2</v>
          </cell>
          <cell r="AF20">
            <v>1.0318091177310005E-2</v>
          </cell>
          <cell r="AH20">
            <v>-4.2091661357349076E-2</v>
          </cell>
          <cell r="AJ20">
            <v>3.1635114886477286E-2</v>
          </cell>
          <cell r="AL20">
            <v>1.8253143202697539E-2</v>
          </cell>
        </row>
        <row r="21">
          <cell r="A21" t="str">
            <v>Payroll Taxes &amp; Benefits</v>
          </cell>
          <cell r="B21">
            <v>-17887.333999999999</v>
          </cell>
          <cell r="C21">
            <v>-4.5729978383446328E-2</v>
          </cell>
          <cell r="D21">
            <v>-16886.874</v>
          </cell>
          <cell r="E21">
            <v>-4.5420420039785164E-2</v>
          </cell>
          <cell r="F21">
            <v>-16910.671999999999</v>
          </cell>
          <cell r="G21">
            <v>-4.9068196148514383E-2</v>
          </cell>
          <cell r="H21">
            <v>-16600.096000000001</v>
          </cell>
          <cell r="I21">
            <v>-4.9416993147620367E-2</v>
          </cell>
          <cell r="J21">
            <v>-19466.357</v>
          </cell>
          <cell r="K21">
            <v>-5.6654938190002273E-2</v>
          </cell>
          <cell r="L21">
            <v>-21460.021000000001</v>
          </cell>
          <cell r="M21">
            <v>-6.0351436815566581E-2</v>
          </cell>
          <cell r="N21">
            <v>-18923.662</v>
          </cell>
          <cell r="O21">
            <v>-5.1321049762564047E-2</v>
          </cell>
          <cell r="P21">
            <v>-20059.081720000006</v>
          </cell>
          <cell r="Q21">
            <v>-5.1431229032300768E-2</v>
          </cell>
          <cell r="R21">
            <v>-21262.626623200005</v>
          </cell>
          <cell r="S21">
            <v>-5.1179379625162988E-2</v>
          </cell>
          <cell r="T21">
            <v>-22538.384220592008</v>
          </cell>
          <cell r="U21">
            <v>-5.2074090689680753E-2</v>
          </cell>
          <cell r="V21">
            <v>-23890.687273827531</v>
          </cell>
          <cell r="W21">
            <v>-5.3844810063936564E-2</v>
          </cell>
          <cell r="X21">
            <v>-25324.128510257182</v>
          </cell>
          <cell r="Y21">
            <v>-5.5686814509153457E-2</v>
          </cell>
          <cell r="Z21">
            <v>0.25</v>
          </cell>
          <cell r="AA21">
            <v>0.06</v>
          </cell>
          <cell r="AD21">
            <v>0.22714543637014578</v>
          </cell>
          <cell r="AF21">
            <v>0.22069658832435118</v>
          </cell>
          <cell r="AH21">
            <v>0.27017536691219662</v>
          </cell>
          <cell r="AJ21">
            <v>0.28871217102366675</v>
          </cell>
          <cell r="AL21">
            <v>0.2500255394208426</v>
          </cell>
        </row>
        <row r="22">
          <cell r="A22" t="str">
            <v xml:space="preserve">     Total Personnel Costs</v>
          </cell>
          <cell r="B22">
            <v>-96624.930999999997</v>
          </cell>
          <cell r="C22">
            <v>-0.24702708664868633</v>
          </cell>
          <cell r="D22">
            <v>-92694.731</v>
          </cell>
          <cell r="E22">
            <v>-0.24931989292363377</v>
          </cell>
          <cell r="F22">
            <v>-91359.326000000001</v>
          </cell>
          <cell r="G22">
            <v>-0.26508924826666086</v>
          </cell>
          <cell r="H22">
            <v>-91816.918000000005</v>
          </cell>
          <cell r="I22">
            <v>-0.27333070890925093</v>
          </cell>
          <cell r="J22">
            <v>-91517.178</v>
          </cell>
          <cell r="K22">
            <v>-0.2663518429726443</v>
          </cell>
          <cell r="L22">
            <v>-95790.178000000014</v>
          </cell>
          <cell r="M22">
            <v>-0.26938812758472497</v>
          </cell>
          <cell r="N22">
            <v>-94610.577999999994</v>
          </cell>
          <cell r="O22">
            <v>-0.25658427959677926</v>
          </cell>
          <cell r="P22">
            <v>-97638.17061999999</v>
          </cell>
          <cell r="Q22">
            <v>-0.25034302095919064</v>
          </cell>
          <cell r="R22">
            <v>-100781.19274569998</v>
          </cell>
          <cell r="S22">
            <v>-0.24258145590446528</v>
          </cell>
          <cell r="T22">
            <v>-104044.91449615447</v>
          </cell>
          <cell r="U22">
            <v>-0.24039186927706541</v>
          </cell>
          <cell r="V22">
            <v>-107434.88080627903</v>
          </cell>
          <cell r="W22">
            <v>-0.24213664031310944</v>
          </cell>
          <cell r="X22">
            <v>-110956.92688101997</v>
          </cell>
          <cell r="Y22">
            <v>-0.2439901457310332</v>
          </cell>
          <cell r="AD22">
            <v>1.4092602337175528E-3</v>
          </cell>
          <cell r="AF22">
            <v>-1.8365680559589669E-2</v>
          </cell>
          <cell r="AH22">
            <v>0.17266532675473675</v>
          </cell>
          <cell r="AJ22">
            <v>0.10241587575939354</v>
          </cell>
          <cell r="AL22">
            <v>-0.1181899589007858</v>
          </cell>
        </row>
        <row r="23">
          <cell r="B23" t="str">
            <v xml:space="preserve"> </v>
          </cell>
          <cell r="D23" t="str">
            <v xml:space="preserve"> </v>
          </cell>
          <cell r="F23" t="str">
            <v xml:space="preserve"> </v>
          </cell>
          <cell r="H23" t="str">
            <v xml:space="preserve"> </v>
          </cell>
          <cell r="J23" t="str">
            <v xml:space="preserve"> </v>
          </cell>
          <cell r="L23" t="str">
            <v xml:space="preserve"> </v>
          </cell>
          <cell r="N23" t="str">
            <v xml:space="preserve"> </v>
          </cell>
          <cell r="P23" t="str">
            <v xml:space="preserve"> </v>
          </cell>
          <cell r="R23" t="str">
            <v xml:space="preserve"> </v>
          </cell>
          <cell r="T23" t="str">
            <v xml:space="preserve"> </v>
          </cell>
          <cell r="V23" t="str">
            <v xml:space="preserve"> </v>
          </cell>
          <cell r="X23" t="str">
            <v xml:space="preserve"> </v>
          </cell>
        </row>
        <row r="24">
          <cell r="A24" t="str">
            <v>Total Supplies &amp; Cost of Sales</v>
          </cell>
          <cell r="B24">
            <v>-17692.772000000001</v>
          </cell>
          <cell r="C24">
            <v>-4.5232569655335141E-2</v>
          </cell>
          <cell r="D24">
            <v>-17204.702000000001</v>
          </cell>
          <cell r="E24">
            <v>-4.6275278153868615E-2</v>
          </cell>
          <cell r="F24">
            <v>-11045.963</v>
          </cell>
          <cell r="G24">
            <v>-3.2051090526339372E-2</v>
          </cell>
          <cell r="H24">
            <v>-16315.939</v>
          </cell>
          <cell r="I24">
            <v>-4.8571083309397238E-2</v>
          </cell>
          <cell r="J24">
            <v>-15499.373000000001</v>
          </cell>
          <cell r="K24">
            <v>-4.5109417201112161E-2</v>
          </cell>
          <cell r="L24">
            <v>-15386.492</v>
          </cell>
          <cell r="M24">
            <v>-4.327101542683582E-2</v>
          </cell>
          <cell r="N24">
            <v>-15784.630999999999</v>
          </cell>
          <cell r="O24">
            <v>-4.2807984682600601E-2</v>
          </cell>
          <cell r="P24">
            <v>-17015.59769328</v>
          </cell>
          <cell r="Q24">
            <v>-4.3627774905170093E-2</v>
          </cell>
          <cell r="R24">
            <v>-18056.623031947889</v>
          </cell>
          <cell r="S24">
            <v>-4.3462493194147162E-2</v>
          </cell>
          <cell r="T24">
            <v>-18723.562505795948</v>
          </cell>
          <cell r="U24">
            <v>-4.3260088319459579E-2</v>
          </cell>
          <cell r="V24">
            <v>-19098.033755911867</v>
          </cell>
          <cell r="W24">
            <v>-4.3043131760728728E-2</v>
          </cell>
          <cell r="X24">
            <v>-19479.994431030107</v>
          </cell>
          <cell r="Y24">
            <v>-4.2835781538572648E-2</v>
          </cell>
          <cell r="Z24">
            <v>-4.4999999999999998E-2</v>
          </cell>
          <cell r="AD24">
            <v>-3.2051090526339372E-2</v>
          </cell>
          <cell r="AF24">
            <v>-4.8571083309397238E-2</v>
          </cell>
          <cell r="AH24">
            <v>-4.5109417201112161E-2</v>
          </cell>
          <cell r="AJ24">
            <v>-4.327101542683582E-2</v>
          </cell>
        </row>
        <row r="25">
          <cell r="A25" t="str">
            <v>Total Travel Expenses</v>
          </cell>
          <cell r="B25">
            <v>-977.64400000000001</v>
          </cell>
          <cell r="C25">
            <v>-2.499402034238641E-3</v>
          </cell>
          <cell r="D25">
            <v>-825.20600000000002</v>
          </cell>
          <cell r="E25">
            <v>-2.2195465625758182E-3</v>
          </cell>
          <cell r="F25">
            <v>-896.78800000000001</v>
          </cell>
          <cell r="G25">
            <v>-2.6021301511633555E-3</v>
          </cell>
          <cell r="H25">
            <v>-1222.7560000000001</v>
          </cell>
          <cell r="I25">
            <v>-3.6400346644508371E-3</v>
          </cell>
          <cell r="J25">
            <v>-1052.4769999999999</v>
          </cell>
          <cell r="K25">
            <v>-3.0631319142764625E-3</v>
          </cell>
          <cell r="L25">
            <v>-1511.23</v>
          </cell>
          <cell r="M25">
            <v>-4.2499912678924537E-3</v>
          </cell>
          <cell r="N25">
            <v>-1354.04</v>
          </cell>
          <cell r="O25">
            <v>-3.6721620910636758E-3</v>
          </cell>
          <cell r="P25">
            <v>-1387.8909999999998</v>
          </cell>
          <cell r="Q25">
            <v>-3.5585347768785562E-3</v>
          </cell>
          <cell r="R25">
            <v>-1422.5882749999996</v>
          </cell>
          <cell r="S25">
            <v>-3.4241858575031182E-3</v>
          </cell>
          <cell r="T25">
            <v>-1458.1529818749996</v>
          </cell>
          <cell r="U25">
            <v>-3.3690077280789502E-3</v>
          </cell>
          <cell r="V25">
            <v>-1494.6068064218744</v>
          </cell>
          <cell r="W25">
            <v>-3.3685435119405597E-3</v>
          </cell>
          <cell r="X25">
            <v>-1531.9719765824211</v>
          </cell>
          <cell r="Y25">
            <v>-3.3687492645052956E-3</v>
          </cell>
          <cell r="AA25">
            <v>2.5000000000000001E-2</v>
          </cell>
        </row>
        <row r="26">
          <cell r="A26" t="str">
            <v>Total Legal Expenses</v>
          </cell>
          <cell r="B26">
            <v>-0.57799999999999996</v>
          </cell>
          <cell r="C26">
            <v>-1.4776896045901518E-6</v>
          </cell>
          <cell r="D26">
            <v>-0.311</v>
          </cell>
          <cell r="E26">
            <v>-8.3649292535570441E-7</v>
          </cell>
          <cell r="F26">
            <v>-0.29699999999999999</v>
          </cell>
          <cell r="G26">
            <v>-8.6177854174622822E-7</v>
          </cell>
          <cell r="H26">
            <v>-12.082000000000001</v>
          </cell>
          <cell r="I26">
            <v>-3.5967027612945686E-5</v>
          </cell>
          <cell r="J26">
            <v>-20.811</v>
          </cell>
          <cell r="K26">
            <v>-6.0568390822799423E-5</v>
          </cell>
          <cell r="L26">
            <v>-60.372</v>
          </cell>
          <cell r="M26">
            <v>-1.6978254324305581E-4</v>
          </cell>
          <cell r="N26">
            <v>-50.514000000000003</v>
          </cell>
          <cell r="O26">
            <v>-1.3699417732710299E-4</v>
          </cell>
          <cell r="P26">
            <v>-50.514000000000003</v>
          </cell>
          <cell r="Q26">
            <v>-1.2951725007168677E-4</v>
          </cell>
          <cell r="R26">
            <v>-50.514000000000003</v>
          </cell>
          <cell r="S26">
            <v>-1.215877618602702E-4</v>
          </cell>
          <cell r="T26">
            <v>-50.514000000000003</v>
          </cell>
          <cell r="U26">
            <v>-1.1671070079172872E-4</v>
          </cell>
          <cell r="V26">
            <v>-50.514000000000003</v>
          </cell>
          <cell r="W26">
            <v>-1.1384840898023832E-4</v>
          </cell>
          <cell r="X26">
            <v>-50.514000000000003</v>
          </cell>
          <cell r="Y26">
            <v>-1.1107840283530493E-4</v>
          </cell>
        </row>
        <row r="27">
          <cell r="A27" t="str">
            <v>Total Outsides Services</v>
          </cell>
          <cell r="B27">
            <v>-5231.5720000000001</v>
          </cell>
          <cell r="C27">
            <v>-1.3374808927447942E-2</v>
          </cell>
          <cell r="D27">
            <v>-3113.08</v>
          </cell>
          <cell r="E27">
            <v>-8.3732134921747151E-3</v>
          </cell>
          <cell r="F27">
            <v>-3108.7460000000001</v>
          </cell>
          <cell r="G27">
            <v>-9.0203723721865997E-3</v>
          </cell>
          <cell r="H27">
            <v>-3054.848</v>
          </cell>
          <cell r="I27">
            <v>-9.094007810739272E-3</v>
          </cell>
          <cell r="J27">
            <v>-2904.7579999999998</v>
          </cell>
          <cell r="K27">
            <v>-8.4540155585821532E-3</v>
          </cell>
          <cell r="L27">
            <v>-2986.1219999999998</v>
          </cell>
          <cell r="M27">
            <v>-8.3977901609030726E-3</v>
          </cell>
          <cell r="N27">
            <v>-2845.4549999999999</v>
          </cell>
          <cell r="O27">
            <v>-7.7168857514014295E-3</v>
          </cell>
          <cell r="P27">
            <v>-2916.5913749999995</v>
          </cell>
          <cell r="Q27">
            <v>-7.4781029907114794E-3</v>
          </cell>
          <cell r="R27">
            <v>-2989.5061593749992</v>
          </cell>
          <cell r="S27">
            <v>-7.1957746958446834E-3</v>
          </cell>
          <cell r="T27">
            <v>-3064.2438133593741</v>
          </cell>
          <cell r="U27">
            <v>-7.0798203043491255E-3</v>
          </cell>
          <cell r="V27">
            <v>-3140.8499086933584</v>
          </cell>
          <cell r="W27">
            <v>-7.0788447747251381E-3</v>
          </cell>
          <cell r="X27">
            <v>-3219.371156410692</v>
          </cell>
          <cell r="Y27">
            <v>-7.0792771546135391E-3</v>
          </cell>
          <cell r="AA27">
            <v>2.5000000000000001E-2</v>
          </cell>
          <cell r="AD27">
            <v>-1.3921903709509017E-3</v>
          </cell>
          <cell r="AF27">
            <v>-1.7337537386457477E-2</v>
          </cell>
          <cell r="AH27">
            <v>-4.9131740760915157E-2</v>
          </cell>
          <cell r="AJ27">
            <v>2.8010595030635955E-2</v>
          </cell>
          <cell r="AL27">
            <v>-4.7106916596173873E-2</v>
          </cell>
        </row>
        <row r="28">
          <cell r="A28" t="str">
            <v>Total Guest Finance</v>
          </cell>
          <cell r="B28">
            <v>-9652.9699999999993</v>
          </cell>
          <cell r="C28">
            <v>-2.4678362322526983E-2</v>
          </cell>
          <cell r="D28">
            <v>-10953.566000000001</v>
          </cell>
          <cell r="E28">
            <v>-2.9461673525455891E-2</v>
          </cell>
          <cell r="F28">
            <v>-8577.348</v>
          </cell>
          <cell r="G28">
            <v>-2.4888129466296052E-2</v>
          </cell>
          <cell r="H28">
            <v>-7124.8670000000002</v>
          </cell>
          <cell r="I28">
            <v>-2.121008840651924E-2</v>
          </cell>
          <cell r="J28">
            <v>-6019.8549999999996</v>
          </cell>
          <cell r="K28">
            <v>-1.7520202313035568E-2</v>
          </cell>
          <cell r="L28">
            <v>-7187.3580000000002</v>
          </cell>
          <cell r="M28">
            <v>-2.0212812569375259E-2</v>
          </cell>
          <cell r="N28">
            <v>-6937.884</v>
          </cell>
          <cell r="O28">
            <v>-1.8815570158191203E-2</v>
          </cell>
          <cell r="P28">
            <v>-7184.3634704959995</v>
          </cell>
          <cell r="Q28">
            <v>-1.8420616071071816E-2</v>
          </cell>
          <cell r="R28">
            <v>-7623.9075023779988</v>
          </cell>
          <cell r="S28">
            <v>-1.8350830459751027E-2</v>
          </cell>
          <cell r="T28">
            <v>-7905.5041691138449</v>
          </cell>
          <cell r="U28">
            <v>-1.8265370623771822E-2</v>
          </cell>
          <cell r="V28">
            <v>-8063.6142524961224</v>
          </cell>
          <cell r="W28">
            <v>-1.81737667434188E-2</v>
          </cell>
          <cell r="X28">
            <v>-8224.8865375460446</v>
          </cell>
          <cell r="Y28">
            <v>-1.8086218871841784E-2</v>
          </cell>
          <cell r="Z28">
            <v>-1.9E-2</v>
          </cell>
          <cell r="AB28">
            <v>-0.85</v>
          </cell>
          <cell r="AD28">
            <v>-1.1967029429996556</v>
          </cell>
          <cell r="AF28">
            <v>-1.0327431343766673</v>
          </cell>
          <cell r="AH28">
            <v>-0.90139638947610834</v>
          </cell>
          <cell r="AJ28">
            <v>-1.0976071919545598</v>
          </cell>
        </row>
        <row r="29">
          <cell r="A29" t="str">
            <v>Total Other Operating Expenses</v>
          </cell>
          <cell r="B29">
            <v>-538.56799999999998</v>
          </cell>
          <cell r="C29">
            <v>-1.3768794722576279E-3</v>
          </cell>
          <cell r="D29">
            <v>-3195.625</v>
          </cell>
          <cell r="E29">
            <v>-8.5952337768161503E-3</v>
          </cell>
          <cell r="F29">
            <v>-833.68299999999999</v>
          </cell>
          <cell r="G29">
            <v>-2.4190239731266693E-3</v>
          </cell>
          <cell r="H29">
            <v>241.50899999999999</v>
          </cell>
          <cell r="I29">
            <v>7.1895057703814751E-4</v>
          </cell>
          <cell r="J29">
            <v>1206.931</v>
          </cell>
          <cell r="K29">
            <v>3.5126552546322679E-3</v>
          </cell>
          <cell r="L29">
            <v>1457.9860000000001</v>
          </cell>
          <cell r="M29">
            <v>4.1002546063203136E-3</v>
          </cell>
          <cell r="N29">
            <v>2275.7779999999998</v>
          </cell>
          <cell r="O29">
            <v>6.171919366692793E-3</v>
          </cell>
          <cell r="P29">
            <v>2617.1446999999994</v>
          </cell>
          <cell r="Q29">
            <v>6.7103255450704658E-3</v>
          </cell>
          <cell r="R29">
            <v>3009.7164049999992</v>
          </cell>
          <cell r="S29">
            <v>7.2444209826600233E-3</v>
          </cell>
          <cell r="T29">
            <v>3461.1738657499986</v>
          </cell>
          <cell r="U29">
            <v>7.9969122903293961E-3</v>
          </cell>
          <cell r="V29">
            <v>3980.3499456124982</v>
          </cell>
          <cell r="W29">
            <v>8.9709092230383855E-3</v>
          </cell>
          <cell r="X29">
            <v>4577.4024374543724</v>
          </cell>
          <cell r="Y29">
            <v>1.0065537314147829E-2</v>
          </cell>
          <cell r="AA29">
            <v>0.15</v>
          </cell>
          <cell r="AD29">
            <v>-0.73911738705261099</v>
          </cell>
          <cell r="AF29">
            <v>-1.2896892463922138</v>
          </cell>
          <cell r="AH29">
            <v>3.9974576516817182</v>
          </cell>
          <cell r="AJ29">
            <v>0.20801106276995127</v>
          </cell>
          <cell r="AL29">
            <v>0.56090524874724423</v>
          </cell>
        </row>
        <row r="30">
          <cell r="A30" t="str">
            <v>Capitalized Expenses</v>
          </cell>
          <cell r="B30">
            <v>15.621</v>
          </cell>
          <cell r="C30">
            <v>3.9935967670073983E-5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</row>
        <row r="31">
          <cell r="A31" t="str">
            <v>Total Distribution Costs</v>
          </cell>
          <cell r="B31">
            <v>-1841.6780000000001</v>
          </cell>
          <cell r="C31">
            <v>-4.7083536948138091E-3</v>
          </cell>
          <cell r="D31">
            <v>-2407.3029999999999</v>
          </cell>
          <cell r="E31">
            <v>-6.4748936613748011E-3</v>
          </cell>
          <cell r="F31">
            <v>-1459.8720000000001</v>
          </cell>
          <cell r="G31">
            <v>-4.2359810211991577E-3</v>
          </cell>
          <cell r="H31">
            <v>-1518.855</v>
          </cell>
          <cell r="I31">
            <v>-4.5214947628754026E-3</v>
          </cell>
          <cell r="J31">
            <v>-1698.011</v>
          </cell>
          <cell r="K31">
            <v>-4.9418958180487468E-3</v>
          </cell>
          <cell r="L31">
            <v>-1532.2049999999999</v>
          </cell>
          <cell r="M31">
            <v>-4.3089786932638688E-3</v>
          </cell>
          <cell r="N31">
            <v>-1547.26</v>
          </cell>
          <cell r="O31">
            <v>-4.1961755317562128E-3</v>
          </cell>
          <cell r="P31">
            <v>-1638.704</v>
          </cell>
          <cell r="Q31">
            <v>-4.2016161017039508E-3</v>
          </cell>
          <cell r="R31">
            <v>-1668.8685</v>
          </cell>
          <cell r="S31">
            <v>-4.0169851081701376E-3</v>
          </cell>
          <cell r="T31">
            <v>-1671.9901750000001</v>
          </cell>
          <cell r="U31">
            <v>-3.8630705357155471E-3</v>
          </cell>
          <cell r="V31">
            <v>-1671.9901750000001</v>
          </cell>
          <cell r="W31">
            <v>-3.7683299927612195E-3</v>
          </cell>
          <cell r="X31">
            <v>-1671.9901750000001</v>
          </cell>
          <cell r="Y31">
            <v>-3.6766440629394225E-3</v>
          </cell>
          <cell r="AB31">
            <v>-0.25</v>
          </cell>
          <cell r="AD31">
            <v>-0.20367986920931661</v>
          </cell>
          <cell r="AF31">
            <v>-0.22015668129154875</v>
          </cell>
          <cell r="AH31">
            <v>-0.25425545709833813</v>
          </cell>
          <cell r="AJ31">
            <v>-0.23398851532770959</v>
          </cell>
        </row>
        <row r="32">
          <cell r="A32" t="str">
            <v>Total Billboard &amp; Local Adv.</v>
          </cell>
          <cell r="B32">
            <v>-9611.1260000000002</v>
          </cell>
          <cell r="C32">
            <v>-2.4571385776135171E-2</v>
          </cell>
          <cell r="D32">
            <v>-7685.5389999999998</v>
          </cell>
          <cell r="E32">
            <v>-2.0671700967991494E-2</v>
          </cell>
          <cell r="F32">
            <v>-7168.3760000000002</v>
          </cell>
          <cell r="G32">
            <v>-2.0799840457806938E-2</v>
          </cell>
          <cell r="H32">
            <v>-7020.3540000000003</v>
          </cell>
          <cell r="I32">
            <v>-2.0898962603099959E-2</v>
          </cell>
          <cell r="J32">
            <v>-6399.9390000000003</v>
          </cell>
          <cell r="K32">
            <v>-1.8626399817119606E-2</v>
          </cell>
          <cell r="L32">
            <v>-6378.9610000000002</v>
          </cell>
          <cell r="M32">
            <v>-1.7939379543965191E-2</v>
          </cell>
          <cell r="N32">
            <v>-5298.8940000000002</v>
          </cell>
          <cell r="O32">
            <v>-1.4370622486311163E-2</v>
          </cell>
          <cell r="P32">
            <v>-5431.3663499999993</v>
          </cell>
          <cell r="Q32">
            <v>-1.3925953869895364E-2</v>
          </cell>
          <cell r="R32">
            <v>-5567.1505087499991</v>
          </cell>
          <cell r="S32">
            <v>-1.34001934176303E-2</v>
          </cell>
          <cell r="T32">
            <v>-5706.3292714687486</v>
          </cell>
          <cell r="U32">
            <v>-1.3184259575988289E-2</v>
          </cell>
          <cell r="V32">
            <v>-5848.9875032554664</v>
          </cell>
          <cell r="W32">
            <v>-1.3182442914655963E-2</v>
          </cell>
          <cell r="X32">
            <v>-5995.2121908368526</v>
          </cell>
          <cell r="Y32">
            <v>-1.3183248105810407E-2</v>
          </cell>
          <cell r="AA32">
            <v>2.5000000000000001E-2</v>
          </cell>
          <cell r="AD32">
            <v>-6.7290400842413209E-2</v>
          </cell>
          <cell r="AF32">
            <v>-2.0649307458202516E-2</v>
          </cell>
          <cell r="AH32">
            <v>-8.8373748674212146E-2</v>
          </cell>
          <cell r="AJ32">
            <v>-3.2778437419481755E-3</v>
          </cell>
          <cell r="AL32">
            <v>-0.16931707216896294</v>
          </cell>
        </row>
        <row r="33">
          <cell r="A33" t="str">
            <v>Total Loyalty Costs</v>
          </cell>
          <cell r="B33">
            <v>0</v>
          </cell>
          <cell r="C33">
            <v>0</v>
          </cell>
          <cell r="D33">
            <v>-1304.373</v>
          </cell>
          <cell r="E33">
            <v>-3.5083562267684766E-3</v>
          </cell>
          <cell r="F33">
            <v>-1855.615</v>
          </cell>
          <cell r="G33">
            <v>-5.3842733627691161E-3</v>
          </cell>
          <cell r="H33">
            <v>-2383.8159999999998</v>
          </cell>
          <cell r="I33">
            <v>-7.0964058844712567E-3</v>
          </cell>
          <cell r="J33">
            <v>-2400.0529999999999</v>
          </cell>
          <cell r="K33">
            <v>-6.985120758225564E-3</v>
          </cell>
          <cell r="L33">
            <v>-2206.4850000000001</v>
          </cell>
          <cell r="M33">
            <v>-6.2052381058711652E-3</v>
          </cell>
          <cell r="N33">
            <v>-2229.3290000000002</v>
          </cell>
          <cell r="O33">
            <v>-6.0459494862108165E-3</v>
          </cell>
          <cell r="P33">
            <v>-2359.7337599999996</v>
          </cell>
          <cell r="Q33">
            <v>-6.0503271864536879E-3</v>
          </cell>
          <cell r="R33">
            <v>-2403.1706400000003</v>
          </cell>
          <cell r="S33">
            <v>-5.7844585557649984E-3</v>
          </cell>
          <cell r="T33">
            <v>-2407.6658520000001</v>
          </cell>
          <cell r="U33">
            <v>-5.5628215714303873E-3</v>
          </cell>
          <cell r="V33">
            <v>-2407.6658520000001</v>
          </cell>
          <cell r="W33">
            <v>-5.4263951895761556E-3</v>
          </cell>
          <cell r="X33">
            <v>-2407.6658520000001</v>
          </cell>
          <cell r="Y33">
            <v>-5.2943674506327684E-3</v>
          </cell>
          <cell r="AB33">
            <v>-0.36</v>
          </cell>
          <cell r="AD33">
            <v>-0.2588935334761171</v>
          </cell>
          <cell r="AF33">
            <v>-0.34553200889465724</v>
          </cell>
          <cell r="AH33">
            <v>-0.35937727881341031</v>
          </cell>
          <cell r="AJ33">
            <v>-0.33696023002330716</v>
          </cell>
        </row>
        <row r="34">
          <cell r="A34" t="str">
            <v>Total R&amp;M</v>
          </cell>
          <cell r="B34">
            <v>-11454.450999999999</v>
          </cell>
          <cell r="C34">
            <v>-2.9283950119355136E-2</v>
          </cell>
          <cell r="D34">
            <v>-11079.592000000001</v>
          </cell>
          <cell r="E34">
            <v>-2.9800644128063217E-2</v>
          </cell>
          <cell r="F34">
            <v>-11592.736000000001</v>
          </cell>
          <cell r="G34">
            <v>-3.3637613215249169E-2</v>
          </cell>
          <cell r="H34">
            <v>-11739.133</v>
          </cell>
          <cell r="I34">
            <v>-3.494634338379754E-2</v>
          </cell>
          <cell r="J34">
            <v>-11909.596</v>
          </cell>
          <cell r="K34">
            <v>-3.4661720487705959E-2</v>
          </cell>
          <cell r="L34">
            <v>-12992.416999999999</v>
          </cell>
          <cell r="M34">
            <v>-3.6538223036081514E-2</v>
          </cell>
          <cell r="N34">
            <v>-12368.097</v>
          </cell>
          <cell r="O34">
            <v>-3.3542330316680725E-2</v>
          </cell>
          <cell r="P34">
            <v>-12478.104975071999</v>
          </cell>
          <cell r="Q34">
            <v>-3.1993701597124731E-2</v>
          </cell>
          <cell r="R34">
            <v>-13241.523556761787</v>
          </cell>
          <cell r="S34">
            <v>-3.1872495009041261E-2</v>
          </cell>
          <cell r="T34">
            <v>-13730.612504250363</v>
          </cell>
          <cell r="U34">
            <v>-3.1724064767603692E-2</v>
          </cell>
          <cell r="V34">
            <v>-14005.224754335371</v>
          </cell>
          <cell r="W34">
            <v>-3.1564963291201072E-2</v>
          </cell>
          <cell r="X34">
            <v>-14285.329249422079</v>
          </cell>
          <cell r="Y34">
            <v>-3.1412906461619941E-2</v>
          </cell>
          <cell r="Z34">
            <v>-3.3000000000000002E-2</v>
          </cell>
          <cell r="AB34">
            <v>-1.7</v>
          </cell>
          <cell r="AD34">
            <v>-1.6174068358446057</v>
          </cell>
          <cell r="AF34">
            <v>-1.70157688687867</v>
          </cell>
          <cell r="AH34">
            <v>-1.7833098695099969</v>
          </cell>
          <cell r="AJ34">
            <v>-1.984118550943571</v>
          </cell>
        </row>
        <row r="35">
          <cell r="A35" t="str">
            <v>Total Energy</v>
          </cell>
          <cell r="B35">
            <v>-17446.990000000002</v>
          </cell>
          <cell r="C35">
            <v>-4.4604214107938293E-2</v>
          </cell>
          <cell r="D35">
            <v>-18256.791000000001</v>
          </cell>
          <cell r="E35">
            <v>-4.9105069167838251E-2</v>
          </cell>
          <cell r="F35">
            <v>-16882.420999999998</v>
          </cell>
          <cell r="G35">
            <v>-4.8986222729043433E-2</v>
          </cell>
          <cell r="H35">
            <v>-18371.813999999998</v>
          </cell>
          <cell r="I35">
            <v>-5.4691238324607025E-2</v>
          </cell>
          <cell r="J35">
            <v>-17861.824000000001</v>
          </cell>
          <cell r="K35">
            <v>-5.1985100996591149E-2</v>
          </cell>
          <cell r="L35">
            <v>-19974.173999999999</v>
          </cell>
          <cell r="M35">
            <v>-5.6172829472260662E-2</v>
          </cell>
          <cell r="N35">
            <v>-20493.732</v>
          </cell>
          <cell r="O35">
            <v>-5.557908610884358E-2</v>
          </cell>
          <cell r="P35">
            <v>-21518.418600000001</v>
          </cell>
          <cell r="Q35">
            <v>-5.5172950131912653E-2</v>
          </cell>
          <cell r="R35">
            <v>-22594.339530000005</v>
          </cell>
          <cell r="S35">
            <v>-5.4384827457016463E-2</v>
          </cell>
          <cell r="T35">
            <v>-23724.056506500005</v>
          </cell>
          <cell r="U35">
            <v>-5.4813541998182419E-2</v>
          </cell>
          <cell r="V35">
            <v>-24910.259331825007</v>
          </cell>
          <cell r="W35">
            <v>-5.6142720675721812E-2</v>
          </cell>
          <cell r="X35">
            <v>-26155.772298416261</v>
          </cell>
          <cell r="Y35">
            <v>-5.7515568195589159E-2</v>
          </cell>
          <cell r="AA35">
            <v>0.05</v>
          </cell>
          <cell r="AB35">
            <v>-2.75</v>
          </cell>
          <cell r="AD35">
            <v>-2.3554183525792802</v>
          </cell>
          <cell r="AF35">
            <v>-2.6629780983343463</v>
          </cell>
          <cell r="AH35">
            <v>-2.674579979593811</v>
          </cell>
          <cell r="AJ35">
            <v>-3.0503276775348849</v>
          </cell>
        </row>
        <row r="36">
          <cell r="A36" t="str">
            <v>Total Other Utilities</v>
          </cell>
          <cell r="B36">
            <v>-11740.447</v>
          </cell>
          <cell r="C36">
            <v>-3.0015115026196599E-2</v>
          </cell>
          <cell r="D36">
            <v>-10973.942999999999</v>
          </cell>
          <cell r="E36">
            <v>-2.9516481295037797E-2</v>
          </cell>
          <cell r="F36">
            <v>-10998.856</v>
          </cell>
          <cell r="G36">
            <v>-3.1914404325106914E-2</v>
          </cell>
          <cell r="H36">
            <v>-10746.869000000001</v>
          </cell>
          <cell r="I36">
            <v>-3.1992462678009433E-2</v>
          </cell>
          <cell r="J36">
            <v>-9850.2659999999996</v>
          </cell>
          <cell r="K36">
            <v>-2.8668240872448857E-2</v>
          </cell>
          <cell r="L36">
            <v>-9889.2999999999993</v>
          </cell>
          <cell r="M36">
            <v>-2.7811411000025703E-2</v>
          </cell>
          <cell r="N36">
            <v>-9892.5519999999997</v>
          </cell>
          <cell r="O36">
            <v>-2.6828642018165007E-2</v>
          </cell>
          <cell r="P36">
            <v>-10159.964800000002</v>
          </cell>
          <cell r="Q36">
            <v>-2.60500198305645E-2</v>
          </cell>
          <cell r="R36">
            <v>-10346.984700000001</v>
          </cell>
          <cell r="S36">
            <v>-2.4905307670654853E-2</v>
          </cell>
          <cell r="T36">
            <v>-10366.339085000001</v>
          </cell>
          <cell r="U36">
            <v>-2.3951037321436393E-2</v>
          </cell>
          <cell r="V36">
            <v>-10366.339085000001</v>
          </cell>
          <cell r="W36">
            <v>-2.3363645955119562E-2</v>
          </cell>
          <cell r="X36">
            <v>-10366.339085000001</v>
          </cell>
          <cell r="Y36">
            <v>-2.2795193190224421E-2</v>
          </cell>
          <cell r="AB36">
            <v>-1.55</v>
          </cell>
          <cell r="AD36">
            <v>-1.5345492971521524</v>
          </cell>
          <cell r="AF36">
            <v>-1.557749102656294</v>
          </cell>
          <cell r="AH36">
            <v>-1.4749515075993138</v>
          </cell>
          <cell r="AJ36">
            <v>-1.510230435633821</v>
          </cell>
        </row>
        <row r="37">
          <cell r="A37" t="str">
            <v>Total Controllable Expenses</v>
          </cell>
          <cell r="B37">
            <v>-86173.175000000003</v>
          </cell>
          <cell r="C37">
            <v>-0.22030658285817986</v>
          </cell>
          <cell r="D37">
            <v>-87000.030999999988</v>
          </cell>
          <cell r="E37">
            <v>-0.23400292745089055</v>
          </cell>
          <cell r="F37">
            <v>-74420.701000000001</v>
          </cell>
          <cell r="G37">
            <v>-0.21593994337882852</v>
          </cell>
          <cell r="H37">
            <v>-79269.824000000008</v>
          </cell>
          <cell r="I37">
            <v>-0.23597913827854203</v>
          </cell>
          <cell r="J37">
            <v>-74410.031999999992</v>
          </cell>
          <cell r="K37">
            <v>-0.21656315887333674</v>
          </cell>
          <cell r="L37">
            <v>-78647.13</v>
          </cell>
          <cell r="M37">
            <v>-0.22117719721339749</v>
          </cell>
          <cell r="N37">
            <v>-76526.61</v>
          </cell>
          <cell r="O37">
            <v>-0.20754048344185874</v>
          </cell>
          <cell r="P37">
            <v>-79524.105323847994</v>
          </cell>
          <cell r="Q37">
            <v>-0.20389878916648804</v>
          </cell>
          <cell r="R37">
            <v>-82955.459999212675</v>
          </cell>
          <cell r="S37">
            <v>-0.19967471820472424</v>
          </cell>
          <cell r="T37">
            <v>-85347.796998613267</v>
          </cell>
          <cell r="U37">
            <v>-0.19719288115647851</v>
          </cell>
          <cell r="V37">
            <v>-87077.735479326569</v>
          </cell>
          <cell r="W37">
            <v>-0.19625572399579086</v>
          </cell>
          <cell r="X37">
            <v>-88811.644514790081</v>
          </cell>
          <cell r="Y37">
            <v>-0.19529349538503685</v>
          </cell>
        </row>
        <row r="39">
          <cell r="A39" t="str">
            <v>CP / GOP</v>
          </cell>
          <cell r="B39">
            <v>208353.05200000003</v>
          </cell>
          <cell r="C39">
            <v>0.53266633049313383</v>
          </cell>
          <cell r="D39">
            <v>192095.59099999999</v>
          </cell>
          <cell r="E39">
            <v>0.51667717962547566</v>
          </cell>
          <cell r="F39">
            <v>178856.07799999998</v>
          </cell>
          <cell r="G39">
            <v>0.51897080835451059</v>
          </cell>
          <cell r="H39">
            <v>164832.03700000001</v>
          </cell>
          <cell r="I39">
            <v>0.49069015281220701</v>
          </cell>
          <cell r="J39">
            <v>177667.85200000001</v>
          </cell>
          <cell r="K39">
            <v>0.51708499815401887</v>
          </cell>
          <cell r="L39">
            <v>181146.95199999999</v>
          </cell>
          <cell r="M39">
            <v>0.50943467520187757</v>
          </cell>
          <cell r="N39">
            <v>197593.81199999998</v>
          </cell>
          <cell r="O39">
            <v>0.53587523696136208</v>
          </cell>
          <cell r="P39">
            <v>212855.26976563016</v>
          </cell>
          <cell r="Q39">
            <v>0.54575818987432134</v>
          </cell>
          <cell r="R39">
            <v>231716.34373388728</v>
          </cell>
          <cell r="S39">
            <v>0.5577438258908104</v>
          </cell>
          <cell r="T39">
            <v>243421.07213714346</v>
          </cell>
          <cell r="U39">
            <v>0.56241524956645605</v>
          </cell>
          <cell r="V39">
            <v>249182.64878189453</v>
          </cell>
          <cell r="W39">
            <v>0.56160763569109973</v>
          </cell>
          <cell r="X39">
            <v>254991.29830538388</v>
          </cell>
          <cell r="Y39">
            <v>0.5607163588839299</v>
          </cell>
        </row>
        <row r="40">
          <cell r="A40" t="str">
            <v>CP% / GOP%</v>
          </cell>
          <cell r="B40">
            <v>0.53266633049313383</v>
          </cell>
          <cell r="D40">
            <v>0.51667717962547566</v>
          </cell>
          <cell r="F40">
            <v>0.51897080835451059</v>
          </cell>
          <cell r="H40">
            <v>0.49069015281220701</v>
          </cell>
          <cell r="J40">
            <v>0.51708499815401887</v>
          </cell>
          <cell r="L40">
            <v>0.50943467520187757</v>
          </cell>
          <cell r="N40">
            <v>0.53587523696136208</v>
          </cell>
          <cell r="P40">
            <v>0.54575818987432134</v>
          </cell>
          <cell r="R40">
            <v>0.5577438258908104</v>
          </cell>
          <cell r="T40">
            <v>0.56241524956645605</v>
          </cell>
          <cell r="V40">
            <v>0.56160763569109973</v>
          </cell>
          <cell r="X40">
            <v>0.5607163588839299</v>
          </cell>
        </row>
        <row r="41">
          <cell r="B41" t="str">
            <v xml:space="preserve"> </v>
          </cell>
          <cell r="D41" t="str">
            <v xml:space="preserve"> </v>
          </cell>
          <cell r="F41" t="str">
            <v xml:space="preserve"> </v>
          </cell>
          <cell r="H41" t="str">
            <v xml:space="preserve"> </v>
          </cell>
          <cell r="J41" t="str">
            <v xml:space="preserve"> </v>
          </cell>
          <cell r="L41" t="str">
            <v xml:space="preserve"> </v>
          </cell>
          <cell r="N41" t="str">
            <v xml:space="preserve"> </v>
          </cell>
          <cell r="P41" t="str">
            <v xml:space="preserve"> </v>
          </cell>
          <cell r="R41" t="str">
            <v xml:space="preserve"> </v>
          </cell>
          <cell r="T41" t="str">
            <v xml:space="preserve"> </v>
          </cell>
          <cell r="V41" t="str">
            <v xml:space="preserve"> </v>
          </cell>
          <cell r="X41" t="str">
            <v xml:space="preserve"> </v>
          </cell>
        </row>
        <row r="42">
          <cell r="A42" t="str">
            <v>Internal Recharges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AD42">
            <v>0</v>
          </cell>
          <cell r="AF42">
            <v>0</v>
          </cell>
          <cell r="AH42">
            <v>0</v>
          </cell>
          <cell r="AJ42">
            <v>0</v>
          </cell>
        </row>
        <row r="43">
          <cell r="A43" t="str">
            <v xml:space="preserve">Reservation Fee </v>
          </cell>
          <cell r="B43">
            <v>-3031.11</v>
          </cell>
          <cell r="C43">
            <v>-7.7492036978706836E-3</v>
          </cell>
          <cell r="D43">
            <v>-2246.6149999999998</v>
          </cell>
          <cell r="E43">
            <v>-6.0426930980643266E-3</v>
          </cell>
          <cell r="F43">
            <v>-2861.5740000000001</v>
          </cell>
          <cell r="G43">
            <v>-8.3031753158886255E-3</v>
          </cell>
          <cell r="H43">
            <v>-2894.8809999999999</v>
          </cell>
          <cell r="I43">
            <v>-8.6178004356225624E-3</v>
          </cell>
          <cell r="J43">
            <v>-3588.9760000000001</v>
          </cell>
          <cell r="K43">
            <v>-1.0445365480834528E-2</v>
          </cell>
          <cell r="L43">
            <v>-6006.942</v>
          </cell>
          <cell r="M43">
            <v>-1.6893160569030809E-2</v>
          </cell>
          <cell r="N43">
            <v>-4781.4620000000004</v>
          </cell>
          <cell r="O43">
            <v>-1.2967344758102793E-2</v>
          </cell>
          <cell r="P43">
            <v>-5153.8354790979201</v>
          </cell>
          <cell r="Q43">
            <v>-1.321436826572152E-2</v>
          </cell>
          <cell r="R43">
            <v>-5469.1504872322166</v>
          </cell>
          <cell r="S43">
            <v>-1.3164306271916131E-2</v>
          </cell>
          <cell r="T43">
            <v>-5671.1590434221953</v>
          </cell>
          <cell r="U43">
            <v>-1.3103000084316314E-2</v>
          </cell>
          <cell r="V43">
            <v>-5784.5822242906397</v>
          </cell>
          <cell r="W43">
            <v>-1.303728635330517E-2</v>
          </cell>
          <cell r="X43">
            <v>-5900.2738687764522</v>
          </cell>
          <cell r="Y43">
            <v>-1.2974482274905448E-2</v>
          </cell>
          <cell r="Z43">
            <v>-1.363E-2</v>
          </cell>
          <cell r="AD43">
            <v>-8.3031753158886255E-3</v>
          </cell>
          <cell r="AF43">
            <v>-8.6178004356225624E-3</v>
          </cell>
          <cell r="AH43">
            <v>-1.0445365480834528E-2</v>
          </cell>
          <cell r="AJ43">
            <v>-1.6893160569030809E-2</v>
          </cell>
        </row>
        <row r="44">
          <cell r="A44" t="str">
            <v>Academy / Training Fee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-132.43199999999999</v>
          </cell>
          <cell r="G44">
            <v>-3.8426618128126764E-4</v>
          </cell>
          <cell r="H44">
            <v>-521.40700000000004</v>
          </cell>
          <cell r="I44">
            <v>-1.5521817552212524E-3</v>
          </cell>
          <cell r="J44">
            <v>-871.00800000000004</v>
          </cell>
          <cell r="K44">
            <v>-2.5349840446775686E-3</v>
          </cell>
          <cell r="L44">
            <v>-720.91600000000005</v>
          </cell>
          <cell r="M44">
            <v>-2.0274125744485991E-3</v>
          </cell>
          <cell r="N44">
            <v>-687.86599999999999</v>
          </cell>
          <cell r="O44">
            <v>-1.8654954424770363E-3</v>
          </cell>
          <cell r="P44">
            <v>-725.99883491328001</v>
          </cell>
          <cell r="Q44">
            <v>-1.8614517292872572E-3</v>
          </cell>
          <cell r="R44">
            <v>-770.41591602977678</v>
          </cell>
          <cell r="S44">
            <v>-1.854399709616946E-3</v>
          </cell>
          <cell r="T44">
            <v>-798.87200024729384</v>
          </cell>
          <cell r="U44">
            <v>-1.8457637682969422E-3</v>
          </cell>
          <cell r="V44">
            <v>-814.84944025223979</v>
          </cell>
          <cell r="W44">
            <v>-1.8365069551244261E-3</v>
          </cell>
          <cell r="X44">
            <v>-831.14642905728454</v>
          </cell>
          <cell r="Y44">
            <v>-1.827660012312433E-3</v>
          </cell>
          <cell r="Z44">
            <v>-1.92E-3</v>
          </cell>
          <cell r="AD44">
            <v>-3.8426618128126764E-4</v>
          </cell>
          <cell r="AF44">
            <v>-1.5521817552212524E-3</v>
          </cell>
          <cell r="AH44">
            <v>-2.5349840446775686E-3</v>
          </cell>
          <cell r="AJ44">
            <v>-2.0274125744485991E-3</v>
          </cell>
        </row>
        <row r="45">
          <cell r="A45" t="str">
            <v>ANA Management Fee</v>
          </cell>
          <cell r="B45">
            <v>-8699.232</v>
          </cell>
          <cell r="C45">
            <v>-2.2240077325809682E-2</v>
          </cell>
          <cell r="D45">
            <v>-13875.394</v>
          </cell>
          <cell r="E45">
            <v>-3.7320478834479066E-2</v>
          </cell>
          <cell r="F45">
            <v>-14696.776</v>
          </cell>
          <cell r="G45">
            <v>-4.2644330604885407E-2</v>
          </cell>
          <cell r="H45">
            <v>-14217.403</v>
          </cell>
          <cell r="I45">
            <v>-4.2323930333171396E-2</v>
          </cell>
          <cell r="J45">
            <v>-15075.495999999999</v>
          </cell>
          <cell r="K45">
            <v>-4.3875764431096503E-2</v>
          </cell>
          <cell r="L45">
            <v>-15528.624</v>
          </cell>
          <cell r="M45">
            <v>-4.3670729407426528E-2</v>
          </cell>
          <cell r="N45">
            <v>-16161.85</v>
          </cell>
          <cell r="O45">
            <v>-4.3831004173774384E-2</v>
          </cell>
          <cell r="P45">
            <v>-17337.003427486401</v>
          </cell>
          <cell r="Q45">
            <v>-4.445185509782331E-2</v>
          </cell>
          <cell r="R45">
            <v>-18397.692578106908</v>
          </cell>
          <cell r="S45">
            <v>-4.4283451398925505E-2</v>
          </cell>
          <cell r="T45">
            <v>-19077.229797572094</v>
          </cell>
          <cell r="U45">
            <v>-4.4077223321049373E-2</v>
          </cell>
          <cell r="V45">
            <v>-19458.774393523538</v>
          </cell>
          <cell r="W45">
            <v>-4.3856168693986945E-2</v>
          </cell>
          <cell r="X45">
            <v>-19847.949881394008</v>
          </cell>
          <cell r="Y45">
            <v>-4.3644901856523463E-2</v>
          </cell>
          <cell r="Z45">
            <v>-4.5850000000000002E-2</v>
          </cell>
          <cell r="AD45">
            <v>-4.2644330604885407E-2</v>
          </cell>
          <cell r="AF45">
            <v>-4.2323930333171396E-2</v>
          </cell>
          <cell r="AH45">
            <v>-4.3875764431096503E-2</v>
          </cell>
          <cell r="AJ45">
            <v>-4.3670729407426528E-2</v>
          </cell>
        </row>
        <row r="46">
          <cell r="A46" t="str">
            <v>Brand Overhead Fee</v>
          </cell>
          <cell r="B46">
            <v>-6459.7889999999998</v>
          </cell>
          <cell r="C46">
            <v>-1.6514814970840504E-2</v>
          </cell>
          <cell r="D46">
            <v>-5795.7070000000003</v>
          </cell>
          <cell r="E46">
            <v>-1.5588642774709113E-2</v>
          </cell>
          <cell r="F46">
            <v>-5129</v>
          </cell>
          <cell r="G46">
            <v>-1.4882364109819544E-2</v>
          </cell>
          <cell r="H46">
            <v>-5115.2039999999997</v>
          </cell>
          <cell r="I46">
            <v>-1.522750236002733E-2</v>
          </cell>
          <cell r="J46">
            <v>-5025.0460000000003</v>
          </cell>
          <cell r="K46">
            <v>-1.4624907502308633E-2</v>
          </cell>
          <cell r="L46">
            <v>-5587.0990000000002</v>
          </cell>
          <cell r="M46">
            <v>-1.5712447451976641E-2</v>
          </cell>
          <cell r="N46">
            <v>-5996.5320000000002</v>
          </cell>
          <cell r="O46">
            <v>-1.6262619633282804E-2</v>
          </cell>
          <cell r="P46">
            <v>-6322.2398540364793</v>
          </cell>
          <cell r="Q46">
            <v>-1.6210142142543196E-2</v>
          </cell>
          <cell r="R46">
            <v>-6709.038602092638</v>
          </cell>
          <cell r="S46">
            <v>-1.6148730804580902E-2</v>
          </cell>
          <cell r="T46">
            <v>-6956.8436688201828</v>
          </cell>
          <cell r="U46">
            <v>-1.6073526148919201E-2</v>
          </cell>
          <cell r="V46">
            <v>-7095.9805421965875</v>
          </cell>
          <cell r="W46">
            <v>-1.5992914734208542E-2</v>
          </cell>
          <cell r="X46">
            <v>-7237.9001530405194</v>
          </cell>
          <cell r="Y46">
            <v>-1.5915872607220771E-2</v>
          </cell>
          <cell r="Z46">
            <v>-1.6719999999999999E-2</v>
          </cell>
          <cell r="AD46">
            <v>-1.4882364109819544E-2</v>
          </cell>
          <cell r="AF46">
            <v>-1.522750236002733E-2</v>
          </cell>
          <cell r="AH46">
            <v>-1.4624907502308633E-2</v>
          </cell>
          <cell r="AJ46">
            <v>-1.5712447451976641E-2</v>
          </cell>
        </row>
        <row r="47">
          <cell r="A47" t="str">
            <v>Marketing Fee</v>
          </cell>
          <cell r="B47">
            <v>-8204.2839999999997</v>
          </cell>
          <cell r="C47">
            <v>-2.0974714844126833E-2</v>
          </cell>
          <cell r="D47">
            <v>-9947.6039999999994</v>
          </cell>
          <cell r="E47">
            <v>-2.675594974353732E-2</v>
          </cell>
          <cell r="F47">
            <v>-10033.205</v>
          </cell>
          <cell r="G47">
            <v>-2.9112460518319751E-2</v>
          </cell>
          <cell r="H47">
            <v>-8724.4429999999993</v>
          </cell>
          <cell r="I47">
            <v>-2.5971882328138608E-2</v>
          </cell>
          <cell r="J47">
            <v>-10050.093000000001</v>
          </cell>
          <cell r="K47">
            <v>-2.9249817915019977E-2</v>
          </cell>
          <cell r="L47">
            <v>-9604.1260000000002</v>
          </cell>
          <cell r="M47">
            <v>-2.7009423870449158E-2</v>
          </cell>
          <cell r="N47">
            <v>-8993.2070000000003</v>
          </cell>
          <cell r="O47">
            <v>-2.4389614651331191E-2</v>
          </cell>
          <cell r="P47">
            <v>-9483.3597810547199</v>
          </cell>
          <cell r="Q47">
            <v>-2.4315213213814798E-2</v>
          </cell>
          <cell r="R47">
            <v>-10063.557903138959</v>
          </cell>
          <cell r="S47">
            <v>-2.4223096206871356E-2</v>
          </cell>
          <cell r="T47">
            <v>-10435.265503230275</v>
          </cell>
          <cell r="U47">
            <v>-2.4110289223378809E-2</v>
          </cell>
          <cell r="V47">
            <v>-10643.970813294882</v>
          </cell>
          <cell r="W47">
            <v>-2.3989372101312814E-2</v>
          </cell>
          <cell r="X47">
            <v>-10856.85022956078</v>
          </cell>
          <cell r="Y47">
            <v>-2.3873808910831157E-2</v>
          </cell>
          <cell r="Z47">
            <v>-2.5080000000000002E-2</v>
          </cell>
          <cell r="AD47">
            <v>-2.9112460518319751E-2</v>
          </cell>
          <cell r="AF47">
            <v>-2.5971882328138608E-2</v>
          </cell>
          <cell r="AH47">
            <v>-2.9249817915019977E-2</v>
          </cell>
          <cell r="AJ47">
            <v>-2.7009423870449158E-2</v>
          </cell>
        </row>
        <row r="48">
          <cell r="A48" t="str">
            <v>Royalty / Trademark Fee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AD48">
            <v>0</v>
          </cell>
          <cell r="AF48">
            <v>0</v>
          </cell>
          <cell r="AH48">
            <v>0</v>
          </cell>
          <cell r="AJ48">
            <v>0</v>
          </cell>
        </row>
        <row r="49">
          <cell r="A49" t="str">
            <v>Allocated Franchise Expense</v>
          </cell>
          <cell r="J49">
            <v>-6806.0688122926231</v>
          </cell>
          <cell r="K49">
            <v>-1.980840112391552E-2</v>
          </cell>
          <cell r="L49">
            <v>-7264.6531918091605</v>
          </cell>
          <cell r="M49">
            <v>-2.0430187747368683E-2</v>
          </cell>
          <cell r="N49">
            <v>-8128.2361779121829</v>
          </cell>
          <cell r="O49">
            <v>-2.2043810197439825E-2</v>
          </cell>
          <cell r="P49">
            <v>-8988.3876594964859</v>
          </cell>
          <cell r="Q49">
            <v>-2.304611102340479E-2</v>
          </cell>
          <cell r="R49">
            <v>-10389.231549508757</v>
          </cell>
          <cell r="S49">
            <v>-2.5006996309001002E-2</v>
          </cell>
          <cell r="T49">
            <v>-11958.429021443526</v>
          </cell>
          <cell r="U49">
            <v>-2.7629501355284091E-2</v>
          </cell>
          <cell r="V49">
            <v>-13526.910058262532</v>
          </cell>
          <cell r="W49">
            <v>-3.0486938047906958E-2</v>
          </cell>
          <cell r="X49">
            <v>-15104.118531898104</v>
          </cell>
          <cell r="Y49">
            <v>-3.3213393569275294E-2</v>
          </cell>
        </row>
        <row r="50">
          <cell r="A50" t="str">
            <v>Internal Mgmt Fees</v>
          </cell>
          <cell r="B50">
            <v>-26394.415000000001</v>
          </cell>
          <cell r="C50">
            <v>-6.7478810838647707E-2</v>
          </cell>
          <cell r="D50">
            <v>-31865.32</v>
          </cell>
          <cell r="E50">
            <v>-8.5707764450789828E-2</v>
          </cell>
          <cell r="F50">
            <v>-32852.987000000001</v>
          </cell>
          <cell r="G50">
            <v>-9.5326596730194599E-2</v>
          </cell>
          <cell r="H50">
            <v>-31473.337999999996</v>
          </cell>
          <cell r="I50">
            <v>-9.3693297212181142E-2</v>
          </cell>
          <cell r="J50">
            <v>-41416.687812292621</v>
          </cell>
          <cell r="K50">
            <v>-0.12053924049785272</v>
          </cell>
          <cell r="L50">
            <v>-44712.360191809159</v>
          </cell>
          <cell r="M50">
            <v>-0.12574336162070041</v>
          </cell>
          <cell r="N50">
            <v>-44749.153177912187</v>
          </cell>
          <cell r="O50">
            <v>-0.12135988885640804</v>
          </cell>
          <cell r="P50">
            <v>-48010.825036085284</v>
          </cell>
          <cell r="Q50">
            <v>-0.12309914147259486</v>
          </cell>
          <cell r="R50">
            <v>-51799.087036109253</v>
          </cell>
          <cell r="S50">
            <v>-0.12468098070091184</v>
          </cell>
          <cell r="T50">
            <v>-54897.799034735566</v>
          </cell>
          <cell r="U50">
            <v>-0.12683930390124473</v>
          </cell>
          <cell r="V50">
            <v>-57325.067471820417</v>
          </cell>
          <cell r="W50">
            <v>-0.12919918688584486</v>
          </cell>
          <cell r="X50">
            <v>-59778.239093727141</v>
          </cell>
          <cell r="Y50">
            <v>-0.13145011923106856</v>
          </cell>
          <cell r="AD50">
            <v>-9.5326596730194599E-2</v>
          </cell>
          <cell r="AF50">
            <v>-9.3693297212181142E-2</v>
          </cell>
          <cell r="AH50">
            <v>-0.12053924049785272</v>
          </cell>
          <cell r="AJ50">
            <v>-0.12574336162070041</v>
          </cell>
        </row>
        <row r="52">
          <cell r="A52" t="str">
            <v>Total Property Tax &amp; Other</v>
          </cell>
          <cell r="B52">
            <v>-19237.367999999999</v>
          </cell>
          <cell r="C52">
            <v>-4.91814164589537E-2</v>
          </cell>
          <cell r="D52">
            <v>-20569.608</v>
          </cell>
          <cell r="E52">
            <v>-5.532582498180097E-2</v>
          </cell>
          <cell r="F52">
            <v>-18282.082999999999</v>
          </cell>
          <cell r="G52">
            <v>-5.3047497736779491E-2</v>
          </cell>
          <cell r="H52">
            <v>-17447.466</v>
          </cell>
          <cell r="I52">
            <v>-5.1939537443960522E-2</v>
          </cell>
          <cell r="J52">
            <v>-19173.881000000001</v>
          </cell>
          <cell r="K52">
            <v>-5.5803715246641114E-2</v>
          </cell>
          <cell r="L52">
            <v>-17065.257000000001</v>
          </cell>
          <cell r="M52">
            <v>-4.7992160845364756E-2</v>
          </cell>
          <cell r="N52">
            <v>-19872.483</v>
          </cell>
          <cell r="O52">
            <v>-5.3894256246423557E-2</v>
          </cell>
          <cell r="P52">
            <v>-20369.295074999998</v>
          </cell>
          <cell r="Q52">
            <v>-5.2226612107786993E-2</v>
          </cell>
          <cell r="R52">
            <v>-20878.527451874997</v>
          </cell>
          <cell r="S52">
            <v>-5.025484863229384E-2</v>
          </cell>
          <cell r="T52">
            <v>-21400.490638171872</v>
          </cell>
          <cell r="U52">
            <v>-4.9445030282057822E-2</v>
          </cell>
          <cell r="V52">
            <v>-21935.502904126166</v>
          </cell>
          <cell r="W52">
            <v>-4.9438217243064519E-2</v>
          </cell>
          <cell r="X52">
            <v>-22483.890476729317</v>
          </cell>
          <cell r="Y52">
            <v>-4.9441236957655607E-2</v>
          </cell>
          <cell r="AA52">
            <v>2.5000000000000001E-2</v>
          </cell>
          <cell r="AD52">
            <v>-0.11120897393863809</v>
          </cell>
          <cell r="AF52">
            <v>-4.5652183069073607E-2</v>
          </cell>
          <cell r="AH52">
            <v>9.8949325936499938E-2</v>
          </cell>
          <cell r="AJ52">
            <v>-0.10997377108995303</v>
          </cell>
          <cell r="AL52">
            <v>0.16449948570947384</v>
          </cell>
        </row>
        <row r="53">
          <cell r="A53" t="str">
            <v>Total General Insurance</v>
          </cell>
          <cell r="B53">
            <v>-2195.7199999999998</v>
          </cell>
          <cell r="C53">
            <v>-5.6134820390842353E-3</v>
          </cell>
          <cell r="D53">
            <v>-1951.588</v>
          </cell>
          <cell r="E53">
            <v>-5.2491625569424062E-3</v>
          </cell>
          <cell r="F53">
            <v>-2252.489</v>
          </cell>
          <cell r="G53">
            <v>-6.535847426664714E-3</v>
          </cell>
          <cell r="H53">
            <v>-4036.2719999999999</v>
          </cell>
          <cell r="I53">
            <v>-1.2015618811236509E-2</v>
          </cell>
          <cell r="J53">
            <v>-5437.2529999999997</v>
          </cell>
          <cell r="K53">
            <v>-1.5824595872684571E-2</v>
          </cell>
          <cell r="L53">
            <v>-3815.1889999999999</v>
          </cell>
          <cell r="M53">
            <v>-1.0729352868431239E-2</v>
          </cell>
          <cell r="N53">
            <v>-3283.0810000000001</v>
          </cell>
          <cell r="O53">
            <v>-8.9037292768983367E-3</v>
          </cell>
          <cell r="P53">
            <v>-3447.2350500000002</v>
          </cell>
          <cell r="Q53">
            <v>-8.8386665880099309E-3</v>
          </cell>
          <cell r="R53">
            <v>-3619.5968025000002</v>
          </cell>
          <cell r="S53">
            <v>-8.7124099072052388E-3</v>
          </cell>
          <cell r="T53">
            <v>-3800.5766426250002</v>
          </cell>
          <cell r="U53">
            <v>-8.7810896657053352E-3</v>
          </cell>
          <cell r="V53">
            <v>-3990.6054747562503</v>
          </cell>
          <cell r="W53">
            <v>-8.9940231256449236E-3</v>
          </cell>
          <cell r="X53">
            <v>-4190.1357484940627</v>
          </cell>
          <cell r="Y53">
            <v>-9.2139523024475471E-3</v>
          </cell>
          <cell r="AA53">
            <v>0.05</v>
          </cell>
          <cell r="AD53">
            <v>0.15418264510747148</v>
          </cell>
          <cell r="AF53">
            <v>0.79191640891476045</v>
          </cell>
          <cell r="AH53">
            <v>0.34709776744481041</v>
          </cell>
          <cell r="AJ53">
            <v>-0.29832417215090046</v>
          </cell>
          <cell r="AL53">
            <v>-0.13947094102022201</v>
          </cell>
        </row>
        <row r="55">
          <cell r="A55" t="str">
            <v>EBITDAR / NOP</v>
          </cell>
          <cell r="B55">
            <v>160525.54900000003</v>
          </cell>
          <cell r="C55">
            <v>0.41039262115644826</v>
          </cell>
          <cell r="D55">
            <v>137709.07499999998</v>
          </cell>
          <cell r="E55">
            <v>0.37039442763594238</v>
          </cell>
          <cell r="F55">
            <v>125468.51899999997</v>
          </cell>
          <cell r="G55">
            <v>0.36406086646087177</v>
          </cell>
          <cell r="H55">
            <v>111874.96100000001</v>
          </cell>
          <cell r="I55">
            <v>0.3330416993448288</v>
          </cell>
          <cell r="J55">
            <v>111640.03018770739</v>
          </cell>
          <cell r="K55">
            <v>0.32491744653684046</v>
          </cell>
          <cell r="L55">
            <v>115554.14580819083</v>
          </cell>
          <cell r="M55">
            <v>0.32496979986738117</v>
          </cell>
          <cell r="N55">
            <v>129689.09482208779</v>
          </cell>
          <cell r="O55">
            <v>0.35171736258163216</v>
          </cell>
          <cell r="P55">
            <v>141027.91460454487</v>
          </cell>
          <cell r="Q55">
            <v>0.36159376970592949</v>
          </cell>
          <cell r="R55">
            <v>155419.13244340301</v>
          </cell>
          <cell r="S55">
            <v>0.37409558665039944</v>
          </cell>
          <cell r="T55">
            <v>163322.20582161102</v>
          </cell>
          <cell r="U55">
            <v>0.37734982571744818</v>
          </cell>
          <cell r="V55">
            <v>165931.4729311917</v>
          </cell>
          <cell r="W55">
            <v>0.37397620843654544</v>
          </cell>
          <cell r="X55">
            <v>168539.03298643336</v>
          </cell>
          <cell r="Y55">
            <v>0.37061105039275827</v>
          </cell>
        </row>
        <row r="57">
          <cell r="A57" t="str">
            <v>Cap Ex</v>
          </cell>
          <cell r="B57">
            <v>0</v>
          </cell>
          <cell r="D57">
            <v>0</v>
          </cell>
          <cell r="F57">
            <v>0</v>
          </cell>
          <cell r="H57">
            <v>0</v>
          </cell>
          <cell r="J57">
            <v>0</v>
          </cell>
          <cell r="L57">
            <v>-59934</v>
          </cell>
          <cell r="M57">
            <v>-0.16855076768583627</v>
          </cell>
          <cell r="N57">
            <v>-60000</v>
          </cell>
          <cell r="O57">
            <v>-0.16272024863653994</v>
          </cell>
          <cell r="P57">
            <v>-60000</v>
          </cell>
          <cell r="Q57">
            <v>-0.15383923277311648</v>
          </cell>
          <cell r="R57">
            <v>-20000</v>
          </cell>
          <cell r="S57">
            <v>-4.8140223249107252E-2</v>
          </cell>
          <cell r="T57">
            <v>-20000</v>
          </cell>
          <cell r="U57">
            <v>-4.6209249234560205E-2</v>
          </cell>
          <cell r="V57">
            <v>-20000</v>
          </cell>
          <cell r="W57">
            <v>-4.5075982492076776E-2</v>
          </cell>
          <cell r="X57">
            <v>-20000</v>
          </cell>
          <cell r="Y57">
            <v>-4.3979254398901269E-2</v>
          </cell>
        </row>
        <row r="58">
          <cell r="A58" t="str">
            <v>Economic NOI</v>
          </cell>
          <cell r="B58">
            <v>0</v>
          </cell>
          <cell r="D58">
            <v>0</v>
          </cell>
          <cell r="F58">
            <v>0</v>
          </cell>
          <cell r="H58">
            <v>0</v>
          </cell>
          <cell r="J58">
            <v>0</v>
          </cell>
          <cell r="L58">
            <v>55620.145808190835</v>
          </cell>
          <cell r="M58">
            <v>0.1564190321815449</v>
          </cell>
          <cell r="N58">
            <v>69689.094822087791</v>
          </cell>
          <cell r="O58">
            <v>0.18899711394509222</v>
          </cell>
          <cell r="P58">
            <v>81027.914604544872</v>
          </cell>
          <cell r="Q58">
            <v>0.20775453693281304</v>
          </cell>
          <cell r="R58">
            <v>135419.13244340301</v>
          </cell>
          <cell r="S58">
            <v>0.32595536340129222</v>
          </cell>
          <cell r="T58">
            <v>143322.20582161102</v>
          </cell>
          <cell r="U58">
            <v>0.33114057648288797</v>
          </cell>
          <cell r="V58">
            <v>145931.4729311917</v>
          </cell>
          <cell r="W58">
            <v>0.32890022594446866</v>
          </cell>
          <cell r="X58">
            <v>148539.03298643336</v>
          </cell>
          <cell r="Y58">
            <v>0.326631795993857</v>
          </cell>
        </row>
        <row r="60">
          <cell r="A60" t="str">
            <v>Accor Guarantee Fees</v>
          </cell>
          <cell r="B60">
            <v>-1599.6959999999999</v>
          </cell>
          <cell r="C60">
            <v>-4.0897130617724006E-3</v>
          </cell>
          <cell r="D60">
            <v>-1640.6890000000001</v>
          </cell>
          <cell r="E60">
            <v>-4.412941290060853E-3</v>
          </cell>
          <cell r="F60">
            <v>-1610.876</v>
          </cell>
          <cell r="G60">
            <v>-4.6741359266464551E-3</v>
          </cell>
          <cell r="H60">
            <v>-2349.672</v>
          </cell>
          <cell r="I60">
            <v>-6.9947622666251706E-3</v>
          </cell>
          <cell r="J60">
            <v>-2263.7779999999998</v>
          </cell>
          <cell r="K60">
            <v>-6.5885056287566775E-3</v>
          </cell>
          <cell r="L60">
            <v>-2262</v>
          </cell>
          <cell r="M60">
            <v>-6.3613614393393005E-3</v>
          </cell>
          <cell r="N60">
            <v>-2162.9899999999998</v>
          </cell>
          <cell r="O60">
            <v>-5.8660378433058246E-3</v>
          </cell>
          <cell r="P60">
            <v>-2072.3913882388356</v>
          </cell>
          <cell r="Q60">
            <v>-5.3135850195379364E-3</v>
          </cell>
          <cell r="R60">
            <v>-1967.5361324205098</v>
          </cell>
          <cell r="S60">
            <v>-4.7358814332704195E-3</v>
          </cell>
          <cell r="T60">
            <v>-1846.6322198959365</v>
          </cell>
          <cell r="U60">
            <v>-4.2665744246870255E-3</v>
          </cell>
          <cell r="V60">
            <v>-1714</v>
          </cell>
          <cell r="W60">
            <v>-3.8630116995709797E-3</v>
          </cell>
          <cell r="X60">
            <v>-1575</v>
          </cell>
          <cell r="Y60">
            <v>-3.4633662839134746E-3</v>
          </cell>
        </row>
        <row r="61">
          <cell r="A61" t="str">
            <v>Land &amp; Building (3)</v>
          </cell>
          <cell r="B61">
            <v>-35670.464999999997</v>
          </cell>
          <cell r="C61">
            <v>-9.1193555919371699E-2</v>
          </cell>
          <cell r="D61">
            <v>-43598.021000000001</v>
          </cell>
          <cell r="E61">
            <v>-0.11726506792929078</v>
          </cell>
          <cell r="F61">
            <v>-45557.569000000003</v>
          </cell>
          <cell r="G61">
            <v>-0.13219035480916896</v>
          </cell>
          <cell r="H61">
            <v>-45854.707000000002</v>
          </cell>
          <cell r="I61">
            <v>-0.13650533958388791</v>
          </cell>
          <cell r="J61">
            <v>-50997.578999999998</v>
          </cell>
          <cell r="K61">
            <v>-0.14842349218627593</v>
          </cell>
          <cell r="L61">
            <v>-51359.904000000002</v>
          </cell>
          <cell r="M61">
            <v>-0.14443806933411507</v>
          </cell>
          <cell r="N61">
            <v>-50236.847000000002</v>
          </cell>
          <cell r="O61">
            <v>-0.13624253724259694</v>
          </cell>
          <cell r="P61">
            <v>-50255.55</v>
          </cell>
          <cell r="Q61">
            <v>-0.12885458757651655</v>
          </cell>
          <cell r="R61">
            <v>-50298.138749999998</v>
          </cell>
          <cell r="S61">
            <v>-0.12106818142197862</v>
          </cell>
          <cell r="T61">
            <v>-50341.792218750001</v>
          </cell>
          <cell r="U61">
            <v>-0.11631282117753312</v>
          </cell>
          <cell r="V61">
            <v>-50386.537024218749</v>
          </cell>
          <cell r="W61">
            <v>-0.11356113303700313</v>
          </cell>
          <cell r="X61">
            <v>-50432.400449824221</v>
          </cell>
          <cell r="Y61">
            <v>-0.1108989684665041</v>
          </cell>
        </row>
        <row r="62">
          <cell r="A62" t="str">
            <v>Total Rent Expense</v>
          </cell>
          <cell r="B62">
            <v>-37270.160999999993</v>
          </cell>
          <cell r="C62">
            <v>-9.5283268981144101E-2</v>
          </cell>
          <cell r="D62">
            <v>-45238.71</v>
          </cell>
          <cell r="E62">
            <v>-0.12167800921935164</v>
          </cell>
          <cell r="F62">
            <v>-47168.445</v>
          </cell>
          <cell r="G62">
            <v>-0.13686449073581539</v>
          </cell>
          <cell r="H62">
            <v>-48204.379000000001</v>
          </cell>
          <cell r="I62">
            <v>-0.1435001018505131</v>
          </cell>
          <cell r="J62">
            <v>-53261.356999999996</v>
          </cell>
          <cell r="K62">
            <v>-0.15501199781503261</v>
          </cell>
          <cell r="L62">
            <v>-53621.904000000002</v>
          </cell>
          <cell r="M62">
            <v>-0.15079943077345437</v>
          </cell>
          <cell r="N62">
            <v>-52399.837</v>
          </cell>
          <cell r="O62">
            <v>-0.14210857508590274</v>
          </cell>
          <cell r="P62">
            <v>-52327.94138823884</v>
          </cell>
          <cell r="Q62">
            <v>-0.13416817259605451</v>
          </cell>
          <cell r="R62">
            <v>-52265.674882420506</v>
          </cell>
          <cell r="S62">
            <v>-0.12580406285524903</v>
          </cell>
          <cell r="T62">
            <v>-52188.42443864594</v>
          </cell>
          <cell r="U62">
            <v>-0.12057939560222015</v>
          </cell>
          <cell r="V62">
            <v>-52100.537024218749</v>
          </cell>
          <cell r="W62">
            <v>-0.11742414473657412</v>
          </cell>
          <cell r="X62">
            <v>-52007.400449824221</v>
          </cell>
          <cell r="Y62">
            <v>-0.11436233475041757</v>
          </cell>
        </row>
        <row r="64">
          <cell r="A64" t="str">
            <v>Lease FF&amp;E</v>
          </cell>
          <cell r="B64">
            <v>-440.61700000000002</v>
          </cell>
          <cell r="C64">
            <v>-1.1264622154077836E-3</v>
          </cell>
          <cell r="D64">
            <v>-358.452</v>
          </cell>
          <cell r="E64">
            <v>-9.6412399382508993E-4</v>
          </cell>
          <cell r="F64">
            <v>-323.91300000000001</v>
          </cell>
          <cell r="G64">
            <v>-9.398696053624446E-4</v>
          </cell>
          <cell r="H64">
            <v>-236.27600000000001</v>
          </cell>
          <cell r="I64">
            <v>-7.0337240657807932E-4</v>
          </cell>
          <cell r="J64">
            <v>-240.81399999999999</v>
          </cell>
          <cell r="K64">
            <v>-7.0086571849510451E-4</v>
          </cell>
          <cell r="L64">
            <v>-233.24700000000001</v>
          </cell>
          <cell r="M64">
            <v>-6.5595423149494869E-4</v>
          </cell>
          <cell r="N64">
            <v>-217.779</v>
          </cell>
          <cell r="O64">
            <v>-5.9061755046361717E-4</v>
          </cell>
          <cell r="P64">
            <v>-217.779</v>
          </cell>
          <cell r="Q64">
            <v>-5.5838257123494222E-4</v>
          </cell>
          <cell r="R64">
            <v>-217.779</v>
          </cell>
          <cell r="S64">
            <v>-5.241964839483664E-4</v>
          </cell>
          <cell r="T64">
            <v>-217.779</v>
          </cell>
          <cell r="U64">
            <v>-5.0317020445266437E-4</v>
          </cell>
          <cell r="V64">
            <v>-217.779</v>
          </cell>
          <cell r="W64">
            <v>-4.908301195570994E-4</v>
          </cell>
          <cell r="X64">
            <v>-217.779</v>
          </cell>
          <cell r="Y64">
            <v>-4.7888790218691594E-4</v>
          </cell>
        </row>
        <row r="65">
          <cell r="A65" t="str">
            <v>Other Leases</v>
          </cell>
          <cell r="B65">
            <v>-8.4580000000000002</v>
          </cell>
          <cell r="C65">
            <v>-2.1623354110075267E-5</v>
          </cell>
          <cell r="D65">
            <v>-25.061</v>
          </cell>
          <cell r="E65">
            <v>-6.7406267531637643E-5</v>
          </cell>
          <cell r="F65">
            <v>-44.835000000000001</v>
          </cell>
          <cell r="G65">
            <v>-1.3009374046866042E-4</v>
          </cell>
          <cell r="H65">
            <v>-51.643000000000001</v>
          </cell>
          <cell r="I65">
            <v>-1.537365673742223E-4</v>
          </cell>
          <cell r="J65">
            <v>-55.216999999999999</v>
          </cell>
          <cell r="K65">
            <v>-1.6070370650437345E-4</v>
          </cell>
          <cell r="L65">
            <v>-32.406999999999996</v>
          </cell>
          <cell r="M65">
            <v>-9.1137329869437963E-5</v>
          </cell>
          <cell r="N65">
            <v>-18.052</v>
          </cell>
          <cell r="O65">
            <v>-4.8957098806446985E-5</v>
          </cell>
          <cell r="P65">
            <v>-18.052</v>
          </cell>
          <cell r="Q65">
            <v>-4.6285097167004973E-5</v>
          </cell>
          <cell r="R65">
            <v>-18.052</v>
          </cell>
          <cell r="S65">
            <v>-4.3451365504644205E-5</v>
          </cell>
          <cell r="T65">
            <v>-18.052</v>
          </cell>
          <cell r="U65">
            <v>-4.1708468359114039E-5</v>
          </cell>
          <cell r="V65">
            <v>-18.052</v>
          </cell>
          <cell r="W65">
            <v>-4.0685581797348499E-5</v>
          </cell>
          <cell r="X65">
            <v>-18.052</v>
          </cell>
          <cell r="Y65">
            <v>-3.9695675020448282E-5</v>
          </cell>
          <cell r="AA65">
            <v>-227</v>
          </cell>
        </row>
        <row r="66">
          <cell r="A66" t="str">
            <v>Total Lease Expense</v>
          </cell>
          <cell r="B66">
            <v>-449.07500000000005</v>
          </cell>
          <cell r="C66">
            <v>-1.1480855695178589E-3</v>
          </cell>
          <cell r="D66">
            <v>-383.51299999999998</v>
          </cell>
          <cell r="E66">
            <v>-1.0315302613567274E-3</v>
          </cell>
          <cell r="F66">
            <v>-368.74799999999999</v>
          </cell>
          <cell r="G66">
            <v>-1.069963345831105E-3</v>
          </cell>
          <cell r="H66">
            <v>-287.91899999999998</v>
          </cell>
          <cell r="I66">
            <v>-8.571089739523016E-4</v>
          </cell>
          <cell r="J66">
            <v>-296.03100000000001</v>
          </cell>
          <cell r="K66">
            <v>-8.6156942499947796E-4</v>
          </cell>
          <cell r="L66">
            <v>-265.654</v>
          </cell>
          <cell r="M66">
            <v>-7.4709156136438658E-4</v>
          </cell>
          <cell r="N66">
            <v>-235.83099999999999</v>
          </cell>
          <cell r="O66">
            <v>-6.395746492700641E-4</v>
          </cell>
          <cell r="P66">
            <v>-235.83099999999999</v>
          </cell>
          <cell r="Q66">
            <v>-6.046676684019471E-4</v>
          </cell>
          <cell r="R66">
            <v>-235.83099999999999</v>
          </cell>
          <cell r="S66">
            <v>-5.6764784945301065E-4</v>
          </cell>
          <cell r="T66">
            <v>-235.83099999999999</v>
          </cell>
          <cell r="U66">
            <v>-5.4487867281177835E-4</v>
          </cell>
          <cell r="V66">
            <v>-235.83099999999999</v>
          </cell>
          <cell r="W66">
            <v>-5.3151570135444792E-4</v>
          </cell>
          <cell r="X66">
            <v>-235.83099999999999</v>
          </cell>
          <cell r="Y66">
            <v>-5.1858357720736424E-4</v>
          </cell>
        </row>
        <row r="68">
          <cell r="A68" t="str">
            <v>EBITDA</v>
          </cell>
          <cell r="B68">
            <v>122806.31300000004</v>
          </cell>
          <cell r="C68">
            <v>0.31396126660578627</v>
          </cell>
          <cell r="D68">
            <v>92086.851999999984</v>
          </cell>
          <cell r="E68">
            <v>0.24768488815523404</v>
          </cell>
          <cell r="F68">
            <v>77931.325999999957</v>
          </cell>
          <cell r="G68">
            <v>0.22612641237922521</v>
          </cell>
          <cell r="H68">
            <v>63382.663000000008</v>
          </cell>
          <cell r="I68">
            <v>0.18868448852036343</v>
          </cell>
          <cell r="J68">
            <v>58082.642187707395</v>
          </cell>
          <cell r="K68">
            <v>0.16904387929680836</v>
          </cell>
          <cell r="L68">
            <v>61666.58780819083</v>
          </cell>
          <cell r="M68">
            <v>0.1734232775325624</v>
          </cell>
          <cell r="N68">
            <v>77053.426822087786</v>
          </cell>
          <cell r="O68">
            <v>0.20896921284645933</v>
          </cell>
          <cell r="P68">
            <v>88464.142216306034</v>
          </cell>
          <cell r="Q68">
            <v>0.22682092944147306</v>
          </cell>
          <cell r="R68">
            <v>102917.62656098249</v>
          </cell>
          <cell r="S68">
            <v>0.24772387594569736</v>
          </cell>
          <cell r="T68">
            <v>110897.95038296506</v>
          </cell>
          <cell r="U68">
            <v>0.25622555144241621</v>
          </cell>
          <cell r="V68">
            <v>113595.10490697295</v>
          </cell>
          <cell r="W68">
            <v>0.25602054799861684</v>
          </cell>
          <cell r="X68">
            <v>116295.80153660913</v>
          </cell>
          <cell r="Y68">
            <v>0.25573013206513329</v>
          </cell>
        </row>
        <row r="70">
          <cell r="A70" t="str">
            <v>Total Depreciation</v>
          </cell>
          <cell r="B70">
            <v>-24273.555</v>
          </cell>
          <cell r="C70">
            <v>-6.2056712612365575E-2</v>
          </cell>
          <cell r="D70">
            <v>-21614.717000000001</v>
          </cell>
          <cell r="E70">
            <v>-5.81368419744877E-2</v>
          </cell>
          <cell r="F70">
            <v>-26867.394</v>
          </cell>
          <cell r="G70">
            <v>-7.7958732733472605E-2</v>
          </cell>
          <cell r="H70">
            <v>-30798.294999999998</v>
          </cell>
          <cell r="I70">
            <v>-9.1683754899573491E-2</v>
          </cell>
          <cell r="J70">
            <v>-32172.934000000001</v>
          </cell>
          <cell r="K70">
            <v>-9.3636194340883744E-2</v>
          </cell>
          <cell r="L70">
            <v>-34138.489000000001</v>
          </cell>
          <cell r="M70">
            <v>-9.600674956759897E-2</v>
          </cell>
          <cell r="N70">
            <v>-37845.504999999997</v>
          </cell>
          <cell r="O70">
            <v>-0.10263716638959025</v>
          </cell>
          <cell r="P70">
            <v>-40821.5</v>
          </cell>
          <cell r="Q70">
            <v>-0.10466580401079623</v>
          </cell>
          <cell r="R70">
            <v>-41274.5</v>
          </cell>
          <cell r="S70">
            <v>-9.9348182224763867E-2</v>
          </cell>
          <cell r="T70">
            <v>-41556.5</v>
          </cell>
          <cell r="U70">
            <v>-9.6014733290800056E-2</v>
          </cell>
          <cell r="V70">
            <v>-41694.5</v>
          </cell>
          <cell r="W70">
            <v>-9.397102760079476E-2</v>
          </cell>
          <cell r="X70">
            <v>-42263.5</v>
          </cell>
          <cell r="Y70">
            <v>-9.2935860914398177E-2</v>
          </cell>
        </row>
        <row r="71">
          <cell r="B71" t="str">
            <v xml:space="preserve"> </v>
          </cell>
          <cell r="D71" t="str">
            <v xml:space="preserve"> </v>
          </cell>
          <cell r="F71" t="str">
            <v xml:space="preserve"> </v>
          </cell>
          <cell r="H71" t="str">
            <v xml:space="preserve"> </v>
          </cell>
          <cell r="J71" t="str">
            <v xml:space="preserve"> </v>
          </cell>
          <cell r="L71" t="str">
            <v xml:space="preserve"> </v>
          </cell>
          <cell r="N71" t="str">
            <v xml:space="preserve"> </v>
          </cell>
          <cell r="P71" t="str">
            <v xml:space="preserve"> </v>
          </cell>
          <cell r="R71" t="str">
            <v xml:space="preserve"> </v>
          </cell>
          <cell r="T71" t="str">
            <v xml:space="preserve"> </v>
          </cell>
          <cell r="V71" t="str">
            <v xml:space="preserve"> </v>
          </cell>
          <cell r="X71" t="str">
            <v xml:space="preserve"> </v>
          </cell>
        </row>
        <row r="72">
          <cell r="A72" t="str">
            <v>EBIT</v>
          </cell>
          <cell r="B72">
            <v>98532.758000000031</v>
          </cell>
          <cell r="C72">
            <v>0.25190455399342071</v>
          </cell>
          <cell r="D72">
            <v>70472.13499999998</v>
          </cell>
          <cell r="E72">
            <v>0.18954804618074633</v>
          </cell>
          <cell r="F72">
            <v>51063.931999999957</v>
          </cell>
          <cell r="G72">
            <v>0.14816767964575261</v>
          </cell>
          <cell r="H72">
            <v>32584.368000000009</v>
          </cell>
          <cell r="I72">
            <v>9.7000733620789939E-2</v>
          </cell>
          <cell r="J72">
            <v>25909.708187707394</v>
          </cell>
          <cell r="K72">
            <v>7.5407684955924634E-2</v>
          </cell>
          <cell r="L72">
            <v>27528.098808190829</v>
          </cell>
          <cell r="M72">
            <v>7.7416527964963427E-2</v>
          </cell>
          <cell r="N72">
            <v>39207.921822087788</v>
          </cell>
          <cell r="O72">
            <v>0.10633204645686908</v>
          </cell>
          <cell r="P72">
            <v>47642.642216306034</v>
          </cell>
          <cell r="Q72">
            <v>0.12215512543067682</v>
          </cell>
          <cell r="R72">
            <v>61643.126560982491</v>
          </cell>
          <cell r="S72">
            <v>0.14837569372093351</v>
          </cell>
          <cell r="T72">
            <v>69341.450382965064</v>
          </cell>
          <cell r="U72">
            <v>0.16021081815161614</v>
          </cell>
          <cell r="V72">
            <v>71900.604906972949</v>
          </cell>
          <cell r="W72">
            <v>0.16204952039782211</v>
          </cell>
          <cell r="X72">
            <v>74032.301536609128</v>
          </cell>
          <cell r="Y72">
            <v>0.16279427115073511</v>
          </cell>
        </row>
        <row r="74">
          <cell r="A74" t="str">
            <v>Total Interest Expense</v>
          </cell>
          <cell r="B74">
            <v>-27281.743999999999</v>
          </cell>
          <cell r="C74">
            <v>-6.9747317480778101E-2</v>
          </cell>
          <cell r="D74">
            <v>-23584.197</v>
          </cell>
          <cell r="E74">
            <v>-6.3434128426672759E-2</v>
          </cell>
          <cell r="F74">
            <v>-20112.751999999997</v>
          </cell>
          <cell r="G74">
            <v>-5.8359387505264426E-2</v>
          </cell>
          <cell r="H74">
            <v>-17859.927</v>
          </cell>
          <cell r="I74">
            <v>-5.3167396753368165E-2</v>
          </cell>
          <cell r="J74">
            <v>-16650.880999999998</v>
          </cell>
          <cell r="K74">
            <v>-4.8460769206281541E-2</v>
          </cell>
          <cell r="L74">
            <v>-17469.791000000001</v>
          </cell>
          <cell r="M74">
            <v>-4.9129820875648433E-2</v>
          </cell>
          <cell r="N74">
            <v>-23959.066999999999</v>
          </cell>
          <cell r="O74">
            <v>-6.4977088988991988E-2</v>
          </cell>
          <cell r="P74">
            <v>-25471.393229467209</v>
          </cell>
          <cell r="Q74">
            <v>-6.5308326534726471E-2</v>
          </cell>
          <cell r="R74">
            <v>-26189.767815768828</v>
          </cell>
          <cell r="S74">
            <v>-6.3039063474669768E-2</v>
          </cell>
          <cell r="T74">
            <v>-23597.413296700655</v>
          </cell>
          <cell r="U74">
            <v>-5.4520937615908281E-2</v>
          </cell>
          <cell r="V74">
            <v>-20566.072446606027</v>
          </cell>
          <cell r="W74">
            <v>-4.6351796076699793E-2</v>
          </cell>
          <cell r="X74">
            <v>-17245.864530545354</v>
          </cell>
          <cell r="Y74">
            <v>-3.7923013175892105E-2</v>
          </cell>
        </row>
        <row r="75">
          <cell r="A75" t="str">
            <v>RGO</v>
          </cell>
          <cell r="B75">
            <v>71251.014000000025</v>
          </cell>
          <cell r="C75">
            <v>0.18215723651264257</v>
          </cell>
          <cell r="D75">
            <v>46887.93799999998</v>
          </cell>
          <cell r="E75">
            <v>0.12611391775407357</v>
          </cell>
          <cell r="F75">
            <v>30951.17999999996</v>
          </cell>
          <cell r="G75">
            <v>8.9808292140488188E-2</v>
          </cell>
          <cell r="H75">
            <v>14724.44100000001</v>
          </cell>
          <cell r="I75">
            <v>4.3833336867421774E-2</v>
          </cell>
          <cell r="J75">
            <v>9258.8271877073967</v>
          </cell>
          <cell r="K75">
            <v>2.6946915749643096E-2</v>
          </cell>
          <cell r="L75">
            <v>10058.307808190828</v>
          </cell>
          <cell r="M75">
            <v>2.8286707089314998E-2</v>
          </cell>
          <cell r="N75">
            <v>15248.854822087789</v>
          </cell>
          <cell r="O75">
            <v>4.1354957467877103E-2</v>
          </cell>
          <cell r="P75">
            <v>22171.248986838826</v>
          </cell>
          <cell r="Q75">
            <v>5.6846798895950346E-2</v>
          </cell>
          <cell r="R75">
            <v>35453.358745213663</v>
          </cell>
          <cell r="S75">
            <v>8.5336630246263742E-2</v>
          </cell>
          <cell r="T75">
            <v>45744.037086264405</v>
          </cell>
          <cell r="U75">
            <v>0.10568988053570785</v>
          </cell>
          <cell r="V75">
            <v>51334.532460366921</v>
          </cell>
          <cell r="W75">
            <v>0.11569772432112231</v>
          </cell>
          <cell r="X75">
            <v>56786.437006063774</v>
          </cell>
          <cell r="Y75">
            <v>0.124871257974843</v>
          </cell>
        </row>
      </sheetData>
      <sheetData sheetId="2">
        <row r="1">
          <cell r="J1">
            <v>366</v>
          </cell>
          <cell r="L1">
            <v>365</v>
          </cell>
          <cell r="N1">
            <v>365</v>
          </cell>
          <cell r="P1">
            <v>365</v>
          </cell>
          <cell r="R1">
            <v>366</v>
          </cell>
          <cell r="T1">
            <v>365</v>
          </cell>
          <cell r="V1">
            <v>365</v>
          </cell>
          <cell r="X1">
            <v>365</v>
          </cell>
        </row>
        <row r="2">
          <cell r="A2" t="str">
            <v>BUSINESS PLAN 2006-2011</v>
          </cell>
        </row>
        <row r="4">
          <cell r="Z4" t="str">
            <v>% of…</v>
          </cell>
          <cell r="AA4" t="str">
            <v>COLA</v>
          </cell>
          <cell r="AB4" t="str">
            <v>CPOR</v>
          </cell>
          <cell r="AC4" t="str">
            <v>CPAR</v>
          </cell>
          <cell r="AD4">
            <v>2002</v>
          </cell>
          <cell r="AF4" t="str">
            <v>2003 E</v>
          </cell>
          <cell r="AH4" t="str">
            <v>2004 B</v>
          </cell>
          <cell r="AJ4" t="str">
            <v>2005 F</v>
          </cell>
          <cell r="AL4" t="str">
            <v>2006 F</v>
          </cell>
          <cell r="AN4" t="str">
            <v>2007 F</v>
          </cell>
          <cell r="AP4" t="str">
            <v>2008 F</v>
          </cell>
          <cell r="AR4" t="str">
            <v>2009 F</v>
          </cell>
        </row>
        <row r="6">
          <cell r="A6" t="str">
            <v>Red Roof Inns Standalone</v>
          </cell>
          <cell r="B6" t="str">
            <v>2000A</v>
          </cell>
          <cell r="D6" t="str">
            <v>2001A</v>
          </cell>
          <cell r="F6" t="str">
            <v>2002A</v>
          </cell>
          <cell r="H6" t="str">
            <v>2003 A</v>
          </cell>
          <cell r="J6" t="str">
            <v>2004 A</v>
          </cell>
          <cell r="L6" t="str">
            <v>2005 A</v>
          </cell>
          <cell r="N6" t="str">
            <v>2006 E</v>
          </cell>
          <cell r="P6" t="str">
            <v>2007 F</v>
          </cell>
          <cell r="R6" t="str">
            <v>2008 F</v>
          </cell>
          <cell r="T6" t="str">
            <v>2009F</v>
          </cell>
          <cell r="V6" t="str">
            <v>2010F</v>
          </cell>
          <cell r="X6" t="str">
            <v>2011F</v>
          </cell>
        </row>
        <row r="7">
          <cell r="A7" t="str">
            <v>No. Hotels</v>
          </cell>
          <cell r="B7">
            <v>261</v>
          </cell>
          <cell r="D7">
            <v>260</v>
          </cell>
          <cell r="F7">
            <v>259</v>
          </cell>
          <cell r="H7">
            <v>251</v>
          </cell>
          <cell r="J7">
            <v>247</v>
          </cell>
          <cell r="K7">
            <v>-1.5936254980079681E-2</v>
          </cell>
          <cell r="L7">
            <v>245</v>
          </cell>
          <cell r="M7">
            <v>-8.0971659919028341E-3</v>
          </cell>
          <cell r="N7">
            <v>238</v>
          </cell>
          <cell r="O7">
            <v>-2.8571428571428571E-2</v>
          </cell>
          <cell r="P7">
            <v>238</v>
          </cell>
          <cell r="Q7">
            <v>0</v>
          </cell>
          <cell r="R7">
            <v>238</v>
          </cell>
          <cell r="S7">
            <v>0</v>
          </cell>
          <cell r="T7">
            <v>238</v>
          </cell>
          <cell r="U7">
            <v>0</v>
          </cell>
          <cell r="V7">
            <v>238</v>
          </cell>
          <cell r="W7">
            <v>0</v>
          </cell>
          <cell r="X7">
            <v>238</v>
          </cell>
          <cell r="Y7">
            <v>0</v>
          </cell>
        </row>
        <row r="8">
          <cell r="A8" t="str">
            <v>Rooms Rented</v>
          </cell>
          <cell r="B8">
            <v>7538529</v>
          </cell>
          <cell r="D8">
            <v>7422397</v>
          </cell>
          <cell r="F8">
            <v>7167483</v>
          </cell>
          <cell r="H8">
            <v>6898973</v>
          </cell>
          <cell r="J8">
            <v>6678366</v>
          </cell>
          <cell r="L8">
            <v>6548206</v>
          </cell>
          <cell r="N8">
            <v>6374214</v>
          </cell>
          <cell r="P8">
            <v>6554816</v>
          </cell>
          <cell r="R8">
            <v>6675474</v>
          </cell>
          <cell r="T8">
            <v>6687960.7000000002</v>
          </cell>
          <cell r="V8">
            <v>6687960.7000000002</v>
          </cell>
          <cell r="X8">
            <v>6687960.7000000002</v>
          </cell>
        </row>
        <row r="9">
          <cell r="A9" t="str">
            <v>Rooms Available</v>
          </cell>
          <cell r="B9">
            <v>11074946</v>
          </cell>
          <cell r="D9">
            <v>11116038</v>
          </cell>
          <cell r="F9">
            <v>10941553</v>
          </cell>
          <cell r="H9">
            <v>10928573</v>
          </cell>
          <cell r="J9">
            <v>10666363</v>
          </cell>
          <cell r="L9">
            <v>10571472</v>
          </cell>
          <cell r="N9">
            <v>10284396</v>
          </cell>
          <cell r="P9">
            <v>10241900</v>
          </cell>
          <cell r="R9">
            <v>10269960</v>
          </cell>
          <cell r="T9">
            <v>10241900</v>
          </cell>
          <cell r="V9">
            <v>10241900</v>
          </cell>
          <cell r="X9">
            <v>10241900</v>
          </cell>
        </row>
        <row r="10">
          <cell r="A10" t="str">
            <v>Occupancy</v>
          </cell>
          <cell r="B10">
            <v>0.68068313831959093</v>
          </cell>
          <cell r="D10">
            <v>0.66771964975290654</v>
          </cell>
          <cell r="E10">
            <v>-1.2963488566684389E-2</v>
          </cell>
          <cell r="F10">
            <v>0.65506998869356114</v>
          </cell>
          <cell r="G10">
            <v>-1.2649661059345396E-2</v>
          </cell>
          <cell r="H10">
            <v>0.63127848439132905</v>
          </cell>
          <cell r="I10">
            <v>-2.3791504302232092E-2</v>
          </cell>
          <cell r="J10">
            <v>0.62611463720107785</v>
          </cell>
          <cell r="K10">
            <v>-5.1638471902512029E-3</v>
          </cell>
          <cell r="L10">
            <v>0.61942234723792489</v>
          </cell>
          <cell r="M10">
            <v>-6.6922899631529642E-3</v>
          </cell>
          <cell r="N10">
            <v>0.61979468701905294</v>
          </cell>
          <cell r="O10">
            <v>3.7233978112805044E-4</v>
          </cell>
          <cell r="P10">
            <v>0.64</v>
          </cell>
          <cell r="Q10">
            <v>2.0205312980947077E-2</v>
          </cell>
          <cell r="R10">
            <v>0.65</v>
          </cell>
          <cell r="S10">
            <v>1.0000000000000009E-2</v>
          </cell>
          <cell r="T10">
            <v>0.65300000000000002</v>
          </cell>
          <cell r="U10">
            <v>3.0000000000000027E-3</v>
          </cell>
          <cell r="V10">
            <v>0.65300000000000002</v>
          </cell>
          <cell r="W10">
            <v>0</v>
          </cell>
          <cell r="X10">
            <v>0.65300000000000002</v>
          </cell>
          <cell r="Y10">
            <v>0</v>
          </cell>
        </row>
        <row r="11">
          <cell r="A11" t="str">
            <v>ADR</v>
          </cell>
          <cell r="B11">
            <v>50.082437037782839</v>
          </cell>
          <cell r="D11">
            <v>48.392866617078013</v>
          </cell>
          <cell r="E11">
            <v>-3.3735786847397052E-2</v>
          </cell>
          <cell r="F11">
            <v>47.367970318171665</v>
          </cell>
          <cell r="G11">
            <v>-2.1178664760988949E-2</v>
          </cell>
          <cell r="H11">
            <v>47.390024283324486</v>
          </cell>
          <cell r="I11">
            <v>4.6558813908817215E-4</v>
          </cell>
          <cell r="J11">
            <v>48.854844433503644</v>
          </cell>
          <cell r="K11">
            <v>3.0909883932990424E-2</v>
          </cell>
          <cell r="L11">
            <v>51.778897914940366</v>
          </cell>
          <cell r="M11">
            <v>5.9851863522289037E-2</v>
          </cell>
          <cell r="N11">
            <v>55.039274646254427</v>
          </cell>
          <cell r="O11">
            <v>6.2967287111248202E-2</v>
          </cell>
          <cell r="P11">
            <v>56.5</v>
          </cell>
          <cell r="Q11">
            <v>2.6539691213844505E-2</v>
          </cell>
          <cell r="R11">
            <v>58.873000000000005</v>
          </cell>
          <cell r="S11">
            <v>4.2000000000000086E-2</v>
          </cell>
          <cell r="T11">
            <v>60.933554999999998</v>
          </cell>
          <cell r="U11">
            <v>3.4999999999999892E-2</v>
          </cell>
          <cell r="V11">
            <v>62.1522261</v>
          </cell>
          <cell r="W11">
            <v>2.0000000000000028E-2</v>
          </cell>
          <cell r="X11">
            <v>63.395270621999998</v>
          </cell>
          <cell r="Y11">
            <v>1.9999999999999969E-2</v>
          </cell>
        </row>
        <row r="12">
          <cell r="A12" t="str">
            <v>REVPAR</v>
          </cell>
          <cell r="B12">
            <v>34.09027041757134</v>
          </cell>
          <cell r="D12">
            <v>32.312867948094457</v>
          </cell>
          <cell r="E12">
            <v>-5.213811588190706E-2</v>
          </cell>
          <cell r="F12">
            <v>31.029335780761652</v>
          </cell>
          <cell r="G12">
            <v>-3.9722013205222055E-2</v>
          </cell>
          <cell r="H12">
            <v>29.916302704845361</v>
          </cell>
          <cell r="I12">
            <v>-3.5870348104788563E-2</v>
          </cell>
          <cell r="J12">
            <v>30.588733197998231</v>
          </cell>
          <cell r="K12">
            <v>2.2477058739078761E-2</v>
          </cell>
          <cell r="L12">
            <v>32.073006483865257</v>
          </cell>
          <cell r="M12">
            <v>4.8523529113136302E-2</v>
          </cell>
          <cell r="N12">
            <v>34.113050003130958</v>
          </cell>
          <cell r="O12">
            <v>6.3606245341919276E-2</v>
          </cell>
          <cell r="P12">
            <v>36.160000000000004</v>
          </cell>
          <cell r="Q12">
            <v>6.0004895389921827E-2</v>
          </cell>
          <cell r="R12">
            <v>38.267450000000004</v>
          </cell>
          <cell r="S12">
            <v>5.8281249999999993E-2</v>
          </cell>
          <cell r="T12">
            <v>39.789611415000003</v>
          </cell>
          <cell r="U12">
            <v>3.9776923076923057E-2</v>
          </cell>
          <cell r="V12">
            <v>40.585403643300005</v>
          </cell>
          <cell r="W12">
            <v>2.0000000000000039E-2</v>
          </cell>
          <cell r="X12">
            <v>41.397111716166002</v>
          </cell>
          <cell r="Y12">
            <v>1.9999999999999928E-2</v>
          </cell>
        </row>
        <row r="14">
          <cell r="A14" t="str">
            <v>Room Revenue</v>
          </cell>
          <cell r="B14">
            <v>377547.90399999998</v>
          </cell>
          <cell r="D14">
            <v>359191.06800000003</v>
          </cell>
          <cell r="F14">
            <v>339509.12199999997</v>
          </cell>
          <cell r="H14">
            <v>326942.49800000002</v>
          </cell>
          <cell r="J14">
            <v>326270.53200000001</v>
          </cell>
          <cell r="L14">
            <v>339058.89</v>
          </cell>
          <cell r="N14">
            <v>350832.11499999999</v>
          </cell>
          <cell r="P14">
            <v>370347.10399999999</v>
          </cell>
          <cell r="R14">
            <v>393005.18080200005</v>
          </cell>
          <cell r="T14">
            <v>407521.22115128848</v>
          </cell>
          <cell r="V14">
            <v>415671.64557431429</v>
          </cell>
          <cell r="X14">
            <v>423985.07848580054</v>
          </cell>
        </row>
        <row r="15">
          <cell r="A15" t="str">
            <v>Other Revenue</v>
          </cell>
          <cell r="B15">
            <v>13603.254000000001</v>
          </cell>
          <cell r="D15">
            <v>12599.285</v>
          </cell>
          <cell r="F15">
            <v>5126.9830000000002</v>
          </cell>
          <cell r="H15">
            <v>8976.2810000000009</v>
          </cell>
          <cell r="J15">
            <v>8732.5300000000007</v>
          </cell>
          <cell r="L15">
            <v>7535.37</v>
          </cell>
          <cell r="N15">
            <v>7651.2960000000003</v>
          </cell>
          <cell r="P15">
            <v>7777.2891840000002</v>
          </cell>
          <cell r="R15">
            <v>8253.1087968420015</v>
          </cell>
          <cell r="T15">
            <v>8557.9456441770581</v>
          </cell>
          <cell r="V15">
            <v>8729.1045570606002</v>
          </cell>
          <cell r="X15">
            <v>8903.6866482018122</v>
          </cell>
          <cell r="Z15">
            <v>2.1000000000000001E-2</v>
          </cell>
          <cell r="AD15">
            <v>1.5101164203770645E-2</v>
          </cell>
          <cell r="AF15">
            <v>2.7455228533795568E-2</v>
          </cell>
          <cell r="AH15">
            <v>2.6764691087701419E-2</v>
          </cell>
          <cell r="AJ15">
            <v>2.2224369341856808E-2</v>
          </cell>
        </row>
        <row r="16">
          <cell r="A16" t="str">
            <v>F&amp;B Revenue</v>
          </cell>
        </row>
        <row r="17">
          <cell r="A17" t="str">
            <v>Franchise / Mgt Revenue</v>
          </cell>
          <cell r="J17">
            <v>8592</v>
          </cell>
          <cell r="L17">
            <v>8990</v>
          </cell>
          <cell r="N17">
            <v>10247.589</v>
          </cell>
          <cell r="P17">
            <v>11893.152525478166</v>
          </cell>
          <cell r="R17">
            <v>14194.706879957916</v>
          </cell>
          <cell r="T17">
            <v>16734.61683644569</v>
          </cell>
          <cell r="V17">
            <v>19294.51493612527</v>
          </cell>
          <cell r="X17">
            <v>21871.104567191585</v>
          </cell>
        </row>
        <row r="18">
          <cell r="A18" t="str">
            <v xml:space="preserve">     Total Revenue</v>
          </cell>
          <cell r="B18">
            <v>391151.158</v>
          </cell>
          <cell r="D18">
            <v>371790.353</v>
          </cell>
          <cell r="E18">
            <v>-4.9496990112451601E-2</v>
          </cell>
          <cell r="F18">
            <v>344636.10499999998</v>
          </cell>
          <cell r="G18">
            <v>-7.3036451271235703E-2</v>
          </cell>
          <cell r="H18">
            <v>335918.77900000004</v>
          </cell>
          <cell r="I18">
            <v>-2.5294291206082262E-2</v>
          </cell>
          <cell r="J18">
            <v>343595.06200000003</v>
          </cell>
          <cell r="K18">
            <v>2.2851604256396738E-2</v>
          </cell>
          <cell r="L18">
            <v>355584.26</v>
          </cell>
          <cell r="M18">
            <v>3.4893394364322892E-2</v>
          </cell>
          <cell r="N18">
            <v>368730.99999999994</v>
          </cell>
          <cell r="O18">
            <v>3.6972221436347978E-2</v>
          </cell>
          <cell r="P18">
            <v>390017.54570947814</v>
          </cell>
          <cell r="Q18">
            <v>5.7729200174322766E-2</v>
          </cell>
          <cell r="R18">
            <v>415452.99647879996</v>
          </cell>
          <cell r="S18">
            <v>6.5216170526514058E-2</v>
          </cell>
          <cell r="T18">
            <v>432813.78363191121</v>
          </cell>
          <cell r="U18">
            <v>4.1787608466550427E-2</v>
          </cell>
          <cell r="V18">
            <v>443695.26506750012</v>
          </cell>
          <cell r="W18">
            <v>2.5141254384918398E-2</v>
          </cell>
          <cell r="X18">
            <v>454759.86970119394</v>
          </cell>
          <cell r="Y18">
            <v>2.4937396237506702E-2</v>
          </cell>
        </row>
        <row r="20">
          <cell r="A20" t="str">
            <v>Salaries &amp; Wages</v>
          </cell>
          <cell r="B20">
            <v>-78737.596999999994</v>
          </cell>
          <cell r="C20">
            <v>-0.20129710826524</v>
          </cell>
          <cell r="D20">
            <v>-75807.857000000004</v>
          </cell>
          <cell r="E20">
            <v>-0.2038994728838486</v>
          </cell>
          <cell r="F20">
            <v>-74448.653999999995</v>
          </cell>
          <cell r="G20">
            <v>-0.21602105211814646</v>
          </cell>
          <cell r="H20">
            <v>-75216.822</v>
          </cell>
          <cell r="I20">
            <v>-0.22391371576163055</v>
          </cell>
          <cell r="J20">
            <v>-72050.820999999996</v>
          </cell>
          <cell r="K20">
            <v>-0.20969690478264205</v>
          </cell>
          <cell r="L20">
            <v>-74330.157000000007</v>
          </cell>
          <cell r="M20">
            <v>-0.20903669076915835</v>
          </cell>
          <cell r="N20">
            <v>-75686.915999999997</v>
          </cell>
          <cell r="O20">
            <v>-0.20526322983421522</v>
          </cell>
          <cell r="P20">
            <v>-77579.088899999988</v>
          </cell>
          <cell r="Q20">
            <v>-0.1989117919268899</v>
          </cell>
          <cell r="R20">
            <v>-79518.566122499979</v>
          </cell>
          <cell r="S20">
            <v>-0.19140207627930231</v>
          </cell>
          <cell r="T20">
            <v>-81506.530275562458</v>
          </cell>
          <cell r="U20">
            <v>-0.18831777858738463</v>
          </cell>
          <cell r="V20">
            <v>-83544.193532451507</v>
          </cell>
          <cell r="W20">
            <v>-0.1882918302491729</v>
          </cell>
          <cell r="X20">
            <v>-85632.798370762786</v>
          </cell>
          <cell r="Y20">
            <v>-0.18830333122187973</v>
          </cell>
          <cell r="AA20">
            <v>2.5000000000000001E-2</v>
          </cell>
          <cell r="AD20">
            <v>-1.7929579515748726E-2</v>
          </cell>
          <cell r="AF20">
            <v>1.0318091177310005E-2</v>
          </cell>
          <cell r="AH20">
            <v>-4.2091661357349076E-2</v>
          </cell>
          <cell r="AJ20">
            <v>3.1635114886477286E-2</v>
          </cell>
          <cell r="AL20">
            <v>1.8253143202697539E-2</v>
          </cell>
        </row>
        <row r="21">
          <cell r="A21" t="str">
            <v>Payroll Taxes &amp; Benefits</v>
          </cell>
          <cell r="B21">
            <v>-17887.333999999999</v>
          </cell>
          <cell r="C21">
            <v>-4.5729978383446328E-2</v>
          </cell>
          <cell r="D21">
            <v>-16886.874</v>
          </cell>
          <cell r="E21">
            <v>-4.5420420039785164E-2</v>
          </cell>
          <cell r="F21">
            <v>-16910.671999999999</v>
          </cell>
          <cell r="G21">
            <v>-4.9068196148514383E-2</v>
          </cell>
          <cell r="H21">
            <v>-16600.096000000001</v>
          </cell>
          <cell r="I21">
            <v>-4.9416993147620367E-2</v>
          </cell>
          <cell r="J21">
            <v>-19466.357</v>
          </cell>
          <cell r="K21">
            <v>-5.6654938190002273E-2</v>
          </cell>
          <cell r="L21">
            <v>-21460.021000000001</v>
          </cell>
          <cell r="M21">
            <v>-6.0351436815566581E-2</v>
          </cell>
          <cell r="N21">
            <v>-18923.662</v>
          </cell>
          <cell r="O21">
            <v>-5.1321049762564047E-2</v>
          </cell>
          <cell r="P21">
            <v>-20059.081720000006</v>
          </cell>
          <cell r="Q21">
            <v>-5.1431229032300768E-2</v>
          </cell>
          <cell r="R21">
            <v>-21262.626623200005</v>
          </cell>
          <cell r="S21">
            <v>-5.1179379625162988E-2</v>
          </cell>
          <cell r="T21">
            <v>-22538.384220592008</v>
          </cell>
          <cell r="U21">
            <v>-5.2074090689680753E-2</v>
          </cell>
          <cell r="V21">
            <v>-23890.687273827531</v>
          </cell>
          <cell r="W21">
            <v>-5.3844810063936564E-2</v>
          </cell>
          <cell r="X21">
            <v>-25324.128510257182</v>
          </cell>
          <cell r="Y21">
            <v>-5.5686814509153457E-2</v>
          </cell>
          <cell r="Z21">
            <v>0.25</v>
          </cell>
          <cell r="AA21">
            <v>0.06</v>
          </cell>
          <cell r="AD21">
            <v>0.22714543637014578</v>
          </cell>
          <cell r="AF21">
            <v>0.22069658832435118</v>
          </cell>
          <cell r="AH21">
            <v>0.27017536691219662</v>
          </cell>
          <cell r="AJ21">
            <v>0.28871217102366675</v>
          </cell>
          <cell r="AL21">
            <v>0.2500255394208426</v>
          </cell>
        </row>
        <row r="22">
          <cell r="A22" t="str">
            <v xml:space="preserve">     Total Personnel Costs</v>
          </cell>
          <cell r="B22">
            <v>-96624.930999999997</v>
          </cell>
          <cell r="C22">
            <v>-0.24702708664868633</v>
          </cell>
          <cell r="D22">
            <v>-92694.731</v>
          </cell>
          <cell r="E22">
            <v>-0.24931989292363377</v>
          </cell>
          <cell r="F22">
            <v>-91359.326000000001</v>
          </cell>
          <cell r="G22">
            <v>-0.26508924826666086</v>
          </cell>
          <cell r="H22">
            <v>-91816.918000000005</v>
          </cell>
          <cell r="I22">
            <v>-0.27333070890925093</v>
          </cell>
          <cell r="J22">
            <v>-91517.178</v>
          </cell>
          <cell r="K22">
            <v>-0.2663518429726443</v>
          </cell>
          <cell r="L22">
            <v>-95790.178000000014</v>
          </cell>
          <cell r="M22">
            <v>-0.26938812758472497</v>
          </cell>
          <cell r="N22">
            <v>-94610.577999999994</v>
          </cell>
          <cell r="O22">
            <v>-0.25658427959677926</v>
          </cell>
          <cell r="P22">
            <v>-97638.17061999999</v>
          </cell>
          <cell r="Q22">
            <v>-0.25034302095919064</v>
          </cell>
          <cell r="R22">
            <v>-100781.19274569998</v>
          </cell>
          <cell r="S22">
            <v>-0.24258145590446528</v>
          </cell>
          <cell r="T22">
            <v>-104044.91449615447</v>
          </cell>
          <cell r="U22">
            <v>-0.24039186927706541</v>
          </cell>
          <cell r="V22">
            <v>-107434.88080627903</v>
          </cell>
          <cell r="W22">
            <v>-0.24213664031310944</v>
          </cell>
          <cell r="X22">
            <v>-110956.92688101997</v>
          </cell>
          <cell r="Y22">
            <v>-0.2439901457310332</v>
          </cell>
          <cell r="AD22">
            <v>1.4092602337175528E-3</v>
          </cell>
          <cell r="AF22">
            <v>-1.8365680559589669E-2</v>
          </cell>
          <cell r="AH22">
            <v>0.17266532675473675</v>
          </cell>
          <cell r="AJ22">
            <v>0.10241587575939354</v>
          </cell>
          <cell r="AL22">
            <v>-0.1181899589007858</v>
          </cell>
        </row>
        <row r="23">
          <cell r="B23" t="str">
            <v xml:space="preserve"> </v>
          </cell>
          <cell r="D23" t="str">
            <v xml:space="preserve"> </v>
          </cell>
          <cell r="F23" t="str">
            <v xml:space="preserve"> </v>
          </cell>
          <cell r="H23" t="str">
            <v xml:space="preserve"> </v>
          </cell>
          <cell r="J23" t="str">
            <v xml:space="preserve"> </v>
          </cell>
          <cell r="L23" t="str">
            <v xml:space="preserve"> </v>
          </cell>
          <cell r="N23" t="str">
            <v xml:space="preserve"> </v>
          </cell>
          <cell r="P23" t="str">
            <v xml:space="preserve"> </v>
          </cell>
          <cell r="R23" t="str">
            <v xml:space="preserve"> </v>
          </cell>
          <cell r="T23" t="str">
            <v xml:space="preserve"> </v>
          </cell>
          <cell r="V23" t="str">
            <v xml:space="preserve"> </v>
          </cell>
          <cell r="X23" t="str">
            <v xml:space="preserve"> </v>
          </cell>
        </row>
        <row r="24">
          <cell r="A24" t="str">
            <v>Total Supplies &amp; Cost of Sales</v>
          </cell>
          <cell r="B24">
            <v>-17692.772000000001</v>
          </cell>
          <cell r="C24">
            <v>-4.5232569655335141E-2</v>
          </cell>
          <cell r="D24">
            <v>-17204.702000000001</v>
          </cell>
          <cell r="E24">
            <v>-4.6275278153868615E-2</v>
          </cell>
          <cell r="F24">
            <v>-11045.963</v>
          </cell>
          <cell r="G24">
            <v>-3.2051090526339372E-2</v>
          </cell>
          <cell r="H24">
            <v>-16315.939</v>
          </cell>
          <cell r="I24">
            <v>-4.8571083309397238E-2</v>
          </cell>
          <cell r="J24">
            <v>-15499.373000000001</v>
          </cell>
          <cell r="K24">
            <v>-4.5109417201112161E-2</v>
          </cell>
          <cell r="L24">
            <v>-15386.492</v>
          </cell>
          <cell r="M24">
            <v>-4.327101542683582E-2</v>
          </cell>
          <cell r="N24">
            <v>-15784.630999999999</v>
          </cell>
          <cell r="O24">
            <v>-4.2807984682600601E-2</v>
          </cell>
          <cell r="P24">
            <v>-17015.59769328</v>
          </cell>
          <cell r="Q24">
            <v>-4.3627774905170093E-2</v>
          </cell>
          <cell r="R24">
            <v>-18056.623031947889</v>
          </cell>
          <cell r="S24">
            <v>-4.3462493194147162E-2</v>
          </cell>
          <cell r="T24">
            <v>-18723.562505795948</v>
          </cell>
          <cell r="U24">
            <v>-4.3260088319459579E-2</v>
          </cell>
          <cell r="V24">
            <v>-19098.033755911867</v>
          </cell>
          <cell r="W24">
            <v>-4.3043131760728728E-2</v>
          </cell>
          <cell r="X24">
            <v>-19479.994431030107</v>
          </cell>
          <cell r="Y24">
            <v>-4.2835781538572648E-2</v>
          </cell>
          <cell r="Z24">
            <v>-4.4999999999999998E-2</v>
          </cell>
          <cell r="AD24">
            <v>-3.2051090526339372E-2</v>
          </cell>
          <cell r="AF24">
            <v>-4.8571083309397238E-2</v>
          </cell>
          <cell r="AH24">
            <v>-4.5109417201112161E-2</v>
          </cell>
          <cell r="AJ24">
            <v>-4.327101542683582E-2</v>
          </cell>
        </row>
        <row r="25">
          <cell r="A25" t="str">
            <v>Total Travel Expenses</v>
          </cell>
          <cell r="B25">
            <v>-977.64400000000001</v>
          </cell>
          <cell r="C25">
            <v>-2.499402034238641E-3</v>
          </cell>
          <cell r="D25">
            <v>-825.20600000000002</v>
          </cell>
          <cell r="E25">
            <v>-2.2195465625758182E-3</v>
          </cell>
          <cell r="F25">
            <v>-896.78800000000001</v>
          </cell>
          <cell r="G25">
            <v>-2.6021301511633555E-3</v>
          </cell>
          <cell r="H25">
            <v>-1222.7560000000001</v>
          </cell>
          <cell r="I25">
            <v>-3.6400346644508371E-3</v>
          </cell>
          <cell r="J25">
            <v>-1052.4769999999999</v>
          </cell>
          <cell r="K25">
            <v>-3.0631319142764625E-3</v>
          </cell>
          <cell r="L25">
            <v>-1511.23</v>
          </cell>
          <cell r="M25">
            <v>-4.2499912678924537E-3</v>
          </cell>
          <cell r="N25">
            <v>-1354.04</v>
          </cell>
          <cell r="O25">
            <v>-3.6721620910636758E-3</v>
          </cell>
          <cell r="P25">
            <v>-1387.8909999999998</v>
          </cell>
          <cell r="Q25">
            <v>-3.5585347768785562E-3</v>
          </cell>
          <cell r="R25">
            <v>-1422.5882749999996</v>
          </cell>
          <cell r="S25">
            <v>-3.4241858575031182E-3</v>
          </cell>
          <cell r="T25">
            <v>-1458.1529818749996</v>
          </cell>
          <cell r="U25">
            <v>-3.3690077280789502E-3</v>
          </cell>
          <cell r="V25">
            <v>-1494.6068064218744</v>
          </cell>
          <cell r="W25">
            <v>-3.3685435119405597E-3</v>
          </cell>
          <cell r="X25">
            <v>-1531.9719765824211</v>
          </cell>
          <cell r="Y25">
            <v>-3.3687492645052956E-3</v>
          </cell>
          <cell r="AA25">
            <v>2.5000000000000001E-2</v>
          </cell>
        </row>
        <row r="26">
          <cell r="A26" t="str">
            <v>Total Legal Expenses</v>
          </cell>
          <cell r="B26">
            <v>-0.57799999999999996</v>
          </cell>
          <cell r="C26">
            <v>-1.4776896045901518E-6</v>
          </cell>
          <cell r="D26">
            <v>-0.311</v>
          </cell>
          <cell r="E26">
            <v>-8.3649292535570441E-7</v>
          </cell>
          <cell r="F26">
            <v>-0.29699999999999999</v>
          </cell>
          <cell r="G26">
            <v>-8.6177854174622822E-7</v>
          </cell>
          <cell r="H26">
            <v>-12.082000000000001</v>
          </cell>
          <cell r="I26">
            <v>-3.5967027612945686E-5</v>
          </cell>
          <cell r="J26">
            <v>-20.811</v>
          </cell>
          <cell r="K26">
            <v>-6.0568390822799423E-5</v>
          </cell>
          <cell r="L26">
            <v>-60.372</v>
          </cell>
          <cell r="M26">
            <v>-1.6978254324305581E-4</v>
          </cell>
          <cell r="N26">
            <v>-50.514000000000003</v>
          </cell>
          <cell r="O26">
            <v>-1.3699417732710299E-4</v>
          </cell>
          <cell r="P26">
            <v>-50.514000000000003</v>
          </cell>
          <cell r="Q26">
            <v>-1.2951725007168677E-4</v>
          </cell>
          <cell r="R26">
            <v>-50.514000000000003</v>
          </cell>
          <cell r="S26">
            <v>-1.215877618602702E-4</v>
          </cell>
          <cell r="T26">
            <v>-50.514000000000003</v>
          </cell>
          <cell r="U26">
            <v>-1.1671070079172872E-4</v>
          </cell>
          <cell r="V26">
            <v>-50.514000000000003</v>
          </cell>
          <cell r="W26">
            <v>-1.1384840898023832E-4</v>
          </cell>
          <cell r="X26">
            <v>-50.514000000000003</v>
          </cell>
          <cell r="Y26">
            <v>-1.1107840283530493E-4</v>
          </cell>
        </row>
        <row r="27">
          <cell r="A27" t="str">
            <v>Total Outsides Services</v>
          </cell>
          <cell r="B27">
            <v>-5231.5720000000001</v>
          </cell>
          <cell r="C27">
            <v>-1.3374808927447942E-2</v>
          </cell>
          <cell r="D27">
            <v>-3113.08</v>
          </cell>
          <cell r="E27">
            <v>-8.3732134921747151E-3</v>
          </cell>
          <cell r="F27">
            <v>-3108.7460000000001</v>
          </cell>
          <cell r="G27">
            <v>-9.0203723721865997E-3</v>
          </cell>
          <cell r="H27">
            <v>-3054.848</v>
          </cell>
          <cell r="I27">
            <v>-9.094007810739272E-3</v>
          </cell>
          <cell r="J27">
            <v>-2904.7579999999998</v>
          </cell>
          <cell r="K27">
            <v>-8.4540155585821532E-3</v>
          </cell>
          <cell r="L27">
            <v>-2986.1219999999998</v>
          </cell>
          <cell r="M27">
            <v>-8.3977901609030726E-3</v>
          </cell>
          <cell r="N27">
            <v>-2845.4549999999999</v>
          </cell>
          <cell r="O27">
            <v>-7.7168857514014295E-3</v>
          </cell>
          <cell r="P27">
            <v>-2916.5913749999995</v>
          </cell>
          <cell r="Q27">
            <v>-7.4781029907114794E-3</v>
          </cell>
          <cell r="R27">
            <v>-2989.5061593749992</v>
          </cell>
          <cell r="S27">
            <v>-7.1957746958446834E-3</v>
          </cell>
          <cell r="T27">
            <v>-3064.2438133593741</v>
          </cell>
          <cell r="U27">
            <v>-7.0798203043491255E-3</v>
          </cell>
          <cell r="V27">
            <v>-3140.8499086933584</v>
          </cell>
          <cell r="W27">
            <v>-7.0788447747251381E-3</v>
          </cell>
          <cell r="X27">
            <v>-3219.371156410692</v>
          </cell>
          <cell r="Y27">
            <v>-7.0792771546135391E-3</v>
          </cell>
          <cell r="AA27">
            <v>2.5000000000000001E-2</v>
          </cell>
          <cell r="AD27">
            <v>-1.3921903709509017E-3</v>
          </cell>
          <cell r="AF27">
            <v>-1.7337537386457477E-2</v>
          </cell>
          <cell r="AH27">
            <v>-4.9131740760915157E-2</v>
          </cell>
          <cell r="AJ27">
            <v>2.8010595030635955E-2</v>
          </cell>
          <cell r="AL27">
            <v>-4.7106916596173873E-2</v>
          </cell>
        </row>
        <row r="28">
          <cell r="A28" t="str">
            <v>Total Guest Finance</v>
          </cell>
          <cell r="B28">
            <v>-9652.9699999999993</v>
          </cell>
          <cell r="C28">
            <v>-2.4678362322526983E-2</v>
          </cell>
          <cell r="D28">
            <v>-10953.566000000001</v>
          </cell>
          <cell r="E28">
            <v>-2.9461673525455891E-2</v>
          </cell>
          <cell r="F28">
            <v>-8577.348</v>
          </cell>
          <cell r="G28">
            <v>-2.4888129466296052E-2</v>
          </cell>
          <cell r="H28">
            <v>-7124.8670000000002</v>
          </cell>
          <cell r="I28">
            <v>-2.121008840651924E-2</v>
          </cell>
          <cell r="J28">
            <v>-6019.8549999999996</v>
          </cell>
          <cell r="K28">
            <v>-1.7520202313035568E-2</v>
          </cell>
          <cell r="L28">
            <v>-7187.3580000000002</v>
          </cell>
          <cell r="M28">
            <v>-2.0212812569375259E-2</v>
          </cell>
          <cell r="N28">
            <v>-6937.884</v>
          </cell>
          <cell r="O28">
            <v>-1.8815570158191203E-2</v>
          </cell>
          <cell r="P28">
            <v>-7184.3634704959995</v>
          </cell>
          <cell r="Q28">
            <v>-1.8420616071071816E-2</v>
          </cell>
          <cell r="R28">
            <v>-7623.9075023779988</v>
          </cell>
          <cell r="S28">
            <v>-1.8350830459751027E-2</v>
          </cell>
          <cell r="T28">
            <v>-7905.5041691138449</v>
          </cell>
          <cell r="U28">
            <v>-1.8265370623771822E-2</v>
          </cell>
          <cell r="V28">
            <v>-8063.6142524961224</v>
          </cell>
          <cell r="W28">
            <v>-1.81737667434188E-2</v>
          </cell>
          <cell r="X28">
            <v>-8224.8865375460446</v>
          </cell>
          <cell r="Y28">
            <v>-1.8086218871841784E-2</v>
          </cell>
          <cell r="Z28">
            <v>-1.9E-2</v>
          </cell>
          <cell r="AB28">
            <v>-0.85</v>
          </cell>
          <cell r="AD28">
            <v>-1.1967029429996556</v>
          </cell>
          <cell r="AF28">
            <v>-1.0327431343766673</v>
          </cell>
          <cell r="AH28">
            <v>-0.90139638947610834</v>
          </cell>
          <cell r="AJ28">
            <v>-1.0976071919545598</v>
          </cell>
        </row>
        <row r="29">
          <cell r="A29" t="str">
            <v>Total Other Operating Expenses</v>
          </cell>
          <cell r="B29">
            <v>-538.56799999999998</v>
          </cell>
          <cell r="C29">
            <v>-1.3768794722576279E-3</v>
          </cell>
          <cell r="D29">
            <v>-3195.625</v>
          </cell>
          <cell r="E29">
            <v>-8.5952337768161503E-3</v>
          </cell>
          <cell r="F29">
            <v>-833.68299999999999</v>
          </cell>
          <cell r="G29">
            <v>-2.4190239731266693E-3</v>
          </cell>
          <cell r="H29">
            <v>241.50899999999999</v>
          </cell>
          <cell r="I29">
            <v>7.1895057703814751E-4</v>
          </cell>
          <cell r="J29">
            <v>1206.931</v>
          </cell>
          <cell r="K29">
            <v>3.5126552546322679E-3</v>
          </cell>
          <cell r="L29">
            <v>1457.9860000000001</v>
          </cell>
          <cell r="M29">
            <v>4.1002546063203136E-3</v>
          </cell>
          <cell r="N29">
            <v>2275.7779999999998</v>
          </cell>
          <cell r="O29">
            <v>6.171919366692793E-3</v>
          </cell>
          <cell r="P29">
            <v>2617.1446999999994</v>
          </cell>
          <cell r="Q29">
            <v>6.7103255450704658E-3</v>
          </cell>
          <cell r="R29">
            <v>3009.7164049999992</v>
          </cell>
          <cell r="S29">
            <v>7.2444209826600233E-3</v>
          </cell>
          <cell r="T29">
            <v>3461.1738657499986</v>
          </cell>
          <cell r="U29">
            <v>7.9969122903293961E-3</v>
          </cell>
          <cell r="V29">
            <v>3980.3499456124982</v>
          </cell>
          <cell r="W29">
            <v>8.9709092230383855E-3</v>
          </cell>
          <cell r="X29">
            <v>4577.4024374543724</v>
          </cell>
          <cell r="Y29">
            <v>1.0065537314147829E-2</v>
          </cell>
          <cell r="AA29">
            <v>0.15</v>
          </cell>
          <cell r="AD29">
            <v>-0.73911738705261099</v>
          </cell>
          <cell r="AF29">
            <v>-1.2896892463922138</v>
          </cell>
          <cell r="AH29">
            <v>3.9974576516817182</v>
          </cell>
          <cell r="AJ29">
            <v>0.20801106276995127</v>
          </cell>
          <cell r="AL29">
            <v>0.56090524874724423</v>
          </cell>
        </row>
        <row r="30">
          <cell r="A30" t="str">
            <v>Capitalized Expenses</v>
          </cell>
          <cell r="B30">
            <v>15.621</v>
          </cell>
          <cell r="C30">
            <v>3.9935967670073983E-5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</row>
        <row r="31">
          <cell r="A31" t="str">
            <v>Total Distribution Costs</v>
          </cell>
          <cell r="B31">
            <v>-1841.6780000000001</v>
          </cell>
          <cell r="C31">
            <v>-4.7083536948138091E-3</v>
          </cell>
          <cell r="D31">
            <v>-2407.3029999999999</v>
          </cell>
          <cell r="E31">
            <v>-6.4748936613748011E-3</v>
          </cell>
          <cell r="F31">
            <v>-1459.8720000000001</v>
          </cell>
          <cell r="G31">
            <v>-4.2359810211991577E-3</v>
          </cell>
          <cell r="H31">
            <v>-1518.855</v>
          </cell>
          <cell r="I31">
            <v>-4.5214947628754026E-3</v>
          </cell>
          <cell r="J31">
            <v>-1698.011</v>
          </cell>
          <cell r="K31">
            <v>-4.9418958180487468E-3</v>
          </cell>
          <cell r="L31">
            <v>-1532.2049999999999</v>
          </cell>
          <cell r="M31">
            <v>-4.3089786932638688E-3</v>
          </cell>
          <cell r="N31">
            <v>-1547.26</v>
          </cell>
          <cell r="O31">
            <v>-4.1961755317562128E-3</v>
          </cell>
          <cell r="P31">
            <v>-1638.704</v>
          </cell>
          <cell r="Q31">
            <v>-4.2016161017039508E-3</v>
          </cell>
          <cell r="R31">
            <v>-1668.8685</v>
          </cell>
          <cell r="S31">
            <v>-4.0169851081701376E-3</v>
          </cell>
          <cell r="T31">
            <v>-1671.9901750000001</v>
          </cell>
          <cell r="U31">
            <v>-3.8630705357155471E-3</v>
          </cell>
          <cell r="V31">
            <v>-1671.9901750000001</v>
          </cell>
          <cell r="W31">
            <v>-3.7683299927612195E-3</v>
          </cell>
          <cell r="X31">
            <v>-1671.9901750000001</v>
          </cell>
          <cell r="Y31">
            <v>-3.6766440629394225E-3</v>
          </cell>
          <cell r="AB31">
            <v>-0.25</v>
          </cell>
          <cell r="AD31">
            <v>-0.20367986920931661</v>
          </cell>
          <cell r="AF31">
            <v>-0.22015668129154875</v>
          </cell>
          <cell r="AH31">
            <v>-0.25425545709833813</v>
          </cell>
          <cell r="AJ31">
            <v>-0.23398851532770959</v>
          </cell>
        </row>
        <row r="32">
          <cell r="A32" t="str">
            <v>Total Billboard &amp; Local Adv.</v>
          </cell>
          <cell r="B32">
            <v>-9611.1260000000002</v>
          </cell>
          <cell r="C32">
            <v>-2.4571385776135171E-2</v>
          </cell>
          <cell r="D32">
            <v>-7685.5389999999998</v>
          </cell>
          <cell r="E32">
            <v>-2.0671700967991494E-2</v>
          </cell>
          <cell r="F32">
            <v>-7168.3760000000002</v>
          </cell>
          <cell r="G32">
            <v>-2.0799840457806938E-2</v>
          </cell>
          <cell r="H32">
            <v>-7020.3540000000003</v>
          </cell>
          <cell r="I32">
            <v>-2.0898962603099959E-2</v>
          </cell>
          <cell r="J32">
            <v>-6399.9390000000003</v>
          </cell>
          <cell r="K32">
            <v>-1.8626399817119606E-2</v>
          </cell>
          <cell r="L32">
            <v>-6378.9610000000002</v>
          </cell>
          <cell r="M32">
            <v>-1.7939379543965191E-2</v>
          </cell>
          <cell r="N32">
            <v>-5298.8940000000002</v>
          </cell>
          <cell r="O32">
            <v>-1.4370622486311163E-2</v>
          </cell>
          <cell r="P32">
            <v>-5431.3663499999993</v>
          </cell>
          <cell r="Q32">
            <v>-1.3925953869895364E-2</v>
          </cell>
          <cell r="R32">
            <v>-5567.1505087499991</v>
          </cell>
          <cell r="S32">
            <v>-1.34001934176303E-2</v>
          </cell>
          <cell r="T32">
            <v>-5706.3292714687486</v>
          </cell>
          <cell r="U32">
            <v>-1.3184259575988289E-2</v>
          </cell>
          <cell r="V32">
            <v>-5848.9875032554664</v>
          </cell>
          <cell r="W32">
            <v>-1.3182442914655963E-2</v>
          </cell>
          <cell r="X32">
            <v>-5995.2121908368526</v>
          </cell>
          <cell r="Y32">
            <v>-1.3183248105810407E-2</v>
          </cell>
          <cell r="AA32">
            <v>2.5000000000000001E-2</v>
          </cell>
          <cell r="AD32">
            <v>-6.7290400842413209E-2</v>
          </cell>
          <cell r="AF32">
            <v>-2.0649307458202516E-2</v>
          </cell>
          <cell r="AH32">
            <v>-8.8373748674212146E-2</v>
          </cell>
          <cell r="AJ32">
            <v>-3.2778437419481755E-3</v>
          </cell>
          <cell r="AL32">
            <v>-0.16931707216896294</v>
          </cell>
        </row>
        <row r="33">
          <cell r="A33" t="str">
            <v>Total Loyalty Costs</v>
          </cell>
          <cell r="B33">
            <v>0</v>
          </cell>
          <cell r="C33">
            <v>0</v>
          </cell>
          <cell r="D33">
            <v>-1304.373</v>
          </cell>
          <cell r="E33">
            <v>-3.5083562267684766E-3</v>
          </cell>
          <cell r="F33">
            <v>-1855.615</v>
          </cell>
          <cell r="G33">
            <v>-5.3842733627691161E-3</v>
          </cell>
          <cell r="H33">
            <v>-2383.8159999999998</v>
          </cell>
          <cell r="I33">
            <v>-7.0964058844712567E-3</v>
          </cell>
          <cell r="J33">
            <v>-2400.0529999999999</v>
          </cell>
          <cell r="K33">
            <v>-6.985120758225564E-3</v>
          </cell>
          <cell r="L33">
            <v>-2206.4850000000001</v>
          </cell>
          <cell r="M33">
            <v>-6.2052381058711652E-3</v>
          </cell>
          <cell r="N33">
            <v>-2229.3290000000002</v>
          </cell>
          <cell r="O33">
            <v>-6.0459494862108165E-3</v>
          </cell>
          <cell r="P33">
            <v>-2359.7337599999996</v>
          </cell>
          <cell r="Q33">
            <v>-6.0503271864536879E-3</v>
          </cell>
          <cell r="R33">
            <v>-2403.1706400000003</v>
          </cell>
          <cell r="S33">
            <v>-5.7844585557649984E-3</v>
          </cell>
          <cell r="T33">
            <v>-2407.6658520000001</v>
          </cell>
          <cell r="U33">
            <v>-5.5628215714303873E-3</v>
          </cell>
          <cell r="V33">
            <v>-2407.6658520000001</v>
          </cell>
          <cell r="W33">
            <v>-5.4263951895761556E-3</v>
          </cell>
          <cell r="X33">
            <v>-2407.6658520000001</v>
          </cell>
          <cell r="Y33">
            <v>-5.2943674506327684E-3</v>
          </cell>
          <cell r="AB33">
            <v>-0.36</v>
          </cell>
          <cell r="AD33">
            <v>-0.2588935334761171</v>
          </cell>
          <cell r="AF33">
            <v>-0.34553200889465724</v>
          </cell>
          <cell r="AH33">
            <v>-0.35937727881341031</v>
          </cell>
          <cell r="AJ33">
            <v>-0.33696023002330716</v>
          </cell>
        </row>
        <row r="34">
          <cell r="A34" t="str">
            <v>Total R&amp;M</v>
          </cell>
          <cell r="B34">
            <v>-11454.450999999999</v>
          </cell>
          <cell r="C34">
            <v>-2.9283950119355136E-2</v>
          </cell>
          <cell r="D34">
            <v>-11079.592000000001</v>
          </cell>
          <cell r="E34">
            <v>-2.9800644128063217E-2</v>
          </cell>
          <cell r="F34">
            <v>-11592.736000000001</v>
          </cell>
          <cell r="G34">
            <v>-3.3637613215249169E-2</v>
          </cell>
          <cell r="H34">
            <v>-11739.133</v>
          </cell>
          <cell r="I34">
            <v>-3.494634338379754E-2</v>
          </cell>
          <cell r="J34">
            <v>-11909.596</v>
          </cell>
          <cell r="K34">
            <v>-3.4661720487705959E-2</v>
          </cell>
          <cell r="L34">
            <v>-12992.416999999999</v>
          </cell>
          <cell r="M34">
            <v>-3.6538223036081514E-2</v>
          </cell>
          <cell r="N34">
            <v>-12368.097</v>
          </cell>
          <cell r="O34">
            <v>-3.3542330316680725E-2</v>
          </cell>
          <cell r="P34">
            <v>-12478.104975071999</v>
          </cell>
          <cell r="Q34">
            <v>-3.1993701597124731E-2</v>
          </cell>
          <cell r="R34">
            <v>-13241.523556761787</v>
          </cell>
          <cell r="S34">
            <v>-3.1872495009041261E-2</v>
          </cell>
          <cell r="T34">
            <v>-13730.612504250363</v>
          </cell>
          <cell r="U34">
            <v>-3.1724064767603692E-2</v>
          </cell>
          <cell r="V34">
            <v>-14005.224754335371</v>
          </cell>
          <cell r="W34">
            <v>-3.1564963291201072E-2</v>
          </cell>
          <cell r="X34">
            <v>-14285.329249422079</v>
          </cell>
          <cell r="Y34">
            <v>-3.1412906461619941E-2</v>
          </cell>
          <cell r="Z34">
            <v>-3.3000000000000002E-2</v>
          </cell>
          <cell r="AB34">
            <v>-1.7</v>
          </cell>
          <cell r="AD34">
            <v>-1.6174068358446057</v>
          </cell>
          <cell r="AF34">
            <v>-1.70157688687867</v>
          </cell>
          <cell r="AH34">
            <v>-1.7833098695099969</v>
          </cell>
          <cell r="AJ34">
            <v>-1.984118550943571</v>
          </cell>
        </row>
        <row r="35">
          <cell r="A35" t="str">
            <v>Total Energy</v>
          </cell>
          <cell r="B35">
            <v>-17446.990000000002</v>
          </cell>
          <cell r="C35">
            <v>-4.4604214107938293E-2</v>
          </cell>
          <cell r="D35">
            <v>-18256.791000000001</v>
          </cell>
          <cell r="E35">
            <v>-4.9105069167838251E-2</v>
          </cell>
          <cell r="F35">
            <v>-16882.420999999998</v>
          </cell>
          <cell r="G35">
            <v>-4.8986222729043433E-2</v>
          </cell>
          <cell r="H35">
            <v>-18371.813999999998</v>
          </cell>
          <cell r="I35">
            <v>-5.4691238324607025E-2</v>
          </cell>
          <cell r="J35">
            <v>-17861.824000000001</v>
          </cell>
          <cell r="K35">
            <v>-5.1985100996591149E-2</v>
          </cell>
          <cell r="L35">
            <v>-19974.173999999999</v>
          </cell>
          <cell r="M35">
            <v>-5.6172829472260662E-2</v>
          </cell>
          <cell r="N35">
            <v>-20493.732</v>
          </cell>
          <cell r="O35">
            <v>-5.557908610884358E-2</v>
          </cell>
          <cell r="P35">
            <v>-21518.418600000001</v>
          </cell>
          <cell r="Q35">
            <v>-5.5172950131912653E-2</v>
          </cell>
          <cell r="R35">
            <v>-22594.339530000005</v>
          </cell>
          <cell r="S35">
            <v>-5.4384827457016463E-2</v>
          </cell>
          <cell r="T35">
            <v>-23724.056506500005</v>
          </cell>
          <cell r="U35">
            <v>-5.4813541998182419E-2</v>
          </cell>
          <cell r="V35">
            <v>-24910.259331825007</v>
          </cell>
          <cell r="W35">
            <v>-5.6142720675721812E-2</v>
          </cell>
          <cell r="X35">
            <v>-26155.772298416261</v>
          </cell>
          <cell r="Y35">
            <v>-5.7515568195589159E-2</v>
          </cell>
          <cell r="AA35">
            <v>0.05</v>
          </cell>
          <cell r="AB35">
            <v>-2.75</v>
          </cell>
          <cell r="AD35">
            <v>-2.3554183525792802</v>
          </cell>
          <cell r="AF35">
            <v>-2.6629780983343463</v>
          </cell>
          <cell r="AH35">
            <v>-2.674579979593811</v>
          </cell>
          <cell r="AJ35">
            <v>-3.0503276775348849</v>
          </cell>
        </row>
        <row r="36">
          <cell r="A36" t="str">
            <v>Total Other Utilities</v>
          </cell>
          <cell r="B36">
            <v>-11740.447</v>
          </cell>
          <cell r="C36">
            <v>-3.0015115026196599E-2</v>
          </cell>
          <cell r="D36">
            <v>-10973.942999999999</v>
          </cell>
          <cell r="E36">
            <v>-2.9516481295037797E-2</v>
          </cell>
          <cell r="F36">
            <v>-10998.856</v>
          </cell>
          <cell r="G36">
            <v>-3.1914404325106914E-2</v>
          </cell>
          <cell r="H36">
            <v>-10746.869000000001</v>
          </cell>
          <cell r="I36">
            <v>-3.1992462678009433E-2</v>
          </cell>
          <cell r="J36">
            <v>-9850.2659999999996</v>
          </cell>
          <cell r="K36">
            <v>-2.8668240872448857E-2</v>
          </cell>
          <cell r="L36">
            <v>-9889.2999999999993</v>
          </cell>
          <cell r="M36">
            <v>-2.7811411000025703E-2</v>
          </cell>
          <cell r="N36">
            <v>-9892.5519999999997</v>
          </cell>
          <cell r="O36">
            <v>-2.6828642018165007E-2</v>
          </cell>
          <cell r="P36">
            <v>-10159.964800000002</v>
          </cell>
          <cell r="Q36">
            <v>-2.60500198305645E-2</v>
          </cell>
          <cell r="R36">
            <v>-10346.984700000001</v>
          </cell>
          <cell r="S36">
            <v>-2.4905307670654853E-2</v>
          </cell>
          <cell r="T36">
            <v>-10366.339085000001</v>
          </cell>
          <cell r="U36">
            <v>-2.3951037321436393E-2</v>
          </cell>
          <cell r="V36">
            <v>-10366.339085000001</v>
          </cell>
          <cell r="W36">
            <v>-2.3363645955119562E-2</v>
          </cell>
          <cell r="X36">
            <v>-10366.339085000001</v>
          </cell>
          <cell r="Y36">
            <v>-2.2795193190224421E-2</v>
          </cell>
          <cell r="AB36">
            <v>-1.55</v>
          </cell>
          <cell r="AD36">
            <v>-1.5345492971521524</v>
          </cell>
          <cell r="AF36">
            <v>-1.557749102656294</v>
          </cell>
          <cell r="AH36">
            <v>-1.4749515075993138</v>
          </cell>
          <cell r="AJ36">
            <v>-1.510230435633821</v>
          </cell>
        </row>
        <row r="37">
          <cell r="A37" t="str">
            <v>Total Controllable Expenses</v>
          </cell>
          <cell r="B37">
            <v>-86173.175000000003</v>
          </cell>
          <cell r="C37">
            <v>-0.22030658285817986</v>
          </cell>
          <cell r="D37">
            <v>-87000.030999999988</v>
          </cell>
          <cell r="E37">
            <v>-0.23400292745089055</v>
          </cell>
          <cell r="F37">
            <v>-74420.701000000001</v>
          </cell>
          <cell r="G37">
            <v>-0.21593994337882852</v>
          </cell>
          <cell r="H37">
            <v>-79269.824000000008</v>
          </cell>
          <cell r="I37">
            <v>-0.23597913827854203</v>
          </cell>
          <cell r="J37">
            <v>-74410.031999999992</v>
          </cell>
          <cell r="K37">
            <v>-0.21656315887333674</v>
          </cell>
          <cell r="L37">
            <v>-78647.13</v>
          </cell>
          <cell r="M37">
            <v>-0.22117719721339749</v>
          </cell>
          <cell r="N37">
            <v>-76526.61</v>
          </cell>
          <cell r="O37">
            <v>-0.20754048344185874</v>
          </cell>
          <cell r="P37">
            <v>-79524.105323847994</v>
          </cell>
          <cell r="Q37">
            <v>-0.20389878916648804</v>
          </cell>
          <cell r="R37">
            <v>-82955.459999212675</v>
          </cell>
          <cell r="S37">
            <v>-0.19967471820472424</v>
          </cell>
          <cell r="T37">
            <v>-85347.796998613267</v>
          </cell>
          <cell r="U37">
            <v>-0.19719288115647851</v>
          </cell>
          <cell r="V37">
            <v>-87077.735479326569</v>
          </cell>
          <cell r="W37">
            <v>-0.19625572399579086</v>
          </cell>
          <cell r="X37">
            <v>-88811.644514790081</v>
          </cell>
          <cell r="Y37">
            <v>-0.19529349538503685</v>
          </cell>
        </row>
        <row r="38">
          <cell r="A38" t="str">
            <v>CP / GOP</v>
          </cell>
          <cell r="B38">
            <v>208353.05200000003</v>
          </cell>
          <cell r="C38">
            <v>0.53266633049313383</v>
          </cell>
          <cell r="D38">
            <v>192095.59099999999</v>
          </cell>
          <cell r="E38">
            <v>0.51667717962547566</v>
          </cell>
          <cell r="F38">
            <v>178856.07799999998</v>
          </cell>
          <cell r="G38">
            <v>0.51897080835451059</v>
          </cell>
          <cell r="H38">
            <v>164832.03700000001</v>
          </cell>
          <cell r="I38">
            <v>0.49069015281220701</v>
          </cell>
          <cell r="J38">
            <v>177667.85200000001</v>
          </cell>
          <cell r="K38">
            <v>0.51708499815401887</v>
          </cell>
          <cell r="L38">
            <v>181146.95199999999</v>
          </cell>
          <cell r="M38">
            <v>0.50943467520187757</v>
          </cell>
          <cell r="N38">
            <v>197593.81199999998</v>
          </cell>
          <cell r="O38">
            <v>0.53587523696136208</v>
          </cell>
          <cell r="P38">
            <v>212855.26976563016</v>
          </cell>
          <cell r="Q38">
            <v>0.54575818987432134</v>
          </cell>
          <cell r="R38">
            <v>231716.34373388728</v>
          </cell>
          <cell r="S38">
            <v>0.5577438258908104</v>
          </cell>
          <cell r="T38">
            <v>243421.07213714346</v>
          </cell>
          <cell r="U38">
            <v>0.56241524956645605</v>
          </cell>
          <cell r="V38">
            <v>249182.64878189453</v>
          </cell>
          <cell r="W38">
            <v>0.56160763569109973</v>
          </cell>
          <cell r="X38">
            <v>254991.29830538388</v>
          </cell>
          <cell r="Y38">
            <v>0.5607163588839299</v>
          </cell>
        </row>
        <row r="39">
          <cell r="A39" t="str">
            <v>CP% / GOP%</v>
          </cell>
          <cell r="B39">
            <v>0.53266633049313383</v>
          </cell>
          <cell r="D39">
            <v>0.51667717962547566</v>
          </cell>
          <cell r="F39">
            <v>0.51897080835451059</v>
          </cell>
          <cell r="H39">
            <v>0.49069015281220701</v>
          </cell>
          <cell r="J39">
            <v>0.51708499815401887</v>
          </cell>
          <cell r="L39">
            <v>0.50943467520187757</v>
          </cell>
          <cell r="N39">
            <v>0.53587523696136208</v>
          </cell>
          <cell r="P39">
            <v>0.54575818987432134</v>
          </cell>
          <cell r="R39">
            <v>0.5577438258908104</v>
          </cell>
          <cell r="T39">
            <v>0.56241524956645605</v>
          </cell>
          <cell r="V39">
            <v>0.56160763569109973</v>
          </cell>
          <cell r="X39">
            <v>0.5607163588839299</v>
          </cell>
        </row>
        <row r="40">
          <cell r="B40" t="str">
            <v xml:space="preserve"> </v>
          </cell>
          <cell r="D40" t="str">
            <v xml:space="preserve"> </v>
          </cell>
          <cell r="F40" t="str">
            <v xml:space="preserve"> </v>
          </cell>
          <cell r="H40" t="str">
            <v xml:space="preserve"> </v>
          </cell>
          <cell r="J40" t="str">
            <v xml:space="preserve"> </v>
          </cell>
          <cell r="L40" t="str">
            <v xml:space="preserve"> </v>
          </cell>
          <cell r="N40" t="str">
            <v xml:space="preserve"> </v>
          </cell>
          <cell r="P40" t="str">
            <v xml:space="preserve"> </v>
          </cell>
          <cell r="R40" t="str">
            <v xml:space="preserve"> </v>
          </cell>
          <cell r="T40" t="str">
            <v xml:space="preserve"> </v>
          </cell>
          <cell r="V40" t="str">
            <v xml:space="preserve"> </v>
          </cell>
          <cell r="X40" t="str">
            <v xml:space="preserve"> </v>
          </cell>
        </row>
        <row r="41">
          <cell r="A41" t="str">
            <v>Internal Recharges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AD41">
            <v>0</v>
          </cell>
          <cell r="AF41">
            <v>0</v>
          </cell>
          <cell r="AH41">
            <v>0</v>
          </cell>
          <cell r="AJ41">
            <v>0</v>
          </cell>
        </row>
        <row r="42">
          <cell r="A42" t="str">
            <v xml:space="preserve">Reservation Fee </v>
          </cell>
          <cell r="B42">
            <v>-3031.11</v>
          </cell>
          <cell r="C42">
            <v>-7.7492036978706836E-3</v>
          </cell>
          <cell r="D42">
            <v>-2246.6149999999998</v>
          </cell>
          <cell r="E42">
            <v>-6.0426930980643266E-3</v>
          </cell>
          <cell r="F42">
            <v>-2861.5740000000001</v>
          </cell>
          <cell r="G42">
            <v>-8.3031753158886255E-3</v>
          </cell>
          <cell r="H42">
            <v>-2894.8809999999999</v>
          </cell>
          <cell r="I42">
            <v>-8.6178004356225624E-3</v>
          </cell>
          <cell r="J42">
            <v>-3588.9760000000001</v>
          </cell>
          <cell r="K42">
            <v>-1.0445365480834528E-2</v>
          </cell>
          <cell r="L42">
            <v>-6006.942</v>
          </cell>
          <cell r="M42">
            <v>-1.6893160569030809E-2</v>
          </cell>
          <cell r="N42">
            <v>-4781.4620000000004</v>
          </cell>
          <cell r="O42">
            <v>-1.2967344758102793E-2</v>
          </cell>
          <cell r="P42">
            <v>-5153.8354790979201</v>
          </cell>
          <cell r="Q42">
            <v>-1.321436826572152E-2</v>
          </cell>
          <cell r="R42">
            <v>-5469.1504872322166</v>
          </cell>
          <cell r="S42">
            <v>-1.3164306271916131E-2</v>
          </cell>
          <cell r="T42">
            <v>-5671.1590434221953</v>
          </cell>
          <cell r="U42">
            <v>-1.3103000084316314E-2</v>
          </cell>
          <cell r="V42">
            <v>-5784.5822242906397</v>
          </cell>
          <cell r="W42">
            <v>-1.303728635330517E-2</v>
          </cell>
          <cell r="X42">
            <v>-5900.2738687764522</v>
          </cell>
          <cell r="Y42">
            <v>-1.2974482274905448E-2</v>
          </cell>
          <cell r="Z42">
            <v>-1.363E-2</v>
          </cell>
          <cell r="AD42">
            <v>-8.3031753158886255E-3</v>
          </cell>
          <cell r="AF42">
            <v>-8.6178004356225624E-3</v>
          </cell>
          <cell r="AH42">
            <v>-1.0445365480834528E-2</v>
          </cell>
          <cell r="AJ42">
            <v>-1.6893160569030809E-2</v>
          </cell>
        </row>
        <row r="43">
          <cell r="A43" t="str">
            <v>Academy / Training Fee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-132.43199999999999</v>
          </cell>
          <cell r="G43">
            <v>-3.8426618128126764E-4</v>
          </cell>
          <cell r="H43">
            <v>-521.40700000000004</v>
          </cell>
          <cell r="I43">
            <v>-1.5521817552212524E-3</v>
          </cell>
          <cell r="J43">
            <v>-871.00800000000004</v>
          </cell>
          <cell r="K43">
            <v>-2.5349840446775686E-3</v>
          </cell>
          <cell r="L43">
            <v>-720.91600000000005</v>
          </cell>
          <cell r="M43">
            <v>-2.0274125744485991E-3</v>
          </cell>
          <cell r="N43">
            <v>-687.86599999999999</v>
          </cell>
          <cell r="O43">
            <v>-1.8654954424770363E-3</v>
          </cell>
          <cell r="P43">
            <v>-725.99883491328001</v>
          </cell>
          <cell r="Q43">
            <v>-1.8614517292872572E-3</v>
          </cell>
          <cell r="R43">
            <v>-770.41591602977678</v>
          </cell>
          <cell r="S43">
            <v>-1.854399709616946E-3</v>
          </cell>
          <cell r="T43">
            <v>-798.87200024729384</v>
          </cell>
          <cell r="U43">
            <v>-1.8457637682969422E-3</v>
          </cell>
          <cell r="V43">
            <v>-814.84944025223979</v>
          </cell>
          <cell r="W43">
            <v>-1.8365069551244261E-3</v>
          </cell>
          <cell r="X43">
            <v>-831.14642905728454</v>
          </cell>
          <cell r="Y43">
            <v>-1.827660012312433E-3</v>
          </cell>
          <cell r="Z43">
            <v>-1.92E-3</v>
          </cell>
          <cell r="AD43">
            <v>-3.8426618128126764E-4</v>
          </cell>
          <cell r="AF43">
            <v>-1.5521817552212524E-3</v>
          </cell>
          <cell r="AH43">
            <v>-2.5349840446775686E-3</v>
          </cell>
          <cell r="AJ43">
            <v>-2.0274125744485991E-3</v>
          </cell>
        </row>
        <row r="44">
          <cell r="A44" t="str">
            <v>ANA Management Fee</v>
          </cell>
          <cell r="B44">
            <v>-8699.232</v>
          </cell>
          <cell r="C44">
            <v>-2.2240077325809682E-2</v>
          </cell>
          <cell r="D44">
            <v>-13875.394</v>
          </cell>
          <cell r="E44">
            <v>-3.7320478834479066E-2</v>
          </cell>
          <cell r="F44">
            <v>-14696.776</v>
          </cell>
          <cell r="G44">
            <v>-4.2644330604885407E-2</v>
          </cell>
          <cell r="H44">
            <v>-14217.403</v>
          </cell>
          <cell r="I44">
            <v>-4.2323930333171396E-2</v>
          </cell>
          <cell r="J44">
            <v>-15075.495999999999</v>
          </cell>
          <cell r="K44">
            <v>-4.3875764431096503E-2</v>
          </cell>
          <cell r="L44">
            <v>-15528.624</v>
          </cell>
          <cell r="M44">
            <v>-4.3670729407426528E-2</v>
          </cell>
          <cell r="N44">
            <v>-16161.85</v>
          </cell>
          <cell r="O44">
            <v>-4.3831004173774384E-2</v>
          </cell>
          <cell r="P44">
            <v>-17337.003427486401</v>
          </cell>
          <cell r="Q44">
            <v>-4.445185509782331E-2</v>
          </cell>
          <cell r="R44">
            <v>-18397.692578106908</v>
          </cell>
          <cell r="S44">
            <v>-4.4283451398925505E-2</v>
          </cell>
          <cell r="T44">
            <v>-19077.229797572094</v>
          </cell>
          <cell r="U44">
            <v>-4.4077223321049373E-2</v>
          </cell>
          <cell r="V44">
            <v>-19458.774393523538</v>
          </cell>
          <cell r="W44">
            <v>-4.3856168693986945E-2</v>
          </cell>
          <cell r="X44">
            <v>-19847.949881394008</v>
          </cell>
          <cell r="Y44">
            <v>-4.3644901856523463E-2</v>
          </cell>
          <cell r="Z44">
            <v>-4.5850000000000002E-2</v>
          </cell>
          <cell r="AD44">
            <v>-4.2644330604885407E-2</v>
          </cell>
          <cell r="AF44">
            <v>-4.2323930333171396E-2</v>
          </cell>
          <cell r="AH44">
            <v>-4.3875764431096503E-2</v>
          </cell>
          <cell r="AJ44">
            <v>-4.3670729407426528E-2</v>
          </cell>
        </row>
        <row r="45">
          <cell r="A45" t="str">
            <v>Brand Overhead Fee</v>
          </cell>
          <cell r="B45">
            <v>-6459.7889999999998</v>
          </cell>
          <cell r="C45">
            <v>-1.6514814970840504E-2</v>
          </cell>
          <cell r="D45">
            <v>-5795.7070000000003</v>
          </cell>
          <cell r="E45">
            <v>-1.5588642774709113E-2</v>
          </cell>
          <cell r="F45">
            <v>-5129</v>
          </cell>
          <cell r="G45">
            <v>-1.4882364109819544E-2</v>
          </cell>
          <cell r="H45">
            <v>-5115.2039999999997</v>
          </cell>
          <cell r="I45">
            <v>-1.522750236002733E-2</v>
          </cell>
          <cell r="J45">
            <v>-5025.0460000000003</v>
          </cell>
          <cell r="K45">
            <v>-1.4624907502308633E-2</v>
          </cell>
          <cell r="L45">
            <v>-5587.0990000000002</v>
          </cell>
          <cell r="M45">
            <v>-1.5712447451976641E-2</v>
          </cell>
          <cell r="N45">
            <v>-5996.5320000000002</v>
          </cell>
          <cell r="O45">
            <v>-1.6262619633282804E-2</v>
          </cell>
          <cell r="P45">
            <v>-6322.2398540364793</v>
          </cell>
          <cell r="Q45">
            <v>-1.6210142142543196E-2</v>
          </cell>
          <cell r="R45">
            <v>-6709.038602092638</v>
          </cell>
          <cell r="S45">
            <v>-1.6148730804580902E-2</v>
          </cell>
          <cell r="T45">
            <v>-6956.8436688201828</v>
          </cell>
          <cell r="U45">
            <v>-1.6073526148919201E-2</v>
          </cell>
          <cell r="V45">
            <v>-7095.9805421965875</v>
          </cell>
          <cell r="W45">
            <v>-1.5992914734208542E-2</v>
          </cell>
          <cell r="X45">
            <v>-7237.9001530405194</v>
          </cell>
          <cell r="Y45">
            <v>-1.5915872607220771E-2</v>
          </cell>
          <cell r="Z45">
            <v>-1.6719999999999999E-2</v>
          </cell>
          <cell r="AD45">
            <v>-1.4882364109819544E-2</v>
          </cell>
          <cell r="AF45">
            <v>-1.522750236002733E-2</v>
          </cell>
          <cell r="AH45">
            <v>-1.4624907502308633E-2</v>
          </cell>
          <cell r="AJ45">
            <v>-1.5712447451976641E-2</v>
          </cell>
        </row>
        <row r="46">
          <cell r="A46" t="str">
            <v>Marketing Fee</v>
          </cell>
          <cell r="B46">
            <v>-8204.2839999999997</v>
          </cell>
          <cell r="C46">
            <v>-2.0974714844126833E-2</v>
          </cell>
          <cell r="D46">
            <v>-9947.6039999999994</v>
          </cell>
          <cell r="E46">
            <v>-2.675594974353732E-2</v>
          </cell>
          <cell r="F46">
            <v>-10033.205</v>
          </cell>
          <cell r="G46">
            <v>-2.9112460518319751E-2</v>
          </cell>
          <cell r="H46">
            <v>-8724.4429999999993</v>
          </cell>
          <cell r="I46">
            <v>-2.5971882328138608E-2</v>
          </cell>
          <cell r="J46">
            <v>-10050.093000000001</v>
          </cell>
          <cell r="K46">
            <v>-2.9249817915019977E-2</v>
          </cell>
          <cell r="L46">
            <v>-9604.1260000000002</v>
          </cell>
          <cell r="M46">
            <v>-2.7009423870449158E-2</v>
          </cell>
          <cell r="N46">
            <v>-8993.2070000000003</v>
          </cell>
          <cell r="O46">
            <v>-2.4389614651331191E-2</v>
          </cell>
          <cell r="P46">
            <v>-9483.3597810547199</v>
          </cell>
          <cell r="Q46">
            <v>-2.4315213213814798E-2</v>
          </cell>
          <cell r="R46">
            <v>-10063.557903138959</v>
          </cell>
          <cell r="S46">
            <v>-2.4223096206871356E-2</v>
          </cell>
          <cell r="T46">
            <v>-10435.265503230275</v>
          </cell>
          <cell r="U46">
            <v>-2.4110289223378809E-2</v>
          </cell>
          <cell r="V46">
            <v>-10643.970813294882</v>
          </cell>
          <cell r="W46">
            <v>-2.3989372101312814E-2</v>
          </cell>
          <cell r="X46">
            <v>-10856.85022956078</v>
          </cell>
          <cell r="Y46">
            <v>-2.3873808910831157E-2</v>
          </cell>
          <cell r="Z46">
            <v>-2.5080000000000002E-2</v>
          </cell>
          <cell r="AD46">
            <v>-2.9112460518319751E-2</v>
          </cell>
          <cell r="AF46">
            <v>-2.5971882328138608E-2</v>
          </cell>
          <cell r="AH46">
            <v>-2.9249817915019977E-2</v>
          </cell>
          <cell r="AJ46">
            <v>-2.7009423870449158E-2</v>
          </cell>
        </row>
        <row r="47">
          <cell r="A47" t="str">
            <v>Royalty / Trademark Fee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AD47">
            <v>0</v>
          </cell>
          <cell r="AF47">
            <v>0</v>
          </cell>
          <cell r="AH47">
            <v>0</v>
          </cell>
          <cell r="AJ47">
            <v>0</v>
          </cell>
        </row>
        <row r="48">
          <cell r="A48" t="str">
            <v>Allocated Franchise Expense</v>
          </cell>
          <cell r="J48">
            <v>-6806.0688122926231</v>
          </cell>
          <cell r="K48">
            <v>-1.980840112391552E-2</v>
          </cell>
          <cell r="L48">
            <v>-7264.6531918091605</v>
          </cell>
          <cell r="M48">
            <v>-2.0430187747368683E-2</v>
          </cell>
          <cell r="N48">
            <v>-8128.2361779121829</v>
          </cell>
          <cell r="O48">
            <v>-2.2043810197439825E-2</v>
          </cell>
          <cell r="P48">
            <v>-8988.3876594964859</v>
          </cell>
          <cell r="Q48">
            <v>-2.304611102340479E-2</v>
          </cell>
          <cell r="R48">
            <v>-10389.231549508757</v>
          </cell>
          <cell r="S48">
            <v>-2.5006996309001002E-2</v>
          </cell>
          <cell r="T48">
            <v>-11958.429021443526</v>
          </cell>
          <cell r="U48">
            <v>-2.7629501355284091E-2</v>
          </cell>
          <cell r="V48">
            <v>-13526.910058262532</v>
          </cell>
          <cell r="W48">
            <v>-3.0486938047906958E-2</v>
          </cell>
          <cell r="X48">
            <v>-15104.118531898104</v>
          </cell>
          <cell r="Y48">
            <v>-3.3213393569275294E-2</v>
          </cell>
        </row>
        <row r="49">
          <cell r="A49" t="str">
            <v>Internal Mgmt Fees</v>
          </cell>
          <cell r="B49">
            <v>-26394.415000000001</v>
          </cell>
          <cell r="C49">
            <v>-6.7478810838647707E-2</v>
          </cell>
          <cell r="D49">
            <v>-31865.32</v>
          </cell>
          <cell r="E49">
            <v>-8.5707764450789828E-2</v>
          </cell>
          <cell r="F49">
            <v>-32852.987000000001</v>
          </cell>
          <cell r="G49">
            <v>-9.5326596730194599E-2</v>
          </cell>
          <cell r="H49">
            <v>-31473.337999999996</v>
          </cell>
          <cell r="I49">
            <v>-9.3693297212181142E-2</v>
          </cell>
          <cell r="J49">
            <v>-41416.687812292621</v>
          </cell>
          <cell r="K49">
            <v>-0.12053924049785272</v>
          </cell>
          <cell r="L49">
            <v>-44712.360191809159</v>
          </cell>
          <cell r="M49">
            <v>-0.12574336162070041</v>
          </cell>
          <cell r="N49">
            <v>-44749.153177912187</v>
          </cell>
          <cell r="O49">
            <v>-0.12135988885640804</v>
          </cell>
          <cell r="P49">
            <v>-48010.825036085284</v>
          </cell>
          <cell r="Q49">
            <v>-0.12309914147259486</v>
          </cell>
          <cell r="R49">
            <v>-51799.087036109253</v>
          </cell>
          <cell r="S49">
            <v>-0.12468098070091184</v>
          </cell>
          <cell r="T49">
            <v>-54897.799034735566</v>
          </cell>
          <cell r="U49">
            <v>-0.12683930390124473</v>
          </cell>
          <cell r="V49">
            <v>-57325.067471820417</v>
          </cell>
          <cell r="W49">
            <v>-0.12919918688584486</v>
          </cell>
          <cell r="X49">
            <v>-59778.239093727141</v>
          </cell>
          <cell r="Y49">
            <v>-0.13145011923106856</v>
          </cell>
          <cell r="AD49">
            <v>-9.5326596730194599E-2</v>
          </cell>
          <cell r="AF49">
            <v>-9.3693297212181142E-2</v>
          </cell>
          <cell r="AH49">
            <v>-0.12053924049785272</v>
          </cell>
          <cell r="AJ49">
            <v>-0.12574336162070041</v>
          </cell>
        </row>
        <row r="51">
          <cell r="A51" t="str">
            <v>Total Property Tax &amp; Other</v>
          </cell>
          <cell r="B51">
            <v>-19237.367999999999</v>
          </cell>
          <cell r="C51">
            <v>-4.91814164589537E-2</v>
          </cell>
          <cell r="D51">
            <v>-20569.608</v>
          </cell>
          <cell r="E51">
            <v>-5.532582498180097E-2</v>
          </cell>
          <cell r="F51">
            <v>-18282.082999999999</v>
          </cell>
          <cell r="G51">
            <v>-5.3047497736779491E-2</v>
          </cell>
          <cell r="H51">
            <v>-17447.466</v>
          </cell>
          <cell r="I51">
            <v>-5.1939537443960522E-2</v>
          </cell>
          <cell r="J51">
            <v>-19173.881000000001</v>
          </cell>
          <cell r="K51">
            <v>-5.5803715246641114E-2</v>
          </cell>
          <cell r="L51">
            <v>-17065.257000000001</v>
          </cell>
          <cell r="M51">
            <v>-4.7992160845364756E-2</v>
          </cell>
          <cell r="N51">
            <v>-19872.483</v>
          </cell>
          <cell r="O51">
            <v>-5.3894256246423557E-2</v>
          </cell>
          <cell r="P51">
            <v>-20369.295074999998</v>
          </cell>
          <cell r="Q51">
            <v>-5.2226612107786993E-2</v>
          </cell>
          <cell r="R51">
            <v>-20878.527451874997</v>
          </cell>
          <cell r="S51">
            <v>-5.025484863229384E-2</v>
          </cell>
          <cell r="T51">
            <v>-21400.490638171872</v>
          </cell>
          <cell r="U51">
            <v>-4.9445030282057822E-2</v>
          </cell>
          <cell r="V51">
            <v>-21935.502904126166</v>
          </cell>
          <cell r="W51">
            <v>-4.9438217243064519E-2</v>
          </cell>
          <cell r="X51">
            <v>-22483.890476729317</v>
          </cell>
          <cell r="Y51">
            <v>-4.9441236957655607E-2</v>
          </cell>
          <cell r="AA51">
            <v>2.5000000000000001E-2</v>
          </cell>
          <cell r="AD51">
            <v>-0.11120897393863809</v>
          </cell>
          <cell r="AF51">
            <v>-4.5652183069073607E-2</v>
          </cell>
          <cell r="AH51">
            <v>9.8949325936499938E-2</v>
          </cell>
          <cell r="AJ51">
            <v>-0.10997377108995303</v>
          </cell>
          <cell r="AL51">
            <v>0.16449948570947384</v>
          </cell>
        </row>
        <row r="52">
          <cell r="A52" t="str">
            <v>Total General Insurance</v>
          </cell>
          <cell r="B52">
            <v>-2195.7199999999998</v>
          </cell>
          <cell r="C52">
            <v>-5.6134820390842353E-3</v>
          </cell>
          <cell r="D52">
            <v>-1951.588</v>
          </cell>
          <cell r="E52">
            <v>-5.2491625569424062E-3</v>
          </cell>
          <cell r="F52">
            <v>-2252.489</v>
          </cell>
          <cell r="G52">
            <v>-6.535847426664714E-3</v>
          </cell>
          <cell r="H52">
            <v>-4036.2719999999999</v>
          </cell>
          <cell r="I52">
            <v>-1.2015618811236509E-2</v>
          </cell>
          <cell r="J52">
            <v>-5437.2529999999997</v>
          </cell>
          <cell r="K52">
            <v>-1.5824595872684571E-2</v>
          </cell>
          <cell r="L52">
            <v>-3815.1889999999999</v>
          </cell>
          <cell r="M52">
            <v>-1.0729352868431239E-2</v>
          </cell>
          <cell r="N52">
            <v>-3283.0810000000001</v>
          </cell>
          <cell r="O52">
            <v>-8.9037292768983367E-3</v>
          </cell>
          <cell r="P52">
            <v>-3447.2350500000002</v>
          </cell>
          <cell r="Q52">
            <v>-8.8386665880099309E-3</v>
          </cell>
          <cell r="R52">
            <v>-3619.5968025000002</v>
          </cell>
          <cell r="S52">
            <v>-8.7124099072052388E-3</v>
          </cell>
          <cell r="T52">
            <v>-3800.5766426250002</v>
          </cell>
          <cell r="U52">
            <v>-8.7810896657053352E-3</v>
          </cell>
          <cell r="V52">
            <v>-3990.6054747562503</v>
          </cell>
          <cell r="W52">
            <v>-8.9940231256449236E-3</v>
          </cell>
          <cell r="X52">
            <v>-4190.1357484940627</v>
          </cell>
          <cell r="Y52">
            <v>-9.2139523024475471E-3</v>
          </cell>
          <cell r="AA52">
            <v>0.05</v>
          </cell>
          <cell r="AD52">
            <v>0.15418264510747148</v>
          </cell>
          <cell r="AF52">
            <v>0.79191640891476045</v>
          </cell>
          <cell r="AH52">
            <v>0.34709776744481041</v>
          </cell>
          <cell r="AJ52">
            <v>-0.29832417215090046</v>
          </cell>
          <cell r="AL52">
            <v>-0.13947094102022201</v>
          </cell>
        </row>
        <row r="53">
          <cell r="A53" t="str">
            <v>EBITDAR / NOP</v>
          </cell>
          <cell r="B53">
            <v>160525.54900000003</v>
          </cell>
          <cell r="C53">
            <v>0.41039262115644826</v>
          </cell>
          <cell r="D53">
            <v>137709.07499999998</v>
          </cell>
          <cell r="E53">
            <v>0.37039442763594238</v>
          </cell>
          <cell r="F53">
            <v>125468.51899999997</v>
          </cell>
          <cell r="G53">
            <v>0.36406086646087177</v>
          </cell>
          <cell r="H53">
            <v>111874.96100000001</v>
          </cell>
          <cell r="I53">
            <v>0.3330416993448288</v>
          </cell>
          <cell r="J53">
            <v>111640.03018770739</v>
          </cell>
          <cell r="K53">
            <v>0.32491744653684046</v>
          </cell>
          <cell r="L53">
            <v>115554.14580819083</v>
          </cell>
          <cell r="M53">
            <v>0.32496979986738117</v>
          </cell>
          <cell r="N53">
            <v>129689.09482208779</v>
          </cell>
          <cell r="O53">
            <v>0.35171736258163216</v>
          </cell>
          <cell r="P53">
            <v>141027.91460454487</v>
          </cell>
          <cell r="Q53">
            <v>0.36159376970592949</v>
          </cell>
          <cell r="R53">
            <v>155419.13244340301</v>
          </cell>
          <cell r="S53">
            <v>0.37409558665039944</v>
          </cell>
          <cell r="T53">
            <v>163322.20582161102</v>
          </cell>
          <cell r="U53">
            <v>0.37734982571744818</v>
          </cell>
          <cell r="V53">
            <v>165931.4729311917</v>
          </cell>
          <cell r="W53">
            <v>0.37397620843654544</v>
          </cell>
          <cell r="X53">
            <v>168539.03298643336</v>
          </cell>
          <cell r="Y53">
            <v>0.37061105039275827</v>
          </cell>
        </row>
        <row r="55">
          <cell r="A55" t="str">
            <v>Cap Ex</v>
          </cell>
          <cell r="B55">
            <v>0</v>
          </cell>
          <cell r="D55">
            <v>0</v>
          </cell>
          <cell r="F55">
            <v>0</v>
          </cell>
          <cell r="H55">
            <v>0</v>
          </cell>
          <cell r="J55">
            <v>0</v>
          </cell>
          <cell r="L55">
            <v>-59934</v>
          </cell>
          <cell r="M55">
            <v>-0.16855076768583627</v>
          </cell>
          <cell r="N55">
            <v>-60000</v>
          </cell>
          <cell r="O55">
            <v>-0.16272024863653994</v>
          </cell>
          <cell r="P55">
            <v>-60000</v>
          </cell>
          <cell r="Q55">
            <v>-0.15383923277311648</v>
          </cell>
          <cell r="R55">
            <v>-20000</v>
          </cell>
          <cell r="S55">
            <v>-4.8140223249107252E-2</v>
          </cell>
          <cell r="T55">
            <v>-20000</v>
          </cell>
          <cell r="U55">
            <v>-4.6209249234560205E-2</v>
          </cell>
          <cell r="V55">
            <v>-20000</v>
          </cell>
          <cell r="W55">
            <v>-4.5075982492076776E-2</v>
          </cell>
          <cell r="X55">
            <v>-20000</v>
          </cell>
          <cell r="Y55">
            <v>-4.3979254398901269E-2</v>
          </cell>
        </row>
        <row r="56">
          <cell r="A56" t="str">
            <v>Economic NOI</v>
          </cell>
          <cell r="B56">
            <v>0</v>
          </cell>
          <cell r="D56">
            <v>0</v>
          </cell>
          <cell r="F56">
            <v>0</v>
          </cell>
          <cell r="H56">
            <v>0</v>
          </cell>
          <cell r="J56">
            <v>0</v>
          </cell>
          <cell r="L56">
            <v>55620.145808190835</v>
          </cell>
          <cell r="M56">
            <v>0.1564190321815449</v>
          </cell>
          <cell r="N56">
            <v>69689.094822087791</v>
          </cell>
          <cell r="O56">
            <v>0.18899711394509222</v>
          </cell>
          <cell r="P56">
            <v>81027.914604544872</v>
          </cell>
          <cell r="Q56">
            <v>0.20775453693281304</v>
          </cell>
          <cell r="R56">
            <v>135419.13244340301</v>
          </cell>
          <cell r="S56">
            <v>0.32595536340129222</v>
          </cell>
          <cell r="T56">
            <v>143322.20582161102</v>
          </cell>
          <cell r="U56">
            <v>0.33114057648288797</v>
          </cell>
          <cell r="V56">
            <v>145931.4729311917</v>
          </cell>
          <cell r="W56">
            <v>0.32890022594446866</v>
          </cell>
          <cell r="X56">
            <v>148539.03298643336</v>
          </cell>
          <cell r="Y56">
            <v>0.326631795993857</v>
          </cell>
        </row>
        <row r="58">
          <cell r="A58" t="str">
            <v>Accor Guarantee Fees</v>
          </cell>
          <cell r="B58">
            <v>-1599.6959999999999</v>
          </cell>
          <cell r="C58">
            <v>-4.0897130617724006E-3</v>
          </cell>
          <cell r="D58">
            <v>-1640.6890000000001</v>
          </cell>
          <cell r="E58">
            <v>-4.412941290060853E-3</v>
          </cell>
          <cell r="F58">
            <v>-1610.876</v>
          </cell>
          <cell r="G58">
            <v>-4.6741359266464551E-3</v>
          </cell>
          <cell r="H58">
            <v>-2349.672</v>
          </cell>
          <cell r="I58">
            <v>-6.9947622666251706E-3</v>
          </cell>
          <cell r="J58">
            <v>-2263.7779999999998</v>
          </cell>
          <cell r="K58">
            <v>-6.5885056287566775E-3</v>
          </cell>
          <cell r="L58">
            <v>-2262</v>
          </cell>
          <cell r="M58">
            <v>-6.3613614393393005E-3</v>
          </cell>
          <cell r="N58">
            <v>-2162.9899999999998</v>
          </cell>
          <cell r="O58">
            <v>-5.8660378433058246E-3</v>
          </cell>
          <cell r="P58">
            <v>-2072.3913882388356</v>
          </cell>
          <cell r="Q58">
            <v>-5.3135850195379364E-3</v>
          </cell>
          <cell r="R58">
            <v>-1967.5361324205098</v>
          </cell>
          <cell r="S58">
            <v>-4.7358814332704195E-3</v>
          </cell>
          <cell r="T58">
            <v>-1846.6322198959365</v>
          </cell>
          <cell r="U58">
            <v>-4.2665744246870255E-3</v>
          </cell>
          <cell r="V58">
            <v>-1714</v>
          </cell>
          <cell r="W58">
            <v>-3.8630116995709797E-3</v>
          </cell>
          <cell r="X58">
            <v>-1575</v>
          </cell>
          <cell r="Y58">
            <v>-3.4633662839134746E-3</v>
          </cell>
        </row>
        <row r="59">
          <cell r="A59" t="str">
            <v>Land &amp; Building (3)</v>
          </cell>
          <cell r="B59">
            <v>-35670.464999999997</v>
          </cell>
          <cell r="C59">
            <v>-9.1193555919371699E-2</v>
          </cell>
          <cell r="D59">
            <v>-43598.021000000001</v>
          </cell>
          <cell r="E59">
            <v>-0.11726506792929078</v>
          </cell>
          <cell r="F59">
            <v>-45557.569000000003</v>
          </cell>
          <cell r="G59">
            <v>-0.13219035480916896</v>
          </cell>
          <cell r="H59">
            <v>-45854.707000000002</v>
          </cell>
          <cell r="I59">
            <v>-0.13650533958388791</v>
          </cell>
          <cell r="J59">
            <v>-50997.578999999998</v>
          </cell>
          <cell r="K59">
            <v>-0.14842349218627593</v>
          </cell>
          <cell r="L59">
            <v>-51359.904000000002</v>
          </cell>
          <cell r="M59">
            <v>-0.14443806933411507</v>
          </cell>
          <cell r="N59">
            <v>-50236.847000000002</v>
          </cell>
          <cell r="O59">
            <v>-0.13624253724259694</v>
          </cell>
          <cell r="P59">
            <v>-50255.55</v>
          </cell>
          <cell r="Q59">
            <v>-0.12885458757651655</v>
          </cell>
          <cell r="R59">
            <v>-50298.138749999998</v>
          </cell>
          <cell r="S59">
            <v>-0.12106818142197862</v>
          </cell>
          <cell r="T59">
            <v>-50341.792218750001</v>
          </cell>
          <cell r="U59">
            <v>-0.11631282117753312</v>
          </cell>
          <cell r="V59">
            <v>-50386.537024218749</v>
          </cell>
          <cell r="W59">
            <v>-0.11356113303700313</v>
          </cell>
          <cell r="X59">
            <v>-50432.400449824221</v>
          </cell>
          <cell r="Y59">
            <v>-0.1108989684665041</v>
          </cell>
        </row>
        <row r="60">
          <cell r="A60" t="str">
            <v>Total Rent Expense</v>
          </cell>
          <cell r="B60">
            <v>-37270.160999999993</v>
          </cell>
          <cell r="C60">
            <v>-9.5283268981144101E-2</v>
          </cell>
          <cell r="D60">
            <v>-45238.71</v>
          </cell>
          <cell r="E60">
            <v>-0.12167800921935164</v>
          </cell>
          <cell r="F60">
            <v>-47168.445</v>
          </cell>
          <cell r="G60">
            <v>-0.13686449073581539</v>
          </cell>
          <cell r="H60">
            <v>-48204.379000000001</v>
          </cell>
          <cell r="I60">
            <v>-0.1435001018505131</v>
          </cell>
          <cell r="J60">
            <v>-53261.356999999996</v>
          </cell>
          <cell r="K60">
            <v>-0.15501199781503261</v>
          </cell>
          <cell r="L60">
            <v>-53621.904000000002</v>
          </cell>
          <cell r="M60">
            <v>-0.15079943077345437</v>
          </cell>
          <cell r="N60">
            <v>-52399.837</v>
          </cell>
          <cell r="O60">
            <v>-0.14210857508590274</v>
          </cell>
          <cell r="P60">
            <v>-52327.94138823884</v>
          </cell>
          <cell r="Q60">
            <v>-0.13416817259605451</v>
          </cell>
          <cell r="R60">
            <v>-52265.674882420506</v>
          </cell>
          <cell r="S60">
            <v>-0.12580406285524903</v>
          </cell>
          <cell r="T60">
            <v>-52188.42443864594</v>
          </cell>
          <cell r="U60">
            <v>-0.12057939560222015</v>
          </cell>
          <cell r="V60">
            <v>-52100.537024218749</v>
          </cell>
          <cell r="W60">
            <v>-0.11742414473657412</v>
          </cell>
          <cell r="X60">
            <v>-52007.400449824221</v>
          </cell>
          <cell r="Y60">
            <v>-0.11436233475041757</v>
          </cell>
        </row>
        <row r="62">
          <cell r="A62" t="str">
            <v>Lease FF&amp;E</v>
          </cell>
          <cell r="B62">
            <v>-440.61700000000002</v>
          </cell>
          <cell r="C62">
            <v>-1.1264622154077836E-3</v>
          </cell>
          <cell r="D62">
            <v>-358.452</v>
          </cell>
          <cell r="E62">
            <v>-9.6412399382508993E-4</v>
          </cell>
          <cell r="F62">
            <v>-323.91300000000001</v>
          </cell>
          <cell r="G62">
            <v>-9.398696053624446E-4</v>
          </cell>
          <cell r="H62">
            <v>-236.27600000000001</v>
          </cell>
          <cell r="I62">
            <v>-7.0337240657807932E-4</v>
          </cell>
          <cell r="J62">
            <v>-240.81399999999999</v>
          </cell>
          <cell r="K62">
            <v>-7.0086571849510451E-4</v>
          </cell>
          <cell r="L62">
            <v>-233.24700000000001</v>
          </cell>
          <cell r="M62">
            <v>-6.5595423149494869E-4</v>
          </cell>
          <cell r="N62">
            <v>-217.779</v>
          </cell>
          <cell r="O62">
            <v>-5.9061755046361717E-4</v>
          </cell>
          <cell r="P62">
            <v>-217.779</v>
          </cell>
          <cell r="Q62">
            <v>-5.5838257123494222E-4</v>
          </cell>
          <cell r="R62">
            <v>-217.779</v>
          </cell>
          <cell r="S62">
            <v>-5.241964839483664E-4</v>
          </cell>
          <cell r="T62">
            <v>-217.779</v>
          </cell>
          <cell r="U62">
            <v>-5.0317020445266437E-4</v>
          </cell>
          <cell r="V62">
            <v>-217.779</v>
          </cell>
          <cell r="W62">
            <v>-4.908301195570994E-4</v>
          </cell>
          <cell r="X62">
            <v>-217.779</v>
          </cell>
          <cell r="Y62">
            <v>-4.7888790218691594E-4</v>
          </cell>
        </row>
        <row r="63">
          <cell r="A63" t="str">
            <v>Other Leases</v>
          </cell>
          <cell r="B63">
            <v>-8.4580000000000002</v>
          </cell>
          <cell r="C63">
            <v>-2.1623354110075267E-5</v>
          </cell>
          <cell r="D63">
            <v>-25.061</v>
          </cell>
          <cell r="E63">
            <v>-6.7406267531637643E-5</v>
          </cell>
          <cell r="F63">
            <v>-44.835000000000001</v>
          </cell>
          <cell r="G63">
            <v>-1.3009374046866042E-4</v>
          </cell>
          <cell r="H63">
            <v>-51.643000000000001</v>
          </cell>
          <cell r="I63">
            <v>-1.537365673742223E-4</v>
          </cell>
          <cell r="J63">
            <v>-55.216999999999999</v>
          </cell>
          <cell r="K63">
            <v>-1.6070370650437345E-4</v>
          </cell>
          <cell r="L63">
            <v>-32.406999999999996</v>
          </cell>
          <cell r="M63">
            <v>-9.1137329869437963E-5</v>
          </cell>
          <cell r="N63">
            <v>-18.052</v>
          </cell>
          <cell r="O63">
            <v>-4.8957098806446985E-5</v>
          </cell>
          <cell r="P63">
            <v>-18.052</v>
          </cell>
          <cell r="Q63">
            <v>-4.6285097167004973E-5</v>
          </cell>
          <cell r="R63">
            <v>-18.052</v>
          </cell>
          <cell r="S63">
            <v>-4.3451365504644205E-5</v>
          </cell>
          <cell r="T63">
            <v>-18.052</v>
          </cell>
          <cell r="U63">
            <v>-4.1708468359114039E-5</v>
          </cell>
          <cell r="V63">
            <v>-18.052</v>
          </cell>
          <cell r="W63">
            <v>-4.0685581797348499E-5</v>
          </cell>
          <cell r="X63">
            <v>-18.052</v>
          </cell>
          <cell r="Y63">
            <v>-3.9695675020448282E-5</v>
          </cell>
          <cell r="AA63">
            <v>-227</v>
          </cell>
        </row>
        <row r="64">
          <cell r="A64" t="str">
            <v>Total Lease Expense</v>
          </cell>
          <cell r="B64">
            <v>-449.07500000000005</v>
          </cell>
          <cell r="C64">
            <v>-1.1480855695178589E-3</v>
          </cell>
          <cell r="D64">
            <v>-383.51299999999998</v>
          </cell>
          <cell r="E64">
            <v>-1.0315302613567274E-3</v>
          </cell>
          <cell r="F64">
            <v>-368.74799999999999</v>
          </cell>
          <cell r="G64">
            <v>-1.069963345831105E-3</v>
          </cell>
          <cell r="H64">
            <v>-287.91899999999998</v>
          </cell>
          <cell r="I64">
            <v>-8.571089739523016E-4</v>
          </cell>
          <cell r="J64">
            <v>-296.03100000000001</v>
          </cell>
          <cell r="K64">
            <v>-8.6156942499947796E-4</v>
          </cell>
          <cell r="L64">
            <v>-265.654</v>
          </cell>
          <cell r="M64">
            <v>-7.4709156136438658E-4</v>
          </cell>
          <cell r="N64">
            <v>-235.83099999999999</v>
          </cell>
          <cell r="O64">
            <v>-6.395746492700641E-4</v>
          </cell>
          <cell r="P64">
            <v>-235.83099999999999</v>
          </cell>
          <cell r="Q64">
            <v>-6.046676684019471E-4</v>
          </cell>
          <cell r="R64">
            <v>-235.83099999999999</v>
          </cell>
          <cell r="S64">
            <v>-5.6764784945301065E-4</v>
          </cell>
          <cell r="T64">
            <v>-235.83099999999999</v>
          </cell>
          <cell r="U64">
            <v>-5.4487867281177835E-4</v>
          </cell>
          <cell r="V64">
            <v>-235.83099999999999</v>
          </cell>
          <cell r="W64">
            <v>-5.3151570135444792E-4</v>
          </cell>
          <cell r="X64">
            <v>-235.83099999999999</v>
          </cell>
          <cell r="Y64">
            <v>-5.1858357720736424E-4</v>
          </cell>
        </row>
        <row r="66">
          <cell r="A66" t="str">
            <v>EBITDA</v>
          </cell>
          <cell r="B66">
            <v>122806.31300000004</v>
          </cell>
          <cell r="C66">
            <v>0.31396126660578627</v>
          </cell>
          <cell r="D66">
            <v>92086.851999999984</v>
          </cell>
          <cell r="E66">
            <v>0.24768488815523404</v>
          </cell>
          <cell r="F66">
            <v>77931.325999999957</v>
          </cell>
          <cell r="G66">
            <v>0.22612641237922521</v>
          </cell>
          <cell r="H66">
            <v>63382.663000000008</v>
          </cell>
          <cell r="I66">
            <v>0.18868448852036343</v>
          </cell>
          <cell r="J66">
            <v>58082.642187707395</v>
          </cell>
          <cell r="K66">
            <v>0.16904387929680836</v>
          </cell>
          <cell r="L66">
            <v>61666.58780819083</v>
          </cell>
          <cell r="M66">
            <v>0.1734232775325624</v>
          </cell>
          <cell r="N66">
            <v>77053.426822087786</v>
          </cell>
          <cell r="O66">
            <v>0.20896921284645933</v>
          </cell>
          <cell r="P66">
            <v>88464.142216306034</v>
          </cell>
          <cell r="Q66">
            <v>0.22682092944147306</v>
          </cell>
          <cell r="R66">
            <v>102917.62656098249</v>
          </cell>
          <cell r="S66">
            <v>0.24772387594569736</v>
          </cell>
          <cell r="T66">
            <v>110897.95038296506</v>
          </cell>
          <cell r="U66">
            <v>0.25622555144241621</v>
          </cell>
          <cell r="V66">
            <v>113595.10490697295</v>
          </cell>
          <cell r="W66">
            <v>0.25602054799861684</v>
          </cell>
          <cell r="X66">
            <v>116295.80153660913</v>
          </cell>
          <cell r="Y66">
            <v>0.25573013206513329</v>
          </cell>
        </row>
        <row r="68">
          <cell r="A68" t="str">
            <v>Total Depreciation</v>
          </cell>
          <cell r="B68">
            <v>-24273.555</v>
          </cell>
          <cell r="C68">
            <v>-6.2056712612365575E-2</v>
          </cell>
          <cell r="D68">
            <v>-21614.717000000001</v>
          </cell>
          <cell r="E68">
            <v>-5.81368419744877E-2</v>
          </cell>
          <cell r="F68">
            <v>-26867.394</v>
          </cell>
          <cell r="G68">
            <v>-7.7958732733472605E-2</v>
          </cell>
          <cell r="H68">
            <v>-30798.294999999998</v>
          </cell>
          <cell r="I68">
            <v>-9.1683754899573491E-2</v>
          </cell>
          <cell r="J68">
            <v>-32172.934000000001</v>
          </cell>
          <cell r="K68">
            <v>-9.3636194340883744E-2</v>
          </cell>
          <cell r="L68">
            <v>-34138.489000000001</v>
          </cell>
          <cell r="M68">
            <v>-9.600674956759897E-2</v>
          </cell>
          <cell r="N68">
            <v>-37845.504999999997</v>
          </cell>
          <cell r="O68">
            <v>-0.10263716638959025</v>
          </cell>
          <cell r="P68">
            <v>-40821.5</v>
          </cell>
          <cell r="Q68">
            <v>-0.10466580401079623</v>
          </cell>
          <cell r="R68">
            <v>-41274.5</v>
          </cell>
          <cell r="S68">
            <v>-9.9348182224763867E-2</v>
          </cell>
          <cell r="T68">
            <v>-41556.5</v>
          </cell>
          <cell r="U68">
            <v>-9.6014733290800056E-2</v>
          </cell>
          <cell r="V68">
            <v>-41694.5</v>
          </cell>
          <cell r="W68">
            <v>-9.397102760079476E-2</v>
          </cell>
          <cell r="X68">
            <v>-42263.5</v>
          </cell>
          <cell r="Y68">
            <v>-9.2935860914398177E-2</v>
          </cell>
        </row>
        <row r="69">
          <cell r="B69" t="str">
            <v xml:space="preserve"> </v>
          </cell>
          <cell r="D69" t="str">
            <v xml:space="preserve"> </v>
          </cell>
          <cell r="F69" t="str">
            <v xml:space="preserve"> </v>
          </cell>
          <cell r="H69" t="str">
            <v xml:space="preserve"> </v>
          </cell>
          <cell r="J69" t="str">
            <v xml:space="preserve"> </v>
          </cell>
          <cell r="L69" t="str">
            <v xml:space="preserve"> </v>
          </cell>
          <cell r="N69" t="str">
            <v xml:space="preserve"> </v>
          </cell>
          <cell r="P69" t="str">
            <v xml:space="preserve"> </v>
          </cell>
          <cell r="R69" t="str">
            <v xml:space="preserve"> </v>
          </cell>
          <cell r="T69" t="str">
            <v xml:space="preserve"> </v>
          </cell>
          <cell r="V69" t="str">
            <v xml:space="preserve"> </v>
          </cell>
          <cell r="X69" t="str">
            <v xml:space="preserve"> </v>
          </cell>
        </row>
        <row r="70">
          <cell r="A70" t="str">
            <v>EBIT</v>
          </cell>
          <cell r="B70">
            <v>98532.758000000031</v>
          </cell>
          <cell r="C70">
            <v>0.25190455399342071</v>
          </cell>
          <cell r="D70">
            <v>70472.13499999998</v>
          </cell>
          <cell r="E70">
            <v>0.18954804618074633</v>
          </cell>
          <cell r="F70">
            <v>51063.931999999957</v>
          </cell>
          <cell r="G70">
            <v>0.14816767964575261</v>
          </cell>
          <cell r="H70">
            <v>32584.368000000009</v>
          </cell>
          <cell r="I70">
            <v>9.7000733620789939E-2</v>
          </cell>
          <cell r="J70">
            <v>25909.708187707394</v>
          </cell>
          <cell r="K70">
            <v>7.5407684955924634E-2</v>
          </cell>
          <cell r="L70">
            <v>27528.098808190829</v>
          </cell>
          <cell r="M70">
            <v>7.7416527964963427E-2</v>
          </cell>
          <cell r="N70">
            <v>39207.921822087788</v>
          </cell>
          <cell r="O70">
            <v>0.10633204645686908</v>
          </cell>
          <cell r="P70">
            <v>47642.642216306034</v>
          </cell>
          <cell r="Q70">
            <v>0.12215512543067682</v>
          </cell>
          <cell r="R70">
            <v>61643.126560982491</v>
          </cell>
          <cell r="S70">
            <v>0.14837569372093351</v>
          </cell>
          <cell r="T70">
            <v>69341.450382965064</v>
          </cell>
          <cell r="U70">
            <v>0.16021081815161614</v>
          </cell>
          <cell r="V70">
            <v>71900.604906972949</v>
          </cell>
          <cell r="W70">
            <v>0.16204952039782211</v>
          </cell>
          <cell r="X70">
            <v>74032.301536609128</v>
          </cell>
          <cell r="Y70">
            <v>0.16279427115073511</v>
          </cell>
        </row>
        <row r="72">
          <cell r="A72" t="str">
            <v>Total Interest Expense</v>
          </cell>
          <cell r="B72">
            <v>-27281.743999999999</v>
          </cell>
          <cell r="C72">
            <v>-6.9747317480778101E-2</v>
          </cell>
          <cell r="D72">
            <v>-23584.197</v>
          </cell>
          <cell r="E72">
            <v>-6.3434128426672759E-2</v>
          </cell>
          <cell r="F72">
            <v>-20112.751999999997</v>
          </cell>
          <cell r="G72">
            <v>-5.8359387505264426E-2</v>
          </cell>
          <cell r="H72">
            <v>-17859.927</v>
          </cell>
          <cell r="I72">
            <v>-5.3167396753368165E-2</v>
          </cell>
          <cell r="J72">
            <v>-16650.880999999998</v>
          </cell>
          <cell r="K72">
            <v>-4.8460769206281541E-2</v>
          </cell>
          <cell r="L72">
            <v>-17469.791000000001</v>
          </cell>
          <cell r="M72">
            <v>-4.9129820875648433E-2</v>
          </cell>
          <cell r="N72">
            <v>-23959.066999999999</v>
          </cell>
          <cell r="O72">
            <v>-6.4977088988991988E-2</v>
          </cell>
          <cell r="P72">
            <v>-25471.393229467209</v>
          </cell>
          <cell r="Q72">
            <v>-6.5308326534726471E-2</v>
          </cell>
          <cell r="R72">
            <v>-26189.767815768828</v>
          </cell>
          <cell r="S72">
            <v>-6.3039063474669768E-2</v>
          </cell>
          <cell r="T72">
            <v>-23597.413296700655</v>
          </cell>
          <cell r="U72">
            <v>-5.4520937615908281E-2</v>
          </cell>
          <cell r="V72">
            <v>-20566.072446606027</v>
          </cell>
          <cell r="W72">
            <v>-4.6351796076699793E-2</v>
          </cell>
          <cell r="X72">
            <v>-17245.864530545354</v>
          </cell>
          <cell r="Y72">
            <v>-3.7923013175892105E-2</v>
          </cell>
        </row>
        <row r="73">
          <cell r="A73" t="str">
            <v>RGO</v>
          </cell>
          <cell r="B73">
            <v>71251.014000000025</v>
          </cell>
          <cell r="C73">
            <v>0.18215723651264257</v>
          </cell>
          <cell r="D73">
            <v>46887.93799999998</v>
          </cell>
          <cell r="E73">
            <v>0.12611391775407357</v>
          </cell>
          <cell r="F73">
            <v>30951.17999999996</v>
          </cell>
          <cell r="G73">
            <v>8.9808292140488188E-2</v>
          </cell>
          <cell r="H73">
            <v>14724.44100000001</v>
          </cell>
          <cell r="I73">
            <v>4.3833336867421774E-2</v>
          </cell>
          <cell r="J73">
            <v>9258.8271877073967</v>
          </cell>
          <cell r="K73">
            <v>2.6946915749643096E-2</v>
          </cell>
          <cell r="L73">
            <v>10058.307808190828</v>
          </cell>
          <cell r="M73">
            <v>2.8286707089314998E-2</v>
          </cell>
          <cell r="N73">
            <v>15248.854822087789</v>
          </cell>
          <cell r="O73">
            <v>4.1354957467877103E-2</v>
          </cell>
          <cell r="P73">
            <v>22171.248986838826</v>
          </cell>
          <cell r="Q73">
            <v>5.6846798895950346E-2</v>
          </cell>
          <cell r="R73">
            <v>35453.358745213663</v>
          </cell>
          <cell r="S73">
            <v>8.5336630246263742E-2</v>
          </cell>
          <cell r="T73">
            <v>45744.037086264405</v>
          </cell>
          <cell r="U73">
            <v>0.10568988053570785</v>
          </cell>
          <cell r="V73">
            <v>51334.532460366921</v>
          </cell>
          <cell r="W73">
            <v>0.11569772432112231</v>
          </cell>
          <cell r="X73">
            <v>56786.437006063774</v>
          </cell>
          <cell r="Y73">
            <v>0.124871257974843</v>
          </cell>
        </row>
      </sheetData>
      <sheetData sheetId="3">
        <row r="1">
          <cell r="J1">
            <v>366</v>
          </cell>
          <cell r="L1">
            <v>365</v>
          </cell>
          <cell r="N1">
            <v>365</v>
          </cell>
          <cell r="P1">
            <v>365</v>
          </cell>
          <cell r="R1">
            <v>366</v>
          </cell>
          <cell r="T1">
            <v>365</v>
          </cell>
          <cell r="V1">
            <v>365</v>
          </cell>
          <cell r="X1">
            <v>365</v>
          </cell>
        </row>
        <row r="2">
          <cell r="A2" t="str">
            <v>BUSINESS PLAN 2006-2011</v>
          </cell>
        </row>
        <row r="4">
          <cell r="Z4" t="str">
            <v>% of…</v>
          </cell>
          <cell r="AA4" t="str">
            <v>COLA</v>
          </cell>
          <cell r="AB4" t="str">
            <v>CPOR</v>
          </cell>
          <cell r="AC4" t="str">
            <v>CPAR</v>
          </cell>
          <cell r="AD4">
            <v>2002</v>
          </cell>
          <cell r="AF4" t="str">
            <v>2003 E</v>
          </cell>
          <cell r="AH4" t="str">
            <v>2004 B</v>
          </cell>
          <cell r="AJ4" t="str">
            <v>2005 F</v>
          </cell>
          <cell r="AL4" t="str">
            <v>2006 F</v>
          </cell>
          <cell r="AN4" t="str">
            <v>2007 F</v>
          </cell>
          <cell r="AP4" t="str">
            <v>2008 F</v>
          </cell>
          <cell r="AR4" t="str">
            <v>2009 F</v>
          </cell>
        </row>
        <row r="6">
          <cell r="A6" t="str">
            <v>Red Roof Inns Standalone</v>
          </cell>
          <cell r="B6" t="str">
            <v>2000A</v>
          </cell>
          <cell r="D6" t="str">
            <v>2001A</v>
          </cell>
          <cell r="F6" t="str">
            <v>2002A</v>
          </cell>
          <cell r="H6" t="str">
            <v>2003 A</v>
          </cell>
          <cell r="J6" t="str">
            <v>2004 A</v>
          </cell>
          <cell r="L6" t="str">
            <v>2005 A</v>
          </cell>
          <cell r="N6" t="str">
            <v>2006 E</v>
          </cell>
          <cell r="P6" t="str">
            <v>2007 F</v>
          </cell>
          <cell r="R6" t="str">
            <v>2008 F</v>
          </cell>
          <cell r="T6" t="str">
            <v>2009F</v>
          </cell>
          <cell r="V6" t="str">
            <v>2010F</v>
          </cell>
          <cell r="X6" t="str">
            <v>2011F</v>
          </cell>
        </row>
        <row r="7">
          <cell r="A7" t="str">
            <v>No. Hotels</v>
          </cell>
          <cell r="B7">
            <v>261</v>
          </cell>
          <cell r="D7">
            <v>260</v>
          </cell>
          <cell r="F7">
            <v>259</v>
          </cell>
          <cell r="H7">
            <v>251</v>
          </cell>
          <cell r="J7">
            <v>247</v>
          </cell>
          <cell r="K7">
            <v>-1.5936254980079681E-2</v>
          </cell>
          <cell r="L7">
            <v>245</v>
          </cell>
          <cell r="M7">
            <v>-8.0971659919028341E-3</v>
          </cell>
          <cell r="N7">
            <v>238</v>
          </cell>
          <cell r="O7">
            <v>-2.8571428571428571E-2</v>
          </cell>
          <cell r="P7">
            <v>238</v>
          </cell>
          <cell r="Q7">
            <v>0</v>
          </cell>
          <cell r="R7">
            <v>238</v>
          </cell>
          <cell r="S7">
            <v>0</v>
          </cell>
          <cell r="T7">
            <v>238</v>
          </cell>
          <cell r="U7">
            <v>0</v>
          </cell>
          <cell r="V7">
            <v>238</v>
          </cell>
          <cell r="W7">
            <v>0</v>
          </cell>
          <cell r="X7">
            <v>238</v>
          </cell>
          <cell r="Y7">
            <v>0</v>
          </cell>
        </row>
        <row r="8">
          <cell r="A8" t="str">
            <v>Rooms Rented</v>
          </cell>
          <cell r="B8">
            <v>7538529</v>
          </cell>
          <cell r="D8">
            <v>7422397</v>
          </cell>
          <cell r="F8">
            <v>7167483</v>
          </cell>
          <cell r="H8">
            <v>6898973</v>
          </cell>
          <cell r="J8">
            <v>6678366</v>
          </cell>
          <cell r="L8">
            <v>6548206</v>
          </cell>
          <cell r="N8">
            <v>6374214</v>
          </cell>
          <cell r="P8">
            <v>6554816</v>
          </cell>
          <cell r="R8">
            <v>6675474</v>
          </cell>
          <cell r="T8">
            <v>6687960.7000000002</v>
          </cell>
          <cell r="V8">
            <v>6687960.7000000002</v>
          </cell>
          <cell r="X8">
            <v>6687960.7000000002</v>
          </cell>
        </row>
        <row r="9">
          <cell r="A9" t="str">
            <v>Rooms Available</v>
          </cell>
          <cell r="B9">
            <v>11074946</v>
          </cell>
          <cell r="D9">
            <v>11116038</v>
          </cell>
          <cell r="F9">
            <v>10941553</v>
          </cell>
          <cell r="H9">
            <v>10928573</v>
          </cell>
          <cell r="J9">
            <v>10666363</v>
          </cell>
          <cell r="L9">
            <v>10571472</v>
          </cell>
          <cell r="N9">
            <v>10284396</v>
          </cell>
          <cell r="P9">
            <v>10241900</v>
          </cell>
          <cell r="R9">
            <v>10269960</v>
          </cell>
          <cell r="T9">
            <v>10241900</v>
          </cell>
          <cell r="V9">
            <v>10241900</v>
          </cell>
          <cell r="X9">
            <v>10241900</v>
          </cell>
        </row>
        <row r="10">
          <cell r="A10" t="str">
            <v>Occupancy</v>
          </cell>
          <cell r="B10">
            <v>0.68068313831959093</v>
          </cell>
          <cell r="D10">
            <v>0.66771964975290654</v>
          </cell>
          <cell r="E10">
            <v>-1.2963488566684389</v>
          </cell>
          <cell r="F10">
            <v>0.65506998869356114</v>
          </cell>
          <cell r="G10">
            <v>-1.2649661059345396</v>
          </cell>
          <cell r="H10">
            <v>0.63127848439132905</v>
          </cell>
          <cell r="I10">
            <v>-2.3791504302232092</v>
          </cell>
          <cell r="J10">
            <v>0.62611463720107785</v>
          </cell>
          <cell r="K10">
            <v>-0.51638471902512029</v>
          </cell>
          <cell r="L10">
            <v>0.61942234723792489</v>
          </cell>
          <cell r="M10">
            <v>-0.66922899631529642</v>
          </cell>
          <cell r="N10">
            <v>0.61979468701905294</v>
          </cell>
          <cell r="O10">
            <v>3.7233978112805044E-4</v>
          </cell>
          <cell r="P10">
            <v>0.64</v>
          </cell>
          <cell r="Q10">
            <v>2.0205312980947077E-2</v>
          </cell>
          <cell r="R10">
            <v>0.65</v>
          </cell>
          <cell r="S10">
            <v>1.0000000000000009E-2</v>
          </cell>
          <cell r="T10">
            <v>0.65300000000000002</v>
          </cell>
          <cell r="U10">
            <v>3.0000000000000027E-3</v>
          </cell>
          <cell r="V10">
            <v>0.65300000000000002</v>
          </cell>
          <cell r="W10">
            <v>0</v>
          </cell>
          <cell r="X10">
            <v>0.65300000000000002</v>
          </cell>
          <cell r="Y10">
            <v>0</v>
          </cell>
        </row>
        <row r="11">
          <cell r="A11" t="str">
            <v>ADR</v>
          </cell>
          <cell r="B11">
            <v>50.082437037782839</v>
          </cell>
          <cell r="D11">
            <v>48.392866617078013</v>
          </cell>
          <cell r="E11">
            <v>-3.3735786847397052E-2</v>
          </cell>
          <cell r="F11">
            <v>47.367970318171665</v>
          </cell>
          <cell r="G11">
            <v>-2.1178664760988949E-2</v>
          </cell>
          <cell r="H11">
            <v>47.390024283324486</v>
          </cell>
          <cell r="I11">
            <v>4.6558813908817215E-4</v>
          </cell>
          <cell r="J11">
            <v>48.854844433503644</v>
          </cell>
          <cell r="K11">
            <v>3.0909883932990424E-2</v>
          </cell>
          <cell r="L11">
            <v>51.778897914940366</v>
          </cell>
          <cell r="M11">
            <v>5.9851863522289037E-2</v>
          </cell>
          <cell r="N11">
            <v>55.039274646254427</v>
          </cell>
          <cell r="O11">
            <v>6.2967287111248202E-2</v>
          </cell>
          <cell r="P11">
            <v>56.5</v>
          </cell>
          <cell r="Q11">
            <v>2.6539691213844505E-2</v>
          </cell>
          <cell r="R11">
            <v>58.873000000000005</v>
          </cell>
          <cell r="S11">
            <v>4.2000000000000086E-2</v>
          </cell>
          <cell r="T11">
            <v>60.933554999999998</v>
          </cell>
          <cell r="U11">
            <v>3.4999999999999892E-2</v>
          </cell>
          <cell r="V11">
            <v>62.1522261</v>
          </cell>
          <cell r="W11">
            <v>2.0000000000000028E-2</v>
          </cell>
          <cell r="X11">
            <v>63.395270621999998</v>
          </cell>
          <cell r="Y11">
            <v>1.9999999999999969E-2</v>
          </cell>
        </row>
        <row r="12">
          <cell r="A12" t="str">
            <v>REVPAR</v>
          </cell>
          <cell r="B12">
            <v>34.09027041757134</v>
          </cell>
          <cell r="D12">
            <v>32.312867948094457</v>
          </cell>
          <cell r="E12">
            <v>-5.213811588190706E-2</v>
          </cell>
          <cell r="F12">
            <v>31.029335780761652</v>
          </cell>
          <cell r="G12">
            <v>-3.9722013205222055E-2</v>
          </cell>
          <cell r="H12">
            <v>29.916302704845361</v>
          </cell>
          <cell r="I12">
            <v>-3.5870348104788563E-2</v>
          </cell>
          <cell r="J12">
            <v>30.588733197998231</v>
          </cell>
          <cell r="K12">
            <v>2.2477058739078761E-2</v>
          </cell>
          <cell r="L12">
            <v>32.073006483865257</v>
          </cell>
          <cell r="M12">
            <v>4.8523529113136302E-2</v>
          </cell>
          <cell r="N12">
            <v>34.113050003130958</v>
          </cell>
          <cell r="O12">
            <v>6.3606245341919276E-2</v>
          </cell>
          <cell r="P12">
            <v>36.160000000000004</v>
          </cell>
          <cell r="Q12">
            <v>6.0004895389921827E-2</v>
          </cell>
          <cell r="R12">
            <v>38.267450000000004</v>
          </cell>
          <cell r="S12">
            <v>5.8281249999999993E-2</v>
          </cell>
          <cell r="T12">
            <v>39.789611415000003</v>
          </cell>
          <cell r="U12">
            <v>3.9776923076923057E-2</v>
          </cell>
          <cell r="V12">
            <v>40.585403643300005</v>
          </cell>
          <cell r="W12">
            <v>2.0000000000000039E-2</v>
          </cell>
          <cell r="X12">
            <v>41.397111716166002</v>
          </cell>
          <cell r="Y12">
            <v>1.9999999999999928E-2</v>
          </cell>
        </row>
        <row r="14">
          <cell r="A14" t="str">
            <v>Room Revenue</v>
          </cell>
          <cell r="B14">
            <v>377547.90399999998</v>
          </cell>
          <cell r="D14">
            <v>359191.06800000003</v>
          </cell>
          <cell r="F14">
            <v>339509.12199999997</v>
          </cell>
          <cell r="H14">
            <v>326942.49800000002</v>
          </cell>
          <cell r="J14">
            <v>326270.53200000001</v>
          </cell>
          <cell r="L14">
            <v>339058.89</v>
          </cell>
          <cell r="N14">
            <v>350832.11499999999</v>
          </cell>
          <cell r="P14">
            <v>370347.10399999999</v>
          </cell>
          <cell r="R14">
            <v>393005.18080200005</v>
          </cell>
          <cell r="T14">
            <v>407521.22115128848</v>
          </cell>
          <cell r="V14">
            <v>415671.64557431429</v>
          </cell>
          <cell r="X14">
            <v>423985.07848580054</v>
          </cell>
        </row>
        <row r="15">
          <cell r="A15" t="str">
            <v>Other Revenue</v>
          </cell>
          <cell r="B15">
            <v>13603.254000000001</v>
          </cell>
          <cell r="D15">
            <v>12599.285</v>
          </cell>
          <cell r="F15">
            <v>5126.9830000000002</v>
          </cell>
          <cell r="H15">
            <v>8976.2810000000009</v>
          </cell>
          <cell r="J15">
            <v>8732.5300000000007</v>
          </cell>
          <cell r="L15">
            <v>7535.37</v>
          </cell>
          <cell r="N15">
            <v>7651.2960000000003</v>
          </cell>
          <cell r="P15">
            <v>7777.2891840000002</v>
          </cell>
          <cell r="R15">
            <v>8253.1087968420015</v>
          </cell>
          <cell r="T15">
            <v>8557.9456441770581</v>
          </cell>
          <cell r="V15">
            <v>8729.1045570606002</v>
          </cell>
          <cell r="X15">
            <v>8903.6866482018122</v>
          </cell>
          <cell r="Z15">
            <v>2.1000000000000001E-2</v>
          </cell>
          <cell r="AD15">
            <v>1.5101164203770645E-2</v>
          </cell>
          <cell r="AF15">
            <v>2.7455228533795568E-2</v>
          </cell>
          <cell r="AH15">
            <v>2.6764691087701419E-2</v>
          </cell>
          <cell r="AJ15">
            <v>2.2224369341856808E-2</v>
          </cell>
        </row>
        <row r="16">
          <cell r="A16" t="str">
            <v>F&amp;B Revenue</v>
          </cell>
        </row>
        <row r="17">
          <cell r="A17" t="str">
            <v>Franchise / Mgt Revenue</v>
          </cell>
          <cell r="N17">
            <v>10247.589</v>
          </cell>
          <cell r="P17">
            <v>11893.152525478166</v>
          </cell>
          <cell r="R17">
            <v>14194.706879957916</v>
          </cell>
          <cell r="T17">
            <v>16734.61683644569</v>
          </cell>
          <cell r="V17">
            <v>19294.51493612527</v>
          </cell>
          <cell r="X17">
            <v>21871.104567191585</v>
          </cell>
        </row>
        <row r="18">
          <cell r="A18" t="str">
            <v xml:space="preserve">     Total Revenue</v>
          </cell>
          <cell r="B18">
            <v>391151.158</v>
          </cell>
          <cell r="D18">
            <v>371790.353</v>
          </cell>
          <cell r="E18">
            <v>-4.9496990112451601E-2</v>
          </cell>
          <cell r="F18">
            <v>344636.10499999998</v>
          </cell>
          <cell r="G18">
            <v>-7.3036451271235703E-2</v>
          </cell>
          <cell r="H18">
            <v>335918.77900000004</v>
          </cell>
          <cell r="I18">
            <v>-2.5294291206082262E-2</v>
          </cell>
          <cell r="J18">
            <v>335003.06200000003</v>
          </cell>
          <cell r="K18">
            <v>-2.7260071697271918E-3</v>
          </cell>
          <cell r="L18">
            <v>346594.26</v>
          </cell>
          <cell r="M18">
            <v>3.4600274787936036E-2</v>
          </cell>
          <cell r="N18">
            <v>368730.99999999994</v>
          </cell>
          <cell r="O18">
            <v>6.3869320859497009E-2</v>
          </cell>
          <cell r="P18">
            <v>390017.54570947814</v>
          </cell>
          <cell r="Q18">
            <v>5.7729200174322766E-2</v>
          </cell>
          <cell r="R18">
            <v>415452.99647879996</v>
          </cell>
          <cell r="S18">
            <v>6.5216170526514058E-2</v>
          </cell>
          <cell r="T18">
            <v>432813.78363191121</v>
          </cell>
          <cell r="U18">
            <v>4.1787608466550427E-2</v>
          </cell>
          <cell r="V18">
            <v>443695.26506750012</v>
          </cell>
          <cell r="W18">
            <v>2.5141254384918398E-2</v>
          </cell>
          <cell r="X18">
            <v>454759.86970119394</v>
          </cell>
          <cell r="Y18">
            <v>2.4937396237506702E-2</v>
          </cell>
        </row>
        <row r="20">
          <cell r="A20" t="str">
            <v>Salaries &amp; Wages</v>
          </cell>
          <cell r="B20">
            <v>-78737.596999999994</v>
          </cell>
          <cell r="C20">
            <v>-0.20129710826524</v>
          </cell>
          <cell r="D20">
            <v>-75807.857000000004</v>
          </cell>
          <cell r="E20">
            <v>-0.2038994728838486</v>
          </cell>
          <cell r="F20">
            <v>-74448.653999999995</v>
          </cell>
          <cell r="G20">
            <v>-0.21602105211814646</v>
          </cell>
          <cell r="H20">
            <v>-75216.822</v>
          </cell>
          <cell r="I20">
            <v>-0.22391371576163055</v>
          </cell>
          <cell r="J20">
            <v>-72050.820999999996</v>
          </cell>
          <cell r="K20">
            <v>-0.21507511176121724</v>
          </cell>
          <cell r="L20">
            <v>-74330.157000000007</v>
          </cell>
          <cell r="M20">
            <v>-0.21445870742348705</v>
          </cell>
          <cell r="N20">
            <v>-75686.915999999997</v>
          </cell>
          <cell r="O20">
            <v>-0.20526322983421522</v>
          </cell>
          <cell r="P20">
            <v>-77579.088899999988</v>
          </cell>
          <cell r="Q20">
            <v>-0.1989117919268899</v>
          </cell>
          <cell r="R20">
            <v>-79518.566122499979</v>
          </cell>
          <cell r="S20">
            <v>-0.19140207627930231</v>
          </cell>
          <cell r="T20">
            <v>-81506.530275562458</v>
          </cell>
          <cell r="U20">
            <v>-0.18831777858738463</v>
          </cell>
          <cell r="V20">
            <v>-83544.193532451507</v>
          </cell>
          <cell r="W20">
            <v>-0.1882918302491729</v>
          </cell>
          <cell r="X20">
            <v>-85632.798370762786</v>
          </cell>
          <cell r="Y20">
            <v>-0.18830333122187973</v>
          </cell>
          <cell r="AA20">
            <v>2.5000000000000001E-2</v>
          </cell>
          <cell r="AD20">
            <v>-1.7929579515748726E-2</v>
          </cell>
          <cell r="AF20">
            <v>1.0318091177310005E-2</v>
          </cell>
          <cell r="AH20">
            <v>-4.2091661357349076E-2</v>
          </cell>
          <cell r="AJ20">
            <v>3.1635114886477286E-2</v>
          </cell>
          <cell r="AL20">
            <v>1.8253143202697539E-2</v>
          </cell>
        </row>
        <row r="21">
          <cell r="A21" t="str">
            <v>Payroll Taxes &amp; Benefits</v>
          </cell>
          <cell r="B21">
            <v>-17887.333999999999</v>
          </cell>
          <cell r="C21">
            <v>-4.5729978383446328E-2</v>
          </cell>
          <cell r="D21">
            <v>-16886.874</v>
          </cell>
          <cell r="E21">
            <v>-4.5420420039785164E-2</v>
          </cell>
          <cell r="F21">
            <v>-16910.671999999999</v>
          </cell>
          <cell r="G21">
            <v>-4.9068196148514383E-2</v>
          </cell>
          <cell r="H21">
            <v>-16600.096000000001</v>
          </cell>
          <cell r="I21">
            <v>-4.9416993147620367E-2</v>
          </cell>
          <cell r="J21">
            <v>-19466.357</v>
          </cell>
          <cell r="K21">
            <v>-5.8107997233768562E-2</v>
          </cell>
          <cell r="L21">
            <v>-21460.021000000001</v>
          </cell>
          <cell r="M21">
            <v>-6.1916839015164302E-2</v>
          </cell>
          <cell r="N21">
            <v>-18923.662</v>
          </cell>
          <cell r="O21">
            <v>-5.1321049762564047E-2</v>
          </cell>
          <cell r="P21">
            <v>-20059.081720000006</v>
          </cell>
          <cell r="Q21">
            <v>-5.1431229032300768E-2</v>
          </cell>
          <cell r="R21">
            <v>-21262.626623200005</v>
          </cell>
          <cell r="S21">
            <v>-5.1179379625162988E-2</v>
          </cell>
          <cell r="T21">
            <v>-22538.384220592008</v>
          </cell>
          <cell r="U21">
            <v>-5.2074090689680753E-2</v>
          </cell>
          <cell r="V21">
            <v>-23890.687273827531</v>
          </cell>
          <cell r="W21">
            <v>-5.3844810063936564E-2</v>
          </cell>
          <cell r="X21">
            <v>-25324.128510257182</v>
          </cell>
          <cell r="Y21">
            <v>-5.5686814509153457E-2</v>
          </cell>
          <cell r="Z21">
            <v>0.25</v>
          </cell>
          <cell r="AA21">
            <v>0.06</v>
          </cell>
          <cell r="AD21">
            <v>0.22714543637014578</v>
          </cell>
          <cell r="AF21">
            <v>0.22069658832435118</v>
          </cell>
          <cell r="AH21">
            <v>0.27017536691219662</v>
          </cell>
          <cell r="AJ21">
            <v>0.28871217102366675</v>
          </cell>
          <cell r="AL21">
            <v>0.2500255394208426</v>
          </cell>
        </row>
        <row r="22">
          <cell r="A22" t="str">
            <v xml:space="preserve">     Total Personnel Costs</v>
          </cell>
          <cell r="B22">
            <v>-96624.930999999997</v>
          </cell>
          <cell r="C22">
            <v>-0.24702708664868633</v>
          </cell>
          <cell r="D22">
            <v>-92694.731</v>
          </cell>
          <cell r="E22">
            <v>-0.24931989292363377</v>
          </cell>
          <cell r="F22">
            <v>-91359.326000000001</v>
          </cell>
          <cell r="G22">
            <v>-0.26508924826666086</v>
          </cell>
          <cell r="H22">
            <v>-91816.918000000005</v>
          </cell>
          <cell r="I22">
            <v>-0.27333070890925093</v>
          </cell>
          <cell r="J22">
            <v>-91517.178</v>
          </cell>
          <cell r="K22">
            <v>-0.27318310899498582</v>
          </cell>
          <cell r="L22">
            <v>-95790.178000000014</v>
          </cell>
          <cell r="M22">
            <v>-0.27637554643865136</v>
          </cell>
          <cell r="N22">
            <v>-94610.577999999994</v>
          </cell>
          <cell r="O22">
            <v>-0.25658427959677926</v>
          </cell>
          <cell r="P22">
            <v>-97638.17061999999</v>
          </cell>
          <cell r="Q22">
            <v>-0.25034302095919064</v>
          </cell>
          <cell r="R22">
            <v>-100781.19274569998</v>
          </cell>
          <cell r="S22">
            <v>-0.24258145590446528</v>
          </cell>
          <cell r="T22">
            <v>-104044.91449615447</v>
          </cell>
          <cell r="U22">
            <v>-0.24039186927706541</v>
          </cell>
          <cell r="V22">
            <v>-107434.88080627903</v>
          </cell>
          <cell r="W22">
            <v>-0.24213664031310944</v>
          </cell>
          <cell r="X22">
            <v>-110956.92688101997</v>
          </cell>
          <cell r="Y22">
            <v>-0.2439901457310332</v>
          </cell>
          <cell r="AD22">
            <v>1.4092602337175528E-3</v>
          </cell>
          <cell r="AF22">
            <v>-1.8365680559589669E-2</v>
          </cell>
          <cell r="AH22">
            <v>0.17266532675473675</v>
          </cell>
          <cell r="AJ22">
            <v>0.10241587575939354</v>
          </cell>
          <cell r="AL22">
            <v>-0.1181899589007858</v>
          </cell>
        </row>
        <row r="23">
          <cell r="B23" t="str">
            <v xml:space="preserve"> </v>
          </cell>
          <cell r="D23" t="str">
            <v xml:space="preserve"> </v>
          </cell>
          <cell r="F23" t="str">
            <v xml:space="preserve"> </v>
          </cell>
          <cell r="H23" t="str">
            <v xml:space="preserve"> </v>
          </cell>
          <cell r="J23" t="str">
            <v xml:space="preserve"> </v>
          </cell>
          <cell r="L23" t="str">
            <v xml:space="preserve"> </v>
          </cell>
          <cell r="N23" t="str">
            <v xml:space="preserve"> </v>
          </cell>
          <cell r="P23" t="str">
            <v xml:space="preserve"> </v>
          </cell>
          <cell r="R23" t="str">
            <v xml:space="preserve"> </v>
          </cell>
          <cell r="T23" t="str">
            <v xml:space="preserve"> </v>
          </cell>
          <cell r="V23" t="str">
            <v xml:space="preserve"> </v>
          </cell>
          <cell r="X23" t="str">
            <v xml:space="preserve"> </v>
          </cell>
        </row>
        <row r="24">
          <cell r="A24" t="str">
            <v>Total Supplies &amp; Cost of Sales</v>
          </cell>
          <cell r="B24">
            <v>-17692.772000000001</v>
          </cell>
          <cell r="C24">
            <v>-4.5232569655335141E-2</v>
          </cell>
          <cell r="D24">
            <v>-17204.702000000001</v>
          </cell>
          <cell r="E24">
            <v>-4.6275278153868615E-2</v>
          </cell>
          <cell r="F24">
            <v>-11045.963</v>
          </cell>
          <cell r="G24">
            <v>-3.2051090526339372E-2</v>
          </cell>
          <cell r="H24">
            <v>-16315.939</v>
          </cell>
          <cell r="I24">
            <v>-4.8571083309397238E-2</v>
          </cell>
          <cell r="J24">
            <v>-15499.373000000001</v>
          </cell>
          <cell r="K24">
            <v>-4.6266362186265626E-2</v>
          </cell>
          <cell r="L24">
            <v>-15386.492</v>
          </cell>
          <cell r="M24">
            <v>-4.4393383779639049E-2</v>
          </cell>
          <cell r="N24">
            <v>-15784.630999999999</v>
          </cell>
          <cell r="O24">
            <v>-4.2807984682600601E-2</v>
          </cell>
          <cell r="P24">
            <v>-17015.59769328</v>
          </cell>
          <cell r="Q24">
            <v>-4.3627774905170093E-2</v>
          </cell>
          <cell r="R24">
            <v>-18056.623031947889</v>
          </cell>
          <cell r="S24">
            <v>-4.3462493194147162E-2</v>
          </cell>
          <cell r="T24">
            <v>-18723.562505795948</v>
          </cell>
          <cell r="U24">
            <v>-4.3260088319459579E-2</v>
          </cell>
          <cell r="V24">
            <v>-19098.033755911867</v>
          </cell>
          <cell r="W24">
            <v>-4.3043131760728728E-2</v>
          </cell>
          <cell r="X24">
            <v>-19479.994431030107</v>
          </cell>
          <cell r="Y24">
            <v>-4.2835781538572648E-2</v>
          </cell>
          <cell r="Z24">
            <v>-4.4999999999999998E-2</v>
          </cell>
          <cell r="AD24">
            <v>-3.2051090526339372E-2</v>
          </cell>
          <cell r="AF24">
            <v>-4.8571083309397238E-2</v>
          </cell>
          <cell r="AH24">
            <v>-4.6266362186265626E-2</v>
          </cell>
          <cell r="AJ24">
            <v>-4.4393383779639049E-2</v>
          </cell>
        </row>
        <row r="25">
          <cell r="A25" t="str">
            <v>Total Travel Expenses</v>
          </cell>
          <cell r="B25">
            <v>-977.64400000000001</v>
          </cell>
          <cell r="C25">
            <v>-2.499402034238641E-3</v>
          </cell>
          <cell r="D25">
            <v>-825.20600000000002</v>
          </cell>
          <cell r="E25">
            <v>-2.2195465625758182E-3</v>
          </cell>
          <cell r="F25">
            <v>-896.78800000000001</v>
          </cell>
          <cell r="G25">
            <v>-2.6021301511633555E-3</v>
          </cell>
          <cell r="H25">
            <v>-1222.7560000000001</v>
          </cell>
          <cell r="I25">
            <v>-3.6400346644508371E-3</v>
          </cell>
          <cell r="J25">
            <v>-1052.4769999999999</v>
          </cell>
          <cell r="K25">
            <v>-3.1416936720417192E-3</v>
          </cell>
          <cell r="L25">
            <v>-1511.23</v>
          </cell>
          <cell r="M25">
            <v>-4.360228008392291E-3</v>
          </cell>
          <cell r="N25">
            <v>-1354.04</v>
          </cell>
          <cell r="O25">
            <v>-3.6721620910636758E-3</v>
          </cell>
          <cell r="P25">
            <v>-1387.8909999999998</v>
          </cell>
          <cell r="Q25">
            <v>-3.5585347768785562E-3</v>
          </cell>
          <cell r="R25">
            <v>-1422.5882749999996</v>
          </cell>
          <cell r="S25">
            <v>-3.4241858575031182E-3</v>
          </cell>
          <cell r="T25">
            <v>-1458.1529818749996</v>
          </cell>
          <cell r="U25">
            <v>-3.3690077280789502E-3</v>
          </cell>
          <cell r="V25">
            <v>-1494.6068064218744</v>
          </cell>
          <cell r="W25">
            <v>-3.3685435119405597E-3</v>
          </cell>
          <cell r="X25">
            <v>-1531.9719765824211</v>
          </cell>
          <cell r="Y25">
            <v>-3.3687492645052956E-3</v>
          </cell>
          <cell r="AA25">
            <v>2.5000000000000001E-2</v>
          </cell>
        </row>
        <row r="26">
          <cell r="A26" t="str">
            <v>Total Legal Expenses</v>
          </cell>
          <cell r="B26">
            <v>-0.57799999999999996</v>
          </cell>
          <cell r="C26">
            <v>-1.4776896045901518E-6</v>
          </cell>
          <cell r="D26">
            <v>-0.311</v>
          </cell>
          <cell r="E26">
            <v>-8.3649292535570441E-7</v>
          </cell>
          <cell r="F26">
            <v>-0.29699999999999999</v>
          </cell>
          <cell r="G26">
            <v>-8.6177854174622822E-7</v>
          </cell>
          <cell r="H26">
            <v>-12.082000000000001</v>
          </cell>
          <cell r="I26">
            <v>-3.5967027612945686E-5</v>
          </cell>
          <cell r="J26">
            <v>-20.811</v>
          </cell>
          <cell r="K26">
            <v>-6.21218202477206E-5</v>
          </cell>
          <cell r="L26">
            <v>-60.372</v>
          </cell>
          <cell r="M26">
            <v>-1.7418638150556792E-4</v>
          </cell>
          <cell r="N26">
            <v>-50.514000000000003</v>
          </cell>
          <cell r="O26">
            <v>-1.3699417732710299E-4</v>
          </cell>
          <cell r="P26">
            <v>-50.514000000000003</v>
          </cell>
          <cell r="Q26">
            <v>-1.2951725007168677E-4</v>
          </cell>
          <cell r="R26">
            <v>-50.514000000000003</v>
          </cell>
          <cell r="S26">
            <v>-1.215877618602702E-4</v>
          </cell>
          <cell r="T26">
            <v>-50.514000000000003</v>
          </cell>
          <cell r="U26">
            <v>-1.1671070079172872E-4</v>
          </cell>
          <cell r="V26">
            <v>-50.514000000000003</v>
          </cell>
          <cell r="W26">
            <v>-1.1384840898023832E-4</v>
          </cell>
          <cell r="X26">
            <v>-50.514000000000003</v>
          </cell>
          <cell r="Y26">
            <v>-1.1107840283530493E-4</v>
          </cell>
        </row>
        <row r="27">
          <cell r="A27" t="str">
            <v>Total Outsides Services</v>
          </cell>
          <cell r="B27">
            <v>-5231.5720000000001</v>
          </cell>
          <cell r="C27">
            <v>-1.3374808927447942E-2</v>
          </cell>
          <cell r="D27">
            <v>-3113.08</v>
          </cell>
          <cell r="E27">
            <v>-8.3732134921747151E-3</v>
          </cell>
          <cell r="F27">
            <v>-3108.7460000000001</v>
          </cell>
          <cell r="G27">
            <v>-9.0203723721865997E-3</v>
          </cell>
          <cell r="H27">
            <v>-3054.848</v>
          </cell>
          <cell r="I27">
            <v>-9.094007810739272E-3</v>
          </cell>
          <cell r="J27">
            <v>-2904.7579999999998</v>
          </cell>
          <cell r="K27">
            <v>-8.6708401489178008E-3</v>
          </cell>
          <cell r="L27">
            <v>-2986.1219999999998</v>
          </cell>
          <cell r="M27">
            <v>-8.6156129648540629E-3</v>
          </cell>
          <cell r="N27">
            <v>-2845.4549999999999</v>
          </cell>
          <cell r="O27">
            <v>-7.7168857514014295E-3</v>
          </cell>
          <cell r="P27">
            <v>-2916.5913749999995</v>
          </cell>
          <cell r="Q27">
            <v>-7.4781029907114794E-3</v>
          </cell>
          <cell r="R27">
            <v>-2989.5061593749992</v>
          </cell>
          <cell r="S27">
            <v>-7.1957746958446834E-3</v>
          </cell>
          <cell r="T27">
            <v>-3064.2438133593741</v>
          </cell>
          <cell r="U27">
            <v>-7.0798203043491255E-3</v>
          </cell>
          <cell r="V27">
            <v>-3140.8499086933584</v>
          </cell>
          <cell r="W27">
            <v>-7.0788447747251381E-3</v>
          </cell>
          <cell r="X27">
            <v>-3219.371156410692</v>
          </cell>
          <cell r="Y27">
            <v>-7.0792771546135391E-3</v>
          </cell>
          <cell r="AA27">
            <v>2.5000000000000001E-2</v>
          </cell>
          <cell r="AD27">
            <v>-1.3921903709509017E-3</v>
          </cell>
          <cell r="AF27">
            <v>-1.7337537386457477E-2</v>
          </cell>
          <cell r="AH27">
            <v>-4.9131740760915157E-2</v>
          </cell>
          <cell r="AJ27">
            <v>2.8010595030635955E-2</v>
          </cell>
          <cell r="AL27">
            <v>-4.7106916596173873E-2</v>
          </cell>
        </row>
        <row r="28">
          <cell r="A28" t="str">
            <v>Total Guest Finance</v>
          </cell>
          <cell r="B28">
            <v>-9652.9699999999993</v>
          </cell>
          <cell r="C28">
            <v>-2.4678362322526983E-2</v>
          </cell>
          <cell r="D28">
            <v>-10953.566000000001</v>
          </cell>
          <cell r="E28">
            <v>-2.9461673525455891E-2</v>
          </cell>
          <cell r="F28">
            <v>-8577.348</v>
          </cell>
          <cell r="G28">
            <v>-2.4888129466296052E-2</v>
          </cell>
          <cell r="H28">
            <v>-7124.8670000000002</v>
          </cell>
          <cell r="I28">
            <v>-2.121008840651924E-2</v>
          </cell>
          <cell r="J28">
            <v>-6019.8549999999996</v>
          </cell>
          <cell r="K28">
            <v>-1.7969552170839558E-2</v>
          </cell>
          <cell r="L28">
            <v>-7187.3580000000002</v>
          </cell>
          <cell r="M28">
            <v>-2.0737094722803547E-2</v>
          </cell>
          <cell r="N28">
            <v>-6937.884</v>
          </cell>
          <cell r="O28">
            <v>-1.8815570158191203E-2</v>
          </cell>
          <cell r="P28">
            <v>-7184.3634704959995</v>
          </cell>
          <cell r="Q28">
            <v>-1.8420616071071816E-2</v>
          </cell>
          <cell r="R28">
            <v>-7623.9075023779988</v>
          </cell>
          <cell r="S28">
            <v>-1.8350830459751027E-2</v>
          </cell>
          <cell r="T28">
            <v>-7905.5041691138449</v>
          </cell>
          <cell r="U28">
            <v>-1.8265370623771822E-2</v>
          </cell>
          <cell r="V28">
            <v>-8063.6142524961224</v>
          </cell>
          <cell r="W28">
            <v>-1.81737667434188E-2</v>
          </cell>
          <cell r="X28">
            <v>-8224.8865375460446</v>
          </cell>
          <cell r="Y28">
            <v>-1.8086218871841784E-2</v>
          </cell>
          <cell r="Z28">
            <v>-1.9E-2</v>
          </cell>
          <cell r="AB28">
            <v>-0.85</v>
          </cell>
          <cell r="AD28">
            <v>-1.1967029429996556</v>
          </cell>
          <cell r="AF28">
            <v>-1.0327431343766673</v>
          </cell>
          <cell r="AH28">
            <v>-0.90139638947610834</v>
          </cell>
          <cell r="AJ28">
            <v>-1.0976071919545598</v>
          </cell>
        </row>
        <row r="29">
          <cell r="A29" t="str">
            <v>Total Other Operating Expenses</v>
          </cell>
          <cell r="B29">
            <v>-538.56799999999998</v>
          </cell>
          <cell r="C29">
            <v>-1.3768794722576279E-3</v>
          </cell>
          <cell r="D29">
            <v>-3195.625</v>
          </cell>
          <cell r="E29">
            <v>-8.5952337768161503E-3</v>
          </cell>
          <cell r="F29">
            <v>-833.68299999999999</v>
          </cell>
          <cell r="G29">
            <v>-2.4190239731266693E-3</v>
          </cell>
          <cell r="H29">
            <v>241.50899999999999</v>
          </cell>
          <cell r="I29">
            <v>7.1895057703814751E-4</v>
          </cell>
          <cell r="J29">
            <v>1206.931</v>
          </cell>
          <cell r="K29">
            <v>3.6027461743021317E-3</v>
          </cell>
          <cell r="L29">
            <v>1457.9860000000001</v>
          </cell>
          <cell r="M29">
            <v>4.2066074608390807E-3</v>
          </cell>
          <cell r="N29">
            <v>2275.7779999999998</v>
          </cell>
          <cell r="O29">
            <v>6.171919366692793E-3</v>
          </cell>
          <cell r="P29">
            <v>2617.1446999999994</v>
          </cell>
          <cell r="Q29">
            <v>6.7103255450704658E-3</v>
          </cell>
          <cell r="R29">
            <v>3009.7164049999992</v>
          </cell>
          <cell r="S29">
            <v>7.2444209826600233E-3</v>
          </cell>
          <cell r="T29">
            <v>3461.1738657499986</v>
          </cell>
          <cell r="U29">
            <v>7.9969122903293961E-3</v>
          </cell>
          <cell r="V29">
            <v>3980.3499456124982</v>
          </cell>
          <cell r="W29">
            <v>8.9709092230383855E-3</v>
          </cell>
          <cell r="X29">
            <v>4577.4024374543724</v>
          </cell>
          <cell r="Y29">
            <v>1.0065537314147829E-2</v>
          </cell>
          <cell r="AA29">
            <v>0.15</v>
          </cell>
          <cell r="AD29">
            <v>-0.73911738705261099</v>
          </cell>
          <cell r="AF29">
            <v>-1.2896892463922138</v>
          </cell>
          <cell r="AH29">
            <v>3.9974576516817182</v>
          </cell>
          <cell r="AJ29">
            <v>0.20801106276995127</v>
          </cell>
          <cell r="AL29">
            <v>0.56090524874724423</v>
          </cell>
        </row>
        <row r="30">
          <cell r="A30" t="str">
            <v>Capitalized Expenses</v>
          </cell>
          <cell r="B30">
            <v>15.621</v>
          </cell>
          <cell r="C30">
            <v>3.9935967670073983E-5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</row>
        <row r="31">
          <cell r="A31" t="str">
            <v>Total Distribution Costs</v>
          </cell>
          <cell r="B31">
            <v>-1841.6780000000001</v>
          </cell>
          <cell r="C31">
            <v>-4.7083536948138091E-3</v>
          </cell>
          <cell r="D31">
            <v>-2407.3029999999999</v>
          </cell>
          <cell r="E31">
            <v>-6.4748936613748011E-3</v>
          </cell>
          <cell r="F31">
            <v>-1459.8720000000001</v>
          </cell>
          <cell r="G31">
            <v>-4.2359810211991577E-3</v>
          </cell>
          <cell r="H31">
            <v>-1518.855</v>
          </cell>
          <cell r="I31">
            <v>-4.5214947628754026E-3</v>
          </cell>
          <cell r="J31">
            <v>-1698.011</v>
          </cell>
          <cell r="K31">
            <v>-5.0686432233267159E-3</v>
          </cell>
          <cell r="L31">
            <v>-1532.2049999999999</v>
          </cell>
          <cell r="M31">
            <v>-4.420745456084587E-3</v>
          </cell>
          <cell r="N31">
            <v>-1547.26</v>
          </cell>
          <cell r="O31">
            <v>-4.1961755317562128E-3</v>
          </cell>
          <cell r="P31">
            <v>-1638.704</v>
          </cell>
          <cell r="Q31">
            <v>-4.2016161017039508E-3</v>
          </cell>
          <cell r="R31">
            <v>-1668.8685</v>
          </cell>
          <cell r="S31">
            <v>-4.0169851081701376E-3</v>
          </cell>
          <cell r="T31">
            <v>-1671.9901750000001</v>
          </cell>
          <cell r="U31">
            <v>-3.8630705357155471E-3</v>
          </cell>
          <cell r="V31">
            <v>-1671.9901750000001</v>
          </cell>
          <cell r="W31">
            <v>-3.7683299927612195E-3</v>
          </cell>
          <cell r="X31">
            <v>-1671.9901750000001</v>
          </cell>
          <cell r="Y31">
            <v>-3.6766440629394225E-3</v>
          </cell>
          <cell r="AB31">
            <v>-0.25</v>
          </cell>
          <cell r="AD31">
            <v>-0.20367986920931661</v>
          </cell>
          <cell r="AF31">
            <v>-0.22015668129154875</v>
          </cell>
          <cell r="AH31">
            <v>-0.25425545709833813</v>
          </cell>
          <cell r="AJ31">
            <v>-0.23398851532770959</v>
          </cell>
        </row>
        <row r="32">
          <cell r="A32" t="str">
            <v>Total Billboard &amp; Local Adv.</v>
          </cell>
          <cell r="B32">
            <v>-9611.1260000000002</v>
          </cell>
          <cell r="C32">
            <v>-2.4571385776135171E-2</v>
          </cell>
          <cell r="D32">
            <v>-7685.5389999999998</v>
          </cell>
          <cell r="E32">
            <v>-2.0671700967991494E-2</v>
          </cell>
          <cell r="F32">
            <v>-7168.3760000000002</v>
          </cell>
          <cell r="G32">
            <v>-2.0799840457806938E-2</v>
          </cell>
          <cell r="H32">
            <v>-7020.3540000000003</v>
          </cell>
          <cell r="I32">
            <v>-2.0898962603099959E-2</v>
          </cell>
          <cell r="J32">
            <v>-6399.9390000000003</v>
          </cell>
          <cell r="K32">
            <v>-1.9104120905020266E-2</v>
          </cell>
          <cell r="L32">
            <v>-6378.9610000000002</v>
          </cell>
          <cell r="M32">
            <v>-1.8404693141773322E-2</v>
          </cell>
          <cell r="N32">
            <v>-5298.8940000000002</v>
          </cell>
          <cell r="O32">
            <v>-1.4370622486311163E-2</v>
          </cell>
          <cell r="P32">
            <v>-5431.3663499999993</v>
          </cell>
          <cell r="Q32">
            <v>-1.3925953869895364E-2</v>
          </cell>
          <cell r="R32">
            <v>-5567.1505087499991</v>
          </cell>
          <cell r="S32">
            <v>-1.34001934176303E-2</v>
          </cell>
          <cell r="T32">
            <v>-5706.3292714687486</v>
          </cell>
          <cell r="U32">
            <v>-1.3184259575988289E-2</v>
          </cell>
          <cell r="V32">
            <v>-5848.9875032554664</v>
          </cell>
          <cell r="W32">
            <v>-1.3182442914655963E-2</v>
          </cell>
          <cell r="X32">
            <v>-5995.2121908368526</v>
          </cell>
          <cell r="Y32">
            <v>-1.3183248105810407E-2</v>
          </cell>
          <cell r="AA32">
            <v>2.5000000000000001E-2</v>
          </cell>
          <cell r="AD32">
            <v>-6.7290400842413209E-2</v>
          </cell>
          <cell r="AF32">
            <v>-2.0649307458202516E-2</v>
          </cell>
          <cell r="AH32">
            <v>-8.8373748674212146E-2</v>
          </cell>
          <cell r="AJ32">
            <v>-3.2778437419481755E-3</v>
          </cell>
          <cell r="AL32">
            <v>-0.16931707216896294</v>
          </cell>
        </row>
        <row r="33">
          <cell r="A33" t="str">
            <v>Total Loyalty Costs</v>
          </cell>
          <cell r="B33">
            <v>0</v>
          </cell>
          <cell r="C33">
            <v>0</v>
          </cell>
          <cell r="D33">
            <v>-1304.373</v>
          </cell>
          <cell r="E33">
            <v>-3.5083562267684766E-3</v>
          </cell>
          <cell r="F33">
            <v>-1855.615</v>
          </cell>
          <cell r="G33">
            <v>-5.3842733627691161E-3</v>
          </cell>
          <cell r="H33">
            <v>-2383.8159999999998</v>
          </cell>
          <cell r="I33">
            <v>-7.0964058844712567E-3</v>
          </cell>
          <cell r="J33">
            <v>-2400.0529999999999</v>
          </cell>
          <cell r="K33">
            <v>-7.1642718298497209E-3</v>
          </cell>
          <cell r="L33">
            <v>-2206.4850000000001</v>
          </cell>
          <cell r="M33">
            <v>-6.3661902536989506E-3</v>
          </cell>
          <cell r="N33">
            <v>-2229.3290000000002</v>
          </cell>
          <cell r="O33">
            <v>-6.0459494862108165E-3</v>
          </cell>
          <cell r="P33">
            <v>-2359.7337599999996</v>
          </cell>
          <cell r="Q33">
            <v>-6.0503271864536879E-3</v>
          </cell>
          <cell r="R33">
            <v>-2403.1706400000003</v>
          </cell>
          <cell r="S33">
            <v>-5.7844585557649984E-3</v>
          </cell>
          <cell r="T33">
            <v>-2407.6658520000001</v>
          </cell>
          <cell r="U33">
            <v>-5.5628215714303873E-3</v>
          </cell>
          <cell r="V33">
            <v>-2407.6658520000001</v>
          </cell>
          <cell r="W33">
            <v>-5.4263951895761556E-3</v>
          </cell>
          <cell r="X33">
            <v>-2407.6658520000001</v>
          </cell>
          <cell r="Y33">
            <v>-5.2943674506327684E-3</v>
          </cell>
          <cell r="AB33">
            <v>-0.36</v>
          </cell>
          <cell r="AD33">
            <v>-0.2588935334761171</v>
          </cell>
          <cell r="AF33">
            <v>-0.34553200889465724</v>
          </cell>
          <cell r="AH33">
            <v>-0.35937727881341031</v>
          </cell>
          <cell r="AJ33">
            <v>-0.33696023002330716</v>
          </cell>
        </row>
        <row r="34">
          <cell r="A34" t="str">
            <v>Total R&amp;M</v>
          </cell>
          <cell r="B34">
            <v>-11454.450999999999</v>
          </cell>
          <cell r="C34">
            <v>-2.9283950119355136E-2</v>
          </cell>
          <cell r="D34">
            <v>-11079.592000000001</v>
          </cell>
          <cell r="E34">
            <v>-2.9800644128063217E-2</v>
          </cell>
          <cell r="F34">
            <v>-11592.736000000001</v>
          </cell>
          <cell r="G34">
            <v>-3.3637613215249169E-2</v>
          </cell>
          <cell r="H34">
            <v>-11739.133</v>
          </cell>
          <cell r="I34">
            <v>-3.494634338379754E-2</v>
          </cell>
          <cell r="J34">
            <v>-11909.596</v>
          </cell>
          <cell r="K34">
            <v>-3.5550707891738607E-2</v>
          </cell>
          <cell r="L34">
            <v>-12992.416999999999</v>
          </cell>
          <cell r="M34">
            <v>-3.7485955480047475E-2</v>
          </cell>
          <cell r="N34">
            <v>-12368.097</v>
          </cell>
          <cell r="O34">
            <v>-3.3542330316680725E-2</v>
          </cell>
          <cell r="P34">
            <v>-12478.104975071999</v>
          </cell>
          <cell r="Q34">
            <v>-3.1993701597124731E-2</v>
          </cell>
          <cell r="R34">
            <v>-13241.523556761787</v>
          </cell>
          <cell r="S34">
            <v>-3.1872495009041261E-2</v>
          </cell>
          <cell r="T34">
            <v>-13730.612504250363</v>
          </cell>
          <cell r="U34">
            <v>-3.1724064767603692E-2</v>
          </cell>
          <cell r="V34">
            <v>-14005.224754335371</v>
          </cell>
          <cell r="W34">
            <v>-3.1564963291201072E-2</v>
          </cell>
          <cell r="X34">
            <v>-14285.329249422079</v>
          </cell>
          <cell r="Y34">
            <v>-3.1412906461619941E-2</v>
          </cell>
          <cell r="Z34">
            <v>-3.3000000000000002E-2</v>
          </cell>
          <cell r="AB34">
            <v>-1.7</v>
          </cell>
          <cell r="AD34">
            <v>-1.6174068358446057</v>
          </cell>
          <cell r="AF34">
            <v>-1.70157688687867</v>
          </cell>
          <cell r="AH34">
            <v>-1.7833098695099969</v>
          </cell>
          <cell r="AJ34">
            <v>-1.984118550943571</v>
          </cell>
        </row>
        <row r="35">
          <cell r="A35" t="str">
            <v>Total Energy</v>
          </cell>
          <cell r="B35">
            <v>-17446.990000000002</v>
          </cell>
          <cell r="C35">
            <v>-4.4604214107938293E-2</v>
          </cell>
          <cell r="D35">
            <v>-18256.791000000001</v>
          </cell>
          <cell r="E35">
            <v>-4.9105069167838251E-2</v>
          </cell>
          <cell r="F35">
            <v>-16882.420999999998</v>
          </cell>
          <cell r="G35">
            <v>-4.8986222729043433E-2</v>
          </cell>
          <cell r="H35">
            <v>-18371.813999999998</v>
          </cell>
          <cell r="I35">
            <v>-5.4691238324607025E-2</v>
          </cell>
          <cell r="J35">
            <v>-17861.824000000001</v>
          </cell>
          <cell r="K35">
            <v>-5.3318390265937328E-2</v>
          </cell>
          <cell r="L35">
            <v>-19974.173999999999</v>
          </cell>
          <cell r="M35">
            <v>-5.762984649543821E-2</v>
          </cell>
          <cell r="N35">
            <v>-20493.732</v>
          </cell>
          <cell r="O35">
            <v>-5.557908610884358E-2</v>
          </cell>
          <cell r="P35">
            <v>-21518.418600000001</v>
          </cell>
          <cell r="Q35">
            <v>-5.5172950131912653E-2</v>
          </cell>
          <cell r="R35">
            <v>-22594.339530000005</v>
          </cell>
          <cell r="S35">
            <v>-5.4384827457016463E-2</v>
          </cell>
          <cell r="T35">
            <v>-23724.056506500005</v>
          </cell>
          <cell r="U35">
            <v>-5.4813541998182419E-2</v>
          </cell>
          <cell r="V35">
            <v>-24910.259331825007</v>
          </cell>
          <cell r="W35">
            <v>-5.6142720675721812E-2</v>
          </cell>
          <cell r="X35">
            <v>-26155.772298416261</v>
          </cell>
          <cell r="Y35">
            <v>-5.7515568195589159E-2</v>
          </cell>
          <cell r="AA35">
            <v>0.05</v>
          </cell>
          <cell r="AB35">
            <v>-2.75</v>
          </cell>
          <cell r="AD35">
            <v>-2.3554183525792802</v>
          </cell>
          <cell r="AF35">
            <v>-2.6629780983343463</v>
          </cell>
          <cell r="AH35">
            <v>-2.674579979593811</v>
          </cell>
          <cell r="AJ35">
            <v>-3.0503276775348849</v>
          </cell>
        </row>
        <row r="36">
          <cell r="A36" t="str">
            <v>Total Other Utilities</v>
          </cell>
          <cell r="B36">
            <v>-11740.447</v>
          </cell>
          <cell r="C36">
            <v>-3.0015115026196599E-2</v>
          </cell>
          <cell r="D36">
            <v>-10973.942999999999</v>
          </cell>
          <cell r="E36">
            <v>-2.9516481295037797E-2</v>
          </cell>
          <cell r="F36">
            <v>-10998.856</v>
          </cell>
          <cell r="G36">
            <v>-3.1914404325106914E-2</v>
          </cell>
          <cell r="H36">
            <v>-10746.869000000001</v>
          </cell>
          <cell r="I36">
            <v>-3.1992462678009433E-2</v>
          </cell>
          <cell r="J36">
            <v>-9850.2659999999996</v>
          </cell>
          <cell r="K36">
            <v>-2.9403510347615864E-2</v>
          </cell>
          <cell r="L36">
            <v>-9889.2999999999993</v>
          </cell>
          <cell r="M36">
            <v>-2.8532786434489709E-2</v>
          </cell>
          <cell r="N36">
            <v>-9892.5519999999997</v>
          </cell>
          <cell r="O36">
            <v>-2.6828642018165007E-2</v>
          </cell>
          <cell r="P36">
            <v>-10159.964800000002</v>
          </cell>
          <cell r="Q36">
            <v>-2.60500198305645E-2</v>
          </cell>
          <cell r="R36">
            <v>-10346.984700000001</v>
          </cell>
          <cell r="S36">
            <v>-2.4905307670654853E-2</v>
          </cell>
          <cell r="T36">
            <v>-10366.339085000001</v>
          </cell>
          <cell r="U36">
            <v>-2.3951037321436393E-2</v>
          </cell>
          <cell r="V36">
            <v>-10366.339085000001</v>
          </cell>
          <cell r="W36">
            <v>-2.3363645955119562E-2</v>
          </cell>
          <cell r="X36">
            <v>-10366.339085000001</v>
          </cell>
          <cell r="Y36">
            <v>-2.2795193190224421E-2</v>
          </cell>
          <cell r="AB36">
            <v>-1.55</v>
          </cell>
          <cell r="AD36">
            <v>-1.5345492971521524</v>
          </cell>
          <cell r="AF36">
            <v>-1.557749102656294</v>
          </cell>
          <cell r="AH36">
            <v>-1.4749515075993138</v>
          </cell>
          <cell r="AJ36">
            <v>-1.510230435633821</v>
          </cell>
        </row>
        <row r="37">
          <cell r="A37" t="str">
            <v>Total Controllable Expenses</v>
          </cell>
          <cell r="B37">
            <v>-86173.175000000003</v>
          </cell>
          <cell r="C37">
            <v>-0.22030658285817986</v>
          </cell>
          <cell r="D37">
            <v>-87000.030999999988</v>
          </cell>
          <cell r="E37">
            <v>-0.23400292745089055</v>
          </cell>
          <cell r="F37">
            <v>-74420.701000000001</v>
          </cell>
          <cell r="G37">
            <v>-0.21593994337882852</v>
          </cell>
          <cell r="H37">
            <v>-79269.824000000008</v>
          </cell>
          <cell r="I37">
            <v>-0.23597913827854203</v>
          </cell>
          <cell r="J37">
            <v>-74410.031999999992</v>
          </cell>
          <cell r="K37">
            <v>-0.22211746828749876</v>
          </cell>
          <cell r="L37">
            <v>-78647.13</v>
          </cell>
          <cell r="M37">
            <v>-0.22691411565788772</v>
          </cell>
          <cell r="N37">
            <v>-76526.61</v>
          </cell>
          <cell r="O37">
            <v>-0.20754048344185874</v>
          </cell>
          <cell r="P37">
            <v>-79524.105323847994</v>
          </cell>
          <cell r="Q37">
            <v>-0.20389878916648804</v>
          </cell>
          <cell r="R37">
            <v>-82955.459999212675</v>
          </cell>
          <cell r="S37">
            <v>-0.19967471820472424</v>
          </cell>
          <cell r="T37">
            <v>-85347.796998613267</v>
          </cell>
          <cell r="U37">
            <v>-0.19719288115647851</v>
          </cell>
          <cell r="V37">
            <v>-87077.735479326569</v>
          </cell>
          <cell r="W37">
            <v>-0.19625572399579086</v>
          </cell>
          <cell r="X37">
            <v>-88811.644514790081</v>
          </cell>
          <cell r="Y37">
            <v>-0.19529349538503685</v>
          </cell>
        </row>
        <row r="38">
          <cell r="A38" t="str">
            <v>CP / GOP</v>
          </cell>
          <cell r="B38">
            <v>208353.05200000003</v>
          </cell>
          <cell r="C38">
            <v>0.53266633049313383</v>
          </cell>
          <cell r="D38">
            <v>192095.59099999999</v>
          </cell>
          <cell r="E38">
            <v>0.51667717962547566</v>
          </cell>
          <cell r="F38">
            <v>178856.07799999998</v>
          </cell>
          <cell r="G38">
            <v>0.51897080835451059</v>
          </cell>
          <cell r="H38">
            <v>164832.03700000001</v>
          </cell>
          <cell r="I38">
            <v>0.49069015281220701</v>
          </cell>
          <cell r="J38">
            <v>169075.85200000001</v>
          </cell>
          <cell r="K38">
            <v>0.50469942271751533</v>
          </cell>
          <cell r="L38">
            <v>172156.95199999999</v>
          </cell>
          <cell r="M38">
            <v>0.49671033790346092</v>
          </cell>
          <cell r="N38">
            <v>197593.81199999998</v>
          </cell>
          <cell r="O38">
            <v>0.53587523696136208</v>
          </cell>
          <cell r="P38">
            <v>212855.26976563016</v>
          </cell>
          <cell r="Q38">
            <v>0.54575818987432134</v>
          </cell>
          <cell r="R38">
            <v>231716.34373388728</v>
          </cell>
          <cell r="S38">
            <v>0.5577438258908104</v>
          </cell>
          <cell r="T38">
            <v>243421.07213714346</v>
          </cell>
          <cell r="U38">
            <v>0.56241524956645605</v>
          </cell>
          <cell r="V38">
            <v>249182.64878189453</v>
          </cell>
          <cell r="W38">
            <v>0.56160763569109973</v>
          </cell>
          <cell r="X38">
            <v>254991.29830538388</v>
          </cell>
          <cell r="Y38">
            <v>0.5607163588839299</v>
          </cell>
        </row>
        <row r="39">
          <cell r="A39" t="str">
            <v>CP% / GOP%</v>
          </cell>
          <cell r="B39">
            <v>0.53266633049313383</v>
          </cell>
          <cell r="D39">
            <v>0.51667717962547566</v>
          </cell>
          <cell r="F39">
            <v>0.51897080835451059</v>
          </cell>
          <cell r="H39">
            <v>0.49069015281220701</v>
          </cell>
          <cell r="J39">
            <v>0.50469942271751533</v>
          </cell>
          <cell r="L39">
            <v>0.49671033790346092</v>
          </cell>
          <cell r="N39">
            <v>0.53587523696136208</v>
          </cell>
          <cell r="P39">
            <v>0.54575818987432134</v>
          </cell>
          <cell r="R39">
            <v>0.5577438258908104</v>
          </cell>
          <cell r="T39">
            <v>0.56241524956645605</v>
          </cell>
          <cell r="V39">
            <v>0.56160763569109973</v>
          </cell>
          <cell r="X39">
            <v>0.5607163588839299</v>
          </cell>
        </row>
        <row r="40">
          <cell r="B40" t="str">
            <v xml:space="preserve"> </v>
          </cell>
          <cell r="D40" t="str">
            <v xml:space="preserve"> </v>
          </cell>
          <cell r="F40" t="str">
            <v xml:space="preserve"> </v>
          </cell>
          <cell r="H40" t="str">
            <v xml:space="preserve"> </v>
          </cell>
          <cell r="J40" t="str">
            <v xml:space="preserve"> </v>
          </cell>
          <cell r="L40" t="str">
            <v xml:space="preserve"> </v>
          </cell>
          <cell r="N40" t="str">
            <v xml:space="preserve"> </v>
          </cell>
          <cell r="P40" t="str">
            <v xml:space="preserve"> </v>
          </cell>
          <cell r="R40" t="str">
            <v xml:space="preserve"> </v>
          </cell>
          <cell r="T40" t="str">
            <v xml:space="preserve"> </v>
          </cell>
          <cell r="V40" t="str">
            <v xml:space="preserve"> </v>
          </cell>
          <cell r="X40" t="str">
            <v xml:space="preserve"> </v>
          </cell>
        </row>
        <row r="41">
          <cell r="A41" t="str">
            <v>Base Management Fees:</v>
          </cell>
          <cell r="AD41">
            <v>0</v>
          </cell>
          <cell r="AF41">
            <v>0</v>
          </cell>
          <cell r="AH41">
            <v>0</v>
          </cell>
          <cell r="AJ41">
            <v>0</v>
          </cell>
        </row>
        <row r="42">
          <cell r="A42" t="str">
            <v>Management (3.0% of GPR)</v>
          </cell>
          <cell r="B42">
            <v>11734.534739999999</v>
          </cell>
          <cell r="D42">
            <v>11153.710589999999</v>
          </cell>
          <cell r="F42">
            <v>10339.083149999999</v>
          </cell>
          <cell r="H42">
            <v>10077.563370000002</v>
          </cell>
          <cell r="J42">
            <v>10050.09186</v>
          </cell>
          <cell r="L42">
            <v>10397.827799999999</v>
          </cell>
          <cell r="N42">
            <v>-10754.502329999999</v>
          </cell>
          <cell r="O42">
            <v>-2.9166254884997467E-2</v>
          </cell>
          <cell r="P42">
            <v>-11343.73179552</v>
          </cell>
          <cell r="Q42">
            <v>-2.9085183270113394E-2</v>
          </cell>
          <cell r="R42">
            <v>-12037.748687965261</v>
          </cell>
          <cell r="S42">
            <v>-2.8974995462764778E-2</v>
          </cell>
          <cell r="T42">
            <v>-12482.375003863965</v>
          </cell>
          <cell r="U42">
            <v>-2.8840058879639717E-2</v>
          </cell>
          <cell r="V42">
            <v>-12732.022503941245</v>
          </cell>
          <cell r="W42">
            <v>-2.8695421173819156E-2</v>
          </cell>
          <cell r="X42">
            <v>-12986.66295402007</v>
          </cell>
          <cell r="Y42">
            <v>-2.8557187692381764E-2</v>
          </cell>
          <cell r="Z42">
            <v>-1.363E-2</v>
          </cell>
          <cell r="AD42">
            <v>0.03</v>
          </cell>
          <cell r="AF42">
            <v>3.0000000000000002E-2</v>
          </cell>
          <cell r="AH42">
            <v>0.03</v>
          </cell>
          <cell r="AJ42">
            <v>2.9999999999999995E-2</v>
          </cell>
        </row>
        <row r="43">
          <cell r="A43" t="str">
            <v>Marketing (2.0% of GPR)</v>
          </cell>
          <cell r="B43">
            <v>7823.0231599999997</v>
          </cell>
          <cell r="D43">
            <v>7435.8070600000001</v>
          </cell>
          <cell r="F43">
            <v>6892.7221</v>
          </cell>
          <cell r="H43">
            <v>6718.3755800000008</v>
          </cell>
          <cell r="J43">
            <v>6700.0612400000009</v>
          </cell>
          <cell r="L43">
            <v>6931.8852000000006</v>
          </cell>
          <cell r="N43">
            <v>-7169.6682199999996</v>
          </cell>
          <cell r="O43">
            <v>-1.9444169923331645E-2</v>
          </cell>
          <cell r="P43">
            <v>-7562.4878636799995</v>
          </cell>
          <cell r="Q43">
            <v>-1.9390122180075596E-2</v>
          </cell>
          <cell r="R43">
            <v>-8025.1657919768413</v>
          </cell>
          <cell r="S43">
            <v>-1.9316663641843188E-2</v>
          </cell>
          <cell r="T43">
            <v>-8321.5833359093103</v>
          </cell>
          <cell r="U43">
            <v>-1.9226705919759814E-2</v>
          </cell>
          <cell r="V43">
            <v>-8488.0150026274969</v>
          </cell>
          <cell r="W43">
            <v>-1.9130280782546104E-2</v>
          </cell>
          <cell r="X43">
            <v>-8657.7753026800474</v>
          </cell>
          <cell r="Y43">
            <v>-1.9038125128254511E-2</v>
          </cell>
          <cell r="Z43">
            <v>-1.92E-3</v>
          </cell>
          <cell r="AD43">
            <v>0.02</v>
          </cell>
          <cell r="AF43">
            <v>0.02</v>
          </cell>
          <cell r="AH43">
            <v>0.02</v>
          </cell>
          <cell r="AJ43">
            <v>0.02</v>
          </cell>
        </row>
        <row r="44">
          <cell r="A44" t="str">
            <v>Reservation (1.5% of GPR)</v>
          </cell>
          <cell r="B44">
            <v>5867.2673699999996</v>
          </cell>
          <cell r="D44">
            <v>5576.8552949999994</v>
          </cell>
          <cell r="F44">
            <v>5169.5415749999993</v>
          </cell>
          <cell r="H44">
            <v>5038.7816850000008</v>
          </cell>
          <cell r="J44">
            <v>5025.0459300000002</v>
          </cell>
          <cell r="L44">
            <v>5198.9138999999996</v>
          </cell>
          <cell r="N44">
            <v>-5377.2511649999997</v>
          </cell>
          <cell r="O44">
            <v>-1.4583127442498733E-2</v>
          </cell>
          <cell r="P44">
            <v>-5671.8658977599998</v>
          </cell>
          <cell r="Q44">
            <v>-1.4542591635056697E-2</v>
          </cell>
          <cell r="R44">
            <v>-6018.8743439826303</v>
          </cell>
          <cell r="S44">
            <v>-1.4487497731382389E-2</v>
          </cell>
          <cell r="T44">
            <v>-6241.1875019319823</v>
          </cell>
          <cell r="U44">
            <v>-1.4420029439819858E-2</v>
          </cell>
          <cell r="V44">
            <v>-6366.0112519706227</v>
          </cell>
          <cell r="W44">
            <v>-1.4347710586909578E-2</v>
          </cell>
          <cell r="X44">
            <v>-6493.3314770100351</v>
          </cell>
          <cell r="Y44">
            <v>-1.4278593846190882E-2</v>
          </cell>
          <cell r="Z44">
            <v>-4.5850000000000002E-2</v>
          </cell>
          <cell r="AD44">
            <v>1.4999999999999999E-2</v>
          </cell>
          <cell r="AF44">
            <v>1.5000000000000001E-2</v>
          </cell>
          <cell r="AH44">
            <v>1.4999999999999999E-2</v>
          </cell>
          <cell r="AJ44">
            <v>1.4999999999999998E-2</v>
          </cell>
        </row>
        <row r="45">
          <cell r="A45" t="str">
            <v>Incentive Management Fee (0.5% of GRR)</v>
          </cell>
          <cell r="B45">
            <v>1887.7395199999999</v>
          </cell>
          <cell r="D45">
            <v>1795.9553400000002</v>
          </cell>
          <cell r="F45">
            <v>1697.5456099999999</v>
          </cell>
          <cell r="H45">
            <v>1634.7124900000001</v>
          </cell>
          <cell r="J45">
            <v>1631.35266</v>
          </cell>
          <cell r="L45">
            <v>1695.2944500000001</v>
          </cell>
          <cell r="N45">
            <v>-1754.1605749999999</v>
          </cell>
          <cell r="O45">
            <v>-4.7572907485402645E-3</v>
          </cell>
          <cell r="P45">
            <v>-1851.73552</v>
          </cell>
          <cell r="Q45">
            <v>-4.7478261949254639E-3</v>
          </cell>
          <cell r="R45">
            <v>-1965.0259040100002</v>
          </cell>
          <cell r="S45">
            <v>-4.7298392854660106E-3</v>
          </cell>
          <cell r="T45">
            <v>-2037.6061057564425</v>
          </cell>
          <cell r="U45">
            <v>-4.7078124191380546E-3</v>
          </cell>
          <cell r="V45">
            <v>-2078.3582278715717</v>
          </cell>
          <cell r="W45">
            <v>-4.6842019545901342E-3</v>
          </cell>
          <cell r="X45">
            <v>-2119.9253924290028</v>
          </cell>
          <cell r="Y45">
            <v>-4.6616369070162861E-3</v>
          </cell>
          <cell r="Z45">
            <v>-2.5080000000000002E-2</v>
          </cell>
          <cell r="AD45">
            <v>4.9256174422003755E-3</v>
          </cell>
          <cell r="AF45">
            <v>4.8663920929529212E-3</v>
          </cell>
          <cell r="AH45">
            <v>4.8696649226447957E-3</v>
          </cell>
          <cell r="AJ45">
            <v>4.8912940739410981E-3</v>
          </cell>
        </row>
        <row r="46">
          <cell r="A46" t="str">
            <v>Capital Expenditure Service Fee (3)</v>
          </cell>
          <cell r="N46">
            <v>-2700</v>
          </cell>
          <cell r="O46">
            <v>-7.3224111886442973E-3</v>
          </cell>
          <cell r="P46">
            <v>-1800</v>
          </cell>
          <cell r="Q46">
            <v>-4.615176983193494E-3</v>
          </cell>
          <cell r="R46">
            <v>-1800</v>
          </cell>
          <cell r="S46">
            <v>-4.3326200924196532E-3</v>
          </cell>
          <cell r="T46">
            <v>-900</v>
          </cell>
          <cell r="U46">
            <v>-2.0794162155552093E-3</v>
          </cell>
          <cell r="V46">
            <v>-900</v>
          </cell>
          <cell r="W46">
            <v>-2.0284192121434548E-3</v>
          </cell>
          <cell r="X46">
            <v>-900</v>
          </cell>
          <cell r="Y46">
            <v>-1.9790664479505571E-3</v>
          </cell>
          <cell r="AD46">
            <v>0</v>
          </cell>
          <cell r="AF46">
            <v>0</v>
          </cell>
          <cell r="AH46">
            <v>0</v>
          </cell>
          <cell r="AJ46">
            <v>0</v>
          </cell>
        </row>
        <row r="47">
          <cell r="A47" t="str">
            <v>Other Reimbursable Expenses (2.65% of GPR)(4) :</v>
          </cell>
          <cell r="N47">
            <v>-9499.8103914999992</v>
          </cell>
          <cell r="O47">
            <v>-2.5763525148414429E-2</v>
          </cell>
          <cell r="P47">
            <v>-10020.296419376</v>
          </cell>
          <cell r="Q47">
            <v>-2.5691911888600164E-2</v>
          </cell>
          <cell r="R47">
            <v>-10633.344674369313</v>
          </cell>
          <cell r="S47">
            <v>-2.5594579325442221E-2</v>
          </cell>
          <cell r="T47">
            <v>-11026.097920079836</v>
          </cell>
          <cell r="U47">
            <v>-2.5475385343681753E-2</v>
          </cell>
          <cell r="V47">
            <v>-11246.619878481433</v>
          </cell>
          <cell r="W47">
            <v>-2.5347622036873588E-2</v>
          </cell>
          <cell r="X47">
            <v>-11471.552276051063</v>
          </cell>
          <cell r="Y47">
            <v>-2.5225515794937228E-2</v>
          </cell>
        </row>
        <row r="48">
          <cell r="A48" t="str">
            <v>Allocated Franchise Expenses</v>
          </cell>
          <cell r="N48">
            <v>-8128.2361779121829</v>
          </cell>
          <cell r="O48">
            <v>-2.2043810197439825E-2</v>
          </cell>
          <cell r="P48">
            <v>-8988.3876594964859</v>
          </cell>
          <cell r="Q48">
            <v>-2.304611102340479E-2</v>
          </cell>
          <cell r="R48">
            <v>-10389.231549508757</v>
          </cell>
          <cell r="S48">
            <v>-2.5006996309001002E-2</v>
          </cell>
          <cell r="T48">
            <v>-11958.429021443526</v>
          </cell>
          <cell r="U48">
            <v>-2.7629501355284091E-2</v>
          </cell>
          <cell r="V48">
            <v>-13526.910058262532</v>
          </cell>
          <cell r="W48">
            <v>-3.0486938047906958E-2</v>
          </cell>
          <cell r="X48">
            <v>-15104.118531898104</v>
          </cell>
          <cell r="Y48">
            <v>-3.3213393569275294E-2</v>
          </cell>
          <cell r="Z48">
            <v>-13526.910058262532</v>
          </cell>
          <cell r="AA48" t="e">
            <v>#DIV/0!</v>
          </cell>
          <cell r="AB48">
            <v>-15104.118531898104</v>
          </cell>
          <cell r="AC48" t="e">
            <v>#DIV/0!</v>
          </cell>
        </row>
        <row r="49">
          <cell r="A49" t="str">
            <v>Total Management Fees:</v>
          </cell>
          <cell r="N49">
            <v>-45383.628859412187</v>
          </cell>
          <cell r="O49">
            <v>-0.12308058953386668</v>
          </cell>
          <cell r="P49">
            <v>-47238.505155832478</v>
          </cell>
          <cell r="Q49">
            <v>-0.12111892317536958</v>
          </cell>
          <cell r="R49">
            <v>-50869.390951812806</v>
          </cell>
          <cell r="S49">
            <v>-0.12244319184831925</v>
          </cell>
          <cell r="T49">
            <v>-52967.278888985056</v>
          </cell>
          <cell r="U49">
            <v>-0.12237890957287849</v>
          </cell>
          <cell r="V49">
            <v>-55337.936923154899</v>
          </cell>
          <cell r="W49">
            <v>-0.12472059379478896</v>
          </cell>
          <cell r="X49">
            <v>-57733.365934088317</v>
          </cell>
          <cell r="Y49">
            <v>-0.12695351938600652</v>
          </cell>
          <cell r="AD49">
            <v>0</v>
          </cell>
          <cell r="AF49">
            <v>0</v>
          </cell>
          <cell r="AH49">
            <v>0</v>
          </cell>
          <cell r="AJ49">
            <v>0</v>
          </cell>
        </row>
        <row r="51">
          <cell r="A51" t="str">
            <v>Total Property Tax &amp; Other</v>
          </cell>
          <cell r="B51">
            <v>-19237.367999999999</v>
          </cell>
          <cell r="C51">
            <v>-4.91814164589537E-2</v>
          </cell>
          <cell r="D51">
            <v>-20569.608</v>
          </cell>
          <cell r="E51">
            <v>-5.532582498180097E-2</v>
          </cell>
          <cell r="F51">
            <v>-18282.082999999999</v>
          </cell>
          <cell r="G51">
            <v>-5.3047497736779491E-2</v>
          </cell>
          <cell r="H51">
            <v>-17447.466</v>
          </cell>
          <cell r="I51">
            <v>-5.1939537443960522E-2</v>
          </cell>
          <cell r="J51">
            <v>-19173.881000000001</v>
          </cell>
          <cell r="K51">
            <v>-5.7234942527182031E-2</v>
          </cell>
          <cell r="L51">
            <v>-17065.257000000001</v>
          </cell>
          <cell r="M51">
            <v>-4.9236986786797915E-2</v>
          </cell>
          <cell r="N51">
            <v>-19872.483</v>
          </cell>
          <cell r="O51">
            <v>-5.3894256246423557E-2</v>
          </cell>
          <cell r="P51">
            <v>-20369.295074999998</v>
          </cell>
          <cell r="Q51">
            <v>-5.2226612107786993E-2</v>
          </cell>
          <cell r="R51">
            <v>-20878.527451874997</v>
          </cell>
          <cell r="S51">
            <v>-5.025484863229384E-2</v>
          </cell>
          <cell r="T51">
            <v>-21400.490638171872</v>
          </cell>
          <cell r="U51">
            <v>-4.9445030282057822E-2</v>
          </cell>
          <cell r="V51">
            <v>-21935.502904126166</v>
          </cell>
          <cell r="W51">
            <v>-4.9438217243064519E-2</v>
          </cell>
          <cell r="X51">
            <v>-22483.890476729317</v>
          </cell>
          <cell r="Y51">
            <v>-4.9441236957655607E-2</v>
          </cell>
          <cell r="AA51">
            <v>2.5000000000000001E-2</v>
          </cell>
          <cell r="AD51">
            <v>-0.11120897393863809</v>
          </cell>
          <cell r="AF51">
            <v>-4.5652183069073607E-2</v>
          </cell>
          <cell r="AH51">
            <v>9.8949325936499938E-2</v>
          </cell>
          <cell r="AJ51">
            <v>-0.10997377108995303</v>
          </cell>
          <cell r="AL51">
            <v>0.16449948570947384</v>
          </cell>
        </row>
        <row r="52">
          <cell r="A52" t="str">
            <v>Total General Insurance</v>
          </cell>
          <cell r="B52">
            <v>-2195.7199999999998</v>
          </cell>
          <cell r="C52">
            <v>-5.6134820390842353E-3</v>
          </cell>
          <cell r="D52">
            <v>-1951.588</v>
          </cell>
          <cell r="E52">
            <v>-5.2491625569424062E-3</v>
          </cell>
          <cell r="F52">
            <v>-2252.489</v>
          </cell>
          <cell r="G52">
            <v>-6.535847426664714E-3</v>
          </cell>
          <cell r="H52">
            <v>-4036.2719999999999</v>
          </cell>
          <cell r="I52">
            <v>-1.2015618811236509E-2</v>
          </cell>
          <cell r="J52">
            <v>-5437.2529999999997</v>
          </cell>
          <cell r="K52">
            <v>-1.6230457618921702E-2</v>
          </cell>
          <cell r="L52">
            <v>-3815.1889999999999</v>
          </cell>
          <cell r="M52">
            <v>-1.1007652002084511E-2</v>
          </cell>
          <cell r="N52">
            <v>-3283.0810000000001</v>
          </cell>
          <cell r="O52">
            <v>-8.9037292768983367E-3</v>
          </cell>
          <cell r="P52">
            <v>-3447.2350500000002</v>
          </cell>
          <cell r="Q52">
            <v>-8.8386665880099309E-3</v>
          </cell>
          <cell r="R52">
            <v>-3619.5968025000002</v>
          </cell>
          <cell r="S52">
            <v>-8.7124099072052388E-3</v>
          </cell>
          <cell r="T52">
            <v>-3800.5766426250002</v>
          </cell>
          <cell r="U52">
            <v>-8.7810896657053352E-3</v>
          </cell>
          <cell r="V52">
            <v>-3990.6054747562503</v>
          </cell>
          <cell r="W52">
            <v>-8.9940231256449236E-3</v>
          </cell>
          <cell r="X52">
            <v>-4190.1357484940627</v>
          </cell>
          <cell r="Y52">
            <v>-9.2139523024475471E-3</v>
          </cell>
          <cell r="AA52">
            <v>0.05</v>
          </cell>
          <cell r="AD52">
            <v>0.15418264510747148</v>
          </cell>
          <cell r="AF52">
            <v>0.79191640891476045</v>
          </cell>
          <cell r="AH52">
            <v>0.34709776744481041</v>
          </cell>
          <cell r="AJ52">
            <v>-0.29832417215090046</v>
          </cell>
          <cell r="AL52">
            <v>-0.13947094102022201</v>
          </cell>
        </row>
        <row r="53">
          <cell r="A53" t="str">
            <v>EBITDAR / NOP</v>
          </cell>
          <cell r="B53">
            <v>186919.96400000004</v>
          </cell>
          <cell r="C53">
            <v>0.47787143199509596</v>
          </cell>
          <cell r="D53">
            <v>169574.39499999999</v>
          </cell>
          <cell r="E53">
            <v>0.45610219208673225</v>
          </cell>
          <cell r="F53">
            <v>158321.50599999999</v>
          </cell>
          <cell r="G53">
            <v>0.45938746319106644</v>
          </cell>
          <cell r="H53">
            <v>143348.299</v>
          </cell>
          <cell r="I53">
            <v>0.42673499655700992</v>
          </cell>
          <cell r="J53">
            <v>144464.71800000002</v>
          </cell>
          <cell r="K53">
            <v>0.43123402257141163</v>
          </cell>
          <cell r="L53">
            <v>151276.50599999999</v>
          </cell>
          <cell r="M53">
            <v>0.4364656991145785</v>
          </cell>
          <cell r="N53">
            <v>129054.61914058779</v>
          </cell>
          <cell r="O53">
            <v>0.34999666190417356</v>
          </cell>
          <cell r="P53">
            <v>141800.23448479769</v>
          </cell>
          <cell r="Q53">
            <v>0.36357398800315482</v>
          </cell>
          <cell r="R53">
            <v>156348.82852769946</v>
          </cell>
          <cell r="S53">
            <v>0.37633337550299206</v>
          </cell>
          <cell r="T53">
            <v>165252.72596736153</v>
          </cell>
          <cell r="U53">
            <v>0.38181022004581444</v>
          </cell>
          <cell r="V53">
            <v>167918.60347985721</v>
          </cell>
          <cell r="W53">
            <v>0.3784548015276013</v>
          </cell>
          <cell r="X53">
            <v>170583.9061460722</v>
          </cell>
          <cell r="Y53">
            <v>0.37510765023782033</v>
          </cell>
        </row>
        <row r="55">
          <cell r="A55" t="str">
            <v>Cap Ex</v>
          </cell>
          <cell r="B55">
            <v>0</v>
          </cell>
          <cell r="D55">
            <v>0</v>
          </cell>
          <cell r="F55">
            <v>0</v>
          </cell>
          <cell r="H55">
            <v>0</v>
          </cell>
          <cell r="J55">
            <v>0</v>
          </cell>
          <cell r="L55">
            <v>-59934</v>
          </cell>
          <cell r="M55">
            <v>-0.17292265601859649</v>
          </cell>
          <cell r="N55">
            <v>-60000</v>
          </cell>
          <cell r="O55">
            <v>-0.16272024863653994</v>
          </cell>
          <cell r="P55">
            <v>-60000</v>
          </cell>
          <cell r="Q55">
            <v>-0.15383923277311648</v>
          </cell>
          <cell r="R55">
            <v>-20000</v>
          </cell>
          <cell r="S55">
            <v>-4.8140223249107252E-2</v>
          </cell>
          <cell r="T55">
            <v>-20000</v>
          </cell>
          <cell r="U55">
            <v>-4.6209249234560205E-2</v>
          </cell>
          <cell r="V55">
            <v>-20000</v>
          </cell>
          <cell r="W55">
            <v>-4.5075982492076776E-2</v>
          </cell>
          <cell r="X55">
            <v>-20000</v>
          </cell>
          <cell r="Y55">
            <v>-4.3979254398901269E-2</v>
          </cell>
        </row>
        <row r="56">
          <cell r="A56" t="str">
            <v>Economic NOI</v>
          </cell>
          <cell r="B56">
            <v>0</v>
          </cell>
          <cell r="D56">
            <v>0</v>
          </cell>
          <cell r="F56">
            <v>0</v>
          </cell>
          <cell r="H56">
            <v>0</v>
          </cell>
          <cell r="J56">
            <v>0</v>
          </cell>
          <cell r="L56">
            <v>91342.505999999994</v>
          </cell>
          <cell r="M56">
            <v>0.26354304309598198</v>
          </cell>
          <cell r="N56">
            <v>69054.619140587791</v>
          </cell>
          <cell r="O56">
            <v>0.18727641326763358</v>
          </cell>
          <cell r="P56">
            <v>81800.234484797693</v>
          </cell>
          <cell r="Q56">
            <v>0.20973475523003834</v>
          </cell>
          <cell r="R56">
            <v>136348.82852769946</v>
          </cell>
          <cell r="S56">
            <v>0.32819315225388479</v>
          </cell>
          <cell r="T56">
            <v>145252.72596736153</v>
          </cell>
          <cell r="U56">
            <v>0.33560097081125423</v>
          </cell>
          <cell r="V56">
            <v>147918.60347985721</v>
          </cell>
          <cell r="W56">
            <v>0.33337881903552452</v>
          </cell>
          <cell r="X56">
            <v>150583.9061460722</v>
          </cell>
          <cell r="Y56">
            <v>0.33112839583891907</v>
          </cell>
        </row>
        <row r="58">
          <cell r="A58" t="str">
            <v>Accor Guarantee Fees</v>
          </cell>
          <cell r="B58">
            <v>-1599.6959999999999</v>
          </cell>
          <cell r="C58">
            <v>-4.0897130617724006E-3</v>
          </cell>
          <cell r="D58">
            <v>-1640.6890000000001</v>
          </cell>
          <cell r="E58">
            <v>-4.412941290060853E-3</v>
          </cell>
          <cell r="F58">
            <v>-1610.876</v>
          </cell>
          <cell r="G58">
            <v>-4.6741359266464551E-3</v>
          </cell>
          <cell r="H58">
            <v>-2349.672</v>
          </cell>
          <cell r="I58">
            <v>-6.9947622666251706E-3</v>
          </cell>
          <cell r="J58">
            <v>-2263.7779999999998</v>
          </cell>
          <cell r="K58">
            <v>-6.7574845032311957E-3</v>
          </cell>
          <cell r="L58">
            <v>-2262</v>
          </cell>
          <cell r="M58">
            <v>-6.5263631313455684E-3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</row>
        <row r="59">
          <cell r="A59" t="str">
            <v>Land &amp; Building (4)</v>
          </cell>
          <cell r="B59">
            <v>-35670.464999999997</v>
          </cell>
          <cell r="C59">
            <v>-9.1193555919371699E-2</v>
          </cell>
          <cell r="D59">
            <v>-43598.021000000001</v>
          </cell>
          <cell r="E59">
            <v>-0.11726506792929078</v>
          </cell>
          <cell r="F59">
            <v>-45557.569000000003</v>
          </cell>
          <cell r="G59">
            <v>-0.13219035480916896</v>
          </cell>
          <cell r="H59">
            <v>-45854.707000000002</v>
          </cell>
          <cell r="I59">
            <v>-0.13650533958388791</v>
          </cell>
          <cell r="J59">
            <v>-50997.578999999998</v>
          </cell>
          <cell r="K59">
            <v>-0.15223018767512039</v>
          </cell>
          <cell r="L59">
            <v>-51359.904000000002</v>
          </cell>
          <cell r="M59">
            <v>-0.14818451984750122</v>
          </cell>
          <cell r="N59">
            <v>-1600</v>
          </cell>
          <cell r="O59">
            <v>-4.3392066303077322E-3</v>
          </cell>
          <cell r="P59">
            <v>-1639.9999999999998</v>
          </cell>
          <cell r="Q59">
            <v>-4.2049390291318493E-3</v>
          </cell>
          <cell r="R59">
            <v>-1680.9999999999995</v>
          </cell>
          <cell r="S59">
            <v>-4.0461857640874633E-3</v>
          </cell>
          <cell r="T59">
            <v>-1723.0249999999994</v>
          </cell>
          <cell r="U59">
            <v>-3.9809845831189038E-3</v>
          </cell>
          <cell r="V59">
            <v>-1766.1006249999994</v>
          </cell>
          <cell r="W59">
            <v>-3.9804360425872909E-3</v>
          </cell>
          <cell r="X59">
            <v>-1810.2531406249991</v>
          </cell>
          <cell r="Y59">
            <v>-3.9806791698978414E-3</v>
          </cell>
        </row>
        <row r="60">
          <cell r="A60" t="str">
            <v>Total Rent Expense</v>
          </cell>
          <cell r="B60">
            <v>-37270.160999999993</v>
          </cell>
          <cell r="C60">
            <v>-9.5283268981144101E-2</v>
          </cell>
          <cell r="D60">
            <v>-45238.71</v>
          </cell>
          <cell r="E60">
            <v>-0.12167800921935164</v>
          </cell>
          <cell r="F60">
            <v>-47168.445</v>
          </cell>
          <cell r="G60">
            <v>-0.13686449073581539</v>
          </cell>
          <cell r="H60">
            <v>-48204.379000000001</v>
          </cell>
          <cell r="I60">
            <v>-0.1435001018505131</v>
          </cell>
          <cell r="J60">
            <v>-53261.356999999996</v>
          </cell>
          <cell r="K60">
            <v>-0.15898767217835158</v>
          </cell>
          <cell r="L60">
            <v>-53621.904000000002</v>
          </cell>
          <cell r="M60">
            <v>-0.1547108829788468</v>
          </cell>
          <cell r="N60">
            <v>-1600</v>
          </cell>
          <cell r="O60">
            <v>-4.3392066303077322E-3</v>
          </cell>
          <cell r="P60">
            <v>-1639.9999999999998</v>
          </cell>
          <cell r="Q60">
            <v>-4.2049390291318493E-3</v>
          </cell>
          <cell r="R60">
            <v>-1680.9999999999995</v>
          </cell>
          <cell r="S60">
            <v>-4.0461857640874633E-3</v>
          </cell>
          <cell r="T60">
            <v>-1723.0249999999994</v>
          </cell>
          <cell r="U60">
            <v>-3.9809845831189038E-3</v>
          </cell>
          <cell r="V60">
            <v>-1766.1006249999994</v>
          </cell>
          <cell r="W60">
            <v>-3.9804360425872909E-3</v>
          </cell>
          <cell r="X60">
            <v>-1810.2531406249991</v>
          </cell>
          <cell r="Y60">
            <v>-3.9806791698978414E-3</v>
          </cell>
        </row>
        <row r="62">
          <cell r="A62" t="str">
            <v>Lease FF&amp;E</v>
          </cell>
          <cell r="B62">
            <v>-440.61700000000002</v>
          </cell>
          <cell r="C62">
            <v>-1.1264622154077836E-3</v>
          </cell>
          <cell r="D62">
            <v>-358.452</v>
          </cell>
          <cell r="E62">
            <v>-9.6412399382508993E-4</v>
          </cell>
          <cell r="F62">
            <v>-323.91300000000001</v>
          </cell>
          <cell r="G62">
            <v>-9.398696053624446E-4</v>
          </cell>
          <cell r="H62">
            <v>-236.27600000000001</v>
          </cell>
          <cell r="I62">
            <v>-7.0337240657807932E-4</v>
          </cell>
          <cell r="J62">
            <v>-240.81399999999999</v>
          </cell>
          <cell r="K62">
            <v>-7.1884119077096663E-4</v>
          </cell>
          <cell r="L62">
            <v>-233.24700000000001</v>
          </cell>
          <cell r="M62">
            <v>-6.7296844442836414E-4</v>
          </cell>
          <cell r="N62">
            <v>-217.779</v>
          </cell>
          <cell r="O62">
            <v>-5.9061755046361717E-4</v>
          </cell>
          <cell r="P62">
            <v>-217.779</v>
          </cell>
          <cell r="Q62">
            <v>-5.5838257123494222E-4</v>
          </cell>
          <cell r="R62">
            <v>-217.779</v>
          </cell>
          <cell r="S62">
            <v>-5.241964839483664E-4</v>
          </cell>
          <cell r="T62">
            <v>-217.779</v>
          </cell>
          <cell r="U62">
            <v>-5.0317020445266437E-4</v>
          </cell>
          <cell r="V62">
            <v>-217.779</v>
          </cell>
          <cell r="W62">
            <v>-4.908301195570994E-4</v>
          </cell>
          <cell r="X62">
            <v>-217.779</v>
          </cell>
          <cell r="Y62">
            <v>-4.7888790218691594E-4</v>
          </cell>
        </row>
        <row r="63">
          <cell r="A63" t="str">
            <v>Other Leases</v>
          </cell>
          <cell r="B63">
            <v>-8.4580000000000002</v>
          </cell>
          <cell r="C63">
            <v>-2.1623354110075267E-5</v>
          </cell>
          <cell r="D63">
            <v>-25.061</v>
          </cell>
          <cell r="E63">
            <v>-6.7406267531637643E-5</v>
          </cell>
          <cell r="F63">
            <v>-44.835000000000001</v>
          </cell>
          <cell r="G63">
            <v>-1.3009374046866042E-4</v>
          </cell>
          <cell r="H63">
            <v>-51.643000000000001</v>
          </cell>
          <cell r="I63">
            <v>-1.537365673742223E-4</v>
          </cell>
          <cell r="J63">
            <v>-55.216999999999999</v>
          </cell>
          <cell r="K63">
            <v>-1.6482535911865783E-4</v>
          </cell>
          <cell r="L63">
            <v>-32.406999999999996</v>
          </cell>
          <cell r="M63">
            <v>-9.3501259945851368E-5</v>
          </cell>
          <cell r="N63">
            <v>-18.052</v>
          </cell>
          <cell r="O63">
            <v>-4.8957098806446985E-5</v>
          </cell>
          <cell r="P63">
            <v>-18.052</v>
          </cell>
          <cell r="Q63">
            <v>-4.6285097167004973E-5</v>
          </cell>
          <cell r="R63">
            <v>-18.052</v>
          </cell>
          <cell r="S63">
            <v>-4.3451365504644205E-5</v>
          </cell>
          <cell r="T63">
            <v>-18.052</v>
          </cell>
          <cell r="U63">
            <v>-4.1708468359114039E-5</v>
          </cell>
          <cell r="V63">
            <v>-18.052</v>
          </cell>
          <cell r="W63">
            <v>-4.0685581797348499E-5</v>
          </cell>
          <cell r="X63">
            <v>-18.052</v>
          </cell>
          <cell r="Y63">
            <v>-3.9695675020448282E-5</v>
          </cell>
          <cell r="AA63">
            <v>-227</v>
          </cell>
        </row>
        <row r="64">
          <cell r="A64" t="str">
            <v>Total Lease Expense</v>
          </cell>
          <cell r="B64">
            <v>-449.07500000000005</v>
          </cell>
          <cell r="C64">
            <v>-1.1480855695178589E-3</v>
          </cell>
          <cell r="D64">
            <v>-383.51299999999998</v>
          </cell>
          <cell r="E64">
            <v>-1.0315302613567274E-3</v>
          </cell>
          <cell r="F64">
            <v>-368.74799999999999</v>
          </cell>
          <cell r="G64">
            <v>-1.069963345831105E-3</v>
          </cell>
          <cell r="H64">
            <v>-287.91899999999998</v>
          </cell>
          <cell r="I64">
            <v>-8.571089739523016E-4</v>
          </cell>
          <cell r="J64">
            <v>-296.03100000000001</v>
          </cell>
          <cell r="K64">
            <v>-8.8366654988962447E-4</v>
          </cell>
          <cell r="L64">
            <v>-265.654</v>
          </cell>
          <cell r="M64">
            <v>-7.6646970437421551E-4</v>
          </cell>
          <cell r="N64">
            <v>-235.83099999999999</v>
          </cell>
          <cell r="O64">
            <v>-6.395746492700641E-4</v>
          </cell>
          <cell r="P64">
            <v>-235.83099999999999</v>
          </cell>
          <cell r="Q64">
            <v>-6.046676684019471E-4</v>
          </cell>
          <cell r="R64">
            <v>-235.83099999999999</v>
          </cell>
          <cell r="S64">
            <v>-5.6764784945301065E-4</v>
          </cell>
          <cell r="T64">
            <v>-235.83099999999999</v>
          </cell>
          <cell r="U64">
            <v>-5.4487867281177835E-4</v>
          </cell>
          <cell r="V64">
            <v>-235.83099999999999</v>
          </cell>
          <cell r="W64">
            <v>-5.3151570135444792E-4</v>
          </cell>
          <cell r="X64">
            <v>-235.83099999999999</v>
          </cell>
          <cell r="Y64">
            <v>-5.1858357720736424E-4</v>
          </cell>
        </row>
        <row r="66">
          <cell r="A66" t="str">
            <v>EBITDA</v>
          </cell>
          <cell r="B66">
            <v>149200.72800000003</v>
          </cell>
          <cell r="C66">
            <v>0.38144007744443398</v>
          </cell>
          <cell r="D66">
            <v>123952.17199999999</v>
          </cell>
          <cell r="E66">
            <v>0.33339265260602391</v>
          </cell>
          <cell r="F66">
            <v>110784.31299999998</v>
          </cell>
          <cell r="G66">
            <v>0.32145300910941987</v>
          </cell>
          <cell r="H66">
            <v>94856.001000000004</v>
          </cell>
          <cell r="I66">
            <v>0.28237778573254457</v>
          </cell>
          <cell r="J66">
            <v>90907.330000000031</v>
          </cell>
          <cell r="K66">
            <v>0.27136268384317042</v>
          </cell>
          <cell r="L66">
            <v>97388.947999999989</v>
          </cell>
          <cell r="M66">
            <v>0.28098834643135751</v>
          </cell>
          <cell r="N66">
            <v>127218.78814058779</v>
          </cell>
          <cell r="O66">
            <v>0.34501788062459571</v>
          </cell>
          <cell r="P66">
            <v>139924.40348479769</v>
          </cell>
          <cell r="Q66">
            <v>0.35876438130562099</v>
          </cell>
          <cell r="R66">
            <v>154431.99752769945</v>
          </cell>
          <cell r="S66">
            <v>0.37171954188945155</v>
          </cell>
          <cell r="T66">
            <v>163293.86996736153</v>
          </cell>
          <cell r="U66">
            <v>0.37728435678988376</v>
          </cell>
          <cell r="V66">
            <v>165916.67185485721</v>
          </cell>
          <cell r="W66">
            <v>0.37394284978365955</v>
          </cell>
          <cell r="X66">
            <v>168537.8220054472</v>
          </cell>
          <cell r="Y66">
            <v>0.37060838749071512</v>
          </cell>
        </row>
        <row r="68">
          <cell r="A68" t="str">
            <v>Total Depreciation</v>
          </cell>
          <cell r="B68">
            <v>-24273.555</v>
          </cell>
          <cell r="C68">
            <v>-6.2056712612365575E-2</v>
          </cell>
          <cell r="D68">
            <v>-21614.717000000001</v>
          </cell>
          <cell r="E68">
            <v>-5.81368419744877E-2</v>
          </cell>
          <cell r="F68">
            <v>-26867.394</v>
          </cell>
          <cell r="G68">
            <v>-7.7958732733472605E-2</v>
          </cell>
          <cell r="H68">
            <v>-30798.294999999998</v>
          </cell>
          <cell r="I68">
            <v>-9.1683754899573491E-2</v>
          </cell>
          <cell r="J68">
            <v>-32172.934000000001</v>
          </cell>
          <cell r="K68">
            <v>-9.6037731141693256E-2</v>
          </cell>
          <cell r="L68">
            <v>-34138.489000000001</v>
          </cell>
          <cell r="M68">
            <v>-9.8496983187199932E-2</v>
          </cell>
          <cell r="N68">
            <v>-37845.504999999997</v>
          </cell>
          <cell r="O68">
            <v>-0.10263716638959025</v>
          </cell>
          <cell r="P68">
            <v>-40821.5</v>
          </cell>
          <cell r="Q68">
            <v>-0.10466580401079623</v>
          </cell>
          <cell r="R68">
            <v>-41274.5</v>
          </cell>
          <cell r="S68">
            <v>-9.9348182224763867E-2</v>
          </cell>
          <cell r="T68">
            <v>-41556.5</v>
          </cell>
          <cell r="U68">
            <v>-9.6014733290800056E-2</v>
          </cell>
          <cell r="V68">
            <v>-41694.5</v>
          </cell>
          <cell r="W68">
            <v>-9.397102760079476E-2</v>
          </cell>
          <cell r="X68">
            <v>-42263.5</v>
          </cell>
          <cell r="Y68">
            <v>-9.2935860914398177E-2</v>
          </cell>
        </row>
        <row r="69">
          <cell r="B69" t="str">
            <v xml:space="preserve"> </v>
          </cell>
          <cell r="D69" t="str">
            <v xml:space="preserve"> </v>
          </cell>
          <cell r="F69" t="str">
            <v xml:space="preserve"> </v>
          </cell>
          <cell r="H69" t="str">
            <v xml:space="preserve"> </v>
          </cell>
          <cell r="J69" t="str">
            <v xml:space="preserve"> </v>
          </cell>
          <cell r="L69" t="str">
            <v xml:space="preserve"> </v>
          </cell>
          <cell r="N69" t="str">
            <v xml:space="preserve"> </v>
          </cell>
          <cell r="P69" t="str">
            <v xml:space="preserve"> </v>
          </cell>
          <cell r="R69" t="str">
            <v xml:space="preserve"> </v>
          </cell>
          <cell r="T69" t="str">
            <v xml:space="preserve"> </v>
          </cell>
          <cell r="V69" t="str">
            <v xml:space="preserve"> </v>
          </cell>
          <cell r="X69" t="str">
            <v xml:space="preserve"> </v>
          </cell>
        </row>
        <row r="70">
          <cell r="A70" t="str">
            <v>EBIT</v>
          </cell>
          <cell r="B70">
            <v>124927.17300000004</v>
          </cell>
          <cell r="C70">
            <v>0.31938336483206842</v>
          </cell>
          <cell r="D70">
            <v>102337.45499999999</v>
          </cell>
          <cell r="E70">
            <v>0.27525581063153615</v>
          </cell>
          <cell r="F70">
            <v>83916.91899999998</v>
          </cell>
          <cell r="G70">
            <v>0.24349427637594728</v>
          </cell>
          <cell r="H70">
            <v>64057.706000000006</v>
          </cell>
          <cell r="I70">
            <v>0.19069403083297107</v>
          </cell>
          <cell r="J70">
            <v>58734.39600000003</v>
          </cell>
          <cell r="K70">
            <v>0.17532495270147716</v>
          </cell>
          <cell r="L70">
            <v>63250.458999999988</v>
          </cell>
          <cell r="M70">
            <v>0.18249136324415755</v>
          </cell>
          <cell r="N70">
            <v>89373.283140587795</v>
          </cell>
          <cell r="O70">
            <v>0.24238071423500548</v>
          </cell>
          <cell r="P70">
            <v>99102.903484797687</v>
          </cell>
          <cell r="Q70">
            <v>0.25409857729482477</v>
          </cell>
          <cell r="R70">
            <v>113157.49752769945</v>
          </cell>
          <cell r="S70">
            <v>0.27237135966468767</v>
          </cell>
          <cell r="T70">
            <v>121737.36996736153</v>
          </cell>
          <cell r="U70">
            <v>0.28126962349908369</v>
          </cell>
          <cell r="V70">
            <v>124222.17185485721</v>
          </cell>
          <cell r="W70">
            <v>0.27997182218286482</v>
          </cell>
          <cell r="X70">
            <v>126274.3220054472</v>
          </cell>
          <cell r="Y70">
            <v>0.27767252657631697</v>
          </cell>
        </row>
        <row r="72">
          <cell r="A72" t="str">
            <v>Total Interest Expense</v>
          </cell>
          <cell r="B72">
            <v>-27281.743999999999</v>
          </cell>
          <cell r="C72">
            <v>-6.9747317480778101E-2</v>
          </cell>
          <cell r="D72">
            <v>-23584.197</v>
          </cell>
          <cell r="E72">
            <v>-6.3434128426672759E-2</v>
          </cell>
          <cell r="F72">
            <v>-20112.751999999997</v>
          </cell>
          <cell r="G72">
            <v>-5.8359387505264426E-2</v>
          </cell>
          <cell r="H72">
            <v>-17859.927</v>
          </cell>
          <cell r="I72">
            <v>-5.3167396753368165E-2</v>
          </cell>
          <cell r="J72">
            <v>-16650.880999999998</v>
          </cell>
          <cell r="K72">
            <v>-4.9703668081696503E-2</v>
          </cell>
          <cell r="L72">
            <v>-17469.791000000001</v>
          </cell>
          <cell r="M72">
            <v>-5.0404155567954301E-2</v>
          </cell>
          <cell r="N72">
            <v>-23959.066999999999</v>
          </cell>
          <cell r="O72">
            <v>-6.4977088988991988E-2</v>
          </cell>
          <cell r="P72">
            <v>-25471.393229467209</v>
          </cell>
          <cell r="Q72">
            <v>-6.5308326534726471E-2</v>
          </cell>
          <cell r="R72">
            <v>-26189.767815768828</v>
          </cell>
          <cell r="S72">
            <v>-6.3039063474669768E-2</v>
          </cell>
          <cell r="T72">
            <v>-23597.413296700655</v>
          </cell>
          <cell r="U72">
            <v>-5.4520937615908281E-2</v>
          </cell>
          <cell r="V72">
            <v>-20566.072446606027</v>
          </cell>
          <cell r="W72">
            <v>-4.6351796076699793E-2</v>
          </cell>
          <cell r="X72">
            <v>-17245.864530545354</v>
          </cell>
          <cell r="Y72">
            <v>-3.7923013175892105E-2</v>
          </cell>
        </row>
        <row r="73">
          <cell r="A73" t="str">
            <v>RGO</v>
          </cell>
          <cell r="B73">
            <v>97645.429000000033</v>
          </cell>
          <cell r="C73">
            <v>0.2496360473512903</v>
          </cell>
          <cell r="D73">
            <v>78753.257999999987</v>
          </cell>
          <cell r="E73">
            <v>0.21182168220486342</v>
          </cell>
          <cell r="F73">
            <v>63804.166999999987</v>
          </cell>
          <cell r="G73">
            <v>0.18513488887068286</v>
          </cell>
          <cell r="H73">
            <v>46197.77900000001</v>
          </cell>
          <cell r="I73">
            <v>0.13752663407960292</v>
          </cell>
          <cell r="J73">
            <v>42083.515000000029</v>
          </cell>
          <cell r="K73">
            <v>0.12562128461978064</v>
          </cell>
          <cell r="L73">
            <v>45780.667999999991</v>
          </cell>
          <cell r="M73">
            <v>0.13208720767620327</v>
          </cell>
          <cell r="N73">
            <v>65414.2161405878</v>
          </cell>
          <cell r="O73">
            <v>0.17740362524601352</v>
          </cell>
          <cell r="P73">
            <v>73631.510255330475</v>
          </cell>
          <cell r="Q73">
            <v>0.18879025076009828</v>
          </cell>
          <cell r="R73">
            <v>86967.729711930617</v>
          </cell>
          <cell r="S73">
            <v>0.20933229619001789</v>
          </cell>
          <cell r="T73">
            <v>98139.956670660875</v>
          </cell>
          <cell r="U73">
            <v>0.2267486858831754</v>
          </cell>
          <cell r="V73">
            <v>103656.09940825118</v>
          </cell>
          <cell r="W73">
            <v>0.233620026106165</v>
          </cell>
          <cell r="X73">
            <v>109028.45747490185</v>
          </cell>
          <cell r="Y73">
            <v>0.23974951340042483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>
        <row r="1">
          <cell r="J1">
            <v>366</v>
          </cell>
          <cell r="L1">
            <v>365</v>
          </cell>
          <cell r="N1">
            <v>365</v>
          </cell>
          <cell r="P1">
            <v>365</v>
          </cell>
          <cell r="R1">
            <v>366</v>
          </cell>
          <cell r="T1">
            <v>365</v>
          </cell>
          <cell r="V1">
            <v>365</v>
          </cell>
          <cell r="X1">
            <v>365</v>
          </cell>
        </row>
        <row r="2">
          <cell r="A2" t="str">
            <v>BUSINESS PLAN 2006-2011</v>
          </cell>
        </row>
        <row r="4">
          <cell r="Z4" t="str">
            <v>% of…</v>
          </cell>
        </row>
        <row r="6">
          <cell r="A6" t="str">
            <v>Red Roof Inns Standalone</v>
          </cell>
          <cell r="B6" t="str">
            <v>2000A</v>
          </cell>
          <cell r="D6" t="str">
            <v>2001A</v>
          </cell>
          <cell r="F6" t="str">
            <v>2002A</v>
          </cell>
          <cell r="H6" t="str">
            <v>2003 A</v>
          </cell>
          <cell r="J6" t="str">
            <v>2004 A</v>
          </cell>
          <cell r="L6" t="str">
            <v>2005 A</v>
          </cell>
          <cell r="N6" t="str">
            <v>2006 E</v>
          </cell>
          <cell r="P6" t="str">
            <v>2007 F</v>
          </cell>
          <cell r="R6" t="str">
            <v>2008 F</v>
          </cell>
          <cell r="T6" t="str">
            <v>2009F</v>
          </cell>
          <cell r="V6" t="str">
            <v>2010F</v>
          </cell>
          <cell r="X6" t="str">
            <v>2011F</v>
          </cell>
          <cell r="AN6" t="str">
            <v>Annualized 3Q99</v>
          </cell>
        </row>
        <row r="7">
          <cell r="A7" t="str">
            <v>No. Hotels</v>
          </cell>
          <cell r="B7">
            <v>261</v>
          </cell>
          <cell r="D7">
            <v>260</v>
          </cell>
          <cell r="F7">
            <v>259</v>
          </cell>
          <cell r="H7">
            <v>251</v>
          </cell>
          <cell r="J7">
            <v>247</v>
          </cell>
          <cell r="K7">
            <v>-1.5936254980079681E-2</v>
          </cell>
          <cell r="L7">
            <v>245</v>
          </cell>
          <cell r="M7">
            <v>-8.0971659919028341E-3</v>
          </cell>
          <cell r="N7">
            <v>238</v>
          </cell>
          <cell r="O7">
            <v>-2.8571428571428571E-2</v>
          </cell>
          <cell r="P7">
            <v>238</v>
          </cell>
          <cell r="Q7">
            <v>0</v>
          </cell>
          <cell r="R7">
            <v>238</v>
          </cell>
          <cell r="S7">
            <v>0</v>
          </cell>
          <cell r="T7">
            <v>238</v>
          </cell>
          <cell r="U7">
            <v>0</v>
          </cell>
          <cell r="V7">
            <v>238</v>
          </cell>
          <cell r="W7">
            <v>0</v>
          </cell>
          <cell r="X7">
            <v>238</v>
          </cell>
          <cell r="Y7">
            <v>0</v>
          </cell>
          <cell r="AD7" t="str">
            <v>($ in millions, except per room statistics)</v>
          </cell>
        </row>
        <row r="8">
          <cell r="A8" t="str">
            <v>Rooms Rented</v>
          </cell>
          <cell r="B8">
            <v>7538529</v>
          </cell>
          <cell r="D8">
            <v>7422397</v>
          </cell>
          <cell r="F8">
            <v>7167483</v>
          </cell>
          <cell r="H8">
            <v>6898973</v>
          </cell>
          <cell r="J8">
            <v>6678366</v>
          </cell>
          <cell r="L8">
            <v>6548206</v>
          </cell>
          <cell r="N8">
            <v>6374214</v>
          </cell>
          <cell r="P8">
            <v>6554816</v>
          </cell>
          <cell r="R8">
            <v>6675474</v>
          </cell>
          <cell r="T8">
            <v>6687960.7000000002</v>
          </cell>
          <cell r="V8">
            <v>6687960.7000000002</v>
          </cell>
          <cell r="X8">
            <v>6687960.7000000002</v>
          </cell>
          <cell r="AF8">
            <v>1995</v>
          </cell>
          <cell r="AH8">
            <v>1996</v>
          </cell>
          <cell r="AJ8">
            <v>1997</v>
          </cell>
          <cell r="AL8">
            <v>1998</v>
          </cell>
          <cell r="AN8">
            <v>1999</v>
          </cell>
          <cell r="AP8">
            <v>2000</v>
          </cell>
          <cell r="AR8">
            <v>2001</v>
          </cell>
          <cell r="AT8">
            <v>2002</v>
          </cell>
          <cell r="AV8">
            <v>2003</v>
          </cell>
          <cell r="AX8">
            <v>2004</v>
          </cell>
          <cell r="AZ8">
            <v>2005</v>
          </cell>
          <cell r="BB8">
            <v>2006</v>
          </cell>
          <cell r="BD8">
            <v>2007</v>
          </cell>
          <cell r="BF8">
            <v>2008</v>
          </cell>
        </row>
        <row r="9">
          <cell r="A9" t="str">
            <v>Rooms Available</v>
          </cell>
          <cell r="B9">
            <v>11074946</v>
          </cell>
          <cell r="D9">
            <v>11116038</v>
          </cell>
          <cell r="F9">
            <v>10941553</v>
          </cell>
          <cell r="H9">
            <v>10928573</v>
          </cell>
          <cell r="J9">
            <v>10666363</v>
          </cell>
          <cell r="L9">
            <v>10571472</v>
          </cell>
          <cell r="N9">
            <v>10284396</v>
          </cell>
          <cell r="P9">
            <v>10241900</v>
          </cell>
          <cell r="R9">
            <v>10269960</v>
          </cell>
          <cell r="T9">
            <v>10241900</v>
          </cell>
          <cell r="V9">
            <v>10241900</v>
          </cell>
          <cell r="X9">
            <v>10241900</v>
          </cell>
        </row>
        <row r="10">
          <cell r="A10" t="str">
            <v>Occupancy</v>
          </cell>
          <cell r="B10">
            <v>0.68068313831959093</v>
          </cell>
          <cell r="D10">
            <v>0.66771964975290654</v>
          </cell>
          <cell r="E10">
            <v>-1.2963488566684389E-2</v>
          </cell>
          <cell r="F10">
            <v>0.65506998869356114</v>
          </cell>
          <cell r="G10">
            <v>-1.2649661059345396E-2</v>
          </cell>
          <cell r="H10">
            <v>0.63127848439132905</v>
          </cell>
          <cell r="I10">
            <v>-2.3791504302232092E-2</v>
          </cell>
          <cell r="J10">
            <v>0.62611463720107785</v>
          </cell>
          <cell r="K10">
            <v>-5.1638471902512029E-3</v>
          </cell>
          <cell r="L10">
            <v>0.61942234723792489</v>
          </cell>
          <cell r="M10">
            <v>-6.6922899631529642E-3</v>
          </cell>
          <cell r="N10">
            <v>0.61979468701905294</v>
          </cell>
          <cell r="O10">
            <v>3.7233978112805044E-4</v>
          </cell>
          <cell r="P10">
            <v>0.64</v>
          </cell>
          <cell r="Q10">
            <v>2.0205312980947077E-2</v>
          </cell>
          <cell r="R10">
            <v>0.65</v>
          </cell>
          <cell r="S10">
            <v>1.0000000000000009E-2</v>
          </cell>
          <cell r="T10">
            <v>0.65300000000000002</v>
          </cell>
          <cell r="U10">
            <v>3.0000000000000027E-3</v>
          </cell>
          <cell r="V10">
            <v>0.65300000000000002</v>
          </cell>
          <cell r="W10">
            <v>0</v>
          </cell>
          <cell r="X10">
            <v>0.65300000000000002</v>
          </cell>
          <cell r="Y10">
            <v>0</v>
          </cell>
          <cell r="AD10" t="str">
            <v>Owned Properties</v>
          </cell>
          <cell r="AF10">
            <v>231</v>
          </cell>
          <cell r="AH10">
            <v>248</v>
          </cell>
          <cell r="AJ10">
            <v>254</v>
          </cell>
          <cell r="AL10">
            <v>256</v>
          </cell>
          <cell r="AN10">
            <v>258</v>
          </cell>
          <cell r="AP10">
            <v>261</v>
          </cell>
          <cell r="AR10">
            <v>260</v>
          </cell>
          <cell r="AT10">
            <v>259</v>
          </cell>
          <cell r="AV10">
            <v>251</v>
          </cell>
          <cell r="AX10">
            <v>247</v>
          </cell>
          <cell r="AZ10">
            <v>245</v>
          </cell>
          <cell r="BB10">
            <v>238</v>
          </cell>
          <cell r="BD10">
            <v>238</v>
          </cell>
          <cell r="BF10">
            <v>238</v>
          </cell>
        </row>
        <row r="11">
          <cell r="A11" t="str">
            <v>ADR</v>
          </cell>
          <cell r="B11">
            <v>50.082437037782839</v>
          </cell>
          <cell r="D11">
            <v>48.392866617078013</v>
          </cell>
          <cell r="E11">
            <v>-3.3735786847397052E-2</v>
          </cell>
          <cell r="F11">
            <v>47.367970318171665</v>
          </cell>
          <cell r="G11">
            <v>-2.1178664760988949E-2</v>
          </cell>
          <cell r="H11">
            <v>47.390024283324486</v>
          </cell>
          <cell r="I11">
            <v>4.6558813908817215E-4</v>
          </cell>
          <cell r="J11">
            <v>48.854844433503644</v>
          </cell>
          <cell r="K11">
            <v>3.0909883932990424E-2</v>
          </cell>
          <cell r="L11">
            <v>51.778897914940366</v>
          </cell>
          <cell r="M11">
            <v>5.9851863522289037E-2</v>
          </cell>
          <cell r="N11">
            <v>55.039274646254427</v>
          </cell>
          <cell r="O11">
            <v>6.2967287111248202E-2</v>
          </cell>
          <cell r="P11">
            <v>56.5</v>
          </cell>
          <cell r="Q11">
            <v>2.6539691213844505E-2</v>
          </cell>
          <cell r="R11">
            <v>58.873000000000005</v>
          </cell>
          <cell r="S11">
            <v>4.2000000000000086E-2</v>
          </cell>
          <cell r="T11">
            <v>60.933554999999998</v>
          </cell>
          <cell r="U11">
            <v>3.4999999999999892E-2</v>
          </cell>
          <cell r="V11">
            <v>62.1522261</v>
          </cell>
          <cell r="W11">
            <v>2.0000000000000028E-2</v>
          </cell>
          <cell r="X11">
            <v>63.395270621999998</v>
          </cell>
          <cell r="Y11">
            <v>1.9999999999999969E-2</v>
          </cell>
          <cell r="AD11" t="str">
            <v>Franchised Properties</v>
          </cell>
          <cell r="AF11">
            <v>0</v>
          </cell>
          <cell r="AH11">
            <v>0</v>
          </cell>
          <cell r="AJ11">
            <v>5</v>
          </cell>
          <cell r="AL11">
            <v>39</v>
          </cell>
          <cell r="AN11">
            <v>69</v>
          </cell>
          <cell r="AP11" t="str">
            <v>NEED</v>
          </cell>
          <cell r="AX11">
            <v>100</v>
          </cell>
          <cell r="AZ11">
            <v>95</v>
          </cell>
          <cell r="BB11">
            <v>100</v>
          </cell>
          <cell r="BD11">
            <v>117</v>
          </cell>
          <cell r="BF11">
            <v>137</v>
          </cell>
        </row>
        <row r="12">
          <cell r="A12" t="str">
            <v>REVPAR</v>
          </cell>
          <cell r="B12">
            <v>34.09027041757134</v>
          </cell>
          <cell r="D12">
            <v>32.312867948094457</v>
          </cell>
          <cell r="E12">
            <v>-5.213811588190706E-2</v>
          </cell>
          <cell r="F12">
            <v>31.029335780761652</v>
          </cell>
          <cell r="G12">
            <v>-3.9722013205222055E-2</v>
          </cell>
          <cell r="H12">
            <v>29.916302704845361</v>
          </cell>
          <cell r="I12">
            <v>-3.5870348104788563E-2</v>
          </cell>
          <cell r="J12">
            <v>30.588733197998231</v>
          </cell>
          <cell r="K12">
            <v>2.2477058739078761E-2</v>
          </cell>
          <cell r="L12">
            <v>32.073006483865257</v>
          </cell>
          <cell r="M12">
            <v>4.8523529113136302E-2</v>
          </cell>
          <cell r="N12">
            <v>34.113050003130958</v>
          </cell>
          <cell r="O12">
            <v>6.3606245341919276E-2</v>
          </cell>
          <cell r="P12">
            <v>36.160000000000004</v>
          </cell>
          <cell r="Q12">
            <v>6.0004895389921827E-2</v>
          </cell>
          <cell r="R12">
            <v>38.267450000000004</v>
          </cell>
          <cell r="S12">
            <v>5.8281249999999993E-2</v>
          </cell>
          <cell r="T12">
            <v>39.789611415000003</v>
          </cell>
          <cell r="U12">
            <v>3.9776923076923057E-2</v>
          </cell>
          <cell r="V12">
            <v>40.585403643300005</v>
          </cell>
          <cell r="W12">
            <v>2.0000000000000039E-2</v>
          </cell>
          <cell r="X12">
            <v>41.397111716166002</v>
          </cell>
          <cell r="Y12">
            <v>1.9999999999999928E-2</v>
          </cell>
          <cell r="AD12" t="str">
            <v>ADR</v>
          </cell>
          <cell r="AF12">
            <v>42.11</v>
          </cell>
          <cell r="AH12">
            <v>44.36</v>
          </cell>
          <cell r="AJ12">
            <v>47.1</v>
          </cell>
          <cell r="AL12">
            <v>46.8</v>
          </cell>
          <cell r="AN12">
            <v>48.11</v>
          </cell>
          <cell r="AP12">
            <v>50.082437037782839</v>
          </cell>
          <cell r="AR12">
            <v>48.392866617078013</v>
          </cell>
          <cell r="AT12">
            <v>47.367970318171665</v>
          </cell>
          <cell r="AV12">
            <v>47.390024283324486</v>
          </cell>
          <cell r="AX12">
            <v>48.854844433503644</v>
          </cell>
          <cell r="AZ12">
            <v>51.778897914940366</v>
          </cell>
          <cell r="BB12">
            <v>55.039274646254427</v>
          </cell>
          <cell r="BD12">
            <v>56.5</v>
          </cell>
          <cell r="BF12">
            <v>58.873000000000005</v>
          </cell>
        </row>
        <row r="13">
          <cell r="AD13" t="str">
            <v>Occupancy</v>
          </cell>
          <cell r="AF13">
            <v>0.77300000000000002</v>
          </cell>
          <cell r="AH13">
            <v>0.74199999999999999</v>
          </cell>
          <cell r="AJ13">
            <v>0.70399999999999996</v>
          </cell>
          <cell r="AL13">
            <v>0.73</v>
          </cell>
          <cell r="AN13">
            <v>0.752</v>
          </cell>
          <cell r="AP13">
            <v>0.68068313831959093</v>
          </cell>
          <cell r="AR13">
            <v>0.66771964975290654</v>
          </cell>
          <cell r="AT13">
            <v>0.65506998869356114</v>
          </cell>
          <cell r="AV13">
            <v>0.63127848439132905</v>
          </cell>
          <cell r="AX13">
            <v>0.62611463720107785</v>
          </cell>
          <cell r="AZ13">
            <v>0.61942234723792489</v>
          </cell>
          <cell r="BB13">
            <v>0.61979468701905294</v>
          </cell>
          <cell r="BD13">
            <v>0.64</v>
          </cell>
          <cell r="BF13">
            <v>0.65</v>
          </cell>
        </row>
        <row r="14">
          <cell r="A14" t="str">
            <v>Room Revenue</v>
          </cell>
          <cell r="B14">
            <v>377547.90399999998</v>
          </cell>
          <cell r="D14">
            <v>359191.06800000003</v>
          </cell>
          <cell r="F14">
            <v>339509.12199999997</v>
          </cell>
          <cell r="H14">
            <v>326942.49800000002</v>
          </cell>
          <cell r="J14">
            <v>326270.53200000001</v>
          </cell>
          <cell r="L14">
            <v>339058.89</v>
          </cell>
          <cell r="N14">
            <v>350832.11499999999</v>
          </cell>
          <cell r="P14">
            <v>370347.10399999999</v>
          </cell>
          <cell r="R14">
            <v>393005.18080200005</v>
          </cell>
          <cell r="T14">
            <v>407521.22115128848</v>
          </cell>
          <cell r="V14">
            <v>415671.64557431429</v>
          </cell>
          <cell r="X14">
            <v>423985.07848580054</v>
          </cell>
          <cell r="AD14" t="str">
            <v>RevPAR</v>
          </cell>
          <cell r="AF14">
            <v>32.549999999999997</v>
          </cell>
          <cell r="AH14">
            <v>32.92</v>
          </cell>
          <cell r="AJ14">
            <v>33.159999999999997</v>
          </cell>
          <cell r="AL14">
            <v>34.159999999999997</v>
          </cell>
          <cell r="AN14">
            <v>36.18</v>
          </cell>
          <cell r="AP14">
            <v>34.09027041757134</v>
          </cell>
          <cell r="AR14">
            <v>32.312867948094457</v>
          </cell>
          <cell r="AT14">
            <v>31.029335780761652</v>
          </cell>
          <cell r="AV14">
            <v>29.916302704845361</v>
          </cell>
          <cell r="AX14">
            <v>30.588733197998231</v>
          </cell>
          <cell r="AZ14">
            <v>32.073006483865257</v>
          </cell>
          <cell r="BB14">
            <v>34.113050003130958</v>
          </cell>
          <cell r="BD14">
            <v>36.160000000000004</v>
          </cell>
          <cell r="BF14">
            <v>38.267450000000004</v>
          </cell>
        </row>
        <row r="15">
          <cell r="A15" t="str">
            <v>Other Revenue</v>
          </cell>
          <cell r="B15">
            <v>13603.254000000001</v>
          </cell>
          <cell r="D15">
            <v>12599.285</v>
          </cell>
          <cell r="F15">
            <v>5126.9830000000002</v>
          </cell>
          <cell r="H15">
            <v>8976.2810000000009</v>
          </cell>
          <cell r="J15">
            <v>8732.5300000000007</v>
          </cell>
          <cell r="L15">
            <v>7535.37</v>
          </cell>
          <cell r="N15">
            <v>7651.2960000000003</v>
          </cell>
          <cell r="P15">
            <v>7777.2891840000002</v>
          </cell>
          <cell r="R15">
            <v>8253.1087968420015</v>
          </cell>
          <cell r="T15">
            <v>8557.9456441770581</v>
          </cell>
          <cell r="V15">
            <v>8729.1045570606002</v>
          </cell>
          <cell r="X15">
            <v>8903.6866482018122</v>
          </cell>
          <cell r="Z15">
            <v>2.1000000000000001E-2</v>
          </cell>
          <cell r="AD15" t="str">
            <v>Owned Revenue</v>
          </cell>
          <cell r="AF15">
            <v>291.44499999999999</v>
          </cell>
          <cell r="AH15">
            <v>317.43700000000001</v>
          </cell>
          <cell r="AJ15">
            <v>351.17500000000001</v>
          </cell>
          <cell r="AL15">
            <v>371.37400000000002</v>
          </cell>
          <cell r="AN15">
            <v>384.87866666666565</v>
          </cell>
          <cell r="AP15">
            <v>391.15115800000001</v>
          </cell>
          <cell r="AR15">
            <v>371.79035299999998</v>
          </cell>
          <cell r="AT15">
            <v>344.63610499999999</v>
          </cell>
          <cell r="AV15">
            <v>335.91877900000003</v>
          </cell>
          <cell r="AX15">
            <v>335.00306200000006</v>
          </cell>
          <cell r="AZ15">
            <v>346.59426000000002</v>
          </cell>
          <cell r="BB15">
            <v>358.48341099999999</v>
          </cell>
          <cell r="BD15">
            <v>378.12439318399998</v>
          </cell>
          <cell r="BF15">
            <v>401.25828959884205</v>
          </cell>
        </row>
        <row r="16">
          <cell r="AD16" t="str">
            <v>% Change</v>
          </cell>
          <cell r="AH16">
            <v>8.9183207809363729E-2</v>
          </cell>
          <cell r="AJ16">
            <v>0.10628250645009873</v>
          </cell>
          <cell r="AL16">
            <v>5.7518331316295246E-2</v>
          </cell>
          <cell r="AN16">
            <v>3.6364060668397924E-2</v>
          </cell>
          <cell r="AP16">
            <v>1.6297321406922194E-2</v>
          </cell>
          <cell r="AR16">
            <v>-4.9496990112451678E-2</v>
          </cell>
          <cell r="AT16">
            <v>-7.3036451271235592E-2</v>
          </cell>
          <cell r="AV16">
            <v>-2.5294291206082287E-2</v>
          </cell>
          <cell r="AX16">
            <v>-2.7260071697271515E-3</v>
          </cell>
          <cell r="AZ16">
            <v>3.4600274787935925E-2</v>
          </cell>
          <cell r="BB16">
            <v>3.4302792550574779E-2</v>
          </cell>
          <cell r="BD16">
            <v>5.47890964583575E-2</v>
          </cell>
          <cell r="BF16">
            <v>6.1180650684931726E-2</v>
          </cell>
        </row>
        <row r="17">
          <cell r="AD17" t="str">
            <v>Franchise Revenue</v>
          </cell>
        </row>
        <row r="18">
          <cell r="AD18" t="str">
            <v>Other Revenue</v>
          </cell>
        </row>
        <row r="19">
          <cell r="AD19" t="str">
            <v>Total Revenue</v>
          </cell>
          <cell r="AF19">
            <v>291.44499999999999</v>
          </cell>
          <cell r="AH19">
            <v>317.43700000000001</v>
          </cell>
          <cell r="AJ19">
            <v>351.17500000000001</v>
          </cell>
          <cell r="AL19">
            <v>371.37400000000002</v>
          </cell>
          <cell r="AN19">
            <v>384.87866666666565</v>
          </cell>
          <cell r="AP19">
            <v>391.15115800000001</v>
          </cell>
          <cell r="AR19">
            <v>371.79035299999998</v>
          </cell>
          <cell r="AT19">
            <v>344.63610499999999</v>
          </cell>
          <cell r="AV19">
            <v>335.91877900000003</v>
          </cell>
          <cell r="AX19">
            <v>335.00306200000006</v>
          </cell>
          <cell r="AZ19">
            <v>346.59426000000002</v>
          </cell>
          <cell r="BB19">
            <v>358.48341099999999</v>
          </cell>
          <cell r="BD19">
            <v>378.12439318399998</v>
          </cell>
          <cell r="BF19">
            <v>401.25828959884205</v>
          </cell>
        </row>
        <row r="20">
          <cell r="AD20" t="str">
            <v>% Change</v>
          </cell>
          <cell r="AH20">
            <v>8.9183207809363729E-2</v>
          </cell>
          <cell r="AJ20">
            <v>0.10628250645009873</v>
          </cell>
          <cell r="AL20">
            <v>5.7518331316295246E-2</v>
          </cell>
          <cell r="AN20">
            <v>3.6364060668397924E-2</v>
          </cell>
          <cell r="AP20">
            <v>1.6297321406922194E-2</v>
          </cell>
          <cell r="AR20">
            <v>-4.9496990112451678E-2</v>
          </cell>
          <cell r="AT20">
            <v>-7.3036451271235592E-2</v>
          </cell>
          <cell r="AV20">
            <v>-2.5294291206082287E-2</v>
          </cell>
          <cell r="AX20">
            <v>-2.7260071697271515E-3</v>
          </cell>
          <cell r="AZ20">
            <v>3.4600274787935925E-2</v>
          </cell>
          <cell r="BB20">
            <v>3.4302792550574779E-2</v>
          </cell>
          <cell r="BD20">
            <v>5.47890964583575E-2</v>
          </cell>
          <cell r="BF20">
            <v>6.1180650684931726E-2</v>
          </cell>
        </row>
        <row r="21">
          <cell r="A21" t="str">
            <v>F&amp;B Revenue</v>
          </cell>
          <cell r="AD21" t="str">
            <v>Operating Expenses from Corp Owned Assets</v>
          </cell>
          <cell r="AP21">
            <v>-182.79810599999999</v>
          </cell>
          <cell r="AR21">
            <v>-179.694762</v>
          </cell>
          <cell r="AT21">
            <v>-165.78002699999999</v>
          </cell>
          <cell r="AV21">
            <v>-171.08674200000002</v>
          </cell>
          <cell r="AX21">
            <v>-165.92721</v>
          </cell>
          <cell r="AZ21">
            <v>-174.43730800000003</v>
          </cell>
          <cell r="BB21">
            <v>-171.13718799999998</v>
          </cell>
          <cell r="BD21">
            <v>-174.13468332384798</v>
          </cell>
          <cell r="BF21">
            <v>-177.56603799921265</v>
          </cell>
        </row>
        <row r="22">
          <cell r="A22" t="str">
            <v>Franchise / Mgt Revenue</v>
          </cell>
          <cell r="J22">
            <v>8592</v>
          </cell>
          <cell r="L22">
            <v>8990</v>
          </cell>
          <cell r="N22">
            <v>10247.589</v>
          </cell>
          <cell r="P22">
            <v>11893.152525478166</v>
          </cell>
          <cell r="R22">
            <v>14194.706879957916</v>
          </cell>
          <cell r="T22">
            <v>16734.61683644569</v>
          </cell>
          <cell r="V22">
            <v>19294.51493612527</v>
          </cell>
          <cell r="X22">
            <v>21871.104567191585</v>
          </cell>
          <cell r="AD22" t="str">
            <v>Gross Operating Profit</v>
          </cell>
          <cell r="AP22">
            <v>208.35305200000002</v>
          </cell>
          <cell r="AR22">
            <v>192.09559099999998</v>
          </cell>
          <cell r="AT22">
            <v>178.856078</v>
          </cell>
          <cell r="AV22">
            <v>164.83203700000001</v>
          </cell>
          <cell r="AX22">
            <v>169.07585200000005</v>
          </cell>
          <cell r="AZ22">
            <v>172.15695199999999</v>
          </cell>
          <cell r="BB22">
            <v>187.34622300000001</v>
          </cell>
          <cell r="BD22">
            <v>203.989709860152</v>
          </cell>
          <cell r="BF22">
            <v>223.6922515996294</v>
          </cell>
        </row>
        <row r="23">
          <cell r="A23" t="str">
            <v xml:space="preserve">     Total Revenue</v>
          </cell>
          <cell r="B23">
            <v>391151.158</v>
          </cell>
          <cell r="D23">
            <v>371790.353</v>
          </cell>
          <cell r="E23">
            <v>-4.9496990112451601E-2</v>
          </cell>
          <cell r="F23">
            <v>344636.10499999998</v>
          </cell>
          <cell r="G23">
            <v>-7.3036451271235703E-2</v>
          </cell>
          <cell r="H23">
            <v>335918.77900000004</v>
          </cell>
          <cell r="I23">
            <v>-2.5294291206082262E-2</v>
          </cell>
          <cell r="J23">
            <v>343595.06200000003</v>
          </cell>
          <cell r="K23">
            <v>2.2851604256396738E-2</v>
          </cell>
          <cell r="L23">
            <v>355584.26</v>
          </cell>
          <cell r="M23">
            <v>3.4893394364322892E-2</v>
          </cell>
          <cell r="N23">
            <v>368730.99999999994</v>
          </cell>
          <cell r="O23">
            <v>3.6972221436347978E-2</v>
          </cell>
          <cell r="P23">
            <v>390017.54570947814</v>
          </cell>
          <cell r="Q23">
            <v>5.7729200174322766E-2</v>
          </cell>
          <cell r="R23">
            <v>415452.99647879996</v>
          </cell>
          <cell r="S23">
            <v>6.5216170526514058E-2</v>
          </cell>
          <cell r="T23">
            <v>432813.78363191121</v>
          </cell>
          <cell r="U23">
            <v>4.1787608466550427E-2</v>
          </cell>
          <cell r="V23">
            <v>443695.26506750012</v>
          </cell>
          <cell r="W23">
            <v>2.5141254384918398E-2</v>
          </cell>
          <cell r="X23">
            <v>454759.86970119394</v>
          </cell>
          <cell r="Y23">
            <v>2.4937396237506702E-2</v>
          </cell>
          <cell r="AD23" t="str">
            <v>% Margin</v>
          </cell>
          <cell r="AP23">
            <v>0.53266633049313383</v>
          </cell>
          <cell r="AR23">
            <v>0.51667717962547566</v>
          </cell>
          <cell r="AT23">
            <v>0.51897080835451059</v>
          </cell>
          <cell r="AV23">
            <v>0.49069015281220701</v>
          </cell>
          <cell r="AX23">
            <v>0.50469942271751544</v>
          </cell>
          <cell r="AZ23">
            <v>0.49671033790346092</v>
          </cell>
          <cell r="BB23">
            <v>0.52260778951358511</v>
          </cell>
          <cell r="BD23">
            <v>0.53947778439379368</v>
          </cell>
          <cell r="BF23">
            <v>0.5574769603470765</v>
          </cell>
        </row>
        <row r="24">
          <cell r="AD24" t="str">
            <v>Fixed Expenses</v>
          </cell>
          <cell r="AP24">
            <v>-47.827503</v>
          </cell>
          <cell r="AR24">
            <v>-54.386516</v>
          </cell>
          <cell r="AT24">
            <v>-53.387559000000003</v>
          </cell>
          <cell r="AV24">
            <v>-52.957075999999994</v>
          </cell>
          <cell r="AX24">
            <v>-66.027821812292615</v>
          </cell>
          <cell r="AZ24">
            <v>-65.59280619180916</v>
          </cell>
          <cell r="BB24">
            <v>-67.90471717791219</v>
          </cell>
          <cell r="BD24">
            <v>-71.166389036085278</v>
          </cell>
          <cell r="BF24">
            <v>-74.954651036109254</v>
          </cell>
        </row>
        <row r="25">
          <cell r="A25" t="str">
            <v>Salaries &amp; Wages</v>
          </cell>
          <cell r="B25">
            <v>-78737.596999999994</v>
          </cell>
          <cell r="C25">
            <v>-0.20129710826524</v>
          </cell>
          <cell r="D25">
            <v>-75807.857000000004</v>
          </cell>
          <cell r="E25">
            <v>-0.2038994728838486</v>
          </cell>
          <cell r="F25">
            <v>-74448.653999999995</v>
          </cell>
          <cell r="G25">
            <v>-0.21602105211814646</v>
          </cell>
          <cell r="H25">
            <v>-75216.822</v>
          </cell>
          <cell r="I25">
            <v>-0.22391371576163055</v>
          </cell>
          <cell r="J25">
            <v>-72050.820999999996</v>
          </cell>
          <cell r="K25">
            <v>-0.20969690478264205</v>
          </cell>
          <cell r="L25">
            <v>-74330.157000000007</v>
          </cell>
          <cell r="M25">
            <v>-0.20903669076915835</v>
          </cell>
          <cell r="N25">
            <v>-75686.915999999997</v>
          </cell>
          <cell r="O25">
            <v>-0.20526322983421522</v>
          </cell>
          <cell r="P25">
            <v>-75686.915999999983</v>
          </cell>
          <cell r="Q25">
            <v>-0.19406028480672183</v>
          </cell>
          <cell r="R25">
            <v>-75686.915999999983</v>
          </cell>
          <cell r="S25">
            <v>-0.18217925166382135</v>
          </cell>
          <cell r="T25">
            <v>-75686.915999999983</v>
          </cell>
          <cell r="U25">
            <v>-0.1748717782619611</v>
          </cell>
          <cell r="V25">
            <v>-75686.915999999983</v>
          </cell>
          <cell r="W25">
            <v>-0.17058310502476423</v>
          </cell>
          <cell r="X25">
            <v>-75686.915999999983</v>
          </cell>
          <cell r="Y25">
            <v>-0.1664327066716135</v>
          </cell>
          <cell r="AD25" t="str">
            <v>EBITDA</v>
          </cell>
          <cell r="AP25">
            <v>160.52554900000001</v>
          </cell>
          <cell r="AR25">
            <v>137.70907499999998</v>
          </cell>
          <cell r="AT25">
            <v>125.46851899999999</v>
          </cell>
          <cell r="AV25">
            <v>111.87496100000001</v>
          </cell>
          <cell r="AX25">
            <v>103.04803018770744</v>
          </cell>
          <cell r="AZ25">
            <v>106.56414580819083</v>
          </cell>
          <cell r="BB25">
            <v>119.44150582208782</v>
          </cell>
          <cell r="BD25">
            <v>132.82332082406674</v>
          </cell>
          <cell r="BF25">
            <v>148.73760056352015</v>
          </cell>
        </row>
        <row r="26">
          <cell r="A26" t="str">
            <v>Payroll Taxes &amp; Benefits</v>
          </cell>
          <cell r="B26">
            <v>-17887.333999999999</v>
          </cell>
          <cell r="C26">
            <v>-4.5729978383446328E-2</v>
          </cell>
          <cell r="D26">
            <v>-16886.874</v>
          </cell>
          <cell r="E26">
            <v>-4.5420420039785164E-2</v>
          </cell>
          <cell r="F26">
            <v>-16910.671999999999</v>
          </cell>
          <cell r="G26">
            <v>-4.9068196148514383E-2</v>
          </cell>
          <cell r="H26">
            <v>-16600.096000000001</v>
          </cell>
          <cell r="I26">
            <v>-4.9416993147620367E-2</v>
          </cell>
          <cell r="J26">
            <v>-19466.357</v>
          </cell>
          <cell r="K26">
            <v>-5.6654938190002273E-2</v>
          </cell>
          <cell r="L26">
            <v>-21460.021000000001</v>
          </cell>
          <cell r="M26">
            <v>-6.0351436815566581E-2</v>
          </cell>
          <cell r="N26">
            <v>-18923.662</v>
          </cell>
          <cell r="O26">
            <v>-5.1321049762564047E-2</v>
          </cell>
          <cell r="P26">
            <v>-18923.662</v>
          </cell>
          <cell r="Q26">
            <v>-4.852002738896298E-2</v>
          </cell>
          <cell r="R26">
            <v>-18923.662</v>
          </cell>
          <cell r="S26">
            <v>-4.5549465668532373E-2</v>
          </cell>
          <cell r="T26">
            <v>-18923.662</v>
          </cell>
          <cell r="U26">
            <v>-4.3722410689428802E-2</v>
          </cell>
          <cell r="V26">
            <v>-18923.662</v>
          </cell>
          <cell r="W26">
            <v>-4.2650132849898929E-2</v>
          </cell>
          <cell r="X26">
            <v>-18923.662</v>
          </cell>
          <cell r="Y26">
            <v>-4.1612427262841034E-2</v>
          </cell>
          <cell r="Z26">
            <v>0.25</v>
          </cell>
          <cell r="AD26" t="str">
            <v>% Margin</v>
          </cell>
          <cell r="AP26">
            <v>0.4103926211564482</v>
          </cell>
          <cell r="AR26">
            <v>0.37039442763594244</v>
          </cell>
          <cell r="AT26">
            <v>0.36406086646087182</v>
          </cell>
          <cell r="AV26">
            <v>0.33304169934482886</v>
          </cell>
          <cell r="AX26">
            <v>0.30760324867629846</v>
          </cell>
          <cell r="AZ26">
            <v>0.30746079236335544</v>
          </cell>
          <cell r="BB26">
            <v>0.3331855872741844</v>
          </cell>
          <cell r="BD26">
            <v>0.35126885019405052</v>
          </cell>
          <cell r="BF26">
            <v>0.37067795088350836</v>
          </cell>
        </row>
        <row r="27">
          <cell r="A27" t="str">
            <v xml:space="preserve">     Total Personnel Costs</v>
          </cell>
          <cell r="B27">
            <v>-96624.930999999997</v>
          </cell>
          <cell r="C27">
            <v>-0.24702708664868633</v>
          </cell>
          <cell r="D27">
            <v>-92694.731</v>
          </cell>
          <cell r="E27">
            <v>-0.24931989292363377</v>
          </cell>
          <cell r="F27">
            <v>-91359.326000000001</v>
          </cell>
          <cell r="G27">
            <v>-0.26508924826666086</v>
          </cell>
          <cell r="H27">
            <v>-91816.918000000005</v>
          </cell>
          <cell r="I27">
            <v>-0.27333070890925093</v>
          </cell>
          <cell r="J27">
            <v>-91517.178</v>
          </cell>
          <cell r="K27">
            <v>-0.2663518429726443</v>
          </cell>
          <cell r="L27">
            <v>-95790.178000000014</v>
          </cell>
          <cell r="M27">
            <v>-0.26938812758472497</v>
          </cell>
          <cell r="N27">
            <v>-94610.577999999994</v>
          </cell>
          <cell r="O27">
            <v>-0.25658427959677926</v>
          </cell>
          <cell r="P27">
            <v>-94610.57799999998</v>
          </cell>
          <cell r="Q27">
            <v>-0.24258031219568482</v>
          </cell>
          <cell r="R27">
            <v>-94610.57799999998</v>
          </cell>
          <cell r="S27">
            <v>-0.22772871733235373</v>
          </cell>
          <cell r="T27">
            <v>-94610.57799999998</v>
          </cell>
          <cell r="U27">
            <v>-0.21859418895138988</v>
          </cell>
          <cell r="V27">
            <v>-94610.57799999998</v>
          </cell>
          <cell r="W27">
            <v>-0.21323323787466317</v>
          </cell>
          <cell r="X27">
            <v>-94610.57799999998</v>
          </cell>
          <cell r="Y27">
            <v>-0.20804513393445453</v>
          </cell>
          <cell r="AD27" t="str">
            <v>Franchise Revenue</v>
          </cell>
          <cell r="AL27">
            <v>3.9620000000000002</v>
          </cell>
          <cell r="AN27">
            <v>3.1866666666666665</v>
          </cell>
          <cell r="AX27">
            <v>8.5920000000000005</v>
          </cell>
          <cell r="AZ27">
            <v>8.99</v>
          </cell>
          <cell r="BB27">
            <v>10.247589</v>
          </cell>
          <cell r="BD27">
            <v>11.893152525478166</v>
          </cell>
          <cell r="BF27">
            <v>14.194706879957916</v>
          </cell>
        </row>
        <row r="28">
          <cell r="B28" t="str">
            <v xml:space="preserve"> </v>
          </cell>
          <cell r="D28" t="str">
            <v xml:space="preserve"> </v>
          </cell>
          <cell r="F28" t="str">
            <v xml:space="preserve"> </v>
          </cell>
          <cell r="H28" t="str">
            <v xml:space="preserve"> </v>
          </cell>
          <cell r="J28" t="str">
            <v xml:space="preserve"> </v>
          </cell>
          <cell r="L28" t="str">
            <v xml:space="preserve"> </v>
          </cell>
          <cell r="N28" t="str">
            <v xml:space="preserve"> </v>
          </cell>
          <cell r="P28" t="str">
            <v xml:space="preserve"> </v>
          </cell>
          <cell r="R28" t="str">
            <v xml:space="preserve"> </v>
          </cell>
          <cell r="T28" t="str">
            <v xml:space="preserve"> </v>
          </cell>
          <cell r="V28" t="str">
            <v xml:space="preserve"> </v>
          </cell>
          <cell r="X28" t="str">
            <v xml:space="preserve"> </v>
          </cell>
          <cell r="AD28" t="str">
            <v>Franchise Expenses</v>
          </cell>
          <cell r="AL28" t="str">
            <v>NA</v>
          </cell>
          <cell r="AN28" t="str">
            <v>NA</v>
          </cell>
          <cell r="AX28">
            <v>-6.8060688122926232</v>
          </cell>
          <cell r="AZ28">
            <v>-7.2646531918091606</v>
          </cell>
          <cell r="BB28">
            <v>-8.1282361779121821</v>
          </cell>
          <cell r="BD28">
            <v>-8.9883876594964853</v>
          </cell>
          <cell r="BF28">
            <v>-10.389231549508757</v>
          </cell>
        </row>
        <row r="29">
          <cell r="A29" t="str">
            <v>Total Supplies &amp; Cost of Sales</v>
          </cell>
          <cell r="B29">
            <v>-17692.772000000001</v>
          </cell>
          <cell r="C29">
            <v>-4.5232569655335141E-2</v>
          </cell>
          <cell r="D29">
            <v>-17204.702000000001</v>
          </cell>
          <cell r="E29">
            <v>-4.6275278153868615E-2</v>
          </cell>
          <cell r="F29">
            <v>-11045.963</v>
          </cell>
          <cell r="G29">
            <v>-3.2051090526339372E-2</v>
          </cell>
          <cell r="H29">
            <v>-16315.939</v>
          </cell>
          <cell r="I29">
            <v>-4.8571083309397238E-2</v>
          </cell>
          <cell r="J29">
            <v>-15499.373000000001</v>
          </cell>
          <cell r="K29">
            <v>-4.5109417201112161E-2</v>
          </cell>
          <cell r="L29">
            <v>-15386.492</v>
          </cell>
          <cell r="M29">
            <v>-4.327101542683582E-2</v>
          </cell>
          <cell r="N29">
            <v>-15784.630999999999</v>
          </cell>
          <cell r="O29">
            <v>-4.2807984682600601E-2</v>
          </cell>
          <cell r="P29">
            <v>-17015.59769328</v>
          </cell>
          <cell r="Q29">
            <v>-4.3627774905170093E-2</v>
          </cell>
          <cell r="R29">
            <v>-18056.623031947889</v>
          </cell>
          <cell r="S29">
            <v>-4.3462493194147162E-2</v>
          </cell>
          <cell r="T29">
            <v>-18723.562505795948</v>
          </cell>
          <cell r="U29">
            <v>-4.3260088319459579E-2</v>
          </cell>
          <cell r="V29">
            <v>-19098.033755911867</v>
          </cell>
          <cell r="W29">
            <v>-4.3043131760728728E-2</v>
          </cell>
          <cell r="X29">
            <v>-19479.994431030107</v>
          </cell>
          <cell r="Y29">
            <v>-4.2835781538572648E-2</v>
          </cell>
          <cell r="Z29">
            <v>-4.4999999999999998E-2</v>
          </cell>
          <cell r="AD29" t="str">
            <v>Franchise EBITDA</v>
          </cell>
          <cell r="AL29">
            <v>3.9620000000000002</v>
          </cell>
          <cell r="AN29">
            <v>3.1866666666666665</v>
          </cell>
          <cell r="AX29">
            <v>1.7859311877073774</v>
          </cell>
          <cell r="AZ29">
            <v>1.7253468081908396</v>
          </cell>
          <cell r="BB29">
            <v>2.1193528220878175</v>
          </cell>
          <cell r="BD29">
            <v>2.9047648659816812</v>
          </cell>
          <cell r="BF29">
            <v>3.8054753304491591</v>
          </cell>
        </row>
        <row r="30">
          <cell r="A30" t="str">
            <v>Total Travel Expenses</v>
          </cell>
          <cell r="B30">
            <v>-977.64400000000001</v>
          </cell>
          <cell r="C30">
            <v>-2.499402034238641E-3</v>
          </cell>
          <cell r="D30">
            <v>-825.20600000000002</v>
          </cell>
          <cell r="E30">
            <v>-2.2195465625758182E-3</v>
          </cell>
          <cell r="F30">
            <v>-896.78800000000001</v>
          </cell>
          <cell r="G30">
            <v>-2.6021301511633555E-3</v>
          </cell>
          <cell r="H30">
            <v>-1222.7560000000001</v>
          </cell>
          <cell r="I30">
            <v>-3.6400346644508371E-3</v>
          </cell>
          <cell r="J30">
            <v>-1052.4769999999999</v>
          </cell>
          <cell r="K30">
            <v>-3.0631319142764625E-3</v>
          </cell>
          <cell r="L30">
            <v>-1511.23</v>
          </cell>
          <cell r="M30">
            <v>-4.2499912678924537E-3</v>
          </cell>
          <cell r="N30">
            <v>-1354.04</v>
          </cell>
          <cell r="O30">
            <v>-3.6721620910636758E-3</v>
          </cell>
          <cell r="P30">
            <v>-1387.8909999999998</v>
          </cell>
          <cell r="Q30">
            <v>-3.5585347768785562E-3</v>
          </cell>
          <cell r="R30">
            <v>-1422.5882749999996</v>
          </cell>
          <cell r="S30">
            <v>-3.4241858575031182E-3</v>
          </cell>
          <cell r="T30">
            <v>-1458.1529818749996</v>
          </cell>
          <cell r="U30">
            <v>-3.3690077280789502E-3</v>
          </cell>
          <cell r="V30">
            <v>-1494.6068064218744</v>
          </cell>
          <cell r="W30">
            <v>-3.3685435119405597E-3</v>
          </cell>
          <cell r="X30">
            <v>-1531.9719765824211</v>
          </cell>
          <cell r="Y30">
            <v>-3.3687492645052956E-3</v>
          </cell>
          <cell r="AD30" t="str">
            <v>Maintenance CapEx</v>
          </cell>
          <cell r="AL30">
            <v>-23.045000000000002</v>
          </cell>
          <cell r="AN30">
            <v>-20</v>
          </cell>
          <cell r="AX30">
            <v>-8</v>
          </cell>
          <cell r="AZ30">
            <v>-6</v>
          </cell>
          <cell r="BB30">
            <v>-6</v>
          </cell>
          <cell r="BD30">
            <v>-6</v>
          </cell>
          <cell r="BF30">
            <v>-14</v>
          </cell>
        </row>
        <row r="31">
          <cell r="A31" t="str">
            <v>Total Legal Expenses</v>
          </cell>
          <cell r="B31">
            <v>-0.57799999999999996</v>
          </cell>
          <cell r="C31">
            <v>-1.4776896045901518E-6</v>
          </cell>
          <cell r="D31">
            <v>-0.311</v>
          </cell>
          <cell r="E31">
            <v>-8.3649292535570441E-7</v>
          </cell>
          <cell r="F31">
            <v>-0.29699999999999999</v>
          </cell>
          <cell r="G31">
            <v>-8.6177854174622822E-7</v>
          </cell>
          <cell r="H31">
            <v>-12.082000000000001</v>
          </cell>
          <cell r="I31">
            <v>-3.5967027612945686E-5</v>
          </cell>
          <cell r="J31">
            <v>-20.811</v>
          </cell>
          <cell r="K31">
            <v>-6.0568390822799423E-5</v>
          </cell>
          <cell r="L31">
            <v>-60.372</v>
          </cell>
          <cell r="M31">
            <v>-1.6978254324305581E-4</v>
          </cell>
          <cell r="N31">
            <v>-50.514000000000003</v>
          </cell>
          <cell r="O31">
            <v>-1.3699417732710299E-4</v>
          </cell>
          <cell r="P31">
            <v>-50.514000000000003</v>
          </cell>
          <cell r="Q31">
            <v>-1.2951725007168677E-4</v>
          </cell>
          <cell r="R31">
            <v>-50.514000000000003</v>
          </cell>
          <cell r="S31">
            <v>-1.215877618602702E-4</v>
          </cell>
          <cell r="T31">
            <v>-50.514000000000003</v>
          </cell>
          <cell r="U31">
            <v>-1.1671070079172872E-4</v>
          </cell>
          <cell r="V31">
            <v>-50.514000000000003</v>
          </cell>
          <cell r="W31">
            <v>-1.1384840898023832E-4</v>
          </cell>
          <cell r="X31">
            <v>-50.514000000000003</v>
          </cell>
          <cell r="Y31">
            <v>-1.1107840283530493E-4</v>
          </cell>
          <cell r="AD31" t="str">
            <v>Renovation CapEx</v>
          </cell>
          <cell r="AL31">
            <v>-7.4</v>
          </cell>
          <cell r="AN31">
            <v>0</v>
          </cell>
          <cell r="AX31">
            <v>-42</v>
          </cell>
          <cell r="AZ31">
            <v>-52</v>
          </cell>
          <cell r="BB31">
            <v>-54</v>
          </cell>
          <cell r="BD31">
            <v>-34</v>
          </cell>
          <cell r="BF31">
            <v>-26</v>
          </cell>
        </row>
        <row r="32">
          <cell r="A32" t="str">
            <v>Total Outsides Services</v>
          </cell>
          <cell r="B32">
            <v>-5231.5720000000001</v>
          </cell>
          <cell r="C32">
            <v>-1.3374808927447942E-2</v>
          </cell>
          <cell r="D32">
            <v>-3113.08</v>
          </cell>
          <cell r="E32">
            <v>-8.3732134921747151E-3</v>
          </cell>
          <cell r="F32">
            <v>-3108.7460000000001</v>
          </cell>
          <cell r="G32">
            <v>-9.0203723721865997E-3</v>
          </cell>
          <cell r="H32">
            <v>-3054.848</v>
          </cell>
          <cell r="I32">
            <v>-9.094007810739272E-3</v>
          </cell>
          <cell r="J32">
            <v>-2904.7579999999998</v>
          </cell>
          <cell r="K32">
            <v>-8.4540155585821532E-3</v>
          </cell>
          <cell r="L32">
            <v>-2986.1219999999998</v>
          </cell>
          <cell r="M32">
            <v>-8.3977901609030726E-3</v>
          </cell>
          <cell r="N32">
            <v>-2845.4549999999999</v>
          </cell>
          <cell r="O32">
            <v>-7.7168857514014295E-3</v>
          </cell>
          <cell r="P32">
            <v>-2916.5913749999995</v>
          </cell>
          <cell r="Q32">
            <v>-7.4781029907114794E-3</v>
          </cell>
          <cell r="R32">
            <v>-2989.5061593749992</v>
          </cell>
          <cell r="S32">
            <v>-7.1957746958446834E-3</v>
          </cell>
          <cell r="T32">
            <v>-3064.2438133593741</v>
          </cell>
          <cell r="U32">
            <v>-7.0798203043491255E-3</v>
          </cell>
          <cell r="V32">
            <v>-3140.8499086933584</v>
          </cell>
          <cell r="W32">
            <v>-7.0788447747251381E-3</v>
          </cell>
          <cell r="X32">
            <v>-3219.371156410692</v>
          </cell>
          <cell r="Y32">
            <v>-7.0792771546135391E-3</v>
          </cell>
          <cell r="AD32" t="str">
            <v>Total CapEx</v>
          </cell>
          <cell r="AL32">
            <v>-30.445</v>
          </cell>
          <cell r="AN32">
            <v>-20</v>
          </cell>
          <cell r="AX32">
            <v>-50</v>
          </cell>
          <cell r="AZ32">
            <v>-58</v>
          </cell>
          <cell r="BB32">
            <v>-60</v>
          </cell>
          <cell r="BD32">
            <v>-40</v>
          </cell>
          <cell r="BF32">
            <v>-40</v>
          </cell>
        </row>
        <row r="33">
          <cell r="A33" t="str">
            <v>Total Guest Finance</v>
          </cell>
          <cell r="B33">
            <v>-9652.9699999999993</v>
          </cell>
          <cell r="C33">
            <v>-2.4678362322526983E-2</v>
          </cell>
          <cell r="D33">
            <v>-10953.566000000001</v>
          </cell>
          <cell r="E33">
            <v>-2.9461673525455891E-2</v>
          </cell>
          <cell r="F33">
            <v>-8577.348</v>
          </cell>
          <cell r="G33">
            <v>-2.4888129466296052E-2</v>
          </cell>
          <cell r="H33">
            <v>-7124.8670000000002</v>
          </cell>
          <cell r="I33">
            <v>-2.121008840651924E-2</v>
          </cell>
          <cell r="J33">
            <v>-6019.8549999999996</v>
          </cell>
          <cell r="K33">
            <v>-1.7520202313035568E-2</v>
          </cell>
          <cell r="L33">
            <v>-7187.3580000000002</v>
          </cell>
          <cell r="M33">
            <v>-2.0212812569375259E-2</v>
          </cell>
          <cell r="N33">
            <v>-6937.884</v>
          </cell>
          <cell r="O33">
            <v>-1.8815570158191203E-2</v>
          </cell>
          <cell r="P33">
            <v>-7184.3634704959995</v>
          </cell>
          <cell r="Q33">
            <v>-1.8420616071071816E-2</v>
          </cell>
          <cell r="R33">
            <v>-7623.9075023779988</v>
          </cell>
          <cell r="S33">
            <v>-1.8350830459751027E-2</v>
          </cell>
          <cell r="T33">
            <v>-7905.5041691138449</v>
          </cell>
          <cell r="U33">
            <v>-1.8265370623771822E-2</v>
          </cell>
          <cell r="V33">
            <v>-8063.6142524961224</v>
          </cell>
          <cell r="W33">
            <v>-1.81737667434188E-2</v>
          </cell>
          <cell r="X33">
            <v>-8224.8865375460446</v>
          </cell>
          <cell r="Y33">
            <v>-1.8086218871841784E-2</v>
          </cell>
          <cell r="Z33">
            <v>-1.9E-2</v>
          </cell>
          <cell r="AD33" t="str">
            <v>% of Revenues</v>
          </cell>
          <cell r="AL33">
            <v>-8.1979352350999263E-2</v>
          </cell>
          <cell r="AN33">
            <v>-5.1964428616464546E-2</v>
          </cell>
          <cell r="AX33">
            <v>-0.14925236713209503</v>
          </cell>
          <cell r="AZ33">
            <v>-0.1673426443934761</v>
          </cell>
          <cell r="BB33">
            <v>-0.167371761590385</v>
          </cell>
          <cell r="BD33">
            <v>-0.1057852937314613</v>
          </cell>
          <cell r="BF33">
            <v>-9.968641405512145E-2</v>
          </cell>
        </row>
        <row r="34">
          <cell r="A34" t="str">
            <v>Total Other Operating Expenses</v>
          </cell>
          <cell r="B34">
            <v>-538.56799999999998</v>
          </cell>
          <cell r="C34">
            <v>-1.3768794722576279E-3</v>
          </cell>
          <cell r="D34">
            <v>-3195.625</v>
          </cell>
          <cell r="E34">
            <v>-8.5952337768161503E-3</v>
          </cell>
          <cell r="F34">
            <v>-833.68299999999999</v>
          </cell>
          <cell r="G34">
            <v>-2.4190239731266693E-3</v>
          </cell>
          <cell r="H34">
            <v>241.50899999999999</v>
          </cell>
          <cell r="I34">
            <v>7.1895057703814751E-4</v>
          </cell>
          <cell r="J34">
            <v>1206.931</v>
          </cell>
          <cell r="K34">
            <v>3.5126552546322679E-3</v>
          </cell>
          <cell r="L34">
            <v>1457.9860000000001</v>
          </cell>
          <cell r="M34">
            <v>4.1002546063203136E-3</v>
          </cell>
          <cell r="N34">
            <v>2275.7779999999998</v>
          </cell>
          <cell r="O34">
            <v>6.171919366692793E-3</v>
          </cell>
          <cell r="P34">
            <v>2617.1446999999994</v>
          </cell>
          <cell r="Q34">
            <v>6.7103255450704658E-3</v>
          </cell>
          <cell r="R34">
            <v>3009.7164049999992</v>
          </cell>
          <cell r="S34">
            <v>7.2444209826600233E-3</v>
          </cell>
          <cell r="T34">
            <v>3461.1738657499986</v>
          </cell>
          <cell r="U34">
            <v>7.9969122903293961E-3</v>
          </cell>
          <cell r="V34">
            <v>3980.3499456124982</v>
          </cell>
          <cell r="W34">
            <v>8.9709092230383855E-3</v>
          </cell>
          <cell r="X34">
            <v>4577.4024374543724</v>
          </cell>
          <cell r="Y34">
            <v>1.0065537314147829E-2</v>
          </cell>
        </row>
        <row r="35">
          <cell r="A35" t="str">
            <v>Capitalized Expenses</v>
          </cell>
          <cell r="B35">
            <v>15.621</v>
          </cell>
          <cell r="C35">
            <v>3.9935967670073983E-5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</row>
        <row r="36">
          <cell r="A36" t="str">
            <v>Total Distribution Costs</v>
          </cell>
          <cell r="B36">
            <v>-1841.6780000000001</v>
          </cell>
          <cell r="C36">
            <v>-4.7083536948138091E-3</v>
          </cell>
          <cell r="D36">
            <v>-2407.3029999999999</v>
          </cell>
          <cell r="E36">
            <v>-6.4748936613748011E-3</v>
          </cell>
          <cell r="F36">
            <v>-1459.8720000000001</v>
          </cell>
          <cell r="G36">
            <v>-4.2359810211991577E-3</v>
          </cell>
          <cell r="H36">
            <v>-1518.855</v>
          </cell>
          <cell r="I36">
            <v>-4.5214947628754026E-3</v>
          </cell>
          <cell r="J36">
            <v>-1698.011</v>
          </cell>
          <cell r="K36">
            <v>-4.9418958180487468E-3</v>
          </cell>
          <cell r="L36">
            <v>-1532.2049999999999</v>
          </cell>
          <cell r="M36">
            <v>-4.3089786932638688E-3</v>
          </cell>
          <cell r="N36">
            <v>-1547.26</v>
          </cell>
          <cell r="O36">
            <v>-4.1961755317562128E-3</v>
          </cell>
          <cell r="P36">
            <v>-1638.704</v>
          </cell>
          <cell r="Q36">
            <v>-4.2016161017039508E-3</v>
          </cell>
          <cell r="R36">
            <v>-1668.8685</v>
          </cell>
          <cell r="S36">
            <v>-4.0169851081701376E-3</v>
          </cell>
          <cell r="T36">
            <v>-1671.9901750000001</v>
          </cell>
          <cell r="U36">
            <v>-3.8630705357155471E-3</v>
          </cell>
          <cell r="V36">
            <v>-1671.9901750000001</v>
          </cell>
          <cell r="W36">
            <v>-3.7683299927612195E-3</v>
          </cell>
          <cell r="X36">
            <v>-1671.9901750000001</v>
          </cell>
          <cell r="Y36">
            <v>-3.6766440629394225E-3</v>
          </cell>
        </row>
        <row r="37">
          <cell r="A37" t="str">
            <v>Total Billboard &amp; Local Adv.</v>
          </cell>
          <cell r="B37">
            <v>-9611.1260000000002</v>
          </cell>
          <cell r="C37">
            <v>-2.4571385776135171E-2</v>
          </cell>
          <cell r="D37">
            <v>-7685.5389999999998</v>
          </cell>
          <cell r="E37">
            <v>-2.0671700967991494E-2</v>
          </cell>
          <cell r="F37">
            <v>-7168.3760000000002</v>
          </cell>
          <cell r="G37">
            <v>-2.0799840457806938E-2</v>
          </cell>
          <cell r="H37">
            <v>-7020.3540000000003</v>
          </cell>
          <cell r="I37">
            <v>-2.0898962603099959E-2</v>
          </cell>
          <cell r="J37">
            <v>-6399.9390000000003</v>
          </cell>
          <cell r="K37">
            <v>-1.8626399817119606E-2</v>
          </cell>
          <cell r="L37">
            <v>-6378.9610000000002</v>
          </cell>
          <cell r="M37">
            <v>-1.7939379543965191E-2</v>
          </cell>
          <cell r="N37">
            <v>-5298.8940000000002</v>
          </cell>
          <cell r="O37">
            <v>-1.4370622486311163E-2</v>
          </cell>
          <cell r="P37">
            <v>-5431.3663499999993</v>
          </cell>
          <cell r="Q37">
            <v>-1.3925953869895364E-2</v>
          </cell>
          <cell r="R37">
            <v>-5567.1505087499991</v>
          </cell>
          <cell r="S37">
            <v>-1.34001934176303E-2</v>
          </cell>
          <cell r="T37">
            <v>-5706.3292714687486</v>
          </cell>
          <cell r="U37">
            <v>-1.3184259575988289E-2</v>
          </cell>
          <cell r="V37">
            <v>-5848.9875032554664</v>
          </cell>
          <cell r="W37">
            <v>-1.3182442914655963E-2</v>
          </cell>
          <cell r="X37">
            <v>-5995.2121908368526</v>
          </cell>
          <cell r="Y37">
            <v>-1.3183248105810407E-2</v>
          </cell>
        </row>
        <row r="38">
          <cell r="A38" t="str">
            <v>Total Loyalty Costs</v>
          </cell>
          <cell r="B38">
            <v>0</v>
          </cell>
          <cell r="C38">
            <v>0</v>
          </cell>
          <cell r="D38">
            <v>-1304.373</v>
          </cell>
          <cell r="E38">
            <v>-3.5083562267684766E-3</v>
          </cell>
          <cell r="F38">
            <v>-1855.615</v>
          </cell>
          <cell r="G38">
            <v>-5.3842733627691161E-3</v>
          </cell>
          <cell r="H38">
            <v>-2383.8159999999998</v>
          </cell>
          <cell r="I38">
            <v>-7.0964058844712567E-3</v>
          </cell>
          <cell r="J38">
            <v>-2400.0529999999999</v>
          </cell>
          <cell r="K38">
            <v>-6.985120758225564E-3</v>
          </cell>
          <cell r="L38">
            <v>-2206.4850000000001</v>
          </cell>
          <cell r="M38">
            <v>-6.2052381058711652E-3</v>
          </cell>
          <cell r="N38">
            <v>-2229.3290000000002</v>
          </cell>
          <cell r="O38">
            <v>-6.0459494862108165E-3</v>
          </cell>
          <cell r="P38">
            <v>-2359.7337599999996</v>
          </cell>
          <cell r="Q38">
            <v>-6.0503271864536879E-3</v>
          </cell>
          <cell r="R38">
            <v>-2403.1706400000003</v>
          </cell>
          <cell r="S38">
            <v>-5.7844585557649984E-3</v>
          </cell>
          <cell r="T38">
            <v>-2407.6658520000001</v>
          </cell>
          <cell r="U38">
            <v>-5.5628215714303873E-3</v>
          </cell>
          <cell r="V38">
            <v>-2407.6658520000001</v>
          </cell>
          <cell r="W38">
            <v>-5.4263951895761556E-3</v>
          </cell>
          <cell r="X38">
            <v>-2407.6658520000001</v>
          </cell>
          <cell r="Y38">
            <v>-5.2943674506327684E-3</v>
          </cell>
        </row>
        <row r="39">
          <cell r="A39" t="str">
            <v>Total R&amp;M</v>
          </cell>
          <cell r="B39">
            <v>-11454.450999999999</v>
          </cell>
          <cell r="C39">
            <v>-2.9283950119355136E-2</v>
          </cell>
          <cell r="D39">
            <v>-11079.592000000001</v>
          </cell>
          <cell r="E39">
            <v>-2.9800644128063217E-2</v>
          </cell>
          <cell r="F39">
            <v>-11592.736000000001</v>
          </cell>
          <cell r="G39">
            <v>-3.3637613215249169E-2</v>
          </cell>
          <cell r="H39">
            <v>-11739.133</v>
          </cell>
          <cell r="I39">
            <v>-3.494634338379754E-2</v>
          </cell>
          <cell r="J39">
            <v>-11909.596</v>
          </cell>
          <cell r="K39">
            <v>-3.4661720487705959E-2</v>
          </cell>
          <cell r="L39">
            <v>-12992.416999999999</v>
          </cell>
          <cell r="M39">
            <v>-3.6538223036081514E-2</v>
          </cell>
          <cell r="N39">
            <v>-12368.097</v>
          </cell>
          <cell r="O39">
            <v>-3.3542330316680725E-2</v>
          </cell>
          <cell r="P39">
            <v>-12478.104975071999</v>
          </cell>
          <cell r="Q39">
            <v>-3.1993701597124731E-2</v>
          </cell>
          <cell r="R39">
            <v>-13241.523556761787</v>
          </cell>
          <cell r="S39">
            <v>-3.1872495009041261E-2</v>
          </cell>
          <cell r="T39">
            <v>-13730.612504250363</v>
          </cell>
          <cell r="U39">
            <v>-3.1724064767603692E-2</v>
          </cell>
          <cell r="V39">
            <v>-14005.224754335371</v>
          </cell>
          <cell r="W39">
            <v>-3.1564963291201072E-2</v>
          </cell>
          <cell r="X39">
            <v>-14285.329249422079</v>
          </cell>
          <cell r="Y39">
            <v>-3.1412906461619941E-2</v>
          </cell>
          <cell r="Z39">
            <v>-3.3000000000000002E-2</v>
          </cell>
        </row>
        <row r="40">
          <cell r="A40" t="str">
            <v>Total Energy</v>
          </cell>
          <cell r="B40">
            <v>-17446.990000000002</v>
          </cell>
          <cell r="C40">
            <v>-4.4604214107938293E-2</v>
          </cell>
          <cell r="D40">
            <v>-18256.791000000001</v>
          </cell>
          <cell r="E40">
            <v>-4.9105069167838251E-2</v>
          </cell>
          <cell r="F40">
            <v>-16882.420999999998</v>
          </cell>
          <cell r="G40">
            <v>-4.8986222729043433E-2</v>
          </cell>
          <cell r="H40">
            <v>-18371.813999999998</v>
          </cell>
          <cell r="I40">
            <v>-5.4691238324607025E-2</v>
          </cell>
          <cell r="J40">
            <v>-17861.824000000001</v>
          </cell>
          <cell r="K40">
            <v>-5.1985100996591149E-2</v>
          </cell>
          <cell r="L40">
            <v>-19974.173999999999</v>
          </cell>
          <cell r="M40">
            <v>-5.6172829472260662E-2</v>
          </cell>
          <cell r="N40">
            <v>-20493.732</v>
          </cell>
          <cell r="O40">
            <v>-5.557908610884358E-2</v>
          </cell>
          <cell r="P40">
            <v>-21518.418600000001</v>
          </cell>
          <cell r="Q40">
            <v>-5.5172950131912653E-2</v>
          </cell>
          <cell r="R40">
            <v>-22594.339530000005</v>
          </cell>
          <cell r="S40">
            <v>-5.4384827457016463E-2</v>
          </cell>
          <cell r="T40">
            <v>-23724.056506500005</v>
          </cell>
          <cell r="U40">
            <v>-5.4813541998182419E-2</v>
          </cell>
          <cell r="V40">
            <v>-24910.259331825007</v>
          </cell>
          <cell r="W40">
            <v>-5.6142720675721812E-2</v>
          </cell>
          <cell r="X40">
            <v>-26155.772298416261</v>
          </cell>
          <cell r="Y40">
            <v>-5.7515568195589159E-2</v>
          </cell>
        </row>
        <row r="41">
          <cell r="A41" t="str">
            <v>Total Other Utilities</v>
          </cell>
          <cell r="B41">
            <v>-11740.447</v>
          </cell>
          <cell r="C41">
            <v>-3.0015115026196599E-2</v>
          </cell>
          <cell r="D41">
            <v>-10973.942999999999</v>
          </cell>
          <cell r="E41">
            <v>-2.9516481295037797E-2</v>
          </cell>
          <cell r="F41">
            <v>-10998.856</v>
          </cell>
          <cell r="G41">
            <v>-3.1914404325106914E-2</v>
          </cell>
          <cell r="H41">
            <v>-10746.869000000001</v>
          </cell>
          <cell r="I41">
            <v>-3.1992462678009433E-2</v>
          </cell>
          <cell r="J41">
            <v>-9850.2659999999996</v>
          </cell>
          <cell r="K41">
            <v>-2.8668240872448857E-2</v>
          </cell>
          <cell r="L41">
            <v>-9889.2999999999993</v>
          </cell>
          <cell r="M41">
            <v>-2.7811411000025703E-2</v>
          </cell>
          <cell r="N41">
            <v>-9892.5519999999997</v>
          </cell>
          <cell r="O41">
            <v>-2.6828642018165007E-2</v>
          </cell>
          <cell r="P41">
            <v>-10159.964800000002</v>
          </cell>
          <cell r="Q41">
            <v>-2.60500198305645E-2</v>
          </cell>
          <cell r="R41">
            <v>-10346.984700000001</v>
          </cell>
          <cell r="S41">
            <v>-2.4905307670654853E-2</v>
          </cell>
          <cell r="T41">
            <v>-10366.339085000001</v>
          </cell>
          <cell r="U41">
            <v>-2.3951037321436393E-2</v>
          </cell>
          <cell r="V41">
            <v>-10366.339085000001</v>
          </cell>
          <cell r="W41">
            <v>-2.3363645955119562E-2</v>
          </cell>
          <cell r="X41">
            <v>-10366.339085000001</v>
          </cell>
          <cell r="Y41">
            <v>-2.2795193190224421E-2</v>
          </cell>
        </row>
        <row r="42">
          <cell r="A42" t="str">
            <v>Total Controllable Expenses</v>
          </cell>
          <cell r="B42">
            <v>-86173.175000000003</v>
          </cell>
          <cell r="C42">
            <v>-0.22030658285817986</v>
          </cell>
          <cell r="D42">
            <v>-87000.030999999988</v>
          </cell>
          <cell r="E42">
            <v>-0.23400292745089055</v>
          </cell>
          <cell r="F42">
            <v>-74420.701000000001</v>
          </cell>
          <cell r="G42">
            <v>-0.21593994337882852</v>
          </cell>
          <cell r="H42">
            <v>-79269.824000000008</v>
          </cell>
          <cell r="I42">
            <v>-0.23597913827854203</v>
          </cell>
          <cell r="J42">
            <v>-74410.031999999992</v>
          </cell>
          <cell r="K42">
            <v>-0.21656315887333674</v>
          </cell>
          <cell r="L42">
            <v>-78647.13</v>
          </cell>
          <cell r="M42">
            <v>-0.22117719721339749</v>
          </cell>
          <cell r="N42">
            <v>-76526.61</v>
          </cell>
          <cell r="O42">
            <v>-0.20754048344185874</v>
          </cell>
          <cell r="P42">
            <v>-79524.105323847994</v>
          </cell>
          <cell r="Q42">
            <v>-0.20389878916648804</v>
          </cell>
          <cell r="R42">
            <v>-82955.459999212675</v>
          </cell>
          <cell r="S42">
            <v>-0.19967471820472424</v>
          </cell>
          <cell r="T42">
            <v>-85347.796998613267</v>
          </cell>
          <cell r="U42">
            <v>-0.19719288115647851</v>
          </cell>
          <cell r="V42">
            <v>-87077.735479326569</v>
          </cell>
          <cell r="W42">
            <v>-0.19625572399579086</v>
          </cell>
          <cell r="X42">
            <v>-88811.644514790081</v>
          </cell>
          <cell r="Y42">
            <v>-0.19529349538503685</v>
          </cell>
        </row>
        <row r="43">
          <cell r="A43" t="str">
            <v>CP / GOP</v>
          </cell>
          <cell r="B43">
            <v>208353.05200000003</v>
          </cell>
          <cell r="C43">
            <v>0.53266633049313383</v>
          </cell>
          <cell r="D43">
            <v>192095.59099999999</v>
          </cell>
          <cell r="E43">
            <v>0.51667717962547566</v>
          </cell>
          <cell r="F43">
            <v>178856.07799999998</v>
          </cell>
          <cell r="G43">
            <v>0.51897080835451059</v>
          </cell>
          <cell r="H43">
            <v>164832.03700000001</v>
          </cell>
          <cell r="I43">
            <v>0.49069015281220701</v>
          </cell>
          <cell r="J43">
            <v>177667.85200000001</v>
          </cell>
          <cell r="K43">
            <v>0.51708499815401887</v>
          </cell>
          <cell r="L43">
            <v>181146.95199999999</v>
          </cell>
          <cell r="M43">
            <v>0.50943467520187757</v>
          </cell>
          <cell r="N43">
            <v>197593.81199999998</v>
          </cell>
          <cell r="O43">
            <v>0.53587523696136208</v>
          </cell>
          <cell r="P43">
            <v>215882.86238563017</v>
          </cell>
          <cell r="Q43">
            <v>0.55352089863782716</v>
          </cell>
          <cell r="R43">
            <v>237886.95847958731</v>
          </cell>
          <cell r="S43">
            <v>0.57259656446292206</v>
          </cell>
          <cell r="T43">
            <v>252855.40863329795</v>
          </cell>
          <cell r="U43">
            <v>0.58421292989213158</v>
          </cell>
          <cell r="V43">
            <v>262006.95158817357</v>
          </cell>
          <cell r="W43">
            <v>0.59051103812954597</v>
          </cell>
          <cell r="X43">
            <v>271337.64718640386</v>
          </cell>
          <cell r="Y43">
            <v>0.59666137068050862</v>
          </cell>
        </row>
        <row r="44">
          <cell r="A44" t="str">
            <v>CP% / GOP%</v>
          </cell>
          <cell r="B44">
            <v>0.53266633049313383</v>
          </cell>
          <cell r="D44">
            <v>0.51667717962547566</v>
          </cell>
          <cell r="F44">
            <v>0.51897080835451059</v>
          </cell>
          <cell r="H44">
            <v>0.49069015281220701</v>
          </cell>
          <cell r="J44">
            <v>0.51708499815401887</v>
          </cell>
          <cell r="L44">
            <v>0.50943467520187757</v>
          </cell>
          <cell r="N44">
            <v>0.53587523696136208</v>
          </cell>
          <cell r="P44">
            <v>0.55352089863782716</v>
          </cell>
          <cell r="R44">
            <v>0.57259656446292206</v>
          </cell>
          <cell r="T44">
            <v>0.58421292989213158</v>
          </cell>
          <cell r="V44">
            <v>0.59051103812954597</v>
          </cell>
          <cell r="X44">
            <v>0.59666137068050862</v>
          </cell>
        </row>
        <row r="45">
          <cell r="B45" t="str">
            <v xml:space="preserve"> </v>
          </cell>
          <cell r="D45" t="str">
            <v xml:space="preserve"> </v>
          </cell>
          <cell r="F45" t="str">
            <v xml:space="preserve"> </v>
          </cell>
          <cell r="H45" t="str">
            <v xml:space="preserve"> </v>
          </cell>
          <cell r="J45" t="str">
            <v xml:space="preserve"> </v>
          </cell>
          <cell r="L45" t="str">
            <v xml:space="preserve"> </v>
          </cell>
          <cell r="N45" t="str">
            <v xml:space="preserve"> </v>
          </cell>
          <cell r="P45" t="str">
            <v xml:space="preserve"> </v>
          </cell>
          <cell r="R45" t="str">
            <v xml:space="preserve"> </v>
          </cell>
          <cell r="T45" t="str">
            <v xml:space="preserve"> </v>
          </cell>
          <cell r="V45" t="str">
            <v xml:space="preserve"> </v>
          </cell>
          <cell r="X45" t="str">
            <v xml:space="preserve"> </v>
          </cell>
        </row>
        <row r="46">
          <cell r="A46" t="str">
            <v>Internal Recharges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</row>
        <row r="47">
          <cell r="A47" t="str">
            <v xml:space="preserve">Reservation Fee </v>
          </cell>
          <cell r="B47">
            <v>-3031.11</v>
          </cell>
          <cell r="C47">
            <v>-7.7492036978706836E-3</v>
          </cell>
          <cell r="D47">
            <v>-2246.6149999999998</v>
          </cell>
          <cell r="E47">
            <v>-6.0426930980643266E-3</v>
          </cell>
          <cell r="F47">
            <v>-2861.5740000000001</v>
          </cell>
          <cell r="G47">
            <v>-8.3031753158886255E-3</v>
          </cell>
          <cell r="H47">
            <v>-2894.8809999999999</v>
          </cell>
          <cell r="I47">
            <v>-8.6178004356225624E-3</v>
          </cell>
          <cell r="J47">
            <v>-3588.9760000000001</v>
          </cell>
          <cell r="K47">
            <v>-1.0445365480834528E-2</v>
          </cell>
          <cell r="L47">
            <v>-6006.942</v>
          </cell>
          <cell r="M47">
            <v>-1.6893160569030809E-2</v>
          </cell>
          <cell r="N47">
            <v>-4781.4620000000004</v>
          </cell>
          <cell r="O47">
            <v>-1.2967344758102793E-2</v>
          </cell>
          <cell r="P47">
            <v>-5153.8354790979201</v>
          </cell>
          <cell r="Q47">
            <v>-1.321436826572152E-2</v>
          </cell>
          <cell r="R47">
            <v>-5469.1504872322166</v>
          </cell>
          <cell r="S47">
            <v>-1.3164306271916131E-2</v>
          </cell>
          <cell r="T47">
            <v>-5671.1590434221953</v>
          </cell>
          <cell r="U47">
            <v>-1.3103000084316314E-2</v>
          </cell>
          <cell r="V47">
            <v>-5784.5822242906397</v>
          </cell>
          <cell r="W47">
            <v>-1.303728635330517E-2</v>
          </cell>
          <cell r="X47">
            <v>-5900.2738687764522</v>
          </cell>
          <cell r="Y47">
            <v>-1.2974482274905448E-2</v>
          </cell>
          <cell r="Z47">
            <v>-1.363E-2</v>
          </cell>
        </row>
        <row r="48">
          <cell r="A48" t="str">
            <v>Academy / Training Fee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-132.43199999999999</v>
          </cell>
          <cell r="G48">
            <v>-3.8426618128126764E-4</v>
          </cell>
          <cell r="H48">
            <v>-521.40700000000004</v>
          </cell>
          <cell r="I48">
            <v>-1.5521817552212524E-3</v>
          </cell>
          <cell r="J48">
            <v>-871.00800000000004</v>
          </cell>
          <cell r="K48">
            <v>-2.5349840446775686E-3</v>
          </cell>
          <cell r="L48">
            <v>-720.91600000000005</v>
          </cell>
          <cell r="M48">
            <v>-2.0274125744485991E-3</v>
          </cell>
          <cell r="N48">
            <v>-687.86599999999999</v>
          </cell>
          <cell r="O48">
            <v>-1.8654954424770363E-3</v>
          </cell>
          <cell r="P48">
            <v>-725.99883491328001</v>
          </cell>
          <cell r="Q48">
            <v>-1.8614517292872572E-3</v>
          </cell>
          <cell r="R48">
            <v>-770.41591602977678</v>
          </cell>
          <cell r="S48">
            <v>-1.854399709616946E-3</v>
          </cell>
          <cell r="T48">
            <v>-798.87200024729384</v>
          </cell>
          <cell r="U48">
            <v>-1.8457637682969422E-3</v>
          </cell>
          <cell r="V48">
            <v>-814.84944025223979</v>
          </cell>
          <cell r="W48">
            <v>-1.8365069551244261E-3</v>
          </cell>
          <cell r="X48">
            <v>-831.14642905728454</v>
          </cell>
          <cell r="Y48">
            <v>-1.827660012312433E-3</v>
          </cell>
          <cell r="Z48">
            <v>-1.92E-3</v>
          </cell>
        </row>
        <row r="49">
          <cell r="A49" t="str">
            <v>ANA Management Fee</v>
          </cell>
          <cell r="B49">
            <v>-8699.232</v>
          </cell>
          <cell r="C49">
            <v>-2.2240077325809682E-2</v>
          </cell>
          <cell r="D49">
            <v>-13875.394</v>
          </cell>
          <cell r="E49">
            <v>-3.7320478834479066E-2</v>
          </cell>
          <cell r="F49">
            <v>-14696.776</v>
          </cell>
          <cell r="G49">
            <v>-4.2644330604885407E-2</v>
          </cell>
          <cell r="H49">
            <v>-14217.403</v>
          </cell>
          <cell r="I49">
            <v>-4.2323930333171396E-2</v>
          </cell>
          <cell r="J49">
            <v>-15075.495999999999</v>
          </cell>
          <cell r="K49">
            <v>-4.3875764431096503E-2</v>
          </cell>
          <cell r="L49">
            <v>-15528.624</v>
          </cell>
          <cell r="M49">
            <v>-4.3670729407426528E-2</v>
          </cell>
          <cell r="N49">
            <v>-16161.85</v>
          </cell>
          <cell r="O49">
            <v>-4.3831004173774384E-2</v>
          </cell>
          <cell r="P49">
            <v>-17337.003427486401</v>
          </cell>
          <cell r="Q49">
            <v>-4.445185509782331E-2</v>
          </cell>
          <cell r="R49">
            <v>-18397.692578106908</v>
          </cell>
          <cell r="S49">
            <v>-4.4283451398925505E-2</v>
          </cell>
          <cell r="T49">
            <v>-19077.229797572094</v>
          </cell>
          <cell r="U49">
            <v>-4.4077223321049373E-2</v>
          </cell>
          <cell r="V49">
            <v>-19458.774393523538</v>
          </cell>
          <cell r="W49">
            <v>-4.3856168693986945E-2</v>
          </cell>
          <cell r="X49">
            <v>-19847.949881394008</v>
          </cell>
          <cell r="Y49">
            <v>-4.3644901856523463E-2</v>
          </cell>
          <cell r="Z49">
            <v>-4.5850000000000002E-2</v>
          </cell>
        </row>
        <row r="50">
          <cell r="A50" t="str">
            <v>Brand Overhead Fee</v>
          </cell>
          <cell r="B50">
            <v>-6459.7889999999998</v>
          </cell>
          <cell r="C50">
            <v>-1.6514814970840504E-2</v>
          </cell>
          <cell r="D50">
            <v>-5795.7070000000003</v>
          </cell>
          <cell r="E50">
            <v>-1.5588642774709113E-2</v>
          </cell>
          <cell r="F50">
            <v>-5129</v>
          </cell>
          <cell r="G50">
            <v>-1.4882364109819544E-2</v>
          </cell>
          <cell r="H50">
            <v>-5115.2039999999997</v>
          </cell>
          <cell r="I50">
            <v>-1.522750236002733E-2</v>
          </cell>
          <cell r="J50">
            <v>-5025.0460000000003</v>
          </cell>
          <cell r="K50">
            <v>-1.4624907502308633E-2</v>
          </cell>
          <cell r="L50">
            <v>-5587.0990000000002</v>
          </cell>
          <cell r="M50">
            <v>-1.5712447451976641E-2</v>
          </cell>
          <cell r="N50">
            <v>-5996.5320000000002</v>
          </cell>
          <cell r="O50">
            <v>-1.6262619633282804E-2</v>
          </cell>
          <cell r="P50">
            <v>-6322.2398540364793</v>
          </cell>
          <cell r="Q50">
            <v>-1.6210142142543196E-2</v>
          </cell>
          <cell r="R50">
            <v>-6709.038602092638</v>
          </cell>
          <cell r="S50">
            <v>-1.6148730804580902E-2</v>
          </cell>
          <cell r="T50">
            <v>-6956.8436688201828</v>
          </cell>
          <cell r="U50">
            <v>-1.6073526148919201E-2</v>
          </cell>
          <cell r="V50">
            <v>-7095.9805421965875</v>
          </cell>
          <cell r="W50">
            <v>-1.5992914734208542E-2</v>
          </cell>
          <cell r="X50">
            <v>-7237.9001530405194</v>
          </cell>
          <cell r="Y50">
            <v>-1.5915872607220771E-2</v>
          </cell>
          <cell r="Z50">
            <v>-1.6719999999999999E-2</v>
          </cell>
        </row>
        <row r="51">
          <cell r="A51" t="str">
            <v>Marketing Fee</v>
          </cell>
          <cell r="B51">
            <v>-8204.2839999999997</v>
          </cell>
          <cell r="C51">
            <v>-2.0974714844126833E-2</v>
          </cell>
          <cell r="D51">
            <v>-9947.6039999999994</v>
          </cell>
          <cell r="E51">
            <v>-2.675594974353732E-2</v>
          </cell>
          <cell r="F51">
            <v>-10033.205</v>
          </cell>
          <cell r="G51">
            <v>-2.9112460518319751E-2</v>
          </cell>
          <cell r="H51">
            <v>-8724.4429999999993</v>
          </cell>
          <cell r="I51">
            <v>-2.5971882328138608E-2</v>
          </cell>
          <cell r="J51">
            <v>-10050.093000000001</v>
          </cell>
          <cell r="K51">
            <v>-2.9249817915019977E-2</v>
          </cell>
          <cell r="L51">
            <v>-9604.1260000000002</v>
          </cell>
          <cell r="M51">
            <v>-2.7009423870449158E-2</v>
          </cell>
          <cell r="N51">
            <v>-8993.2070000000003</v>
          </cell>
          <cell r="O51">
            <v>-2.4389614651331191E-2</v>
          </cell>
          <cell r="P51">
            <v>-9483.3597810547199</v>
          </cell>
          <cell r="Q51">
            <v>-2.4315213213814798E-2</v>
          </cell>
          <cell r="R51">
            <v>-10063.557903138959</v>
          </cell>
          <cell r="S51">
            <v>-2.4223096206871356E-2</v>
          </cell>
          <cell r="T51">
            <v>-10435.265503230275</v>
          </cell>
          <cell r="U51">
            <v>-2.4110289223378809E-2</v>
          </cell>
          <cell r="V51">
            <v>-10643.970813294882</v>
          </cell>
          <cell r="W51">
            <v>-2.3989372101312814E-2</v>
          </cell>
          <cell r="X51">
            <v>-10856.85022956078</v>
          </cell>
          <cell r="Y51">
            <v>-2.3873808910831157E-2</v>
          </cell>
          <cell r="Z51">
            <v>-2.5080000000000002E-2</v>
          </cell>
        </row>
        <row r="52">
          <cell r="A52" t="str">
            <v>Royalty / Trademark Fee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</row>
        <row r="53">
          <cell r="A53" t="str">
            <v>Allocated Franchise Expense</v>
          </cell>
          <cell r="J53">
            <v>-6806.0688122926231</v>
          </cell>
          <cell r="K53">
            <v>-1.980840112391552E-2</v>
          </cell>
          <cell r="L53">
            <v>-7264.6531918091605</v>
          </cell>
          <cell r="M53">
            <v>-2.0430187747368683E-2</v>
          </cell>
          <cell r="N53">
            <v>-8128.2361779121829</v>
          </cell>
          <cell r="O53">
            <v>-2.2043810197439825E-2</v>
          </cell>
          <cell r="P53">
            <v>-8988.3876594964859</v>
          </cell>
          <cell r="Q53">
            <v>-2.304611102340479E-2</v>
          </cell>
          <cell r="R53">
            <v>-10389.231549508757</v>
          </cell>
          <cell r="S53">
            <v>-2.5006996309001002E-2</v>
          </cell>
          <cell r="T53">
            <v>-11958.429021443526</v>
          </cell>
          <cell r="U53">
            <v>-2.7629501355284091E-2</v>
          </cell>
          <cell r="V53">
            <v>-13526.910058262532</v>
          </cell>
          <cell r="W53">
            <v>-3.0486938047906958E-2</v>
          </cell>
          <cell r="X53">
            <v>-15104.118531898104</v>
          </cell>
          <cell r="Y53">
            <v>-3.3213393569275294E-2</v>
          </cell>
        </row>
        <row r="54">
          <cell r="A54" t="str">
            <v>Internal Mgmt Fees</v>
          </cell>
          <cell r="B54">
            <v>-26394.415000000001</v>
          </cell>
          <cell r="C54">
            <v>-6.7478810838647707E-2</v>
          </cell>
          <cell r="D54">
            <v>-31865.32</v>
          </cell>
          <cell r="E54">
            <v>-8.5707764450789828E-2</v>
          </cell>
          <cell r="F54">
            <v>-32852.987000000001</v>
          </cell>
          <cell r="G54">
            <v>-9.5326596730194599E-2</v>
          </cell>
          <cell r="H54">
            <v>-31473.337999999996</v>
          </cell>
          <cell r="I54">
            <v>-9.3693297212181142E-2</v>
          </cell>
          <cell r="J54">
            <v>-41416.687812292621</v>
          </cell>
          <cell r="K54">
            <v>-0.12053924049785272</v>
          </cell>
          <cell r="L54">
            <v>-44712.360191809159</v>
          </cell>
          <cell r="M54">
            <v>-0.12574336162070041</v>
          </cell>
          <cell r="N54">
            <v>-44749.153177912187</v>
          </cell>
          <cell r="O54">
            <v>-0.12135988885640804</v>
          </cell>
          <cell r="P54">
            <v>-48010.825036085284</v>
          </cell>
          <cell r="Q54">
            <v>-0.12309914147259486</v>
          </cell>
          <cell r="R54">
            <v>-51799.087036109253</v>
          </cell>
          <cell r="S54">
            <v>-0.12468098070091184</v>
          </cell>
          <cell r="T54">
            <v>-54897.799034735566</v>
          </cell>
          <cell r="U54">
            <v>-0.12683930390124473</v>
          </cell>
          <cell r="V54">
            <v>-57325.067471820417</v>
          </cell>
          <cell r="W54">
            <v>-0.12919918688584486</v>
          </cell>
          <cell r="X54">
            <v>-59778.239093727141</v>
          </cell>
          <cell r="Y54">
            <v>-0.13145011923106856</v>
          </cell>
        </row>
        <row r="56">
          <cell r="A56" t="str">
            <v>Total Property Tax &amp; Other</v>
          </cell>
          <cell r="B56">
            <v>-19237.367999999999</v>
          </cell>
          <cell r="C56">
            <v>-4.91814164589537E-2</v>
          </cell>
          <cell r="D56">
            <v>-20569.608</v>
          </cell>
          <cell r="E56">
            <v>-5.532582498180097E-2</v>
          </cell>
          <cell r="F56">
            <v>-18282.082999999999</v>
          </cell>
          <cell r="G56">
            <v>-5.3047497736779491E-2</v>
          </cell>
          <cell r="H56">
            <v>-17447.466</v>
          </cell>
          <cell r="I56">
            <v>-5.1939537443960522E-2</v>
          </cell>
          <cell r="J56">
            <v>-19173.881000000001</v>
          </cell>
          <cell r="K56">
            <v>-5.5803715246641114E-2</v>
          </cell>
          <cell r="L56">
            <v>-17065.257000000001</v>
          </cell>
          <cell r="M56">
            <v>-4.7992160845364756E-2</v>
          </cell>
          <cell r="N56">
            <v>-19872.483</v>
          </cell>
          <cell r="O56">
            <v>-5.3894256246423557E-2</v>
          </cell>
          <cell r="P56">
            <v>-19872.483</v>
          </cell>
          <cell r="Q56">
            <v>-5.0952792300279999E-2</v>
          </cell>
          <cell r="R56">
            <v>-19872.483</v>
          </cell>
          <cell r="S56">
            <v>-4.7833288406704436E-2</v>
          </cell>
          <cell r="T56">
            <v>-19872.483</v>
          </cell>
          <cell r="U56">
            <v>-4.5914625992828036E-2</v>
          </cell>
          <cell r="V56">
            <v>-19872.483</v>
          </cell>
          <cell r="W56">
            <v>-4.478858478910467E-2</v>
          </cell>
          <cell r="X56">
            <v>-19872.483</v>
          </cell>
          <cell r="Y56">
            <v>-4.3698849269742032E-2</v>
          </cell>
        </row>
        <row r="57">
          <cell r="A57" t="str">
            <v>Total General Insurance</v>
          </cell>
          <cell r="B57">
            <v>-2195.7199999999998</v>
          </cell>
          <cell r="C57">
            <v>-5.6134820390842353E-3</v>
          </cell>
          <cell r="D57">
            <v>-1951.588</v>
          </cell>
          <cell r="E57">
            <v>-5.2491625569424062E-3</v>
          </cell>
          <cell r="F57">
            <v>-2252.489</v>
          </cell>
          <cell r="G57">
            <v>-6.535847426664714E-3</v>
          </cell>
          <cell r="H57">
            <v>-4036.2719999999999</v>
          </cell>
          <cell r="I57">
            <v>-1.2015618811236509E-2</v>
          </cell>
          <cell r="J57">
            <v>-5437.2529999999997</v>
          </cell>
          <cell r="K57">
            <v>-1.5824595872684571E-2</v>
          </cell>
          <cell r="L57">
            <v>-3815.1889999999999</v>
          </cell>
          <cell r="M57">
            <v>-1.0729352868431239E-2</v>
          </cell>
          <cell r="N57">
            <v>-3283.0810000000001</v>
          </cell>
          <cell r="O57">
            <v>-8.9037292768983367E-3</v>
          </cell>
          <cell r="P57">
            <v>-3283.0810000000001</v>
          </cell>
          <cell r="Q57">
            <v>-8.4177777028665995E-3</v>
          </cell>
          <cell r="R57">
            <v>-3283.0810000000001</v>
          </cell>
          <cell r="S57">
            <v>-7.9024126142451141E-3</v>
          </cell>
          <cell r="T57">
            <v>-3283.0810000000001</v>
          </cell>
          <cell r="U57">
            <v>-7.5854354093124578E-3</v>
          </cell>
          <cell r="V57">
            <v>-3283.0810000000001</v>
          </cell>
          <cell r="W57">
            <v>-7.3994050838034958E-3</v>
          </cell>
          <cell r="X57">
            <v>-3283.0810000000001</v>
          </cell>
          <cell r="Y57">
            <v>-7.2193727255599584E-3</v>
          </cell>
        </row>
        <row r="58">
          <cell r="A58" t="str">
            <v>EBITDAR / NOP</v>
          </cell>
          <cell r="B58">
            <v>160525.54900000003</v>
          </cell>
          <cell r="C58">
            <v>0.41039262115644826</v>
          </cell>
          <cell r="D58">
            <v>137709.07499999998</v>
          </cell>
          <cell r="E58">
            <v>0.37039442763594238</v>
          </cell>
          <cell r="F58">
            <v>125468.51899999997</v>
          </cell>
          <cell r="G58">
            <v>0.36406086646087177</v>
          </cell>
          <cell r="H58">
            <v>111874.96100000001</v>
          </cell>
          <cell r="I58">
            <v>0.3330416993448288</v>
          </cell>
          <cell r="J58">
            <v>111640.03018770739</v>
          </cell>
          <cell r="K58">
            <v>0.32491744653684046</v>
          </cell>
          <cell r="L58">
            <v>115554.14580819083</v>
          </cell>
          <cell r="M58">
            <v>0.32496979986738117</v>
          </cell>
          <cell r="N58">
            <v>129689.09482208779</v>
          </cell>
          <cell r="O58">
            <v>0.35171736258163216</v>
          </cell>
          <cell r="P58">
            <v>144716.47334954489</v>
          </cell>
          <cell r="Q58">
            <v>0.37105118716208568</v>
          </cell>
          <cell r="R58">
            <v>162932.30744347806</v>
          </cell>
          <cell r="S58">
            <v>0.39217988274106064</v>
          </cell>
          <cell r="T58">
            <v>174802.04559856237</v>
          </cell>
          <cell r="U58">
            <v>0.40387356458874635</v>
          </cell>
          <cell r="V58">
            <v>181526.32011635316</v>
          </cell>
          <cell r="W58">
            <v>0.40912386137079298</v>
          </cell>
          <cell r="X58">
            <v>188403.84409267671</v>
          </cell>
          <cell r="Y58">
            <v>0.41429302945413804</v>
          </cell>
        </row>
        <row r="60">
          <cell r="A60" t="str">
            <v>Cap Ex</v>
          </cell>
          <cell r="B60">
            <v>0</v>
          </cell>
          <cell r="D60">
            <v>0</v>
          </cell>
          <cell r="F60">
            <v>0</v>
          </cell>
          <cell r="H60">
            <v>0</v>
          </cell>
          <cell r="J60">
            <v>0</v>
          </cell>
          <cell r="L60">
            <v>-59934</v>
          </cell>
          <cell r="M60">
            <v>-0.16855076768583627</v>
          </cell>
          <cell r="N60">
            <v>-60000</v>
          </cell>
          <cell r="O60">
            <v>-0.16272024863653994</v>
          </cell>
          <cell r="P60">
            <v>-60000</v>
          </cell>
          <cell r="Q60">
            <v>-0.15383923277311648</v>
          </cell>
          <cell r="R60">
            <v>-20000</v>
          </cell>
          <cell r="S60">
            <v>-4.8140223249107252E-2</v>
          </cell>
          <cell r="T60">
            <v>-20000</v>
          </cell>
          <cell r="U60">
            <v>-4.6209249234560205E-2</v>
          </cell>
          <cell r="V60">
            <v>-20000</v>
          </cell>
          <cell r="W60">
            <v>-4.5075982492076776E-2</v>
          </cell>
          <cell r="X60">
            <v>-20000</v>
          </cell>
          <cell r="Y60">
            <v>-4.3979254398901269E-2</v>
          </cell>
        </row>
        <row r="61">
          <cell r="A61" t="str">
            <v>Economic NOI</v>
          </cell>
          <cell r="B61">
            <v>0</v>
          </cell>
          <cell r="D61">
            <v>0</v>
          </cell>
          <cell r="F61">
            <v>0</v>
          </cell>
          <cell r="H61">
            <v>0</v>
          </cell>
          <cell r="J61">
            <v>0</v>
          </cell>
          <cell r="L61">
            <v>55620.145808190835</v>
          </cell>
          <cell r="M61">
            <v>0.1564190321815449</v>
          </cell>
          <cell r="N61">
            <v>69689.094822087791</v>
          </cell>
          <cell r="O61">
            <v>0.18899711394509222</v>
          </cell>
          <cell r="P61">
            <v>84716.473349544889</v>
          </cell>
          <cell r="Q61">
            <v>0.21721195438896923</v>
          </cell>
          <cell r="R61">
            <v>142932.30744347806</v>
          </cell>
          <cell r="S61">
            <v>0.34403965949195342</v>
          </cell>
          <cell r="T61">
            <v>154802.04559856237</v>
          </cell>
          <cell r="U61">
            <v>0.35766431535418614</v>
          </cell>
          <cell r="V61">
            <v>161526.32011635316</v>
          </cell>
          <cell r="W61">
            <v>0.3640478788787162</v>
          </cell>
          <cell r="X61">
            <v>168403.84409267671</v>
          </cell>
          <cell r="Y61">
            <v>0.37031377505523677</v>
          </cell>
        </row>
        <row r="63">
          <cell r="A63" t="str">
            <v>Accor Guarantee Fees</v>
          </cell>
          <cell r="B63">
            <v>-1599.6959999999999</v>
          </cell>
          <cell r="C63">
            <v>-4.0897130617724006E-3</v>
          </cell>
          <cell r="D63">
            <v>-1640.6890000000001</v>
          </cell>
          <cell r="E63">
            <v>-4.412941290060853E-3</v>
          </cell>
          <cell r="F63">
            <v>-1610.876</v>
          </cell>
          <cell r="G63">
            <v>-4.6741359266464551E-3</v>
          </cell>
          <cell r="H63">
            <v>-2349.672</v>
          </cell>
          <cell r="I63">
            <v>-6.9947622666251706E-3</v>
          </cell>
          <cell r="J63">
            <v>-2263.7779999999998</v>
          </cell>
          <cell r="K63">
            <v>-6.5885056287566775E-3</v>
          </cell>
          <cell r="L63">
            <v>-2262</v>
          </cell>
          <cell r="M63">
            <v>-6.3613614393393005E-3</v>
          </cell>
          <cell r="N63">
            <v>-2162.9899999999998</v>
          </cell>
          <cell r="O63">
            <v>-5.8660378433058246E-3</v>
          </cell>
          <cell r="P63">
            <v>-2072.3913882388356</v>
          </cell>
          <cell r="Q63">
            <v>-5.3135850195379364E-3</v>
          </cell>
          <cell r="R63">
            <v>-1967.5361324205098</v>
          </cell>
          <cell r="S63">
            <v>-4.7358814332704195E-3</v>
          </cell>
          <cell r="T63">
            <v>-1846.6322198959365</v>
          </cell>
          <cell r="U63">
            <v>-4.2665744246870255E-3</v>
          </cell>
          <cell r="V63">
            <v>-1714</v>
          </cell>
          <cell r="W63">
            <v>-3.8630116995709797E-3</v>
          </cell>
          <cell r="X63">
            <v>-1575</v>
          </cell>
          <cell r="Y63">
            <v>-3.4633662839134746E-3</v>
          </cell>
        </row>
        <row r="64">
          <cell r="A64" t="str">
            <v>Land &amp; Building (3)</v>
          </cell>
          <cell r="B64">
            <v>-35670.464999999997</v>
          </cell>
          <cell r="C64">
            <v>-9.1193555919371699E-2</v>
          </cell>
          <cell r="D64">
            <v>-43598.021000000001</v>
          </cell>
          <cell r="E64">
            <v>-0.11726506792929078</v>
          </cell>
          <cell r="F64">
            <v>-45557.569000000003</v>
          </cell>
          <cell r="G64">
            <v>-0.13219035480916896</v>
          </cell>
          <cell r="H64">
            <v>-45854.707000000002</v>
          </cell>
          <cell r="I64">
            <v>-0.13650533958388791</v>
          </cell>
          <cell r="J64">
            <v>-50997.578999999998</v>
          </cell>
          <cell r="K64">
            <v>-0.14842349218627593</v>
          </cell>
          <cell r="L64">
            <v>-51359.904000000002</v>
          </cell>
          <cell r="M64">
            <v>-0.14443806933411507</v>
          </cell>
          <cell r="N64">
            <v>-50236.847000000002</v>
          </cell>
          <cell r="O64">
            <v>-0.13624253724259694</v>
          </cell>
          <cell r="P64">
            <v>-50255.55</v>
          </cell>
          <cell r="Q64">
            <v>-0.12885458757651655</v>
          </cell>
          <cell r="R64">
            <v>-50298.138749999998</v>
          </cell>
          <cell r="S64">
            <v>-0.12106818142197862</v>
          </cell>
          <cell r="T64">
            <v>-50341.792218750001</v>
          </cell>
          <cell r="U64">
            <v>-0.11631282117753312</v>
          </cell>
          <cell r="V64">
            <v>-50386.537024218749</v>
          </cell>
          <cell r="W64">
            <v>-0.11356113303700313</v>
          </cell>
          <cell r="X64">
            <v>-50432.400449824221</v>
          </cell>
          <cell r="Y64">
            <v>-0.1108989684665041</v>
          </cell>
        </row>
        <row r="65">
          <cell r="A65" t="str">
            <v>Total Rent Expense</v>
          </cell>
          <cell r="B65">
            <v>-37270.160999999993</v>
          </cell>
          <cell r="C65">
            <v>-9.5283268981144101E-2</v>
          </cell>
          <cell r="D65">
            <v>-45238.71</v>
          </cell>
          <cell r="E65">
            <v>-0.12167800921935164</v>
          </cell>
          <cell r="F65">
            <v>-47168.445</v>
          </cell>
          <cell r="G65">
            <v>-0.13686449073581539</v>
          </cell>
          <cell r="H65">
            <v>-48204.379000000001</v>
          </cell>
          <cell r="I65">
            <v>-0.1435001018505131</v>
          </cell>
          <cell r="J65">
            <v>-53261.356999999996</v>
          </cell>
          <cell r="K65">
            <v>-0.15501199781503261</v>
          </cell>
          <cell r="L65">
            <v>-53621.904000000002</v>
          </cell>
          <cell r="M65">
            <v>-0.15079943077345437</v>
          </cell>
          <cell r="N65">
            <v>-52399.837</v>
          </cell>
          <cell r="O65">
            <v>-0.14210857508590274</v>
          </cell>
          <cell r="P65">
            <v>-52327.94138823884</v>
          </cell>
          <cell r="Q65">
            <v>-0.13416817259605451</v>
          </cell>
          <cell r="R65">
            <v>-52265.674882420506</v>
          </cell>
          <cell r="S65">
            <v>-0.12580406285524903</v>
          </cell>
          <cell r="T65">
            <v>-52188.42443864594</v>
          </cell>
          <cell r="U65">
            <v>-0.12057939560222015</v>
          </cell>
          <cell r="V65">
            <v>-52100.537024218749</v>
          </cell>
          <cell r="W65">
            <v>-0.11742414473657412</v>
          </cell>
          <cell r="X65">
            <v>-52007.400449824221</v>
          </cell>
          <cell r="Y65">
            <v>-0.11436233475041757</v>
          </cell>
        </row>
        <row r="67">
          <cell r="A67" t="str">
            <v>Lease FF&amp;E</v>
          </cell>
          <cell r="B67">
            <v>-440.61700000000002</v>
          </cell>
          <cell r="C67">
            <v>-1.1264622154077836E-3</v>
          </cell>
          <cell r="D67">
            <v>-358.452</v>
          </cell>
          <cell r="E67">
            <v>-9.6412399382508993E-4</v>
          </cell>
          <cell r="F67">
            <v>-323.91300000000001</v>
          </cell>
          <cell r="G67">
            <v>-9.398696053624446E-4</v>
          </cell>
          <cell r="H67">
            <v>-236.27600000000001</v>
          </cell>
          <cell r="I67">
            <v>-7.0337240657807932E-4</v>
          </cell>
          <cell r="J67">
            <v>-240.81399999999999</v>
          </cell>
          <cell r="K67">
            <v>-7.0086571849510451E-4</v>
          </cell>
          <cell r="L67">
            <v>-233.24700000000001</v>
          </cell>
          <cell r="M67">
            <v>-6.5595423149494869E-4</v>
          </cell>
          <cell r="N67">
            <v>-217.779</v>
          </cell>
          <cell r="O67">
            <v>-5.9061755046361717E-4</v>
          </cell>
          <cell r="P67">
            <v>-217.779</v>
          </cell>
          <cell r="Q67">
            <v>-5.5838257123494222E-4</v>
          </cell>
          <cell r="R67">
            <v>-217.779</v>
          </cell>
          <cell r="S67">
            <v>-5.241964839483664E-4</v>
          </cell>
          <cell r="T67">
            <v>-217.779</v>
          </cell>
          <cell r="U67">
            <v>-5.0317020445266437E-4</v>
          </cell>
          <cell r="V67">
            <v>-217.779</v>
          </cell>
          <cell r="W67">
            <v>-4.908301195570994E-4</v>
          </cell>
          <cell r="X67">
            <v>-217.779</v>
          </cell>
          <cell r="Y67">
            <v>-4.7888790218691594E-4</v>
          </cell>
        </row>
        <row r="68">
          <cell r="A68" t="str">
            <v>Other Leases</v>
          </cell>
          <cell r="B68">
            <v>-8.4580000000000002</v>
          </cell>
          <cell r="C68">
            <v>-2.1623354110075267E-5</v>
          </cell>
          <cell r="D68">
            <v>-25.061</v>
          </cell>
          <cell r="E68">
            <v>-6.7406267531637643E-5</v>
          </cell>
          <cell r="F68">
            <v>-44.835000000000001</v>
          </cell>
          <cell r="G68">
            <v>-1.3009374046866042E-4</v>
          </cell>
          <cell r="H68">
            <v>-51.643000000000001</v>
          </cell>
          <cell r="I68">
            <v>-1.537365673742223E-4</v>
          </cell>
          <cell r="J68">
            <v>-55.216999999999999</v>
          </cell>
          <cell r="K68">
            <v>-1.6070370650437345E-4</v>
          </cell>
          <cell r="L68">
            <v>-32.406999999999996</v>
          </cell>
          <cell r="M68">
            <v>-9.1137329869437963E-5</v>
          </cell>
          <cell r="N68">
            <v>-18.052</v>
          </cell>
          <cell r="O68">
            <v>-4.8957098806446985E-5</v>
          </cell>
          <cell r="P68">
            <v>-18.052</v>
          </cell>
          <cell r="Q68">
            <v>-4.6285097167004973E-5</v>
          </cell>
          <cell r="R68">
            <v>-18.052</v>
          </cell>
          <cell r="S68">
            <v>-4.3451365504644205E-5</v>
          </cell>
          <cell r="T68">
            <v>-18.052</v>
          </cell>
          <cell r="U68">
            <v>-4.1708468359114039E-5</v>
          </cell>
          <cell r="V68">
            <v>-18.052</v>
          </cell>
          <cell r="W68">
            <v>-4.0685581797348499E-5</v>
          </cell>
          <cell r="X68">
            <v>-18.052</v>
          </cell>
          <cell r="Y68">
            <v>-3.9695675020448282E-5</v>
          </cell>
        </row>
        <row r="69">
          <cell r="A69" t="str">
            <v>Total Lease Expense</v>
          </cell>
          <cell r="B69">
            <v>-449.07500000000005</v>
          </cell>
          <cell r="C69">
            <v>-1.1480855695178589E-3</v>
          </cell>
          <cell r="D69">
            <v>-383.51299999999998</v>
          </cell>
          <cell r="E69">
            <v>-1.0315302613567274E-3</v>
          </cell>
          <cell r="F69">
            <v>-368.74799999999999</v>
          </cell>
          <cell r="G69">
            <v>-1.069963345831105E-3</v>
          </cell>
          <cell r="H69">
            <v>-287.91899999999998</v>
          </cell>
          <cell r="I69">
            <v>-8.571089739523016E-4</v>
          </cell>
          <cell r="J69">
            <v>-296.03100000000001</v>
          </cell>
          <cell r="K69">
            <v>-8.6156942499947796E-4</v>
          </cell>
          <cell r="L69">
            <v>-265.654</v>
          </cell>
          <cell r="M69">
            <v>-7.4709156136438658E-4</v>
          </cell>
          <cell r="N69">
            <v>-235.83099999999999</v>
          </cell>
          <cell r="O69">
            <v>-6.395746492700641E-4</v>
          </cell>
          <cell r="P69">
            <v>-235.83099999999999</v>
          </cell>
          <cell r="Q69">
            <v>-6.046676684019471E-4</v>
          </cell>
          <cell r="R69">
            <v>-235.83099999999999</v>
          </cell>
          <cell r="S69">
            <v>-5.6764784945301065E-4</v>
          </cell>
          <cell r="T69">
            <v>-235.83099999999999</v>
          </cell>
          <cell r="U69">
            <v>-5.4487867281177835E-4</v>
          </cell>
          <cell r="V69">
            <v>-235.83099999999999</v>
          </cell>
          <cell r="W69">
            <v>-5.3151570135444792E-4</v>
          </cell>
          <cell r="X69">
            <v>-235.83099999999999</v>
          </cell>
          <cell r="Y69">
            <v>-5.1858357720736424E-4</v>
          </cell>
        </row>
        <row r="71">
          <cell r="A71" t="str">
            <v>EBITDA</v>
          </cell>
          <cell r="B71">
            <v>122806.31300000004</v>
          </cell>
          <cell r="C71">
            <v>0.31396126660578627</v>
          </cell>
          <cell r="D71">
            <v>92086.851999999984</v>
          </cell>
          <cell r="E71">
            <v>0.24768488815523404</v>
          </cell>
          <cell r="F71">
            <v>77931.325999999957</v>
          </cell>
          <cell r="G71">
            <v>0.22612641237922521</v>
          </cell>
          <cell r="H71">
            <v>63382.663000000008</v>
          </cell>
          <cell r="I71">
            <v>0.18868448852036343</v>
          </cell>
          <cell r="J71">
            <v>58082.642187707395</v>
          </cell>
          <cell r="K71">
            <v>0.16904387929680836</v>
          </cell>
          <cell r="L71">
            <v>61666.58780819083</v>
          </cell>
          <cell r="M71">
            <v>0.1734232775325624</v>
          </cell>
          <cell r="N71">
            <v>77053.426822087786</v>
          </cell>
          <cell r="O71">
            <v>0.20896921284645933</v>
          </cell>
          <cell r="P71">
            <v>92152.700961306051</v>
          </cell>
          <cell r="Q71">
            <v>0.23627834689762925</v>
          </cell>
          <cell r="R71">
            <v>110430.80156105754</v>
          </cell>
          <cell r="S71">
            <v>0.26580817203635859</v>
          </cell>
          <cell r="T71">
            <v>122377.79015991642</v>
          </cell>
          <cell r="U71">
            <v>0.28274929031371437</v>
          </cell>
          <cell r="V71">
            <v>129189.95209213441</v>
          </cell>
          <cell r="W71">
            <v>0.29116820093286438</v>
          </cell>
          <cell r="X71">
            <v>136160.61264285247</v>
          </cell>
          <cell r="Y71">
            <v>0.29941211112651306</v>
          </cell>
        </row>
        <row r="73">
          <cell r="A73" t="str">
            <v>Total Depreciation</v>
          </cell>
          <cell r="B73">
            <v>-24273.555</v>
          </cell>
          <cell r="C73">
            <v>-6.2056712612365575E-2</v>
          </cell>
          <cell r="D73">
            <v>-21614.717000000001</v>
          </cell>
          <cell r="E73">
            <v>-5.81368419744877E-2</v>
          </cell>
          <cell r="F73">
            <v>-26867.394</v>
          </cell>
          <cell r="G73">
            <v>-7.7958732733472605E-2</v>
          </cell>
          <cell r="H73">
            <v>-30798.294999999998</v>
          </cell>
          <cell r="I73">
            <v>-9.1683754899573491E-2</v>
          </cell>
          <cell r="J73">
            <v>-32172.934000000001</v>
          </cell>
          <cell r="K73">
            <v>-9.3636194340883744E-2</v>
          </cell>
          <cell r="L73">
            <v>-34138.489000000001</v>
          </cell>
          <cell r="M73">
            <v>-9.600674956759897E-2</v>
          </cell>
          <cell r="N73">
            <v>-37845.504999999997</v>
          </cell>
          <cell r="O73">
            <v>-0.10263716638959025</v>
          </cell>
          <cell r="P73">
            <v>-40821.5</v>
          </cell>
          <cell r="Q73">
            <v>-0.10466580401079623</v>
          </cell>
          <cell r="R73">
            <v>-41274.5</v>
          </cell>
          <cell r="S73">
            <v>-9.9348182224763867E-2</v>
          </cell>
          <cell r="T73">
            <v>-41556.5</v>
          </cell>
          <cell r="U73">
            <v>-9.6014733290800056E-2</v>
          </cell>
          <cell r="V73">
            <v>-41694.5</v>
          </cell>
          <cell r="W73">
            <v>-9.397102760079476E-2</v>
          </cell>
          <cell r="X73">
            <v>-42263.5</v>
          </cell>
          <cell r="Y73">
            <v>-9.2935860914398177E-2</v>
          </cell>
        </row>
        <row r="74">
          <cell r="B74" t="str">
            <v xml:space="preserve"> </v>
          </cell>
          <cell r="D74" t="str">
            <v xml:space="preserve"> </v>
          </cell>
          <cell r="F74" t="str">
            <v xml:space="preserve"> </v>
          </cell>
          <cell r="H74" t="str">
            <v xml:space="preserve"> </v>
          </cell>
          <cell r="J74" t="str">
            <v xml:space="preserve"> </v>
          </cell>
          <cell r="L74" t="str">
            <v xml:space="preserve"> </v>
          </cell>
          <cell r="N74" t="str">
            <v xml:space="preserve"> </v>
          </cell>
          <cell r="P74" t="str">
            <v xml:space="preserve"> </v>
          </cell>
          <cell r="R74" t="str">
            <v xml:space="preserve"> </v>
          </cell>
          <cell r="T74" t="str">
            <v xml:space="preserve"> </v>
          </cell>
          <cell r="V74" t="str">
            <v xml:space="preserve"> </v>
          </cell>
          <cell r="X74" t="str">
            <v xml:space="preserve"> </v>
          </cell>
        </row>
        <row r="75">
          <cell r="A75" t="str">
            <v>EBIT</v>
          </cell>
          <cell r="B75">
            <v>98532.758000000031</v>
          </cell>
          <cell r="C75">
            <v>0.25190455399342071</v>
          </cell>
          <cell r="D75">
            <v>70472.13499999998</v>
          </cell>
          <cell r="E75">
            <v>0.18954804618074633</v>
          </cell>
          <cell r="F75">
            <v>51063.931999999957</v>
          </cell>
          <cell r="G75">
            <v>0.14816767964575261</v>
          </cell>
          <cell r="H75">
            <v>32584.368000000009</v>
          </cell>
          <cell r="I75">
            <v>9.7000733620789939E-2</v>
          </cell>
          <cell r="J75">
            <v>25909.708187707394</v>
          </cell>
          <cell r="K75">
            <v>7.5407684955924634E-2</v>
          </cell>
          <cell r="L75">
            <v>27528.098808190829</v>
          </cell>
          <cell r="M75">
            <v>7.7416527964963427E-2</v>
          </cell>
          <cell r="N75">
            <v>39207.921822087788</v>
          </cell>
          <cell r="O75">
            <v>0.10633204645686908</v>
          </cell>
          <cell r="P75">
            <v>51331.200961306051</v>
          </cell>
          <cell r="Q75">
            <v>0.13161254288683302</v>
          </cell>
          <cell r="R75">
            <v>69156.301561057538</v>
          </cell>
          <cell r="S75">
            <v>0.16645998981159471</v>
          </cell>
          <cell r="T75">
            <v>80821.290159916418</v>
          </cell>
          <cell r="U75">
            <v>0.1867345570229143</v>
          </cell>
          <cell r="V75">
            <v>87495.452092134408</v>
          </cell>
          <cell r="W75">
            <v>0.19719717333206965</v>
          </cell>
          <cell r="X75">
            <v>93897.112642852473</v>
          </cell>
          <cell r="Y75">
            <v>0.20647625021211485</v>
          </cell>
        </row>
        <row r="77">
          <cell r="A77" t="str">
            <v>Total Interest Expense</v>
          </cell>
          <cell r="B77">
            <v>-27281.743999999999</v>
          </cell>
          <cell r="C77">
            <v>-6.9747317480778101E-2</v>
          </cell>
          <cell r="D77">
            <v>-23584.197</v>
          </cell>
          <cell r="E77">
            <v>-6.3434128426672759E-2</v>
          </cell>
          <cell r="F77">
            <v>-20112.751999999997</v>
          </cell>
          <cell r="G77">
            <v>-5.8359387505264426E-2</v>
          </cell>
          <cell r="H77">
            <v>-17859.927</v>
          </cell>
          <cell r="I77">
            <v>-5.3167396753368165E-2</v>
          </cell>
          <cell r="J77">
            <v>-16650.880999999998</v>
          </cell>
          <cell r="K77">
            <v>-4.8460769206281541E-2</v>
          </cell>
          <cell r="L77">
            <v>-17469.791000000001</v>
          </cell>
          <cell r="M77">
            <v>-4.9129820875648433E-2</v>
          </cell>
          <cell r="N77">
            <v>-23959.066999999999</v>
          </cell>
          <cell r="O77">
            <v>-6.4977088988991988E-2</v>
          </cell>
          <cell r="P77">
            <v>-25471.393229467209</v>
          </cell>
          <cell r="Q77">
            <v>-6.5308326534726471E-2</v>
          </cell>
          <cell r="R77">
            <v>-26189.767815768828</v>
          </cell>
          <cell r="S77">
            <v>-6.3039063474669768E-2</v>
          </cell>
          <cell r="T77">
            <v>-23597.413296700655</v>
          </cell>
          <cell r="U77">
            <v>-5.4520937615908281E-2</v>
          </cell>
          <cell r="V77">
            <v>-20566.072446606027</v>
          </cell>
          <cell r="W77">
            <v>-4.6351796076699793E-2</v>
          </cell>
          <cell r="X77">
            <v>-17245.864530545354</v>
          </cell>
          <cell r="Y77">
            <v>-3.7923013175892105E-2</v>
          </cell>
        </row>
        <row r="78">
          <cell r="A78" t="str">
            <v>RGO</v>
          </cell>
          <cell r="B78">
            <v>71251.014000000025</v>
          </cell>
          <cell r="C78">
            <v>0.18215723651264257</v>
          </cell>
          <cell r="D78">
            <v>46887.93799999998</v>
          </cell>
          <cell r="E78">
            <v>0.12611391775407357</v>
          </cell>
          <cell r="F78">
            <v>30951.17999999996</v>
          </cell>
          <cell r="G78">
            <v>8.9808292140488188E-2</v>
          </cell>
          <cell r="H78">
            <v>14724.44100000001</v>
          </cell>
          <cell r="I78">
            <v>4.3833336867421774E-2</v>
          </cell>
          <cell r="J78">
            <v>9258.8271877073967</v>
          </cell>
          <cell r="K78">
            <v>2.6946915749643096E-2</v>
          </cell>
          <cell r="L78">
            <v>10058.307808190828</v>
          </cell>
          <cell r="M78">
            <v>2.8286707089314998E-2</v>
          </cell>
          <cell r="N78">
            <v>15248.854822087789</v>
          </cell>
          <cell r="O78">
            <v>4.1354957467877103E-2</v>
          </cell>
          <cell r="P78">
            <v>25859.807731838842</v>
          </cell>
          <cell r="Q78">
            <v>6.6304216352106538E-2</v>
          </cell>
          <cell r="R78">
            <v>42966.533745288711</v>
          </cell>
          <cell r="S78">
            <v>0.10342092633692494</v>
          </cell>
          <cell r="T78">
            <v>57223.876863215759</v>
          </cell>
          <cell r="U78">
            <v>0.13221361940700602</v>
          </cell>
          <cell r="V78">
            <v>66929.379645528388</v>
          </cell>
          <cell r="W78">
            <v>0.15084537725536987</v>
          </cell>
          <cell r="X78">
            <v>76651.248112307119</v>
          </cell>
          <cell r="Y78">
            <v>0.16855323703622277</v>
          </cell>
        </row>
      </sheetData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P RRI corporate "/>
      <sheetName val="BP RRI franchise"/>
      <sheetName val="Exhibits"/>
      <sheetName val="Network rec"/>
      <sheetName val="PL 2007"/>
      <sheetName val="PL 2006E"/>
      <sheetName val="PL 2005"/>
      <sheetName val="PL 2004"/>
      <sheetName val="PL 2003"/>
      <sheetName val="Rents rec"/>
      <sheetName val="Presentation--&gt;"/>
      <sheetName val="BP RRI corporate  (2)"/>
      <sheetName val="Charts"/>
      <sheetName val="Stacked Chart"/>
      <sheetName val="BP Output"/>
      <sheetName val="BP Output - Summary"/>
      <sheetName val="RevPAR Table"/>
      <sheetName val="PXMODEL"/>
      <sheetName val="Historical Financial"/>
      <sheetName val="BP RRI standalone-FORMATTED"/>
      <sheetName val="BP RRI standalone-SUMMARY"/>
      <sheetName val="BP RRI standalone-ProForm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">
          <cell r="J1">
            <v>366</v>
          </cell>
          <cell r="L1">
            <v>365</v>
          </cell>
          <cell r="N1">
            <v>365</v>
          </cell>
          <cell r="P1">
            <v>365</v>
          </cell>
          <cell r="R1">
            <v>366</v>
          </cell>
          <cell r="T1">
            <v>365</v>
          </cell>
          <cell r="V1">
            <v>365</v>
          </cell>
          <cell r="X1">
            <v>365</v>
          </cell>
        </row>
        <row r="3">
          <cell r="A3" t="str">
            <v>Business Plan 2006-2011</v>
          </cell>
          <cell r="J3" t="str">
            <v>CORPORATE HOTELS</v>
          </cell>
          <cell r="Z3" t="str">
            <v>% of revenue</v>
          </cell>
          <cell r="AA3" t="str">
            <v>CPI</v>
          </cell>
          <cell r="AB3" t="str">
            <v>CPRR</v>
          </cell>
          <cell r="AC3">
            <v>2002</v>
          </cell>
          <cell r="AE3" t="str">
            <v>2003 E</v>
          </cell>
          <cell r="AG3" t="str">
            <v>2004 B</v>
          </cell>
          <cell r="AI3" t="str">
            <v>2005 F</v>
          </cell>
          <cell r="AK3" t="str">
            <v>2006 F</v>
          </cell>
          <cell r="AM3" t="str">
            <v>2007 F</v>
          </cell>
          <cell r="AO3" t="str">
            <v>2008 F</v>
          </cell>
          <cell r="AQ3" t="str">
            <v>2009 F</v>
          </cell>
        </row>
        <row r="4">
          <cell r="A4" t="str">
            <v>Red Roof Inns</v>
          </cell>
          <cell r="B4" t="str">
            <v>2000A</v>
          </cell>
          <cell r="D4" t="str">
            <v>2001A</v>
          </cell>
          <cell r="F4" t="str">
            <v>2002A</v>
          </cell>
          <cell r="H4" t="str">
            <v>2003 A</v>
          </cell>
          <cell r="J4" t="str">
            <v>2004 A</v>
          </cell>
          <cell r="L4" t="str">
            <v>2005 A</v>
          </cell>
          <cell r="N4" t="str">
            <v>2006 E</v>
          </cell>
          <cell r="P4" t="str">
            <v>2007 B</v>
          </cell>
          <cell r="R4" t="str">
            <v>2008 F</v>
          </cell>
          <cell r="T4" t="str">
            <v>2009F</v>
          </cell>
          <cell r="V4" t="str">
            <v>2010F</v>
          </cell>
          <cell r="X4" t="str">
            <v>2011F</v>
          </cell>
        </row>
        <row r="5">
          <cell r="A5" t="str">
            <v>Nb Hotels</v>
          </cell>
          <cell r="B5">
            <v>261</v>
          </cell>
          <cell r="D5">
            <v>260</v>
          </cell>
          <cell r="F5">
            <v>259</v>
          </cell>
          <cell r="H5">
            <v>251</v>
          </cell>
          <cell r="J5">
            <v>229</v>
          </cell>
          <cell r="L5">
            <v>226</v>
          </cell>
          <cell r="N5">
            <v>221</v>
          </cell>
          <cell r="P5">
            <v>221</v>
          </cell>
          <cell r="R5">
            <v>221</v>
          </cell>
          <cell r="T5">
            <v>221</v>
          </cell>
          <cell r="V5">
            <v>221</v>
          </cell>
          <cell r="X5">
            <v>221</v>
          </cell>
        </row>
        <row r="6">
          <cell r="A6" t="str">
            <v>Rooms Rented</v>
          </cell>
          <cell r="B6">
            <v>7538529</v>
          </cell>
          <cell r="D6">
            <v>7422397</v>
          </cell>
          <cell r="F6">
            <v>7167483</v>
          </cell>
          <cell r="H6">
            <v>6898973</v>
          </cell>
          <cell r="J6">
            <v>6206599</v>
          </cell>
          <cell r="L6">
            <v>6042535</v>
          </cell>
          <cell r="N6">
            <v>5617235</v>
          </cell>
          <cell r="P6">
            <v>5749532</v>
          </cell>
          <cell r="R6">
            <v>5902926.9095999999</v>
          </cell>
          <cell r="T6">
            <v>6135082.8629999999</v>
          </cell>
          <cell r="V6">
            <v>6188151.2350000003</v>
          </cell>
          <cell r="X6">
            <v>6226057.2149999999</v>
          </cell>
        </row>
        <row r="7">
          <cell r="A7" t="str">
            <v>Rooms Available</v>
          </cell>
          <cell r="B7">
            <v>11074946</v>
          </cell>
          <cell r="D7">
            <v>11116038</v>
          </cell>
          <cell r="F7">
            <v>10941553</v>
          </cell>
          <cell r="H7">
            <v>10928573</v>
          </cell>
          <cell r="J7">
            <v>9844943</v>
          </cell>
          <cell r="L7">
            <v>9707608</v>
          </cell>
          <cell r="N7">
            <v>9427887</v>
          </cell>
          <cell r="P7">
            <v>9476495</v>
          </cell>
          <cell r="R7">
            <v>9502458</v>
          </cell>
          <cell r="T7">
            <v>9476495</v>
          </cell>
          <cell r="V7">
            <v>9476495</v>
          </cell>
          <cell r="X7">
            <v>9476495</v>
          </cell>
          <cell r="AW7" t="str">
            <v>($ in millions, except per room statistics)</v>
          </cell>
        </row>
        <row r="8">
          <cell r="A8" t="str">
            <v>Occupancy</v>
          </cell>
          <cell r="B8">
            <v>0.68068313831959093</v>
          </cell>
          <cell r="D8">
            <v>0.66771964975290654</v>
          </cell>
          <cell r="E8">
            <v>-1.2963488566684389</v>
          </cell>
          <cell r="F8">
            <v>0.65506998869356114</v>
          </cell>
          <cell r="G8">
            <v>-1.2649661059345396</v>
          </cell>
          <cell r="H8">
            <v>0.63127848439132905</v>
          </cell>
          <cell r="I8">
            <v>-2.3791504302232092</v>
          </cell>
          <cell r="J8">
            <v>0.63043523969615667</v>
          </cell>
          <cell r="K8">
            <v>-8.4324469517238487E-2</v>
          </cell>
          <cell r="L8">
            <v>0.62245354365359629</v>
          </cell>
          <cell r="M8">
            <v>-0.79816960425603822</v>
          </cell>
          <cell r="N8">
            <v>0.59581059891786992</v>
          </cell>
          <cell r="O8">
            <v>-2.664294473572637</v>
          </cell>
          <cell r="P8">
            <v>0.60671503546406136</v>
          </cell>
          <cell r="Q8">
            <v>1.0904436546191443</v>
          </cell>
          <cell r="R8">
            <v>0.62119999999999997</v>
          </cell>
          <cell r="S8">
            <v>1.4484964535938616</v>
          </cell>
          <cell r="T8">
            <v>0.64739999999999998</v>
          </cell>
          <cell r="U8">
            <v>2.62</v>
          </cell>
          <cell r="V8">
            <v>0.65300000000000002</v>
          </cell>
          <cell r="W8">
            <v>0.56000000000000494</v>
          </cell>
          <cell r="X8">
            <v>0.65700000000000003</v>
          </cell>
          <cell r="Y8">
            <v>0.40000000000000036</v>
          </cell>
          <cell r="AY8">
            <v>1995</v>
          </cell>
          <cell r="BA8">
            <v>1996</v>
          </cell>
          <cell r="BC8">
            <v>1997</v>
          </cell>
          <cell r="BE8">
            <v>1998</v>
          </cell>
          <cell r="BG8">
            <v>1999</v>
          </cell>
          <cell r="BI8">
            <v>2000</v>
          </cell>
          <cell r="BK8">
            <v>2001</v>
          </cell>
          <cell r="BM8">
            <v>2002</v>
          </cell>
          <cell r="BO8">
            <v>2003</v>
          </cell>
          <cell r="BQ8">
            <v>2004</v>
          </cell>
          <cell r="BS8">
            <v>2005</v>
          </cell>
          <cell r="BU8">
            <v>2006</v>
          </cell>
          <cell r="BW8">
            <v>2007</v>
          </cell>
          <cell r="BY8">
            <v>2008</v>
          </cell>
        </row>
        <row r="9">
          <cell r="A9" t="str">
            <v>ADR</v>
          </cell>
          <cell r="B9">
            <v>50.082437037782839</v>
          </cell>
          <cell r="D9">
            <v>48.392866617078013</v>
          </cell>
          <cell r="E9">
            <v>-3.3735786847397052E-2</v>
          </cell>
          <cell r="F9">
            <v>47.367970318171665</v>
          </cell>
          <cell r="G9">
            <v>-2.1178664760988949E-2</v>
          </cell>
          <cell r="H9">
            <v>47.390024283324486</v>
          </cell>
          <cell r="I9">
            <v>4.6558813908817215E-4</v>
          </cell>
          <cell r="J9">
            <v>48.963130693637531</v>
          </cell>
          <cell r="K9">
            <v>3.3194885086112666E-2</v>
          </cell>
          <cell r="L9">
            <v>51.871420355860579</v>
          </cell>
          <cell r="M9">
            <v>5.9397543029268814E-2</v>
          </cell>
          <cell r="N9">
            <v>56.54471087643654</v>
          </cell>
          <cell r="O9">
            <v>9.0093745043323445E-2</v>
          </cell>
          <cell r="P9">
            <v>59.059592850339826</v>
          </cell>
          <cell r="Q9">
            <v>4.4475989618178315E-2</v>
          </cell>
          <cell r="R9">
            <v>61.751448808757246</v>
          </cell>
          <cell r="S9">
            <v>4.5578640632330934E-2</v>
          </cell>
          <cell r="T9">
            <v>63.765999999999998</v>
          </cell>
          <cell r="U9">
            <v>3.2623545359749678E-2</v>
          </cell>
          <cell r="V9">
            <v>66.316640000000007</v>
          </cell>
          <cell r="W9">
            <v>4.0000000000000133E-2</v>
          </cell>
          <cell r="X9">
            <v>68.637722400000001</v>
          </cell>
          <cell r="Y9">
            <v>3.4999999999999913E-2</v>
          </cell>
        </row>
        <row r="10">
          <cell r="A10" t="str">
            <v>REVPAR</v>
          </cell>
          <cell r="B10">
            <v>34.09027041757134</v>
          </cell>
          <cell r="D10">
            <v>32.312867948094457</v>
          </cell>
          <cell r="E10">
            <v>-5.213811588190706E-2</v>
          </cell>
          <cell r="F10">
            <v>31.029335780761652</v>
          </cell>
          <cell r="G10">
            <v>-3.9722013205222055E-2</v>
          </cell>
          <cell r="H10">
            <v>29.916302704845361</v>
          </cell>
          <cell r="I10">
            <v>-3.5870348104788563E-2</v>
          </cell>
          <cell r="J10">
            <v>30.868083035117621</v>
          </cell>
          <cell r="K10">
            <v>3.1814771352681438E-2</v>
          </cell>
          <cell r="L10">
            <v>32.287549414850709</v>
          </cell>
          <cell r="M10">
            <v>4.5984921646031809E-2</v>
          </cell>
          <cell r="N10">
            <v>33.689938052927445</v>
          </cell>
          <cell r="O10">
            <v>4.3434347403018006E-2</v>
          </cell>
          <cell r="P10">
            <v>35.832342970686952</v>
          </cell>
          <cell r="Q10">
            <v>6.3591833098468553E-2</v>
          </cell>
          <cell r="R10">
            <v>38.36</v>
          </cell>
          <cell r="S10">
            <v>7.0541215554361755E-2</v>
          </cell>
          <cell r="T10">
            <v>41.282108399999998</v>
          </cell>
          <cell r="U10">
            <v>7.6175922836287782E-2</v>
          </cell>
          <cell r="V10">
            <v>43.304765920000008</v>
          </cell>
          <cell r="W10">
            <v>4.8995983935743212E-2</v>
          </cell>
          <cell r="X10">
            <v>45.0949836168</v>
          </cell>
          <cell r="Y10">
            <v>4.1339969372128443E-2</v>
          </cell>
          <cell r="AW10" t="str">
            <v>Owned Properties</v>
          </cell>
          <cell r="AY10">
            <v>231</v>
          </cell>
          <cell r="BA10">
            <v>248</v>
          </cell>
          <cell r="BC10">
            <v>254</v>
          </cell>
          <cell r="BE10">
            <v>256</v>
          </cell>
          <cell r="BG10">
            <v>258</v>
          </cell>
          <cell r="BI10">
            <v>261</v>
          </cell>
          <cell r="BK10">
            <v>260</v>
          </cell>
          <cell r="BM10">
            <v>259</v>
          </cell>
          <cell r="BO10">
            <v>251</v>
          </cell>
          <cell r="BQ10">
            <v>229</v>
          </cell>
          <cell r="BS10">
            <v>226</v>
          </cell>
          <cell r="BU10">
            <v>221</v>
          </cell>
          <cell r="BW10">
            <v>221</v>
          </cell>
          <cell r="BY10">
            <v>221</v>
          </cell>
        </row>
        <row r="11">
          <cell r="L11">
            <v>0</v>
          </cell>
          <cell r="AW11" t="str">
            <v>Franchised Properties</v>
          </cell>
          <cell r="AY11">
            <v>0</v>
          </cell>
          <cell r="BA11">
            <v>0</v>
          </cell>
          <cell r="BC11">
            <v>5</v>
          </cell>
          <cell r="BE11">
            <v>39</v>
          </cell>
          <cell r="BG11">
            <v>69</v>
          </cell>
          <cell r="BM11">
            <v>95</v>
          </cell>
          <cell r="BO11">
            <v>98</v>
          </cell>
          <cell r="BQ11">
            <v>100</v>
          </cell>
          <cell r="BS11">
            <v>95</v>
          </cell>
          <cell r="BU11">
            <v>96</v>
          </cell>
          <cell r="BW11">
            <v>103</v>
          </cell>
          <cell r="BY11">
            <v>115</v>
          </cell>
        </row>
        <row r="12">
          <cell r="A12" t="str">
            <v>Room Revenue</v>
          </cell>
          <cell r="B12">
            <v>377547.90399999998</v>
          </cell>
          <cell r="D12">
            <v>359191.06800000003</v>
          </cell>
          <cell r="F12">
            <v>339509.12199999997</v>
          </cell>
          <cell r="H12">
            <v>326942.49800000002</v>
          </cell>
          <cell r="J12">
            <v>303894.51799999998</v>
          </cell>
          <cell r="L12">
            <v>313434.87300000002</v>
          </cell>
          <cell r="N12">
            <v>317624.929</v>
          </cell>
          <cell r="P12">
            <v>339565.01900000003</v>
          </cell>
          <cell r="R12">
            <v>364514.28888000001</v>
          </cell>
          <cell r="T12">
            <v>391209.69384205801</v>
          </cell>
          <cell r="V12">
            <v>410377.39771705051</v>
          </cell>
          <cell r="X12">
            <v>427342.38676968712</v>
          </cell>
          <cell r="AW12" t="str">
            <v>ADR</v>
          </cell>
          <cell r="AY12">
            <v>42.11</v>
          </cell>
          <cell r="BA12">
            <v>44.36</v>
          </cell>
          <cell r="BC12">
            <v>47.1</v>
          </cell>
          <cell r="BE12">
            <v>46.8</v>
          </cell>
          <cell r="BG12">
            <v>48.11</v>
          </cell>
          <cell r="BI12">
            <v>50.082437037782839</v>
          </cell>
          <cell r="BK12">
            <v>48.392866617078013</v>
          </cell>
          <cell r="BM12">
            <v>47.367970318171665</v>
          </cell>
          <cell r="BO12">
            <v>47.390024283324486</v>
          </cell>
          <cell r="BQ12">
            <v>48.963130693637531</v>
          </cell>
          <cell r="BS12">
            <v>51.871420355860579</v>
          </cell>
          <cell r="BU12">
            <v>56.54471087643654</v>
          </cell>
          <cell r="BW12">
            <v>59.059592850339826</v>
          </cell>
          <cell r="BY12">
            <v>61.751448808757246</v>
          </cell>
        </row>
        <row r="13">
          <cell r="A13" t="str">
            <v>Other Revenue</v>
          </cell>
          <cell r="B13">
            <v>13603.254000000001</v>
          </cell>
          <cell r="D13">
            <v>12599.285</v>
          </cell>
          <cell r="F13">
            <v>5126.9830000000002</v>
          </cell>
          <cell r="H13">
            <v>8976.2810000000009</v>
          </cell>
          <cell r="J13">
            <v>7943.6680000000006</v>
          </cell>
          <cell r="L13">
            <v>6764.19</v>
          </cell>
          <cell r="N13">
            <v>7154.4639999999999</v>
          </cell>
          <cell r="P13">
            <v>7363.3009999999995</v>
          </cell>
          <cell r="R13">
            <v>7654.8000664800011</v>
          </cell>
          <cell r="T13">
            <v>8215.4035706832183</v>
          </cell>
          <cell r="V13">
            <v>8617.9253520580605</v>
          </cell>
          <cell r="X13">
            <v>8974.1901221634307</v>
          </cell>
          <cell r="Z13">
            <v>2.1000000000000001E-2</v>
          </cell>
          <cell r="AC13">
            <v>1.5101164203770645E-2</v>
          </cell>
          <cell r="AE13">
            <v>2.7455228533795568E-2</v>
          </cell>
          <cell r="AG13">
            <v>2.613955675238604E-2</v>
          </cell>
          <cell r="AI13">
            <v>2.1580846876601376E-2</v>
          </cell>
          <cell r="AW13" t="str">
            <v>Occupancy</v>
          </cell>
          <cell r="AY13">
            <v>0.77300000000000002</v>
          </cell>
          <cell r="BA13">
            <v>0.74199999999999999</v>
          </cell>
          <cell r="BC13">
            <v>0.70399999999999996</v>
          </cell>
          <cell r="BE13">
            <v>0.73</v>
          </cell>
          <cell r="BG13">
            <v>0.752</v>
          </cell>
          <cell r="BI13">
            <v>0.68068313831959093</v>
          </cell>
          <cell r="BK13">
            <v>0.66771964975290654</v>
          </cell>
          <cell r="BM13">
            <v>0.65506998869356114</v>
          </cell>
          <cell r="BO13">
            <v>0.63127848439132905</v>
          </cell>
          <cell r="BQ13">
            <v>0.63043523969615667</v>
          </cell>
          <cell r="BS13">
            <v>0.62245354365359629</v>
          </cell>
          <cell r="BU13">
            <v>0.59581059891786992</v>
          </cell>
          <cell r="BW13">
            <v>0.60671503546406136</v>
          </cell>
          <cell r="BY13">
            <v>0.62119999999999997</v>
          </cell>
        </row>
        <row r="14">
          <cell r="A14" t="str">
            <v xml:space="preserve">     Total Revenue</v>
          </cell>
          <cell r="B14">
            <v>391151.158</v>
          </cell>
          <cell r="D14">
            <v>371790.353</v>
          </cell>
          <cell r="E14">
            <v>-4.9496990112451601E-2</v>
          </cell>
          <cell r="F14">
            <v>344636.10499999998</v>
          </cell>
          <cell r="G14">
            <v>-7.3036451271235703E-2</v>
          </cell>
          <cell r="H14">
            <v>335918.77900000004</v>
          </cell>
          <cell r="I14">
            <v>-2.5294291206082262E-2</v>
          </cell>
          <cell r="J14">
            <v>311838.18599999999</v>
          </cell>
          <cell r="K14">
            <v>-7.1685760086666814E-2</v>
          </cell>
          <cell r="L14">
            <v>320199.06300000002</v>
          </cell>
          <cell r="M14">
            <v>2.681158810999509E-2</v>
          </cell>
          <cell r="N14">
            <v>324779.39299999998</v>
          </cell>
          <cell r="O14">
            <v>1.4304632740289929E-2</v>
          </cell>
          <cell r="P14">
            <v>346928.32</v>
          </cell>
          <cell r="Q14">
            <v>6.819683599815099E-2</v>
          </cell>
          <cell r="R14">
            <v>372169.08894648001</v>
          </cell>
          <cell r="S14">
            <v>7.2754997189275306E-2</v>
          </cell>
          <cell r="T14">
            <v>399425.09741274122</v>
          </cell>
          <cell r="U14">
            <v>7.3235551462418128E-2</v>
          </cell>
          <cell r="V14">
            <v>418995.32306910859</v>
          </cell>
          <cell r="W14">
            <v>4.8995983935743302E-2</v>
          </cell>
          <cell r="X14">
            <v>436316.57689185056</v>
          </cell>
          <cell r="Y14">
            <v>4.1339969372128346E-2</v>
          </cell>
          <cell r="AW14" t="str">
            <v>RevPAR</v>
          </cell>
          <cell r="AY14">
            <v>32.549999999999997</v>
          </cell>
          <cell r="BA14">
            <v>32.92</v>
          </cell>
          <cell r="BC14">
            <v>33.159999999999997</v>
          </cell>
          <cell r="BE14">
            <v>34.159999999999997</v>
          </cell>
          <cell r="BG14">
            <v>36.18</v>
          </cell>
          <cell r="BI14">
            <v>34.09027041757134</v>
          </cell>
          <cell r="BK14">
            <v>32.312867948094457</v>
          </cell>
          <cell r="BM14">
            <v>31.029335780761652</v>
          </cell>
          <cell r="BO14">
            <v>29.916302704845361</v>
          </cell>
          <cell r="BQ14">
            <v>30.868083035117621</v>
          </cell>
          <cell r="BS14">
            <v>32.287549414850709</v>
          </cell>
          <cell r="BU14">
            <v>33.689938052927445</v>
          </cell>
          <cell r="BW14">
            <v>35.832342970686952</v>
          </cell>
          <cell r="BY14">
            <v>38.36</v>
          </cell>
        </row>
        <row r="15">
          <cell r="AW15" t="str">
            <v>Owned Revenue</v>
          </cell>
          <cell r="AY15">
            <v>291.44499999999999</v>
          </cell>
          <cell r="BA15">
            <v>317.43700000000001</v>
          </cell>
          <cell r="BC15">
            <v>350.95</v>
          </cell>
          <cell r="BE15">
            <v>369.62100000000004</v>
          </cell>
          <cell r="BG15">
            <v>384.87866666666565</v>
          </cell>
          <cell r="BI15">
            <v>391.15115800000001</v>
          </cell>
          <cell r="BK15">
            <v>371.79035299999998</v>
          </cell>
          <cell r="BM15">
            <v>344.63610499999999</v>
          </cell>
          <cell r="BO15">
            <v>335.91877900000003</v>
          </cell>
          <cell r="BQ15">
            <v>311.83818600000001</v>
          </cell>
          <cell r="BS15">
            <v>320.19906300000002</v>
          </cell>
          <cell r="BU15">
            <v>324.77939299999997</v>
          </cell>
          <cell r="BW15">
            <v>346.92831999999999</v>
          </cell>
          <cell r="BY15">
            <v>372.16908894648003</v>
          </cell>
        </row>
        <row r="16">
          <cell r="A16" t="str">
            <v>Salaries &amp; Wages</v>
          </cell>
          <cell r="B16">
            <v>-78737.596999999994</v>
          </cell>
          <cell r="C16">
            <v>-0.20129710826524</v>
          </cell>
          <cell r="D16">
            <v>-75807.857000000004</v>
          </cell>
          <cell r="E16">
            <v>-0.2038994728838486</v>
          </cell>
          <cell r="F16">
            <v>-74448.653999999995</v>
          </cell>
          <cell r="G16">
            <v>-0.21602105211814646</v>
          </cell>
          <cell r="H16">
            <v>-75216.822</v>
          </cell>
          <cell r="I16">
            <v>-0.22391371576163055</v>
          </cell>
          <cell r="J16">
            <v>-66743.914000000004</v>
          </cell>
          <cell r="K16">
            <v>-0.21403380662302854</v>
          </cell>
          <cell r="L16">
            <v>-68772.820000000007</v>
          </cell>
          <cell r="M16">
            <v>-0.21478145299881782</v>
          </cell>
          <cell r="N16">
            <v>-68215.285999999993</v>
          </cell>
          <cell r="O16">
            <v>-0.21003575802606417</v>
          </cell>
          <cell r="P16">
            <v>-70975.761000000013</v>
          </cell>
          <cell r="Q16">
            <v>-0.20458335889096632</v>
          </cell>
          <cell r="R16">
            <v>-73105.033830000015</v>
          </cell>
          <cell r="S16">
            <v>-0.19642962298922392</v>
          </cell>
          <cell r="T16">
            <v>-75298.184844900024</v>
          </cell>
          <cell r="U16">
            <v>-0.18851640853977569</v>
          </cell>
          <cell r="V16">
            <v>-77557.130390247024</v>
          </cell>
          <cell r="W16">
            <v>-0.18510261599615718</v>
          </cell>
          <cell r="X16">
            <v>-79883.844301954436</v>
          </cell>
          <cell r="Y16">
            <v>-0.18308688812837651</v>
          </cell>
          <cell r="AA16">
            <v>0.03</v>
          </cell>
          <cell r="AC16">
            <v>-1.7929579515748726E-2</v>
          </cell>
          <cell r="AE16">
            <v>1.0318091177310005E-2</v>
          </cell>
          <cell r="AG16">
            <v>-0.11264645028475141</v>
          </cell>
          <cell r="AI16">
            <v>3.0398367108048271E-2</v>
          </cell>
          <cell r="AK16">
            <v>-8.1068945551456828E-3</v>
          </cell>
          <cell r="AW16" t="str">
            <v>% Change</v>
          </cell>
          <cell r="BA16">
            <v>8.9183207809363729E-2</v>
          </cell>
          <cell r="BC16">
            <v>0.10557370438858737</v>
          </cell>
          <cell r="BE16">
            <v>5.3201310728024032E-2</v>
          </cell>
          <cell r="BG16">
            <v>4.1279220246321469E-2</v>
          </cell>
          <cell r="BI16">
            <v>1.6297321406922194E-2</v>
          </cell>
          <cell r="BK16">
            <v>-4.9496990112451678E-2</v>
          </cell>
          <cell r="BM16">
            <v>-7.3036451271235592E-2</v>
          </cell>
          <cell r="BO16">
            <v>-2.5294291206082287E-2</v>
          </cell>
          <cell r="BQ16">
            <v>-7.1685760086666717E-2</v>
          </cell>
          <cell r="BS16">
            <v>2.6811588109995066E-2</v>
          </cell>
          <cell r="BU16">
            <v>1.4304632740289813E-2</v>
          </cell>
          <cell r="BW16">
            <v>6.8196835998150851E-2</v>
          </cell>
          <cell r="BY16">
            <v>7.2754997189275361E-2</v>
          </cell>
        </row>
        <row r="17">
          <cell r="A17" t="str">
            <v>Payroll Taxes &amp; Benefits</v>
          </cell>
          <cell r="B17">
            <v>-17887.333999999999</v>
          </cell>
          <cell r="C17">
            <v>-4.5729978383446328E-2</v>
          </cell>
          <cell r="D17">
            <v>-16886.874</v>
          </cell>
          <cell r="E17">
            <v>-4.5420420039785164E-2</v>
          </cell>
          <cell r="F17">
            <v>-16910.671999999999</v>
          </cell>
          <cell r="G17">
            <v>-4.9068196148514383E-2</v>
          </cell>
          <cell r="H17">
            <v>-16600.096000000001</v>
          </cell>
          <cell r="I17">
            <v>-4.9416993147620367E-2</v>
          </cell>
          <cell r="J17">
            <v>-18210.126</v>
          </cell>
          <cell r="K17">
            <v>-5.8396074687273869E-2</v>
          </cell>
          <cell r="L17">
            <v>-20541.084000000003</v>
          </cell>
          <cell r="M17">
            <v>-6.4150980978979324E-2</v>
          </cell>
          <cell r="N17">
            <v>-17330.589</v>
          </cell>
          <cell r="O17">
            <v>-5.3361110259849527E-2</v>
          </cell>
          <cell r="P17">
            <v>-18446.7</v>
          </cell>
          <cell r="Q17">
            <v>-5.3171502401418255E-2</v>
          </cell>
          <cell r="R17">
            <v>-19553.502</v>
          </cell>
          <cell r="S17">
            <v>-5.2539296198271593E-2</v>
          </cell>
          <cell r="T17">
            <v>-20726.71212</v>
          </cell>
          <cell r="U17">
            <v>-5.1891361494949571E-2</v>
          </cell>
          <cell r="V17">
            <v>-21970.314847200007</v>
          </cell>
          <cell r="W17">
            <v>-5.2435704261014508E-2</v>
          </cell>
          <cell r="X17">
            <v>-23288.533738032009</v>
          </cell>
          <cell r="Y17">
            <v>-5.3375312723459779E-2</v>
          </cell>
          <cell r="AA17">
            <v>0.06</v>
          </cell>
          <cell r="AC17">
            <v>0.22714543637014578</v>
          </cell>
          <cell r="AE17">
            <v>0.22069658832435118</v>
          </cell>
          <cell r="AG17">
            <v>0.27283575248523784</v>
          </cell>
          <cell r="AI17">
            <v>0.29868026351107896</v>
          </cell>
          <cell r="AK17">
            <v>0.25405726511210408</v>
          </cell>
          <cell r="AW17" t="str">
            <v>Franchise Revenue</v>
          </cell>
          <cell r="AY17">
            <v>0</v>
          </cell>
          <cell r="BA17">
            <v>0</v>
          </cell>
          <cell r="BC17">
            <v>0.22500000000000001</v>
          </cell>
          <cell r="BE17">
            <v>1.7529999999999999</v>
          </cell>
          <cell r="BG17" t="str">
            <v>NA</v>
          </cell>
          <cell r="BQ17">
            <v>8.5920000000000005</v>
          </cell>
          <cell r="BS17">
            <v>8.99</v>
          </cell>
          <cell r="BU17">
            <v>9.5169999999999995</v>
          </cell>
          <cell r="BW17">
            <v>9.9420000000000002</v>
          </cell>
          <cell r="BY17">
            <v>11.678000000000001</v>
          </cell>
        </row>
        <row r="18">
          <cell r="A18" t="str">
            <v xml:space="preserve">     Total Personnel Costs</v>
          </cell>
          <cell r="B18">
            <v>-96624.930999999997</v>
          </cell>
          <cell r="C18">
            <v>-0.24702708664868633</v>
          </cell>
          <cell r="D18">
            <v>-92694.731</v>
          </cell>
          <cell r="E18">
            <v>-0.24931989292363377</v>
          </cell>
          <cell r="F18">
            <v>-91359.326000000001</v>
          </cell>
          <cell r="G18">
            <v>-0.26508924826666086</v>
          </cell>
          <cell r="H18">
            <v>-91816.918000000005</v>
          </cell>
          <cell r="I18">
            <v>-0.27333070890925093</v>
          </cell>
          <cell r="J18">
            <v>-84954.040000000008</v>
          </cell>
          <cell r="K18">
            <v>-0.27242988131030244</v>
          </cell>
          <cell r="L18">
            <v>-89313.90400000001</v>
          </cell>
          <cell r="M18">
            <v>-0.2789324339777971</v>
          </cell>
          <cell r="N18">
            <v>-85545.875</v>
          </cell>
          <cell r="O18">
            <v>-0.26339686828591369</v>
          </cell>
          <cell r="P18">
            <v>-89422.46100000001</v>
          </cell>
          <cell r="Q18">
            <v>-0.25775486129238456</v>
          </cell>
          <cell r="R18">
            <v>-92658.535830000008</v>
          </cell>
          <cell r="S18">
            <v>-0.2489689191874955</v>
          </cell>
          <cell r="T18">
            <v>-96024.896964900021</v>
          </cell>
          <cell r="U18">
            <v>-0.24040777003472524</v>
          </cell>
          <cell r="V18">
            <v>-99527.445237447027</v>
          </cell>
          <cell r="W18">
            <v>-0.23753832025717167</v>
          </cell>
          <cell r="X18">
            <v>-103172.37803998645</v>
          </cell>
          <cell r="Y18">
            <v>-0.23646220085183631</v>
          </cell>
          <cell r="AC18">
            <v>1.4092602337175528E-3</v>
          </cell>
          <cell r="AE18">
            <v>-1.8365680559589669E-2</v>
          </cell>
          <cell r="AG18">
            <v>9.6989198134757704E-2</v>
          </cell>
          <cell r="AI18">
            <v>0.12800339767006566</v>
          </cell>
          <cell r="AK18">
            <v>-0.1562962792031814</v>
          </cell>
          <cell r="AW18" t="str">
            <v>Other Revenue</v>
          </cell>
          <cell r="AY18">
            <v>0.53100000000000003</v>
          </cell>
          <cell r="BA18">
            <v>0.86499999999999999</v>
          </cell>
          <cell r="BC18">
            <v>0.95300000000000007</v>
          </cell>
          <cell r="BE18">
            <v>0.77700000000000002</v>
          </cell>
          <cell r="BG18" t="str">
            <v>NA</v>
          </cell>
          <cell r="BI18">
            <v>13.603254000000002</v>
          </cell>
          <cell r="BK18">
            <v>12.599285</v>
          </cell>
          <cell r="BM18">
            <v>5.1269830000000001</v>
          </cell>
          <cell r="BO18">
            <v>8.9762810000000002</v>
          </cell>
          <cell r="BQ18">
            <v>7.9436680000000006</v>
          </cell>
          <cell r="BS18">
            <v>6.7641899999999993</v>
          </cell>
          <cell r="BU18">
            <v>7.1544639999999999</v>
          </cell>
          <cell r="BW18">
            <v>7.3633009999999999</v>
          </cell>
          <cell r="BY18">
            <v>7.6548000664800009</v>
          </cell>
        </row>
        <row r="19">
          <cell r="B19" t="str">
            <v xml:space="preserve"> </v>
          </cell>
          <cell r="D19" t="str">
            <v xml:space="preserve"> </v>
          </cell>
          <cell r="F19" t="str">
            <v xml:space="preserve"> </v>
          </cell>
          <cell r="H19" t="str">
            <v xml:space="preserve"> </v>
          </cell>
          <cell r="J19" t="str">
            <v xml:space="preserve"> </v>
          </cell>
          <cell r="L19" t="str">
            <v xml:space="preserve"> </v>
          </cell>
          <cell r="N19" t="str">
            <v xml:space="preserve"> </v>
          </cell>
          <cell r="P19" t="str">
            <v xml:space="preserve"> </v>
          </cell>
          <cell r="R19" t="str">
            <v xml:space="preserve"> </v>
          </cell>
          <cell r="T19" t="str">
            <v xml:space="preserve"> </v>
          </cell>
          <cell r="V19" t="str">
            <v xml:space="preserve"> </v>
          </cell>
          <cell r="X19" t="str">
            <v xml:space="preserve"> </v>
          </cell>
          <cell r="AW19" t="str">
            <v>Total Revenue</v>
          </cell>
          <cell r="AY19">
            <v>291.976</v>
          </cell>
          <cell r="BA19">
            <v>318.30200000000002</v>
          </cell>
          <cell r="BC19">
            <v>352.12799999999999</v>
          </cell>
          <cell r="BE19">
            <v>372.15100000000001</v>
          </cell>
          <cell r="BG19">
            <v>384.87866666666565</v>
          </cell>
          <cell r="BI19">
            <v>404.754412</v>
          </cell>
          <cell r="BK19">
            <v>384.38963799999999</v>
          </cell>
          <cell r="BM19">
            <v>349.76308799999998</v>
          </cell>
          <cell r="BO19">
            <v>344.89506000000006</v>
          </cell>
          <cell r="BQ19">
            <v>328.37385399999999</v>
          </cell>
          <cell r="BS19">
            <v>335.95325300000002</v>
          </cell>
          <cell r="BU19">
            <v>341.45085699999998</v>
          </cell>
          <cell r="BW19">
            <v>364.23362099999997</v>
          </cell>
          <cell r="BY19">
            <v>391.50188901296002</v>
          </cell>
        </row>
        <row r="20">
          <cell r="A20" t="str">
            <v>Total Supplies &amp; Cost of Sales</v>
          </cell>
          <cell r="B20">
            <v>-17692.772000000001</v>
          </cell>
          <cell r="C20">
            <v>-4.5232569655335141E-2</v>
          </cell>
          <cell r="D20">
            <v>-17204.702000000001</v>
          </cell>
          <cell r="E20">
            <v>-4.6275278153868615E-2</v>
          </cell>
          <cell r="F20">
            <v>-11045.963</v>
          </cell>
          <cell r="G20">
            <v>-3.2051090526339372E-2</v>
          </cell>
          <cell r="H20">
            <v>-16315.939</v>
          </cell>
          <cell r="I20">
            <v>-4.8571083309397238E-2</v>
          </cell>
          <cell r="J20">
            <v>-14334.479000000001</v>
          </cell>
          <cell r="K20">
            <v>-4.5967683380508127E-2</v>
          </cell>
          <cell r="L20">
            <v>-14122.607</v>
          </cell>
          <cell r="M20">
            <v>-4.4105709953311131E-2</v>
          </cell>
          <cell r="N20">
            <v>-14617.374</v>
          </cell>
          <cell r="O20">
            <v>-4.5007085778992144E-2</v>
          </cell>
          <cell r="P20">
            <v>-15108.29</v>
          </cell>
          <cell r="Q20">
            <v>-4.3548736522864437E-2</v>
          </cell>
          <cell r="R20">
            <v>-16747.609002591598</v>
          </cell>
          <cell r="S20">
            <v>-4.4999999999999991E-2</v>
          </cell>
          <cell r="T20">
            <v>-17974.129383573356</v>
          </cell>
          <cell r="U20">
            <v>-4.5000000000000005E-2</v>
          </cell>
          <cell r="V20">
            <v>-18854.789538109886</v>
          </cell>
          <cell r="W20">
            <v>-4.4999999999999998E-2</v>
          </cell>
          <cell r="X20">
            <v>-19634.245960133274</v>
          </cell>
          <cell r="Y20">
            <v>-4.4999999999999998E-2</v>
          </cell>
          <cell r="Z20">
            <v>-4.4999999999999998E-2</v>
          </cell>
          <cell r="AC20">
            <v>-3.2051090526339372E-2</v>
          </cell>
          <cell r="AE20">
            <v>-4.8571083309397238E-2</v>
          </cell>
          <cell r="AG20">
            <v>-4.5967683380508127E-2</v>
          </cell>
          <cell r="AI20">
            <v>-4.4105709953311131E-2</v>
          </cell>
          <cell r="AW20" t="str">
            <v>% Change</v>
          </cell>
          <cell r="AY20" t="str">
            <v>NM</v>
          </cell>
          <cell r="BA20">
            <v>9.0164945063977875E-2</v>
          </cell>
          <cell r="BC20">
            <v>0.10627014596201079</v>
          </cell>
          <cell r="BE20">
            <v>5.6862845328971456E-2</v>
          </cell>
          <cell r="BG20">
            <v>3.4200275336263131E-2</v>
          </cell>
          <cell r="BI20">
            <v>5.1641587478653994E-2</v>
          </cell>
          <cell r="BK20">
            <v>-5.031390244610856E-2</v>
          </cell>
          <cell r="BM20">
            <v>-9.0081902780116074E-2</v>
          </cell>
          <cell r="BO20">
            <v>-1.3918072452516528E-2</v>
          </cell>
          <cell r="BQ20">
            <v>-4.7902124199749485E-2</v>
          </cell>
          <cell r="BS20">
            <v>2.3081615383422127E-2</v>
          </cell>
          <cell r="BU20">
            <v>1.636419338377415E-2</v>
          </cell>
          <cell r="BW20">
            <v>6.6723405529481417E-2</v>
          </cell>
          <cell r="BY20">
            <v>7.4864774806058021E-2</v>
          </cell>
        </row>
        <row r="21">
          <cell r="A21" t="str">
            <v>Total Travel Expenses</v>
          </cell>
          <cell r="B21">
            <v>-977.64400000000001</v>
          </cell>
          <cell r="C21">
            <v>-2.499402034238641E-3</v>
          </cell>
          <cell r="D21">
            <v>-825.20600000000002</v>
          </cell>
          <cell r="E21">
            <v>-2.2195465625758182E-3</v>
          </cell>
          <cell r="F21">
            <v>-896.78800000000001</v>
          </cell>
          <cell r="G21">
            <v>-2.6021301511633555E-3</v>
          </cell>
          <cell r="H21">
            <v>-1222.7560000000001</v>
          </cell>
          <cell r="I21">
            <v>-3.6400346644508371E-3</v>
          </cell>
          <cell r="J21">
            <v>-904.13599999999985</v>
          </cell>
          <cell r="K21">
            <v>-2.8993755113749919E-3</v>
          </cell>
          <cell r="L21">
            <v>-1363.577</v>
          </cell>
          <cell r="M21">
            <v>-4.2585290138715988E-3</v>
          </cell>
          <cell r="N21">
            <v>-1248.317</v>
          </cell>
          <cell r="O21">
            <v>-3.8435843742093577E-3</v>
          </cell>
          <cell r="P21">
            <v>-1227.903</v>
          </cell>
          <cell r="Q21">
            <v>-3.5393564872420909E-3</v>
          </cell>
          <cell r="R21">
            <v>-1258.6005749999999</v>
          </cell>
          <cell r="S21">
            <v>-3.3817977160940245E-3</v>
          </cell>
          <cell r="T21">
            <v>-1290.0655893749999</v>
          </cell>
          <cell r="U21">
            <v>-3.2298060330493601E-3</v>
          </cell>
          <cell r="V21">
            <v>-1322.3172291093749</v>
          </cell>
          <cell r="W21">
            <v>-3.1559236017803319E-3</v>
          </cell>
          <cell r="X21">
            <v>-1355.3751598371091</v>
          </cell>
          <cell r="Y21">
            <v>-3.1064030834956446E-3</v>
          </cell>
          <cell r="AA21">
            <v>2.5000000000000001E-2</v>
          </cell>
          <cell r="AW21" t="str">
            <v>Operating Expenses from Corp Owned Assets</v>
          </cell>
          <cell r="BI21">
            <v>-182.813727</v>
          </cell>
          <cell r="BK21">
            <v>-179.694762</v>
          </cell>
          <cell r="BM21">
            <v>-165.78002699999999</v>
          </cell>
          <cell r="BO21">
            <v>-171.08674200000002</v>
          </cell>
          <cell r="BQ21">
            <v>-157.448036</v>
          </cell>
          <cell r="BS21">
            <v>-163.14246000000003</v>
          </cell>
          <cell r="BU21">
            <v>-157.26514699999998</v>
          </cell>
          <cell r="BW21">
            <v>-163.22885300000002</v>
          </cell>
          <cell r="BY21">
            <v>-170.00865391043754</v>
          </cell>
        </row>
        <row r="22">
          <cell r="A22" t="str">
            <v>Total Legal Expenses</v>
          </cell>
          <cell r="B22">
            <v>-0.57799999999999996</v>
          </cell>
          <cell r="C22">
            <v>-1.4776896045901518E-6</v>
          </cell>
          <cell r="D22">
            <v>-0.311</v>
          </cell>
          <cell r="E22">
            <v>-8.3649292535570441E-7</v>
          </cell>
          <cell r="F22">
            <v>-0.29699999999999999</v>
          </cell>
          <cell r="G22">
            <v>-8.6177854174622822E-7</v>
          </cell>
          <cell r="H22">
            <v>-12.082000000000001</v>
          </cell>
          <cell r="I22">
            <v>-3.5967027612945686E-5</v>
          </cell>
          <cell r="J22">
            <v>-3521.011</v>
          </cell>
          <cell r="K22">
            <v>-1.1291147646683656E-2</v>
          </cell>
          <cell r="L22">
            <v>-582.42999999999995</v>
          </cell>
          <cell r="M22">
            <v>-1.8189622247582902E-3</v>
          </cell>
          <cell r="N22">
            <v>-824.2</v>
          </cell>
          <cell r="O22">
            <v>-2.5377225826639809E-3</v>
          </cell>
          <cell r="P22">
            <v>-29.867999999999999</v>
          </cell>
          <cell r="Q22">
            <v>-8.6092712177547216E-5</v>
          </cell>
          <cell r="R22">
            <v>-29.867999999999999</v>
          </cell>
          <cell r="S22">
            <v>-8.0253843984058495E-5</v>
          </cell>
          <cell r="T22">
            <v>-29.867999999999999</v>
          </cell>
          <cell r="U22">
            <v>-7.4777474408765682E-5</v>
          </cell>
          <cell r="V22">
            <v>-29.867999999999999</v>
          </cell>
          <cell r="W22">
            <v>-7.1284805236533882E-5</v>
          </cell>
          <cell r="X22">
            <v>-29.867999999999999</v>
          </cell>
          <cell r="Y22">
            <v>-6.8454882490983967E-5</v>
          </cell>
          <cell r="AW22" t="str">
            <v>Gross Operating Profit</v>
          </cell>
          <cell r="BI22">
            <v>208.33743100000001</v>
          </cell>
          <cell r="BK22">
            <v>192.09559099999998</v>
          </cell>
          <cell r="BM22">
            <v>178.856078</v>
          </cell>
          <cell r="BO22">
            <v>164.83203700000001</v>
          </cell>
          <cell r="BQ22">
            <v>154.39015000000001</v>
          </cell>
          <cell r="BS22">
            <v>157.056603</v>
          </cell>
          <cell r="BU22">
            <v>167.51424599999999</v>
          </cell>
          <cell r="BW22">
            <v>183.69946699999997</v>
          </cell>
          <cell r="BY22">
            <v>202.16043503604249</v>
          </cell>
        </row>
        <row r="23">
          <cell r="A23" t="str">
            <v>Total Outsides Services</v>
          </cell>
          <cell r="B23">
            <v>-5231.5720000000001</v>
          </cell>
          <cell r="C23">
            <v>-1.3374808927447942E-2</v>
          </cell>
          <cell r="D23">
            <v>-3113.08</v>
          </cell>
          <cell r="E23">
            <v>-8.3732134921747151E-3</v>
          </cell>
          <cell r="F23">
            <v>-3108.7460000000001</v>
          </cell>
          <cell r="G23">
            <v>-9.0203723721865997E-3</v>
          </cell>
          <cell r="H23">
            <v>-3054.848</v>
          </cell>
          <cell r="I23">
            <v>-9.094007810739272E-3</v>
          </cell>
          <cell r="J23">
            <v>-2677.4389999999999</v>
          </cell>
          <cell r="K23">
            <v>-8.5859882471224988E-3</v>
          </cell>
          <cell r="L23">
            <v>-2756.933</v>
          </cell>
          <cell r="M23">
            <v>-8.610059549112422E-3</v>
          </cell>
          <cell r="N23">
            <v>-2590.9930000000004</v>
          </cell>
          <cell r="O23">
            <v>-7.9777013438780599E-3</v>
          </cell>
          <cell r="P23">
            <v>-2733.3409999999999</v>
          </cell>
          <cell r="Q23">
            <v>-7.8786909065250137E-3</v>
          </cell>
          <cell r="R23">
            <v>-2801.6745249999994</v>
          </cell>
          <cell r="S23">
            <v>-7.5279613708136191E-3</v>
          </cell>
          <cell r="T23">
            <v>-2871.7163881249994</v>
          </cell>
          <cell r="U23">
            <v>-7.1896243043474686E-3</v>
          </cell>
          <cell r="V23">
            <v>-2943.5092978281241</v>
          </cell>
          <cell r="W23">
            <v>-7.0251602721174648E-3</v>
          </cell>
          <cell r="X23">
            <v>-3017.0970302738269</v>
          </cell>
          <cell r="Y23">
            <v>-6.9149264320105637E-3</v>
          </cell>
          <cell r="AA23">
            <v>2.5000000000000001E-2</v>
          </cell>
          <cell r="AC23">
            <v>-1.3921903709509017E-3</v>
          </cell>
          <cell r="AE23">
            <v>-1.7337537386457477E-2</v>
          </cell>
          <cell r="AG23">
            <v>-0.12354428109025395</v>
          </cell>
          <cell r="AI23">
            <v>2.9690312272287116E-2</v>
          </cell>
          <cell r="AK23">
            <v>-6.0190073534612414E-2</v>
          </cell>
          <cell r="AW23" t="str">
            <v>% Margin</v>
          </cell>
          <cell r="BI23">
            <v>0.53262639452546379</v>
          </cell>
          <cell r="BK23">
            <v>0.51667717962547566</v>
          </cell>
          <cell r="BM23">
            <v>0.51897080835451059</v>
          </cell>
          <cell r="BO23">
            <v>0.49069015281220701</v>
          </cell>
          <cell r="BQ23">
            <v>0.49509699880052538</v>
          </cell>
          <cell r="BS23">
            <v>0.49049676013574089</v>
          </cell>
          <cell r="BU23">
            <v>0.51577855495283842</v>
          </cell>
          <cell r="BW23">
            <v>0.52950265634122917</v>
          </cell>
          <cell r="BY23">
            <v>0.54319512565729033</v>
          </cell>
        </row>
        <row r="24">
          <cell r="A24" t="str">
            <v>Total Guest Finance</v>
          </cell>
          <cell r="B24">
            <v>-9652.9699999999993</v>
          </cell>
          <cell r="C24">
            <v>-2.4678362322526983E-2</v>
          </cell>
          <cell r="D24">
            <v>-10953.566000000001</v>
          </cell>
          <cell r="E24">
            <v>-2.9461673525455891E-2</v>
          </cell>
          <cell r="F24">
            <v>-8577.348</v>
          </cell>
          <cell r="G24">
            <v>-2.4888129466296052E-2</v>
          </cell>
          <cell r="H24">
            <v>-7124.8670000000002</v>
          </cell>
          <cell r="I24">
            <v>-2.121008840651924E-2</v>
          </cell>
          <cell r="J24">
            <v>-5537.4</v>
          </cell>
          <cell r="K24">
            <v>-1.7757286466513759E-2</v>
          </cell>
          <cell r="L24">
            <v>-6850.7</v>
          </cell>
          <cell r="M24">
            <v>-2.139512819248943E-2</v>
          </cell>
          <cell r="N24">
            <v>-6551.8289999999997</v>
          </cell>
          <cell r="O24">
            <v>-2.017316720583932E-2</v>
          </cell>
          <cell r="P24">
            <v>-6881.692</v>
          </cell>
          <cell r="Q24">
            <v>-1.9836062965398731E-2</v>
          </cell>
          <cell r="R24">
            <v>-7071.2126899831201</v>
          </cell>
          <cell r="S24">
            <v>-1.9E-2</v>
          </cell>
          <cell r="T24">
            <v>-7589.0768508420833</v>
          </cell>
          <cell r="U24">
            <v>-1.9E-2</v>
          </cell>
          <cell r="V24">
            <v>-7960.911138313063</v>
          </cell>
          <cell r="W24">
            <v>-1.9E-2</v>
          </cell>
          <cell r="X24">
            <v>-8290.0149609451601</v>
          </cell>
          <cell r="Y24">
            <v>-1.9E-2</v>
          </cell>
          <cell r="Z24">
            <v>-1.9E-2</v>
          </cell>
          <cell r="AC24">
            <v>-1.1967029429996556</v>
          </cell>
          <cell r="AE24">
            <v>-1.0327431343766673</v>
          </cell>
          <cell r="AG24">
            <v>-0.89217943675755429</v>
          </cell>
          <cell r="AI24">
            <v>-1.1337460188480495</v>
          </cell>
          <cell r="AW24" t="str">
            <v>EBITDAR</v>
          </cell>
          <cell r="BI24">
            <v>149.74498298999998</v>
          </cell>
          <cell r="BK24">
            <v>134.25431146499997</v>
          </cell>
          <cell r="BM24">
            <v>125.58107602499999</v>
          </cell>
          <cell r="BO24">
            <v>111.43601499500001</v>
          </cell>
          <cell r="BQ24">
            <v>99.951092419999981</v>
          </cell>
          <cell r="BS24">
            <v>102.68193154999999</v>
          </cell>
          <cell r="BU24">
            <v>113.78979765999998</v>
          </cell>
          <cell r="BW24">
            <v>125.139543515</v>
          </cell>
          <cell r="BY24">
            <v>140.48136861739167</v>
          </cell>
        </row>
        <row r="25">
          <cell r="A25" t="str">
            <v>Total Other Operating Expenses</v>
          </cell>
          <cell r="B25">
            <v>-538.56799999999998</v>
          </cell>
          <cell r="C25">
            <v>-1.3768794722576279E-3</v>
          </cell>
          <cell r="D25">
            <v>-3195.625</v>
          </cell>
          <cell r="E25">
            <v>-8.5952337768161503E-3</v>
          </cell>
          <cell r="F25">
            <v>-833.68299999999999</v>
          </cell>
          <cell r="G25">
            <v>-2.4190239731266693E-3</v>
          </cell>
          <cell r="H25">
            <v>241.50899999999999</v>
          </cell>
          <cell r="I25">
            <v>7.1895057703814751E-4</v>
          </cell>
          <cell r="J25">
            <v>1159.0420000000001</v>
          </cell>
          <cell r="K25">
            <v>3.7168058693106952E-3</v>
          </cell>
          <cell r="L25">
            <v>1019.3950000000001</v>
          </cell>
          <cell r="M25">
            <v>3.1836289289828433E-3</v>
          </cell>
          <cell r="N25">
            <v>1837.1579999999999</v>
          </cell>
          <cell r="O25">
            <v>5.6566335167699509E-3</v>
          </cell>
          <cell r="P25">
            <v>1842.2530000000002</v>
          </cell>
          <cell r="Q25">
            <v>5.3101833831265205E-3</v>
          </cell>
          <cell r="R25">
            <v>2338</v>
          </cell>
          <cell r="S25">
            <v>6.2820907738961023E-3</v>
          </cell>
          <cell r="T25">
            <v>2451</v>
          </cell>
          <cell r="U25">
            <v>6.136319464841459E-3</v>
          </cell>
          <cell r="V25">
            <v>2660</v>
          </cell>
          <cell r="W25">
            <v>6.3485195503274455E-3</v>
          </cell>
          <cell r="X25">
            <v>2887</v>
          </cell>
          <cell r="Y25">
            <v>6.6167552481408431E-3</v>
          </cell>
          <cell r="Z25" t="str">
            <v>See exhibit</v>
          </cell>
          <cell r="AC25">
            <v>-0.73911738705261099</v>
          </cell>
          <cell r="AE25">
            <v>-1.2896892463922138</v>
          </cell>
          <cell r="AG25">
            <v>3.7991669047530325</v>
          </cell>
          <cell r="AI25">
            <v>-0.12048484869400766</v>
          </cell>
          <cell r="AK25">
            <v>0.80220424859843309</v>
          </cell>
          <cell r="AW25" t="str">
            <v>% Margin</v>
          </cell>
          <cell r="BI25">
            <v>0.38283149602742572</v>
          </cell>
          <cell r="BK25">
            <v>0.36110219208673222</v>
          </cell>
          <cell r="BM25">
            <v>0.36438746319106641</v>
          </cell>
          <cell r="BO25">
            <v>0.33173499655701</v>
          </cell>
          <cell r="BQ25">
            <v>0.32052229940819366</v>
          </cell>
          <cell r="BS25">
            <v>0.32068154912121022</v>
          </cell>
          <cell r="BU25">
            <v>0.3503602756594843</v>
          </cell>
          <cell r="BW25">
            <v>0.36070720174991772</v>
          </cell>
          <cell r="BY25">
            <v>0.37746651398443698</v>
          </cell>
        </row>
        <row r="26">
          <cell r="A26" t="str">
            <v>Total Distribution Costs</v>
          </cell>
          <cell r="B26">
            <v>-1841.6780000000001</v>
          </cell>
          <cell r="C26">
            <v>-4.7083536948138091E-3</v>
          </cell>
          <cell r="D26">
            <v>-2407.3029999999999</v>
          </cell>
          <cell r="E26">
            <v>-6.4748936613748011E-3</v>
          </cell>
          <cell r="F26">
            <v>-1459.8720000000001</v>
          </cell>
          <cell r="G26">
            <v>-4.2359810211991577E-3</v>
          </cell>
          <cell r="H26">
            <v>-1518.855</v>
          </cell>
          <cell r="I26">
            <v>-4.5214947628754026E-3</v>
          </cell>
          <cell r="J26">
            <v>-1584.6869999999999</v>
          </cell>
          <cell r="K26">
            <v>-5.0817605769422989E-3</v>
          </cell>
          <cell r="L26">
            <v>-1439.2539999999999</v>
          </cell>
          <cell r="M26">
            <v>-4.4948726161637758E-3</v>
          </cell>
          <cell r="N26">
            <v>-1394.6680000000001</v>
          </cell>
          <cell r="O26">
            <v>-4.2942010178582983E-3</v>
          </cell>
          <cell r="P26">
            <v>-1501.655</v>
          </cell>
          <cell r="Q26">
            <v>-4.328430149490246E-3</v>
          </cell>
          <cell r="R26">
            <v>-1475.7317274</v>
          </cell>
          <cell r="S26">
            <v>-3.9652184214907177E-3</v>
          </cell>
          <cell r="T26">
            <v>-1533.7707157499999</v>
          </cell>
          <cell r="U26">
            <v>-3.8399457762792908E-3</v>
          </cell>
          <cell r="V26">
            <v>-1547.0378087500001</v>
          </cell>
          <cell r="W26">
            <v>-3.6922555541147018E-3</v>
          </cell>
          <cell r="X26">
            <v>-1556.51430375</v>
          </cell>
          <cell r="Y26">
            <v>-3.5673966706422249E-3</v>
          </cell>
          <cell r="AB26">
            <v>-0.25</v>
          </cell>
          <cell r="AC26">
            <v>-0.20367986920931661</v>
          </cell>
          <cell r="AE26">
            <v>-0.22015668129154875</v>
          </cell>
          <cell r="AG26">
            <v>-0.25532292323058087</v>
          </cell>
          <cell r="AI26">
            <v>-0.23818711848586724</v>
          </cell>
        </row>
        <row r="27">
          <cell r="A27" t="str">
            <v>Total Billboard &amp; Local Adv.</v>
          </cell>
          <cell r="B27">
            <v>-9611.1260000000002</v>
          </cell>
          <cell r="C27">
            <v>-2.4571385776135171E-2</v>
          </cell>
          <cell r="D27">
            <v>-7685.5389999999998</v>
          </cell>
          <cell r="E27">
            <v>-2.0671700967991494E-2</v>
          </cell>
          <cell r="F27">
            <v>-7168.3760000000002</v>
          </cell>
          <cell r="G27">
            <v>-2.0799840457806938E-2</v>
          </cell>
          <cell r="H27">
            <v>-7020.3540000000003</v>
          </cell>
          <cell r="I27">
            <v>-2.0898962603099959E-2</v>
          </cell>
          <cell r="J27">
            <v>-6004.6970000000001</v>
          </cell>
          <cell r="K27">
            <v>-1.925581044779423E-2</v>
          </cell>
          <cell r="L27">
            <v>-5991.384</v>
          </cell>
          <cell r="M27">
            <v>-1.8711435142456989E-2</v>
          </cell>
          <cell r="N27">
            <v>-5755.2970000000005</v>
          </cell>
          <cell r="O27">
            <v>-1.7720634757144214E-2</v>
          </cell>
          <cell r="P27">
            <v>-5700.4459999999999</v>
          </cell>
          <cell r="Q27">
            <v>-1.6431192472266317E-2</v>
          </cell>
          <cell r="R27">
            <v>-5842.9571499999984</v>
          </cell>
          <cell r="S27">
            <v>-1.5699737897470169E-2</v>
          </cell>
          <cell r="T27">
            <v>-5989.0310787499975</v>
          </cell>
          <cell r="U27">
            <v>-1.4994128104477377E-2</v>
          </cell>
          <cell r="V27">
            <v>-6138.7568557187469</v>
          </cell>
          <cell r="W27">
            <v>-1.4651134553848534E-2</v>
          </cell>
          <cell r="X27">
            <v>-6292.2257771117147</v>
          </cell>
          <cell r="Y27">
            <v>-1.4421239325663677E-2</v>
          </cell>
          <cell r="AA27">
            <v>2.5000000000000001E-2</v>
          </cell>
          <cell r="AC27">
            <v>-6.7290400842413209E-2</v>
          </cell>
          <cell r="AE27">
            <v>-2.0649307458202516E-2</v>
          </cell>
          <cell r="AG27">
            <v>-0.14467318884489302</v>
          </cell>
          <cell r="AI27">
            <v>-2.2170977153385262E-3</v>
          </cell>
          <cell r="AK27">
            <v>-3.9404418077692821E-2</v>
          </cell>
        </row>
        <row r="28">
          <cell r="A28" t="str">
            <v>Total Loyalty Costs</v>
          </cell>
          <cell r="B28">
            <v>0</v>
          </cell>
          <cell r="C28">
            <v>0</v>
          </cell>
          <cell r="D28">
            <v>-1304.373</v>
          </cell>
          <cell r="E28">
            <v>-3.5083562267684766E-3</v>
          </cell>
          <cell r="F28">
            <v>-1855.615</v>
          </cell>
          <cell r="G28">
            <v>-5.3842733627691161E-3</v>
          </cell>
          <cell r="H28">
            <v>-2383.8159999999998</v>
          </cell>
          <cell r="I28">
            <v>-7.0964058844712567E-3</v>
          </cell>
          <cell r="J28">
            <v>-2258.4380000000001</v>
          </cell>
          <cell r="K28">
            <v>-7.2423394612743169E-3</v>
          </cell>
          <cell r="L28">
            <v>-2062.0160000000001</v>
          </cell>
          <cell r="M28">
            <v>-6.4397939852809619E-3</v>
          </cell>
          <cell r="N28">
            <v>-1965.7539999999999</v>
          </cell>
          <cell r="O28">
            <v>-6.0525822831376495E-3</v>
          </cell>
          <cell r="P28">
            <v>-2024.9940000000001</v>
          </cell>
          <cell r="Q28">
            <v>-5.8369233160325456E-3</v>
          </cell>
          <cell r="R28">
            <v>-2125.0536874559998</v>
          </cell>
          <cell r="S28">
            <v>-5.709914526946633E-3</v>
          </cell>
          <cell r="T28">
            <v>-2208.6298306799995</v>
          </cell>
          <cell r="U28">
            <v>-5.529521917842178E-3</v>
          </cell>
          <cell r="V28">
            <v>-2227.7344446000002</v>
          </cell>
          <cell r="W28">
            <v>-5.3168479979251709E-3</v>
          </cell>
          <cell r="X28">
            <v>-2241.3805973999997</v>
          </cell>
          <cell r="Y28">
            <v>-5.1370512057248028E-3</v>
          </cell>
          <cell r="AB28">
            <v>-0.36</v>
          </cell>
          <cell r="AC28">
            <v>-0.2588935334761171</v>
          </cell>
          <cell r="AE28">
            <v>-0.34553200889465724</v>
          </cell>
          <cell r="AG28">
            <v>-0.36387689940980561</v>
          </cell>
          <cell r="AI28">
            <v>-0.34125015411578086</v>
          </cell>
        </row>
        <row r="29">
          <cell r="A29" t="str">
            <v>Total R&amp;M</v>
          </cell>
          <cell r="B29">
            <v>-11454.450999999999</v>
          </cell>
          <cell r="C29">
            <v>-2.9283950119355136E-2</v>
          </cell>
          <cell r="D29">
            <v>-11079.592000000001</v>
          </cell>
          <cell r="E29">
            <v>-2.9800644128063217E-2</v>
          </cell>
          <cell r="F29">
            <v>-11592.736000000001</v>
          </cell>
          <cell r="G29">
            <v>-3.3637613215249169E-2</v>
          </cell>
          <cell r="H29">
            <v>-11739.133</v>
          </cell>
          <cell r="I29">
            <v>-3.494634338379754E-2</v>
          </cell>
          <cell r="J29">
            <v>-10936.673999999999</v>
          </cell>
          <cell r="K29">
            <v>-3.5071631669894333E-2</v>
          </cell>
          <cell r="L29">
            <v>-11875.434999999999</v>
          </cell>
          <cell r="M29">
            <v>-3.7087663182824485E-2</v>
          </cell>
          <cell r="N29">
            <v>-11472.124</v>
          </cell>
          <cell r="O29">
            <v>-3.5322819881001506E-2</v>
          </cell>
          <cell r="P29">
            <v>-11961.561</v>
          </cell>
          <cell r="Q29">
            <v>-3.4478479589097825E-2</v>
          </cell>
          <cell r="R29">
            <v>-13025.918113126801</v>
          </cell>
          <cell r="S29">
            <v>-3.5000000000000003E-2</v>
          </cell>
          <cell r="T29">
            <v>-13979.878409445944</v>
          </cell>
          <cell r="U29">
            <v>-3.5000000000000003E-2</v>
          </cell>
          <cell r="V29">
            <v>-14664.836307418802</v>
          </cell>
          <cell r="W29">
            <v>-3.5000000000000003E-2</v>
          </cell>
          <cell r="X29">
            <v>-15271.080191214771</v>
          </cell>
          <cell r="Y29">
            <v>-3.5000000000000003E-2</v>
          </cell>
          <cell r="Z29">
            <v>-3.5000000000000003E-2</v>
          </cell>
          <cell r="AC29">
            <v>-1.6174068358446057</v>
          </cell>
          <cell r="AE29">
            <v>-1.70157688687867</v>
          </cell>
          <cell r="AG29">
            <v>-1.7621041733161751</v>
          </cell>
          <cell r="AI29">
            <v>-1.9653067793566772</v>
          </cell>
        </row>
        <row r="30">
          <cell r="A30" t="str">
            <v>Total Energy</v>
          </cell>
          <cell r="B30">
            <v>-17446.990000000002</v>
          </cell>
          <cell r="C30">
            <v>-4.4604214107938293E-2</v>
          </cell>
          <cell r="D30">
            <v>-18256.791000000001</v>
          </cell>
          <cell r="E30">
            <v>-4.9105069167838251E-2</v>
          </cell>
          <cell r="F30">
            <v>-16882.420999999998</v>
          </cell>
          <cell r="G30">
            <v>-4.8986222729043433E-2</v>
          </cell>
          <cell r="H30">
            <v>-18371.813999999998</v>
          </cell>
          <cell r="I30">
            <v>-5.4691238324607025E-2</v>
          </cell>
          <cell r="J30">
            <v>-16638.219000000001</v>
          </cell>
          <cell r="K30">
            <v>-5.3355296903888488E-2</v>
          </cell>
          <cell r="L30">
            <v>-18551.362000000001</v>
          </cell>
          <cell r="M30">
            <v>-5.7936965293368142E-2</v>
          </cell>
          <cell r="N30">
            <v>-18275.59</v>
          </cell>
          <cell r="O30">
            <v>-5.627078070190248E-2</v>
          </cell>
          <cell r="P30">
            <v>-19199.957999999999</v>
          </cell>
          <cell r="Q30">
            <v>-5.5342723246116082E-2</v>
          </cell>
          <cell r="R30">
            <v>-20159.955900000001</v>
          </cell>
          <cell r="S30">
            <v>-5.4168807939068565E-2</v>
          </cell>
          <cell r="T30">
            <v>-21167.953695</v>
          </cell>
          <cell r="U30">
            <v>-5.2996053157687149E-2</v>
          </cell>
          <cell r="V30">
            <v>-22226.351379750002</v>
          </cell>
          <cell r="W30">
            <v>-5.304677679202642E-2</v>
          </cell>
          <cell r="X30">
            <v>-23337.668948737504</v>
          </cell>
          <cell r="Y30">
            <v>-5.3487926392771903E-2</v>
          </cell>
          <cell r="AA30">
            <v>0.05</v>
          </cell>
          <cell r="AC30">
            <v>-2.3554183525792802</v>
          </cell>
          <cell r="AE30">
            <v>-2.6629780983343463</v>
          </cell>
          <cell r="AG30">
            <v>-2.6807304612397229</v>
          </cell>
          <cell r="AI30">
            <v>-3.0701290104236056</v>
          </cell>
        </row>
        <row r="31">
          <cell r="A31" t="str">
            <v>Total Other Utilities</v>
          </cell>
          <cell r="B31">
            <v>-11740.447</v>
          </cell>
          <cell r="C31">
            <v>-3.0015115026196599E-2</v>
          </cell>
          <cell r="D31">
            <v>-10973.942999999999</v>
          </cell>
          <cell r="E31">
            <v>-2.9516481295037797E-2</v>
          </cell>
          <cell r="F31">
            <v>-10998.856</v>
          </cell>
          <cell r="G31">
            <v>-3.1914404325106914E-2</v>
          </cell>
          <cell r="H31">
            <v>-10746.869000000001</v>
          </cell>
          <cell r="I31">
            <v>-3.1992462678009433E-2</v>
          </cell>
          <cell r="J31">
            <v>-9255.8580000000002</v>
          </cell>
          <cell r="K31">
            <v>-2.9681605446486278E-2</v>
          </cell>
          <cell r="L31">
            <v>-9252.2530000000006</v>
          </cell>
          <cell r="M31">
            <v>-2.8895315661807541E-2</v>
          </cell>
          <cell r="N31">
            <v>-8860.2839999999997</v>
          </cell>
          <cell r="O31">
            <v>-2.7280930351390859E-2</v>
          </cell>
          <cell r="P31">
            <v>-9278.9369999999999</v>
          </cell>
          <cell r="Q31">
            <v>-2.674597738230191E-2</v>
          </cell>
          <cell r="R31">
            <v>-9149.5367098799998</v>
          </cell>
          <cell r="S31">
            <v>-2.4584354213242451E-2</v>
          </cell>
          <cell r="T31">
            <v>-9509.3784376500007</v>
          </cell>
          <cell r="U31">
            <v>-2.3807663812931607E-2</v>
          </cell>
          <cell r="V31">
            <v>-9591.634414250002</v>
          </cell>
          <cell r="W31">
            <v>-2.2891984435511156E-2</v>
          </cell>
          <cell r="X31">
            <v>-9650.3886832500011</v>
          </cell>
          <cell r="Y31">
            <v>-2.2117859357981797E-2</v>
          </cell>
          <cell r="AB31">
            <v>-1.55</v>
          </cell>
          <cell r="AC31">
            <v>-1.5345492971521524</v>
          </cell>
          <cell r="AE31">
            <v>-1.557749102656294</v>
          </cell>
          <cell r="AG31">
            <v>-1.4912930575988557</v>
          </cell>
          <cell r="AI31">
            <v>-1.5311873245252201</v>
          </cell>
          <cell r="BG31">
            <v>69340</v>
          </cell>
        </row>
        <row r="32">
          <cell r="A32" t="str">
            <v>Total Controllable Expenses</v>
          </cell>
          <cell r="B32">
            <v>-86188.796000000002</v>
          </cell>
          <cell r="C32">
            <v>-0.22034651882584994</v>
          </cell>
          <cell r="D32">
            <v>-87000.030999999988</v>
          </cell>
          <cell r="E32">
            <v>-0.23400292745089055</v>
          </cell>
          <cell r="F32">
            <v>-74420.701000000001</v>
          </cell>
          <cell r="G32">
            <v>-0.21593994337882852</v>
          </cell>
          <cell r="H32">
            <v>-79269.824000000008</v>
          </cell>
          <cell r="I32">
            <v>-0.23597913827854203</v>
          </cell>
          <cell r="J32">
            <v>-72493.995999999985</v>
          </cell>
          <cell r="K32">
            <v>-0.23247311988917221</v>
          </cell>
          <cell r="L32">
            <v>-73828.555999999997</v>
          </cell>
          <cell r="M32">
            <v>-0.23057080588646192</v>
          </cell>
          <cell r="N32">
            <v>-71719.271999999997</v>
          </cell>
          <cell r="O32">
            <v>-0.22082457676124792</v>
          </cell>
          <cell r="P32">
            <v>-73806.392000000007</v>
          </cell>
          <cell r="Q32">
            <v>-0.21274248236638624</v>
          </cell>
          <cell r="R32">
            <v>-77350.118080437518</v>
          </cell>
          <cell r="S32">
            <v>-0.20783595515521414</v>
          </cell>
          <cell r="T32">
            <v>-81692.498379191384</v>
          </cell>
          <cell r="U32">
            <v>-0.20452520111618175</v>
          </cell>
          <cell r="V32">
            <v>-84847.746413847999</v>
          </cell>
          <cell r="W32">
            <v>-0.20250284846223288</v>
          </cell>
          <cell r="X32">
            <v>-87788.859612653352</v>
          </cell>
          <cell r="Y32">
            <v>-0.20120450210264074</v>
          </cell>
          <cell r="BG32">
            <v>192381</v>
          </cell>
        </row>
        <row r="33">
          <cell r="A33" t="str">
            <v>CP / GOP</v>
          </cell>
          <cell r="B33">
            <v>208337.43100000001</v>
          </cell>
          <cell r="C33">
            <v>0.53262639452546379</v>
          </cell>
          <cell r="D33">
            <v>192095.59099999999</v>
          </cell>
          <cell r="E33">
            <v>0.51667717962547566</v>
          </cell>
          <cell r="F33">
            <v>178856.07799999998</v>
          </cell>
          <cell r="G33">
            <v>0.51897080835451059</v>
          </cell>
          <cell r="H33">
            <v>164832.03700000001</v>
          </cell>
          <cell r="I33">
            <v>0.49069015281220701</v>
          </cell>
          <cell r="J33">
            <v>154390.15</v>
          </cell>
          <cell r="K33">
            <v>0.49509699880052532</v>
          </cell>
          <cell r="L33">
            <v>157056.603</v>
          </cell>
          <cell r="M33">
            <v>0.49049676013574089</v>
          </cell>
          <cell r="N33">
            <v>167514.24599999998</v>
          </cell>
          <cell r="O33">
            <v>0.51577855495283842</v>
          </cell>
          <cell r="P33">
            <v>183699.467</v>
          </cell>
          <cell r="Q33">
            <v>0.52950265634122917</v>
          </cell>
          <cell r="R33">
            <v>202160.43503604247</v>
          </cell>
          <cell r="S33">
            <v>0.54319512565729033</v>
          </cell>
          <cell r="T33">
            <v>221707.70206864981</v>
          </cell>
          <cell r="U33">
            <v>0.55506702884909298</v>
          </cell>
          <cell r="V33">
            <v>234620.13141781354</v>
          </cell>
          <cell r="W33">
            <v>0.55995883128059543</v>
          </cell>
          <cell r="X33">
            <v>245355.33923921073</v>
          </cell>
          <cell r="Y33">
            <v>0.56233329704552293</v>
          </cell>
          <cell r="BG33">
            <v>0.36043060385381093</v>
          </cell>
        </row>
        <row r="34">
          <cell r="A34" t="str">
            <v>CP% / GOP%</v>
          </cell>
          <cell r="B34">
            <v>0.53262639452546379</v>
          </cell>
          <cell r="D34">
            <v>0.51667717962547566</v>
          </cell>
          <cell r="F34">
            <v>0.51897080835451059</v>
          </cell>
          <cell r="H34">
            <v>0.49069015281220701</v>
          </cell>
          <cell r="J34">
            <v>0.49509699880052532</v>
          </cell>
          <cell r="L34">
            <v>0.49049676013574089</v>
          </cell>
          <cell r="N34">
            <v>0.51577855495283842</v>
          </cell>
          <cell r="P34">
            <v>0.52950265634122917</v>
          </cell>
          <cell r="R34">
            <v>0.54319512565729033</v>
          </cell>
          <cell r="T34">
            <v>0.55506702884909298</v>
          </cell>
          <cell r="V34">
            <v>0.55995883128059543</v>
          </cell>
          <cell r="X34">
            <v>0.56233329704552293</v>
          </cell>
        </row>
        <row r="35">
          <cell r="B35" t="str">
            <v xml:space="preserve"> </v>
          </cell>
          <cell r="D35" t="str">
            <v xml:space="preserve"> </v>
          </cell>
          <cell r="F35" t="str">
            <v xml:space="preserve"> </v>
          </cell>
          <cell r="H35" t="str">
            <v xml:space="preserve"> </v>
          </cell>
          <cell r="J35" t="str">
            <v xml:space="preserve"> </v>
          </cell>
          <cell r="L35" t="str">
            <v xml:space="preserve"> </v>
          </cell>
          <cell r="N35" t="str">
            <v xml:space="preserve"> </v>
          </cell>
          <cell r="P35" t="str">
            <v xml:space="preserve"> </v>
          </cell>
          <cell r="R35" t="str">
            <v xml:space="preserve"> </v>
          </cell>
          <cell r="T35" t="str">
            <v xml:space="preserve"> </v>
          </cell>
          <cell r="V35" t="str">
            <v xml:space="preserve"> </v>
          </cell>
          <cell r="X35" t="str">
            <v xml:space="preserve"> </v>
          </cell>
        </row>
        <row r="36">
          <cell r="A36" t="str">
            <v>Management fees (3 % GPR)</v>
          </cell>
          <cell r="B36">
            <v>-11734.534739999999</v>
          </cell>
          <cell r="C36">
            <v>-0.03</v>
          </cell>
          <cell r="D36">
            <v>-11153.710589999999</v>
          </cell>
          <cell r="E36">
            <v>-2.9999999999999995E-2</v>
          </cell>
          <cell r="F36">
            <v>-10339.083149999999</v>
          </cell>
          <cell r="G36">
            <v>-0.03</v>
          </cell>
          <cell r="H36">
            <v>-10077.563370000002</v>
          </cell>
          <cell r="I36">
            <v>-3.0000000000000002E-2</v>
          </cell>
          <cell r="J36">
            <v>-9355.1455799999985</v>
          </cell>
          <cell r="K36">
            <v>-2.9999999999999995E-2</v>
          </cell>
          <cell r="L36">
            <v>-9605.9718900000007</v>
          </cell>
          <cell r="M36">
            <v>-0.03</v>
          </cell>
          <cell r="N36">
            <v>-9743.3817899999995</v>
          </cell>
          <cell r="O36">
            <v>-0.03</v>
          </cell>
          <cell r="P36">
            <v>-10407.8496</v>
          </cell>
          <cell r="Q36">
            <v>-0.03</v>
          </cell>
          <cell r="R36">
            <v>-11165.072668394399</v>
          </cell>
          <cell r="S36">
            <v>-0.03</v>
          </cell>
          <cell r="T36">
            <v>-11982.752922382237</v>
          </cell>
          <cell r="U36">
            <v>-0.03</v>
          </cell>
          <cell r="V36">
            <v>-12569.859692073258</v>
          </cell>
          <cell r="W36">
            <v>-0.03</v>
          </cell>
          <cell r="X36">
            <v>-13089.497306755517</v>
          </cell>
          <cell r="Y36">
            <v>-0.03</v>
          </cell>
          <cell r="AC36">
            <v>-0.03</v>
          </cell>
          <cell r="AE36">
            <v>-3.0000000000000002E-2</v>
          </cell>
          <cell r="AG36">
            <v>-2.9999999999999995E-2</v>
          </cell>
          <cell r="AI36">
            <v>-0.03</v>
          </cell>
        </row>
        <row r="37">
          <cell r="A37" t="str">
            <v xml:space="preserve">Marketing fees (2% GPR) </v>
          </cell>
          <cell r="B37">
            <v>-7823.0231599999997</v>
          </cell>
          <cell r="C37">
            <v>-0.02</v>
          </cell>
          <cell r="D37">
            <v>-7435.8070600000001</v>
          </cell>
          <cell r="E37">
            <v>-0.02</v>
          </cell>
          <cell r="F37">
            <v>-6892.7221</v>
          </cell>
          <cell r="G37">
            <v>-0.02</v>
          </cell>
          <cell r="H37">
            <v>-6718.3755800000008</v>
          </cell>
          <cell r="I37">
            <v>-0.02</v>
          </cell>
          <cell r="J37">
            <v>-6236.7637199999999</v>
          </cell>
          <cell r="K37">
            <v>-0.02</v>
          </cell>
          <cell r="L37">
            <v>-6403.9812600000005</v>
          </cell>
          <cell r="M37">
            <v>-0.02</v>
          </cell>
          <cell r="N37">
            <v>-6495.5878599999996</v>
          </cell>
          <cell r="O37">
            <v>-0.02</v>
          </cell>
          <cell r="P37">
            <v>-6938.5664000000006</v>
          </cell>
          <cell r="Q37">
            <v>-0.02</v>
          </cell>
          <cell r="R37">
            <v>-7443.3817789296008</v>
          </cell>
          <cell r="S37">
            <v>-0.02</v>
          </cell>
          <cell r="T37">
            <v>-7988.5019482548241</v>
          </cell>
          <cell r="U37">
            <v>-0.02</v>
          </cell>
          <cell r="V37">
            <v>-8379.906461382172</v>
          </cell>
          <cell r="W37">
            <v>-0.02</v>
          </cell>
          <cell r="X37">
            <v>-8726.3315378370116</v>
          </cell>
          <cell r="Y37">
            <v>-0.02</v>
          </cell>
          <cell r="AC37">
            <v>-0.02</v>
          </cell>
          <cell r="AE37">
            <v>-0.02</v>
          </cell>
          <cell r="AG37">
            <v>-0.02</v>
          </cell>
          <cell r="AI37">
            <v>-0.02</v>
          </cell>
        </row>
        <row r="38">
          <cell r="A38" t="str">
            <v>Reservation fees (1.5 % RR)</v>
          </cell>
          <cell r="B38">
            <v>-5867.2673699999996</v>
          </cell>
          <cell r="C38">
            <v>-1.4999999999999999E-2</v>
          </cell>
          <cell r="D38">
            <v>-5576.8552949999994</v>
          </cell>
          <cell r="E38">
            <v>-1.4999999999999998E-2</v>
          </cell>
          <cell r="F38">
            <v>-5169.5415749999993</v>
          </cell>
          <cell r="G38">
            <v>-1.4999999999999999E-2</v>
          </cell>
          <cell r="H38">
            <v>-5038.7816850000008</v>
          </cell>
          <cell r="I38">
            <v>-1.5000000000000001E-2</v>
          </cell>
          <cell r="J38">
            <v>-4558.4177699999991</v>
          </cell>
          <cell r="K38">
            <v>-1.461789471158609E-2</v>
          </cell>
          <cell r="L38">
            <v>-4701.5230950000005</v>
          </cell>
          <cell r="M38">
            <v>-1.468312571233227E-2</v>
          </cell>
          <cell r="N38">
            <v>-4764.3739349999996</v>
          </cell>
          <cell r="O38">
            <v>-1.4669569676177083E-2</v>
          </cell>
          <cell r="P38">
            <v>-5093.4752850000004</v>
          </cell>
          <cell r="Q38">
            <v>-1.4681635921218539E-2</v>
          </cell>
          <cell r="R38">
            <v>-5467.7143331999996</v>
          </cell>
          <cell r="S38">
            <v>-1.4691478942213515E-2</v>
          </cell>
          <cell r="T38">
            <v>-5868.1454076308701</v>
          </cell>
          <cell r="U38">
            <v>-1.4691478942213516E-2</v>
          </cell>
          <cell r="V38">
            <v>-6155.6609657557574</v>
          </cell>
          <cell r="W38">
            <v>-1.4691478942213515E-2</v>
          </cell>
          <cell r="X38">
            <v>-6410.1358015453061</v>
          </cell>
          <cell r="Y38">
            <v>-1.4691478942213515E-2</v>
          </cell>
          <cell r="AC38">
            <v>-1.4999999999999999E-2</v>
          </cell>
          <cell r="AE38">
            <v>-1.5000000000000001E-2</v>
          </cell>
          <cell r="AG38">
            <v>-1.461789471158609E-2</v>
          </cell>
          <cell r="AI38">
            <v>-1.468312571233227E-2</v>
          </cell>
        </row>
        <row r="39">
          <cell r="A39" t="str">
            <v>Service fees (3.5 % GPR)</v>
          </cell>
          <cell r="B39">
            <v>-11734.534739999999</v>
          </cell>
          <cell r="C39">
            <v>-0.03</v>
          </cell>
          <cell r="D39">
            <v>-11153.710589999999</v>
          </cell>
          <cell r="E39">
            <v>-2.9999999999999995E-2</v>
          </cell>
          <cell r="F39">
            <v>-10339.083149999999</v>
          </cell>
          <cell r="G39">
            <v>-0.03</v>
          </cell>
          <cell r="H39">
            <v>-10077.563370000002</v>
          </cell>
          <cell r="I39">
            <v>-3.0000000000000002E-2</v>
          </cell>
          <cell r="J39">
            <v>-10914.336510000001</v>
          </cell>
          <cell r="K39">
            <v>-3.5000000000000003E-2</v>
          </cell>
          <cell r="L39">
            <v>-11206.967205000003</v>
          </cell>
          <cell r="M39">
            <v>-3.5000000000000003E-2</v>
          </cell>
          <cell r="N39">
            <v>-11367.278755000001</v>
          </cell>
          <cell r="O39">
            <v>-3.5000000000000003E-2</v>
          </cell>
          <cell r="P39">
            <v>-12142.491200000002</v>
          </cell>
          <cell r="Q39">
            <v>-3.5000000000000003E-2</v>
          </cell>
          <cell r="R39">
            <v>-13025.918113126801</v>
          </cell>
          <cell r="S39">
            <v>-3.5000000000000003E-2</v>
          </cell>
          <cell r="T39">
            <v>-13979.878409445944</v>
          </cell>
          <cell r="U39">
            <v>-3.5000000000000003E-2</v>
          </cell>
          <cell r="V39">
            <v>-14664.836307418802</v>
          </cell>
          <cell r="W39">
            <v>-3.5000000000000003E-2</v>
          </cell>
          <cell r="X39">
            <v>-15271.080191214771</v>
          </cell>
          <cell r="Y39">
            <v>-3.5000000000000003E-2</v>
          </cell>
          <cell r="AC39">
            <v>-0.03</v>
          </cell>
          <cell r="AE39">
            <v>-3.0000000000000002E-2</v>
          </cell>
          <cell r="AG39">
            <v>-3.5000000000000003E-2</v>
          </cell>
          <cell r="AI39">
            <v>-3.5000000000000003E-2</v>
          </cell>
        </row>
        <row r="40">
          <cell r="A40" t="str">
            <v>Total Fees</v>
          </cell>
          <cell r="B40">
            <v>-37159.360010000004</v>
          </cell>
          <cell r="C40">
            <v>-9.5000000000000015E-2</v>
          </cell>
          <cell r="D40">
            <v>-35320.083534999998</v>
          </cell>
          <cell r="E40">
            <v>-9.4999999999999987E-2</v>
          </cell>
          <cell r="F40">
            <v>-32740.429974999995</v>
          </cell>
          <cell r="G40">
            <v>-9.4999999999999987E-2</v>
          </cell>
          <cell r="H40">
            <v>-31912.284005000009</v>
          </cell>
          <cell r="I40">
            <v>-9.5000000000000015E-2</v>
          </cell>
          <cell r="J40">
            <v>-31064.66358</v>
          </cell>
          <cell r="K40">
            <v>-9.9617894711586094E-2</v>
          </cell>
          <cell r="L40">
            <v>-31918.443450000006</v>
          </cell>
          <cell r="M40">
            <v>-9.9683125712332274E-2</v>
          </cell>
          <cell r="N40">
            <v>-32370.622340000002</v>
          </cell>
          <cell r="O40">
            <v>-9.96695696761771E-2</v>
          </cell>
          <cell r="P40">
            <v>-34582.382485000002</v>
          </cell>
          <cell r="Q40">
            <v>-9.9681635921218537E-2</v>
          </cell>
          <cell r="R40">
            <v>-37102.086893650805</v>
          </cell>
          <cell r="S40">
            <v>-9.9691478942213529E-2</v>
          </cell>
          <cell r="T40">
            <v>-39819.278687713871</v>
          </cell>
          <cell r="U40">
            <v>-9.9691478942213516E-2</v>
          </cell>
          <cell r="V40">
            <v>-41770.263426629986</v>
          </cell>
          <cell r="W40">
            <v>-9.9691478942213516E-2</v>
          </cell>
          <cell r="X40">
            <v>-43497.044837352609</v>
          </cell>
          <cell r="Y40">
            <v>-9.9691478942213529E-2</v>
          </cell>
          <cell r="AC40">
            <v>-9.4999999999999987E-2</v>
          </cell>
          <cell r="AE40">
            <v>-9.5000000000000015E-2</v>
          </cell>
          <cell r="AG40">
            <v>-9.9617894711586094E-2</v>
          </cell>
          <cell r="AI40">
            <v>-9.9683125712332274E-2</v>
          </cell>
        </row>
        <row r="42">
          <cell r="A42" t="str">
            <v>Total Property Tax &amp; Other</v>
          </cell>
          <cell r="B42">
            <v>-19237.367999999999</v>
          </cell>
          <cell r="C42">
            <v>-4.91814164589537E-2</v>
          </cell>
          <cell r="D42">
            <v>-20569.608</v>
          </cell>
          <cell r="E42">
            <v>-5.532582498180097E-2</v>
          </cell>
          <cell r="F42">
            <v>-18282.082999999999</v>
          </cell>
          <cell r="G42">
            <v>-5.3047497736779491E-2</v>
          </cell>
          <cell r="H42">
            <v>-17447.466</v>
          </cell>
          <cell r="I42">
            <v>-5.1939537443960522E-2</v>
          </cell>
          <cell r="J42">
            <v>-18139.916000000001</v>
          </cell>
          <cell r="K42">
            <v>-5.8170925866019504E-2</v>
          </cell>
          <cell r="L42">
            <v>-18280.846000000001</v>
          </cell>
          <cell r="M42">
            <v>-5.7092128342674131E-2</v>
          </cell>
          <cell r="N42">
            <v>-18516.043000000001</v>
          </cell>
          <cell r="O42">
            <v>-5.7011138634648545E-2</v>
          </cell>
          <cell r="P42">
            <v>-19508.960999999999</v>
          </cell>
          <cell r="Q42">
            <v>-5.6233405794026844E-2</v>
          </cell>
          <cell r="R42">
            <v>-19996.685025000002</v>
          </cell>
          <cell r="S42">
            <v>-5.3730107144593184E-2</v>
          </cell>
          <cell r="T42">
            <v>-20496.602150625</v>
          </cell>
          <cell r="U42">
            <v>-5.1315258563848026E-2</v>
          </cell>
          <cell r="V42">
            <v>-21009.017204390624</v>
          </cell>
          <cell r="W42">
            <v>-5.0141412201217865E-2</v>
          </cell>
          <cell r="X42">
            <v>-21534.242634500388</v>
          </cell>
          <cell r="Y42">
            <v>-4.9354628668711029E-2</v>
          </cell>
          <cell r="AA42">
            <v>2.5000000000000001E-2</v>
          </cell>
          <cell r="AC42">
            <v>-0.11120897393863809</v>
          </cell>
          <cell r="AE42">
            <v>-4.5652183069073607E-2</v>
          </cell>
          <cell r="AG42">
            <v>3.9687711671138992E-2</v>
          </cell>
          <cell r="AI42">
            <v>7.7690547188862553E-3</v>
          </cell>
          <cell r="AK42">
            <v>1.2865761245404075E-2</v>
          </cell>
        </row>
        <row r="43">
          <cell r="A43" t="str">
            <v>Total General Insurance</v>
          </cell>
          <cell r="B43">
            <v>-2195.7199999999998</v>
          </cell>
          <cell r="C43">
            <v>-5.6134820390842353E-3</v>
          </cell>
          <cell r="D43">
            <v>-1951.588</v>
          </cell>
          <cell r="E43">
            <v>-5.2491625569424062E-3</v>
          </cell>
          <cell r="F43">
            <v>-2252.489</v>
          </cell>
          <cell r="G43">
            <v>-6.535847426664714E-3</v>
          </cell>
          <cell r="H43">
            <v>-4036.2719999999999</v>
          </cell>
          <cell r="I43">
            <v>-1.2015618811236509E-2</v>
          </cell>
          <cell r="J43">
            <v>-5234.4780000000001</v>
          </cell>
          <cell r="K43">
            <v>-1.6785878814726048E-2</v>
          </cell>
          <cell r="L43">
            <v>-4175.3819999999996</v>
          </cell>
          <cell r="M43">
            <v>-1.3039956959524267E-2</v>
          </cell>
          <cell r="N43">
            <v>-2837.7829999999999</v>
          </cell>
          <cell r="O43">
            <v>-8.7375709825284389E-3</v>
          </cell>
          <cell r="P43">
            <v>-4468.58</v>
          </cell>
          <cell r="Q43">
            <v>-1.2880412876066156E-2</v>
          </cell>
          <cell r="R43">
            <v>-4580.2945</v>
          </cell>
          <cell r="S43">
            <v>-1.2307025586046648E-2</v>
          </cell>
          <cell r="T43">
            <v>-4694.8018624999995</v>
          </cell>
          <cell r="U43">
            <v>-1.1753898022208357E-2</v>
          </cell>
          <cell r="V43">
            <v>-4812.1719090624993</v>
          </cell>
          <cell r="W43">
            <v>-1.1485025354969858E-2</v>
          </cell>
          <cell r="X43">
            <v>-4932.4762067890615</v>
          </cell>
          <cell r="Y43">
            <v>-1.1304810470246401E-2</v>
          </cell>
          <cell r="AA43">
            <v>2.5000000000000001E-2</v>
          </cell>
          <cell r="AC43">
            <v>0.15418264510747148</v>
          </cell>
          <cell r="AE43">
            <v>0.79191640891476045</v>
          </cell>
          <cell r="AG43">
            <v>0.29685957735256696</v>
          </cell>
          <cell r="AI43">
            <v>-0.20233077682244541</v>
          </cell>
          <cell r="AK43">
            <v>-0.32035368260916003</v>
          </cell>
        </row>
        <row r="44">
          <cell r="B44" t="str">
            <v xml:space="preserve"> </v>
          </cell>
          <cell r="D44" t="str">
            <v xml:space="preserve"> </v>
          </cell>
          <cell r="F44" t="str">
            <v xml:space="preserve"> </v>
          </cell>
          <cell r="H44" t="str">
            <v xml:space="preserve"> </v>
          </cell>
          <cell r="J44" t="str">
            <v xml:space="preserve"> </v>
          </cell>
          <cell r="L44" t="str">
            <v xml:space="preserve"> </v>
          </cell>
          <cell r="N44" t="str">
            <v xml:space="preserve"> </v>
          </cell>
          <cell r="P44" t="str">
            <v xml:space="preserve"> </v>
          </cell>
          <cell r="R44" t="str">
            <v xml:space="preserve"> </v>
          </cell>
          <cell r="T44" t="str">
            <v xml:space="preserve"> </v>
          </cell>
          <cell r="V44" t="str">
            <v xml:space="preserve"> </v>
          </cell>
          <cell r="X44" t="str">
            <v xml:space="preserve"> </v>
          </cell>
        </row>
        <row r="45">
          <cell r="A45" t="str">
            <v>EBITDAR / NOP</v>
          </cell>
          <cell r="B45">
            <v>149744.98298999999</v>
          </cell>
          <cell r="C45">
            <v>0.38283149602742578</v>
          </cell>
          <cell r="D45">
            <v>134254.31146499998</v>
          </cell>
          <cell r="E45">
            <v>0.36110219208673222</v>
          </cell>
          <cell r="F45">
            <v>125581.07602499999</v>
          </cell>
          <cell r="G45">
            <v>0.36438746319106641</v>
          </cell>
          <cell r="H45">
            <v>111436.01499500001</v>
          </cell>
          <cell r="I45">
            <v>0.33173499655700994</v>
          </cell>
          <cell r="J45">
            <v>99951.092419999986</v>
          </cell>
          <cell r="K45">
            <v>0.32052229940819366</v>
          </cell>
          <cell r="L45">
            <v>102681.93154999999</v>
          </cell>
          <cell r="M45">
            <v>0.32068154912121022</v>
          </cell>
          <cell r="N45">
            <v>113789.79765999998</v>
          </cell>
          <cell r="O45">
            <v>0.3503602756594843</v>
          </cell>
          <cell r="P45">
            <v>125139.543515</v>
          </cell>
          <cell r="Q45">
            <v>0.36070720174991766</v>
          </cell>
          <cell r="R45">
            <v>140481.36861739168</v>
          </cell>
          <cell r="S45">
            <v>0.37746651398443704</v>
          </cell>
          <cell r="T45">
            <v>156697.01936781095</v>
          </cell>
          <cell r="U45">
            <v>0.39230639332082312</v>
          </cell>
          <cell r="V45">
            <v>167028.67887773045</v>
          </cell>
          <cell r="W45">
            <v>0.39864091478219421</v>
          </cell>
          <cell r="X45">
            <v>175391.57556056869</v>
          </cell>
          <cell r="Y45">
            <v>0.40198237896435196</v>
          </cell>
        </row>
        <row r="47">
          <cell r="A47" t="str">
            <v>Land &amp; Building leases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J47">
            <v>-1675.5759999999991</v>
          </cell>
          <cell r="K47">
            <v>-5.3732226366914508E-3</v>
          </cell>
          <cell r="L47">
            <v>-1936.991</v>
          </cell>
          <cell r="M47">
            <v>-6.0493337546087692E-3</v>
          </cell>
          <cell r="N47">
            <v>-1758</v>
          </cell>
          <cell r="O47">
            <v>-5.4129049991789354E-3</v>
          </cell>
          <cell r="P47">
            <v>-1618</v>
          </cell>
          <cell r="Q47">
            <v>-4.6637876089216353E-3</v>
          </cell>
          <cell r="R47">
            <v>-1658.4499999999998</v>
          </cell>
          <cell r="S47">
            <v>-4.4561734148708251E-3</v>
          </cell>
          <cell r="T47">
            <v>-1699.9112499999997</v>
          </cell>
          <cell r="U47">
            <v>-4.255894937526713E-3</v>
          </cell>
          <cell r="V47">
            <v>-1742.4090312499995</v>
          </cell>
          <cell r="W47">
            <v>-4.1585405261495212E-3</v>
          </cell>
          <cell r="X47">
            <v>-1785.9692570312493</v>
          </cell>
          <cell r="Y47">
            <v>-4.0932876530930798E-3</v>
          </cell>
          <cell r="AA47">
            <v>2.5000000000000001E-2</v>
          </cell>
        </row>
        <row r="48">
          <cell r="A48" t="str">
            <v>Total Rent Expense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-1675.5759999999991</v>
          </cell>
          <cell r="K48">
            <v>-5.3732226366914508E-3</v>
          </cell>
          <cell r="L48">
            <v>-1936.991</v>
          </cell>
          <cell r="M48">
            <v>-6.0493337546087692E-3</v>
          </cell>
          <cell r="N48">
            <v>-1758</v>
          </cell>
          <cell r="O48">
            <v>-5.4129049991789354E-3</v>
          </cell>
          <cell r="P48">
            <v>-1618</v>
          </cell>
          <cell r="Q48">
            <v>-4.6637876089216353E-3</v>
          </cell>
          <cell r="R48">
            <v>-1658.4499999999998</v>
          </cell>
          <cell r="S48">
            <v>-4.4561734148708251E-3</v>
          </cell>
          <cell r="T48">
            <v>-1699.9112499999997</v>
          </cell>
          <cell r="U48">
            <v>-4.255894937526713E-3</v>
          </cell>
          <cell r="V48">
            <v>-1742.4090312499995</v>
          </cell>
          <cell r="W48">
            <v>-4.1585405261495212E-3</v>
          </cell>
          <cell r="X48">
            <v>-1785.9692570312493</v>
          </cell>
          <cell r="Y48">
            <v>-4.0932876530930798E-3</v>
          </cell>
        </row>
        <row r="50">
          <cell r="A50" t="str">
            <v>Lease FF&amp;E</v>
          </cell>
          <cell r="B50">
            <v>-440.61700000000002</v>
          </cell>
          <cell r="C50">
            <v>-1.1264622154077836E-3</v>
          </cell>
          <cell r="D50">
            <v>-358.452</v>
          </cell>
          <cell r="E50">
            <v>-9.6412399382508993E-4</v>
          </cell>
          <cell r="F50">
            <v>-323.91300000000001</v>
          </cell>
          <cell r="G50">
            <v>-9.398696053624446E-4</v>
          </cell>
          <cell r="H50">
            <v>-236.27600000000001</v>
          </cell>
          <cell r="I50">
            <v>-7.0337240657807932E-4</v>
          </cell>
          <cell r="J50">
            <v>-218.12299999999999</v>
          </cell>
          <cell r="K50">
            <v>-6.9947495140957499E-4</v>
          </cell>
          <cell r="L50">
            <v>-218.262</v>
          </cell>
          <cell r="M50">
            <v>-6.8164471799219469E-4</v>
          </cell>
          <cell r="N50">
            <v>-216.79400000000001</v>
          </cell>
          <cell r="O50">
            <v>-6.6751156222525493E-4</v>
          </cell>
          <cell r="P50">
            <v>-178.21199999999999</v>
          </cell>
          <cell r="Q50">
            <v>-5.1368536301677533E-4</v>
          </cell>
          <cell r="R50">
            <v>-178.21199999999999</v>
          </cell>
          <cell r="S50">
            <v>-4.7884686099126266E-4</v>
          </cell>
          <cell r="T50">
            <v>-178.21199999999999</v>
          </cell>
          <cell r="U50">
            <v>-4.4617126253297678E-4</v>
          </cell>
          <cell r="V50">
            <v>-178.21199999999999</v>
          </cell>
          <cell r="W50">
            <v>-4.2533171658005813E-4</v>
          </cell>
          <cell r="X50">
            <v>-178.21199999999999</v>
          </cell>
          <cell r="Y50">
            <v>-4.0844654876400274E-4</v>
          </cell>
        </row>
        <row r="51">
          <cell r="A51" t="str">
            <v>Other Leases</v>
          </cell>
          <cell r="B51">
            <v>-8.4580000000000002</v>
          </cell>
          <cell r="C51">
            <v>-2.1623354110075267E-5</v>
          </cell>
          <cell r="D51">
            <v>-25.061</v>
          </cell>
          <cell r="E51">
            <v>-6.7406267531637643E-5</v>
          </cell>
          <cell r="F51">
            <v>-44.835000000000001</v>
          </cell>
          <cell r="G51">
            <v>-1.3009374046866042E-4</v>
          </cell>
          <cell r="H51">
            <v>-51.643000000000001</v>
          </cell>
          <cell r="I51">
            <v>-1.537365673742223E-4</v>
          </cell>
          <cell r="J51">
            <v>-55.216999999999999</v>
          </cell>
          <cell r="K51">
            <v>-1.7706939842191104E-4</v>
          </cell>
          <cell r="L51">
            <v>-32.406999999999996</v>
          </cell>
          <cell r="M51">
            <v>-1.01208915779994E-4</v>
          </cell>
          <cell r="N51">
            <v>-19.870999999999999</v>
          </cell>
          <cell r="O51">
            <v>-6.1183068963984426E-5</v>
          </cell>
          <cell r="P51">
            <v>-20</v>
          </cell>
          <cell r="Q51">
            <v>-5.7648796154779176E-5</v>
          </cell>
          <cell r="R51">
            <v>-20</v>
          </cell>
          <cell r="S51">
            <v>-5.3739014319042793E-5</v>
          </cell>
          <cell r="T51">
            <v>-20</v>
          </cell>
          <cell r="U51">
            <v>-5.0071966257376251E-5</v>
          </cell>
          <cell r="V51">
            <v>-20</v>
          </cell>
          <cell r="W51">
            <v>-4.7733229701710118E-5</v>
          </cell>
          <cell r="X51">
            <v>-20</v>
          </cell>
          <cell r="Y51">
            <v>-4.5838276745000645E-5</v>
          </cell>
          <cell r="AA51">
            <v>-227</v>
          </cell>
        </row>
        <row r="52">
          <cell r="A52" t="str">
            <v>Total Lease Expense</v>
          </cell>
          <cell r="B52">
            <v>-449.07500000000005</v>
          </cell>
          <cell r="C52">
            <v>-1.1480855695178589E-3</v>
          </cell>
          <cell r="D52">
            <v>-383.51299999999998</v>
          </cell>
          <cell r="E52">
            <v>-1.0315302613567274E-3</v>
          </cell>
          <cell r="F52">
            <v>-368.74799999999999</v>
          </cell>
          <cell r="G52">
            <v>-1.069963345831105E-3</v>
          </cell>
          <cell r="H52">
            <v>-287.91899999999998</v>
          </cell>
          <cell r="I52">
            <v>-8.571089739523016E-4</v>
          </cell>
          <cell r="J52">
            <v>-273.33999999999997</v>
          </cell>
          <cell r="K52">
            <v>-8.7654434983148598E-4</v>
          </cell>
          <cell r="L52">
            <v>-250.66899999999998</v>
          </cell>
          <cell r="M52">
            <v>-7.8285363377218861E-4</v>
          </cell>
          <cell r="N52">
            <v>-236.66500000000002</v>
          </cell>
          <cell r="O52">
            <v>-7.2869463118923933E-4</v>
          </cell>
          <cell r="P52">
            <v>-198.21199999999999</v>
          </cell>
          <cell r="Q52">
            <v>-5.7133415917155447E-4</v>
          </cell>
          <cell r="R52">
            <v>-198.21199999999999</v>
          </cell>
          <cell r="S52">
            <v>-5.3258587531030549E-4</v>
          </cell>
          <cell r="T52">
            <v>-198.21199999999999</v>
          </cell>
          <cell r="U52">
            <v>-4.9624322879035304E-4</v>
          </cell>
          <cell r="V52">
            <v>-198.21199999999999</v>
          </cell>
          <cell r="W52">
            <v>-4.7306494628176826E-4</v>
          </cell>
          <cell r="X52">
            <v>-198.21199999999999</v>
          </cell>
          <cell r="Y52">
            <v>-4.5428482550900339E-4</v>
          </cell>
        </row>
        <row r="54">
          <cell r="A54" t="str">
            <v>EBITDA</v>
          </cell>
          <cell r="B54">
            <v>149295.90798999998</v>
          </cell>
          <cell r="C54">
            <v>0.38168341045790788</v>
          </cell>
          <cell r="D54">
            <v>133870.79846499997</v>
          </cell>
          <cell r="E54">
            <v>0.36007066182537545</v>
          </cell>
          <cell r="F54">
            <v>125212.32802499998</v>
          </cell>
          <cell r="G54">
            <v>0.36331749984523526</v>
          </cell>
          <cell r="H54">
            <v>111148.09599500001</v>
          </cell>
          <cell r="I54">
            <v>0.33087788758305769</v>
          </cell>
          <cell r="J54">
            <v>98002.176419999989</v>
          </cell>
          <cell r="K54">
            <v>0.31427253242167075</v>
          </cell>
          <cell r="L54">
            <v>100494.27155</v>
          </cell>
          <cell r="M54">
            <v>0.31384936173282929</v>
          </cell>
          <cell r="N54">
            <v>111795.13265999999</v>
          </cell>
          <cell r="O54">
            <v>0.34421867602911616</v>
          </cell>
          <cell r="P54">
            <v>123323.331515</v>
          </cell>
          <cell r="Q54">
            <v>0.35547207998182445</v>
          </cell>
          <cell r="R54">
            <v>138624.70661739167</v>
          </cell>
          <cell r="S54">
            <v>0.37247775469425587</v>
          </cell>
          <cell r="T54">
            <v>154798.89611781095</v>
          </cell>
          <cell r="U54">
            <v>0.38755425515450603</v>
          </cell>
          <cell r="V54">
            <v>165088.05784648046</v>
          </cell>
          <cell r="W54">
            <v>0.39400930930976291</v>
          </cell>
          <cell r="X54">
            <v>173407.39430353744</v>
          </cell>
          <cell r="Y54">
            <v>0.39743480648574991</v>
          </cell>
        </row>
        <row r="56">
          <cell r="A56" t="str">
            <v>Capex</v>
          </cell>
          <cell r="J56">
            <v>-53474</v>
          </cell>
          <cell r="K56">
            <v>-0.17147996108468896</v>
          </cell>
          <cell r="L56">
            <v>-61082</v>
          </cell>
          <cell r="M56">
            <v>-0.19076258196295845</v>
          </cell>
          <cell r="N56">
            <v>-60000</v>
          </cell>
          <cell r="O56">
            <v>-0.18474078495491247</v>
          </cell>
          <cell r="P56">
            <v>-40000</v>
          </cell>
          <cell r="Q56">
            <v>-0.11529759230955836</v>
          </cell>
          <cell r="R56">
            <v>-40000</v>
          </cell>
          <cell r="S56">
            <v>-0.10747802863808559</v>
          </cell>
          <cell r="T56">
            <v>-17974.129383573356</v>
          </cell>
          <cell r="U56">
            <v>-4.5000000000000005E-2</v>
          </cell>
          <cell r="V56">
            <v>-18854.789538109886</v>
          </cell>
          <cell r="W56">
            <v>-4.4999999999999998E-2</v>
          </cell>
          <cell r="X56">
            <v>-19634.245960133274</v>
          </cell>
          <cell r="Y56">
            <v>-4.4999999999999998E-2</v>
          </cell>
        </row>
        <row r="58">
          <cell r="A58" t="str">
            <v>Economic NOI</v>
          </cell>
          <cell r="J58">
            <v>44528.176419999989</v>
          </cell>
          <cell r="K58">
            <v>0.14279257133698178</v>
          </cell>
          <cell r="L58">
            <v>39412.271550000005</v>
          </cell>
          <cell r="M58">
            <v>0.12308677976987085</v>
          </cell>
          <cell r="N58">
            <v>51795.132659999988</v>
          </cell>
          <cell r="O58">
            <v>0.15947789107420368</v>
          </cell>
          <cell r="P58">
            <v>83323.331514999998</v>
          </cell>
          <cell r="Q58">
            <v>0.24017448767226612</v>
          </cell>
          <cell r="R58">
            <v>98624.706617391668</v>
          </cell>
          <cell r="S58">
            <v>0.26499972605617028</v>
          </cell>
          <cell r="T58">
            <v>136824.76673423758</v>
          </cell>
          <cell r="U58">
            <v>0.34255425515450605</v>
          </cell>
          <cell r="V58">
            <v>146233.26830837058</v>
          </cell>
          <cell r="W58">
            <v>0.34900930930976293</v>
          </cell>
          <cell r="X58">
            <v>153773.14834340417</v>
          </cell>
          <cell r="Y58">
            <v>0.35243480648574993</v>
          </cell>
        </row>
      </sheetData>
      <sheetData sheetId="12" refreshError="1"/>
      <sheetData sheetId="13" refreshError="1"/>
      <sheetData sheetId="14">
        <row r="1">
          <cell r="J1">
            <v>366</v>
          </cell>
          <cell r="L1">
            <v>365</v>
          </cell>
          <cell r="N1">
            <v>365</v>
          </cell>
          <cell r="P1">
            <v>365</v>
          </cell>
          <cell r="R1">
            <v>366</v>
          </cell>
          <cell r="T1">
            <v>365</v>
          </cell>
          <cell r="V1">
            <v>365</v>
          </cell>
          <cell r="X1">
            <v>365</v>
          </cell>
        </row>
        <row r="3">
          <cell r="A3" t="str">
            <v>($ in 000's, expect per room figures)</v>
          </cell>
          <cell r="Z3" t="str">
            <v>% of revenue</v>
          </cell>
          <cell r="AA3" t="str">
            <v>CPI</v>
          </cell>
          <cell r="AB3" t="str">
            <v>CPRR</v>
          </cell>
          <cell r="AC3">
            <v>2002</v>
          </cell>
          <cell r="AE3" t="str">
            <v>2003 E</v>
          </cell>
          <cell r="AG3" t="str">
            <v>2004 B</v>
          </cell>
          <cell r="AI3" t="str">
            <v>2005 F</v>
          </cell>
          <cell r="AK3" t="str">
            <v>2006 F</v>
          </cell>
          <cell r="AM3" t="str">
            <v>2007 F</v>
          </cell>
          <cell r="AO3" t="str">
            <v>2008 F</v>
          </cell>
          <cell r="AQ3" t="str">
            <v>2009 F</v>
          </cell>
        </row>
        <row r="4">
          <cell r="B4" t="str">
            <v>2000A</v>
          </cell>
          <cell r="D4" t="str">
            <v>2001A</v>
          </cell>
          <cell r="F4" t="str">
            <v>2002A</v>
          </cell>
          <cell r="H4" t="str">
            <v>2003 A</v>
          </cell>
          <cell r="J4" t="str">
            <v>2004 A (1)</v>
          </cell>
          <cell r="L4" t="str">
            <v>2005 A (1)</v>
          </cell>
          <cell r="N4" t="str">
            <v>2006 E</v>
          </cell>
          <cell r="P4" t="str">
            <v>2007 E</v>
          </cell>
          <cell r="R4" t="str">
            <v>2008 E</v>
          </cell>
          <cell r="T4" t="str">
            <v>2009 E</v>
          </cell>
          <cell r="V4" t="str">
            <v>2010 E</v>
          </cell>
          <cell r="X4" t="str">
            <v>2011 E</v>
          </cell>
        </row>
        <row r="5">
          <cell r="A5" t="str">
            <v>Owned and Leased Properties</v>
          </cell>
        </row>
        <row r="7">
          <cell r="A7" t="str">
            <v>Number of Hotels</v>
          </cell>
          <cell r="B7">
            <v>261</v>
          </cell>
          <cell r="D7">
            <v>260</v>
          </cell>
          <cell r="F7">
            <v>259</v>
          </cell>
          <cell r="H7">
            <v>251</v>
          </cell>
          <cell r="J7">
            <v>229</v>
          </cell>
          <cell r="L7">
            <v>226</v>
          </cell>
          <cell r="N7">
            <v>221</v>
          </cell>
          <cell r="P7">
            <v>221</v>
          </cell>
          <cell r="R7">
            <v>221</v>
          </cell>
          <cell r="T7">
            <v>221</v>
          </cell>
          <cell r="V7">
            <v>221</v>
          </cell>
          <cell r="X7">
            <v>221</v>
          </cell>
        </row>
        <row r="8">
          <cell r="A8" t="str">
            <v>Rooms Rented</v>
          </cell>
          <cell r="B8">
            <v>7538529</v>
          </cell>
          <cell r="D8">
            <v>7422397</v>
          </cell>
          <cell r="F8">
            <v>7167483</v>
          </cell>
          <cell r="H8">
            <v>6898973</v>
          </cell>
          <cell r="J8">
            <v>6206599</v>
          </cell>
          <cell r="L8">
            <v>6042535</v>
          </cell>
          <cell r="N8">
            <v>5617235</v>
          </cell>
          <cell r="P8">
            <v>5749532</v>
          </cell>
          <cell r="R8">
            <v>5902926.9095999999</v>
          </cell>
          <cell r="T8">
            <v>6135082.8629999999</v>
          </cell>
          <cell r="V8">
            <v>6188151.2350000003</v>
          </cell>
          <cell r="X8">
            <v>6226057.2149999999</v>
          </cell>
        </row>
        <row r="9">
          <cell r="A9" t="str">
            <v>Rooms Available</v>
          </cell>
          <cell r="B9">
            <v>11074946</v>
          </cell>
          <cell r="D9">
            <v>11116038</v>
          </cell>
          <cell r="F9">
            <v>10941553</v>
          </cell>
          <cell r="H9">
            <v>10928573</v>
          </cell>
          <cell r="J9">
            <v>9844943</v>
          </cell>
          <cell r="L9">
            <v>9707608</v>
          </cell>
          <cell r="N9">
            <v>9427887</v>
          </cell>
          <cell r="P9">
            <v>9476495</v>
          </cell>
          <cell r="R9">
            <v>9502458</v>
          </cell>
          <cell r="T9">
            <v>9476495</v>
          </cell>
          <cell r="V9">
            <v>9476495</v>
          </cell>
          <cell r="X9">
            <v>9476495</v>
          </cell>
        </row>
        <row r="10">
          <cell r="A10" t="str">
            <v>Occupancy</v>
          </cell>
          <cell r="B10">
            <v>0.68068313831959093</v>
          </cell>
          <cell r="D10">
            <v>0.66771964975290654</v>
          </cell>
          <cell r="E10">
            <v>-1.2963488566684389</v>
          </cell>
          <cell r="F10">
            <v>0.65506998869356114</v>
          </cell>
          <cell r="G10">
            <v>-1.2649661059345396</v>
          </cell>
          <cell r="H10">
            <v>0.63127848439132905</v>
          </cell>
          <cell r="I10">
            <v>-2.3791504302232092</v>
          </cell>
          <cell r="J10">
            <v>0.63043523969615667</v>
          </cell>
          <cell r="K10">
            <v>-8.4324469517238487E-2</v>
          </cell>
          <cell r="L10">
            <v>0.62245354365359629</v>
          </cell>
          <cell r="M10">
            <v>-0.79816960425603822</v>
          </cell>
          <cell r="N10">
            <v>0.59581059891786992</v>
          </cell>
          <cell r="O10">
            <v>-2.664294473572637</v>
          </cell>
          <cell r="P10">
            <v>0.60671503546406136</v>
          </cell>
          <cell r="Q10">
            <v>1.0904436546191443</v>
          </cell>
          <cell r="R10">
            <v>0.62119999999999997</v>
          </cell>
          <cell r="S10">
            <v>1.4484964535938616</v>
          </cell>
          <cell r="T10">
            <v>0.64739999999999998</v>
          </cell>
          <cell r="U10">
            <v>2.62</v>
          </cell>
          <cell r="V10">
            <v>0.65300000000000002</v>
          </cell>
          <cell r="W10">
            <v>0.56000000000000494</v>
          </cell>
          <cell r="X10">
            <v>0.65700000000000003</v>
          </cell>
          <cell r="Y10">
            <v>0.40000000000000036</v>
          </cell>
        </row>
        <row r="11">
          <cell r="A11" t="str">
            <v>ADR</v>
          </cell>
          <cell r="B11">
            <v>50.082437037782839</v>
          </cell>
          <cell r="D11">
            <v>48.392866617078013</v>
          </cell>
          <cell r="E11">
            <v>-3.3735786847397052E-2</v>
          </cell>
          <cell r="F11">
            <v>47.367970318171665</v>
          </cell>
          <cell r="G11">
            <v>-2.1178664760988949E-2</v>
          </cell>
          <cell r="H11">
            <v>47.390024283324486</v>
          </cell>
          <cell r="I11">
            <v>4.6558813908817215E-4</v>
          </cell>
          <cell r="J11">
            <v>48.963130693637531</v>
          </cell>
          <cell r="K11">
            <v>3.3194885086112666E-2</v>
          </cell>
          <cell r="L11">
            <v>51.871420355860579</v>
          </cell>
          <cell r="M11">
            <v>5.9397543029268814E-2</v>
          </cell>
          <cell r="N11">
            <v>56.54471087643654</v>
          </cell>
          <cell r="O11">
            <v>9.0093745043323445E-2</v>
          </cell>
          <cell r="P11">
            <v>59.059592850339826</v>
          </cell>
          <cell r="Q11">
            <v>4.4475989618178315E-2</v>
          </cell>
          <cell r="R11">
            <v>61.751448808757246</v>
          </cell>
          <cell r="S11">
            <v>4.5578640632330934E-2</v>
          </cell>
          <cell r="T11">
            <v>63.765999999999998</v>
          </cell>
          <cell r="U11">
            <v>3.2623545359749678E-2</v>
          </cell>
          <cell r="V11">
            <v>66.316640000000007</v>
          </cell>
          <cell r="W11">
            <v>4.0000000000000133E-2</v>
          </cell>
          <cell r="X11">
            <v>68.637722400000001</v>
          </cell>
          <cell r="Y11">
            <v>3.4999999999999913E-2</v>
          </cell>
        </row>
        <row r="12">
          <cell r="A12" t="str">
            <v>REVPAR</v>
          </cell>
          <cell r="B12">
            <v>34.09027041757134</v>
          </cell>
          <cell r="D12">
            <v>32.312867948094457</v>
          </cell>
          <cell r="E12">
            <v>-5.213811588190706E-2</v>
          </cell>
          <cell r="F12">
            <v>31.029335780761652</v>
          </cell>
          <cell r="G12">
            <v>-3.9722013205222055E-2</v>
          </cell>
          <cell r="H12">
            <v>29.916302704845361</v>
          </cell>
          <cell r="I12">
            <v>-3.5870348104788563E-2</v>
          </cell>
          <cell r="J12">
            <v>30.868083035117621</v>
          </cell>
          <cell r="K12">
            <v>3.1814771352681438E-2</v>
          </cell>
          <cell r="L12">
            <v>32.287549414850709</v>
          </cell>
          <cell r="M12">
            <v>4.5984921646031809E-2</v>
          </cell>
          <cell r="N12">
            <v>33.689938052927445</v>
          </cell>
          <cell r="O12">
            <v>4.3434347403018006E-2</v>
          </cell>
          <cell r="P12">
            <v>35.832342970686952</v>
          </cell>
          <cell r="Q12">
            <v>6.3591833098468553E-2</v>
          </cell>
          <cell r="R12">
            <v>38.36</v>
          </cell>
          <cell r="S12">
            <v>7.0541215554361755E-2</v>
          </cell>
          <cell r="T12">
            <v>41.282108399999998</v>
          </cell>
          <cell r="U12">
            <v>7.6175922836287782E-2</v>
          </cell>
          <cell r="V12">
            <v>43.304765920000008</v>
          </cell>
          <cell r="W12">
            <v>4.8995983935743212E-2</v>
          </cell>
          <cell r="X12">
            <v>45.0949836168</v>
          </cell>
          <cell r="Y12">
            <v>4.1339969372128443E-2</v>
          </cell>
        </row>
        <row r="14">
          <cell r="A14" t="str">
            <v>Room Revenue</v>
          </cell>
          <cell r="B14">
            <v>377547.90399999998</v>
          </cell>
          <cell r="D14">
            <v>359191.06800000003</v>
          </cell>
          <cell r="F14">
            <v>339509.12199999997</v>
          </cell>
          <cell r="H14">
            <v>326942.49800000002</v>
          </cell>
          <cell r="J14">
            <v>303894.51799999998</v>
          </cell>
          <cell r="L14">
            <v>313434.87300000002</v>
          </cell>
          <cell r="N14">
            <v>317624.929</v>
          </cell>
          <cell r="P14">
            <v>339565.01900000003</v>
          </cell>
          <cell r="R14">
            <v>364514.28888000001</v>
          </cell>
          <cell r="T14">
            <v>391209.69384205801</v>
          </cell>
          <cell r="V14">
            <v>410377.39771705051</v>
          </cell>
          <cell r="X14">
            <v>427342.38676968712</v>
          </cell>
        </row>
        <row r="15">
          <cell r="A15" t="str">
            <v>Other Revenue</v>
          </cell>
          <cell r="B15">
            <v>13603.254000000001</v>
          </cell>
          <cell r="D15">
            <v>12599.285</v>
          </cell>
          <cell r="F15">
            <v>5126.9830000000002</v>
          </cell>
          <cell r="H15">
            <v>8976.2810000000009</v>
          </cell>
          <cell r="J15">
            <v>7943.6680000000006</v>
          </cell>
          <cell r="L15">
            <v>6764.19</v>
          </cell>
          <cell r="N15">
            <v>7154.4639999999999</v>
          </cell>
          <cell r="P15">
            <v>7363.3009999999995</v>
          </cell>
          <cell r="R15">
            <v>7654.8000664800011</v>
          </cell>
          <cell r="T15">
            <v>8215.4035706832183</v>
          </cell>
          <cell r="V15">
            <v>8617.9253520580605</v>
          </cell>
          <cell r="X15">
            <v>8974.1901221634307</v>
          </cell>
          <cell r="Z15">
            <v>2.1000000000000001E-2</v>
          </cell>
          <cell r="AC15">
            <v>1.5101164203770645E-2</v>
          </cell>
          <cell r="AE15">
            <v>2.7455228533795568E-2</v>
          </cell>
          <cell r="AG15">
            <v>2.613955675238604E-2</v>
          </cell>
          <cell r="AI15">
            <v>2.1580846876601376E-2</v>
          </cell>
        </row>
        <row r="16">
          <cell r="A16" t="str">
            <v xml:space="preserve">     Total Revenue</v>
          </cell>
          <cell r="B16">
            <v>391151.158</v>
          </cell>
          <cell r="D16">
            <v>371790.353</v>
          </cell>
          <cell r="E16">
            <v>-4.9496990112451601E-2</v>
          </cell>
          <cell r="F16">
            <v>344636.10499999998</v>
          </cell>
          <cell r="G16">
            <v>-7.3036451271235703E-2</v>
          </cell>
          <cell r="H16">
            <v>335918.77900000004</v>
          </cell>
          <cell r="I16">
            <v>-2.5294291206082262E-2</v>
          </cell>
          <cell r="J16">
            <v>311838.18599999999</v>
          </cell>
          <cell r="K16">
            <v>-7.1685760086666814E-2</v>
          </cell>
          <cell r="L16">
            <v>320199.06300000002</v>
          </cell>
          <cell r="M16">
            <v>2.681158810999509E-2</v>
          </cell>
          <cell r="N16">
            <v>324779.39299999998</v>
          </cell>
          <cell r="O16">
            <v>1.4304632740289929E-2</v>
          </cell>
          <cell r="P16">
            <v>346928.32</v>
          </cell>
          <cell r="Q16">
            <v>6.819683599815099E-2</v>
          </cell>
          <cell r="R16">
            <v>372169.08894648001</v>
          </cell>
          <cell r="S16">
            <v>7.2754997189275306E-2</v>
          </cell>
          <cell r="T16">
            <v>399425.09741274122</v>
          </cell>
          <cell r="U16">
            <v>7.3235551462418128E-2</v>
          </cell>
          <cell r="V16">
            <v>418995.32306910859</v>
          </cell>
          <cell r="W16">
            <v>4.8995983935743302E-2</v>
          </cell>
          <cell r="X16">
            <v>436316.57689185056</v>
          </cell>
          <cell r="Y16">
            <v>4.1339969372128346E-2</v>
          </cell>
        </row>
        <row r="18">
          <cell r="A18" t="str">
            <v>Salaries &amp; Wages</v>
          </cell>
          <cell r="B18">
            <v>-78737.596999999994</v>
          </cell>
          <cell r="C18">
            <v>-0.20129710826524</v>
          </cell>
          <cell r="D18">
            <v>-75807.857000000004</v>
          </cell>
          <cell r="E18">
            <v>-0.2038994728838486</v>
          </cell>
          <cell r="F18">
            <v>-74448.653999999995</v>
          </cell>
          <cell r="G18">
            <v>-0.21602105211814646</v>
          </cell>
          <cell r="H18">
            <v>-75216.822</v>
          </cell>
          <cell r="I18">
            <v>-0.22391371576163055</v>
          </cell>
          <cell r="J18">
            <v>-66743.914000000004</v>
          </cell>
          <cell r="K18">
            <v>-0.21403380662302854</v>
          </cell>
          <cell r="L18">
            <v>-68772.820000000007</v>
          </cell>
          <cell r="M18">
            <v>-0.21478145299881782</v>
          </cell>
          <cell r="N18">
            <v>-68215.285999999993</v>
          </cell>
          <cell r="O18">
            <v>-0.21003575802606417</v>
          </cell>
          <cell r="P18">
            <v>-70975.761000000013</v>
          </cell>
          <cell r="Q18">
            <v>-0.20458335889096632</v>
          </cell>
          <cell r="R18">
            <v>-73105.033830000015</v>
          </cell>
          <cell r="S18">
            <v>-0.19642962298922392</v>
          </cell>
          <cell r="T18">
            <v>-75298.184844900024</v>
          </cell>
          <cell r="U18">
            <v>-0.18851640853977569</v>
          </cell>
          <cell r="V18">
            <v>-77557.130390247024</v>
          </cell>
          <cell r="W18">
            <v>-0.18510261599615718</v>
          </cell>
          <cell r="X18">
            <v>-79883.844301954436</v>
          </cell>
          <cell r="Y18">
            <v>-0.18308688812837651</v>
          </cell>
          <cell r="AA18">
            <v>0.03</v>
          </cell>
          <cell r="AC18">
            <v>-1.7929579515748726E-2</v>
          </cell>
          <cell r="AE18">
            <v>1.0318091177310005E-2</v>
          </cell>
          <cell r="AG18">
            <v>-0.11264645028475141</v>
          </cell>
          <cell r="AI18">
            <v>3.0398367108048271E-2</v>
          </cell>
          <cell r="AK18">
            <v>-8.1068945551456828E-3</v>
          </cell>
        </row>
        <row r="19">
          <cell r="A19" t="str">
            <v>Payroll Taxes &amp; Benefits</v>
          </cell>
          <cell r="B19">
            <v>-17887.333999999999</v>
          </cell>
          <cell r="C19">
            <v>-4.5729978383446328E-2</v>
          </cell>
          <cell r="D19">
            <v>-16886.874</v>
          </cell>
          <cell r="E19">
            <v>-4.5420420039785164E-2</v>
          </cell>
          <cell r="F19">
            <v>-16910.671999999999</v>
          </cell>
          <cell r="G19">
            <v>-4.9068196148514383E-2</v>
          </cell>
          <cell r="H19">
            <v>-16600.096000000001</v>
          </cell>
          <cell r="I19">
            <v>-4.9416993147620367E-2</v>
          </cell>
          <cell r="J19">
            <v>-18210.126</v>
          </cell>
          <cell r="K19">
            <v>-5.8396074687273869E-2</v>
          </cell>
          <cell r="L19">
            <v>-20541.084000000003</v>
          </cell>
          <cell r="M19">
            <v>-6.4150980978979324E-2</v>
          </cell>
          <cell r="N19">
            <v>-17330.589</v>
          </cell>
          <cell r="O19">
            <v>-5.3361110259849527E-2</v>
          </cell>
          <cell r="P19">
            <v>-18446.7</v>
          </cell>
          <cell r="Q19">
            <v>-5.3171502401418255E-2</v>
          </cell>
          <cell r="R19">
            <v>-19553.502</v>
          </cell>
          <cell r="S19">
            <v>-5.2539296198271593E-2</v>
          </cell>
          <cell r="T19">
            <v>-20726.71212</v>
          </cell>
          <cell r="U19">
            <v>-5.1891361494949571E-2</v>
          </cell>
          <cell r="V19">
            <v>-21970.314847200007</v>
          </cell>
          <cell r="W19">
            <v>-5.2435704261014508E-2</v>
          </cell>
          <cell r="X19">
            <v>-23288.533738032009</v>
          </cell>
          <cell r="Y19">
            <v>-5.3375312723459779E-2</v>
          </cell>
          <cell r="AA19">
            <v>0.06</v>
          </cell>
          <cell r="AC19">
            <v>0.22714543637014578</v>
          </cell>
          <cell r="AE19">
            <v>0.22069658832435118</v>
          </cell>
          <cell r="AG19">
            <v>0.27283575248523784</v>
          </cell>
          <cell r="AI19">
            <v>0.29868026351107896</v>
          </cell>
          <cell r="AK19">
            <v>0.25405726511210408</v>
          </cell>
        </row>
        <row r="20">
          <cell r="A20" t="str">
            <v xml:space="preserve">     Total Personnel Costs</v>
          </cell>
          <cell r="B20">
            <v>-96624.930999999997</v>
          </cell>
          <cell r="C20">
            <v>-0.24702708664868633</v>
          </cell>
          <cell r="D20">
            <v>-92694.731</v>
          </cell>
          <cell r="E20">
            <v>-0.24931989292363377</v>
          </cell>
          <cell r="F20">
            <v>-91359.326000000001</v>
          </cell>
          <cell r="G20">
            <v>-0.26508924826666086</v>
          </cell>
          <cell r="H20">
            <v>-91816.918000000005</v>
          </cell>
          <cell r="I20">
            <v>-0.27333070890925093</v>
          </cell>
          <cell r="J20">
            <v>-84954.040000000008</v>
          </cell>
          <cell r="K20">
            <v>-0.27242988131030244</v>
          </cell>
          <cell r="L20">
            <v>-89313.90400000001</v>
          </cell>
          <cell r="M20">
            <v>-0.2789324339777971</v>
          </cell>
          <cell r="N20">
            <v>-85545.875</v>
          </cell>
          <cell r="O20">
            <v>-0.26339686828591369</v>
          </cell>
          <cell r="P20">
            <v>-89422.46100000001</v>
          </cell>
          <cell r="Q20">
            <v>-0.25775486129238456</v>
          </cell>
          <cell r="R20">
            <v>-92658.535830000008</v>
          </cell>
          <cell r="S20">
            <v>-0.2489689191874955</v>
          </cell>
          <cell r="T20">
            <v>-96024.896964900021</v>
          </cell>
          <cell r="U20">
            <v>-0.24040777003472524</v>
          </cell>
          <cell r="V20">
            <v>-99527.445237447027</v>
          </cell>
          <cell r="W20">
            <v>-0.23753832025717167</v>
          </cell>
          <cell r="X20">
            <v>-103172.37803998645</v>
          </cell>
          <cell r="Y20">
            <v>-0.23646220085183631</v>
          </cell>
          <cell r="AC20">
            <v>1.4092602337175528E-3</v>
          </cell>
          <cell r="AE20">
            <v>-1.8365680559589669E-2</v>
          </cell>
          <cell r="AG20">
            <v>9.6989198134757704E-2</v>
          </cell>
          <cell r="AI20">
            <v>0.12800339767006566</v>
          </cell>
          <cell r="AK20">
            <v>-0.1562962792031814</v>
          </cell>
        </row>
        <row r="21">
          <cell r="B21" t="str">
            <v xml:space="preserve"> </v>
          </cell>
          <cell r="D21" t="str">
            <v xml:space="preserve"> </v>
          </cell>
          <cell r="F21" t="str">
            <v xml:space="preserve"> </v>
          </cell>
          <cell r="H21" t="str">
            <v xml:space="preserve"> </v>
          </cell>
          <cell r="J21" t="str">
            <v xml:space="preserve"> </v>
          </cell>
          <cell r="L21" t="str">
            <v xml:space="preserve"> </v>
          </cell>
          <cell r="N21" t="str">
            <v xml:space="preserve"> </v>
          </cell>
          <cell r="P21" t="str">
            <v xml:space="preserve"> </v>
          </cell>
          <cell r="R21" t="str">
            <v xml:space="preserve"> </v>
          </cell>
          <cell r="T21" t="str">
            <v xml:space="preserve"> </v>
          </cell>
          <cell r="V21" t="str">
            <v xml:space="preserve"> </v>
          </cell>
          <cell r="X21" t="str">
            <v xml:space="preserve"> </v>
          </cell>
        </row>
        <row r="22">
          <cell r="A22" t="str">
            <v>Energy</v>
          </cell>
          <cell r="B22">
            <v>-17446.990000000002</v>
          </cell>
          <cell r="C22">
            <v>-4.4604214107938293E-2</v>
          </cell>
          <cell r="D22">
            <v>-18256.791000000001</v>
          </cell>
          <cell r="E22">
            <v>-4.9105069167838251E-2</v>
          </cell>
          <cell r="F22">
            <v>-16882.420999999998</v>
          </cell>
          <cell r="G22">
            <v>-4.8986222729043433E-2</v>
          </cell>
          <cell r="H22">
            <v>-18371.813999999998</v>
          </cell>
          <cell r="I22">
            <v>-5.4691238324607025E-2</v>
          </cell>
          <cell r="J22">
            <v>-16638.219000000001</v>
          </cell>
          <cell r="K22">
            <v>-5.3355296903888488E-2</v>
          </cell>
          <cell r="L22">
            <v>-18551.362000000001</v>
          </cell>
          <cell r="M22">
            <v>-5.7936965293368142E-2</v>
          </cell>
          <cell r="N22">
            <v>-18275.59</v>
          </cell>
          <cell r="O22">
            <v>-5.627078070190248E-2</v>
          </cell>
          <cell r="P22">
            <v>-19199.957999999999</v>
          </cell>
          <cell r="Q22">
            <v>-5.5342723246116082E-2</v>
          </cell>
          <cell r="R22">
            <v>-20159.955900000001</v>
          </cell>
          <cell r="S22">
            <v>-5.4168807939068565E-2</v>
          </cell>
          <cell r="T22">
            <v>-21167.953695</v>
          </cell>
          <cell r="U22">
            <v>-5.2996053157687149E-2</v>
          </cell>
          <cell r="V22">
            <v>-22226.351379750002</v>
          </cell>
          <cell r="W22">
            <v>-5.304677679202642E-2</v>
          </cell>
          <cell r="X22">
            <v>-23337.668948737504</v>
          </cell>
          <cell r="Y22">
            <v>-5.3487926392771903E-2</v>
          </cell>
          <cell r="Z22">
            <v>-4.4999999999999998E-2</v>
          </cell>
          <cell r="AC22">
            <v>-4.8986222729043433E-2</v>
          </cell>
          <cell r="AE22">
            <v>-5.4691238324607025E-2</v>
          </cell>
          <cell r="AG22">
            <v>-5.3355296903888488E-2</v>
          </cell>
          <cell r="AI22">
            <v>-5.7936965293368142E-2</v>
          </cell>
        </row>
        <row r="23">
          <cell r="A23" t="str">
            <v>Supplies &amp; Cost of Sales</v>
          </cell>
          <cell r="B23">
            <v>-17692.772000000001</v>
          </cell>
          <cell r="C23">
            <v>-4.5232569655335141E-2</v>
          </cell>
          <cell r="D23">
            <v>-17204.702000000001</v>
          </cell>
          <cell r="E23">
            <v>-4.6275278153868615E-2</v>
          </cell>
          <cell r="F23">
            <v>-11045.963</v>
          </cell>
          <cell r="G23">
            <v>-3.2051090526339372E-2</v>
          </cell>
          <cell r="H23">
            <v>-16315.939</v>
          </cell>
          <cell r="I23">
            <v>-4.8571083309397238E-2</v>
          </cell>
          <cell r="J23">
            <v>-14334.479000000001</v>
          </cell>
          <cell r="K23">
            <v>-4.5967683380508127E-2</v>
          </cell>
          <cell r="L23">
            <v>-14122.607</v>
          </cell>
          <cell r="M23">
            <v>-4.4105709953311131E-2</v>
          </cell>
          <cell r="N23">
            <v>-14617.374</v>
          </cell>
          <cell r="O23">
            <v>-4.5007085778992144E-2</v>
          </cell>
          <cell r="P23">
            <v>-15108.29</v>
          </cell>
          <cell r="Q23">
            <v>-4.3548736522864437E-2</v>
          </cell>
          <cell r="R23">
            <v>-16747.609002591598</v>
          </cell>
          <cell r="S23">
            <v>-4.4999999999999991E-2</v>
          </cell>
          <cell r="T23">
            <v>-17974.129383573356</v>
          </cell>
          <cell r="U23">
            <v>-4.5000000000000005E-2</v>
          </cell>
          <cell r="V23">
            <v>-18854.789538109886</v>
          </cell>
          <cell r="W23">
            <v>-4.4999999999999998E-2</v>
          </cell>
          <cell r="X23">
            <v>-19634.245960133274</v>
          </cell>
          <cell r="Y23">
            <v>-4.4999999999999998E-2</v>
          </cell>
          <cell r="AA23">
            <v>2.5000000000000001E-2</v>
          </cell>
        </row>
        <row r="24">
          <cell r="A24" t="str">
            <v>R&amp;M</v>
          </cell>
          <cell r="B24">
            <v>-11454.450999999999</v>
          </cell>
          <cell r="C24">
            <v>-2.9283950119355136E-2</v>
          </cell>
          <cell r="D24">
            <v>-11079.592000000001</v>
          </cell>
          <cell r="E24">
            <v>-2.9800644128063217E-2</v>
          </cell>
          <cell r="F24">
            <v>-11592.736000000001</v>
          </cell>
          <cell r="G24">
            <v>-3.3637613215249169E-2</v>
          </cell>
          <cell r="H24">
            <v>-11739.133</v>
          </cell>
          <cell r="I24">
            <v>-3.494634338379754E-2</v>
          </cell>
          <cell r="J24">
            <v>-10936.673999999999</v>
          </cell>
          <cell r="K24">
            <v>-3.5071631669894333E-2</v>
          </cell>
          <cell r="L24">
            <v>-11875.434999999999</v>
          </cell>
          <cell r="M24">
            <v>-3.7087663182824485E-2</v>
          </cell>
          <cell r="N24">
            <v>-11472.124</v>
          </cell>
          <cell r="O24">
            <v>-3.5322819881001506E-2</v>
          </cell>
          <cell r="P24">
            <v>-11961.561</v>
          </cell>
          <cell r="Q24">
            <v>-3.4478479589097825E-2</v>
          </cell>
          <cell r="R24">
            <v>-13025.918113126801</v>
          </cell>
          <cell r="S24">
            <v>-3.5000000000000003E-2</v>
          </cell>
          <cell r="T24">
            <v>-13979.878409445944</v>
          </cell>
          <cell r="U24">
            <v>-3.5000000000000003E-2</v>
          </cell>
          <cell r="V24">
            <v>-14664.836307418802</v>
          </cell>
          <cell r="W24">
            <v>-3.5000000000000003E-2</v>
          </cell>
          <cell r="X24">
            <v>-15271.080191214771</v>
          </cell>
          <cell r="Y24">
            <v>-3.5000000000000003E-2</v>
          </cell>
        </row>
        <row r="25">
          <cell r="A25" t="str">
            <v>Other Utilities</v>
          </cell>
          <cell r="B25">
            <v>-11740.447</v>
          </cell>
          <cell r="C25">
            <v>-3.0015115026196599E-2</v>
          </cell>
          <cell r="D25">
            <v>-10973.942999999999</v>
          </cell>
          <cell r="E25">
            <v>-2.9516481295037797E-2</v>
          </cell>
          <cell r="F25">
            <v>-10998.856</v>
          </cell>
          <cell r="G25">
            <v>-3.1914404325106914E-2</v>
          </cell>
          <cell r="H25">
            <v>-10746.869000000001</v>
          </cell>
          <cell r="I25">
            <v>-3.1992462678009433E-2</v>
          </cell>
          <cell r="J25">
            <v>-9255.8580000000002</v>
          </cell>
          <cell r="K25">
            <v>-2.9681605446486278E-2</v>
          </cell>
          <cell r="L25">
            <v>-9252.2530000000006</v>
          </cell>
          <cell r="M25">
            <v>-2.8895315661807541E-2</v>
          </cell>
          <cell r="N25">
            <v>-8860.2839999999997</v>
          </cell>
          <cell r="O25">
            <v>-2.7280930351390859E-2</v>
          </cell>
          <cell r="P25">
            <v>-9278.9369999999999</v>
          </cell>
          <cell r="Q25">
            <v>-2.674597738230191E-2</v>
          </cell>
          <cell r="R25">
            <v>-9149.5367098799998</v>
          </cell>
          <cell r="S25">
            <v>-2.4584354213242451E-2</v>
          </cell>
          <cell r="T25">
            <v>-9509.3784376500007</v>
          </cell>
          <cell r="U25">
            <v>-2.3807663812931607E-2</v>
          </cell>
          <cell r="V25">
            <v>-9591.634414250002</v>
          </cell>
          <cell r="W25">
            <v>-2.2891984435511156E-2</v>
          </cell>
          <cell r="X25">
            <v>-9650.3886832500011</v>
          </cell>
          <cell r="Y25">
            <v>-2.2117859357981797E-2</v>
          </cell>
          <cell r="AA25">
            <v>2.5000000000000001E-2</v>
          </cell>
          <cell r="AC25">
            <v>2.2701958630549171E-3</v>
          </cell>
          <cell r="AE25">
            <v>-2.2910291761252186E-2</v>
          </cell>
          <cell r="AG25">
            <v>-0.13873910624573541</v>
          </cell>
          <cell r="AI25">
            <v>-3.8948307115337804E-4</v>
          </cell>
          <cell r="AK25">
            <v>-4.2364708358061644E-2</v>
          </cell>
        </row>
        <row r="26">
          <cell r="A26" t="str">
            <v>Billboard &amp; Local Adv.</v>
          </cell>
          <cell r="B26">
            <v>-9611.1260000000002</v>
          </cell>
          <cell r="C26">
            <v>-2.4571385776135171E-2</v>
          </cell>
          <cell r="D26">
            <v>-7685.5389999999998</v>
          </cell>
          <cell r="E26">
            <v>-2.0671700967991494E-2</v>
          </cell>
          <cell r="F26">
            <v>-7168.3760000000002</v>
          </cell>
          <cell r="G26">
            <v>-2.0799840457806938E-2</v>
          </cell>
          <cell r="H26">
            <v>-7020.3540000000003</v>
          </cell>
          <cell r="I26">
            <v>-2.0898962603099959E-2</v>
          </cell>
          <cell r="J26">
            <v>-6004.6970000000001</v>
          </cell>
          <cell r="K26">
            <v>-1.925581044779423E-2</v>
          </cell>
          <cell r="L26">
            <v>-5991.384</v>
          </cell>
          <cell r="M26">
            <v>-1.8711435142456989E-2</v>
          </cell>
          <cell r="N26">
            <v>-5755.2970000000005</v>
          </cell>
          <cell r="O26">
            <v>-1.7720634757144214E-2</v>
          </cell>
          <cell r="P26">
            <v>-5700.4459999999999</v>
          </cell>
          <cell r="Q26">
            <v>-1.6431192472266317E-2</v>
          </cell>
          <cell r="R26">
            <v>-5842.9571499999984</v>
          </cell>
          <cell r="S26">
            <v>-1.5699737897470169E-2</v>
          </cell>
          <cell r="T26">
            <v>-5989.0310787499975</v>
          </cell>
          <cell r="U26">
            <v>-1.4994128104477377E-2</v>
          </cell>
          <cell r="V26">
            <v>-6138.7568557187469</v>
          </cell>
          <cell r="W26">
            <v>-1.4651134553848534E-2</v>
          </cell>
          <cell r="X26">
            <v>-6292.2257771117147</v>
          </cell>
          <cell r="Y26">
            <v>-1.4421239325663677E-2</v>
          </cell>
          <cell r="Z26">
            <v>-1.9E-2</v>
          </cell>
          <cell r="AC26">
            <v>-1.0001245904594402</v>
          </cell>
          <cell r="AE26">
            <v>-1.0175940679866409</v>
          </cell>
          <cell r="AG26">
            <v>-0.96746978498208114</v>
          </cell>
          <cell r="AI26">
            <v>-0.99153484423342197</v>
          </cell>
        </row>
        <row r="27">
          <cell r="A27" t="str">
            <v>Guest Finance</v>
          </cell>
          <cell r="B27">
            <v>-9652.9699999999993</v>
          </cell>
          <cell r="C27">
            <v>-2.4678362322526983E-2</v>
          </cell>
          <cell r="D27">
            <v>-10953.566000000001</v>
          </cell>
          <cell r="E27">
            <v>-2.9461673525455891E-2</v>
          </cell>
          <cell r="F27">
            <v>-8577.348</v>
          </cell>
          <cell r="G27">
            <v>-2.4888129466296052E-2</v>
          </cell>
          <cell r="H27">
            <v>-7124.8670000000002</v>
          </cell>
          <cell r="I27">
            <v>-2.121008840651924E-2</v>
          </cell>
          <cell r="J27">
            <v>-5537.4</v>
          </cell>
          <cell r="K27">
            <v>-1.7757286466513759E-2</v>
          </cell>
          <cell r="L27">
            <v>-6850.7</v>
          </cell>
          <cell r="M27">
            <v>-2.139512819248943E-2</v>
          </cell>
          <cell r="N27">
            <v>-6551.8289999999997</v>
          </cell>
          <cell r="O27">
            <v>-2.017316720583932E-2</v>
          </cell>
          <cell r="P27">
            <v>-6881.692</v>
          </cell>
          <cell r="Q27">
            <v>-1.9836062965398731E-2</v>
          </cell>
          <cell r="R27">
            <v>-7071.2126899831201</v>
          </cell>
          <cell r="S27">
            <v>-1.9E-2</v>
          </cell>
          <cell r="T27">
            <v>-7589.0768508420833</v>
          </cell>
          <cell r="U27">
            <v>-1.9E-2</v>
          </cell>
          <cell r="V27">
            <v>-7960.911138313063</v>
          </cell>
          <cell r="W27">
            <v>-1.9E-2</v>
          </cell>
          <cell r="X27">
            <v>-8290.0149609451601</v>
          </cell>
          <cell r="Y27">
            <v>-1.9E-2</v>
          </cell>
          <cell r="Z27" t="str">
            <v>See exhibit</v>
          </cell>
          <cell r="AC27">
            <v>-0.21693556235476197</v>
          </cell>
          <cell r="AE27">
            <v>-0.16933917103514975</v>
          </cell>
          <cell r="AG27">
            <v>-0.22280654502041941</v>
          </cell>
          <cell r="AI27">
            <v>0.23716906851591005</v>
          </cell>
          <cell r="AK27">
            <v>-4.3626344753090941E-2</v>
          </cell>
        </row>
        <row r="28">
          <cell r="A28" t="str">
            <v>Legal Expenses</v>
          </cell>
          <cell r="B28">
            <v>-0.57799999999999996</v>
          </cell>
          <cell r="C28">
            <v>-1.4776896045901518E-6</v>
          </cell>
          <cell r="D28">
            <v>-0.311</v>
          </cell>
          <cell r="E28">
            <v>-8.3649292535570441E-7</v>
          </cell>
          <cell r="F28">
            <v>-0.29699999999999999</v>
          </cell>
          <cell r="G28">
            <v>-8.6177854174622822E-7</v>
          </cell>
          <cell r="H28">
            <v>-12.082000000000001</v>
          </cell>
          <cell r="I28">
            <v>-3.5967027612945686E-5</v>
          </cell>
          <cell r="J28">
            <v>-3521.011</v>
          </cell>
          <cell r="K28">
            <v>-1.1291147646683656E-2</v>
          </cell>
          <cell r="L28">
            <v>-582.42999999999995</v>
          </cell>
          <cell r="M28">
            <v>-1.8189622247582902E-3</v>
          </cell>
          <cell r="N28">
            <v>-824.2</v>
          </cell>
          <cell r="O28">
            <v>-2.5377225826639809E-3</v>
          </cell>
          <cell r="P28">
            <v>-29.867999999999999</v>
          </cell>
          <cell r="Q28">
            <v>-8.6092712177547216E-5</v>
          </cell>
          <cell r="R28">
            <v>-29.867999999999999</v>
          </cell>
          <cell r="S28">
            <v>-8.0253843984058495E-5</v>
          </cell>
          <cell r="T28">
            <v>-29.867999999999999</v>
          </cell>
          <cell r="U28">
            <v>-7.4777474408765682E-5</v>
          </cell>
          <cell r="V28">
            <v>-29.867999999999999</v>
          </cell>
          <cell r="W28">
            <v>-7.1284805236533882E-5</v>
          </cell>
          <cell r="X28">
            <v>-29.867999999999999</v>
          </cell>
          <cell r="Y28">
            <v>-6.8454882490983967E-5</v>
          </cell>
          <cell r="AB28">
            <v>-0.25</v>
          </cell>
          <cell r="AC28">
            <v>-4.1437140485718622E-5</v>
          </cell>
          <cell r="AE28">
            <v>-1.7512751535627116E-3</v>
          </cell>
          <cell r="AG28">
            <v>-0.56730119023316961</v>
          </cell>
          <cell r="AI28">
            <v>-9.6388353563529205E-2</v>
          </cell>
        </row>
        <row r="29">
          <cell r="A29" t="str">
            <v>Professional Services</v>
          </cell>
          <cell r="B29">
            <v>-5231.5720000000001</v>
          </cell>
          <cell r="C29">
            <v>-1.3374808927447942E-2</v>
          </cell>
          <cell r="D29">
            <v>-3113.08</v>
          </cell>
          <cell r="E29">
            <v>-8.3732134921747151E-3</v>
          </cell>
          <cell r="F29">
            <v>-3108.7460000000001</v>
          </cell>
          <cell r="G29">
            <v>-9.0203723721865997E-3</v>
          </cell>
          <cell r="H29">
            <v>-3054.848</v>
          </cell>
          <cell r="I29">
            <v>-9.094007810739272E-3</v>
          </cell>
          <cell r="J29">
            <v>-2677.4389999999999</v>
          </cell>
          <cell r="K29">
            <v>-8.5859882471224988E-3</v>
          </cell>
          <cell r="L29">
            <v>-2756.933</v>
          </cell>
          <cell r="M29">
            <v>-8.610059549112422E-3</v>
          </cell>
          <cell r="N29">
            <v>-2590.9930000000004</v>
          </cell>
          <cell r="O29">
            <v>-7.9777013438780599E-3</v>
          </cell>
          <cell r="P29">
            <v>-2733.3409999999999</v>
          </cell>
          <cell r="Q29">
            <v>-7.8786909065250137E-3</v>
          </cell>
          <cell r="R29">
            <v>-2801.6745249999994</v>
          </cell>
          <cell r="S29">
            <v>-7.5279613708136191E-3</v>
          </cell>
          <cell r="T29">
            <v>-2871.7163881249994</v>
          </cell>
          <cell r="U29">
            <v>-7.1896243043474686E-3</v>
          </cell>
          <cell r="V29">
            <v>-2943.5092978281241</v>
          </cell>
          <cell r="W29">
            <v>-7.0251602721174648E-3</v>
          </cell>
          <cell r="X29">
            <v>-3017.0970302738269</v>
          </cell>
          <cell r="Y29">
            <v>-6.9149264320105637E-3</v>
          </cell>
          <cell r="AA29">
            <v>2.5000000000000001E-2</v>
          </cell>
          <cell r="AC29">
            <v>-1.3921903709509017E-3</v>
          </cell>
          <cell r="AE29">
            <v>-1.7337537386457477E-2</v>
          </cell>
          <cell r="AG29">
            <v>-0.12354428109025395</v>
          </cell>
          <cell r="AI29">
            <v>2.9690312272287116E-2</v>
          </cell>
          <cell r="AK29">
            <v>-6.0190073534612414E-2</v>
          </cell>
        </row>
        <row r="30">
          <cell r="A30" t="str">
            <v>Loyalty Costs</v>
          </cell>
          <cell r="B30">
            <v>0</v>
          </cell>
          <cell r="C30">
            <v>0</v>
          </cell>
          <cell r="D30">
            <v>-1304.373</v>
          </cell>
          <cell r="E30">
            <v>-3.5083562267684766E-3</v>
          </cell>
          <cell r="F30">
            <v>-1855.615</v>
          </cell>
          <cell r="G30">
            <v>-5.3842733627691161E-3</v>
          </cell>
          <cell r="H30">
            <v>-2383.8159999999998</v>
          </cell>
          <cell r="I30">
            <v>-7.0964058844712567E-3</v>
          </cell>
          <cell r="J30">
            <v>-2258.4380000000001</v>
          </cell>
          <cell r="K30">
            <v>-7.2423394612743169E-3</v>
          </cell>
          <cell r="L30">
            <v>-2062.0160000000001</v>
          </cell>
          <cell r="M30">
            <v>-6.4397939852809619E-3</v>
          </cell>
          <cell r="N30">
            <v>-1965.7539999999999</v>
          </cell>
          <cell r="O30">
            <v>-6.0525822831376495E-3</v>
          </cell>
          <cell r="P30">
            <v>-2024.9940000000001</v>
          </cell>
          <cell r="Q30">
            <v>-5.8369233160325456E-3</v>
          </cell>
          <cell r="R30">
            <v>-2125.0536874559998</v>
          </cell>
          <cell r="S30">
            <v>-5.709914526946633E-3</v>
          </cell>
          <cell r="T30">
            <v>-2208.6298306799995</v>
          </cell>
          <cell r="U30">
            <v>-5.529521917842178E-3</v>
          </cell>
          <cell r="V30">
            <v>-2227.7344446000002</v>
          </cell>
          <cell r="W30">
            <v>-5.3168479979251709E-3</v>
          </cell>
          <cell r="X30">
            <v>-2241.3805973999997</v>
          </cell>
          <cell r="Y30">
            <v>-5.1370512057248028E-3</v>
          </cell>
          <cell r="AB30">
            <v>-0.36</v>
          </cell>
          <cell r="AC30">
            <v>-0.2588935334761171</v>
          </cell>
          <cell r="AE30">
            <v>-0.34553200889465724</v>
          </cell>
          <cell r="AG30">
            <v>-0.36387689940980561</v>
          </cell>
          <cell r="AI30">
            <v>-0.34125015411578086</v>
          </cell>
        </row>
        <row r="31">
          <cell r="A31" t="str">
            <v>Travel Agent Commissions</v>
          </cell>
          <cell r="B31">
            <v>-1841.6780000000001</v>
          </cell>
          <cell r="C31">
            <v>-4.7083536948138091E-3</v>
          </cell>
          <cell r="D31">
            <v>-2407.3029999999999</v>
          </cell>
          <cell r="E31">
            <v>-6.4748936613748011E-3</v>
          </cell>
          <cell r="F31">
            <v>-1459.8720000000001</v>
          </cell>
          <cell r="G31">
            <v>-4.2359810211991577E-3</v>
          </cell>
          <cell r="H31">
            <v>-1518.855</v>
          </cell>
          <cell r="I31">
            <v>-4.5214947628754026E-3</v>
          </cell>
          <cell r="J31">
            <v>-1584.6869999999999</v>
          </cell>
          <cell r="K31">
            <v>-5.0817605769422989E-3</v>
          </cell>
          <cell r="L31">
            <v>-1439.2539999999999</v>
          </cell>
          <cell r="M31">
            <v>-4.4948726161637758E-3</v>
          </cell>
          <cell r="N31">
            <v>-1394.6680000000001</v>
          </cell>
          <cell r="O31">
            <v>-4.2942010178582983E-3</v>
          </cell>
          <cell r="P31">
            <v>-1501.655</v>
          </cell>
          <cell r="Q31">
            <v>-4.328430149490246E-3</v>
          </cell>
          <cell r="R31">
            <v>-1475.7317274</v>
          </cell>
          <cell r="S31">
            <v>-3.9652184214907177E-3</v>
          </cell>
          <cell r="T31">
            <v>-1533.7707157499999</v>
          </cell>
          <cell r="U31">
            <v>-3.8399457762792908E-3</v>
          </cell>
          <cell r="V31">
            <v>-1547.0378087500001</v>
          </cell>
          <cell r="W31">
            <v>-3.6922555541147018E-3</v>
          </cell>
          <cell r="X31">
            <v>-1556.51430375</v>
          </cell>
          <cell r="Y31">
            <v>-3.5673966706422249E-3</v>
          </cell>
          <cell r="Z31">
            <v>-3.5000000000000003E-2</v>
          </cell>
          <cell r="AC31">
            <v>-0.20367986920931661</v>
          </cell>
          <cell r="AE31">
            <v>-0.22015668129154875</v>
          </cell>
          <cell r="AG31">
            <v>-0.25532292323058087</v>
          </cell>
          <cell r="AI31">
            <v>-0.23818711848586724</v>
          </cell>
        </row>
        <row r="32">
          <cell r="A32" t="str">
            <v>Travel Expenses</v>
          </cell>
          <cell r="B32">
            <v>-977.64400000000001</v>
          </cell>
          <cell r="C32">
            <v>-2.499402034238641E-3</v>
          </cell>
          <cell r="D32">
            <v>-825.20600000000002</v>
          </cell>
          <cell r="E32">
            <v>-2.2195465625758182E-3</v>
          </cell>
          <cell r="F32">
            <v>-896.78800000000001</v>
          </cell>
          <cell r="G32">
            <v>-2.6021301511633555E-3</v>
          </cell>
          <cell r="H32">
            <v>-1222.7560000000001</v>
          </cell>
          <cell r="I32">
            <v>-3.6400346644508371E-3</v>
          </cell>
          <cell r="J32">
            <v>-904.13599999999985</v>
          </cell>
          <cell r="K32">
            <v>-2.8993755113749919E-3</v>
          </cell>
          <cell r="L32">
            <v>-1363.577</v>
          </cell>
          <cell r="M32">
            <v>-4.2585290138715988E-3</v>
          </cell>
          <cell r="N32">
            <v>-1248.317</v>
          </cell>
          <cell r="O32">
            <v>-3.8435843742093577E-3</v>
          </cell>
          <cell r="P32">
            <v>-1227.903</v>
          </cell>
          <cell r="Q32">
            <v>-3.5393564872420909E-3</v>
          </cell>
          <cell r="R32">
            <v>-1258.6005749999999</v>
          </cell>
          <cell r="S32">
            <v>-3.3817977160940245E-3</v>
          </cell>
          <cell r="T32">
            <v>-1290.0655893749999</v>
          </cell>
          <cell r="U32">
            <v>-3.2298060330493601E-3</v>
          </cell>
          <cell r="V32">
            <v>-1322.3172291093749</v>
          </cell>
          <cell r="W32">
            <v>-3.1559236017803319E-3</v>
          </cell>
          <cell r="X32">
            <v>-1355.3751598371091</v>
          </cell>
          <cell r="Y32">
            <v>-3.1064030834956446E-3</v>
          </cell>
          <cell r="AA32">
            <v>0.05</v>
          </cell>
          <cell r="AC32">
            <v>-0.12511895738015702</v>
          </cell>
          <cell r="AE32">
            <v>-0.17723739460931362</v>
          </cell>
          <cell r="AG32">
            <v>-0.14567333897356666</v>
          </cell>
          <cell r="AI32">
            <v>-0.22566307021804588</v>
          </cell>
        </row>
        <row r="33">
          <cell r="A33" t="str">
            <v>Other Operating Expenses</v>
          </cell>
          <cell r="B33">
            <v>-538.56799999999998</v>
          </cell>
          <cell r="C33">
            <v>-1.3768794722576279E-3</v>
          </cell>
          <cell r="D33">
            <v>-3195.625</v>
          </cell>
          <cell r="E33">
            <v>-8.5952337768161503E-3</v>
          </cell>
          <cell r="F33">
            <v>-833.68299999999999</v>
          </cell>
          <cell r="G33">
            <v>-2.4190239731266693E-3</v>
          </cell>
          <cell r="H33">
            <v>241.50899999999999</v>
          </cell>
          <cell r="I33">
            <v>7.1895057703814751E-4</v>
          </cell>
          <cell r="J33">
            <v>1159.0420000000001</v>
          </cell>
          <cell r="K33">
            <v>3.7168058693106952E-3</v>
          </cell>
          <cell r="L33">
            <v>1019.3950000000001</v>
          </cell>
          <cell r="M33">
            <v>3.1836289289828433E-3</v>
          </cell>
          <cell r="N33">
            <v>1837.1579999999999</v>
          </cell>
          <cell r="O33">
            <v>5.6566335167699509E-3</v>
          </cell>
          <cell r="P33">
            <v>1842.2530000000002</v>
          </cell>
          <cell r="Q33">
            <v>5.3101833831265205E-3</v>
          </cell>
          <cell r="R33">
            <v>2338</v>
          </cell>
          <cell r="S33">
            <v>6.2820907738961023E-3</v>
          </cell>
          <cell r="T33">
            <v>2451</v>
          </cell>
          <cell r="U33">
            <v>6.136319464841459E-3</v>
          </cell>
          <cell r="V33">
            <v>2660</v>
          </cell>
          <cell r="W33">
            <v>6.3485195503274455E-3</v>
          </cell>
          <cell r="X33">
            <v>2887</v>
          </cell>
          <cell r="Y33">
            <v>6.6167552481408431E-3</v>
          </cell>
          <cell r="AB33">
            <v>-1.55</v>
          </cell>
          <cell r="AC33">
            <v>-0.11631461141937832</v>
          </cell>
          <cell r="AE33">
            <v>3.5006514737773289E-2</v>
          </cell>
          <cell r="AG33">
            <v>0.18674349672018448</v>
          </cell>
          <cell r="AI33">
            <v>0.16870320155365259</v>
          </cell>
        </row>
        <row r="34">
          <cell r="A34" t="str">
            <v xml:space="preserve">     Total Controllable Expenses</v>
          </cell>
          <cell r="B34">
            <v>-86188.796000000002</v>
          </cell>
          <cell r="C34">
            <v>-0.22034651882584994</v>
          </cell>
          <cell r="D34">
            <v>-87000.031000000017</v>
          </cell>
          <cell r="E34">
            <v>-0.23400292745089063</v>
          </cell>
          <cell r="F34">
            <v>-74420.701000000015</v>
          </cell>
          <cell r="G34">
            <v>-0.21593994337882857</v>
          </cell>
          <cell r="H34">
            <v>-79269.823999999979</v>
          </cell>
          <cell r="I34">
            <v>-0.23597913827854194</v>
          </cell>
          <cell r="J34">
            <v>-72493.995999999999</v>
          </cell>
          <cell r="K34">
            <v>-0.23247311988917227</v>
          </cell>
          <cell r="L34">
            <v>-73828.556000000011</v>
          </cell>
          <cell r="M34">
            <v>-0.23057080588646198</v>
          </cell>
          <cell r="N34">
            <v>-71719.272000000012</v>
          </cell>
          <cell r="O34">
            <v>-0.22082457676124795</v>
          </cell>
          <cell r="P34">
            <v>-73806.392000000007</v>
          </cell>
          <cell r="Q34">
            <v>-0.21274248236638624</v>
          </cell>
          <cell r="R34">
            <v>-77350.118080437518</v>
          </cell>
          <cell r="S34">
            <v>-0.20783595515521414</v>
          </cell>
          <cell r="T34">
            <v>-81692.498379191369</v>
          </cell>
          <cell r="U34">
            <v>-0.20452520111618172</v>
          </cell>
          <cell r="V34">
            <v>-84847.746413847999</v>
          </cell>
          <cell r="W34">
            <v>-0.20250284846223288</v>
          </cell>
          <cell r="X34">
            <v>-87788.859612653352</v>
          </cell>
          <cell r="Y34">
            <v>-0.20120450210264074</v>
          </cell>
        </row>
        <row r="36">
          <cell r="A36" t="str">
            <v>CP / GOP</v>
          </cell>
          <cell r="B36">
            <v>208337.43100000001</v>
          </cell>
          <cell r="C36">
            <v>0.53262639452546379</v>
          </cell>
          <cell r="D36">
            <v>192095.59099999996</v>
          </cell>
          <cell r="E36">
            <v>0.51667717962547555</v>
          </cell>
          <cell r="F36">
            <v>178856.07799999998</v>
          </cell>
          <cell r="G36">
            <v>0.51897080835451059</v>
          </cell>
          <cell r="H36">
            <v>164832.03700000007</v>
          </cell>
          <cell r="I36">
            <v>0.49069015281220718</v>
          </cell>
          <cell r="J36">
            <v>154390.14999999997</v>
          </cell>
          <cell r="K36">
            <v>0.49509699880052527</v>
          </cell>
          <cell r="L36">
            <v>157056.603</v>
          </cell>
          <cell r="M36">
            <v>0.49049676013574089</v>
          </cell>
          <cell r="N36">
            <v>167514.24599999998</v>
          </cell>
          <cell r="O36">
            <v>0.51577855495283842</v>
          </cell>
          <cell r="P36">
            <v>183699.467</v>
          </cell>
          <cell r="Q36">
            <v>0.52950265634122917</v>
          </cell>
          <cell r="R36">
            <v>202160.43503604247</v>
          </cell>
          <cell r="S36">
            <v>0.54319512565729033</v>
          </cell>
          <cell r="T36">
            <v>221707.70206864981</v>
          </cell>
          <cell r="U36">
            <v>0.55506702884909298</v>
          </cell>
          <cell r="V36">
            <v>234620.13141781354</v>
          </cell>
          <cell r="W36">
            <v>0.55995883128059543</v>
          </cell>
          <cell r="X36">
            <v>245355.33923921073</v>
          </cell>
          <cell r="Y36">
            <v>0.56233329704552293</v>
          </cell>
        </row>
        <row r="37">
          <cell r="A37" t="str">
            <v>CP% / GOP%</v>
          </cell>
          <cell r="B37">
            <v>0.53262639452546379</v>
          </cell>
          <cell r="D37">
            <v>0.51667717962547555</v>
          </cell>
          <cell r="F37">
            <v>0.51897080835451059</v>
          </cell>
          <cell r="H37">
            <v>0.49069015281220718</v>
          </cell>
          <cell r="J37">
            <v>0.49509699880052527</v>
          </cell>
          <cell r="L37">
            <v>0.49049676013574089</v>
          </cell>
          <cell r="N37">
            <v>0.51577855495283842</v>
          </cell>
          <cell r="P37">
            <v>0.52950265634122917</v>
          </cell>
          <cell r="R37">
            <v>0.54319512565729033</v>
          </cell>
          <cell r="T37">
            <v>0.55506702884909298</v>
          </cell>
          <cell r="V37">
            <v>0.55995883128059543</v>
          </cell>
          <cell r="X37">
            <v>0.56233329704552293</v>
          </cell>
        </row>
        <row r="38">
          <cell r="B38" t="str">
            <v xml:space="preserve"> </v>
          </cell>
          <cell r="D38" t="str">
            <v xml:space="preserve"> </v>
          </cell>
          <cell r="F38" t="str">
            <v xml:space="preserve"> </v>
          </cell>
          <cell r="H38" t="str">
            <v xml:space="preserve"> </v>
          </cell>
          <cell r="J38" t="str">
            <v xml:space="preserve"> </v>
          </cell>
          <cell r="L38" t="str">
            <v xml:space="preserve"> </v>
          </cell>
          <cell r="N38" t="str">
            <v xml:space="preserve"> </v>
          </cell>
          <cell r="P38" t="str">
            <v xml:space="preserve"> </v>
          </cell>
          <cell r="R38" t="str">
            <v xml:space="preserve"> </v>
          </cell>
          <cell r="T38" t="str">
            <v xml:space="preserve"> </v>
          </cell>
          <cell r="V38" t="str">
            <v xml:space="preserve"> </v>
          </cell>
          <cell r="X38" t="str">
            <v xml:space="preserve"> </v>
          </cell>
        </row>
        <row r="39">
          <cell r="A39" t="str">
            <v>Management fees (3 % GPR)</v>
          </cell>
          <cell r="B39">
            <v>-11734.534739999999</v>
          </cell>
          <cell r="C39">
            <v>-0.03</v>
          </cell>
          <cell r="E39">
            <v>0</v>
          </cell>
          <cell r="G39">
            <v>0</v>
          </cell>
          <cell r="I39">
            <v>0</v>
          </cell>
          <cell r="J39">
            <v>-9355.1455799999985</v>
          </cell>
          <cell r="K39">
            <v>-2.9999999999999995E-2</v>
          </cell>
          <cell r="L39">
            <v>-9605.9718900000007</v>
          </cell>
          <cell r="M39">
            <v>-0.03</v>
          </cell>
          <cell r="N39">
            <v>-9743.3817899999995</v>
          </cell>
          <cell r="O39">
            <v>-0.03</v>
          </cell>
          <cell r="P39">
            <v>-10407.8496</v>
          </cell>
          <cell r="Q39">
            <v>-0.03</v>
          </cell>
          <cell r="R39">
            <v>-11165.072668394399</v>
          </cell>
          <cell r="S39">
            <v>-0.03</v>
          </cell>
          <cell r="T39">
            <v>-11982.752922382237</v>
          </cell>
          <cell r="U39">
            <v>-0.03</v>
          </cell>
          <cell r="V39">
            <v>-12569.859692073258</v>
          </cell>
          <cell r="W39">
            <v>-0.03</v>
          </cell>
          <cell r="X39">
            <v>-13089.497306755517</v>
          </cell>
          <cell r="Y39">
            <v>-0.03</v>
          </cell>
          <cell r="AC39">
            <v>0</v>
          </cell>
          <cell r="AE39">
            <v>0</v>
          </cell>
          <cell r="AG39">
            <v>-2.9999999999999995E-2</v>
          </cell>
          <cell r="AI39">
            <v>-0.03</v>
          </cell>
        </row>
        <row r="40">
          <cell r="A40" t="str">
            <v xml:space="preserve">Marketing fees (2% GPR) </v>
          </cell>
          <cell r="B40">
            <v>-7823.0231599999997</v>
          </cell>
          <cell r="C40">
            <v>-0.02</v>
          </cell>
          <cell r="E40">
            <v>0</v>
          </cell>
          <cell r="G40">
            <v>0</v>
          </cell>
          <cell r="I40">
            <v>0</v>
          </cell>
          <cell r="J40">
            <v>-6236.7637199999999</v>
          </cell>
          <cell r="K40">
            <v>-0.02</v>
          </cell>
          <cell r="L40">
            <v>-6403.9812600000005</v>
          </cell>
          <cell r="M40">
            <v>-0.02</v>
          </cell>
          <cell r="N40">
            <v>-6495.5878599999996</v>
          </cell>
          <cell r="O40">
            <v>-0.02</v>
          </cell>
          <cell r="P40">
            <v>-6938.5664000000006</v>
          </cell>
          <cell r="Q40">
            <v>-0.02</v>
          </cell>
          <cell r="R40">
            <v>-7443.3817789296008</v>
          </cell>
          <cell r="S40">
            <v>-0.02</v>
          </cell>
          <cell r="T40">
            <v>-7988.5019482548241</v>
          </cell>
          <cell r="U40">
            <v>-0.02</v>
          </cell>
          <cell r="V40">
            <v>-8379.906461382172</v>
          </cell>
          <cell r="W40">
            <v>-0.02</v>
          </cell>
          <cell r="X40">
            <v>-8726.3315378370116</v>
          </cell>
          <cell r="Y40">
            <v>-0.02</v>
          </cell>
          <cell r="AC40">
            <v>0</v>
          </cell>
          <cell r="AE40">
            <v>0</v>
          </cell>
          <cell r="AG40">
            <v>-0.02</v>
          </cell>
          <cell r="AI40">
            <v>-0.02</v>
          </cell>
        </row>
        <row r="41">
          <cell r="A41" t="str">
            <v>Reservation fees (1.5 % GRR)</v>
          </cell>
          <cell r="B41">
            <v>-5867.2673699999996</v>
          </cell>
          <cell r="C41">
            <v>-1.4999999999999999E-2</v>
          </cell>
          <cell r="E41">
            <v>0</v>
          </cell>
          <cell r="G41">
            <v>0</v>
          </cell>
          <cell r="I41">
            <v>0</v>
          </cell>
          <cell r="J41">
            <v>-4558.4177699999991</v>
          </cell>
          <cell r="K41">
            <v>-1.461789471158609E-2</v>
          </cell>
          <cell r="L41">
            <v>-4701.5230950000005</v>
          </cell>
          <cell r="M41">
            <v>-1.468312571233227E-2</v>
          </cell>
          <cell r="N41">
            <v>-4764.3739349999996</v>
          </cell>
          <cell r="O41">
            <v>-1.4669569676177083E-2</v>
          </cell>
          <cell r="P41">
            <v>-5093.4752850000004</v>
          </cell>
          <cell r="Q41">
            <v>-1.4681635921218539E-2</v>
          </cell>
          <cell r="R41">
            <v>-5467.7143331999996</v>
          </cell>
          <cell r="S41">
            <v>-1.4691478942213515E-2</v>
          </cell>
          <cell r="T41">
            <v>-5868.1454076308701</v>
          </cell>
          <cell r="U41">
            <v>-1.4691478942213516E-2</v>
          </cell>
          <cell r="V41">
            <v>-6155.6609657557574</v>
          </cell>
          <cell r="W41">
            <v>-1.4691478942213515E-2</v>
          </cell>
          <cell r="X41">
            <v>-6410.1358015453061</v>
          </cell>
          <cell r="Y41">
            <v>-1.4691478942213515E-2</v>
          </cell>
          <cell r="AC41">
            <v>0</v>
          </cell>
          <cell r="AE41">
            <v>0</v>
          </cell>
          <cell r="AG41">
            <v>-1.461789471158609E-2</v>
          </cell>
          <cell r="AI41">
            <v>-1.468312571233227E-2</v>
          </cell>
        </row>
        <row r="42">
          <cell r="A42" t="str">
            <v>Service fees (3.5 % GPR)</v>
          </cell>
          <cell r="B42">
            <v>-11734.534739999999</v>
          </cell>
          <cell r="C42">
            <v>-0.03</v>
          </cell>
          <cell r="E42">
            <v>0</v>
          </cell>
          <cell r="G42">
            <v>0</v>
          </cell>
          <cell r="I42">
            <v>0</v>
          </cell>
          <cell r="J42">
            <v>-10914.336510000001</v>
          </cell>
          <cell r="K42">
            <v>-3.5000000000000003E-2</v>
          </cell>
          <cell r="L42">
            <v>-11206.967205000003</v>
          </cell>
          <cell r="M42">
            <v>-3.5000000000000003E-2</v>
          </cell>
          <cell r="N42">
            <v>-11367.278755000001</v>
          </cell>
          <cell r="O42">
            <v>-3.5000000000000003E-2</v>
          </cell>
          <cell r="P42">
            <v>-12142.491200000002</v>
          </cell>
          <cell r="Q42">
            <v>-3.5000000000000003E-2</v>
          </cell>
          <cell r="R42">
            <v>-13025.918113126801</v>
          </cell>
          <cell r="S42">
            <v>-3.5000000000000003E-2</v>
          </cell>
          <cell r="T42">
            <v>-13979.878409445944</v>
          </cell>
          <cell r="U42">
            <v>-3.5000000000000003E-2</v>
          </cell>
          <cell r="V42">
            <v>-14664.836307418802</v>
          </cell>
          <cell r="W42">
            <v>-3.5000000000000003E-2</v>
          </cell>
          <cell r="X42">
            <v>-15271.080191214771</v>
          </cell>
          <cell r="Y42">
            <v>-3.5000000000000003E-2</v>
          </cell>
          <cell r="AC42">
            <v>0</v>
          </cell>
          <cell r="AE42">
            <v>0</v>
          </cell>
          <cell r="AG42">
            <v>-3.5000000000000003E-2</v>
          </cell>
          <cell r="AI42">
            <v>-3.5000000000000003E-2</v>
          </cell>
        </row>
        <row r="43">
          <cell r="A43" t="str">
            <v xml:space="preserve">     Total Fees</v>
          </cell>
          <cell r="B43">
            <v>-37159.360010000004</v>
          </cell>
          <cell r="C43">
            <v>-9.5000000000000015E-2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-31064.66358</v>
          </cell>
          <cell r="K43">
            <v>-9.9617894711586094E-2</v>
          </cell>
          <cell r="L43">
            <v>-31918.443450000006</v>
          </cell>
          <cell r="M43">
            <v>-9.9683125712332274E-2</v>
          </cell>
          <cell r="N43">
            <v>-32370.622340000002</v>
          </cell>
          <cell r="O43">
            <v>-9.96695696761771E-2</v>
          </cell>
          <cell r="P43">
            <v>-34582.382485000002</v>
          </cell>
          <cell r="Q43">
            <v>-9.9681635921218537E-2</v>
          </cell>
          <cell r="R43">
            <v>-37102.086893650805</v>
          </cell>
          <cell r="S43">
            <v>-9.9691478942213529E-2</v>
          </cell>
          <cell r="T43">
            <v>-39819.278687713871</v>
          </cell>
          <cell r="U43">
            <v>-9.9691478942213516E-2</v>
          </cell>
          <cell r="V43">
            <v>-41770.263426629986</v>
          </cell>
          <cell r="W43">
            <v>-9.9691478942213516E-2</v>
          </cell>
          <cell r="X43">
            <v>-43497.044837352609</v>
          </cell>
          <cell r="Y43">
            <v>-9.9691478942213529E-2</v>
          </cell>
          <cell r="AC43">
            <v>0</v>
          </cell>
          <cell r="AE43">
            <v>0</v>
          </cell>
          <cell r="AG43">
            <v>-9.9617894711586094E-2</v>
          </cell>
          <cell r="AI43">
            <v>-9.9683125712332274E-2</v>
          </cell>
        </row>
        <row r="45">
          <cell r="A45" t="str">
            <v>Total Property Tax &amp; Other</v>
          </cell>
          <cell r="B45">
            <v>-19237.367999999999</v>
          </cell>
          <cell r="C45">
            <v>-4.91814164589537E-2</v>
          </cell>
          <cell r="D45">
            <v>-20569.608</v>
          </cell>
          <cell r="E45">
            <v>-5.532582498180097E-2</v>
          </cell>
          <cell r="F45">
            <v>-18282.082999999999</v>
          </cell>
          <cell r="G45">
            <v>-5.3047497736779491E-2</v>
          </cell>
          <cell r="H45">
            <v>-17447.466</v>
          </cell>
          <cell r="I45">
            <v>-5.1939537443960522E-2</v>
          </cell>
          <cell r="J45">
            <v>-18139.916000000001</v>
          </cell>
          <cell r="K45">
            <v>-5.8170925866019504E-2</v>
          </cell>
          <cell r="L45">
            <v>-18280.846000000001</v>
          </cell>
          <cell r="M45">
            <v>-5.7092128342674131E-2</v>
          </cell>
          <cell r="N45">
            <v>-18516.043000000001</v>
          </cell>
          <cell r="O45">
            <v>-5.7011138634648545E-2</v>
          </cell>
          <cell r="P45">
            <v>-19508.960999999999</v>
          </cell>
          <cell r="Q45">
            <v>-5.6233405794026844E-2</v>
          </cell>
          <cell r="R45">
            <v>-19996.685025000002</v>
          </cell>
          <cell r="S45">
            <v>-5.3730107144593184E-2</v>
          </cell>
          <cell r="T45">
            <v>-20496.602150625</v>
          </cell>
          <cell r="U45">
            <v>-5.1315258563848026E-2</v>
          </cell>
          <cell r="V45">
            <v>-21009.017204390624</v>
          </cell>
          <cell r="W45">
            <v>-5.0141412201217865E-2</v>
          </cell>
          <cell r="X45">
            <v>-21534.242634500388</v>
          </cell>
          <cell r="Y45">
            <v>-4.9354628668711029E-2</v>
          </cell>
          <cell r="AA45">
            <v>2.5000000000000001E-2</v>
          </cell>
          <cell r="AC45">
            <v>-0.11120897393863809</v>
          </cell>
          <cell r="AE45">
            <v>-4.5652183069073607E-2</v>
          </cell>
          <cell r="AG45">
            <v>3.9687711671138992E-2</v>
          </cell>
          <cell r="AI45">
            <v>7.7690547188862553E-3</v>
          </cell>
          <cell r="AK45">
            <v>1.2865761245404075E-2</v>
          </cell>
        </row>
        <row r="46">
          <cell r="A46" t="str">
            <v>Total General Insurance (2)</v>
          </cell>
          <cell r="B46">
            <v>-2195.7199999999998</v>
          </cell>
          <cell r="C46">
            <v>-5.6134820390842353E-3</v>
          </cell>
          <cell r="D46">
            <v>-1951.588</v>
          </cell>
          <cell r="E46">
            <v>-5.2491625569424062E-3</v>
          </cell>
          <cell r="F46">
            <v>-2252.489</v>
          </cell>
          <cell r="G46">
            <v>-6.535847426664714E-3</v>
          </cell>
          <cell r="H46">
            <v>-4036.2719999999999</v>
          </cell>
          <cell r="I46">
            <v>-1.2015618811236509E-2</v>
          </cell>
          <cell r="J46">
            <v>-5234.4780000000001</v>
          </cell>
          <cell r="K46">
            <v>-1.6785878814726048E-2</v>
          </cell>
          <cell r="L46">
            <v>-4175.3819999999996</v>
          </cell>
          <cell r="M46">
            <v>-1.3039956959524267E-2</v>
          </cell>
          <cell r="N46">
            <v>-2837.7829999999999</v>
          </cell>
          <cell r="O46">
            <v>-8.7375709825284389E-3</v>
          </cell>
          <cell r="P46">
            <v>-4468.58</v>
          </cell>
          <cell r="Q46">
            <v>-1.2880412876066156E-2</v>
          </cell>
          <cell r="R46">
            <v>-4580.2945</v>
          </cell>
          <cell r="S46">
            <v>-1.2307025586046648E-2</v>
          </cell>
          <cell r="T46">
            <v>-4694.8018624999995</v>
          </cell>
          <cell r="U46">
            <v>-1.1753898022208357E-2</v>
          </cell>
          <cell r="V46">
            <v>-4812.1719090624993</v>
          </cell>
          <cell r="W46">
            <v>-1.1485025354969858E-2</v>
          </cell>
          <cell r="X46">
            <v>-4932.4762067890615</v>
          </cell>
          <cell r="Y46">
            <v>-1.1304810470246401E-2</v>
          </cell>
          <cell r="AA46">
            <v>2.5000000000000001E-2</v>
          </cell>
          <cell r="AC46">
            <v>0.15418264510747148</v>
          </cell>
          <cell r="AE46">
            <v>0.79191640891476045</v>
          </cell>
          <cell r="AG46">
            <v>0.29685957735256696</v>
          </cell>
          <cell r="AI46">
            <v>-0.20233077682244541</v>
          </cell>
          <cell r="AK46">
            <v>-0.32035368260916003</v>
          </cell>
        </row>
        <row r="47">
          <cell r="B47" t="str">
            <v xml:space="preserve"> </v>
          </cell>
          <cell r="D47" t="str">
            <v xml:space="preserve"> </v>
          </cell>
          <cell r="F47" t="str">
            <v xml:space="preserve"> </v>
          </cell>
          <cell r="H47" t="str">
            <v xml:space="preserve"> </v>
          </cell>
          <cell r="J47" t="str">
            <v xml:space="preserve"> </v>
          </cell>
          <cell r="L47" t="str">
            <v xml:space="preserve"> </v>
          </cell>
          <cell r="N47" t="str">
            <v xml:space="preserve"> </v>
          </cell>
          <cell r="P47" t="str">
            <v xml:space="preserve"> </v>
          </cell>
          <cell r="R47" t="str">
            <v xml:space="preserve"> </v>
          </cell>
          <cell r="T47" t="str">
            <v xml:space="preserve"> </v>
          </cell>
          <cell r="V47" t="str">
            <v xml:space="preserve"> </v>
          </cell>
          <cell r="X47" t="str">
            <v xml:space="preserve"> </v>
          </cell>
        </row>
        <row r="48">
          <cell r="A48" t="str">
            <v xml:space="preserve">     EBITDAR / NOP</v>
          </cell>
          <cell r="B48">
            <v>149744.98298999999</v>
          </cell>
          <cell r="C48">
            <v>0.38283149602742578</v>
          </cell>
          <cell r="D48">
            <v>169574.39499999996</v>
          </cell>
          <cell r="E48">
            <v>0.45610219208673219</v>
          </cell>
          <cell r="F48">
            <v>158321.50599999999</v>
          </cell>
          <cell r="G48">
            <v>0.45938746319106644</v>
          </cell>
          <cell r="H48">
            <v>143348.29900000006</v>
          </cell>
          <cell r="I48">
            <v>0.42673499655701014</v>
          </cell>
          <cell r="J48">
            <v>99951.092419999957</v>
          </cell>
          <cell r="K48">
            <v>0.3205222994081936</v>
          </cell>
          <cell r="L48">
            <v>102681.93154999999</v>
          </cell>
          <cell r="M48">
            <v>0.32068154912121022</v>
          </cell>
          <cell r="N48">
            <v>113789.79765999998</v>
          </cell>
          <cell r="O48">
            <v>0.3503602756594843</v>
          </cell>
          <cell r="P48">
            <v>125139.543515</v>
          </cell>
          <cell r="Q48">
            <v>0.36070720174991766</v>
          </cell>
          <cell r="R48">
            <v>140481.36861739168</v>
          </cell>
          <cell r="S48">
            <v>0.37746651398443704</v>
          </cell>
          <cell r="T48">
            <v>156697.01936781095</v>
          </cell>
          <cell r="U48">
            <v>0.39230639332082312</v>
          </cell>
          <cell r="V48">
            <v>167028.67887773045</v>
          </cell>
          <cell r="W48">
            <v>0.39864091478219421</v>
          </cell>
          <cell r="X48">
            <v>175391.57556056869</v>
          </cell>
          <cell r="Y48">
            <v>0.40198237896435196</v>
          </cell>
        </row>
        <row r="49">
          <cell r="A49" t="str">
            <v xml:space="preserve">     EBITDAR Margin</v>
          </cell>
          <cell r="J49">
            <v>0.3205222994081936</v>
          </cell>
          <cell r="L49">
            <v>0.32068154912121022</v>
          </cell>
          <cell r="N49">
            <v>0.3503602756594843</v>
          </cell>
          <cell r="P49">
            <v>0.36070720174991766</v>
          </cell>
          <cell r="R49">
            <v>0.37746651398443704</v>
          </cell>
          <cell r="T49">
            <v>0.39230639332082312</v>
          </cell>
          <cell r="V49">
            <v>0.39864091478219421</v>
          </cell>
          <cell r="X49">
            <v>0.40198237896435196</v>
          </cell>
        </row>
        <row r="51">
          <cell r="A51" t="str">
            <v>Land &amp; Building leases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J51">
            <v>-1675.5759999999991</v>
          </cell>
          <cell r="K51">
            <v>-5.3732226366914508E-3</v>
          </cell>
          <cell r="L51">
            <v>-1936.991</v>
          </cell>
          <cell r="M51">
            <v>-6.0493337546087692E-3</v>
          </cell>
          <cell r="N51">
            <v>-1758</v>
          </cell>
          <cell r="O51">
            <v>-5.4129049991789354E-3</v>
          </cell>
          <cell r="P51">
            <v>-1618</v>
          </cell>
          <cell r="Q51">
            <v>-4.6637876089216353E-3</v>
          </cell>
          <cell r="R51">
            <v>-1658.4499999999998</v>
          </cell>
          <cell r="S51">
            <v>-4.4561734148708251E-3</v>
          </cell>
          <cell r="T51">
            <v>-1699.9112499999997</v>
          </cell>
          <cell r="U51">
            <v>-4.255894937526713E-3</v>
          </cell>
          <cell r="V51">
            <v>-1742.4090312499995</v>
          </cell>
          <cell r="W51">
            <v>-4.1585405261495212E-3</v>
          </cell>
          <cell r="X51">
            <v>-1785.9692570312493</v>
          </cell>
          <cell r="Y51">
            <v>-4.0932876530930798E-3</v>
          </cell>
          <cell r="AA51">
            <v>2.5000000000000001E-2</v>
          </cell>
        </row>
        <row r="52">
          <cell r="A52" t="str">
            <v xml:space="preserve">     Total Rent Expense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-1675.5759999999991</v>
          </cell>
          <cell r="K52">
            <v>-5.3732226366914508E-3</v>
          </cell>
          <cell r="L52">
            <v>-1936.991</v>
          </cell>
          <cell r="M52">
            <v>-6.0493337546087692E-3</v>
          </cell>
          <cell r="N52">
            <v>-1758</v>
          </cell>
          <cell r="O52">
            <v>-5.4129049991789354E-3</v>
          </cell>
          <cell r="P52">
            <v>-1618</v>
          </cell>
          <cell r="Q52">
            <v>-4.6637876089216353E-3</v>
          </cell>
          <cell r="R52">
            <v>-1658.4499999999998</v>
          </cell>
          <cell r="S52">
            <v>-4.4561734148708251E-3</v>
          </cell>
          <cell r="T52">
            <v>-1699.9112499999997</v>
          </cell>
          <cell r="U52">
            <v>-4.255894937526713E-3</v>
          </cell>
          <cell r="V52">
            <v>-1742.4090312499995</v>
          </cell>
          <cell r="W52">
            <v>-4.1585405261495212E-3</v>
          </cell>
          <cell r="X52">
            <v>-1785.9692570312493</v>
          </cell>
          <cell r="Y52">
            <v>-4.0932876530930798E-3</v>
          </cell>
        </row>
        <row r="54">
          <cell r="A54" t="str">
            <v>Lease FF&amp;E</v>
          </cell>
          <cell r="B54">
            <v>-440.61700000000002</v>
          </cell>
          <cell r="C54">
            <v>-1.1264622154077836E-3</v>
          </cell>
          <cell r="D54">
            <v>-358.452</v>
          </cell>
          <cell r="E54">
            <v>-9.6412399382508993E-4</v>
          </cell>
          <cell r="F54">
            <v>-323.91300000000001</v>
          </cell>
          <cell r="G54">
            <v>-9.398696053624446E-4</v>
          </cell>
          <cell r="H54">
            <v>-236.27600000000001</v>
          </cell>
          <cell r="I54">
            <v>-7.0337240657807932E-4</v>
          </cell>
          <cell r="J54">
            <v>-218.12299999999999</v>
          </cell>
          <cell r="K54">
            <v>-6.9947495140957499E-4</v>
          </cell>
          <cell r="L54">
            <v>-218.262</v>
          </cell>
          <cell r="M54">
            <v>-6.8164471799219469E-4</v>
          </cell>
          <cell r="N54">
            <v>-216.79400000000001</v>
          </cell>
          <cell r="O54">
            <v>-6.6751156222525493E-4</v>
          </cell>
          <cell r="P54">
            <v>-178.21199999999999</v>
          </cell>
          <cell r="Q54">
            <v>-5.1368536301677533E-4</v>
          </cell>
          <cell r="R54">
            <v>-178.21199999999999</v>
          </cell>
          <cell r="S54">
            <v>-4.7884686099126266E-4</v>
          </cell>
          <cell r="T54">
            <v>-178.21199999999999</v>
          </cell>
          <cell r="U54">
            <v>-4.4617126253297678E-4</v>
          </cell>
          <cell r="V54">
            <v>-178.21199999999999</v>
          </cell>
          <cell r="W54">
            <v>-4.2533171658005813E-4</v>
          </cell>
          <cell r="X54">
            <v>-178.21199999999999</v>
          </cell>
          <cell r="Y54">
            <v>-4.0844654876400274E-4</v>
          </cell>
        </row>
        <row r="55">
          <cell r="A55" t="str">
            <v>Other Leases</v>
          </cell>
          <cell r="B55">
            <v>-8.4580000000000002</v>
          </cell>
          <cell r="C55">
            <v>-2.1623354110075267E-5</v>
          </cell>
          <cell r="D55">
            <v>-25.061</v>
          </cell>
          <cell r="E55">
            <v>-6.7406267531637643E-5</v>
          </cell>
          <cell r="F55">
            <v>-44.835000000000001</v>
          </cell>
          <cell r="G55">
            <v>-1.3009374046866042E-4</v>
          </cell>
          <cell r="H55">
            <v>-51.643000000000001</v>
          </cell>
          <cell r="I55">
            <v>-1.537365673742223E-4</v>
          </cell>
          <cell r="J55">
            <v>-55.216999999999999</v>
          </cell>
          <cell r="K55">
            <v>-1.7706939842191104E-4</v>
          </cell>
          <cell r="L55">
            <v>-32.406999999999996</v>
          </cell>
          <cell r="M55">
            <v>-1.01208915779994E-4</v>
          </cell>
          <cell r="N55">
            <v>-19.870999999999999</v>
          </cell>
          <cell r="O55">
            <v>-6.1183068963984426E-5</v>
          </cell>
          <cell r="P55">
            <v>-20</v>
          </cell>
          <cell r="Q55">
            <v>-5.7648796154779176E-5</v>
          </cell>
          <cell r="R55">
            <v>-20</v>
          </cell>
          <cell r="S55">
            <v>-5.3739014319042793E-5</v>
          </cell>
          <cell r="T55">
            <v>-20</v>
          </cell>
          <cell r="U55">
            <v>-5.0071966257376251E-5</v>
          </cell>
          <cell r="V55">
            <v>-20</v>
          </cell>
          <cell r="W55">
            <v>-4.7733229701710118E-5</v>
          </cell>
          <cell r="X55">
            <v>-20</v>
          </cell>
          <cell r="Y55">
            <v>-4.5838276745000645E-5</v>
          </cell>
          <cell r="AA55">
            <v>-227</v>
          </cell>
        </row>
        <row r="56">
          <cell r="A56" t="str">
            <v xml:space="preserve">     Total Lease Expense</v>
          </cell>
          <cell r="B56">
            <v>-449.07500000000005</v>
          </cell>
          <cell r="C56">
            <v>-1.1480855695178589E-3</v>
          </cell>
          <cell r="D56">
            <v>-383.51299999999998</v>
          </cell>
          <cell r="E56">
            <v>-1.0315302613567274E-3</v>
          </cell>
          <cell r="F56">
            <v>-368.74799999999999</v>
          </cell>
          <cell r="G56">
            <v>-1.069963345831105E-3</v>
          </cell>
          <cell r="H56">
            <v>-287.91899999999998</v>
          </cell>
          <cell r="I56">
            <v>-8.571089739523016E-4</v>
          </cell>
          <cell r="J56">
            <v>-273.33999999999997</v>
          </cell>
          <cell r="K56">
            <v>-8.7654434983148598E-4</v>
          </cell>
          <cell r="L56">
            <v>-250.66899999999998</v>
          </cell>
          <cell r="M56">
            <v>-7.8285363377218861E-4</v>
          </cell>
          <cell r="N56">
            <v>-236.66500000000002</v>
          </cell>
          <cell r="O56">
            <v>-7.2869463118923933E-4</v>
          </cell>
          <cell r="P56">
            <v>-198.21199999999999</v>
          </cell>
          <cell r="Q56">
            <v>-5.7133415917155447E-4</v>
          </cell>
          <cell r="R56">
            <v>-198.21199999999999</v>
          </cell>
          <cell r="S56">
            <v>-5.3258587531030549E-4</v>
          </cell>
          <cell r="T56">
            <v>-198.21199999999999</v>
          </cell>
          <cell r="U56">
            <v>-4.9624322879035304E-4</v>
          </cell>
          <cell r="V56">
            <v>-198.21199999999999</v>
          </cell>
          <cell r="W56">
            <v>-4.7306494628176826E-4</v>
          </cell>
          <cell r="X56">
            <v>-198.21199999999999</v>
          </cell>
          <cell r="Y56">
            <v>-4.5428482550900339E-4</v>
          </cell>
        </row>
        <row r="58">
          <cell r="A58" t="str">
            <v xml:space="preserve">     EBITDA</v>
          </cell>
          <cell r="B58">
            <v>149295.90798999998</v>
          </cell>
          <cell r="C58">
            <v>0.38168341045790788</v>
          </cell>
          <cell r="D58">
            <v>169190.88199999995</v>
          </cell>
          <cell r="E58">
            <v>0.45507066182537542</v>
          </cell>
          <cell r="F58">
            <v>157952.758</v>
          </cell>
          <cell r="G58">
            <v>0.45831749984523534</v>
          </cell>
          <cell r="H58">
            <v>143060.38000000006</v>
          </cell>
          <cell r="I58">
            <v>0.42587788758305783</v>
          </cell>
          <cell r="J58">
            <v>98002.17641999996</v>
          </cell>
          <cell r="K58">
            <v>0.31427253242167064</v>
          </cell>
          <cell r="L58">
            <v>100494.27155</v>
          </cell>
          <cell r="M58">
            <v>0.31384936173282929</v>
          </cell>
          <cell r="N58">
            <v>111795.13265999999</v>
          </cell>
          <cell r="O58">
            <v>0.34421867602911616</v>
          </cell>
          <cell r="P58">
            <v>123323.331515</v>
          </cell>
          <cell r="Q58">
            <v>0.35547207998182445</v>
          </cell>
          <cell r="R58">
            <v>138624.70661739167</v>
          </cell>
          <cell r="S58">
            <v>0.37247775469425587</v>
          </cell>
          <cell r="T58">
            <v>154798.89611781095</v>
          </cell>
          <cell r="U58">
            <v>0.38755425515450603</v>
          </cell>
          <cell r="V58">
            <v>165088.05784648046</v>
          </cell>
          <cell r="W58">
            <v>0.39400930930976291</v>
          </cell>
          <cell r="X58">
            <v>173407.39430353744</v>
          </cell>
          <cell r="Y58">
            <v>0.39743480648574991</v>
          </cell>
        </row>
        <row r="59">
          <cell r="A59" t="str">
            <v xml:space="preserve">     EBITDA Margin</v>
          </cell>
          <cell r="J59">
            <v>0.31427253242167064</v>
          </cell>
          <cell r="L59">
            <v>0.31384936173282929</v>
          </cell>
          <cell r="N59">
            <v>0.34421867602911616</v>
          </cell>
          <cell r="P59">
            <v>0.35547207998182445</v>
          </cell>
          <cell r="R59">
            <v>0.37247775469425587</v>
          </cell>
          <cell r="T59">
            <v>0.38755425515450603</v>
          </cell>
          <cell r="V59">
            <v>0.39400930930976291</v>
          </cell>
          <cell r="X59">
            <v>0.39743480648574991</v>
          </cell>
        </row>
        <row r="60">
          <cell r="AX60">
            <v>-1</v>
          </cell>
        </row>
        <row r="61">
          <cell r="A61" t="str">
            <v>Maintenance CapEx</v>
          </cell>
          <cell r="J61">
            <v>-13524</v>
          </cell>
          <cell r="L61">
            <v>-16036</v>
          </cell>
          <cell r="N61">
            <v>-18493</v>
          </cell>
          <cell r="P61">
            <v>-12293</v>
          </cell>
          <cell r="R61">
            <v>-14605</v>
          </cell>
          <cell r="T61">
            <v>-17974.129383573356</v>
          </cell>
          <cell r="V61">
            <v>-18854.789538109886</v>
          </cell>
          <cell r="X61">
            <v>-19634.245960133274</v>
          </cell>
          <cell r="AX61">
            <v>-13524</v>
          </cell>
          <cell r="AZ61">
            <v>-16036</v>
          </cell>
          <cell r="BB61">
            <v>-18493</v>
          </cell>
          <cell r="BD61">
            <v>-12293</v>
          </cell>
          <cell r="BF61">
            <v>-14605</v>
          </cell>
          <cell r="BH61">
            <v>-17974.129383573356</v>
          </cell>
          <cell r="BJ61">
            <v>-18854.789538109886</v>
          </cell>
          <cell r="BL61">
            <v>-19634.245960133274</v>
          </cell>
        </row>
        <row r="62">
          <cell r="A62" t="str">
            <v>Renovation CapEx</v>
          </cell>
          <cell r="H62">
            <v>-21116.258999999998</v>
          </cell>
          <cell r="I62">
            <v>-6.2861204315106167E-2</v>
          </cell>
          <cell r="J62">
            <v>-39950</v>
          </cell>
          <cell r="K62">
            <v>-0.12811131475732737</v>
          </cell>
          <cell r="L62">
            <v>-45046</v>
          </cell>
          <cell r="M62">
            <v>-0.14068123615964484</v>
          </cell>
          <cell r="N62">
            <v>-41507</v>
          </cell>
          <cell r="O62">
            <v>-0.12780059601872587</v>
          </cell>
          <cell r="P62">
            <v>-27707</v>
          </cell>
          <cell r="Q62">
            <v>-7.9863759753023331E-2</v>
          </cell>
          <cell r="R62">
            <v>-25395</v>
          </cell>
          <cell r="S62">
            <v>-6.8235113431604585E-2</v>
          </cell>
          <cell r="T62">
            <v>0</v>
          </cell>
          <cell r="U62">
            <v>-4.4999999999999998E-2</v>
          </cell>
          <cell r="V62">
            <v>0</v>
          </cell>
          <cell r="W62">
            <v>-4.4999999999999998E-2</v>
          </cell>
          <cell r="X62">
            <v>0</v>
          </cell>
          <cell r="Y62">
            <v>0</v>
          </cell>
        </row>
        <row r="63">
          <cell r="A63" t="str">
            <v xml:space="preserve">     Total CapEx</v>
          </cell>
          <cell r="J63">
            <v>-53474</v>
          </cell>
          <cell r="L63">
            <v>-61082</v>
          </cell>
          <cell r="N63">
            <v>-60000</v>
          </cell>
          <cell r="P63">
            <v>-40000</v>
          </cell>
          <cell r="R63">
            <v>-40000</v>
          </cell>
          <cell r="T63">
            <v>-17974.129383573356</v>
          </cell>
          <cell r="V63">
            <v>-18854.789538109886</v>
          </cell>
          <cell r="X63">
            <v>-19634.245960133274</v>
          </cell>
        </row>
        <row r="65">
          <cell r="A65" t="str">
            <v xml:space="preserve">     Economic NOI</v>
          </cell>
          <cell r="H65">
            <v>121944.12100000007</v>
          </cell>
          <cell r="J65">
            <v>44528.17641999996</v>
          </cell>
          <cell r="K65">
            <v>0.14279257133698167</v>
          </cell>
          <cell r="L65">
            <v>39412.271550000005</v>
          </cell>
          <cell r="M65">
            <v>0.12308677976987085</v>
          </cell>
          <cell r="N65">
            <v>51795.132659999988</v>
          </cell>
          <cell r="O65">
            <v>0.15947789107420368</v>
          </cell>
          <cell r="P65">
            <v>83323.331514999998</v>
          </cell>
          <cell r="Q65">
            <v>0.24017448767226612</v>
          </cell>
          <cell r="R65">
            <v>98624.706617391668</v>
          </cell>
          <cell r="S65">
            <v>0.26499972605617028</v>
          </cell>
          <cell r="T65">
            <v>136824.76673423758</v>
          </cell>
          <cell r="U65">
            <v>0.34255425515450605</v>
          </cell>
          <cell r="V65">
            <v>146233.26830837058</v>
          </cell>
          <cell r="W65">
            <v>0.34900930930976293</v>
          </cell>
          <cell r="X65">
            <v>153773.14834340417</v>
          </cell>
          <cell r="Y65">
            <v>0.35243480648574993</v>
          </cell>
        </row>
        <row r="67">
          <cell r="A67" t="str">
            <v>Franchise Properties</v>
          </cell>
        </row>
        <row r="69">
          <cell r="A69" t="str">
            <v>Number of Hotels</v>
          </cell>
          <cell r="J69">
            <v>100</v>
          </cell>
          <cell r="L69">
            <v>95</v>
          </cell>
          <cell r="N69">
            <v>96</v>
          </cell>
          <cell r="P69">
            <v>103</v>
          </cell>
          <cell r="R69">
            <v>115</v>
          </cell>
          <cell r="T69">
            <v>132</v>
          </cell>
          <cell r="V69">
            <v>150</v>
          </cell>
          <cell r="X69">
            <v>170</v>
          </cell>
        </row>
        <row r="70">
          <cell r="A70" t="str">
            <v>Rooms Rented</v>
          </cell>
          <cell r="J70">
            <v>1947744</v>
          </cell>
          <cell r="L70">
            <v>1938286</v>
          </cell>
          <cell r="N70">
            <v>1972315.35</v>
          </cell>
          <cell r="P70">
            <v>2013654</v>
          </cell>
          <cell r="R70">
            <v>2232530</v>
          </cell>
          <cell r="T70">
            <v>2550459</v>
          </cell>
          <cell r="V70">
            <v>2936297</v>
          </cell>
          <cell r="X70">
            <v>3359809</v>
          </cell>
        </row>
        <row r="71">
          <cell r="A71" t="str">
            <v>Rooms Available</v>
          </cell>
          <cell r="J71">
            <v>3307852</v>
          </cell>
          <cell r="L71">
            <v>3224264</v>
          </cell>
          <cell r="N71">
            <v>3170925</v>
          </cell>
          <cell r="P71">
            <v>3201358</v>
          </cell>
          <cell r="R71">
            <v>3515796</v>
          </cell>
          <cell r="T71">
            <v>3972678</v>
          </cell>
          <cell r="V71">
            <v>4534822</v>
          </cell>
          <cell r="X71">
            <v>5145190</v>
          </cell>
        </row>
        <row r="72">
          <cell r="A72" t="str">
            <v>Occupancy</v>
          </cell>
          <cell r="J72">
            <v>0.58882440931456426</v>
          </cell>
          <cell r="L72">
            <v>0.60115610880498616</v>
          </cell>
          <cell r="N72">
            <v>0.622</v>
          </cell>
          <cell r="P72">
            <v>0.62899994314912611</v>
          </cell>
          <cell r="R72">
            <v>0.63499986916191953</v>
          </cell>
          <cell r="T72">
            <v>0.64199993052545412</v>
          </cell>
          <cell r="V72">
            <v>0.6474999459736237</v>
          </cell>
          <cell r="X72">
            <v>0.65299998639506029</v>
          </cell>
        </row>
        <row r="73">
          <cell r="A73" t="str">
            <v>ADR</v>
          </cell>
          <cell r="J73">
            <v>53.3</v>
          </cell>
          <cell r="L73">
            <v>56.2</v>
          </cell>
          <cell r="N73">
            <v>57.5</v>
          </cell>
          <cell r="P73">
            <v>59</v>
          </cell>
          <cell r="R73">
            <v>61.4</v>
          </cell>
          <cell r="T73">
            <v>63.8</v>
          </cell>
          <cell r="V73">
            <v>66.400000000000006</v>
          </cell>
          <cell r="X73">
            <v>68.900000000000006</v>
          </cell>
        </row>
        <row r="74">
          <cell r="A74" t="str">
            <v>RevPAR</v>
          </cell>
          <cell r="J74">
            <v>31.384341016466273</v>
          </cell>
          <cell r="L74">
            <v>33.784973314840222</v>
          </cell>
          <cell r="N74">
            <v>35.765000000000001</v>
          </cell>
          <cell r="P74">
            <v>37.110996645798437</v>
          </cell>
          <cell r="R74">
            <v>38.98899196654186</v>
          </cell>
          <cell r="T74">
            <v>40.959595567523969</v>
          </cell>
          <cell r="V74">
            <v>42.99399641264862</v>
          </cell>
          <cell r="X74">
            <v>44.991699062619659</v>
          </cell>
        </row>
        <row r="76">
          <cell r="A76" t="str">
            <v>Franchise Revenue</v>
          </cell>
          <cell r="J76">
            <v>8592</v>
          </cell>
          <cell r="L76">
            <v>8990</v>
          </cell>
          <cell r="N76">
            <v>9517</v>
          </cell>
          <cell r="P76">
            <v>9942</v>
          </cell>
          <cell r="R76">
            <v>11678</v>
          </cell>
          <cell r="T76">
            <v>13838</v>
          </cell>
          <cell r="V76">
            <v>16312</v>
          </cell>
          <cell r="X76">
            <v>19145</v>
          </cell>
        </row>
        <row r="77">
          <cell r="A77" t="str">
            <v>Allocated Franchise Expense</v>
          </cell>
          <cell r="J77">
            <v>-4763.9300999999996</v>
          </cell>
          <cell r="L77">
            <v>-5316.4557209999994</v>
          </cell>
          <cell r="N77">
            <v>-5889.1776565300006</v>
          </cell>
          <cell r="P77">
            <v>-6673</v>
          </cell>
          <cell r="R77">
            <v>-7420.491</v>
          </cell>
          <cell r="T77">
            <v>-8545.4590000000007</v>
          </cell>
          <cell r="V77">
            <v>-9811.8019999999997</v>
          </cell>
          <cell r="X77">
            <v>-11190.491</v>
          </cell>
        </row>
        <row r="78">
          <cell r="A78" t="str">
            <v xml:space="preserve">     Franchise EBITDA</v>
          </cell>
          <cell r="H78">
            <v>4000</v>
          </cell>
          <cell r="J78">
            <v>3828.0699000000004</v>
          </cell>
          <cell r="K78">
            <v>0.55446113826815635</v>
          </cell>
          <cell r="L78">
            <v>3673.5442790000006</v>
          </cell>
          <cell r="M78">
            <v>0.59137438498331474</v>
          </cell>
          <cell r="N78">
            <v>3627.8223434699994</v>
          </cell>
          <cell r="O78">
            <v>0.61880610029736272</v>
          </cell>
          <cell r="P78">
            <v>3269</v>
          </cell>
          <cell r="Q78">
            <v>0.67119291892979283</v>
          </cell>
          <cell r="R78">
            <v>4257.509</v>
          </cell>
          <cell r="S78">
            <v>0.63542481589313238</v>
          </cell>
          <cell r="T78">
            <v>5292.5409999999993</v>
          </cell>
          <cell r="U78">
            <v>0.61753569880040471</v>
          </cell>
          <cell r="V78">
            <v>6500.1980000000003</v>
          </cell>
          <cell r="W78">
            <v>0.60150821481118188</v>
          </cell>
          <cell r="X78">
            <v>7954.509</v>
          </cell>
          <cell r="Y78">
            <v>0.58451245756072079</v>
          </cell>
        </row>
        <row r="80">
          <cell r="A80" t="str">
            <v>Corporate Level</v>
          </cell>
        </row>
        <row r="82">
          <cell r="A82" t="str">
            <v>Total Corporate Revenue</v>
          </cell>
          <cell r="J82">
            <v>320430.18599999999</v>
          </cell>
          <cell r="L82">
            <v>329189.06300000002</v>
          </cell>
          <cell r="N82">
            <v>334296.39299999998</v>
          </cell>
          <cell r="P82">
            <v>356870.32</v>
          </cell>
          <cell r="R82">
            <v>383847.08894648001</v>
          </cell>
          <cell r="T82">
            <v>413263.09741274122</v>
          </cell>
          <cell r="V82">
            <v>435307.32306910859</v>
          </cell>
          <cell r="X82">
            <v>455461.57689185056</v>
          </cell>
        </row>
        <row r="83">
          <cell r="A83" t="str">
            <v>Total Corporate Expense</v>
          </cell>
          <cell r="J83">
            <v>-218599.93968000001</v>
          </cell>
          <cell r="L83">
            <v>-225021.24717100002</v>
          </cell>
          <cell r="N83">
            <v>-218873.43799653</v>
          </cell>
          <cell r="P83">
            <v>-230277.98848500001</v>
          </cell>
          <cell r="R83">
            <v>-240964.87332908832</v>
          </cell>
          <cell r="T83">
            <v>-253171.66029493025</v>
          </cell>
          <cell r="V83">
            <v>-263719.0672226281</v>
          </cell>
          <cell r="X83">
            <v>-274099.67358831316</v>
          </cell>
        </row>
        <row r="84">
          <cell r="A84" t="str">
            <v xml:space="preserve">     Total Corporate EBITDA</v>
          </cell>
          <cell r="H84">
            <v>147060.38000000006</v>
          </cell>
          <cell r="I84">
            <v>0.43778552791179337</v>
          </cell>
          <cell r="J84">
            <v>101830.24631999998</v>
          </cell>
          <cell r="K84">
            <v>0.32654835389531151</v>
          </cell>
          <cell r="L84">
            <v>104167.815829</v>
          </cell>
          <cell r="M84">
            <v>0.32532205076752518</v>
          </cell>
          <cell r="N84">
            <v>115422.95500346999</v>
          </cell>
          <cell r="O84">
            <v>0.35538878848594313</v>
          </cell>
          <cell r="P84">
            <v>126592.331515</v>
          </cell>
          <cell r="Q84">
            <v>0.36489477571332313</v>
          </cell>
          <cell r="R84">
            <v>142882.21561739166</v>
          </cell>
          <cell r="S84">
            <v>0.38391747154997852</v>
          </cell>
          <cell r="T84">
            <v>160091.43711781094</v>
          </cell>
          <cell r="U84">
            <v>0.40080465187289505</v>
          </cell>
          <cell r="V84">
            <v>171588.25584648046</v>
          </cell>
          <cell r="W84">
            <v>0.40952308152179279</v>
          </cell>
          <cell r="X84">
            <v>181361.90330353743</v>
          </cell>
          <cell r="Y84">
            <v>0.41566585573137976</v>
          </cell>
        </row>
        <row r="85">
          <cell r="A85" t="str">
            <v xml:space="preserve">       Corporate EBITDA Margin</v>
          </cell>
          <cell r="J85">
            <v>0.31779230162791211</v>
          </cell>
          <cell r="L85">
            <v>0.31643765707064209</v>
          </cell>
          <cell r="N85">
            <v>0.34527131437960207</v>
          </cell>
          <cell r="P85">
            <v>0.35472922353139369</v>
          </cell>
          <cell r="R85">
            <v>0.37223733025969047</v>
          </cell>
          <cell r="T85">
            <v>0.38738381946046752</v>
          </cell>
          <cell r="V85">
            <v>0.3941772783345513</v>
          </cell>
          <cell r="X85">
            <v>0.39819364026529475</v>
          </cell>
        </row>
        <row r="87">
          <cell r="H87">
            <v>125944.12100000007</v>
          </cell>
          <cell r="J87">
            <v>61880.246319999977</v>
          </cell>
          <cell r="L87">
            <v>59121.815828999999</v>
          </cell>
          <cell r="N87">
            <v>73915.955003469993</v>
          </cell>
          <cell r="P87">
            <v>98885.331514999998</v>
          </cell>
          <cell r="R87">
            <v>117487.21561739166</v>
          </cell>
          <cell r="T87">
            <v>160091.43711781094</v>
          </cell>
          <cell r="V87">
            <v>171588.25584648046</v>
          </cell>
          <cell r="X87">
            <v>181361.90330353743</v>
          </cell>
        </row>
      </sheetData>
      <sheetData sheetId="15">
        <row r="1">
          <cell r="J1">
            <v>366</v>
          </cell>
          <cell r="L1">
            <v>365</v>
          </cell>
          <cell r="N1">
            <v>365</v>
          </cell>
          <cell r="P1">
            <v>365</v>
          </cell>
          <cell r="R1">
            <v>366</v>
          </cell>
          <cell r="T1">
            <v>365</v>
          </cell>
          <cell r="V1">
            <v>365</v>
          </cell>
          <cell r="X1">
            <v>365</v>
          </cell>
        </row>
        <row r="3">
          <cell r="A3" t="str">
            <v>($ in 000's, expect per room figures)</v>
          </cell>
          <cell r="Z3" t="str">
            <v>% of revenue</v>
          </cell>
          <cell r="AA3" t="str">
            <v>CPI</v>
          </cell>
          <cell r="AB3" t="str">
            <v>CPRR</v>
          </cell>
          <cell r="AC3">
            <v>2002</v>
          </cell>
          <cell r="AE3" t="str">
            <v>2003 E</v>
          </cell>
          <cell r="AG3" t="str">
            <v>2004 B</v>
          </cell>
          <cell r="AI3" t="str">
            <v>2005 F</v>
          </cell>
          <cell r="AK3" t="str">
            <v>2006 F</v>
          </cell>
          <cell r="AM3" t="str">
            <v>2007 F</v>
          </cell>
          <cell r="AO3" t="str">
            <v>2008 F</v>
          </cell>
          <cell r="AQ3" t="str">
            <v>2009 F</v>
          </cell>
        </row>
        <row r="4">
          <cell r="B4" t="str">
            <v>2000 A (1)</v>
          </cell>
          <cell r="D4" t="str">
            <v>2001 A (1)</v>
          </cell>
          <cell r="F4" t="str">
            <v>2002 A (1)</v>
          </cell>
          <cell r="H4" t="str">
            <v>2003 A (1)</v>
          </cell>
          <cell r="J4" t="str">
            <v>2004 A (1)</v>
          </cell>
          <cell r="L4" t="str">
            <v>2005 A (1)</v>
          </cell>
          <cell r="N4" t="str">
            <v>2006 E</v>
          </cell>
          <cell r="P4" t="str">
            <v>2007 E</v>
          </cell>
          <cell r="R4" t="str">
            <v>2008 E</v>
          </cell>
          <cell r="T4" t="str">
            <v>2009 E</v>
          </cell>
          <cell r="V4" t="str">
            <v>2010 E</v>
          </cell>
          <cell r="X4" t="str">
            <v>2011 E</v>
          </cell>
        </row>
        <row r="5">
          <cell r="A5" t="str">
            <v>Owned and Leased Properties</v>
          </cell>
        </row>
        <row r="7">
          <cell r="A7" t="str">
            <v>Number of Hotels</v>
          </cell>
          <cell r="B7">
            <v>261</v>
          </cell>
          <cell r="D7">
            <v>260</v>
          </cell>
          <cell r="F7">
            <v>259</v>
          </cell>
          <cell r="H7">
            <v>251</v>
          </cell>
          <cell r="J7">
            <v>229</v>
          </cell>
          <cell r="L7">
            <v>226</v>
          </cell>
          <cell r="N7">
            <v>221</v>
          </cell>
          <cell r="P7">
            <v>221</v>
          </cell>
          <cell r="R7">
            <v>221</v>
          </cell>
          <cell r="T7">
            <v>221</v>
          </cell>
          <cell r="V7">
            <v>221</v>
          </cell>
          <cell r="X7">
            <v>221</v>
          </cell>
        </row>
        <row r="8">
          <cell r="A8" t="str">
            <v>Rooms Rented</v>
          </cell>
          <cell r="B8">
            <v>7538529</v>
          </cell>
          <cell r="D8">
            <v>7422397</v>
          </cell>
          <cell r="F8">
            <v>7167483</v>
          </cell>
          <cell r="H8">
            <v>6898973</v>
          </cell>
          <cell r="J8">
            <v>6206599</v>
          </cell>
          <cell r="L8">
            <v>6042535</v>
          </cell>
          <cell r="N8">
            <v>5617235</v>
          </cell>
          <cell r="P8">
            <v>5749532</v>
          </cell>
          <cell r="R8">
            <v>5902926.9095999999</v>
          </cell>
          <cell r="T8">
            <v>6135082.8629999999</v>
          </cell>
          <cell r="V8">
            <v>6188151.2350000003</v>
          </cell>
          <cell r="X8">
            <v>6226057.2149999999</v>
          </cell>
        </row>
        <row r="9">
          <cell r="A9" t="str">
            <v>Rooms Available</v>
          </cell>
          <cell r="B9">
            <v>11074946</v>
          </cell>
          <cell r="D9">
            <v>11116038</v>
          </cell>
          <cell r="F9">
            <v>10941553</v>
          </cell>
          <cell r="H9">
            <v>10928573</v>
          </cell>
          <cell r="J9">
            <v>9844943</v>
          </cell>
          <cell r="L9">
            <v>9707608</v>
          </cell>
          <cell r="N9">
            <v>9427887</v>
          </cell>
          <cell r="P9">
            <v>9476495</v>
          </cell>
          <cell r="R9">
            <v>9502458</v>
          </cell>
          <cell r="T9">
            <v>9476495</v>
          </cell>
          <cell r="V9">
            <v>9476495</v>
          </cell>
          <cell r="X9">
            <v>9476495</v>
          </cell>
        </row>
        <row r="10">
          <cell r="A10" t="str">
            <v>Occupancy</v>
          </cell>
          <cell r="B10">
            <v>0.68068313831959093</v>
          </cell>
          <cell r="D10">
            <v>0.66771964975290654</v>
          </cell>
          <cell r="E10">
            <v>-1.2963488566684389</v>
          </cell>
          <cell r="F10">
            <v>0.65506998869356114</v>
          </cell>
          <cell r="G10">
            <v>-1.2649661059345396</v>
          </cell>
          <cell r="H10">
            <v>0.63127848439132905</v>
          </cell>
          <cell r="I10">
            <v>-2.3791504302232092</v>
          </cell>
          <cell r="J10">
            <v>0.63043523969615667</v>
          </cell>
          <cell r="K10">
            <v>-8.4324469517238487E-2</v>
          </cell>
          <cell r="L10">
            <v>0.62245354365359629</v>
          </cell>
          <cell r="M10">
            <v>-0.79816960425603822</v>
          </cell>
          <cell r="N10">
            <v>0.59581059891786992</v>
          </cell>
          <cell r="O10">
            <v>-2.664294473572637</v>
          </cell>
          <cell r="P10">
            <v>0.60671503546406136</v>
          </cell>
          <cell r="Q10">
            <v>1.0904436546191443</v>
          </cell>
          <cell r="R10">
            <v>0.62119999999999997</v>
          </cell>
          <cell r="S10">
            <v>1.4484964535938616</v>
          </cell>
          <cell r="T10">
            <v>0.64739999999999998</v>
          </cell>
          <cell r="U10">
            <v>2.62</v>
          </cell>
          <cell r="V10">
            <v>0.65300000000000002</v>
          </cell>
          <cell r="W10">
            <v>0.56000000000000494</v>
          </cell>
          <cell r="X10">
            <v>0.65700000000000003</v>
          </cell>
          <cell r="Y10">
            <v>0.40000000000000036</v>
          </cell>
        </row>
        <row r="11">
          <cell r="A11" t="str">
            <v>ADR</v>
          </cell>
          <cell r="B11">
            <v>50.082437037782839</v>
          </cell>
          <cell r="D11">
            <v>48.392866617078013</v>
          </cell>
          <cell r="E11">
            <v>-3.3735786847397052E-2</v>
          </cell>
          <cell r="F11">
            <v>47.367970318171665</v>
          </cell>
          <cell r="G11">
            <v>-2.1178664760988949E-2</v>
          </cell>
          <cell r="H11">
            <v>47.390024283324486</v>
          </cell>
          <cell r="I11">
            <v>4.6558813908817215E-4</v>
          </cell>
          <cell r="J11">
            <v>48.963130693637531</v>
          </cell>
          <cell r="K11">
            <v>3.3194885086112666E-2</v>
          </cell>
          <cell r="L11">
            <v>51.871420355860579</v>
          </cell>
          <cell r="M11">
            <v>5.9397543029268814E-2</v>
          </cell>
          <cell r="N11">
            <v>56.54471087643654</v>
          </cell>
          <cell r="O11">
            <v>9.0093745043323445E-2</v>
          </cell>
          <cell r="P11">
            <v>59.059592850339826</v>
          </cell>
          <cell r="Q11">
            <v>4.4475989618178315E-2</v>
          </cell>
          <cell r="R11">
            <v>61.751448808757246</v>
          </cell>
          <cell r="S11">
            <v>4.5578640632330934E-2</v>
          </cell>
          <cell r="T11">
            <v>63.765999999999998</v>
          </cell>
          <cell r="U11">
            <v>3.2623545359749678E-2</v>
          </cell>
          <cell r="V11">
            <v>66.316640000000007</v>
          </cell>
          <cell r="W11">
            <v>4.0000000000000133E-2</v>
          </cell>
          <cell r="X11">
            <v>68.637722400000001</v>
          </cell>
          <cell r="Y11">
            <v>3.4999999999999913E-2</v>
          </cell>
        </row>
        <row r="12">
          <cell r="A12" t="str">
            <v>REVPAR</v>
          </cell>
          <cell r="B12">
            <v>34.09027041757134</v>
          </cell>
          <cell r="D12">
            <v>32.312867948094457</v>
          </cell>
          <cell r="E12">
            <v>-5.213811588190706E-2</v>
          </cell>
          <cell r="F12">
            <v>31.029335780761652</v>
          </cell>
          <cell r="G12">
            <v>-3.9722013205222055E-2</v>
          </cell>
          <cell r="H12">
            <v>29.916302704845361</v>
          </cell>
          <cell r="I12">
            <v>-3.5870348104788563E-2</v>
          </cell>
          <cell r="J12">
            <v>30.868083035117621</v>
          </cell>
          <cell r="K12">
            <v>3.1814771352681438E-2</v>
          </cell>
          <cell r="L12">
            <v>32.287549414850709</v>
          </cell>
          <cell r="M12">
            <v>4.5984921646031809E-2</v>
          </cell>
          <cell r="N12">
            <v>33.689938052927445</v>
          </cell>
          <cell r="O12">
            <v>4.3434347403018006E-2</v>
          </cell>
          <cell r="P12">
            <v>35.832342970686952</v>
          </cell>
          <cell r="Q12">
            <v>6.3591833098468553E-2</v>
          </cell>
          <cell r="R12">
            <v>38.36</v>
          </cell>
          <cell r="S12">
            <v>7.0541215554361755E-2</v>
          </cell>
          <cell r="T12">
            <v>41.282108399999998</v>
          </cell>
          <cell r="U12">
            <v>7.6175922836287782E-2</v>
          </cell>
          <cell r="V12">
            <v>43.304765920000008</v>
          </cell>
          <cell r="W12">
            <v>4.8995983935743212E-2</v>
          </cell>
          <cell r="X12">
            <v>45.0949836168</v>
          </cell>
          <cell r="Y12">
            <v>4.1339969372128443E-2</v>
          </cell>
        </row>
        <row r="13">
          <cell r="L13">
            <v>0</v>
          </cell>
        </row>
        <row r="14">
          <cell r="A14" t="str">
            <v>Room Revenue</v>
          </cell>
          <cell r="B14">
            <v>377547.90399999998</v>
          </cell>
          <cell r="D14">
            <v>359191.06800000003</v>
          </cell>
          <cell r="F14">
            <v>339509.12199999997</v>
          </cell>
          <cell r="H14">
            <v>326942.49800000002</v>
          </cell>
          <cell r="J14">
            <v>303894.51799999998</v>
          </cell>
          <cell r="L14">
            <v>313434.87300000002</v>
          </cell>
          <cell r="N14">
            <v>317624.929</v>
          </cell>
          <cell r="P14">
            <v>339565.01900000003</v>
          </cell>
          <cell r="R14">
            <v>364514.28888000001</v>
          </cell>
          <cell r="T14">
            <v>391209.69384205801</v>
          </cell>
          <cell r="V14">
            <v>410377.39771705051</v>
          </cell>
          <cell r="X14">
            <v>427342.38676968712</v>
          </cell>
        </row>
        <row r="15">
          <cell r="A15" t="str">
            <v>Other Revenue</v>
          </cell>
          <cell r="B15">
            <v>13603.254000000001</v>
          </cell>
          <cell r="D15">
            <v>12599.285</v>
          </cell>
          <cell r="F15">
            <v>5126.9830000000002</v>
          </cell>
          <cell r="H15">
            <v>8976.2810000000009</v>
          </cell>
          <cell r="J15">
            <v>7943.6680000000006</v>
          </cell>
          <cell r="L15">
            <v>6764.19</v>
          </cell>
          <cell r="N15">
            <v>7154.4639999999999</v>
          </cell>
          <cell r="P15">
            <v>7363.3009999999995</v>
          </cell>
          <cell r="R15">
            <v>7654.8000664800011</v>
          </cell>
          <cell r="T15">
            <v>8215.4035706832183</v>
          </cell>
          <cell r="V15">
            <v>8617.9253520580605</v>
          </cell>
          <cell r="X15">
            <v>8974.1901221634307</v>
          </cell>
          <cell r="Z15">
            <v>2.1000000000000001E-2</v>
          </cell>
          <cell r="AC15">
            <v>1.5101164203770645E-2</v>
          </cell>
          <cell r="AE15">
            <v>2.7455228533795568E-2</v>
          </cell>
          <cell r="AG15">
            <v>2.613955675238604E-2</v>
          </cell>
          <cell r="AI15">
            <v>2.1580846876601376E-2</v>
          </cell>
        </row>
        <row r="16">
          <cell r="A16" t="str">
            <v xml:space="preserve">     Total Revenue</v>
          </cell>
          <cell r="B16">
            <v>391151.158</v>
          </cell>
          <cell r="D16">
            <v>371790.353</v>
          </cell>
          <cell r="E16">
            <v>-4.9496990112451601E-2</v>
          </cell>
          <cell r="F16">
            <v>344636.10499999998</v>
          </cell>
          <cell r="G16">
            <v>-7.3036451271235703E-2</v>
          </cell>
          <cell r="H16">
            <v>335918.77900000004</v>
          </cell>
          <cell r="I16">
            <v>-2.5294291206082262E-2</v>
          </cell>
          <cell r="J16">
            <v>311838.18599999999</v>
          </cell>
          <cell r="K16">
            <v>-7.1685760086666814E-2</v>
          </cell>
          <cell r="L16">
            <v>320199.06300000002</v>
          </cell>
          <cell r="M16">
            <v>2.681158810999509E-2</v>
          </cell>
          <cell r="N16">
            <v>324779.39299999998</v>
          </cell>
          <cell r="O16">
            <v>1.4304632740289929E-2</v>
          </cell>
          <cell r="P16">
            <v>346928.32</v>
          </cell>
          <cell r="Q16">
            <v>6.819683599815099E-2</v>
          </cell>
          <cell r="R16">
            <v>372169.08894648001</v>
          </cell>
          <cell r="S16">
            <v>7.2754997189275306E-2</v>
          </cell>
          <cell r="T16">
            <v>399425.09741274122</v>
          </cell>
          <cell r="U16">
            <v>7.3235551462418128E-2</v>
          </cell>
          <cell r="V16">
            <v>418995.32306910859</v>
          </cell>
          <cell r="W16">
            <v>4.8995983935743302E-2</v>
          </cell>
          <cell r="X16">
            <v>436316.57689185056</v>
          </cell>
          <cell r="Y16">
            <v>4.1339969372128346E-2</v>
          </cell>
        </row>
        <row r="18">
          <cell r="A18" t="str">
            <v>Salaries &amp; Wages</v>
          </cell>
          <cell r="B18">
            <v>-78737.596999999994</v>
          </cell>
          <cell r="C18">
            <v>-0.20129710826524</v>
          </cell>
          <cell r="D18">
            <v>-75807.857000000004</v>
          </cell>
          <cell r="E18">
            <v>-0.2038994728838486</v>
          </cell>
          <cell r="F18">
            <v>-74448.653999999995</v>
          </cell>
          <cell r="G18">
            <v>-0.21602105211814646</v>
          </cell>
          <cell r="H18">
            <v>-75216.822</v>
          </cell>
          <cell r="I18">
            <v>-0.22391371576163055</v>
          </cell>
          <cell r="J18">
            <v>-66743.914000000004</v>
          </cell>
          <cell r="K18">
            <v>-0.21403380662302854</v>
          </cell>
          <cell r="L18">
            <v>-68772.820000000007</v>
          </cell>
          <cell r="M18">
            <v>-0.21478145299881782</v>
          </cell>
          <cell r="N18">
            <v>-68215.285999999993</v>
          </cell>
          <cell r="O18">
            <v>-0.21003575802606417</v>
          </cell>
          <cell r="P18">
            <v>-70975.761000000013</v>
          </cell>
          <cell r="Q18">
            <v>-0.20458335889096632</v>
          </cell>
          <cell r="R18">
            <v>-73105.033830000015</v>
          </cell>
          <cell r="S18">
            <v>-0.19642962298922392</v>
          </cell>
          <cell r="T18">
            <v>-75298.184844900024</v>
          </cell>
          <cell r="U18">
            <v>-0.18851640853977569</v>
          </cell>
          <cell r="V18">
            <v>-77557.130390247024</v>
          </cell>
          <cell r="W18">
            <v>-0.18510261599615718</v>
          </cell>
          <cell r="X18">
            <v>-79883.844301954436</v>
          </cell>
          <cell r="Y18">
            <v>-0.18308688812837651</v>
          </cell>
          <cell r="AA18">
            <v>0.03</v>
          </cell>
          <cell r="AC18">
            <v>-1.7929579515748726E-2</v>
          </cell>
          <cell r="AE18">
            <v>1.0318091177310005E-2</v>
          </cell>
          <cell r="AG18">
            <v>-0.11264645028475141</v>
          </cell>
          <cell r="AI18">
            <v>3.0398367108048271E-2</v>
          </cell>
          <cell r="AK18">
            <v>-8.1068945551456828E-3</v>
          </cell>
        </row>
        <row r="19">
          <cell r="A19" t="str">
            <v>Payroll Taxes &amp; Benefits</v>
          </cell>
          <cell r="B19">
            <v>-17887.333999999999</v>
          </cell>
          <cell r="C19">
            <v>-4.5729978383446328E-2</v>
          </cell>
          <cell r="D19">
            <v>-16886.874</v>
          </cell>
          <cell r="E19">
            <v>-4.5420420039785164E-2</v>
          </cell>
          <cell r="F19">
            <v>-16910.671999999999</v>
          </cell>
          <cell r="G19">
            <v>-4.9068196148514383E-2</v>
          </cell>
          <cell r="H19">
            <v>-16600.096000000001</v>
          </cell>
          <cell r="I19">
            <v>-4.9416993147620367E-2</v>
          </cell>
          <cell r="J19">
            <v>-18210.126</v>
          </cell>
          <cell r="K19">
            <v>-5.8396074687273869E-2</v>
          </cell>
          <cell r="L19">
            <v>-20541.084000000003</v>
          </cell>
          <cell r="M19">
            <v>-6.4150980978979324E-2</v>
          </cell>
          <cell r="N19">
            <v>-17330.589</v>
          </cell>
          <cell r="O19">
            <v>-5.3361110259849527E-2</v>
          </cell>
          <cell r="P19">
            <v>-18446.7</v>
          </cell>
          <cell r="Q19">
            <v>-5.3171502401418255E-2</v>
          </cell>
          <cell r="R19">
            <v>-19553.502</v>
          </cell>
          <cell r="S19">
            <v>-5.2539296198271593E-2</v>
          </cell>
          <cell r="T19">
            <v>-20726.71212</v>
          </cell>
          <cell r="U19">
            <v>-5.1891361494949571E-2</v>
          </cell>
          <cell r="V19">
            <v>-21970.314847200007</v>
          </cell>
          <cell r="W19">
            <v>-5.2435704261014508E-2</v>
          </cell>
          <cell r="X19">
            <v>-23288.533738032009</v>
          </cell>
          <cell r="Y19">
            <v>-5.3375312723459779E-2</v>
          </cell>
          <cell r="AA19">
            <v>0.06</v>
          </cell>
          <cell r="AC19">
            <v>0.22714543637014578</v>
          </cell>
          <cell r="AE19">
            <v>0.22069658832435118</v>
          </cell>
          <cell r="AG19">
            <v>0.27283575248523784</v>
          </cell>
          <cell r="AI19">
            <v>0.29868026351107896</v>
          </cell>
          <cell r="AK19">
            <v>0.25405726511210408</v>
          </cell>
        </row>
        <row r="20">
          <cell r="A20" t="str">
            <v xml:space="preserve">     Total Personnel Costs</v>
          </cell>
          <cell r="B20">
            <v>-96624.930999999997</v>
          </cell>
          <cell r="C20">
            <v>-0.24702708664868633</v>
          </cell>
          <cell r="D20">
            <v>-92694.731</v>
          </cell>
          <cell r="E20">
            <v>-0.24931989292363377</v>
          </cell>
          <cell r="F20">
            <v>-91359.326000000001</v>
          </cell>
          <cell r="G20">
            <v>-0.26508924826666086</v>
          </cell>
          <cell r="H20">
            <v>-91816.918000000005</v>
          </cell>
          <cell r="I20">
            <v>-0.27333070890925093</v>
          </cell>
          <cell r="J20">
            <v>-84954.040000000008</v>
          </cell>
          <cell r="K20">
            <v>-0.27242988131030244</v>
          </cell>
          <cell r="L20">
            <v>-89313.90400000001</v>
          </cell>
          <cell r="M20">
            <v>-0.2789324339777971</v>
          </cell>
          <cell r="N20">
            <v>-85545.875</v>
          </cell>
          <cell r="O20">
            <v>-0.26339686828591369</v>
          </cell>
          <cell r="P20">
            <v>-89422.46100000001</v>
          </cell>
          <cell r="Q20">
            <v>-0.25775486129238456</v>
          </cell>
          <cell r="R20">
            <v>-92658.535830000008</v>
          </cell>
          <cell r="S20">
            <v>-0.2489689191874955</v>
          </cell>
          <cell r="T20">
            <v>-96024.896964900021</v>
          </cell>
          <cell r="U20">
            <v>-0.24040777003472524</v>
          </cell>
          <cell r="V20">
            <v>-99527.445237447027</v>
          </cell>
          <cell r="W20">
            <v>-0.23753832025717167</v>
          </cell>
          <cell r="X20">
            <v>-103172.37803998645</v>
          </cell>
          <cell r="Y20">
            <v>-0.23646220085183631</v>
          </cell>
          <cell r="AC20">
            <v>1.4092602337175528E-3</v>
          </cell>
          <cell r="AE20">
            <v>-1.8365680559589669E-2</v>
          </cell>
          <cell r="AG20">
            <v>9.6989198134757704E-2</v>
          </cell>
          <cell r="AI20">
            <v>0.12800339767006566</v>
          </cell>
          <cell r="AK20">
            <v>-0.1562962792031814</v>
          </cell>
        </row>
        <row r="21">
          <cell r="B21" t="str">
            <v xml:space="preserve"> </v>
          </cell>
          <cell r="D21" t="str">
            <v xml:space="preserve"> </v>
          </cell>
          <cell r="F21" t="str">
            <v xml:space="preserve"> </v>
          </cell>
          <cell r="H21" t="str">
            <v xml:space="preserve"> </v>
          </cell>
          <cell r="J21" t="str">
            <v xml:space="preserve"> </v>
          </cell>
          <cell r="L21" t="str">
            <v xml:space="preserve"> </v>
          </cell>
          <cell r="N21" t="str">
            <v xml:space="preserve"> </v>
          </cell>
          <cell r="P21" t="str">
            <v xml:space="preserve"> </v>
          </cell>
          <cell r="R21" t="str">
            <v xml:space="preserve"> </v>
          </cell>
          <cell r="T21" t="str">
            <v xml:space="preserve"> </v>
          </cell>
          <cell r="V21" t="str">
            <v xml:space="preserve"> </v>
          </cell>
          <cell r="X21" t="str">
            <v xml:space="preserve"> </v>
          </cell>
        </row>
        <row r="22">
          <cell r="A22" t="str">
            <v>Total Energy</v>
          </cell>
          <cell r="B22">
            <v>-17446.990000000002</v>
          </cell>
          <cell r="C22">
            <v>-4.4604214107938293E-2</v>
          </cell>
          <cell r="D22">
            <v>-18256.791000000001</v>
          </cell>
          <cell r="E22">
            <v>-4.9105069167838251E-2</v>
          </cell>
          <cell r="F22">
            <v>-16882.420999999998</v>
          </cell>
          <cell r="G22">
            <v>-4.8986222729043433E-2</v>
          </cell>
          <cell r="H22">
            <v>-18371.813999999998</v>
          </cell>
          <cell r="I22">
            <v>-5.4691238324607025E-2</v>
          </cell>
          <cell r="J22">
            <v>-16638.219000000001</v>
          </cell>
          <cell r="K22">
            <v>-5.3355296903888488E-2</v>
          </cell>
          <cell r="L22">
            <v>-18551.362000000001</v>
          </cell>
          <cell r="M22">
            <v>-5.7936965293368142E-2</v>
          </cell>
          <cell r="N22">
            <v>-18275.59</v>
          </cell>
          <cell r="O22">
            <v>-5.627078070190248E-2</v>
          </cell>
          <cell r="P22">
            <v>-19199.957999999999</v>
          </cell>
          <cell r="Q22">
            <v>-5.5342723246116082E-2</v>
          </cell>
          <cell r="R22">
            <v>-20159.955900000001</v>
          </cell>
          <cell r="S22">
            <v>-5.4168807939068565E-2</v>
          </cell>
          <cell r="T22">
            <v>-21167.953695</v>
          </cell>
          <cell r="U22">
            <v>-5.2996053157687149E-2</v>
          </cell>
          <cell r="V22">
            <v>-22226.351379750002</v>
          </cell>
          <cell r="W22">
            <v>-5.304677679202642E-2</v>
          </cell>
          <cell r="X22">
            <v>-23337.668948737504</v>
          </cell>
          <cell r="Y22">
            <v>-5.3487926392771903E-2</v>
          </cell>
          <cell r="Z22">
            <v>-4.4999999999999998E-2</v>
          </cell>
          <cell r="AC22">
            <v>-4.8986222729043433E-2</v>
          </cell>
          <cell r="AE22">
            <v>-5.4691238324607025E-2</v>
          </cell>
          <cell r="AG22">
            <v>-5.3355296903888488E-2</v>
          </cell>
          <cell r="AI22">
            <v>-5.7936965293368142E-2</v>
          </cell>
        </row>
        <row r="23">
          <cell r="A23" t="str">
            <v>Total Supplies &amp; Cost of Sales</v>
          </cell>
          <cell r="B23">
            <v>-17692.772000000001</v>
          </cell>
          <cell r="C23">
            <v>-4.5232569655335141E-2</v>
          </cell>
          <cell r="D23">
            <v>-17204.702000000001</v>
          </cell>
          <cell r="E23">
            <v>-4.6275278153868615E-2</v>
          </cell>
          <cell r="F23">
            <v>-11045.963</v>
          </cell>
          <cell r="G23">
            <v>-3.2051090526339372E-2</v>
          </cell>
          <cell r="H23">
            <v>-16315.939</v>
          </cell>
          <cell r="I23">
            <v>-4.8571083309397238E-2</v>
          </cell>
          <cell r="J23">
            <v>-14334.479000000001</v>
          </cell>
          <cell r="K23">
            <v>-4.5967683380508127E-2</v>
          </cell>
          <cell r="L23">
            <v>-14122.607</v>
          </cell>
          <cell r="M23">
            <v>-4.4105709953311131E-2</v>
          </cell>
          <cell r="N23">
            <v>-14617.374</v>
          </cell>
          <cell r="O23">
            <v>-4.5007085778992144E-2</v>
          </cell>
          <cell r="P23">
            <v>-15108.29</v>
          </cell>
          <cell r="Q23">
            <v>-4.3548736522864437E-2</v>
          </cell>
          <cell r="R23">
            <v>-16747.609002591598</v>
          </cell>
          <cell r="S23">
            <v>-4.4999999999999991E-2</v>
          </cell>
          <cell r="T23">
            <v>-17974.129383573356</v>
          </cell>
          <cell r="U23">
            <v>-4.5000000000000005E-2</v>
          </cell>
          <cell r="V23">
            <v>-18854.789538109886</v>
          </cell>
          <cell r="W23">
            <v>-4.4999999999999998E-2</v>
          </cell>
          <cell r="X23">
            <v>-19634.245960133274</v>
          </cell>
          <cell r="Y23">
            <v>-4.4999999999999998E-2</v>
          </cell>
          <cell r="AA23">
            <v>2.5000000000000001E-2</v>
          </cell>
        </row>
        <row r="24">
          <cell r="A24" t="str">
            <v>Total R&amp;M</v>
          </cell>
          <cell r="B24">
            <v>-11454.450999999999</v>
          </cell>
          <cell r="C24">
            <v>-2.9283950119355136E-2</v>
          </cell>
          <cell r="D24">
            <v>-11079.592000000001</v>
          </cell>
          <cell r="E24">
            <v>-2.9800644128063217E-2</v>
          </cell>
          <cell r="F24">
            <v>-11592.736000000001</v>
          </cell>
          <cell r="G24">
            <v>-3.3637613215249169E-2</v>
          </cell>
          <cell r="H24">
            <v>-11739.133</v>
          </cell>
          <cell r="I24">
            <v>-3.494634338379754E-2</v>
          </cell>
          <cell r="J24">
            <v>-10936.673999999999</v>
          </cell>
          <cell r="K24">
            <v>-3.5071631669894333E-2</v>
          </cell>
          <cell r="L24">
            <v>-11875.434999999999</v>
          </cell>
          <cell r="M24">
            <v>-3.7087663182824485E-2</v>
          </cell>
          <cell r="N24">
            <v>-11472.124</v>
          </cell>
          <cell r="O24">
            <v>-3.5322819881001506E-2</v>
          </cell>
          <cell r="P24">
            <v>-11961.561</v>
          </cell>
          <cell r="Q24">
            <v>-3.4478479589097825E-2</v>
          </cell>
          <cell r="R24">
            <v>-13025.918113126801</v>
          </cell>
          <cell r="S24">
            <v>-3.5000000000000003E-2</v>
          </cell>
          <cell r="T24">
            <v>-13979.878409445944</v>
          </cell>
          <cell r="U24">
            <v>-3.5000000000000003E-2</v>
          </cell>
          <cell r="V24">
            <v>-14664.836307418802</v>
          </cell>
          <cell r="W24">
            <v>-3.5000000000000003E-2</v>
          </cell>
          <cell r="X24">
            <v>-15271.080191214771</v>
          </cell>
          <cell r="Y24">
            <v>-3.5000000000000003E-2</v>
          </cell>
        </row>
        <row r="25">
          <cell r="A25" t="str">
            <v>Total Other Utilities</v>
          </cell>
          <cell r="B25">
            <v>-11740.447</v>
          </cell>
          <cell r="C25">
            <v>-3.0015115026196599E-2</v>
          </cell>
          <cell r="D25">
            <v>-10973.942999999999</v>
          </cell>
          <cell r="E25">
            <v>-2.9516481295037797E-2</v>
          </cell>
          <cell r="F25">
            <v>-10998.856</v>
          </cell>
          <cell r="G25">
            <v>-3.1914404325106914E-2</v>
          </cell>
          <cell r="H25">
            <v>-10746.869000000001</v>
          </cell>
          <cell r="I25">
            <v>-3.1992462678009433E-2</v>
          </cell>
          <cell r="J25">
            <v>-9255.8580000000002</v>
          </cell>
          <cell r="K25">
            <v>-2.9681605446486278E-2</v>
          </cell>
          <cell r="L25">
            <v>-9252.2530000000006</v>
          </cell>
          <cell r="M25">
            <v>-2.8895315661807541E-2</v>
          </cell>
          <cell r="N25">
            <v>-8860.2839999999997</v>
          </cell>
          <cell r="O25">
            <v>-2.7280930351390859E-2</v>
          </cell>
          <cell r="P25">
            <v>-9278.9369999999999</v>
          </cell>
          <cell r="Q25">
            <v>-2.674597738230191E-2</v>
          </cell>
          <cell r="R25">
            <v>-9149.5367098799998</v>
          </cell>
          <cell r="S25">
            <v>-2.4584354213242451E-2</v>
          </cell>
          <cell r="T25">
            <v>-9509.3784376500007</v>
          </cell>
          <cell r="U25">
            <v>-2.3807663812931607E-2</v>
          </cell>
          <cell r="V25">
            <v>-9591.634414250002</v>
          </cell>
          <cell r="W25">
            <v>-2.2891984435511156E-2</v>
          </cell>
          <cell r="X25">
            <v>-9650.3886832500011</v>
          </cell>
          <cell r="Y25">
            <v>-2.2117859357981797E-2</v>
          </cell>
          <cell r="AA25">
            <v>2.5000000000000001E-2</v>
          </cell>
          <cell r="AC25">
            <v>2.2701958630549171E-3</v>
          </cell>
          <cell r="AE25">
            <v>-2.2910291761252186E-2</v>
          </cell>
          <cell r="AG25">
            <v>-0.13873910624573541</v>
          </cell>
          <cell r="AI25">
            <v>-3.8948307115337804E-4</v>
          </cell>
          <cell r="AK25">
            <v>-4.2364708358061644E-2</v>
          </cell>
        </row>
        <row r="26">
          <cell r="A26" t="str">
            <v>Total Billboard &amp; Local Adv.</v>
          </cell>
          <cell r="B26">
            <v>-9611.1260000000002</v>
          </cell>
          <cell r="C26">
            <v>-2.4571385776135171E-2</v>
          </cell>
          <cell r="D26">
            <v>-7685.5389999999998</v>
          </cell>
          <cell r="E26">
            <v>-2.0671700967991494E-2</v>
          </cell>
          <cell r="F26">
            <v>-7168.3760000000002</v>
          </cell>
          <cell r="G26">
            <v>-2.0799840457806938E-2</v>
          </cell>
          <cell r="H26">
            <v>-7020.3540000000003</v>
          </cell>
          <cell r="I26">
            <v>-2.0898962603099959E-2</v>
          </cell>
          <cell r="J26">
            <v>-6004.6970000000001</v>
          </cell>
          <cell r="K26">
            <v>-1.925581044779423E-2</v>
          </cell>
          <cell r="L26">
            <v>-5991.384</v>
          </cell>
          <cell r="M26">
            <v>-1.8711435142456989E-2</v>
          </cell>
          <cell r="N26">
            <v>-5755.2970000000005</v>
          </cell>
          <cell r="O26">
            <v>-1.7720634757144214E-2</v>
          </cell>
          <cell r="P26">
            <v>-5700.4459999999999</v>
          </cell>
          <cell r="Q26">
            <v>-1.6431192472266317E-2</v>
          </cell>
          <cell r="R26">
            <v>-5842.9571499999984</v>
          </cell>
          <cell r="S26">
            <v>-1.5699737897470169E-2</v>
          </cell>
          <cell r="T26">
            <v>-5989.0310787499975</v>
          </cell>
          <cell r="U26">
            <v>-1.4994128104477377E-2</v>
          </cell>
          <cell r="V26">
            <v>-6138.7568557187469</v>
          </cell>
          <cell r="W26">
            <v>-1.4651134553848534E-2</v>
          </cell>
          <cell r="X26">
            <v>-6292.2257771117147</v>
          </cell>
          <cell r="Y26">
            <v>-1.4421239325663677E-2</v>
          </cell>
          <cell r="Z26">
            <v>-1.9E-2</v>
          </cell>
          <cell r="AC26">
            <v>-1.0001245904594402</v>
          </cell>
          <cell r="AE26">
            <v>-1.0175940679866409</v>
          </cell>
          <cell r="AG26">
            <v>-0.96746978498208114</v>
          </cell>
          <cell r="AI26">
            <v>-0.99153484423342197</v>
          </cell>
        </row>
        <row r="27">
          <cell r="A27" t="str">
            <v>Total Guest Finance</v>
          </cell>
          <cell r="B27">
            <v>-9652.9699999999993</v>
          </cell>
          <cell r="C27">
            <v>-2.4678362322526983E-2</v>
          </cell>
          <cell r="D27">
            <v>-10953.566000000001</v>
          </cell>
          <cell r="E27">
            <v>-2.9461673525455891E-2</v>
          </cell>
          <cell r="F27">
            <v>-8577.348</v>
          </cell>
          <cell r="G27">
            <v>-2.4888129466296052E-2</v>
          </cell>
          <cell r="H27">
            <v>-7124.8670000000002</v>
          </cell>
          <cell r="I27">
            <v>-2.121008840651924E-2</v>
          </cell>
          <cell r="J27">
            <v>-5537.4</v>
          </cell>
          <cell r="K27">
            <v>-1.7757286466513759E-2</v>
          </cell>
          <cell r="L27">
            <v>-6850.7</v>
          </cell>
          <cell r="M27">
            <v>-2.139512819248943E-2</v>
          </cell>
          <cell r="N27">
            <v>-6551.8289999999997</v>
          </cell>
          <cell r="O27">
            <v>-2.017316720583932E-2</v>
          </cell>
          <cell r="P27">
            <v>-6881.692</v>
          </cell>
          <cell r="Q27">
            <v>-1.9836062965398731E-2</v>
          </cell>
          <cell r="R27">
            <v>-7071.2126899831201</v>
          </cell>
          <cell r="S27">
            <v>-1.9E-2</v>
          </cell>
          <cell r="T27">
            <v>-7589.0768508420833</v>
          </cell>
          <cell r="U27">
            <v>-1.9E-2</v>
          </cell>
          <cell r="V27">
            <v>-7960.911138313063</v>
          </cell>
          <cell r="W27">
            <v>-1.9E-2</v>
          </cell>
          <cell r="X27">
            <v>-8290.0149609451601</v>
          </cell>
          <cell r="Y27">
            <v>-1.9E-2</v>
          </cell>
          <cell r="Z27" t="str">
            <v>See exhibit</v>
          </cell>
          <cell r="AC27">
            <v>-0.21693556235476197</v>
          </cell>
          <cell r="AE27">
            <v>-0.16933917103514975</v>
          </cell>
          <cell r="AG27">
            <v>-0.22280654502041941</v>
          </cell>
          <cell r="AI27">
            <v>0.23716906851591005</v>
          </cell>
          <cell r="AK27">
            <v>-4.3626344753090941E-2</v>
          </cell>
        </row>
        <row r="28">
          <cell r="A28" t="str">
            <v>Total Legal Expenses</v>
          </cell>
          <cell r="B28">
            <v>-0.57799999999999996</v>
          </cell>
          <cell r="C28">
            <v>-1.4776896045901518E-6</v>
          </cell>
          <cell r="D28">
            <v>-0.311</v>
          </cell>
          <cell r="E28">
            <v>-8.3649292535570441E-7</v>
          </cell>
          <cell r="F28">
            <v>-0.29699999999999999</v>
          </cell>
          <cell r="G28">
            <v>-8.6177854174622822E-7</v>
          </cell>
          <cell r="H28">
            <v>-12.082000000000001</v>
          </cell>
          <cell r="I28">
            <v>-3.5967027612945686E-5</v>
          </cell>
          <cell r="J28">
            <v>-3521.011</v>
          </cell>
          <cell r="K28">
            <v>-1.1291147646683656E-2</v>
          </cell>
          <cell r="L28">
            <v>-582.42999999999995</v>
          </cell>
          <cell r="M28">
            <v>-1.8189622247582902E-3</v>
          </cell>
          <cell r="N28">
            <v>-824.2</v>
          </cell>
          <cell r="O28">
            <v>-2.5377225826639809E-3</v>
          </cell>
          <cell r="P28">
            <v>-29.867999999999999</v>
          </cell>
          <cell r="Q28">
            <v>-8.6092712177547216E-5</v>
          </cell>
          <cell r="R28">
            <v>-29.867999999999999</v>
          </cell>
          <cell r="S28">
            <v>-8.0253843984058495E-5</v>
          </cell>
          <cell r="T28">
            <v>-29.867999999999999</v>
          </cell>
          <cell r="U28">
            <v>-7.4777474408765682E-5</v>
          </cell>
          <cell r="V28">
            <v>-29.867999999999999</v>
          </cell>
          <cell r="W28">
            <v>-7.1284805236533882E-5</v>
          </cell>
          <cell r="X28">
            <v>-29.867999999999999</v>
          </cell>
          <cell r="Y28">
            <v>-6.8454882490983967E-5</v>
          </cell>
          <cell r="AB28">
            <v>-0.25</v>
          </cell>
          <cell r="AC28">
            <v>-4.1437140485718622E-5</v>
          </cell>
          <cell r="AE28">
            <v>-1.7512751535627116E-3</v>
          </cell>
          <cell r="AG28">
            <v>-0.56730119023316961</v>
          </cell>
          <cell r="AI28">
            <v>-9.6388353563529205E-2</v>
          </cell>
        </row>
        <row r="29">
          <cell r="A29" t="str">
            <v>Total Outsides</v>
          </cell>
          <cell r="B29">
            <v>-5231.5720000000001</v>
          </cell>
          <cell r="C29">
            <v>-1.3374808927447942E-2</v>
          </cell>
          <cell r="D29">
            <v>-3113.08</v>
          </cell>
          <cell r="E29">
            <v>-8.3732134921747151E-3</v>
          </cell>
          <cell r="F29">
            <v>-3108.7460000000001</v>
          </cell>
          <cell r="G29">
            <v>-9.0203723721865997E-3</v>
          </cell>
          <cell r="H29">
            <v>-3054.848</v>
          </cell>
          <cell r="I29">
            <v>-9.094007810739272E-3</v>
          </cell>
          <cell r="J29">
            <v>-2677.4389999999999</v>
          </cell>
          <cell r="K29">
            <v>-8.5859882471224988E-3</v>
          </cell>
          <cell r="L29">
            <v>-2756.933</v>
          </cell>
          <cell r="M29">
            <v>-8.610059549112422E-3</v>
          </cell>
          <cell r="N29">
            <v>-2590.9930000000004</v>
          </cell>
          <cell r="O29">
            <v>-7.9777013438780599E-3</v>
          </cell>
          <cell r="P29">
            <v>-2733.3409999999999</v>
          </cell>
          <cell r="Q29">
            <v>-7.8786909065250137E-3</v>
          </cell>
          <cell r="R29">
            <v>-2801.6745249999994</v>
          </cell>
          <cell r="S29">
            <v>-7.5279613708136191E-3</v>
          </cell>
          <cell r="T29">
            <v>-2871.7163881249994</v>
          </cell>
          <cell r="U29">
            <v>-7.1896243043474686E-3</v>
          </cell>
          <cell r="V29">
            <v>-2943.5092978281241</v>
          </cell>
          <cell r="W29">
            <v>-7.0251602721174648E-3</v>
          </cell>
          <cell r="X29">
            <v>-3017.0970302738269</v>
          </cell>
          <cell r="Y29">
            <v>-6.9149264320105637E-3</v>
          </cell>
          <cell r="AA29">
            <v>2.5000000000000001E-2</v>
          </cell>
          <cell r="AC29">
            <v>-1.3921903709509017E-3</v>
          </cell>
          <cell r="AE29">
            <v>-1.7337537386457477E-2</v>
          </cell>
          <cell r="AG29">
            <v>-0.12354428109025395</v>
          </cell>
          <cell r="AI29">
            <v>2.9690312272287116E-2</v>
          </cell>
          <cell r="AK29">
            <v>-6.0190073534612414E-2</v>
          </cell>
        </row>
        <row r="30">
          <cell r="A30" t="str">
            <v>Total Loyalty Costs</v>
          </cell>
          <cell r="B30">
            <v>0</v>
          </cell>
          <cell r="C30">
            <v>0</v>
          </cell>
          <cell r="D30">
            <v>-1304.373</v>
          </cell>
          <cell r="E30">
            <v>-3.5083562267684766E-3</v>
          </cell>
          <cell r="F30">
            <v>-1855.615</v>
          </cell>
          <cell r="G30">
            <v>-5.3842733627691161E-3</v>
          </cell>
          <cell r="H30">
            <v>-2383.8159999999998</v>
          </cell>
          <cell r="I30">
            <v>-7.0964058844712567E-3</v>
          </cell>
          <cell r="J30">
            <v>-2258.4380000000001</v>
          </cell>
          <cell r="K30">
            <v>-7.2423394612743169E-3</v>
          </cell>
          <cell r="L30">
            <v>-2062.0160000000001</v>
          </cell>
          <cell r="M30">
            <v>-6.4397939852809619E-3</v>
          </cell>
          <cell r="N30">
            <v>-1965.7539999999999</v>
          </cell>
          <cell r="O30">
            <v>-6.0525822831376495E-3</v>
          </cell>
          <cell r="P30">
            <v>-2024.9940000000001</v>
          </cell>
          <cell r="Q30">
            <v>-5.8369233160325456E-3</v>
          </cell>
          <cell r="R30">
            <v>-2125.0536874559998</v>
          </cell>
          <cell r="S30">
            <v>-5.709914526946633E-3</v>
          </cell>
          <cell r="T30">
            <v>-2208.6298306799995</v>
          </cell>
          <cell r="U30">
            <v>-5.529521917842178E-3</v>
          </cell>
          <cell r="V30">
            <v>-2227.7344446000002</v>
          </cell>
          <cell r="W30">
            <v>-5.3168479979251709E-3</v>
          </cell>
          <cell r="X30">
            <v>-2241.3805973999997</v>
          </cell>
          <cell r="Y30">
            <v>-5.1370512057248028E-3</v>
          </cell>
          <cell r="AB30">
            <v>-0.36</v>
          </cell>
          <cell r="AC30">
            <v>-0.2588935334761171</v>
          </cell>
          <cell r="AE30">
            <v>-0.34553200889465724</v>
          </cell>
          <cell r="AG30">
            <v>-0.36387689940980561</v>
          </cell>
          <cell r="AI30">
            <v>-0.34125015411578086</v>
          </cell>
        </row>
        <row r="31">
          <cell r="A31" t="str">
            <v>Total Distribution Costs</v>
          </cell>
          <cell r="B31">
            <v>-1841.6780000000001</v>
          </cell>
          <cell r="C31">
            <v>-4.7083536948138091E-3</v>
          </cell>
          <cell r="D31">
            <v>-2407.3029999999999</v>
          </cell>
          <cell r="E31">
            <v>-6.4748936613748011E-3</v>
          </cell>
          <cell r="F31">
            <v>-1459.8720000000001</v>
          </cell>
          <cell r="G31">
            <v>-4.2359810211991577E-3</v>
          </cell>
          <cell r="H31">
            <v>-1518.855</v>
          </cell>
          <cell r="I31">
            <v>-4.5214947628754026E-3</v>
          </cell>
          <cell r="J31">
            <v>-1584.6869999999999</v>
          </cell>
          <cell r="K31">
            <v>-5.0817605769422989E-3</v>
          </cell>
          <cell r="L31">
            <v>-1439.2539999999999</v>
          </cell>
          <cell r="M31">
            <v>-4.4948726161637758E-3</v>
          </cell>
          <cell r="N31">
            <v>-1394.6680000000001</v>
          </cell>
          <cell r="O31">
            <v>-4.2942010178582983E-3</v>
          </cell>
          <cell r="P31">
            <v>-1501.655</v>
          </cell>
          <cell r="Q31">
            <v>-4.328430149490246E-3</v>
          </cell>
          <cell r="R31">
            <v>-1475.7317274</v>
          </cell>
          <cell r="S31">
            <v>-3.9652184214907177E-3</v>
          </cell>
          <cell r="T31">
            <v>-1533.7707157499999</v>
          </cell>
          <cell r="U31">
            <v>-3.8399457762792908E-3</v>
          </cell>
          <cell r="V31">
            <v>-1547.0378087500001</v>
          </cell>
          <cell r="W31">
            <v>-3.6922555541147018E-3</v>
          </cell>
          <cell r="X31">
            <v>-1556.51430375</v>
          </cell>
          <cell r="Y31">
            <v>-3.5673966706422249E-3</v>
          </cell>
          <cell r="Z31">
            <v>-3.5000000000000003E-2</v>
          </cell>
          <cell r="AC31">
            <v>-0.20367986920931661</v>
          </cell>
          <cell r="AE31">
            <v>-0.22015668129154875</v>
          </cell>
          <cell r="AG31">
            <v>-0.25532292323058087</v>
          </cell>
          <cell r="AI31">
            <v>-0.23818711848586724</v>
          </cell>
        </row>
        <row r="32">
          <cell r="A32" t="str">
            <v>Total Travel Expenses</v>
          </cell>
          <cell r="B32">
            <v>-977.64400000000001</v>
          </cell>
          <cell r="C32">
            <v>-2.499402034238641E-3</v>
          </cell>
          <cell r="D32">
            <v>-825.20600000000002</v>
          </cell>
          <cell r="E32">
            <v>-2.2195465625758182E-3</v>
          </cell>
          <cell r="F32">
            <v>-896.78800000000001</v>
          </cell>
          <cell r="G32">
            <v>-2.6021301511633555E-3</v>
          </cell>
          <cell r="H32">
            <v>-1222.7560000000001</v>
          </cell>
          <cell r="I32">
            <v>-3.6400346644508371E-3</v>
          </cell>
          <cell r="J32">
            <v>-904.13599999999985</v>
          </cell>
          <cell r="K32">
            <v>-2.8993755113749919E-3</v>
          </cell>
          <cell r="L32">
            <v>-1363.577</v>
          </cell>
          <cell r="M32">
            <v>-4.2585290138715988E-3</v>
          </cell>
          <cell r="N32">
            <v>-1248.317</v>
          </cell>
          <cell r="O32">
            <v>-3.8435843742093577E-3</v>
          </cell>
          <cell r="P32">
            <v>-1227.903</v>
          </cell>
          <cell r="Q32">
            <v>-3.5393564872420909E-3</v>
          </cell>
          <cell r="R32">
            <v>-1258.6005749999999</v>
          </cell>
          <cell r="S32">
            <v>-3.3817977160940245E-3</v>
          </cell>
          <cell r="T32">
            <v>-1290.0655893749999</v>
          </cell>
          <cell r="U32">
            <v>-3.2298060330493601E-3</v>
          </cell>
          <cell r="V32">
            <v>-1322.3172291093749</v>
          </cell>
          <cell r="W32">
            <v>-3.1559236017803319E-3</v>
          </cell>
          <cell r="X32">
            <v>-1355.3751598371091</v>
          </cell>
          <cell r="Y32">
            <v>-3.1064030834956446E-3</v>
          </cell>
          <cell r="AA32">
            <v>0.05</v>
          </cell>
          <cell r="AC32">
            <v>-0.12511895738015702</v>
          </cell>
          <cell r="AE32">
            <v>-0.17723739460931362</v>
          </cell>
          <cell r="AG32">
            <v>-0.14567333897356666</v>
          </cell>
          <cell r="AI32">
            <v>-0.22566307021804588</v>
          </cell>
        </row>
        <row r="33">
          <cell r="A33" t="str">
            <v>Total Other Operating Expenses</v>
          </cell>
          <cell r="B33">
            <v>-538.56799999999998</v>
          </cell>
          <cell r="C33">
            <v>-1.3768794722576279E-3</v>
          </cell>
          <cell r="D33">
            <v>-3195.625</v>
          </cell>
          <cell r="E33">
            <v>-8.5952337768161503E-3</v>
          </cell>
          <cell r="F33">
            <v>-833.68299999999999</v>
          </cell>
          <cell r="G33">
            <v>-2.4190239731266693E-3</v>
          </cell>
          <cell r="H33">
            <v>241.50899999999999</v>
          </cell>
          <cell r="I33">
            <v>7.1895057703814751E-4</v>
          </cell>
          <cell r="J33">
            <v>1159.0420000000001</v>
          </cell>
          <cell r="K33">
            <v>3.7168058693106952E-3</v>
          </cell>
          <cell r="L33">
            <v>1019.3950000000001</v>
          </cell>
          <cell r="M33">
            <v>3.1836289289828433E-3</v>
          </cell>
          <cell r="N33">
            <v>1837.1579999999999</v>
          </cell>
          <cell r="O33">
            <v>5.6566335167699509E-3</v>
          </cell>
          <cell r="P33">
            <v>1842.2530000000002</v>
          </cell>
          <cell r="Q33">
            <v>5.3101833831265205E-3</v>
          </cell>
          <cell r="R33">
            <v>2338</v>
          </cell>
          <cell r="S33">
            <v>6.2820907738961023E-3</v>
          </cell>
          <cell r="T33">
            <v>2451</v>
          </cell>
          <cell r="U33">
            <v>6.136319464841459E-3</v>
          </cell>
          <cell r="V33">
            <v>2660</v>
          </cell>
          <cell r="W33">
            <v>6.3485195503274455E-3</v>
          </cell>
          <cell r="X33">
            <v>2887</v>
          </cell>
          <cell r="Y33">
            <v>6.6167552481408431E-3</v>
          </cell>
          <cell r="AB33">
            <v>-1.55</v>
          </cell>
          <cell r="AC33">
            <v>-0.11631461141937832</v>
          </cell>
          <cell r="AE33">
            <v>3.5006514737773289E-2</v>
          </cell>
          <cell r="AG33">
            <v>0.18674349672018448</v>
          </cell>
          <cell r="AI33">
            <v>0.16870320155365259</v>
          </cell>
        </row>
        <row r="34">
          <cell r="A34" t="str">
            <v xml:space="preserve">     Total Controllable Expenses</v>
          </cell>
          <cell r="B34">
            <v>-86188.796000000002</v>
          </cell>
          <cell r="C34">
            <v>-0.22034651882584994</v>
          </cell>
          <cell r="D34">
            <v>-87000.031000000017</v>
          </cell>
          <cell r="E34">
            <v>-0.23400292745089063</v>
          </cell>
          <cell r="F34">
            <v>-74420.701000000015</v>
          </cell>
          <cell r="G34">
            <v>-0.21593994337882857</v>
          </cell>
          <cell r="H34">
            <v>-79269.823999999979</v>
          </cell>
          <cell r="I34">
            <v>-0.23597913827854194</v>
          </cell>
          <cell r="J34">
            <v>-72493.995999999999</v>
          </cell>
          <cell r="K34">
            <v>-0.23247311988917227</v>
          </cell>
          <cell r="L34">
            <v>-73828.556000000011</v>
          </cell>
          <cell r="M34">
            <v>-0.23057080588646198</v>
          </cell>
          <cell r="N34">
            <v>-71719.272000000012</v>
          </cell>
          <cell r="O34">
            <v>-0.22082457676124795</v>
          </cell>
          <cell r="P34">
            <v>-73806.392000000007</v>
          </cell>
          <cell r="Q34">
            <v>-0.21274248236638624</v>
          </cell>
          <cell r="R34">
            <v>-77350.118080437518</v>
          </cell>
          <cell r="S34">
            <v>-0.20783595515521414</v>
          </cell>
          <cell r="T34">
            <v>-81692.498379191369</v>
          </cell>
          <cell r="U34">
            <v>-0.20452520111618172</v>
          </cell>
          <cell r="V34">
            <v>-84847.746413847999</v>
          </cell>
          <cell r="W34">
            <v>-0.20250284846223288</v>
          </cell>
          <cell r="X34">
            <v>-87788.859612653352</v>
          </cell>
          <cell r="Y34">
            <v>-0.20120450210264074</v>
          </cell>
        </row>
        <row r="36">
          <cell r="A36" t="str">
            <v>Operating Expenses</v>
          </cell>
          <cell r="B36">
            <v>-182813.72700000001</v>
          </cell>
          <cell r="D36">
            <v>-179694.76200000002</v>
          </cell>
          <cell r="F36">
            <v>-165780.027</v>
          </cell>
          <cell r="H36">
            <v>-171086.74199999997</v>
          </cell>
          <cell r="J36">
            <v>-157448.03600000002</v>
          </cell>
          <cell r="L36">
            <v>-163142.46000000002</v>
          </cell>
          <cell r="N36">
            <v>-157265.147</v>
          </cell>
          <cell r="P36">
            <v>-163228.853</v>
          </cell>
          <cell r="R36">
            <v>-170008.65391043754</v>
          </cell>
          <cell r="T36">
            <v>-177717.3953440914</v>
          </cell>
          <cell r="V36">
            <v>-184375.19165129503</v>
          </cell>
          <cell r="X36">
            <v>-190961.2376526398</v>
          </cell>
        </row>
        <row r="38">
          <cell r="A38" t="str">
            <v>CP / Gross Operating Profit</v>
          </cell>
          <cell r="B38">
            <v>208337.43100000001</v>
          </cell>
          <cell r="C38">
            <v>0.53262639452546379</v>
          </cell>
          <cell r="D38">
            <v>192095.59099999996</v>
          </cell>
          <cell r="E38">
            <v>0.51667717962547555</v>
          </cell>
          <cell r="F38">
            <v>178856.07799999998</v>
          </cell>
          <cell r="G38">
            <v>0.51897080835451059</v>
          </cell>
          <cell r="H38">
            <v>164832.03700000007</v>
          </cell>
          <cell r="I38">
            <v>0.49069015281220718</v>
          </cell>
          <cell r="J38">
            <v>154390.14999999997</v>
          </cell>
          <cell r="K38">
            <v>0.49509699880052527</v>
          </cell>
          <cell r="L38">
            <v>157056.603</v>
          </cell>
          <cell r="M38">
            <v>0.49049676013574089</v>
          </cell>
          <cell r="N38">
            <v>167514.24599999998</v>
          </cell>
          <cell r="O38">
            <v>0.51577855495283842</v>
          </cell>
          <cell r="P38">
            <v>183699.467</v>
          </cell>
          <cell r="Q38">
            <v>0.52950265634122917</v>
          </cell>
          <cell r="R38">
            <v>202160.43503604247</v>
          </cell>
          <cell r="S38">
            <v>0.54319512565729033</v>
          </cell>
          <cell r="T38">
            <v>221707.70206864981</v>
          </cell>
          <cell r="U38">
            <v>0.55506702884909298</v>
          </cell>
          <cell r="V38">
            <v>234620.13141781354</v>
          </cell>
          <cell r="W38">
            <v>0.55995883128059543</v>
          </cell>
          <cell r="X38">
            <v>245355.33923921073</v>
          </cell>
          <cell r="Y38">
            <v>0.56233329704552293</v>
          </cell>
        </row>
        <row r="39">
          <cell r="A39" t="str">
            <v>CP% / GOP%</v>
          </cell>
          <cell r="B39">
            <v>0.53262639452546379</v>
          </cell>
          <cell r="D39">
            <v>0.51667717962547555</v>
          </cell>
          <cell r="F39">
            <v>0.51897080835451059</v>
          </cell>
          <cell r="H39">
            <v>0.49069015281220718</v>
          </cell>
          <cell r="J39">
            <v>0.49509699880052527</v>
          </cell>
          <cell r="L39">
            <v>0.49049676013574089</v>
          </cell>
          <cell r="N39">
            <v>0.51577855495283842</v>
          </cell>
          <cell r="P39">
            <v>0.52950265634122917</v>
          </cell>
          <cell r="R39">
            <v>0.54319512565729033</v>
          </cell>
          <cell r="T39">
            <v>0.55506702884909298</v>
          </cell>
          <cell r="V39">
            <v>0.55995883128059543</v>
          </cell>
          <cell r="X39">
            <v>0.56233329704552293</v>
          </cell>
        </row>
        <row r="40">
          <cell r="B40" t="str">
            <v xml:space="preserve"> </v>
          </cell>
          <cell r="D40" t="str">
            <v xml:space="preserve"> </v>
          </cell>
          <cell r="F40" t="str">
            <v xml:space="preserve"> </v>
          </cell>
          <cell r="H40" t="str">
            <v xml:space="preserve"> </v>
          </cell>
          <cell r="J40" t="str">
            <v xml:space="preserve"> </v>
          </cell>
          <cell r="L40" t="str">
            <v xml:space="preserve"> </v>
          </cell>
          <cell r="N40" t="str">
            <v xml:space="preserve"> </v>
          </cell>
          <cell r="P40" t="str">
            <v xml:space="preserve"> </v>
          </cell>
          <cell r="R40" t="str">
            <v xml:space="preserve"> </v>
          </cell>
          <cell r="T40" t="str">
            <v xml:space="preserve"> </v>
          </cell>
          <cell r="V40" t="str">
            <v xml:space="preserve"> </v>
          </cell>
          <cell r="X40" t="str">
            <v xml:space="preserve"> </v>
          </cell>
        </row>
        <row r="41">
          <cell r="A41" t="str">
            <v>Management fees (3 % GPR)</v>
          </cell>
          <cell r="B41">
            <v>-11734.534739999999</v>
          </cell>
          <cell r="C41">
            <v>-0.03</v>
          </cell>
          <cell r="D41">
            <v>-11153.710589999999</v>
          </cell>
          <cell r="E41">
            <v>-2.9999999999999995E-2</v>
          </cell>
          <cell r="F41">
            <v>-10339.083149999999</v>
          </cell>
          <cell r="G41">
            <v>-0.03</v>
          </cell>
          <cell r="H41">
            <v>-10077.563370000002</v>
          </cell>
          <cell r="I41">
            <v>-3.0000000000000002E-2</v>
          </cell>
          <cell r="J41">
            <v>-9355.1455799999985</v>
          </cell>
          <cell r="K41">
            <v>-2.9999999999999995E-2</v>
          </cell>
          <cell r="L41">
            <v>-9605.9718900000007</v>
          </cell>
          <cell r="M41">
            <v>-0.03</v>
          </cell>
          <cell r="N41">
            <v>-9743.3817899999995</v>
          </cell>
          <cell r="O41">
            <v>-0.03</v>
          </cell>
          <cell r="P41">
            <v>-10407.8496</v>
          </cell>
          <cell r="Q41">
            <v>-0.03</v>
          </cell>
          <cell r="R41">
            <v>-11165.072668394399</v>
          </cell>
          <cell r="S41">
            <v>-0.03</v>
          </cell>
          <cell r="T41">
            <v>-11982.752922382237</v>
          </cell>
          <cell r="U41">
            <v>-0.03</v>
          </cell>
          <cell r="V41">
            <v>-12569.859692073258</v>
          </cell>
          <cell r="W41">
            <v>-0.03</v>
          </cell>
          <cell r="X41">
            <v>-13089.497306755517</v>
          </cell>
          <cell r="Y41">
            <v>-0.03</v>
          </cell>
          <cell r="AC41">
            <v>-0.03</v>
          </cell>
          <cell r="AE41">
            <v>-3.0000000000000002E-2</v>
          </cell>
          <cell r="AG41">
            <v>-2.9999999999999995E-2</v>
          </cell>
          <cell r="AI41">
            <v>-0.03</v>
          </cell>
        </row>
        <row r="42">
          <cell r="A42" t="str">
            <v xml:space="preserve">Marketing fees (2% GPR) </v>
          </cell>
          <cell r="B42">
            <v>-7823.0231599999997</v>
          </cell>
          <cell r="C42">
            <v>-0.02</v>
          </cell>
          <cell r="D42">
            <v>-7435.8070600000001</v>
          </cell>
          <cell r="E42">
            <v>-0.02</v>
          </cell>
          <cell r="F42">
            <v>-6892.7221</v>
          </cell>
          <cell r="G42">
            <v>-0.02</v>
          </cell>
          <cell r="H42">
            <v>-6718.3755800000008</v>
          </cell>
          <cell r="I42">
            <v>-0.02</v>
          </cell>
          <cell r="J42">
            <v>-6236.7637199999999</v>
          </cell>
          <cell r="K42">
            <v>-0.02</v>
          </cell>
          <cell r="L42">
            <v>-6403.9812600000005</v>
          </cell>
          <cell r="M42">
            <v>-0.02</v>
          </cell>
          <cell r="N42">
            <v>-6495.5878599999996</v>
          </cell>
          <cell r="O42">
            <v>-0.02</v>
          </cell>
          <cell r="P42">
            <v>-6938.5664000000006</v>
          </cell>
          <cell r="Q42">
            <v>-0.02</v>
          </cell>
          <cell r="R42">
            <v>-7443.3817789296008</v>
          </cell>
          <cell r="S42">
            <v>-0.02</v>
          </cell>
          <cell r="T42">
            <v>-7988.5019482548241</v>
          </cell>
          <cell r="U42">
            <v>-0.02</v>
          </cell>
          <cell r="V42">
            <v>-8379.906461382172</v>
          </cell>
          <cell r="W42">
            <v>-0.02</v>
          </cell>
          <cell r="X42">
            <v>-8726.3315378370116</v>
          </cell>
          <cell r="Y42">
            <v>-0.02</v>
          </cell>
          <cell r="AC42">
            <v>-0.02</v>
          </cell>
          <cell r="AE42">
            <v>-0.02</v>
          </cell>
          <cell r="AG42">
            <v>-0.02</v>
          </cell>
          <cell r="AI42">
            <v>-0.02</v>
          </cell>
        </row>
        <row r="43">
          <cell r="A43" t="str">
            <v>Reservation fees (1.5 % NRR)</v>
          </cell>
          <cell r="B43">
            <v>-5867.2673699999996</v>
          </cell>
          <cell r="C43">
            <v>-1.4999999999999999E-2</v>
          </cell>
          <cell r="D43">
            <v>-5576.8552949999994</v>
          </cell>
          <cell r="E43">
            <v>-1.4999999999999998E-2</v>
          </cell>
          <cell r="F43">
            <v>-5169.5415749999993</v>
          </cell>
          <cell r="G43">
            <v>-1.4999999999999999E-2</v>
          </cell>
          <cell r="H43">
            <v>-5038.7816850000008</v>
          </cell>
          <cell r="I43">
            <v>-1.5000000000000001E-2</v>
          </cell>
          <cell r="J43">
            <v>-4558.4177699999991</v>
          </cell>
          <cell r="K43">
            <v>-1.461789471158609E-2</v>
          </cell>
          <cell r="L43">
            <v>-4701.5230950000005</v>
          </cell>
          <cell r="M43">
            <v>-1.468312571233227E-2</v>
          </cell>
          <cell r="N43">
            <v>-4764.3739349999996</v>
          </cell>
          <cell r="O43">
            <v>-1.4669569676177083E-2</v>
          </cell>
          <cell r="P43">
            <v>-5093.4752850000004</v>
          </cell>
          <cell r="Q43">
            <v>-1.4681635921218539E-2</v>
          </cell>
          <cell r="R43">
            <v>-5467.7143331999996</v>
          </cell>
          <cell r="S43">
            <v>-1.4691478942213515E-2</v>
          </cell>
          <cell r="T43">
            <v>-5868.1454076308701</v>
          </cell>
          <cell r="U43">
            <v>-1.4691478942213516E-2</v>
          </cell>
          <cell r="V43">
            <v>-6155.6609657557574</v>
          </cell>
          <cell r="W43">
            <v>-1.4691478942213515E-2</v>
          </cell>
          <cell r="X43">
            <v>-6410.1358015453061</v>
          </cell>
          <cell r="Y43">
            <v>-1.4691478942213515E-2</v>
          </cell>
          <cell r="AC43">
            <v>-1.4999999999999999E-2</v>
          </cell>
          <cell r="AE43">
            <v>-1.5000000000000001E-2</v>
          </cell>
          <cell r="AG43">
            <v>-1.461789471158609E-2</v>
          </cell>
          <cell r="AI43">
            <v>-1.468312571233227E-2</v>
          </cell>
        </row>
        <row r="44">
          <cell r="A44" t="str">
            <v>Service fees (3.5 % GPR)</v>
          </cell>
          <cell r="B44">
            <v>-11734.534739999999</v>
          </cell>
          <cell r="C44">
            <v>-0.03</v>
          </cell>
          <cell r="D44">
            <v>-11153.710589999999</v>
          </cell>
          <cell r="E44">
            <v>-2.9999999999999995E-2</v>
          </cell>
          <cell r="F44">
            <v>-10339.083149999999</v>
          </cell>
          <cell r="G44">
            <v>-0.03</v>
          </cell>
          <cell r="H44">
            <v>-10077.563370000002</v>
          </cell>
          <cell r="I44">
            <v>-3.0000000000000002E-2</v>
          </cell>
          <cell r="J44">
            <v>-10914.336510000001</v>
          </cell>
          <cell r="K44">
            <v>-3.5000000000000003E-2</v>
          </cell>
          <cell r="L44">
            <v>-11206.967205000003</v>
          </cell>
          <cell r="M44">
            <v>-3.5000000000000003E-2</v>
          </cell>
          <cell r="N44">
            <v>-11367.278755000001</v>
          </cell>
          <cell r="O44">
            <v>-3.5000000000000003E-2</v>
          </cell>
          <cell r="P44">
            <v>-12142.491200000002</v>
          </cell>
          <cell r="Q44">
            <v>-3.5000000000000003E-2</v>
          </cell>
          <cell r="R44">
            <v>-13025.918113126801</v>
          </cell>
          <cell r="S44">
            <v>-3.5000000000000003E-2</v>
          </cell>
          <cell r="T44">
            <v>-13979.878409445944</v>
          </cell>
          <cell r="U44">
            <v>-3.5000000000000003E-2</v>
          </cell>
          <cell r="V44">
            <v>-14664.836307418802</v>
          </cell>
          <cell r="W44">
            <v>-3.5000000000000003E-2</v>
          </cell>
          <cell r="X44">
            <v>-15271.080191214771</v>
          </cell>
          <cell r="Y44">
            <v>-3.5000000000000003E-2</v>
          </cell>
          <cell r="AC44">
            <v>-0.03</v>
          </cell>
          <cell r="AE44">
            <v>-3.0000000000000002E-2</v>
          </cell>
          <cell r="AG44">
            <v>-3.5000000000000003E-2</v>
          </cell>
          <cell r="AI44">
            <v>-3.5000000000000003E-2</v>
          </cell>
        </row>
        <row r="45">
          <cell r="A45" t="str">
            <v xml:space="preserve">     Total Fees</v>
          </cell>
          <cell r="B45">
            <v>-37159.360010000004</v>
          </cell>
          <cell r="C45">
            <v>-9.5000000000000015E-2</v>
          </cell>
          <cell r="D45">
            <v>-35320.083534999998</v>
          </cell>
          <cell r="E45">
            <v>-9.4999999999999987E-2</v>
          </cell>
          <cell r="F45">
            <v>-32740.429974999995</v>
          </cell>
          <cell r="G45">
            <v>-9.4999999999999987E-2</v>
          </cell>
          <cell r="H45">
            <v>-31912.284005000009</v>
          </cell>
          <cell r="I45">
            <v>-9.5000000000000015E-2</v>
          </cell>
          <cell r="J45">
            <v>-31064.66358</v>
          </cell>
          <cell r="K45">
            <v>-9.9617894711586094E-2</v>
          </cell>
          <cell r="L45">
            <v>-31918.443450000006</v>
          </cell>
          <cell r="M45">
            <v>-9.9683125712332274E-2</v>
          </cell>
          <cell r="N45">
            <v>-32370.622340000002</v>
          </cell>
          <cell r="O45">
            <v>-9.96695696761771E-2</v>
          </cell>
          <cell r="P45">
            <v>-34582.382485000002</v>
          </cell>
          <cell r="Q45">
            <v>-9.9681635921218537E-2</v>
          </cell>
          <cell r="R45">
            <v>-37102.086893650805</v>
          </cell>
          <cell r="S45">
            <v>-9.9691478942213529E-2</v>
          </cell>
          <cell r="T45">
            <v>-39819.278687713871</v>
          </cell>
          <cell r="U45">
            <v>-9.9691478942213516E-2</v>
          </cell>
          <cell r="V45">
            <v>-41770.263426629986</v>
          </cell>
          <cell r="W45">
            <v>-9.9691478942213516E-2</v>
          </cell>
          <cell r="X45">
            <v>-43497.044837352609</v>
          </cell>
          <cell r="Y45">
            <v>-9.9691478942213529E-2</v>
          </cell>
          <cell r="AC45">
            <v>-9.4999999999999987E-2</v>
          </cell>
          <cell r="AE45">
            <v>-9.5000000000000015E-2</v>
          </cell>
          <cell r="AG45">
            <v>-9.9617894711586094E-2</v>
          </cell>
          <cell r="AI45">
            <v>-9.9683125712332274E-2</v>
          </cell>
        </row>
        <row r="47">
          <cell r="A47" t="str">
            <v>Total Property Tax &amp; Other</v>
          </cell>
          <cell r="B47">
            <v>-19237.367999999999</v>
          </cell>
          <cell r="C47">
            <v>-4.91814164589537E-2</v>
          </cell>
          <cell r="D47">
            <v>-20569.608</v>
          </cell>
          <cell r="E47">
            <v>-5.532582498180097E-2</v>
          </cell>
          <cell r="F47">
            <v>-18282.082999999999</v>
          </cell>
          <cell r="G47">
            <v>-5.3047497736779491E-2</v>
          </cell>
          <cell r="H47">
            <v>-17447.466</v>
          </cell>
          <cell r="I47">
            <v>-5.1939537443960522E-2</v>
          </cell>
          <cell r="J47">
            <v>-18139.916000000001</v>
          </cell>
          <cell r="K47">
            <v>-5.8170925866019504E-2</v>
          </cell>
          <cell r="L47">
            <v>-18280.846000000001</v>
          </cell>
          <cell r="M47">
            <v>-5.7092128342674131E-2</v>
          </cell>
          <cell r="N47">
            <v>-18516.043000000001</v>
          </cell>
          <cell r="O47">
            <v>-5.7011138634648545E-2</v>
          </cell>
          <cell r="P47">
            <v>-19508.960999999999</v>
          </cell>
          <cell r="Q47">
            <v>-5.6233405794026844E-2</v>
          </cell>
          <cell r="R47">
            <v>-19996.685025000002</v>
          </cell>
          <cell r="S47">
            <v>-5.3730107144593184E-2</v>
          </cell>
          <cell r="T47">
            <v>-20496.602150625</v>
          </cell>
          <cell r="U47">
            <v>-5.1315258563848026E-2</v>
          </cell>
          <cell r="V47">
            <v>-21009.017204390624</v>
          </cell>
          <cell r="W47">
            <v>-5.0141412201217865E-2</v>
          </cell>
          <cell r="X47">
            <v>-21534.242634500388</v>
          </cell>
          <cell r="Y47">
            <v>-4.9354628668711029E-2</v>
          </cell>
          <cell r="AA47">
            <v>2.5000000000000001E-2</v>
          </cell>
          <cell r="AC47">
            <v>-0.11120897393863809</v>
          </cell>
          <cell r="AE47">
            <v>-4.5652183069073607E-2</v>
          </cell>
          <cell r="AG47">
            <v>3.9687711671138992E-2</v>
          </cell>
          <cell r="AI47">
            <v>7.7690547188862553E-3</v>
          </cell>
          <cell r="AK47">
            <v>1.2865761245404075E-2</v>
          </cell>
        </row>
        <row r="48">
          <cell r="A48" t="str">
            <v>Total General Insurance</v>
          </cell>
          <cell r="B48">
            <v>-2195.7199999999998</v>
          </cell>
          <cell r="C48">
            <v>-5.6134820390842353E-3</v>
          </cell>
          <cell r="D48">
            <v>-1951.588</v>
          </cell>
          <cell r="E48">
            <v>-5.2491625569424062E-3</v>
          </cell>
          <cell r="F48">
            <v>-2252.489</v>
          </cell>
          <cell r="G48">
            <v>-6.535847426664714E-3</v>
          </cell>
          <cell r="H48">
            <v>-4036.2719999999999</v>
          </cell>
          <cell r="I48">
            <v>-1.2015618811236509E-2</v>
          </cell>
          <cell r="J48">
            <v>-5234.4780000000001</v>
          </cell>
          <cell r="K48">
            <v>-1.6785878814726048E-2</v>
          </cell>
          <cell r="L48">
            <v>-4175.3819999999996</v>
          </cell>
          <cell r="M48">
            <v>-1.3039956959524267E-2</v>
          </cell>
          <cell r="N48">
            <v>-2837.7829999999999</v>
          </cell>
          <cell r="O48">
            <v>-8.7375709825284389E-3</v>
          </cell>
          <cell r="P48">
            <v>-4468.58</v>
          </cell>
          <cell r="Q48">
            <v>-1.2880412876066156E-2</v>
          </cell>
          <cell r="R48">
            <v>-4580.2945</v>
          </cell>
          <cell r="S48">
            <v>-1.2307025586046648E-2</v>
          </cell>
          <cell r="T48">
            <v>-4694.8018624999995</v>
          </cell>
          <cell r="U48">
            <v>-1.1753898022208357E-2</v>
          </cell>
          <cell r="V48">
            <v>-4812.1719090624993</v>
          </cell>
          <cell r="W48">
            <v>-1.1485025354969858E-2</v>
          </cell>
          <cell r="X48">
            <v>-4932.4762067890615</v>
          </cell>
          <cell r="Y48">
            <v>-1.1304810470246401E-2</v>
          </cell>
          <cell r="AA48">
            <v>2.5000000000000001E-2</v>
          </cell>
          <cell r="AC48">
            <v>0.15418264510747148</v>
          </cell>
          <cell r="AE48">
            <v>0.79191640891476045</v>
          </cell>
          <cell r="AG48">
            <v>0.29685957735256696</v>
          </cell>
          <cell r="AI48">
            <v>-0.20233077682244541</v>
          </cell>
          <cell r="AK48">
            <v>-0.32035368260916003</v>
          </cell>
        </row>
        <row r="49">
          <cell r="B49" t="str">
            <v xml:space="preserve"> </v>
          </cell>
          <cell r="D49" t="str">
            <v xml:space="preserve"> </v>
          </cell>
          <cell r="F49" t="str">
            <v xml:space="preserve"> </v>
          </cell>
          <cell r="H49" t="str">
            <v xml:space="preserve"> </v>
          </cell>
          <cell r="J49" t="str">
            <v xml:space="preserve"> </v>
          </cell>
          <cell r="L49" t="str">
            <v xml:space="preserve"> </v>
          </cell>
          <cell r="N49" t="str">
            <v xml:space="preserve"> </v>
          </cell>
          <cell r="P49" t="str">
            <v xml:space="preserve"> </v>
          </cell>
          <cell r="R49" t="str">
            <v xml:space="preserve"> </v>
          </cell>
          <cell r="T49" t="str">
            <v xml:space="preserve"> </v>
          </cell>
          <cell r="V49" t="str">
            <v xml:space="preserve"> </v>
          </cell>
          <cell r="X49" t="str">
            <v xml:space="preserve"> </v>
          </cell>
        </row>
        <row r="50">
          <cell r="A50" t="str">
            <v xml:space="preserve">     EBITDAR / NOP</v>
          </cell>
          <cell r="B50">
            <v>149744.98298999999</v>
          </cell>
          <cell r="C50">
            <v>0.38283149602742578</v>
          </cell>
          <cell r="D50">
            <v>134254.31146499995</v>
          </cell>
          <cell r="E50">
            <v>0.36110219208673211</v>
          </cell>
          <cell r="F50">
            <v>125581.07602499999</v>
          </cell>
          <cell r="G50">
            <v>0.36438746319106641</v>
          </cell>
          <cell r="H50">
            <v>111436.01499500006</v>
          </cell>
          <cell r="I50">
            <v>0.33173499655701016</v>
          </cell>
          <cell r="J50">
            <v>99951.092419999957</v>
          </cell>
          <cell r="K50">
            <v>0.3205222994081936</v>
          </cell>
          <cell r="L50">
            <v>102681.93154999999</v>
          </cell>
          <cell r="M50">
            <v>0.32068154912121022</v>
          </cell>
          <cell r="N50">
            <v>113789.79765999998</v>
          </cell>
          <cell r="O50">
            <v>0.3503602756594843</v>
          </cell>
          <cell r="P50">
            <v>125139.543515</v>
          </cell>
          <cell r="Q50">
            <v>0.36070720174991766</v>
          </cell>
          <cell r="R50">
            <v>140481.36861739168</v>
          </cell>
          <cell r="S50">
            <v>0.37746651398443704</v>
          </cell>
          <cell r="T50">
            <v>156697.01936781095</v>
          </cell>
          <cell r="U50">
            <v>0.39230639332082312</v>
          </cell>
          <cell r="V50">
            <v>167028.67887773045</v>
          </cell>
          <cell r="W50">
            <v>0.39864091478219421</v>
          </cell>
          <cell r="X50">
            <v>175391.57556056869</v>
          </cell>
          <cell r="Y50">
            <v>0.40198237896435196</v>
          </cell>
        </row>
        <row r="51">
          <cell r="A51" t="str">
            <v xml:space="preserve">     EBITDAR Margin</v>
          </cell>
          <cell r="J51">
            <v>0.3205222994081936</v>
          </cell>
          <cell r="L51">
            <v>0.32068154912121022</v>
          </cell>
          <cell r="N51">
            <v>0.3503602756594843</v>
          </cell>
          <cell r="P51">
            <v>0.36070720174991766</v>
          </cell>
          <cell r="R51">
            <v>0.37746651398443704</v>
          </cell>
          <cell r="T51">
            <v>0.39230639332082312</v>
          </cell>
          <cell r="V51">
            <v>0.39864091478219421</v>
          </cell>
          <cell r="X51">
            <v>0.40198237896435196</v>
          </cell>
        </row>
        <row r="53">
          <cell r="A53" t="str">
            <v>Land &amp; Building leases</v>
          </cell>
          <cell r="B53">
            <v>-1600</v>
          </cell>
          <cell r="C53">
            <v>-4.0904902549208358E-3</v>
          </cell>
          <cell r="D53">
            <v>-1600</v>
          </cell>
          <cell r="E53">
            <v>-4.3035005806081258E-3</v>
          </cell>
          <cell r="F53">
            <v>-1600</v>
          </cell>
          <cell r="G53">
            <v>-4.642578002673284E-3</v>
          </cell>
          <cell r="H53">
            <v>-1600</v>
          </cell>
          <cell r="I53">
            <v>-4.7630561314942138E-3</v>
          </cell>
          <cell r="J53">
            <v>-1675.5759999999991</v>
          </cell>
          <cell r="K53">
            <v>-5.3732226366914508E-3</v>
          </cell>
          <cell r="L53">
            <v>-1936.991</v>
          </cell>
          <cell r="M53">
            <v>-6.0493337546087692E-3</v>
          </cell>
          <cell r="N53">
            <v>-1758</v>
          </cell>
          <cell r="O53">
            <v>-5.4129049991789354E-3</v>
          </cell>
          <cell r="P53">
            <v>-1618</v>
          </cell>
          <cell r="Q53">
            <v>-4.6637876089216353E-3</v>
          </cell>
          <cell r="R53">
            <v>-1658.4499999999998</v>
          </cell>
          <cell r="S53">
            <v>-4.4561734148708251E-3</v>
          </cell>
          <cell r="T53">
            <v>-1699.9112499999997</v>
          </cell>
          <cell r="U53">
            <v>-4.255894937526713E-3</v>
          </cell>
          <cell r="V53">
            <v>-1742.4090312499995</v>
          </cell>
          <cell r="W53">
            <v>-4.1585405261495212E-3</v>
          </cell>
          <cell r="X53">
            <v>-1785.9692570312493</v>
          </cell>
          <cell r="Y53">
            <v>-4.0932876530930798E-3</v>
          </cell>
          <cell r="AA53">
            <v>2.5000000000000001E-2</v>
          </cell>
        </row>
        <row r="54">
          <cell r="A54" t="str">
            <v xml:space="preserve">     Total Rent Expense</v>
          </cell>
          <cell r="B54">
            <v>-1600</v>
          </cell>
          <cell r="C54">
            <v>-4.0904902549208358E-3</v>
          </cell>
          <cell r="D54">
            <v>-1600</v>
          </cell>
          <cell r="E54">
            <v>-4.3035005806081258E-3</v>
          </cell>
          <cell r="F54">
            <v>-1600</v>
          </cell>
          <cell r="G54">
            <v>-4.642578002673284E-3</v>
          </cell>
          <cell r="H54">
            <v>-1600</v>
          </cell>
          <cell r="I54">
            <v>-4.7630561314942138E-3</v>
          </cell>
          <cell r="J54">
            <v>-1675.5759999999991</v>
          </cell>
          <cell r="K54">
            <v>-5.3732226366914508E-3</v>
          </cell>
          <cell r="L54">
            <v>-1936.991</v>
          </cell>
          <cell r="M54">
            <v>-6.0493337546087692E-3</v>
          </cell>
          <cell r="N54">
            <v>-1758</v>
          </cell>
          <cell r="O54">
            <v>-5.4129049991789354E-3</v>
          </cell>
          <cell r="P54">
            <v>-1618</v>
          </cell>
          <cell r="Q54">
            <v>-4.6637876089216353E-3</v>
          </cell>
          <cell r="R54">
            <v>-1658.4499999999998</v>
          </cell>
          <cell r="S54">
            <v>-4.4561734148708251E-3</v>
          </cell>
          <cell r="T54">
            <v>-1699.9112499999997</v>
          </cell>
          <cell r="U54">
            <v>-4.255894937526713E-3</v>
          </cell>
          <cell r="V54">
            <v>-1742.4090312499995</v>
          </cell>
          <cell r="W54">
            <v>-4.1585405261495212E-3</v>
          </cell>
          <cell r="X54">
            <v>-1785.9692570312493</v>
          </cell>
          <cell r="Y54">
            <v>-4.0932876530930798E-3</v>
          </cell>
        </row>
        <row r="56">
          <cell r="A56" t="str">
            <v>Lease FF&amp;E</v>
          </cell>
          <cell r="B56">
            <v>-440.61700000000002</v>
          </cell>
          <cell r="C56">
            <v>-1.1264622154077836E-3</v>
          </cell>
          <cell r="D56">
            <v>-358.452</v>
          </cell>
          <cell r="E56">
            <v>-9.6412399382508993E-4</v>
          </cell>
          <cell r="F56">
            <v>-323.91300000000001</v>
          </cell>
          <cell r="G56">
            <v>-9.398696053624446E-4</v>
          </cell>
          <cell r="H56">
            <v>-236.27600000000001</v>
          </cell>
          <cell r="I56">
            <v>-7.0337240657807932E-4</v>
          </cell>
          <cell r="J56">
            <v>-218.12299999999999</v>
          </cell>
          <cell r="K56">
            <v>-6.9947495140957499E-4</v>
          </cell>
          <cell r="L56">
            <v>-218.262</v>
          </cell>
          <cell r="M56">
            <v>-6.8164471799219469E-4</v>
          </cell>
          <cell r="N56">
            <v>-216.79400000000001</v>
          </cell>
          <cell r="O56">
            <v>-6.6751156222525493E-4</v>
          </cell>
          <cell r="P56">
            <v>-178.21199999999999</v>
          </cell>
          <cell r="Q56">
            <v>-5.1368536301677533E-4</v>
          </cell>
          <cell r="R56">
            <v>-178.21199999999999</v>
          </cell>
          <cell r="S56">
            <v>-4.7884686099126266E-4</v>
          </cell>
          <cell r="T56">
            <v>-178.21199999999999</v>
          </cell>
          <cell r="U56">
            <v>-4.4617126253297678E-4</v>
          </cell>
          <cell r="V56">
            <v>-178.21199999999999</v>
          </cell>
          <cell r="W56">
            <v>-4.2533171658005813E-4</v>
          </cell>
          <cell r="X56">
            <v>-178.21199999999999</v>
          </cell>
          <cell r="Y56">
            <v>-4.0844654876400274E-4</v>
          </cell>
        </row>
        <row r="57">
          <cell r="A57" t="str">
            <v>Other Leases</v>
          </cell>
          <cell r="B57">
            <v>-8.4580000000000002</v>
          </cell>
          <cell r="C57">
            <v>-2.1623354110075267E-5</v>
          </cell>
          <cell r="D57">
            <v>-25.061</v>
          </cell>
          <cell r="E57">
            <v>-6.7406267531637643E-5</v>
          </cell>
          <cell r="F57">
            <v>-44.835000000000001</v>
          </cell>
          <cell r="G57">
            <v>-1.3009374046866042E-4</v>
          </cell>
          <cell r="H57">
            <v>-51.643000000000001</v>
          </cell>
          <cell r="I57">
            <v>-1.537365673742223E-4</v>
          </cell>
          <cell r="J57">
            <v>-55.216999999999999</v>
          </cell>
          <cell r="K57">
            <v>-1.7706939842191104E-4</v>
          </cell>
          <cell r="L57">
            <v>-32.406999999999996</v>
          </cell>
          <cell r="M57">
            <v>-1.01208915779994E-4</v>
          </cell>
          <cell r="N57">
            <v>-19.870999999999999</v>
          </cell>
          <cell r="O57">
            <v>-6.1183068963984426E-5</v>
          </cell>
          <cell r="P57">
            <v>-20</v>
          </cell>
          <cell r="Q57">
            <v>-5.7648796154779176E-5</v>
          </cell>
          <cell r="R57">
            <v>-20</v>
          </cell>
          <cell r="S57">
            <v>-5.3739014319042793E-5</v>
          </cell>
          <cell r="T57">
            <v>-20</v>
          </cell>
          <cell r="U57">
            <v>-5.0071966257376251E-5</v>
          </cell>
          <cell r="V57">
            <v>-20</v>
          </cell>
          <cell r="W57">
            <v>-4.7733229701710118E-5</v>
          </cell>
          <cell r="X57">
            <v>-20</v>
          </cell>
          <cell r="Y57">
            <v>-4.5838276745000645E-5</v>
          </cell>
          <cell r="AA57">
            <v>-227</v>
          </cell>
        </row>
        <row r="58">
          <cell r="A58" t="str">
            <v xml:space="preserve">     Total Lease Expense</v>
          </cell>
          <cell r="B58">
            <v>-449.07500000000005</v>
          </cell>
          <cell r="C58">
            <v>-1.1480855695178589E-3</v>
          </cell>
          <cell r="D58">
            <v>-383.51299999999998</v>
          </cell>
          <cell r="E58">
            <v>-1.0315302613567274E-3</v>
          </cell>
          <cell r="F58">
            <v>-368.74799999999999</v>
          </cell>
          <cell r="G58">
            <v>-1.069963345831105E-3</v>
          </cell>
          <cell r="H58">
            <v>-287.91899999999998</v>
          </cell>
          <cell r="I58">
            <v>-8.571089739523016E-4</v>
          </cell>
          <cell r="J58">
            <v>-273.33999999999997</v>
          </cell>
          <cell r="K58">
            <v>-8.7654434983148598E-4</v>
          </cell>
          <cell r="L58">
            <v>-250.66899999999998</v>
          </cell>
          <cell r="M58">
            <v>-7.8285363377218861E-4</v>
          </cell>
          <cell r="N58">
            <v>-236.66500000000002</v>
          </cell>
          <cell r="O58">
            <v>-7.2869463118923933E-4</v>
          </cell>
          <cell r="P58">
            <v>-198.21199999999999</v>
          </cell>
          <cell r="Q58">
            <v>-5.7133415917155447E-4</v>
          </cell>
          <cell r="R58">
            <v>-198.21199999999999</v>
          </cell>
          <cell r="S58">
            <v>-5.3258587531030549E-4</v>
          </cell>
          <cell r="T58">
            <v>-198.21199999999999</v>
          </cell>
          <cell r="U58">
            <v>-4.9624322879035304E-4</v>
          </cell>
          <cell r="V58">
            <v>-198.21199999999999</v>
          </cell>
          <cell r="W58">
            <v>-4.7306494628176826E-4</v>
          </cell>
          <cell r="X58">
            <v>-198.21199999999999</v>
          </cell>
          <cell r="Y58">
            <v>-4.5428482550900339E-4</v>
          </cell>
        </row>
        <row r="60">
          <cell r="A60" t="str">
            <v xml:space="preserve">     EBITDA (2)</v>
          </cell>
          <cell r="B60">
            <v>147695.90798999998</v>
          </cell>
          <cell r="C60">
            <v>0.37759292020298707</v>
          </cell>
          <cell r="D60">
            <v>132270.79846499994</v>
          </cell>
          <cell r="E60">
            <v>0.35576716124476726</v>
          </cell>
          <cell r="F60">
            <v>123612.32802499998</v>
          </cell>
          <cell r="G60">
            <v>0.358674921842562</v>
          </cell>
          <cell r="H60">
            <v>109548.09599500007</v>
          </cell>
          <cell r="I60">
            <v>0.32611483145156367</v>
          </cell>
          <cell r="J60">
            <v>98002.17641999996</v>
          </cell>
          <cell r="K60">
            <v>0.31427253242167064</v>
          </cell>
          <cell r="L60">
            <v>100494.27155</v>
          </cell>
          <cell r="M60">
            <v>0.31384936173282929</v>
          </cell>
          <cell r="N60">
            <v>111795.13265999999</v>
          </cell>
          <cell r="O60">
            <v>0.34421867602911616</v>
          </cell>
          <cell r="P60">
            <v>123323.331515</v>
          </cell>
          <cell r="Q60">
            <v>0.35547207998182445</v>
          </cell>
          <cell r="R60">
            <v>138624.70661739167</v>
          </cell>
          <cell r="S60">
            <v>0.37247775469425587</v>
          </cell>
          <cell r="T60">
            <v>154798.89611781095</v>
          </cell>
          <cell r="U60">
            <v>0.38755425515450603</v>
          </cell>
          <cell r="V60">
            <v>165088.05784648046</v>
          </cell>
          <cell r="W60">
            <v>0.39400930930976291</v>
          </cell>
          <cell r="X60">
            <v>173407.39430353744</v>
          </cell>
          <cell r="Y60">
            <v>0.39743480648574991</v>
          </cell>
        </row>
        <row r="61">
          <cell r="A61" t="str">
            <v xml:space="preserve">     EBITDA Margin</v>
          </cell>
          <cell r="B61">
            <v>0.37759292020298707</v>
          </cell>
          <cell r="D61">
            <v>0.35576716124476726</v>
          </cell>
          <cell r="F61">
            <v>0.358674921842562</v>
          </cell>
          <cell r="H61">
            <v>0.32611483145156367</v>
          </cell>
          <cell r="J61">
            <v>0.31427253242167064</v>
          </cell>
          <cell r="L61">
            <v>0.31384936173282929</v>
          </cell>
          <cell r="N61">
            <v>0.34421867602911616</v>
          </cell>
          <cell r="P61">
            <v>0.35547207998182445</v>
          </cell>
          <cell r="R61">
            <v>0.37247775469425587</v>
          </cell>
          <cell r="T61">
            <v>0.38755425515450603</v>
          </cell>
          <cell r="V61">
            <v>0.39400930930976291</v>
          </cell>
          <cell r="X61">
            <v>0.39743480648574991</v>
          </cell>
        </row>
        <row r="62">
          <cell r="AX62">
            <v>-1</v>
          </cell>
        </row>
        <row r="63">
          <cell r="A63" t="str">
            <v>Maintenance CapEx</v>
          </cell>
          <cell r="J63">
            <v>-13524</v>
          </cell>
          <cell r="L63">
            <v>-16036</v>
          </cell>
          <cell r="N63">
            <v>-18493</v>
          </cell>
          <cell r="P63">
            <v>-12293</v>
          </cell>
          <cell r="R63">
            <v>-14605</v>
          </cell>
          <cell r="T63">
            <v>-17974.129383573356</v>
          </cell>
          <cell r="V63">
            <v>-18854.789538109886</v>
          </cell>
          <cell r="X63">
            <v>-19634.245960133274</v>
          </cell>
          <cell r="AX63">
            <v>-13524</v>
          </cell>
          <cell r="AZ63">
            <v>-16036</v>
          </cell>
          <cell r="BB63">
            <v>-18493</v>
          </cell>
          <cell r="BD63">
            <v>-12293</v>
          </cell>
          <cell r="BF63">
            <v>-14605</v>
          </cell>
          <cell r="BH63">
            <v>-17974.129383573356</v>
          </cell>
          <cell r="BJ63">
            <v>-18854.789538109886</v>
          </cell>
          <cell r="BL63">
            <v>-19634.245960133274</v>
          </cell>
        </row>
        <row r="64">
          <cell r="A64" t="str">
            <v>Renovation CapEx</v>
          </cell>
          <cell r="H64">
            <v>-21116.258999999998</v>
          </cell>
          <cell r="I64">
            <v>-6.2861204315106167E-2</v>
          </cell>
          <cell r="J64">
            <v>-39950</v>
          </cell>
          <cell r="K64">
            <v>-0.12811131475732737</v>
          </cell>
          <cell r="L64">
            <v>-45046</v>
          </cell>
          <cell r="M64">
            <v>-0.14068123615964484</v>
          </cell>
          <cell r="N64">
            <v>-41507</v>
          </cell>
          <cell r="O64">
            <v>-0.12780059601872587</v>
          </cell>
          <cell r="P64">
            <v>-27707</v>
          </cell>
          <cell r="Q64">
            <v>-7.9863759753023331E-2</v>
          </cell>
          <cell r="R64">
            <v>-25395</v>
          </cell>
          <cell r="S64">
            <v>-6.8235113431604585E-2</v>
          </cell>
          <cell r="T64">
            <v>0</v>
          </cell>
          <cell r="U64">
            <v>-4.4999999999999998E-2</v>
          </cell>
          <cell r="V64">
            <v>0</v>
          </cell>
          <cell r="W64">
            <v>-4.4999999999999998E-2</v>
          </cell>
          <cell r="X64">
            <v>0</v>
          </cell>
          <cell r="Y64">
            <v>0</v>
          </cell>
        </row>
        <row r="65">
          <cell r="A65" t="str">
            <v xml:space="preserve">     Total CapEx</v>
          </cell>
          <cell r="H65">
            <v>-21116.258999999998</v>
          </cell>
          <cell r="J65">
            <v>-53474</v>
          </cell>
          <cell r="L65">
            <v>-61082</v>
          </cell>
          <cell r="N65">
            <v>-60000</v>
          </cell>
          <cell r="P65">
            <v>-40000</v>
          </cell>
          <cell r="R65">
            <v>-40000</v>
          </cell>
          <cell r="T65">
            <v>-17974.129383573356</v>
          </cell>
          <cell r="V65">
            <v>-18854.789538109886</v>
          </cell>
          <cell r="X65">
            <v>-19634.245960133274</v>
          </cell>
        </row>
        <row r="67">
          <cell r="A67" t="str">
            <v xml:space="preserve">     Economic NOI</v>
          </cell>
          <cell r="H67">
            <v>88431.836995000078</v>
          </cell>
          <cell r="J67">
            <v>44528.17641999996</v>
          </cell>
          <cell r="K67">
            <v>0.14279257133698167</v>
          </cell>
          <cell r="L67">
            <v>39412.271550000005</v>
          </cell>
          <cell r="M67">
            <v>0.12308677976987085</v>
          </cell>
          <cell r="N67">
            <v>51795.132659999988</v>
          </cell>
          <cell r="O67">
            <v>0.15947789107420368</v>
          </cell>
          <cell r="P67">
            <v>83323.331514999998</v>
          </cell>
          <cell r="Q67">
            <v>0.24017448767226612</v>
          </cell>
          <cell r="R67">
            <v>98624.706617391668</v>
          </cell>
          <cell r="S67">
            <v>0.26499972605617028</v>
          </cell>
          <cell r="T67">
            <v>136824.76673423758</v>
          </cell>
          <cell r="U67">
            <v>0.34255425515450605</v>
          </cell>
          <cell r="V67">
            <v>165088.05784648046</v>
          </cell>
          <cell r="W67">
            <v>0.39400930930976291</v>
          </cell>
          <cell r="X67">
            <v>173407.39430353744</v>
          </cell>
          <cell r="Y67">
            <v>0.39743480648574991</v>
          </cell>
        </row>
        <row r="69">
          <cell r="A69" t="str">
            <v>Franchise Properties</v>
          </cell>
        </row>
        <row r="71">
          <cell r="A71" t="str">
            <v>Number of Hotels</v>
          </cell>
          <cell r="B71">
            <v>88</v>
          </cell>
          <cell r="D71">
            <v>100</v>
          </cell>
          <cell r="F71">
            <v>95</v>
          </cell>
          <cell r="H71">
            <v>98</v>
          </cell>
          <cell r="J71">
            <v>100</v>
          </cell>
          <cell r="L71">
            <v>95</v>
          </cell>
          <cell r="N71">
            <v>96</v>
          </cell>
          <cell r="P71">
            <v>103</v>
          </cell>
          <cell r="R71">
            <v>115</v>
          </cell>
          <cell r="T71">
            <v>132</v>
          </cell>
          <cell r="V71">
            <v>150</v>
          </cell>
          <cell r="X71">
            <v>170</v>
          </cell>
        </row>
        <row r="72">
          <cell r="A72" t="str">
            <v>Rooms Rented</v>
          </cell>
          <cell r="J72">
            <v>1947744</v>
          </cell>
          <cell r="L72">
            <v>1938286</v>
          </cell>
          <cell r="N72">
            <v>1972315.35</v>
          </cell>
          <cell r="P72">
            <v>2013654</v>
          </cell>
          <cell r="R72">
            <v>2232530</v>
          </cell>
          <cell r="T72">
            <v>2550459</v>
          </cell>
          <cell r="V72">
            <v>2936297</v>
          </cell>
          <cell r="X72">
            <v>3359809</v>
          </cell>
        </row>
        <row r="73">
          <cell r="A73" t="str">
            <v>Rooms Available</v>
          </cell>
          <cell r="J73">
            <v>3307852</v>
          </cell>
          <cell r="L73">
            <v>3224264</v>
          </cell>
          <cell r="N73">
            <v>3170925</v>
          </cell>
          <cell r="P73">
            <v>3201358</v>
          </cell>
          <cell r="R73">
            <v>3515796</v>
          </cell>
          <cell r="T73">
            <v>3972678</v>
          </cell>
          <cell r="V73">
            <v>4534822</v>
          </cell>
          <cell r="X73">
            <v>5145190</v>
          </cell>
        </row>
        <row r="74">
          <cell r="A74" t="str">
            <v>Occupancy</v>
          </cell>
          <cell r="B74">
            <v>0.68068313831959093</v>
          </cell>
          <cell r="D74">
            <v>0.66771964975290654</v>
          </cell>
          <cell r="F74">
            <v>0.65506998869356114</v>
          </cell>
          <cell r="H74">
            <v>0.63127848439132905</v>
          </cell>
          <cell r="J74">
            <v>0.58882440931456426</v>
          </cell>
          <cell r="L74">
            <v>0.60115610880498616</v>
          </cell>
          <cell r="N74">
            <v>0.622</v>
          </cell>
          <cell r="P74">
            <v>0.62899994314912611</v>
          </cell>
          <cell r="R74">
            <v>0.63499986916191953</v>
          </cell>
          <cell r="T74">
            <v>0.64199993052545412</v>
          </cell>
          <cell r="V74">
            <v>0.6474999459736237</v>
          </cell>
          <cell r="X74">
            <v>0.65299998639506029</v>
          </cell>
        </row>
        <row r="75">
          <cell r="A75" t="str">
            <v>ADR</v>
          </cell>
          <cell r="B75">
            <v>50.082437037782839</v>
          </cell>
          <cell r="D75">
            <v>48.392866617078013</v>
          </cell>
          <cell r="F75">
            <v>47.367970318171665</v>
          </cell>
          <cell r="H75">
            <v>47.390024283324486</v>
          </cell>
          <cell r="J75">
            <v>53.3</v>
          </cell>
          <cell r="L75">
            <v>56.2</v>
          </cell>
          <cell r="N75">
            <v>57.5</v>
          </cell>
          <cell r="P75">
            <v>59</v>
          </cell>
          <cell r="R75">
            <v>61.4</v>
          </cell>
          <cell r="T75">
            <v>63.8</v>
          </cell>
          <cell r="V75">
            <v>66.400000000000006</v>
          </cell>
          <cell r="X75">
            <v>68.900000000000006</v>
          </cell>
        </row>
        <row r="76">
          <cell r="A76" t="str">
            <v>RevPAR</v>
          </cell>
          <cell r="B76">
            <v>34.09027041757134</v>
          </cell>
          <cell r="D76">
            <v>32.312867948094457</v>
          </cell>
          <cell r="F76">
            <v>31.029335780761652</v>
          </cell>
          <cell r="H76">
            <v>29.916302704845361</v>
          </cell>
          <cell r="J76">
            <v>31.384341016466273</v>
          </cell>
          <cell r="L76">
            <v>33.784973314840222</v>
          </cell>
          <cell r="N76">
            <v>35.765000000000001</v>
          </cell>
          <cell r="P76">
            <v>37.110996645798437</v>
          </cell>
          <cell r="R76">
            <v>38.98899196654186</v>
          </cell>
          <cell r="T76">
            <v>40.959595567523969</v>
          </cell>
          <cell r="V76">
            <v>42.99399641264862</v>
          </cell>
          <cell r="X76">
            <v>44.991699062619659</v>
          </cell>
        </row>
        <row r="78">
          <cell r="A78" t="str">
            <v>Franchise Revenue</v>
          </cell>
          <cell r="B78" t="str">
            <v>NEED HISTORICAL FRANCHISE REV AND EXP DATA FOR 2000-2003</v>
          </cell>
          <cell r="J78">
            <v>8592</v>
          </cell>
          <cell r="L78">
            <v>8990</v>
          </cell>
          <cell r="N78">
            <v>9517</v>
          </cell>
          <cell r="P78">
            <v>9942</v>
          </cell>
          <cell r="R78">
            <v>11678</v>
          </cell>
          <cell r="T78">
            <v>13838</v>
          </cell>
          <cell r="V78">
            <v>16312</v>
          </cell>
          <cell r="X78">
            <v>19145</v>
          </cell>
        </row>
        <row r="79">
          <cell r="A79" t="str">
            <v>Allocated Franchise Expense</v>
          </cell>
          <cell r="J79">
            <v>-4763.9300999999996</v>
          </cell>
          <cell r="L79">
            <v>-5316.4557209999994</v>
          </cell>
          <cell r="N79">
            <v>-5889.1776565300006</v>
          </cell>
          <cell r="P79">
            <v>-6673</v>
          </cell>
          <cell r="R79">
            <v>-7420.491</v>
          </cell>
          <cell r="T79">
            <v>-8545.4590000000007</v>
          </cell>
          <cell r="V79">
            <v>-9811.8019999999997</v>
          </cell>
          <cell r="X79">
            <v>-11190.491</v>
          </cell>
        </row>
        <row r="80">
          <cell r="A80" t="str">
            <v xml:space="preserve">     Franchise EBITDA</v>
          </cell>
          <cell r="B80" t="str">
            <v>[$x,xxx]</v>
          </cell>
          <cell r="D80" t="str">
            <v>[$x,xxx]</v>
          </cell>
          <cell r="F80" t="str">
            <v>[$x,xxx]</v>
          </cell>
          <cell r="H80" t="str">
            <v>[$x,xxx]</v>
          </cell>
          <cell r="J80">
            <v>3828.0699000000004</v>
          </cell>
          <cell r="K80">
            <v>0.55446113826815635</v>
          </cell>
          <cell r="L80">
            <v>3673.5442790000006</v>
          </cell>
          <cell r="M80">
            <v>0.59137438498331474</v>
          </cell>
          <cell r="N80">
            <v>3627.8223434699994</v>
          </cell>
          <cell r="O80">
            <v>0.61880610029736272</v>
          </cell>
          <cell r="P80">
            <v>3269</v>
          </cell>
          <cell r="Q80">
            <v>0.67119291892979283</v>
          </cell>
          <cell r="R80">
            <v>4257.509</v>
          </cell>
          <cell r="S80">
            <v>0.63542481589313238</v>
          </cell>
          <cell r="T80">
            <v>5292.5409999999993</v>
          </cell>
          <cell r="U80">
            <v>0.61753569880040471</v>
          </cell>
          <cell r="V80">
            <v>6500.1980000000003</v>
          </cell>
          <cell r="W80">
            <v>0.60150821481118188</v>
          </cell>
          <cell r="X80">
            <v>7954.509</v>
          </cell>
          <cell r="Y80">
            <v>0.58451245756072079</v>
          </cell>
        </row>
        <row r="82">
          <cell r="A82" t="str">
            <v>Corporate Level</v>
          </cell>
        </row>
        <row r="84">
          <cell r="A84" t="str">
            <v>Total Corporate Revenue</v>
          </cell>
          <cell r="B84" t="str">
            <v>[$x,xxx]</v>
          </cell>
          <cell r="D84" t="str">
            <v>[$x,xxx]</v>
          </cell>
          <cell r="F84" t="str">
            <v>[$x,xxx]</v>
          </cell>
          <cell r="H84" t="str">
            <v>[$x,xxx]</v>
          </cell>
          <cell r="J84">
            <v>320430.18599999999</v>
          </cell>
          <cell r="L84">
            <v>329189.06300000002</v>
          </cell>
          <cell r="N84">
            <v>334296.39299999998</v>
          </cell>
          <cell r="P84">
            <v>356870.32</v>
          </cell>
          <cell r="R84">
            <v>383847.08894648001</v>
          </cell>
          <cell r="T84">
            <v>413263.09741274122</v>
          </cell>
          <cell r="V84">
            <v>435307.32306910859</v>
          </cell>
          <cell r="X84">
            <v>455461.57689185056</v>
          </cell>
        </row>
        <row r="85">
          <cell r="A85" t="str">
            <v>Total Corporate Expense</v>
          </cell>
          <cell r="B85" t="str">
            <v>[x,xxx]</v>
          </cell>
          <cell r="D85" t="str">
            <v>[x,xxx]</v>
          </cell>
          <cell r="F85" t="str">
            <v>[x,xxx]</v>
          </cell>
          <cell r="H85" t="str">
            <v>[x,xxx]</v>
          </cell>
          <cell r="J85">
            <v>-218599.93968000001</v>
          </cell>
          <cell r="L85">
            <v>-225021.24717100002</v>
          </cell>
          <cell r="N85">
            <v>-218873.43799653</v>
          </cell>
          <cell r="P85">
            <v>-230277.98848500001</v>
          </cell>
          <cell r="R85">
            <v>-240964.87332908832</v>
          </cell>
          <cell r="T85">
            <v>-253171.66029493025</v>
          </cell>
          <cell r="V85">
            <v>-263719.0672226281</v>
          </cell>
          <cell r="X85">
            <v>-274099.67358831316</v>
          </cell>
        </row>
        <row r="86">
          <cell r="A86" t="str">
            <v xml:space="preserve">     Total Corporate EBITDA</v>
          </cell>
          <cell r="B86" t="str">
            <v>[$x,xxx]</v>
          </cell>
          <cell r="D86" t="str">
            <v>[$x,xxx]</v>
          </cell>
          <cell r="F86" t="str">
            <v>[$x,xxx]</v>
          </cell>
          <cell r="H86" t="str">
            <v>[$x,xxx]</v>
          </cell>
          <cell r="I86" t="e">
            <v>#VALUE!</v>
          </cell>
          <cell r="J86">
            <v>101830.24631999998</v>
          </cell>
          <cell r="K86">
            <v>0.32654835389531151</v>
          </cell>
          <cell r="L86">
            <v>104167.815829</v>
          </cell>
          <cell r="M86">
            <v>0.32532205076752518</v>
          </cell>
          <cell r="N86">
            <v>115422.95500346999</v>
          </cell>
          <cell r="O86">
            <v>0.35538878848594313</v>
          </cell>
          <cell r="P86">
            <v>126592.331515</v>
          </cell>
          <cell r="Q86">
            <v>0.36489477571332313</v>
          </cell>
          <cell r="R86">
            <v>142882.21561739166</v>
          </cell>
          <cell r="S86">
            <v>0.38391747154997852</v>
          </cell>
          <cell r="T86">
            <v>160091.43711781094</v>
          </cell>
          <cell r="U86">
            <v>0.40080465187289505</v>
          </cell>
          <cell r="V86">
            <v>171588.25584648046</v>
          </cell>
          <cell r="W86">
            <v>0.40952308152179279</v>
          </cell>
          <cell r="X86">
            <v>181361.90330353743</v>
          </cell>
          <cell r="Y86">
            <v>0.41566585573137976</v>
          </cell>
        </row>
        <row r="87">
          <cell r="A87" t="str">
            <v xml:space="preserve">       Corporate EBITDA Margin</v>
          </cell>
          <cell r="B87" t="str">
            <v>[xx.x%]</v>
          </cell>
          <cell r="D87" t="str">
            <v>[xx.x%]</v>
          </cell>
          <cell r="F87" t="str">
            <v>[xx.x%]</v>
          </cell>
          <cell r="H87" t="str">
            <v>[xx.x%]</v>
          </cell>
          <cell r="J87">
            <v>0.31779230162791211</v>
          </cell>
          <cell r="L87">
            <v>0.31643765707064209</v>
          </cell>
          <cell r="N87">
            <v>0.34527131437960207</v>
          </cell>
          <cell r="P87">
            <v>0.35472922353139369</v>
          </cell>
          <cell r="R87">
            <v>0.37223733025969047</v>
          </cell>
          <cell r="T87">
            <v>0.38738381946046752</v>
          </cell>
          <cell r="V87">
            <v>0.3941772783345513</v>
          </cell>
          <cell r="X87">
            <v>0.39819364026529475</v>
          </cell>
        </row>
        <row r="89">
          <cell r="A89" t="str">
            <v xml:space="preserve">     Total Cash Flow (3)</v>
          </cell>
          <cell r="B89" t="str">
            <v>NEED HISTORICAL CAP EX DATA FOR 2000-2003</v>
          </cell>
          <cell r="J89">
            <v>48356.246319999977</v>
          </cell>
          <cell r="L89">
            <v>43085.815828999999</v>
          </cell>
          <cell r="N89">
            <v>55422.955003469993</v>
          </cell>
          <cell r="P89">
            <v>86592.331514999998</v>
          </cell>
          <cell r="R89">
            <v>102882.21561739166</v>
          </cell>
          <cell r="T89">
            <v>142117.30773423758</v>
          </cell>
        </row>
        <row r="91">
          <cell r="H91" t="e">
            <v>#VALUE!</v>
          </cell>
          <cell r="J91">
            <v>61880.246319999977</v>
          </cell>
          <cell r="L91">
            <v>59121.815828999999</v>
          </cell>
          <cell r="N91">
            <v>73915.955003469993</v>
          </cell>
          <cell r="P91">
            <v>98885.331514999998</v>
          </cell>
          <cell r="R91">
            <v>117487.21561739166</v>
          </cell>
          <cell r="T91">
            <v>160091.43711781094</v>
          </cell>
          <cell r="V91">
            <v>171588.25584648046</v>
          </cell>
          <cell r="X91">
            <v>181361.90330353743</v>
          </cell>
        </row>
        <row r="95">
          <cell r="B95">
            <v>50.082437037782839</v>
          </cell>
          <cell r="D95">
            <v>48.392866617078013</v>
          </cell>
          <cell r="F95">
            <v>47.367970318171665</v>
          </cell>
          <cell r="H95">
            <v>47.390024283324486</v>
          </cell>
        </row>
        <row r="96">
          <cell r="B96">
            <v>0.68068313831959093</v>
          </cell>
          <cell r="D96">
            <v>0.66771964975290654</v>
          </cell>
          <cell r="F96">
            <v>0.65506998869356114</v>
          </cell>
          <cell r="H96">
            <v>0.63127848439132905</v>
          </cell>
        </row>
        <row r="97">
          <cell r="B97">
            <v>34.09027041757134</v>
          </cell>
          <cell r="D97">
            <v>32.312867948094457</v>
          </cell>
          <cell r="F97">
            <v>31.029335780761652</v>
          </cell>
          <cell r="H97">
            <v>29.916302704845361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P Summary"/>
      <sheetName val="RevPAR Table"/>
      <sheetName val="BP Output"/>
      <sheetName val="BP RRI corporate "/>
      <sheetName val="BP RRI franchise"/>
      <sheetName val="Exhibits"/>
      <sheetName val="Network rec"/>
      <sheetName val="PL 2007"/>
      <sheetName val="PL 2006E"/>
      <sheetName val="PL 2005"/>
      <sheetName val="PL 2004"/>
      <sheetName val="PL 2003"/>
      <sheetName val="PL 2002"/>
      <sheetName val="PL 2001"/>
      <sheetName val="PL 2000"/>
      <sheetName val="Rents rec"/>
    </sheetNames>
    <sheetDataSet>
      <sheetData sheetId="0" refreshError="1"/>
      <sheetData sheetId="1">
        <row r="3">
          <cell r="C3" t="str">
            <v>1995A</v>
          </cell>
          <cell r="D3" t="str">
            <v>1996A</v>
          </cell>
          <cell r="E3" t="str">
            <v>1997A</v>
          </cell>
          <cell r="F3" t="str">
            <v>1998A</v>
          </cell>
          <cell r="G3" t="str">
            <v>1999A</v>
          </cell>
          <cell r="H3" t="str">
            <v>2000A</v>
          </cell>
          <cell r="I3" t="str">
            <v>2001A</v>
          </cell>
          <cell r="J3" t="str">
            <v>2002A</v>
          </cell>
          <cell r="K3" t="str">
            <v>2003A</v>
          </cell>
          <cell r="L3" t="str">
            <v>2004A</v>
          </cell>
          <cell r="M3" t="str">
            <v>2005A</v>
          </cell>
          <cell r="N3" t="str">
            <v>2006E</v>
          </cell>
          <cell r="O3" t="str">
            <v>2007E</v>
          </cell>
          <cell r="P3" t="str">
            <v xml:space="preserve">2008E </v>
          </cell>
          <cell r="Q3" t="str">
            <v>2009E</v>
          </cell>
          <cell r="R3" t="str">
            <v>2010E</v>
          </cell>
          <cell r="S3" t="str">
            <v xml:space="preserve">2011E </v>
          </cell>
        </row>
        <row r="5">
          <cell r="B5" t="str">
            <v>Occupancy</v>
          </cell>
          <cell r="C5">
            <v>0.77300000000000002</v>
          </cell>
          <cell r="D5">
            <v>0.74199999999999999</v>
          </cell>
          <cell r="E5">
            <v>0.70399999999999996</v>
          </cell>
          <cell r="F5">
            <v>0.73</v>
          </cell>
          <cell r="G5">
            <v>0.752</v>
          </cell>
          <cell r="H5">
            <v>0.68177887437993212</v>
          </cell>
          <cell r="I5">
            <v>0.67034568222076873</v>
          </cell>
          <cell r="J5">
            <v>0.6583502803067145</v>
          </cell>
          <cell r="K5">
            <v>0.63527252732214212</v>
          </cell>
          <cell r="L5">
            <v>0.63043523969615667</v>
          </cell>
          <cell r="M5">
            <v>0.62245354365359629</v>
          </cell>
          <cell r="N5">
            <v>0.59581059891786992</v>
          </cell>
          <cell r="O5">
            <v>0.60671503546406136</v>
          </cell>
          <cell r="P5">
            <v>0.62119999999999997</v>
          </cell>
          <cell r="Q5">
            <v>0.64739999999999998</v>
          </cell>
          <cell r="R5">
            <v>0.65300000000000002</v>
          </cell>
          <cell r="S5">
            <v>0.65700000000000003</v>
          </cell>
        </row>
        <row r="6">
          <cell r="B6" t="str">
            <v>ADR</v>
          </cell>
          <cell r="C6">
            <v>42.11</v>
          </cell>
          <cell r="D6">
            <v>44.36</v>
          </cell>
          <cell r="E6">
            <v>47.1</v>
          </cell>
          <cell r="F6">
            <v>46.8</v>
          </cell>
          <cell r="G6">
            <v>48.11</v>
          </cell>
          <cell r="H6">
            <v>49.932030974634593</v>
          </cell>
          <cell r="I6">
            <v>48.45715238083271</v>
          </cell>
          <cell r="J6">
            <v>47.483996937145029</v>
          </cell>
          <cell r="K6">
            <v>47.555090912077773</v>
          </cell>
          <cell r="L6">
            <v>48.963206097252296</v>
          </cell>
          <cell r="M6">
            <v>51.871420355860579</v>
          </cell>
          <cell r="N6">
            <v>56.54471087643654</v>
          </cell>
          <cell r="O6">
            <v>59.059592850339826</v>
          </cell>
          <cell r="P6">
            <v>61.751448808757246</v>
          </cell>
          <cell r="Q6">
            <v>63.765999999999998</v>
          </cell>
          <cell r="R6">
            <v>66.316640000000007</v>
          </cell>
          <cell r="S6">
            <v>68.637722400000001</v>
          </cell>
        </row>
        <row r="7">
          <cell r="B7" t="str">
            <v>RevPAR</v>
          </cell>
          <cell r="C7">
            <v>32.551029999999997</v>
          </cell>
          <cell r="D7">
            <v>32.915120000000002</v>
          </cell>
          <cell r="E7">
            <v>33.1584</v>
          </cell>
          <cell r="F7">
            <v>34.163999999999994</v>
          </cell>
          <cell r="G7">
            <v>36.178719999999998</v>
          </cell>
          <cell r="H7">
            <v>34.042603873390277</v>
          </cell>
          <cell r="I7">
            <v>32.483042871205051</v>
          </cell>
          <cell r="J7">
            <v>31.261102693652603</v>
          </cell>
          <cell r="K7">
            <v>30.21044279074988</v>
          </cell>
          <cell r="L7">
            <v>30.86813057221357</v>
          </cell>
          <cell r="M7">
            <v>32.287549414850709</v>
          </cell>
          <cell r="N7">
            <v>33.689938052927445</v>
          </cell>
          <cell r="O7">
            <v>35.832342970686952</v>
          </cell>
          <cell r="P7">
            <v>38.36</v>
          </cell>
          <cell r="Q7">
            <v>41.282108399999998</v>
          </cell>
          <cell r="R7">
            <v>43.304765920000008</v>
          </cell>
          <cell r="S7">
            <v>45.0949836168</v>
          </cell>
        </row>
        <row r="8">
          <cell r="B8" t="str">
            <v>RevPAR Growth</v>
          </cell>
          <cell r="C8" t="str">
            <v>NM</v>
          </cell>
          <cell r="D8">
            <v>1.1185206735393693E-2</v>
          </cell>
          <cell r="E8">
            <v>7.3911320997765984E-3</v>
          </cell>
          <cell r="F8">
            <v>3.0327156919513376E-2</v>
          </cell>
          <cell r="G8">
            <v>5.8972017328181803E-2</v>
          </cell>
          <cell r="H8">
            <v>-5.9043441188901147E-2</v>
          </cell>
          <cell r="I8">
            <v>-4.5812036235109321E-2</v>
          </cell>
          <cell r="J8">
            <v>-3.7617786683268206E-2</v>
          </cell>
          <cell r="K8">
            <v>-3.3609176016559772E-2</v>
          </cell>
          <cell r="L8">
            <v>2.1770213234513225E-2</v>
          </cell>
          <cell r="M8">
            <v>4.5983310823326962E-2</v>
          </cell>
          <cell r="N8">
            <v>4.3434347403018103E-2</v>
          </cell>
          <cell r="O8">
            <v>6.3591833098468609E-2</v>
          </cell>
          <cell r="P8">
            <v>7.0541215554361658E-2</v>
          </cell>
          <cell r="Q8">
            <v>7.6175922836287713E-2</v>
          </cell>
          <cell r="R8">
            <v>4.8995983935743226E-2</v>
          </cell>
          <cell r="S8">
            <v>4.133996937212836E-2</v>
          </cell>
        </row>
      </sheetData>
      <sheetData sheetId="2">
        <row r="1">
          <cell r="J1">
            <v>366</v>
          </cell>
          <cell r="L1">
            <v>365</v>
          </cell>
          <cell r="N1">
            <v>365</v>
          </cell>
          <cell r="P1">
            <v>365</v>
          </cell>
          <cell r="R1">
            <v>366</v>
          </cell>
          <cell r="T1">
            <v>365</v>
          </cell>
          <cell r="V1">
            <v>365</v>
          </cell>
          <cell r="X1">
            <v>365</v>
          </cell>
        </row>
        <row r="3">
          <cell r="A3" t="str">
            <v>($ in 000's, except per room figures)</v>
          </cell>
          <cell r="Z3" t="str">
            <v>% of revenue</v>
          </cell>
          <cell r="AA3" t="str">
            <v>CPI</v>
          </cell>
          <cell r="AB3" t="str">
            <v>CPRR</v>
          </cell>
          <cell r="AC3">
            <v>2002</v>
          </cell>
          <cell r="AE3" t="str">
            <v>2003 E</v>
          </cell>
          <cell r="AG3" t="str">
            <v>2004 B</v>
          </cell>
          <cell r="AI3" t="str">
            <v>2005 F</v>
          </cell>
          <cell r="AK3" t="str">
            <v>2006 F</v>
          </cell>
          <cell r="AM3" t="str">
            <v>2007 F</v>
          </cell>
          <cell r="AO3" t="str">
            <v>2008 F</v>
          </cell>
          <cell r="AQ3" t="str">
            <v>2009 F</v>
          </cell>
        </row>
        <row r="4">
          <cell r="B4" t="str">
            <v>2000 A</v>
          </cell>
          <cell r="D4" t="str">
            <v>2001 A</v>
          </cell>
          <cell r="F4" t="str">
            <v>2002 A</v>
          </cell>
          <cell r="H4" t="str">
            <v>2003 A</v>
          </cell>
          <cell r="J4" t="str">
            <v>2004 A</v>
          </cell>
          <cell r="L4" t="str">
            <v>2005 A</v>
          </cell>
          <cell r="N4" t="str">
            <v>2006 E</v>
          </cell>
          <cell r="P4" t="str">
            <v>2007 E</v>
          </cell>
          <cell r="R4" t="str">
            <v>2008 E</v>
          </cell>
          <cell r="T4" t="str">
            <v>2009 E</v>
          </cell>
          <cell r="V4" t="str">
            <v>2010 E</v>
          </cell>
          <cell r="X4" t="str">
            <v>2011 E</v>
          </cell>
        </row>
        <row r="5">
          <cell r="A5" t="str">
            <v>Owned and Leased Properties</v>
          </cell>
        </row>
        <row r="7">
          <cell r="A7" t="str">
            <v>Number of Hotels</v>
          </cell>
          <cell r="B7">
            <v>255</v>
          </cell>
          <cell r="D7">
            <v>246</v>
          </cell>
          <cell r="F7">
            <v>244</v>
          </cell>
          <cell r="H7">
            <v>234</v>
          </cell>
          <cell r="J7">
            <v>229</v>
          </cell>
          <cell r="L7">
            <v>226</v>
          </cell>
          <cell r="N7">
            <v>221</v>
          </cell>
          <cell r="P7">
            <v>221</v>
          </cell>
          <cell r="R7">
            <v>221</v>
          </cell>
          <cell r="T7">
            <v>221</v>
          </cell>
          <cell r="V7">
            <v>221</v>
          </cell>
          <cell r="X7">
            <v>221</v>
          </cell>
        </row>
        <row r="8">
          <cell r="A8" t="str">
            <v>Rooms Rented</v>
          </cell>
          <cell r="B8">
            <v>7336842</v>
          </cell>
          <cell r="D8">
            <v>7083089</v>
          </cell>
          <cell r="F8">
            <v>6772766</v>
          </cell>
          <cell r="H8">
            <v>6452498</v>
          </cell>
          <cell r="J8">
            <v>6206599</v>
          </cell>
          <cell r="L8">
            <v>6042535</v>
          </cell>
          <cell r="N8">
            <v>5617235</v>
          </cell>
          <cell r="P8">
            <v>5749532</v>
          </cell>
          <cell r="R8">
            <v>5902926.9095999999</v>
          </cell>
          <cell r="T8">
            <v>6135082.8629999999</v>
          </cell>
          <cell r="V8">
            <v>6188151.2350000003</v>
          </cell>
          <cell r="X8">
            <v>6226057.2149999999</v>
          </cell>
        </row>
        <row r="9">
          <cell r="A9" t="str">
            <v>Rooms Available</v>
          </cell>
          <cell r="B9">
            <v>10761322</v>
          </cell>
          <cell r="D9">
            <v>10566323</v>
          </cell>
          <cell r="F9">
            <v>10287481</v>
          </cell>
          <cell r="H9">
            <v>10157055</v>
          </cell>
          <cell r="J9">
            <v>9844943</v>
          </cell>
          <cell r="L9">
            <v>9707608</v>
          </cell>
          <cell r="N9">
            <v>9427887</v>
          </cell>
          <cell r="P9">
            <v>9476495</v>
          </cell>
          <cell r="R9">
            <v>9502458</v>
          </cell>
          <cell r="T9">
            <v>9476495</v>
          </cell>
          <cell r="V9">
            <v>9476495</v>
          </cell>
          <cell r="X9">
            <v>9476495</v>
          </cell>
        </row>
        <row r="10">
          <cell r="A10" t="str">
            <v>Occupancy</v>
          </cell>
          <cell r="B10">
            <v>0.68177887437993212</v>
          </cell>
          <cell r="D10">
            <v>0.67034568222076873</v>
          </cell>
          <cell r="E10">
            <v>-1.1433192159163386</v>
          </cell>
          <cell r="F10">
            <v>0.6583502803067145</v>
          </cell>
          <cell r="G10">
            <v>-1.1995401914054238</v>
          </cell>
          <cell r="H10">
            <v>0.63527252732214212</v>
          </cell>
          <cell r="I10">
            <v>-2.3077752984572375</v>
          </cell>
          <cell r="J10">
            <v>0.63043523969615667</v>
          </cell>
          <cell r="K10">
            <v>-0.48372876259854536</v>
          </cell>
          <cell r="L10">
            <v>0.62245354365359629</v>
          </cell>
          <cell r="M10">
            <v>-0.79816960425603822</v>
          </cell>
          <cell r="N10">
            <v>0.59581059891786992</v>
          </cell>
          <cell r="O10">
            <v>-2.664294473572637</v>
          </cell>
          <cell r="P10">
            <v>0.60671503546406136</v>
          </cell>
          <cell r="Q10">
            <v>1.0904436546191443</v>
          </cell>
          <cell r="R10">
            <v>0.62119999999999997</v>
          </cell>
          <cell r="S10">
            <v>1.4484964535938616</v>
          </cell>
          <cell r="T10">
            <v>0.64739999999999998</v>
          </cell>
          <cell r="U10">
            <v>2.62</v>
          </cell>
          <cell r="V10">
            <v>0.65300000000000002</v>
          </cell>
          <cell r="W10">
            <v>0.56000000000000494</v>
          </cell>
          <cell r="X10">
            <v>0.65700000000000003</v>
          </cell>
          <cell r="Y10">
            <v>0.40000000000000036</v>
          </cell>
        </row>
        <row r="11">
          <cell r="A11" t="str">
            <v>ADR</v>
          </cell>
          <cell r="B11">
            <v>49.932030974634593</v>
          </cell>
          <cell r="D11">
            <v>48.45715238083271</v>
          </cell>
          <cell r="E11">
            <v>-2.9537724883474479E-2</v>
          </cell>
          <cell r="F11">
            <v>47.483996937145029</v>
          </cell>
          <cell r="G11">
            <v>-2.008280296868236E-2</v>
          </cell>
          <cell r="H11">
            <v>47.555090912077773</v>
          </cell>
          <cell r="I11">
            <v>1.4972196849151393E-3</v>
          </cell>
          <cell r="J11">
            <v>48.963206097252296</v>
          </cell>
          <cell r="K11">
            <v>2.9610188061209197E-2</v>
          </cell>
          <cell r="L11">
            <v>51.871420355860579</v>
          </cell>
          <cell r="M11">
            <v>5.9395911551051082E-2</v>
          </cell>
          <cell r="N11">
            <v>56.54471087643654</v>
          </cell>
          <cell r="O11">
            <v>9.0093745043323445E-2</v>
          </cell>
          <cell r="P11">
            <v>59.059592850339826</v>
          </cell>
          <cell r="Q11">
            <v>4.4475989618178315E-2</v>
          </cell>
          <cell r="R11">
            <v>61.751448808757246</v>
          </cell>
          <cell r="S11">
            <v>4.5578640632330934E-2</v>
          </cell>
          <cell r="T11">
            <v>63.765999999999998</v>
          </cell>
          <cell r="U11">
            <v>3.2623545359749678E-2</v>
          </cell>
          <cell r="V11">
            <v>66.316640000000007</v>
          </cell>
          <cell r="W11">
            <v>4.0000000000000133E-2</v>
          </cell>
          <cell r="X11">
            <v>68.637722400000001</v>
          </cell>
          <cell r="Y11">
            <v>3.4999999999999913E-2</v>
          </cell>
        </row>
        <row r="12">
          <cell r="A12" t="str">
            <v>RevPAR</v>
          </cell>
          <cell r="B12">
            <v>34.042603873390277</v>
          </cell>
          <cell r="D12">
            <v>32.483042871205051</v>
          </cell>
          <cell r="E12">
            <v>-4.5812036235109273E-2</v>
          </cell>
          <cell r="F12">
            <v>31.261102693652603</v>
          </cell>
          <cell r="G12">
            <v>-3.7617786683268199E-2</v>
          </cell>
          <cell r="H12">
            <v>30.21044279074988</v>
          </cell>
          <cell r="I12">
            <v>-3.3609176016559827E-2</v>
          </cell>
          <cell r="J12">
            <v>30.86813057221357</v>
          </cell>
          <cell r="K12">
            <v>2.1770213234513284E-2</v>
          </cell>
          <cell r="L12">
            <v>32.287549414850709</v>
          </cell>
          <cell r="M12">
            <v>4.5983310823326989E-2</v>
          </cell>
          <cell r="N12">
            <v>33.689938052927445</v>
          </cell>
          <cell r="O12">
            <v>4.3434347403018006E-2</v>
          </cell>
          <cell r="P12">
            <v>35.832342970686952</v>
          </cell>
          <cell r="Q12">
            <v>6.3591833098468553E-2</v>
          </cell>
          <cell r="R12">
            <v>38.36</v>
          </cell>
          <cell r="S12">
            <v>7.0541215554361755E-2</v>
          </cell>
          <cell r="T12">
            <v>41.282108399999998</v>
          </cell>
          <cell r="U12">
            <v>7.6175922836287782E-2</v>
          </cell>
          <cell r="V12">
            <v>43.304765920000008</v>
          </cell>
          <cell r="W12">
            <v>4.8995983935743212E-2</v>
          </cell>
          <cell r="X12">
            <v>45.0949836168</v>
          </cell>
          <cell r="Y12">
            <v>4.1339969372128443E-2</v>
          </cell>
        </row>
        <row r="14">
          <cell r="A14" t="str">
            <v>Room Revenue</v>
          </cell>
          <cell r="B14">
            <v>366343.42200000002</v>
          </cell>
          <cell r="D14">
            <v>343226.32299999997</v>
          </cell>
          <cell r="F14">
            <v>321598</v>
          </cell>
          <cell r="H14">
            <v>306849.12900000002</v>
          </cell>
          <cell r="J14">
            <v>303894.98599999998</v>
          </cell>
          <cell r="L14">
            <v>313434.87300000002</v>
          </cell>
          <cell r="N14">
            <v>317624.929</v>
          </cell>
          <cell r="P14">
            <v>339565.01900000003</v>
          </cell>
          <cell r="R14">
            <v>364514.28888000001</v>
          </cell>
          <cell r="T14">
            <v>391209.69384205801</v>
          </cell>
          <cell r="V14">
            <v>410377.39771705051</v>
          </cell>
          <cell r="X14">
            <v>427342.38676968712</v>
          </cell>
        </row>
        <row r="15">
          <cell r="A15" t="str">
            <v>Other Revenue</v>
          </cell>
          <cell r="B15">
            <v>13296.994000000001</v>
          </cell>
          <cell r="D15">
            <v>11989</v>
          </cell>
          <cell r="F15">
            <v>9772.1479999999992</v>
          </cell>
          <cell r="H15">
            <v>8276.103000000001</v>
          </cell>
          <cell r="J15">
            <v>7944.1379999999999</v>
          </cell>
          <cell r="L15">
            <v>6764.19</v>
          </cell>
          <cell r="N15">
            <v>7154.4639999999999</v>
          </cell>
          <cell r="P15">
            <v>7363.3009999999995</v>
          </cell>
          <cell r="R15">
            <v>7654.8000664800011</v>
          </cell>
          <cell r="T15">
            <v>8215.4035706832183</v>
          </cell>
          <cell r="V15">
            <v>8617.9253520580605</v>
          </cell>
          <cell r="X15">
            <v>8974.1901221634307</v>
          </cell>
          <cell r="Z15">
            <v>2.1000000000000001E-2</v>
          </cell>
          <cell r="AC15">
            <v>3.0386221307346438E-2</v>
          </cell>
          <cell r="AE15">
            <v>2.6971244881715147E-2</v>
          </cell>
          <cell r="AG15">
            <v>2.6141063084206332E-2</v>
          </cell>
          <cell r="AI15">
            <v>2.1580846876601376E-2</v>
          </cell>
        </row>
        <row r="16">
          <cell r="A16" t="str">
            <v xml:space="preserve">     Total Revenue</v>
          </cell>
          <cell r="B16">
            <v>379640.41600000003</v>
          </cell>
          <cell r="D16">
            <v>355215.32299999997</v>
          </cell>
          <cell r="E16">
            <v>-6.4337441353978633E-2</v>
          </cell>
          <cell r="F16">
            <v>331370.14799999999</v>
          </cell>
          <cell r="G16">
            <v>-6.7128790499839983E-2</v>
          </cell>
          <cell r="H16">
            <v>315125.23200000002</v>
          </cell>
          <cell r="I16">
            <v>-4.9023474498372646E-2</v>
          </cell>
          <cell r="J16">
            <v>311839.12399999995</v>
          </cell>
          <cell r="K16">
            <v>-1.0427943135953218E-2</v>
          </cell>
          <cell r="L16">
            <v>320199.06300000002</v>
          </cell>
          <cell r="M16">
            <v>2.6808499500531154E-2</v>
          </cell>
          <cell r="N16">
            <v>324779.39299999998</v>
          </cell>
          <cell r="O16">
            <v>1.4304632740289929E-2</v>
          </cell>
          <cell r="P16">
            <v>346928.32</v>
          </cell>
          <cell r="Q16">
            <v>6.819683599815099E-2</v>
          </cell>
          <cell r="R16">
            <v>372169.08894648001</v>
          </cell>
          <cell r="S16">
            <v>7.2754997189275306E-2</v>
          </cell>
          <cell r="T16">
            <v>399425.09741274122</v>
          </cell>
          <cell r="U16">
            <v>7.3235551462418128E-2</v>
          </cell>
          <cell r="V16">
            <v>418995.32306910859</v>
          </cell>
          <cell r="W16">
            <v>4.8995983935743302E-2</v>
          </cell>
          <cell r="X16">
            <v>436316.57689185056</v>
          </cell>
          <cell r="Y16">
            <v>4.1339969372128346E-2</v>
          </cell>
        </row>
        <row r="18">
          <cell r="A18" t="str">
            <v>Salaries &amp; Wages</v>
          </cell>
          <cell r="B18">
            <v>-76803</v>
          </cell>
          <cell r="C18">
            <v>-0.20230459340767343</v>
          </cell>
          <cell r="D18">
            <v>-72449.55</v>
          </cell>
          <cell r="E18">
            <v>-0.20395952907695936</v>
          </cell>
          <cell r="F18">
            <v>-70540.198000000004</v>
          </cell>
          <cell r="G18">
            <v>-0.21287432928327632</v>
          </cell>
          <cell r="H18">
            <v>-70692.581000000006</v>
          </cell>
          <cell r="I18">
            <v>-0.22433170632302779</v>
          </cell>
          <cell r="J18">
            <v>-66743.914000000004</v>
          </cell>
          <cell r="K18">
            <v>-0.2140331628176329</v>
          </cell>
          <cell r="L18">
            <v>-68771.820000000007</v>
          </cell>
          <cell r="M18">
            <v>-0.21477832994158388</v>
          </cell>
          <cell r="N18">
            <v>-68215.285999999993</v>
          </cell>
          <cell r="O18">
            <v>-0.21003575802606417</v>
          </cell>
          <cell r="P18">
            <v>-70975.761000000013</v>
          </cell>
          <cell r="Q18">
            <v>-0.20458335889096632</v>
          </cell>
          <cell r="R18">
            <v>-73105.033830000015</v>
          </cell>
          <cell r="S18">
            <v>-0.19642962298922392</v>
          </cell>
          <cell r="T18">
            <v>-75298.184844900024</v>
          </cell>
          <cell r="U18">
            <v>-0.18851640853977569</v>
          </cell>
          <cell r="V18">
            <v>-77557.130390247024</v>
          </cell>
          <cell r="W18">
            <v>-0.18510261599615718</v>
          </cell>
          <cell r="X18">
            <v>-79883.844301954436</v>
          </cell>
          <cell r="Y18">
            <v>-0.18308688812837651</v>
          </cell>
          <cell r="AA18">
            <v>0.03</v>
          </cell>
          <cell r="AC18">
            <v>-2.6354228563186366E-2</v>
          </cell>
          <cell r="AE18">
            <v>2.1602292638872606E-3</v>
          </cell>
          <cell r="AG18">
            <v>-5.5856879804685601E-2</v>
          </cell>
          <cell r="AI18">
            <v>3.0383384468582447E-2</v>
          </cell>
          <cell r="AK18">
            <v>-8.0924715966512756E-3</v>
          </cell>
        </row>
        <row r="19">
          <cell r="A19" t="str">
            <v>Payroll Taxes &amp; Benefits</v>
          </cell>
          <cell r="B19">
            <v>-17438.028999999999</v>
          </cell>
          <cell r="C19">
            <v>-4.5933015203523532E-2</v>
          </cell>
          <cell r="D19">
            <v>-16238.094000000001</v>
          </cell>
          <cell r="E19">
            <v>-4.5713382696613014E-2</v>
          </cell>
          <cell r="F19">
            <v>-15943.619000000001</v>
          </cell>
          <cell r="G19">
            <v>-4.8114228442810728E-2</v>
          </cell>
          <cell r="H19">
            <v>-15686.601000000002</v>
          </cell>
          <cell r="I19">
            <v>-4.9778943121888762E-2</v>
          </cell>
          <cell r="J19">
            <v>-18210.126</v>
          </cell>
          <cell r="K19">
            <v>-5.8395899034144293E-2</v>
          </cell>
          <cell r="L19">
            <v>-20541.084000000003</v>
          </cell>
          <cell r="M19">
            <v>-6.4150980978979324E-2</v>
          </cell>
          <cell r="N19">
            <v>-17330.589</v>
          </cell>
          <cell r="O19">
            <v>-5.3361110259849527E-2</v>
          </cell>
          <cell r="P19">
            <v>-18447</v>
          </cell>
          <cell r="Q19">
            <v>-5.3172367133360571E-2</v>
          </cell>
          <cell r="R19">
            <v>-19553.82</v>
          </cell>
          <cell r="S19">
            <v>-5.2540150648599265E-2</v>
          </cell>
          <cell r="T19">
            <v>-20727.049200000001</v>
          </cell>
          <cell r="U19">
            <v>-5.1892205407868874E-2</v>
          </cell>
          <cell r="V19">
            <v>-21970.672152000003</v>
          </cell>
          <cell r="W19">
            <v>-5.2436557026619091E-2</v>
          </cell>
          <cell r="X19">
            <v>-23288.912481120005</v>
          </cell>
          <cell r="Y19">
            <v>-5.3376180769983919E-2</v>
          </cell>
          <cell r="AA19">
            <v>0.06</v>
          </cell>
          <cell r="AC19">
            <v>0.22602175003818389</v>
          </cell>
          <cell r="AE19">
            <v>0.22189882980789741</v>
          </cell>
          <cell r="AG19">
            <v>0.27283575248523784</v>
          </cell>
          <cell r="AI19">
            <v>0.29868460657286661</v>
          </cell>
          <cell r="AK19">
            <v>0.25405726511210408</v>
          </cell>
        </row>
        <row r="20">
          <cell r="A20" t="str">
            <v xml:space="preserve">     Total Personnel Costs</v>
          </cell>
          <cell r="B20">
            <v>-94241.028999999995</v>
          </cell>
          <cell r="C20">
            <v>-0.24823760861119695</v>
          </cell>
          <cell r="D20">
            <v>-88687.644</v>
          </cell>
          <cell r="E20">
            <v>-0.24967291177357234</v>
          </cell>
          <cell r="F20">
            <v>-86483.81700000001</v>
          </cell>
          <cell r="G20">
            <v>-0.26098855772608709</v>
          </cell>
          <cell r="H20">
            <v>-86379.182000000001</v>
          </cell>
          <cell r="I20">
            <v>-0.27411064944491653</v>
          </cell>
          <cell r="J20">
            <v>-84954.040000000008</v>
          </cell>
          <cell r="K20">
            <v>-0.27242906185177718</v>
          </cell>
          <cell r="L20">
            <v>-89312.90400000001</v>
          </cell>
          <cell r="M20">
            <v>-0.27892931092056322</v>
          </cell>
          <cell r="N20">
            <v>-85545.875</v>
          </cell>
          <cell r="O20">
            <v>-0.26339686828591369</v>
          </cell>
          <cell r="P20">
            <v>-89422.761000000013</v>
          </cell>
          <cell r="Q20">
            <v>-0.25775572602432689</v>
          </cell>
          <cell r="R20">
            <v>-92658.853830000007</v>
          </cell>
          <cell r="S20">
            <v>-0.24896977363782316</v>
          </cell>
          <cell r="T20">
            <v>-96025.234044900018</v>
          </cell>
          <cell r="U20">
            <v>-0.24040861394764454</v>
          </cell>
          <cell r="V20">
            <v>-99527.802542247024</v>
          </cell>
          <cell r="W20">
            <v>-0.23753917302277627</v>
          </cell>
          <cell r="X20">
            <v>-103172.75678307444</v>
          </cell>
          <cell r="Y20">
            <v>-0.23646306889836044</v>
          </cell>
          <cell r="AC20">
            <v>-1.8134825429634804E-2</v>
          </cell>
          <cell r="AE20">
            <v>-1.612043037405737E-2</v>
          </cell>
          <cell r="AG20">
            <v>0.1608713704135139</v>
          </cell>
          <cell r="AI20">
            <v>0.12800339767006566</v>
          </cell>
          <cell r="AK20">
            <v>-0.1562962792031814</v>
          </cell>
        </row>
        <row r="21">
          <cell r="B21" t="str">
            <v xml:space="preserve"> </v>
          </cell>
          <cell r="D21" t="str">
            <v xml:space="preserve"> </v>
          </cell>
          <cell r="F21" t="str">
            <v xml:space="preserve"> </v>
          </cell>
          <cell r="H21" t="str">
            <v xml:space="preserve"> </v>
          </cell>
          <cell r="J21" t="str">
            <v xml:space="preserve"> </v>
          </cell>
          <cell r="L21" t="str">
            <v xml:space="preserve"> </v>
          </cell>
          <cell r="N21" t="str">
            <v xml:space="preserve"> </v>
          </cell>
          <cell r="P21" t="str">
            <v xml:space="preserve"> </v>
          </cell>
          <cell r="R21" t="str">
            <v xml:space="preserve"> </v>
          </cell>
          <cell r="T21" t="str">
            <v xml:space="preserve"> </v>
          </cell>
          <cell r="V21" t="str">
            <v xml:space="preserve"> </v>
          </cell>
          <cell r="X21" t="str">
            <v xml:space="preserve"> </v>
          </cell>
        </row>
        <row r="22">
          <cell r="A22" t="str">
            <v>Energy &amp; water</v>
          </cell>
          <cell r="B22">
            <v>-17022.929</v>
          </cell>
          <cell r="C22">
            <v>-4.4839612123910431E-2</v>
          </cell>
          <cell r="D22">
            <v>-17419.300999999999</v>
          </cell>
          <cell r="E22">
            <v>-4.9038709402747245E-2</v>
          </cell>
          <cell r="F22">
            <v>-15826.817999999999</v>
          </cell>
          <cell r="G22">
            <v>-4.7761749498328378E-2</v>
          </cell>
          <cell r="H22">
            <v>-17199.698999999997</v>
          </cell>
          <cell r="I22">
            <v>-5.4580519912159862E-2</v>
          </cell>
          <cell r="J22">
            <v>-16637.219000000001</v>
          </cell>
          <cell r="K22">
            <v>-5.3351929631510905E-2</v>
          </cell>
          <cell r="L22">
            <v>-18551.862000000001</v>
          </cell>
          <cell r="M22">
            <v>-5.7938526821985109E-2</v>
          </cell>
          <cell r="N22">
            <v>-18275.59</v>
          </cell>
          <cell r="O22">
            <v>-5.627078070190248E-2</v>
          </cell>
          <cell r="P22">
            <v>-19199.957999999999</v>
          </cell>
          <cell r="Q22">
            <v>-5.5342723246116082E-2</v>
          </cell>
          <cell r="R22">
            <v>-20159.955900000001</v>
          </cell>
          <cell r="S22">
            <v>-5.4168807939068565E-2</v>
          </cell>
          <cell r="T22">
            <v>-21167.953695</v>
          </cell>
          <cell r="U22">
            <v>-5.2996053157687149E-2</v>
          </cell>
          <cell r="V22">
            <v>-22226.351379750002</v>
          </cell>
          <cell r="W22">
            <v>-5.304677679202642E-2</v>
          </cell>
          <cell r="X22">
            <v>-23337.668948737504</v>
          </cell>
          <cell r="Y22">
            <v>-5.3487926392771903E-2</v>
          </cell>
          <cell r="Z22">
            <v>-4.4999999999999998E-2</v>
          </cell>
          <cell r="AC22">
            <v>-4.7761749498328378E-2</v>
          </cell>
          <cell r="AE22">
            <v>-5.4580519912159862E-2</v>
          </cell>
          <cell r="AG22">
            <v>-5.3351929631510905E-2</v>
          </cell>
          <cell r="AI22">
            <v>-5.7938526821985109E-2</v>
          </cell>
        </row>
        <row r="23">
          <cell r="A23" t="str">
            <v>Supplies &amp; Cost of goods sold</v>
          </cell>
          <cell r="B23">
            <v>-17212.837</v>
          </cell>
          <cell r="C23">
            <v>-4.5339843374315549E-2</v>
          </cell>
          <cell r="D23">
            <v>-16337.731</v>
          </cell>
          <cell r="E23">
            <v>-4.5993880168283173E-2</v>
          </cell>
          <cell r="F23">
            <v>-15392.417000000001</v>
          </cell>
          <cell r="G23">
            <v>-4.6450825739438671E-2</v>
          </cell>
          <cell r="H23">
            <v>-15198.454</v>
          </cell>
          <cell r="I23">
            <v>-4.8229885952134732E-2</v>
          </cell>
          <cell r="J23">
            <v>-14334.663</v>
          </cell>
          <cell r="K23">
            <v>-4.5968135159332998E-2</v>
          </cell>
          <cell r="L23">
            <v>-14124.115</v>
          </cell>
          <cell r="M23">
            <v>-4.4110419523619902E-2</v>
          </cell>
          <cell r="N23">
            <v>-14617.374</v>
          </cell>
          <cell r="O23">
            <v>-4.5007085778992144E-2</v>
          </cell>
          <cell r="P23">
            <v>-15108.29</v>
          </cell>
          <cell r="Q23">
            <v>-4.3548736522864437E-2</v>
          </cell>
          <cell r="R23">
            <v>-16747.609002591598</v>
          </cell>
          <cell r="S23">
            <v>-4.4999999999999991E-2</v>
          </cell>
          <cell r="T23">
            <v>-17974.129383573356</v>
          </cell>
          <cell r="U23">
            <v>-4.5000000000000005E-2</v>
          </cell>
          <cell r="V23">
            <v>-18854.789538109886</v>
          </cell>
          <cell r="W23">
            <v>-4.4999999999999998E-2</v>
          </cell>
          <cell r="X23">
            <v>-19634.245960133274</v>
          </cell>
          <cell r="Y23">
            <v>-4.4999999999999998E-2</v>
          </cell>
          <cell r="AA23">
            <v>2.5000000000000001E-2</v>
          </cell>
        </row>
        <row r="24">
          <cell r="A24" t="str">
            <v>Repairs &amp; Maintenance</v>
          </cell>
          <cell r="B24">
            <v>-11137.232</v>
          </cell>
          <cell r="C24">
            <v>-2.9336265399098074E-2</v>
          </cell>
          <cell r="D24">
            <v>-10582.694</v>
          </cell>
          <cell r="E24">
            <v>-2.9792335281662384E-2</v>
          </cell>
          <cell r="F24">
            <v>-10761.574000000001</v>
          </cell>
          <cell r="G24">
            <v>-3.2475991168643234E-2</v>
          </cell>
          <cell r="H24">
            <v>-10825.637000000001</v>
          </cell>
          <cell r="I24">
            <v>-3.4353443966683064E-2</v>
          </cell>
          <cell r="J24">
            <v>-10936.673999999999</v>
          </cell>
          <cell r="K24">
            <v>-3.507152617578544E-2</v>
          </cell>
          <cell r="L24">
            <v>-11877.434999999999</v>
          </cell>
          <cell r="M24">
            <v>-3.7093909297292352E-2</v>
          </cell>
          <cell r="N24">
            <v>-11472.124</v>
          </cell>
          <cell r="O24">
            <v>-3.5322819881001506E-2</v>
          </cell>
          <cell r="P24">
            <v>-11961.561</v>
          </cell>
          <cell r="Q24">
            <v>-3.4478479589097825E-2</v>
          </cell>
          <cell r="R24">
            <v>-13025.918113126801</v>
          </cell>
          <cell r="S24">
            <v>-3.5000000000000003E-2</v>
          </cell>
          <cell r="T24">
            <v>-13979.878409445944</v>
          </cell>
          <cell r="U24">
            <v>-3.5000000000000003E-2</v>
          </cell>
          <cell r="V24">
            <v>-14664.836307418802</v>
          </cell>
          <cell r="W24">
            <v>-3.5000000000000003E-2</v>
          </cell>
          <cell r="X24">
            <v>-15271.080191214771</v>
          </cell>
          <cell r="Y24">
            <v>-3.5000000000000003E-2</v>
          </cell>
          <cell r="AR24" t="str">
            <v>300 k$ average settlemets</v>
          </cell>
        </row>
        <row r="25">
          <cell r="A25" t="str">
            <v>Other Utilities</v>
          </cell>
          <cell r="B25">
            <v>-11499.156999999999</v>
          </cell>
          <cell r="C25">
            <v>-3.0289601726703405E-2</v>
          </cell>
          <cell r="D25">
            <v>-10538.238000000001</v>
          </cell>
          <cell r="E25">
            <v>-2.9667183022957604E-2</v>
          </cell>
          <cell r="F25">
            <v>-10531.880999999999</v>
          </cell>
          <cell r="G25">
            <v>-3.1782829755684569E-2</v>
          </cell>
          <cell r="H25">
            <v>-10179.955</v>
          </cell>
          <cell r="I25">
            <v>-3.2304474431929971E-2</v>
          </cell>
          <cell r="J25">
            <v>-9256.8580000000002</v>
          </cell>
          <cell r="K25">
            <v>-2.9684722947079602E-2</v>
          </cell>
          <cell r="L25">
            <v>-9252.2530000000006</v>
          </cell>
          <cell r="M25">
            <v>-2.8895315661807541E-2</v>
          </cell>
          <cell r="N25">
            <v>-8860.2839999999997</v>
          </cell>
          <cell r="O25">
            <v>-2.7280930351390859E-2</v>
          </cell>
          <cell r="P25">
            <v>-9278.9369999999999</v>
          </cell>
          <cell r="Q25">
            <v>-2.674597738230191E-2</v>
          </cell>
          <cell r="R25">
            <v>-9444.6830553600012</v>
          </cell>
          <cell r="S25">
            <v>-2.5377397897540597E-2</v>
          </cell>
          <cell r="T25">
            <v>-9816.1325808000001</v>
          </cell>
          <cell r="U25">
            <v>-2.4575652968187464E-2</v>
          </cell>
          <cell r="V25">
            <v>-9901.0419760000023</v>
          </cell>
          <cell r="W25">
            <v>-2.3630435546334098E-2</v>
          </cell>
          <cell r="X25">
            <v>-9961.6915439999993</v>
          </cell>
          <cell r="Y25">
            <v>-2.2831338692110237E-2</v>
          </cell>
          <cell r="AA25">
            <v>2.5000000000000001E-2</v>
          </cell>
          <cell r="AC25">
            <v>-6.0323177366100383E-4</v>
          </cell>
          <cell r="AE25">
            <v>-3.3415303496118071E-2</v>
          </cell>
          <cell r="AG25">
            <v>-9.0677905747127543E-2</v>
          </cell>
          <cell r="AI25">
            <v>-4.9746901162355125E-4</v>
          </cell>
          <cell r="AK25">
            <v>-4.2364708358061644E-2</v>
          </cell>
        </row>
        <row r="26">
          <cell r="A26" t="str">
            <v>Billboard &amp; Local Advertising</v>
          </cell>
          <cell r="B26">
            <v>-9425.1239999999998</v>
          </cell>
          <cell r="C26">
            <v>-2.4826450511528254E-2</v>
          </cell>
          <cell r="D26">
            <v>-7352.1390000000001</v>
          </cell>
          <cell r="E26">
            <v>-2.0697696647506394E-2</v>
          </cell>
          <cell r="F26">
            <v>-6831.4619999999995</v>
          </cell>
          <cell r="G26">
            <v>-2.0615803931741009E-2</v>
          </cell>
          <cell r="H26">
            <v>-6641.4380000000001</v>
          </cell>
          <cell r="I26">
            <v>-2.1075551322402516E-2</v>
          </cell>
          <cell r="J26">
            <v>-6004.6970000000001</v>
          </cell>
          <cell r="K26">
            <v>-1.9255752527062645E-2</v>
          </cell>
          <cell r="L26">
            <v>-5991.4229999999998</v>
          </cell>
          <cell r="M26">
            <v>-1.8711556941689113E-2</v>
          </cell>
          <cell r="N26">
            <v>-5755.2970000000005</v>
          </cell>
          <cell r="O26">
            <v>-1.7720634757144214E-2</v>
          </cell>
          <cell r="P26">
            <v>-5700.4459999999999</v>
          </cell>
          <cell r="Q26">
            <v>-1.6431192472266317E-2</v>
          </cell>
          <cell r="R26">
            <v>-5842.9571499999984</v>
          </cell>
          <cell r="S26">
            <v>-1.5699737897470169E-2</v>
          </cell>
          <cell r="T26">
            <v>-5989.0310787499975</v>
          </cell>
          <cell r="U26">
            <v>-1.4994128104477377E-2</v>
          </cell>
          <cell r="V26">
            <v>-6138.7568557187469</v>
          </cell>
          <cell r="W26">
            <v>-1.4651134553848534E-2</v>
          </cell>
          <cell r="X26">
            <v>-6292.2257771117147</v>
          </cell>
          <cell r="Y26">
            <v>-1.4421239325663677E-2</v>
          </cell>
          <cell r="Z26">
            <v>-1.9E-2</v>
          </cell>
          <cell r="AC26">
            <v>-1.0086664739339879</v>
          </cell>
          <cell r="AE26">
            <v>-1.0292816828459304</v>
          </cell>
          <cell r="AG26">
            <v>-0.96746978498208114</v>
          </cell>
          <cell r="AI26">
            <v>-0.99154129847820494</v>
          </cell>
        </row>
        <row r="27">
          <cell r="A27" t="str">
            <v>Guest Finance</v>
          </cell>
          <cell r="B27">
            <v>-7166.366</v>
          </cell>
          <cell r="C27">
            <v>-1.8876720438532023E-2</v>
          </cell>
          <cell r="D27">
            <v>-9422.1880000000001</v>
          </cell>
          <cell r="E27">
            <v>-2.6525285903840359E-2</v>
          </cell>
          <cell r="F27">
            <v>-8066.5919999999996</v>
          </cell>
          <cell r="G27">
            <v>-2.4343146323488378E-2</v>
          </cell>
          <cell r="H27">
            <v>-6666.39</v>
          </cell>
          <cell r="I27">
            <v>-2.1154732541378979E-2</v>
          </cell>
          <cell r="J27">
            <v>-5615.4</v>
          </cell>
          <cell r="K27">
            <v>-1.8007362026837916E-2</v>
          </cell>
          <cell r="L27">
            <v>-6898.3419999999996</v>
          </cell>
          <cell r="M27">
            <v>-2.1543916885228359E-2</v>
          </cell>
          <cell r="N27">
            <v>-6551.8289999999997</v>
          </cell>
          <cell r="O27">
            <v>-2.017316720583932E-2</v>
          </cell>
          <cell r="P27">
            <v>-6881.692</v>
          </cell>
          <cell r="Q27">
            <v>-1.9836062965398731E-2</v>
          </cell>
          <cell r="R27">
            <v>-7071.2126899831201</v>
          </cell>
          <cell r="S27">
            <v>-1.9E-2</v>
          </cell>
          <cell r="T27">
            <v>-7589.0768508420833</v>
          </cell>
          <cell r="U27">
            <v>-1.9E-2</v>
          </cell>
          <cell r="V27">
            <v>-7960.911138313063</v>
          </cell>
          <cell r="W27">
            <v>-1.9E-2</v>
          </cell>
          <cell r="X27">
            <v>-8290.0149609451601</v>
          </cell>
          <cell r="Y27">
            <v>-1.9E-2</v>
          </cell>
          <cell r="Z27" t="str">
            <v>See exhibit</v>
          </cell>
          <cell r="AC27">
            <v>-0.14387273953778043</v>
          </cell>
          <cell r="AE27">
            <v>-0.17358036702488477</v>
          </cell>
          <cell r="AG27">
            <v>-0.1576550426842715</v>
          </cell>
          <cell r="AI27">
            <v>0.22846849734658262</v>
          </cell>
          <cell r="AK27">
            <v>-5.0231345445035915E-2</v>
          </cell>
        </row>
        <row r="28">
          <cell r="A28" t="str">
            <v>Legal</v>
          </cell>
          <cell r="B28">
            <v>-300.2</v>
          </cell>
          <cell r="C28">
            <v>-7.9074826427331685E-4</v>
          </cell>
          <cell r="D28">
            <v>-300.2</v>
          </cell>
          <cell r="E28">
            <v>-8.4512119990949835E-4</v>
          </cell>
          <cell r="F28">
            <v>-300.2</v>
          </cell>
          <cell r="G28">
            <v>-9.0593555820242446E-4</v>
          </cell>
          <cell r="H28">
            <v>-312.28199999999998</v>
          </cell>
          <cell r="I28">
            <v>-9.9097745368736446E-4</v>
          </cell>
          <cell r="J28">
            <v>-3521.011</v>
          </cell>
          <cell r="K28">
            <v>-1.1291113683349112E-2</v>
          </cell>
          <cell r="L28">
            <v>-582.05799999999999</v>
          </cell>
          <cell r="M28">
            <v>-1.8178004474672679E-3</v>
          </cell>
          <cell r="N28">
            <v>-824.2</v>
          </cell>
          <cell r="O28">
            <v>-2.5377225826639809E-3</v>
          </cell>
          <cell r="P28">
            <v>-299.86799999999999</v>
          </cell>
          <cell r="Q28">
            <v>-8.6435146026706607E-4</v>
          </cell>
          <cell r="R28">
            <v>-299.86799999999999</v>
          </cell>
          <cell r="S28">
            <v>-8.0573053729113622E-4</v>
          </cell>
          <cell r="T28">
            <v>-299.86799999999999</v>
          </cell>
          <cell r="U28">
            <v>-7.5074901888334507E-4</v>
          </cell>
          <cell r="V28">
            <v>-299.86799999999999</v>
          </cell>
          <cell r="W28">
            <v>-7.1568340620962046E-4</v>
          </cell>
          <cell r="X28">
            <v>-299.86799999999999</v>
          </cell>
          <cell r="Y28">
            <v>-6.8727161854849263E-4</v>
          </cell>
          <cell r="AB28">
            <v>-0.25</v>
          </cell>
          <cell r="AC28">
            <v>-4.4324578761469093E-2</v>
          </cell>
          <cell r="AE28">
            <v>-4.8397070405911014E-2</v>
          </cell>
          <cell r="AG28">
            <v>-0.56730119023316961</v>
          </cell>
          <cell r="AI28">
            <v>-9.6326789997906503E-2</v>
          </cell>
        </row>
        <row r="29">
          <cell r="A29" t="str">
            <v>Professional Services</v>
          </cell>
          <cell r="B29">
            <v>-5009.5219999999999</v>
          </cell>
          <cell r="C29">
            <v>-1.3195439128377732E-2</v>
          </cell>
          <cell r="D29">
            <v>-2946.52</v>
          </cell>
          <cell r="E29">
            <v>-8.295025043162341E-3</v>
          </cell>
          <cell r="F29">
            <v>-2933.598</v>
          </cell>
          <cell r="G29">
            <v>-8.852933849671939E-3</v>
          </cell>
          <cell r="H29">
            <v>-2847.0949999999998</v>
          </cell>
          <cell r="I29">
            <v>-9.0348049311392477E-3</v>
          </cell>
          <cell r="J29">
            <v>-2677.681</v>
          </cell>
          <cell r="K29">
            <v>-8.5867384619769532E-3</v>
          </cell>
          <cell r="L29">
            <v>-2755.8110000000001</v>
          </cell>
          <cell r="M29">
            <v>-8.6065554788959508E-3</v>
          </cell>
          <cell r="N29">
            <v>-2590.9930000000004</v>
          </cell>
          <cell r="O29">
            <v>-7.9777013438780599E-3</v>
          </cell>
          <cell r="P29">
            <v>-2733.3409999999999</v>
          </cell>
          <cell r="Q29">
            <v>-7.8786909065250137E-3</v>
          </cell>
          <cell r="R29">
            <v>-2801.6745249999994</v>
          </cell>
          <cell r="S29">
            <v>-7.5279613708136191E-3</v>
          </cell>
          <cell r="T29">
            <v>-2871.7163881249994</v>
          </cell>
          <cell r="U29">
            <v>-7.1896243043474686E-3</v>
          </cell>
          <cell r="V29">
            <v>-2943.5092978281241</v>
          </cell>
          <cell r="W29">
            <v>-7.0251602721174648E-3</v>
          </cell>
          <cell r="X29">
            <v>-3017.0970302738269</v>
          </cell>
          <cell r="Y29">
            <v>-6.9149264320105637E-3</v>
          </cell>
          <cell r="AA29">
            <v>2.5000000000000001E-2</v>
          </cell>
          <cell r="AC29">
            <v>-4.3855124010697454E-3</v>
          </cell>
          <cell r="AE29">
            <v>-2.9486998559448214E-2</v>
          </cell>
          <cell r="AG29">
            <v>-5.9504161259107888E-2</v>
          </cell>
          <cell r="AI29">
            <v>2.9178232956054179E-2</v>
          </cell>
          <cell r="AK29">
            <v>-5.9807439624850814E-2</v>
          </cell>
        </row>
        <row r="30">
          <cell r="A30" t="str">
            <v>Loyalty program</v>
          </cell>
          <cell r="B30">
            <v>0</v>
          </cell>
          <cell r="C30">
            <v>0</v>
          </cell>
          <cell r="D30">
            <v>-1256.518</v>
          </cell>
          <cell r="E30">
            <v>-3.5373417717118024E-3</v>
          </cell>
          <cell r="F30">
            <v>-1775.9559999999999</v>
          </cell>
          <cell r="G30">
            <v>-5.3594326788905557E-3</v>
          </cell>
          <cell r="H30">
            <v>-2260.4379999999996</v>
          </cell>
          <cell r="I30">
            <v>-7.1731418828435787E-3</v>
          </cell>
          <cell r="J30">
            <v>-2258.4380000000001</v>
          </cell>
          <cell r="K30">
            <v>-7.2423176765978869E-3</v>
          </cell>
          <cell r="L30">
            <v>-2061.5309999999999</v>
          </cell>
          <cell r="M30">
            <v>-6.4382793025225052E-3</v>
          </cell>
          <cell r="N30">
            <v>-1965.7539999999999</v>
          </cell>
          <cell r="O30">
            <v>-6.0525822831376495E-3</v>
          </cell>
          <cell r="P30">
            <v>-2024.9940000000001</v>
          </cell>
          <cell r="Q30">
            <v>-5.8369233160325456E-3</v>
          </cell>
          <cell r="R30">
            <v>-2066.0244183599998</v>
          </cell>
          <cell r="S30">
            <v>-5.5513057900870039E-3</v>
          </cell>
          <cell r="T30">
            <v>-2147.2790020499997</v>
          </cell>
          <cell r="U30">
            <v>-5.3759240867910065E-3</v>
          </cell>
          <cell r="V30">
            <v>-2165.8529322499999</v>
          </cell>
          <cell r="W30">
            <v>-5.1691577757605823E-3</v>
          </cell>
          <cell r="X30">
            <v>-2179.1200252499998</v>
          </cell>
          <cell r="Y30">
            <v>-4.9943553388991143E-3</v>
          </cell>
          <cell r="AB30">
            <v>-0.35</v>
          </cell>
          <cell r="AC30">
            <v>-0.26222019186843304</v>
          </cell>
          <cell r="AE30">
            <v>-0.35031982962257402</v>
          </cell>
          <cell r="AG30">
            <v>-0.36387689940980561</v>
          </cell>
          <cell r="AI30">
            <v>-0.34116988978963297</v>
          </cell>
        </row>
        <row r="31">
          <cell r="A31" t="str">
            <v>Travel Agent commissions</v>
          </cell>
          <cell r="B31">
            <v>-1817.145</v>
          </cell>
          <cell r="C31">
            <v>-4.786489855705984E-3</v>
          </cell>
          <cell r="D31">
            <v>-2317.2539999999999</v>
          </cell>
          <cell r="E31">
            <v>-6.5235192570788957E-3</v>
          </cell>
          <cell r="F31">
            <v>-1377.6769999999999</v>
          </cell>
          <cell r="G31">
            <v>-4.1575169287729561E-3</v>
          </cell>
          <cell r="H31">
            <v>-1431.664</v>
          </cell>
          <cell r="I31">
            <v>-4.5431588924621557E-3</v>
          </cell>
          <cell r="J31">
            <v>-1584.6869999999999</v>
          </cell>
          <cell r="K31">
            <v>-5.081745291203422E-3</v>
          </cell>
          <cell r="L31">
            <v>-1439.049</v>
          </cell>
          <cell r="M31">
            <v>-4.4942323894308208E-3</v>
          </cell>
          <cell r="N31">
            <v>-1394.6680000000001</v>
          </cell>
          <cell r="O31">
            <v>-4.2942010178582983E-3</v>
          </cell>
          <cell r="P31">
            <v>-1501.655</v>
          </cell>
          <cell r="Q31">
            <v>-4.328430149490246E-3</v>
          </cell>
          <cell r="R31">
            <v>-1475.7317274</v>
          </cell>
          <cell r="S31">
            <v>-3.9652184214907177E-3</v>
          </cell>
          <cell r="T31">
            <v>-1533.7707157499999</v>
          </cell>
          <cell r="U31">
            <v>-3.8399457762792908E-3</v>
          </cell>
          <cell r="V31">
            <v>-1547.0378087500001</v>
          </cell>
          <cell r="W31">
            <v>-3.6922555541147018E-3</v>
          </cell>
          <cell r="X31">
            <v>-1556.51430375</v>
          </cell>
          <cell r="Y31">
            <v>-3.5673966706422249E-3</v>
          </cell>
          <cell r="Z31">
            <v>-3.5000000000000003E-2</v>
          </cell>
          <cell r="AC31">
            <v>-0.20341423282599752</v>
          </cell>
          <cell r="AE31">
            <v>-0.22187748062843257</v>
          </cell>
          <cell r="AG31">
            <v>-0.25532292323058087</v>
          </cell>
          <cell r="AI31">
            <v>-0.23815319232739238</v>
          </cell>
        </row>
        <row r="32">
          <cell r="A32" t="str">
            <v>Travel</v>
          </cell>
          <cell r="B32">
            <v>-929.90099999999995</v>
          </cell>
          <cell r="C32">
            <v>-2.4494257218388464E-3</v>
          </cell>
          <cell r="D32">
            <v>-730.36099999999999</v>
          </cell>
          <cell r="E32">
            <v>-2.0561078104167261E-3</v>
          </cell>
          <cell r="F32">
            <v>-804.77499999999998</v>
          </cell>
          <cell r="G32">
            <v>-2.4286285438119793E-3</v>
          </cell>
          <cell r="H32">
            <v>-1106.5050000000001</v>
          </cell>
          <cell r="I32">
            <v>-3.5113183193150334E-3</v>
          </cell>
          <cell r="J32">
            <v>-905.13599999999985</v>
          </cell>
          <cell r="K32">
            <v>-2.9025735718780431E-3</v>
          </cell>
          <cell r="L32">
            <v>-1364.347</v>
          </cell>
          <cell r="M32">
            <v>-4.2609337679417256E-3</v>
          </cell>
          <cell r="N32">
            <v>-1248.317</v>
          </cell>
          <cell r="O32">
            <v>-3.8435843742093577E-3</v>
          </cell>
          <cell r="P32">
            <v>-1227.903</v>
          </cell>
          <cell r="Q32">
            <v>-3.5393564872420909E-3</v>
          </cell>
          <cell r="R32">
            <v>-1258.6005749999999</v>
          </cell>
          <cell r="S32">
            <v>-3.3817977160940245E-3</v>
          </cell>
          <cell r="T32">
            <v>-1290.0655893749999</v>
          </cell>
          <cell r="U32">
            <v>-3.2298060330493601E-3</v>
          </cell>
          <cell r="V32">
            <v>-1322.3172291093749</v>
          </cell>
          <cell r="W32">
            <v>-3.1559236017803319E-3</v>
          </cell>
          <cell r="X32">
            <v>-1355.3751598371091</v>
          </cell>
          <cell r="Y32">
            <v>-3.1064030834956446E-3</v>
          </cell>
          <cell r="AA32">
            <v>0.05</v>
          </cell>
          <cell r="AC32">
            <v>-0.11882515946955793</v>
          </cell>
          <cell r="AE32">
            <v>-0.17148474900728369</v>
          </cell>
          <cell r="AG32">
            <v>-0.14583445780853568</v>
          </cell>
          <cell r="AI32">
            <v>-0.22579050017914665</v>
          </cell>
        </row>
        <row r="33">
          <cell r="A33" t="str">
            <v>Other Operating Expenses</v>
          </cell>
          <cell r="B33">
            <v>-538</v>
          </cell>
          <cell r="C33">
            <v>-1.4171304669521802E-3</v>
          </cell>
          <cell r="D33">
            <v>-3259.7420000000002</v>
          </cell>
          <cell r="E33">
            <v>-9.1768056976528588E-3</v>
          </cell>
          <cell r="F33">
            <v>-786.93700000000001</v>
          </cell>
          <cell r="G33">
            <v>-2.3747975028818829E-3</v>
          </cell>
          <cell r="H33">
            <v>255.36699999999999</v>
          </cell>
          <cell r="I33">
            <v>8.1036671795294381E-4</v>
          </cell>
          <cell r="J33">
            <v>1159.0420000000001</v>
          </cell>
          <cell r="K33">
            <v>3.7167946893026812E-3</v>
          </cell>
          <cell r="L33">
            <v>1019.409</v>
          </cell>
          <cell r="M33">
            <v>3.1836726517841182E-3</v>
          </cell>
          <cell r="N33">
            <v>1837.1579999999999</v>
          </cell>
          <cell r="O33">
            <v>5.6566335167699509E-3</v>
          </cell>
          <cell r="P33">
            <v>1842.2530000000002</v>
          </cell>
          <cell r="Q33">
            <v>5.3101833831265205E-3</v>
          </cell>
          <cell r="R33">
            <v>2460</v>
          </cell>
          <cell r="S33">
            <v>6.6098987612422631E-3</v>
          </cell>
          <cell r="T33">
            <v>2576.5500000000002</v>
          </cell>
          <cell r="U33">
            <v>6.4506462330221389E-3</v>
          </cell>
          <cell r="V33">
            <v>2788.6387500000001</v>
          </cell>
          <cell r="W33">
            <v>6.6555367004419884E-3</v>
          </cell>
          <cell r="X33">
            <v>3018.7347187500004</v>
          </cell>
          <cell r="Y33">
            <v>6.9186798728902103E-3</v>
          </cell>
          <cell r="AB33">
            <v>-1.6</v>
          </cell>
          <cell r="AC33">
            <v>-0.1161913758721326</v>
          </cell>
          <cell r="AE33">
            <v>3.9576455506069121E-2</v>
          </cell>
          <cell r="AG33">
            <v>0.18674349672018448</v>
          </cell>
          <cell r="AI33">
            <v>0.16870551846203621</v>
          </cell>
        </row>
        <row r="34">
          <cell r="A34" t="str">
            <v xml:space="preserve">     Total Controllable Expenses</v>
          </cell>
          <cell r="B34">
            <v>-82058.413</v>
          </cell>
          <cell r="C34">
            <v>-0.2161477270112358</v>
          </cell>
          <cell r="D34">
            <v>-82462.885999999999</v>
          </cell>
          <cell r="E34">
            <v>-0.23214901120692927</v>
          </cell>
          <cell r="F34">
            <v>-75389.887000000002</v>
          </cell>
          <cell r="G34">
            <v>-0.22750959147955599</v>
          </cell>
          <cell r="H34">
            <v>-74414.190000000017</v>
          </cell>
          <cell r="I34">
            <v>-0.23614164288818362</v>
          </cell>
          <cell r="J34">
            <v>-72574.421999999991</v>
          </cell>
          <cell r="K34">
            <v>-0.23273032924502443</v>
          </cell>
          <cell r="L34">
            <v>-73877.816999999995</v>
          </cell>
          <cell r="M34">
            <v>-0.23072465080886259</v>
          </cell>
          <cell r="N34">
            <v>-71719.272000000012</v>
          </cell>
          <cell r="O34">
            <v>-0.22082457676124795</v>
          </cell>
          <cell r="P34">
            <v>-74076.392000000007</v>
          </cell>
          <cell r="Q34">
            <v>-0.21352074111447578</v>
          </cell>
          <cell r="R34">
            <v>-77734.235156821524</v>
          </cell>
          <cell r="S34">
            <v>-0.20886805880861359</v>
          </cell>
          <cell r="T34">
            <v>-82082.35169371136</v>
          </cell>
          <cell r="U34">
            <v>-0.20550123721668029</v>
          </cell>
          <cell r="V34">
            <v>-85236.633713247997</v>
          </cell>
          <cell r="W34">
            <v>-0.20343099080174976</v>
          </cell>
          <cell r="X34">
            <v>-88176.167182503355</v>
          </cell>
          <cell r="Y34">
            <v>-0.20209217768125162</v>
          </cell>
        </row>
        <row r="36">
          <cell r="A36" t="str">
            <v>Gross Operating Profit</v>
          </cell>
          <cell r="B36">
            <v>203340.97400000005</v>
          </cell>
          <cell r="C36">
            <v>0.53561466437756733</v>
          </cell>
          <cell r="D36">
            <v>184064.79300000001</v>
          </cell>
          <cell r="E36">
            <v>0.51817807701949847</v>
          </cell>
          <cell r="F36">
            <v>169496.44399999996</v>
          </cell>
          <cell r="G36">
            <v>0.51150185079435695</v>
          </cell>
          <cell r="H36">
            <v>154331.85999999999</v>
          </cell>
          <cell r="I36">
            <v>0.48974770766689979</v>
          </cell>
          <cell r="J36">
            <v>154310.66199999995</v>
          </cell>
          <cell r="K36">
            <v>0.49484060890319836</v>
          </cell>
          <cell r="L36">
            <v>157008.342</v>
          </cell>
          <cell r="M36">
            <v>0.49034603827057416</v>
          </cell>
          <cell r="N36">
            <v>167514.24599999998</v>
          </cell>
          <cell r="O36">
            <v>0.51577855495283842</v>
          </cell>
          <cell r="P36">
            <v>183429.16700000002</v>
          </cell>
          <cell r="Q36">
            <v>0.52872353286119744</v>
          </cell>
          <cell r="R36">
            <v>201775.99995965851</v>
          </cell>
          <cell r="S36">
            <v>0.54216216755356328</v>
          </cell>
          <cell r="T36">
            <v>221317.51167412987</v>
          </cell>
          <cell r="U36">
            <v>0.55409014883567531</v>
          </cell>
          <cell r="V36">
            <v>234230.88681361353</v>
          </cell>
          <cell r="W36">
            <v>0.55902983617547386</v>
          </cell>
          <cell r="X36">
            <v>244967.65292627274</v>
          </cell>
          <cell r="Y36">
            <v>0.56144475342038791</v>
          </cell>
        </row>
        <row r="37">
          <cell r="A37" t="str">
            <v>GOP Margin</v>
          </cell>
          <cell r="B37">
            <v>0.53561466437756733</v>
          </cell>
          <cell r="D37">
            <v>0.51817807701949847</v>
          </cell>
          <cell r="F37">
            <v>0.51150185079435695</v>
          </cell>
          <cell r="H37">
            <v>0.48974770766689979</v>
          </cell>
          <cell r="J37">
            <v>0.49484060890319836</v>
          </cell>
          <cell r="L37">
            <v>0.49034603827057416</v>
          </cell>
          <cell r="N37">
            <v>0.51577855495283842</v>
          </cell>
          <cell r="P37">
            <v>0.52872353286119744</v>
          </cell>
          <cell r="R37">
            <v>0.54216216755356328</v>
          </cell>
          <cell r="T37">
            <v>0.55409014883567531</v>
          </cell>
          <cell r="V37">
            <v>0.55902983617547386</v>
          </cell>
          <cell r="X37">
            <v>0.56144475342038791</v>
          </cell>
        </row>
        <row r="38">
          <cell r="B38" t="str">
            <v xml:space="preserve"> </v>
          </cell>
          <cell r="D38" t="str">
            <v xml:space="preserve"> </v>
          </cell>
          <cell r="F38" t="str">
            <v xml:space="preserve"> </v>
          </cell>
          <cell r="R38" t="str">
            <v xml:space="preserve"> </v>
          </cell>
          <cell r="T38" t="str">
            <v xml:space="preserve"> </v>
          </cell>
          <cell r="V38" t="str">
            <v xml:space="preserve"> </v>
          </cell>
          <cell r="X38" t="str">
            <v xml:space="preserve"> </v>
          </cell>
        </row>
        <row r="39">
          <cell r="A39" t="str">
            <v>Management fees (3 % GPR)</v>
          </cell>
          <cell r="B39">
            <v>-11389.21248</v>
          </cell>
          <cell r="C39">
            <v>-0.03</v>
          </cell>
          <cell r="D39">
            <v>-10656.45969</v>
          </cell>
          <cell r="E39">
            <v>-3.0000000000000002E-2</v>
          </cell>
          <cell r="F39">
            <v>-9941.1044399999992</v>
          </cell>
          <cell r="G39">
            <v>-0.03</v>
          </cell>
          <cell r="H39">
            <v>-9453.7569600000006</v>
          </cell>
          <cell r="I39">
            <v>-0.03</v>
          </cell>
          <cell r="J39">
            <v>-9355.5737199999985</v>
          </cell>
          <cell r="K39">
            <v>-3.0001282712684891E-2</v>
          </cell>
          <cell r="L39">
            <v>-9605.9718900000007</v>
          </cell>
          <cell r="M39">
            <v>-0.03</v>
          </cell>
          <cell r="N39">
            <v>-9743.3817899999995</v>
          </cell>
          <cell r="O39">
            <v>-0.03</v>
          </cell>
          <cell r="P39">
            <v>-10407.8496</v>
          </cell>
          <cell r="Q39">
            <v>-0.03</v>
          </cell>
          <cell r="R39">
            <v>-11165.072668394399</v>
          </cell>
          <cell r="S39">
            <v>-0.03</v>
          </cell>
          <cell r="T39">
            <v>-11982.752922382237</v>
          </cell>
          <cell r="U39">
            <v>-0.03</v>
          </cell>
          <cell r="V39">
            <v>-12569.859692073258</v>
          </cell>
          <cell r="W39">
            <v>-0.03</v>
          </cell>
          <cell r="X39">
            <v>-13089.497306755517</v>
          </cell>
          <cell r="Y39">
            <v>-0.03</v>
          </cell>
          <cell r="AC39">
            <v>-0.03</v>
          </cell>
          <cell r="AE39">
            <v>-0.03</v>
          </cell>
          <cell r="AG39">
            <v>-3.0001282712684891E-2</v>
          </cell>
          <cell r="AI39">
            <v>-0.03</v>
          </cell>
        </row>
        <row r="40">
          <cell r="A40" t="str">
            <v xml:space="preserve">Marketing fees (2% GPR) </v>
          </cell>
          <cell r="B40">
            <v>-7592.808320000001</v>
          </cell>
          <cell r="C40">
            <v>-0.02</v>
          </cell>
          <cell r="D40">
            <v>-7104.3064599999998</v>
          </cell>
          <cell r="E40">
            <v>-0.02</v>
          </cell>
          <cell r="F40">
            <v>-6627.4029599999994</v>
          </cell>
          <cell r="G40">
            <v>-0.02</v>
          </cell>
          <cell r="H40">
            <v>-6302.5046400000001</v>
          </cell>
          <cell r="I40">
            <v>-0.02</v>
          </cell>
          <cell r="J40">
            <v>-6236.7824799999989</v>
          </cell>
          <cell r="K40">
            <v>-0.02</v>
          </cell>
          <cell r="L40">
            <v>-6403.9812600000005</v>
          </cell>
          <cell r="M40">
            <v>-0.02</v>
          </cell>
          <cell r="N40">
            <v>-6495.5878599999996</v>
          </cell>
          <cell r="O40">
            <v>-0.02</v>
          </cell>
          <cell r="P40">
            <v>-6938.5664000000006</v>
          </cell>
          <cell r="Q40">
            <v>-0.02</v>
          </cell>
          <cell r="R40">
            <v>-7443.3817789296008</v>
          </cell>
          <cell r="S40">
            <v>-0.02</v>
          </cell>
          <cell r="T40">
            <v>-7988.5019482548241</v>
          </cell>
          <cell r="U40">
            <v>-0.02</v>
          </cell>
          <cell r="V40">
            <v>-8379.906461382172</v>
          </cell>
          <cell r="W40">
            <v>-0.02</v>
          </cell>
          <cell r="X40">
            <v>-8726.3315378370116</v>
          </cell>
          <cell r="Y40">
            <v>-0.02</v>
          </cell>
          <cell r="AC40">
            <v>-0.02</v>
          </cell>
          <cell r="AE40">
            <v>-0.02</v>
          </cell>
          <cell r="AG40">
            <v>-0.02</v>
          </cell>
          <cell r="AI40">
            <v>-0.02</v>
          </cell>
        </row>
        <row r="41">
          <cell r="A41" t="str">
            <v>Reservation fees (1.5 % GRR)</v>
          </cell>
          <cell r="B41">
            <v>-5495.1513299999997</v>
          </cell>
          <cell r="C41">
            <v>-1.4474621506051662E-2</v>
          </cell>
          <cell r="D41">
            <v>-5148.3948449999998</v>
          </cell>
          <cell r="E41">
            <v>-1.449372961030738E-2</v>
          </cell>
          <cell r="F41">
            <v>-4823.97</v>
          </cell>
          <cell r="G41">
            <v>-1.4557648083616755E-2</v>
          </cell>
          <cell r="H41">
            <v>-4602.7369349999999</v>
          </cell>
          <cell r="I41">
            <v>-1.460605647408139E-2</v>
          </cell>
          <cell r="J41">
            <v>-4558.4247899999991</v>
          </cell>
          <cell r="K41">
            <v>-1.4617873253132919E-2</v>
          </cell>
          <cell r="L41">
            <v>-4701.5230950000005</v>
          </cell>
          <cell r="M41">
            <v>-1.468312571233227E-2</v>
          </cell>
          <cell r="N41">
            <v>-4764.3739349999996</v>
          </cell>
          <cell r="O41">
            <v>-1.4669569676177083E-2</v>
          </cell>
          <cell r="P41">
            <v>-5093.4752850000004</v>
          </cell>
          <cell r="Q41">
            <v>-1.4681635921218539E-2</v>
          </cell>
          <cell r="R41">
            <v>-5467.7143331999996</v>
          </cell>
          <cell r="S41">
            <v>-1.4691478942213515E-2</v>
          </cell>
          <cell r="T41">
            <v>-5868.1454076308701</v>
          </cell>
          <cell r="U41">
            <v>-1.4691478942213516E-2</v>
          </cell>
          <cell r="V41">
            <v>-6155.6609657557574</v>
          </cell>
          <cell r="W41">
            <v>-1.4691478942213515E-2</v>
          </cell>
          <cell r="X41">
            <v>-6410.1358015453061</v>
          </cell>
          <cell r="Y41">
            <v>-1.4691478942213515E-2</v>
          </cell>
          <cell r="AC41">
            <v>-1.4557648083616755E-2</v>
          </cell>
          <cell r="AE41">
            <v>-1.460605647408139E-2</v>
          </cell>
          <cell r="AG41">
            <v>-1.4617873253132919E-2</v>
          </cell>
          <cell r="AI41">
            <v>-1.468312571233227E-2</v>
          </cell>
        </row>
        <row r="42">
          <cell r="A42" t="str">
            <v>Service fees (3.5 % GPR)</v>
          </cell>
          <cell r="B42">
            <v>-13287.414560000003</v>
          </cell>
          <cell r="C42">
            <v>-3.5000000000000003E-2</v>
          </cell>
          <cell r="D42">
            <v>-12432.536305</v>
          </cell>
          <cell r="E42">
            <v>-3.5000000000000003E-2</v>
          </cell>
          <cell r="F42">
            <v>-11597.955180000001</v>
          </cell>
          <cell r="G42">
            <v>-3.5000000000000003E-2</v>
          </cell>
          <cell r="H42">
            <v>-11029.383120000002</v>
          </cell>
          <cell r="I42">
            <v>-3.5000000000000003E-2</v>
          </cell>
          <cell r="J42">
            <v>-10914.369339999999</v>
          </cell>
          <cell r="K42">
            <v>-3.5000000000000003E-2</v>
          </cell>
          <cell r="L42">
            <v>-11206.967205000003</v>
          </cell>
          <cell r="M42">
            <v>-3.5000000000000003E-2</v>
          </cell>
          <cell r="N42">
            <v>-11367.278755000001</v>
          </cell>
          <cell r="O42">
            <v>-3.5000000000000003E-2</v>
          </cell>
          <cell r="P42">
            <v>-12142.491200000002</v>
          </cell>
          <cell r="Q42">
            <v>-3.5000000000000003E-2</v>
          </cell>
          <cell r="R42">
            <v>-13025.918113126801</v>
          </cell>
          <cell r="S42">
            <v>-3.5000000000000003E-2</v>
          </cell>
          <cell r="T42">
            <v>-13979.878409445944</v>
          </cell>
          <cell r="U42">
            <v>-3.5000000000000003E-2</v>
          </cell>
          <cell r="V42">
            <v>-14664.836307418802</v>
          </cell>
          <cell r="W42">
            <v>-3.5000000000000003E-2</v>
          </cell>
          <cell r="X42">
            <v>-15271.080191214771</v>
          </cell>
          <cell r="Y42">
            <v>-3.5000000000000003E-2</v>
          </cell>
          <cell r="AC42">
            <v>-3.5000000000000003E-2</v>
          </cell>
          <cell r="AE42">
            <v>-3.5000000000000003E-2</v>
          </cell>
          <cell r="AG42">
            <v>-3.5000000000000003E-2</v>
          </cell>
          <cell r="AI42">
            <v>-3.5000000000000003E-2</v>
          </cell>
        </row>
        <row r="43">
          <cell r="A43" t="str">
            <v xml:space="preserve">     Total Fees</v>
          </cell>
          <cell r="B43">
            <v>-37764.586690000004</v>
          </cell>
          <cell r="C43">
            <v>-9.9474621506051672E-2</v>
          </cell>
          <cell r="D43">
            <v>-35341.6973</v>
          </cell>
          <cell r="E43">
            <v>-9.9493729610307391E-2</v>
          </cell>
          <cell r="F43">
            <v>-32990.432580000001</v>
          </cell>
          <cell r="G43">
            <v>-9.9557648083616765E-2</v>
          </cell>
          <cell r="H43">
            <v>-31388.381655000005</v>
          </cell>
          <cell r="I43">
            <v>-9.9606056474081398E-2</v>
          </cell>
          <cell r="J43">
            <v>-31065.150329999997</v>
          </cell>
          <cell r="K43">
            <v>-9.9619155965817816E-2</v>
          </cell>
          <cell r="L43">
            <v>-31919.443450000006</v>
          </cell>
          <cell r="M43">
            <v>-9.9686248769566208E-2</v>
          </cell>
          <cell r="N43">
            <v>-32370.622340000002</v>
          </cell>
          <cell r="O43">
            <v>-9.96695696761771E-2</v>
          </cell>
          <cell r="P43">
            <v>-34582.382485000002</v>
          </cell>
          <cell r="Q43">
            <v>-9.9681635921218537E-2</v>
          </cell>
          <cell r="R43">
            <v>-37102.086893650805</v>
          </cell>
          <cell r="S43">
            <v>-9.9691478942213529E-2</v>
          </cell>
          <cell r="T43">
            <v>-39819.278687713871</v>
          </cell>
          <cell r="U43">
            <v>-9.9691478942213516E-2</v>
          </cell>
          <cell r="V43">
            <v>-41770.263426629986</v>
          </cell>
          <cell r="W43">
            <v>-9.9691478942213516E-2</v>
          </cell>
          <cell r="X43">
            <v>-43497.044837352609</v>
          </cell>
          <cell r="Y43">
            <v>-9.9691478942213529E-2</v>
          </cell>
          <cell r="AC43">
            <v>-9.9557648083616765E-2</v>
          </cell>
          <cell r="AE43">
            <v>-9.9606056474081398E-2</v>
          </cell>
          <cell r="AG43">
            <v>-9.9619155965817816E-2</v>
          </cell>
          <cell r="AI43">
            <v>-9.9686248769566208E-2</v>
          </cell>
        </row>
        <row r="45">
          <cell r="A45" t="str">
            <v>Property Tax &amp; Other (2)</v>
          </cell>
          <cell r="B45">
            <v>-18989.050999999999</v>
          </cell>
          <cell r="C45">
            <v>-5.0018518049458671E-2</v>
          </cell>
          <cell r="D45">
            <v>-20046.556</v>
          </cell>
          <cell r="E45">
            <v>-5.643494157485994E-2</v>
          </cell>
          <cell r="F45">
            <v>-17484.455000000002</v>
          </cell>
          <cell r="G45">
            <v>-5.2764122252798709E-2</v>
          </cell>
          <cell r="H45">
            <v>-16487.075700000001</v>
          </cell>
          <cell r="I45">
            <v>-5.2319122767040122E-2</v>
          </cell>
          <cell r="J45">
            <v>-18139.916000000001</v>
          </cell>
          <cell r="K45">
            <v>-5.817075089012886E-2</v>
          </cell>
          <cell r="L45">
            <v>-18281.846000000001</v>
          </cell>
          <cell r="M45">
            <v>-5.7095251399908065E-2</v>
          </cell>
          <cell r="N45">
            <v>-18516.043000000001</v>
          </cell>
          <cell r="O45">
            <v>-5.7011138634648545E-2</v>
          </cell>
          <cell r="P45">
            <v>-19508.960999999999</v>
          </cell>
          <cell r="Q45">
            <v>-5.6233405794026844E-2</v>
          </cell>
          <cell r="R45">
            <v>-19996.685025000002</v>
          </cell>
          <cell r="S45">
            <v>-5.3730107144593184E-2</v>
          </cell>
          <cell r="T45">
            <v>-20496.602150625</v>
          </cell>
          <cell r="U45">
            <v>-5.1315258563848026E-2</v>
          </cell>
          <cell r="V45">
            <v>-21009.017204390624</v>
          </cell>
          <cell r="W45">
            <v>-5.0141412201217865E-2</v>
          </cell>
          <cell r="X45">
            <v>-21534.242634500388</v>
          </cell>
          <cell r="Y45">
            <v>-4.9354628668711029E-2</v>
          </cell>
          <cell r="AA45">
            <v>2.5000000000000001E-2</v>
          </cell>
          <cell r="AC45">
            <v>-0.12780753960929742</v>
          </cell>
          <cell r="AE45">
            <v>-5.7043774026699738E-2</v>
          </cell>
          <cell r="AG45">
            <v>0.10025066482832973</v>
          </cell>
          <cell r="AI45">
            <v>7.82418176578107E-3</v>
          </cell>
          <cell r="AK45">
            <v>1.2810358428793247E-2</v>
          </cell>
        </row>
        <row r="46">
          <cell r="A46" t="str">
            <v>General Insurance (2)</v>
          </cell>
          <cell r="B46">
            <v>-2164.2779999999998</v>
          </cell>
          <cell r="C46">
            <v>-5.7008629976846295E-3</v>
          </cell>
          <cell r="D46">
            <v>-1847.0540000000001</v>
          </cell>
          <cell r="E46">
            <v>-5.1998150991926671E-3</v>
          </cell>
          <cell r="F46">
            <v>-2116.6320000000001</v>
          </cell>
          <cell r="G46">
            <v>-6.3875156310097079E-3</v>
          </cell>
          <cell r="H46">
            <v>-3759.7339999999999</v>
          </cell>
          <cell r="I46">
            <v>-1.1930920212698169E-2</v>
          </cell>
          <cell r="J46">
            <v>-5234.4780000000001</v>
          </cell>
          <cell r="K46">
            <v>-1.6785828323453093E-2</v>
          </cell>
          <cell r="L46">
            <v>-4176.3819999999996</v>
          </cell>
          <cell r="M46">
            <v>-1.3043080016758198E-2</v>
          </cell>
          <cell r="N46">
            <v>-2837.7829999999999</v>
          </cell>
          <cell r="O46">
            <v>-8.7375709825284389E-3</v>
          </cell>
          <cell r="P46">
            <v>-4468.58</v>
          </cell>
          <cell r="Q46">
            <v>-1.2880412876066156E-2</v>
          </cell>
          <cell r="R46">
            <v>-4580.2945</v>
          </cell>
          <cell r="S46">
            <v>-1.2307025586046648E-2</v>
          </cell>
          <cell r="T46">
            <v>-4694.8018624999995</v>
          </cell>
          <cell r="U46">
            <v>-1.1753898022208357E-2</v>
          </cell>
          <cell r="V46">
            <v>-4812.1719090624993</v>
          </cell>
          <cell r="W46">
            <v>-1.1485025354969858E-2</v>
          </cell>
          <cell r="X46">
            <v>-4932.4762067890615</v>
          </cell>
          <cell r="Y46">
            <v>-1.1304810470246401E-2</v>
          </cell>
          <cell r="AA46">
            <v>2.5000000000000001E-2</v>
          </cell>
          <cell r="AC46">
            <v>0.14595025375543971</v>
          </cell>
          <cell r="AE46">
            <v>0.77628137531701302</v>
          </cell>
          <cell r="AG46">
            <v>0.39224689831780657</v>
          </cell>
          <cell r="AI46">
            <v>-0.202139735805557</v>
          </cell>
          <cell r="AK46">
            <v>-0.3205164182778299</v>
          </cell>
        </row>
        <row r="47">
          <cell r="B47" t="str">
            <v xml:space="preserve"> </v>
          </cell>
          <cell r="D47" t="str">
            <v xml:space="preserve"> </v>
          </cell>
          <cell r="F47" t="str">
            <v xml:space="preserve"> </v>
          </cell>
          <cell r="H47" t="str">
            <v xml:space="preserve"> </v>
          </cell>
          <cell r="J47" t="str">
            <v xml:space="preserve"> </v>
          </cell>
          <cell r="L47" t="str">
            <v xml:space="preserve"> </v>
          </cell>
          <cell r="N47" t="str">
            <v xml:space="preserve"> </v>
          </cell>
          <cell r="P47" t="str">
            <v xml:space="preserve"> </v>
          </cell>
          <cell r="R47" t="str">
            <v xml:space="preserve"> </v>
          </cell>
          <cell r="T47" t="str">
            <v xml:space="preserve"> </v>
          </cell>
          <cell r="V47" t="str">
            <v xml:space="preserve"> </v>
          </cell>
          <cell r="X47" t="str">
            <v xml:space="preserve"> </v>
          </cell>
        </row>
        <row r="48">
          <cell r="A48" t="str">
            <v>EBITDAR / NOP</v>
          </cell>
          <cell r="B48">
            <v>144423.05831000005</v>
          </cell>
          <cell r="C48">
            <v>0.38042066182437234</v>
          </cell>
          <cell r="D48">
            <v>126829.4857</v>
          </cell>
          <cell r="E48">
            <v>0.35704959073513848</v>
          </cell>
          <cell r="F48">
            <v>116904.92441999997</v>
          </cell>
          <cell r="G48">
            <v>0.35279256482693178</v>
          </cell>
          <cell r="H48">
            <v>102696.66864499998</v>
          </cell>
          <cell r="I48">
            <v>0.32589160821308011</v>
          </cell>
          <cell r="J48">
            <v>99872.117669999949</v>
          </cell>
          <cell r="K48">
            <v>0.32026808050551081</v>
          </cell>
          <cell r="L48">
            <v>102630.67055</v>
          </cell>
          <cell r="M48">
            <v>0.32052145808434168</v>
          </cell>
          <cell r="N48">
            <v>113789.79765999998</v>
          </cell>
          <cell r="O48">
            <v>0.3503602756594843</v>
          </cell>
          <cell r="P48">
            <v>124869.24351500001</v>
          </cell>
          <cell r="Q48">
            <v>0.35992807826988588</v>
          </cell>
          <cell r="R48">
            <v>140096.93354100769</v>
          </cell>
          <cell r="S48">
            <v>0.37643355588070992</v>
          </cell>
          <cell r="T48">
            <v>156306.82897329101</v>
          </cell>
          <cell r="U48">
            <v>0.3913295133074054</v>
          </cell>
          <cell r="V48">
            <v>166639.43427353044</v>
          </cell>
          <cell r="W48">
            <v>0.3977119196770727</v>
          </cell>
          <cell r="X48">
            <v>175003.88924763069</v>
          </cell>
          <cell r="Y48">
            <v>0.40109383533921694</v>
          </cell>
        </row>
        <row r="49">
          <cell r="A49" t="str">
            <v>EBITDAR Margin</v>
          </cell>
          <cell r="J49">
            <v>0.32026808050551081</v>
          </cell>
          <cell r="L49">
            <v>0.32052145808434168</v>
          </cell>
          <cell r="N49">
            <v>0.3503602756594843</v>
          </cell>
          <cell r="P49">
            <v>0.35992807826988588</v>
          </cell>
          <cell r="R49">
            <v>0.37643355588070992</v>
          </cell>
          <cell r="T49">
            <v>0.3913295133074054</v>
          </cell>
          <cell r="V49">
            <v>0.3977119196770727</v>
          </cell>
          <cell r="X49">
            <v>0.40109383533921694</v>
          </cell>
        </row>
        <row r="51">
          <cell r="A51" t="str">
            <v>Land &amp; Building leases</v>
          </cell>
          <cell r="B51">
            <v>-2114.739</v>
          </cell>
          <cell r="C51">
            <v>-5.5703737296505327E-3</v>
          </cell>
          <cell r="D51">
            <v>-2307.1810000000005</v>
          </cell>
          <cell r="E51">
            <v>-6.4951618092218407E-3</v>
          </cell>
          <cell r="F51">
            <v>-2013.5699999999986</v>
          </cell>
          <cell r="G51">
            <v>-6.0764978745158384E-3</v>
          </cell>
          <cell r="H51">
            <v>-2268.3079999999995</v>
          </cell>
          <cell r="I51">
            <v>-7.1981160810379013E-3</v>
          </cell>
          <cell r="J51">
            <v>-1676.9789999999985</v>
          </cell>
          <cell r="K51">
            <v>-5.3777055889882462E-3</v>
          </cell>
          <cell r="L51">
            <v>-1937.491</v>
          </cell>
          <cell r="M51">
            <v>-6.0508952832257342E-3</v>
          </cell>
          <cell r="N51">
            <v>-1758</v>
          </cell>
          <cell r="O51">
            <v>-5.4129049991789354E-3</v>
          </cell>
          <cell r="P51">
            <v>-1618</v>
          </cell>
          <cell r="Q51">
            <v>-4.6637876089216353E-3</v>
          </cell>
          <cell r="R51">
            <v>-1658.4499999999998</v>
          </cell>
          <cell r="S51">
            <v>-4.4561734148708251E-3</v>
          </cell>
          <cell r="T51">
            <v>-1699.9112499999997</v>
          </cell>
          <cell r="U51">
            <v>-4.255894937526713E-3</v>
          </cell>
          <cell r="V51">
            <v>-1742.4090312499995</v>
          </cell>
          <cell r="W51">
            <v>-4.1585405261495212E-3</v>
          </cell>
          <cell r="X51">
            <v>-1785.9692570312493</v>
          </cell>
          <cell r="Y51">
            <v>-4.0932876530930798E-3</v>
          </cell>
          <cell r="AA51">
            <v>2.5000000000000001E-2</v>
          </cell>
        </row>
        <row r="52">
          <cell r="A52" t="str">
            <v xml:space="preserve">     Total Rent Expense</v>
          </cell>
          <cell r="B52">
            <v>-2114.739</v>
          </cell>
          <cell r="C52">
            <v>-5.5703737296505327E-3</v>
          </cell>
          <cell r="D52">
            <v>-2307.1810000000005</v>
          </cell>
          <cell r="E52">
            <v>-6.4951618092218407E-3</v>
          </cell>
          <cell r="F52">
            <v>-2013.5699999999986</v>
          </cell>
          <cell r="G52">
            <v>-6.0764978745158384E-3</v>
          </cell>
          <cell r="H52">
            <v>-2268.3079999999995</v>
          </cell>
          <cell r="I52">
            <v>-7.1981160810379013E-3</v>
          </cell>
          <cell r="J52">
            <v>-1676.9789999999985</v>
          </cell>
          <cell r="K52">
            <v>-5.3777055889882462E-3</v>
          </cell>
          <cell r="L52">
            <v>-1937.491</v>
          </cell>
          <cell r="M52">
            <v>-6.0508952832257342E-3</v>
          </cell>
          <cell r="N52">
            <v>-1758</v>
          </cell>
          <cell r="O52">
            <v>-5.4129049991789354E-3</v>
          </cell>
          <cell r="P52">
            <v>-1618</v>
          </cell>
          <cell r="Q52">
            <v>-4.6637876089216353E-3</v>
          </cell>
          <cell r="R52">
            <v>-1658.4499999999998</v>
          </cell>
          <cell r="S52">
            <v>-4.4561734148708251E-3</v>
          </cell>
          <cell r="T52">
            <v>-1699.9112499999997</v>
          </cell>
          <cell r="U52">
            <v>-4.255894937526713E-3</v>
          </cell>
          <cell r="V52">
            <v>-1742.4090312499995</v>
          </cell>
          <cell r="W52">
            <v>-4.1585405261495212E-3</v>
          </cell>
          <cell r="X52">
            <v>-1785.9692570312493</v>
          </cell>
          <cell r="Y52">
            <v>-4.0932876530930798E-3</v>
          </cell>
        </row>
        <row r="54">
          <cell r="A54" t="str">
            <v>Lease FF&amp;E</v>
          </cell>
          <cell r="B54">
            <v>-427.55500000000001</v>
          </cell>
          <cell r="C54">
            <v>-1.1262104401444971E-3</v>
          </cell>
          <cell r="D54">
            <v>-341.68099999999998</v>
          </cell>
          <cell r="E54">
            <v>-9.6189825684969113E-4</v>
          </cell>
          <cell r="F54">
            <v>-301.108</v>
          </cell>
          <cell r="G54">
            <v>-9.0867569639978556E-4</v>
          </cell>
          <cell r="H54">
            <v>-219.30799999999999</v>
          </cell>
          <cell r="I54">
            <v>-6.9593919410426643E-4</v>
          </cell>
          <cell r="J54">
            <v>-218.12299999999999</v>
          </cell>
          <cell r="K54">
            <v>-6.9947284741602865E-4</v>
          </cell>
          <cell r="L54">
            <v>-218.01499999999999</v>
          </cell>
          <cell r="M54">
            <v>-6.8087332285541376E-4</v>
          </cell>
          <cell r="N54">
            <v>-216.79400000000001</v>
          </cell>
          <cell r="O54">
            <v>-6.6751156222525493E-4</v>
          </cell>
          <cell r="P54">
            <v>-178.21199999999999</v>
          </cell>
          <cell r="Q54">
            <v>-5.1368536301677533E-4</v>
          </cell>
          <cell r="R54">
            <v>-178.21199999999999</v>
          </cell>
          <cell r="S54">
            <v>-4.7884686099126266E-4</v>
          </cell>
          <cell r="T54">
            <v>-178.21199999999999</v>
          </cell>
          <cell r="U54">
            <v>-4.4617126253297678E-4</v>
          </cell>
          <cell r="V54">
            <v>-178.21199999999999</v>
          </cell>
          <cell r="W54">
            <v>-4.2533171658005813E-4</v>
          </cell>
          <cell r="X54">
            <v>-178.21199999999999</v>
          </cell>
          <cell r="Y54">
            <v>-4.0844654876400274E-4</v>
          </cell>
        </row>
        <row r="55">
          <cell r="A55" t="str">
            <v>Other Leases</v>
          </cell>
          <cell r="B55">
            <v>-8</v>
          </cell>
          <cell r="C55">
            <v>-2.1072571999288925E-5</v>
          </cell>
          <cell r="D55">
            <v>-25</v>
          </cell>
          <cell r="E55">
            <v>-7.0379846761284E-5</v>
          </cell>
          <cell r="F55">
            <v>-45</v>
          </cell>
          <cell r="G55">
            <v>-1.3579980053001034E-4</v>
          </cell>
          <cell r="H55">
            <v>-52</v>
          </cell>
          <cell r="I55">
            <v>-1.6501376189387461E-4</v>
          </cell>
          <cell r="J55">
            <v>-55.216999999999999</v>
          </cell>
          <cell r="K55">
            <v>-1.7706886580402275E-4</v>
          </cell>
          <cell r="L55">
            <v>-32</v>
          </cell>
          <cell r="M55">
            <v>-9.9937831485784199E-5</v>
          </cell>
          <cell r="N55">
            <v>-19.870999999999999</v>
          </cell>
          <cell r="O55">
            <v>-6.1183068963984426E-5</v>
          </cell>
          <cell r="P55">
            <v>-20</v>
          </cell>
          <cell r="Q55">
            <v>-5.7648796154779176E-5</v>
          </cell>
          <cell r="R55">
            <v>-20</v>
          </cell>
          <cell r="S55">
            <v>-5.3739014319042793E-5</v>
          </cell>
          <cell r="T55">
            <v>-20</v>
          </cell>
          <cell r="U55">
            <v>-5.0071966257376251E-5</v>
          </cell>
          <cell r="V55">
            <v>-20</v>
          </cell>
          <cell r="W55">
            <v>-4.7733229701710118E-5</v>
          </cell>
          <cell r="X55">
            <v>-20</v>
          </cell>
          <cell r="Y55">
            <v>-4.5838276745000645E-5</v>
          </cell>
          <cell r="AA55">
            <v>-227</v>
          </cell>
        </row>
        <row r="56">
          <cell r="A56" t="str">
            <v>Total Lease Expense</v>
          </cell>
          <cell r="B56">
            <v>-435.55500000000001</v>
          </cell>
          <cell r="C56">
            <v>-1.147283012143786E-3</v>
          </cell>
          <cell r="D56">
            <v>-366.68099999999998</v>
          </cell>
          <cell r="E56">
            <v>-1.0322781036109752E-3</v>
          </cell>
          <cell r="F56">
            <v>-346.108</v>
          </cell>
          <cell r="G56">
            <v>-1.0444754969297959E-3</v>
          </cell>
          <cell r="H56">
            <v>-271.30799999999999</v>
          </cell>
          <cell r="I56">
            <v>-8.6095295599814101E-4</v>
          </cell>
          <cell r="J56">
            <v>-273.33999999999997</v>
          </cell>
          <cell r="K56">
            <v>-8.7654171322005126E-4</v>
          </cell>
          <cell r="L56">
            <v>-250.01499999999999</v>
          </cell>
          <cell r="M56">
            <v>-7.8081115434119799E-4</v>
          </cell>
          <cell r="N56">
            <v>-236.66500000000002</v>
          </cell>
          <cell r="O56">
            <v>-7.2869463118923933E-4</v>
          </cell>
          <cell r="P56">
            <v>-198.21199999999999</v>
          </cell>
          <cell r="Q56">
            <v>-5.7133415917155447E-4</v>
          </cell>
          <cell r="R56">
            <v>-198.21199999999999</v>
          </cell>
          <cell r="S56">
            <v>-5.3258587531030549E-4</v>
          </cell>
          <cell r="T56">
            <v>-198.21199999999999</v>
          </cell>
          <cell r="U56">
            <v>-4.9624322879035304E-4</v>
          </cell>
          <cell r="V56">
            <v>-198.21199999999999</v>
          </cell>
          <cell r="W56">
            <v>-4.7306494628176826E-4</v>
          </cell>
          <cell r="X56">
            <v>-198.21199999999999</v>
          </cell>
          <cell r="Y56">
            <v>-4.5428482550900339E-4</v>
          </cell>
        </row>
        <row r="58">
          <cell r="A58" t="str">
            <v>EBITDA</v>
          </cell>
          <cell r="B58">
            <v>141872.76431000006</v>
          </cell>
          <cell r="C58">
            <v>0.37370300508257803</v>
          </cell>
          <cell r="D58">
            <v>124155.62370000001</v>
          </cell>
          <cell r="E58">
            <v>0.34952215082230564</v>
          </cell>
          <cell r="F58">
            <v>114545.24641999998</v>
          </cell>
          <cell r="G58">
            <v>0.34567159145548615</v>
          </cell>
          <cell r="H58">
            <v>100157.05264499997</v>
          </cell>
          <cell r="I58">
            <v>0.31783253917604404</v>
          </cell>
          <cell r="J58">
            <v>97921.79866999996</v>
          </cell>
          <cell r="K58">
            <v>0.31401383320330251</v>
          </cell>
          <cell r="L58">
            <v>100444.16455</v>
          </cell>
          <cell r="M58">
            <v>0.3136928747040087</v>
          </cell>
          <cell r="N58">
            <v>111795.13265999999</v>
          </cell>
          <cell r="O58">
            <v>0.34421867602911616</v>
          </cell>
          <cell r="P58">
            <v>123053.03151500001</v>
          </cell>
          <cell r="Q58">
            <v>0.35469295650179267</v>
          </cell>
          <cell r="R58">
            <v>138240.27154100768</v>
          </cell>
          <cell r="S58">
            <v>0.37144479659052876</v>
          </cell>
          <cell r="T58">
            <v>154408.705723291</v>
          </cell>
          <cell r="U58">
            <v>0.38657737514108831</v>
          </cell>
          <cell r="V58">
            <v>164698.81324228045</v>
          </cell>
          <cell r="W58">
            <v>0.3930803142046414</v>
          </cell>
          <cell r="X58">
            <v>173019.70799059945</v>
          </cell>
          <cell r="Y58">
            <v>0.39654626286061484</v>
          </cell>
        </row>
        <row r="59">
          <cell r="A59" t="str">
            <v>EBITDA Margin</v>
          </cell>
          <cell r="J59">
            <v>0.31401383320330251</v>
          </cell>
          <cell r="L59">
            <v>0.3136928747040087</v>
          </cell>
          <cell r="N59">
            <v>0.34421867602911616</v>
          </cell>
          <cell r="P59">
            <v>0.35469295650179267</v>
          </cell>
          <cell r="R59">
            <v>0.37144479659052876</v>
          </cell>
          <cell r="T59">
            <v>0.38657737514108831</v>
          </cell>
          <cell r="V59">
            <v>0.3930803142046414</v>
          </cell>
          <cell r="X59">
            <v>0.39654626286061484</v>
          </cell>
        </row>
        <row r="61">
          <cell r="A61" t="str">
            <v>Maintenance CapEx</v>
          </cell>
          <cell r="B61">
            <v>-31114</v>
          </cell>
          <cell r="C61">
            <v>-8.1956500648234454E-2</v>
          </cell>
          <cell r="D61">
            <v>-27094</v>
          </cell>
          <cell r="E61">
            <v>-7.6274862726009154E-2</v>
          </cell>
          <cell r="F61">
            <v>-26641</v>
          </cell>
          <cell r="G61">
            <v>-8.0396499687111225E-2</v>
          </cell>
          <cell r="H61">
            <v>-9868</v>
          </cell>
          <cell r="I61">
            <v>-3.1314534660937587E-2</v>
          </cell>
          <cell r="J61">
            <v>-9824</v>
          </cell>
          <cell r="K61">
            <v>-3.1503423540915287E-2</v>
          </cell>
          <cell r="L61">
            <v>-12983</v>
          </cell>
          <cell r="M61">
            <v>-4.054665206812301E-2</v>
          </cell>
          <cell r="N61">
            <v>-14121</v>
          </cell>
          <cell r="O61">
            <v>-4.3478743739138646E-2</v>
          </cell>
          <cell r="P61">
            <v>-11159</v>
          </cell>
          <cell r="Q61">
            <v>-3.2165145814559044E-2</v>
          </cell>
          <cell r="R61">
            <v>-13605</v>
          </cell>
          <cell r="S61">
            <v>-3.6555964490528857E-2</v>
          </cell>
          <cell r="T61">
            <v>-16174</v>
          </cell>
          <cell r="U61">
            <v>-4.0493199112340172E-2</v>
          </cell>
          <cell r="V61">
            <v>-18854.789538109886</v>
          </cell>
          <cell r="W61">
            <v>-4.4999999999999998E-2</v>
          </cell>
          <cell r="X61">
            <v>-19634.245960133274</v>
          </cell>
          <cell r="Y61">
            <v>-4.4999999999999998E-2</v>
          </cell>
        </row>
        <row r="62">
          <cell r="A62" t="str">
            <v>Renovation CapEx</v>
          </cell>
          <cell r="B62">
            <v>0</v>
          </cell>
          <cell r="D62">
            <v>0</v>
          </cell>
          <cell r="F62">
            <v>0</v>
          </cell>
          <cell r="H62">
            <v>-11349.107</v>
          </cell>
          <cell r="J62">
            <v>-39951</v>
          </cell>
          <cell r="L62">
            <v>-46946</v>
          </cell>
          <cell r="N62">
            <v>-45459</v>
          </cell>
          <cell r="P62">
            <v>-28841</v>
          </cell>
          <cell r="R62">
            <v>-26395</v>
          </cell>
          <cell r="T62">
            <v>-1192</v>
          </cell>
          <cell r="V62">
            <v>0</v>
          </cell>
          <cell r="X62">
            <v>0</v>
          </cell>
        </row>
        <row r="63">
          <cell r="A63" t="str">
            <v xml:space="preserve">     Total CapEx</v>
          </cell>
          <cell r="B63">
            <v>-31114</v>
          </cell>
          <cell r="D63">
            <v>-27094</v>
          </cell>
          <cell r="F63">
            <v>-26641</v>
          </cell>
          <cell r="H63">
            <v>-21217.107</v>
          </cell>
          <cell r="J63">
            <v>-49775</v>
          </cell>
          <cell r="L63">
            <v>-59929</v>
          </cell>
          <cell r="N63">
            <v>-59580</v>
          </cell>
          <cell r="P63">
            <v>-40000</v>
          </cell>
          <cell r="R63">
            <v>-40000</v>
          </cell>
          <cell r="T63">
            <v>-17366</v>
          </cell>
          <cell r="V63">
            <v>-18854.789538109886</v>
          </cell>
          <cell r="X63">
            <v>-19634.245960133274</v>
          </cell>
        </row>
        <row r="65">
          <cell r="A65" t="str">
            <v xml:space="preserve">     Net Operating Income (3)</v>
          </cell>
          <cell r="B65">
            <v>110758.76431000006</v>
          </cell>
          <cell r="C65">
            <v>0.29174650443434358</v>
          </cell>
          <cell r="D65">
            <v>97061.623700000011</v>
          </cell>
          <cell r="E65">
            <v>0.2732472880962965</v>
          </cell>
          <cell r="F65">
            <v>87904.246419999981</v>
          </cell>
          <cell r="G65">
            <v>0.26527509176837494</v>
          </cell>
          <cell r="H65">
            <v>78939.945644999971</v>
          </cell>
          <cell r="I65">
            <v>0.25050341143421978</v>
          </cell>
          <cell r="J65">
            <v>88097.79866999996</v>
          </cell>
          <cell r="K65">
            <v>0.28251040966238722</v>
          </cell>
          <cell r="L65">
            <v>87461.164550000001</v>
          </cell>
          <cell r="M65">
            <v>0.27314622263588573</v>
          </cell>
          <cell r="N65">
            <v>97674.132659999988</v>
          </cell>
          <cell r="O65">
            <v>0.30073993228997753</v>
          </cell>
          <cell r="P65">
            <v>111894.03151500001</v>
          </cell>
          <cell r="Q65">
            <v>0.32252781068723363</v>
          </cell>
          <cell r="R65">
            <v>124635.27154100768</v>
          </cell>
          <cell r="S65">
            <v>0.33488883209999992</v>
          </cell>
          <cell r="T65">
            <v>138234.705723291</v>
          </cell>
          <cell r="U65">
            <v>0.34608417602874814</v>
          </cell>
          <cell r="V65">
            <v>145844.02370417057</v>
          </cell>
          <cell r="W65">
            <v>0.34808031420464142</v>
          </cell>
          <cell r="X65">
            <v>153385.46203046618</v>
          </cell>
        </row>
        <row r="67">
          <cell r="A67" t="str">
            <v>Franchise Properties</v>
          </cell>
          <cell r="Y67">
            <v>0.35154626286061486</v>
          </cell>
        </row>
        <row r="69">
          <cell r="A69" t="str">
            <v>Number of Hotels (4)</v>
          </cell>
          <cell r="J69">
            <v>100</v>
          </cell>
          <cell r="L69">
            <v>95</v>
          </cell>
          <cell r="N69">
            <v>103</v>
          </cell>
          <cell r="P69">
            <v>118</v>
          </cell>
          <cell r="R69">
            <v>130</v>
          </cell>
          <cell r="T69">
            <v>147</v>
          </cell>
          <cell r="V69">
            <v>165</v>
          </cell>
          <cell r="X69">
            <v>185</v>
          </cell>
        </row>
        <row r="70">
          <cell r="A70" t="str">
            <v>Rooms Rented</v>
          </cell>
          <cell r="J70">
            <v>1947744</v>
          </cell>
          <cell r="L70">
            <v>1938286</v>
          </cell>
          <cell r="N70">
            <v>1972315.35</v>
          </cell>
          <cell r="P70">
            <v>2094690</v>
          </cell>
          <cell r="R70">
            <v>2396147</v>
          </cell>
          <cell r="T70">
            <v>2715428</v>
          </cell>
          <cell r="V70">
            <v>3102679</v>
          </cell>
          <cell r="X70">
            <v>3527604</v>
          </cell>
        </row>
        <row r="71">
          <cell r="A71" t="str">
            <v>Rooms Available</v>
          </cell>
          <cell r="J71">
            <v>3307852</v>
          </cell>
          <cell r="L71">
            <v>3224264</v>
          </cell>
          <cell r="N71">
            <v>3170925</v>
          </cell>
          <cell r="P71">
            <v>3330190</v>
          </cell>
          <cell r="R71">
            <v>3773460</v>
          </cell>
          <cell r="T71">
            <v>4229638</v>
          </cell>
          <cell r="V71">
            <v>4791782</v>
          </cell>
          <cell r="X71">
            <v>5402150</v>
          </cell>
        </row>
        <row r="72">
          <cell r="A72" t="str">
            <v>Occupancy</v>
          </cell>
          <cell r="J72">
            <v>0.58882440931456426</v>
          </cell>
          <cell r="L72">
            <v>0.60115610880498616</v>
          </cell>
          <cell r="N72">
            <v>0.622</v>
          </cell>
          <cell r="P72">
            <v>0.62900014713875185</v>
          </cell>
          <cell r="R72">
            <v>0.63499997349912285</v>
          </cell>
          <cell r="T72">
            <v>0.64200009551644843</v>
          </cell>
          <cell r="V72">
            <v>0.64750003234704756</v>
          </cell>
          <cell r="X72">
            <v>0.65300000925557422</v>
          </cell>
        </row>
        <row r="73">
          <cell r="A73" t="str">
            <v>ADR</v>
          </cell>
          <cell r="J73">
            <v>53.32833370299177</v>
          </cell>
          <cell r="L73">
            <v>56.213706336423002</v>
          </cell>
          <cell r="N73">
            <v>56.302355503139999</v>
          </cell>
          <cell r="P73">
            <v>58.994887071595322</v>
          </cell>
          <cell r="R73">
            <v>61.354749938129842</v>
          </cell>
          <cell r="T73">
            <v>63.809093815044996</v>
          </cell>
          <cell r="V73">
            <v>66.361360617711341</v>
          </cell>
          <cell r="X73">
            <v>68.883015213725798</v>
          </cell>
        </row>
        <row r="74">
          <cell r="A74" t="str">
            <v>RevPAR</v>
          </cell>
          <cell r="J74">
            <v>31.401024592394098</v>
          </cell>
          <cell r="L74">
            <v>33.793212962710243</v>
          </cell>
          <cell r="N74">
            <v>35.020065122953078</v>
          </cell>
          <cell r="P74">
            <v>37.107792648467509</v>
          </cell>
          <cell r="R74">
            <v>38.960264584757759</v>
          </cell>
          <cell r="T74">
            <v>40.965444324076906</v>
          </cell>
          <cell r="V74">
            <v>42.968983146562181</v>
          </cell>
          <cell r="X74">
            <v>44.980609572114808</v>
          </cell>
        </row>
        <row r="76">
          <cell r="A76" t="str">
            <v>Franchise Revenue</v>
          </cell>
          <cell r="J76">
            <v>8592</v>
          </cell>
          <cell r="L76">
            <v>8990</v>
          </cell>
          <cell r="N76">
            <v>9518</v>
          </cell>
          <cell r="P76">
            <v>10462</v>
          </cell>
          <cell r="R76">
            <v>12482</v>
          </cell>
          <cell r="T76">
            <v>14725</v>
          </cell>
          <cell r="V76">
            <v>17336</v>
          </cell>
          <cell r="X76">
            <v>20304</v>
          </cell>
        </row>
        <row r="77">
          <cell r="A77" t="str">
            <v>Allocated Franchise Expense</v>
          </cell>
          <cell r="J77">
            <v>-6040.1323529411766</v>
          </cell>
          <cell r="L77">
            <v>-6404.4285714285716</v>
          </cell>
          <cell r="N77">
            <v>-6604.9230769230762</v>
          </cell>
          <cell r="P77">
            <v>-6674</v>
          </cell>
          <cell r="R77">
            <v>-7700.2999999999993</v>
          </cell>
          <cell r="T77">
            <v>-8841.2780000000002</v>
          </cell>
          <cell r="V77">
            <v>-10239.33468</v>
          </cell>
          <cell r="X77">
            <v>-11818.8947608</v>
          </cell>
        </row>
        <row r="78">
          <cell r="A78" t="str">
            <v>Franchise EBITDA</v>
          </cell>
          <cell r="H78">
            <v>4000</v>
          </cell>
          <cell r="J78">
            <v>2551.8676470588234</v>
          </cell>
          <cell r="K78">
            <v>0.55446113826815635</v>
          </cell>
          <cell r="L78">
            <v>2585.5714285714284</v>
          </cell>
          <cell r="M78">
            <v>0.59137438498331474</v>
          </cell>
          <cell r="N78">
            <v>2913.0769230769238</v>
          </cell>
          <cell r="O78">
            <v>0.61880610029736272</v>
          </cell>
          <cell r="P78">
            <v>3788</v>
          </cell>
          <cell r="Q78">
            <v>0.67119291892979283</v>
          </cell>
          <cell r="R78">
            <v>4781.7000000000007</v>
          </cell>
          <cell r="S78">
            <v>0.63542481589313238</v>
          </cell>
          <cell r="T78">
            <v>5883.7219999999998</v>
          </cell>
          <cell r="U78">
            <v>0.61753569880040471</v>
          </cell>
          <cell r="V78">
            <v>7096.6653200000001</v>
          </cell>
          <cell r="W78">
            <v>0.60150821481118188</v>
          </cell>
          <cell r="X78">
            <v>8485.1052392000001</v>
          </cell>
        </row>
        <row r="80">
          <cell r="A80" t="str">
            <v>Corporate Level</v>
          </cell>
          <cell r="Y80">
            <v>0.58451245756072079</v>
          </cell>
        </row>
        <row r="82">
          <cell r="A82" t="str">
            <v>Total Corporate Revenue</v>
          </cell>
          <cell r="J82">
            <v>320431.12399999995</v>
          </cell>
          <cell r="L82">
            <v>329189.06300000002</v>
          </cell>
          <cell r="N82">
            <v>334297.39299999998</v>
          </cell>
          <cell r="P82">
            <v>357390.32</v>
          </cell>
          <cell r="R82">
            <v>384651.08894648001</v>
          </cell>
          <cell r="T82">
            <v>414150.09741274122</v>
          </cell>
          <cell r="V82">
            <v>436331.32306910859</v>
          </cell>
          <cell r="X82">
            <v>456620.57689185056</v>
          </cell>
        </row>
        <row r="83">
          <cell r="A83" t="str">
            <v>Total Corporate Expense</v>
          </cell>
          <cell r="J83">
            <v>-219958.45768294117</v>
          </cell>
          <cell r="L83">
            <v>-226160.32702142859</v>
          </cell>
          <cell r="N83">
            <v>-219589.18341692307</v>
          </cell>
          <cell r="P83">
            <v>-230549.288485</v>
          </cell>
          <cell r="R83">
            <v>-241629.11740547232</v>
          </cell>
          <cell r="T83">
            <v>-253857.66968945024</v>
          </cell>
          <cell r="V83">
            <v>-264535.84450682811</v>
          </cell>
          <cell r="X83">
            <v>-275115.76366205112</v>
          </cell>
        </row>
        <row r="84">
          <cell r="A84" t="str">
            <v>Total Corporate EBITDA</v>
          </cell>
          <cell r="H84">
            <v>104157.05264499997</v>
          </cell>
          <cell r="I84">
            <v>0.33052590547557287</v>
          </cell>
          <cell r="J84">
            <v>100472.66631705879</v>
          </cell>
          <cell r="K84">
            <v>0.32219390892420158</v>
          </cell>
          <cell r="L84">
            <v>103029.73597857144</v>
          </cell>
          <cell r="M84">
            <v>0.32176776225785342</v>
          </cell>
          <cell r="N84">
            <v>114708.20958307691</v>
          </cell>
          <cell r="O84">
            <v>0.35318807798583735</v>
          </cell>
          <cell r="P84">
            <v>126841.03151500001</v>
          </cell>
          <cell r="Q84">
            <v>0.36561163849350786</v>
          </cell>
          <cell r="R84">
            <v>143021.97154100769</v>
          </cell>
          <cell r="S84">
            <v>0.38429298882899715</v>
          </cell>
          <cell r="T84">
            <v>160292.42772329101</v>
          </cell>
          <cell r="U84">
            <v>0.40130785161367744</v>
          </cell>
          <cell r="V84">
            <v>171795.47856228045</v>
          </cell>
          <cell r="W84">
            <v>0.41001765199642742</v>
          </cell>
          <cell r="X84">
            <v>181504.81322979945</v>
          </cell>
        </row>
        <row r="85">
          <cell r="A85" t="str">
            <v xml:space="preserve">       Corporate EBITDA Margin</v>
          </cell>
          <cell r="J85">
            <v>0.31355464183017001</v>
          </cell>
          <cell r="L85">
            <v>0.31298043452485974</v>
          </cell>
          <cell r="N85">
            <v>0.34313222892251782</v>
          </cell>
          <cell r="P85">
            <v>0.35490897323408199</v>
          </cell>
          <cell r="R85">
            <v>0.371822609244992</v>
          </cell>
          <cell r="T85">
            <v>0.3870394543540186</v>
          </cell>
          <cell r="V85">
            <v>0.39372712771086232</v>
          </cell>
          <cell r="X85">
            <v>0.39749591327065492</v>
          </cell>
        </row>
        <row r="86">
          <cell r="Y86">
            <v>0.41599339296886007</v>
          </cell>
        </row>
        <row r="92">
          <cell r="H92">
            <v>-6.7329127741824243E-2</v>
          </cell>
          <cell r="J92">
            <v>-0.15961755972608493</v>
          </cell>
          <cell r="L92">
            <v>-0.18716169697223628</v>
          </cell>
          <cell r="N92">
            <v>-0.18344759946022807</v>
          </cell>
          <cell r="P92">
            <v>-0.11529759230955836</v>
          </cell>
          <cell r="R92">
            <v>-0.10747802863808559</v>
          </cell>
          <cell r="T92">
            <v>-4.3477488301279794E-2</v>
          </cell>
          <cell r="V92">
            <v>-4.4999999999999998E-2</v>
          </cell>
          <cell r="X92">
            <v>-4.4999999999999998E-2</v>
          </cell>
        </row>
        <row r="96">
          <cell r="A96" t="str">
            <v>Capex breakdown</v>
          </cell>
        </row>
        <row r="97">
          <cell r="A97" t="str">
            <v>Repositioning (*)</v>
          </cell>
          <cell r="B97">
            <v>0</v>
          </cell>
          <cell r="D97">
            <v>0</v>
          </cell>
          <cell r="F97">
            <v>0</v>
          </cell>
          <cell r="H97">
            <v>11349.107</v>
          </cell>
          <cell r="J97">
            <v>39951</v>
          </cell>
          <cell r="L97">
            <v>45046</v>
          </cell>
          <cell r="N97">
            <v>41508</v>
          </cell>
          <cell r="P97">
            <v>27707</v>
          </cell>
          <cell r="R97">
            <v>25395</v>
          </cell>
          <cell r="T97">
            <v>0</v>
          </cell>
          <cell r="V97">
            <v>0</v>
          </cell>
          <cell r="X97">
            <v>0</v>
          </cell>
        </row>
        <row r="98">
          <cell r="A98" t="str">
            <v>Maintenance Capex</v>
          </cell>
          <cell r="B98">
            <v>31114</v>
          </cell>
          <cell r="D98">
            <v>27094</v>
          </cell>
          <cell r="F98">
            <v>26641</v>
          </cell>
          <cell r="H98">
            <v>9868</v>
          </cell>
          <cell r="J98">
            <v>9824</v>
          </cell>
          <cell r="L98">
            <v>11654</v>
          </cell>
          <cell r="N98">
            <v>12032</v>
          </cell>
          <cell r="P98">
            <v>11159</v>
          </cell>
          <cell r="R98">
            <v>13605</v>
          </cell>
          <cell r="T98">
            <v>16174</v>
          </cell>
          <cell r="V98">
            <v>18854.789538109886</v>
          </cell>
          <cell r="X98">
            <v>19634.245960133274</v>
          </cell>
        </row>
        <row r="99">
          <cell r="A99" t="str">
            <v>Casualty loss replacement</v>
          </cell>
          <cell r="B99">
            <v>0</v>
          </cell>
          <cell r="D99">
            <v>0</v>
          </cell>
          <cell r="F99">
            <v>0</v>
          </cell>
          <cell r="H99">
            <v>0</v>
          </cell>
          <cell r="J99">
            <v>0</v>
          </cell>
          <cell r="L99">
            <v>1329</v>
          </cell>
          <cell r="N99">
            <v>2089</v>
          </cell>
          <cell r="P99">
            <v>0</v>
          </cell>
          <cell r="R99">
            <v>0</v>
          </cell>
          <cell r="T99">
            <v>0</v>
          </cell>
          <cell r="V99">
            <v>0</v>
          </cell>
          <cell r="X99">
            <v>0</v>
          </cell>
        </row>
        <row r="100">
          <cell r="A100" t="str">
            <v>ADA Compliance</v>
          </cell>
          <cell r="B100">
            <v>0</v>
          </cell>
          <cell r="D100">
            <v>0</v>
          </cell>
          <cell r="F100">
            <v>0</v>
          </cell>
          <cell r="H100">
            <v>0</v>
          </cell>
          <cell r="J100">
            <v>0</v>
          </cell>
          <cell r="L100">
            <v>1900</v>
          </cell>
          <cell r="N100">
            <v>3951</v>
          </cell>
          <cell r="P100">
            <v>1134</v>
          </cell>
          <cell r="R100">
            <v>1000</v>
          </cell>
          <cell r="T100">
            <v>1192</v>
          </cell>
          <cell r="V100">
            <v>0</v>
          </cell>
          <cell r="X100">
            <v>0</v>
          </cell>
        </row>
        <row r="101">
          <cell r="A101" t="str">
            <v>Company cars / office furniture</v>
          </cell>
          <cell r="B101">
            <v>0</v>
          </cell>
          <cell r="D101">
            <v>0</v>
          </cell>
          <cell r="F101">
            <v>0</v>
          </cell>
          <cell r="H101">
            <v>0</v>
          </cell>
          <cell r="J101">
            <v>0</v>
          </cell>
          <cell r="L101">
            <v>0</v>
          </cell>
          <cell r="N101">
            <v>0</v>
          </cell>
          <cell r="P101">
            <v>0</v>
          </cell>
          <cell r="R101">
            <v>0</v>
          </cell>
          <cell r="T101">
            <v>0</v>
          </cell>
          <cell r="V101">
            <v>0</v>
          </cell>
          <cell r="X101">
            <v>0</v>
          </cell>
        </row>
        <row r="102">
          <cell r="A102" t="str">
            <v>New constructions / conversions</v>
          </cell>
          <cell r="B102">
            <v>383</v>
          </cell>
          <cell r="D102">
            <v>35605</v>
          </cell>
          <cell r="F102">
            <v>13387</v>
          </cell>
          <cell r="H102">
            <v>4181</v>
          </cell>
          <cell r="J102">
            <v>3699</v>
          </cell>
          <cell r="L102">
            <v>1153</v>
          </cell>
          <cell r="N102">
            <v>75</v>
          </cell>
          <cell r="P102">
            <v>0</v>
          </cell>
          <cell r="R102">
            <v>0</v>
          </cell>
          <cell r="T102">
            <v>0</v>
          </cell>
          <cell r="V102">
            <v>0</v>
          </cell>
          <cell r="X102">
            <v>0</v>
          </cell>
        </row>
        <row r="104">
          <cell r="A104" t="str">
            <v>Total Capex RRI</v>
          </cell>
          <cell r="B104">
            <v>31497</v>
          </cell>
          <cell r="D104">
            <v>62699</v>
          </cell>
          <cell r="F104">
            <v>40028</v>
          </cell>
          <cell r="H104">
            <v>25398.107</v>
          </cell>
          <cell r="J104">
            <v>53474</v>
          </cell>
          <cell r="L104">
            <v>61082</v>
          </cell>
          <cell r="N104">
            <v>59655</v>
          </cell>
          <cell r="P104">
            <v>40000</v>
          </cell>
          <cell r="R104">
            <v>40000</v>
          </cell>
          <cell r="T104">
            <v>17366</v>
          </cell>
          <cell r="V104">
            <v>18854.789538109886</v>
          </cell>
          <cell r="X104">
            <v>19634.245960133274</v>
          </cell>
        </row>
        <row r="106">
          <cell r="A106" t="str">
            <v>(*) 9 million total spent prior to 2003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sumptions"/>
      <sheetName val="Returns"/>
      <sheetName val="Owned Hotels"/>
      <sheetName val="Franchise"/>
      <sheetName val="Debt"/>
      <sheetName val="LIBOR Curve"/>
      <sheetName val="Age&amp;Renov Analysis"/>
    </sheetNames>
    <sheetDataSet>
      <sheetData sheetId="0" refreshError="1"/>
      <sheetData sheetId="1" refreshError="1"/>
      <sheetData sheetId="2">
        <row r="1">
          <cell r="A1" t="str">
            <v xml:space="preserve">Red Roof </v>
          </cell>
        </row>
        <row r="2">
          <cell r="A2" t="str">
            <v>Owned Hotels</v>
          </cell>
        </row>
        <row r="4">
          <cell r="A4" t="str">
            <v>($ in 000's, except per room figures)</v>
          </cell>
        </row>
        <row r="5">
          <cell r="B5" t="str">
            <v>2000 A</v>
          </cell>
          <cell r="C5" t="str">
            <v>2001 A</v>
          </cell>
          <cell r="D5" t="str">
            <v>2002 A</v>
          </cell>
          <cell r="E5" t="str">
            <v>2003 A</v>
          </cell>
          <cell r="F5" t="str">
            <v>2004 A</v>
          </cell>
          <cell r="G5" t="str">
            <v>2005 A</v>
          </cell>
          <cell r="H5" t="str">
            <v>2006 E</v>
          </cell>
          <cell r="I5" t="str">
            <v>2007 E</v>
          </cell>
          <cell r="J5" t="str">
            <v>2008 E</v>
          </cell>
          <cell r="K5" t="str">
            <v>2009 E</v>
          </cell>
          <cell r="L5" t="str">
            <v>2010 E</v>
          </cell>
          <cell r="M5" t="str">
            <v>2011 E</v>
          </cell>
          <cell r="N5" t="str">
            <v>2012 E</v>
          </cell>
          <cell r="O5" t="str">
            <v>5 Year CAGR</v>
          </cell>
        </row>
        <row r="6">
          <cell r="I6">
            <v>1</v>
          </cell>
          <cell r="J6">
            <v>2</v>
          </cell>
          <cell r="K6">
            <v>3</v>
          </cell>
          <cell r="L6">
            <v>4</v>
          </cell>
          <cell r="M6">
            <v>5</v>
          </cell>
          <cell r="N6">
            <v>6</v>
          </cell>
        </row>
        <row r="8">
          <cell r="A8" t="str">
            <v>Number of Hotels</v>
          </cell>
          <cell r="B8">
            <v>255</v>
          </cell>
          <cell r="C8">
            <v>246</v>
          </cell>
          <cell r="D8">
            <v>244</v>
          </cell>
          <cell r="E8">
            <v>234</v>
          </cell>
          <cell r="F8">
            <v>229</v>
          </cell>
          <cell r="G8">
            <v>226</v>
          </cell>
          <cell r="H8">
            <v>221</v>
          </cell>
          <cell r="I8">
            <v>221</v>
          </cell>
          <cell r="J8">
            <v>221</v>
          </cell>
          <cell r="K8">
            <v>221</v>
          </cell>
          <cell r="L8">
            <v>221</v>
          </cell>
          <cell r="M8">
            <v>221</v>
          </cell>
          <cell r="N8">
            <v>221</v>
          </cell>
        </row>
        <row r="9">
          <cell r="A9" t="str">
            <v>Rooms Rented</v>
          </cell>
          <cell r="B9">
            <v>7336842</v>
          </cell>
          <cell r="C9">
            <v>7083089</v>
          </cell>
          <cell r="D9">
            <v>6772766</v>
          </cell>
          <cell r="E9">
            <v>6452498</v>
          </cell>
          <cell r="F9">
            <v>6206599</v>
          </cell>
          <cell r="G9">
            <v>6042535</v>
          </cell>
          <cell r="H9">
            <v>5617235</v>
          </cell>
          <cell r="I9">
            <v>5749532</v>
          </cell>
          <cell r="J9">
            <v>5902926.9095999999</v>
          </cell>
          <cell r="K9">
            <v>6135082.8629999999</v>
          </cell>
          <cell r="L9">
            <v>6159721.75</v>
          </cell>
          <cell r="M9">
            <v>6159721.75</v>
          </cell>
          <cell r="N9">
            <v>6159721.75</v>
          </cell>
        </row>
        <row r="10">
          <cell r="A10" t="str">
            <v>Rooms Available</v>
          </cell>
          <cell r="B10">
            <v>10761322</v>
          </cell>
          <cell r="C10">
            <v>10566323</v>
          </cell>
          <cell r="D10">
            <v>10287481</v>
          </cell>
          <cell r="E10">
            <v>10157055</v>
          </cell>
          <cell r="F10">
            <v>9844943</v>
          </cell>
          <cell r="G10">
            <v>9707608</v>
          </cell>
          <cell r="H10">
            <v>9427887</v>
          </cell>
          <cell r="I10">
            <v>9476495</v>
          </cell>
          <cell r="J10">
            <v>9502458</v>
          </cell>
          <cell r="K10">
            <v>9476495</v>
          </cell>
          <cell r="L10">
            <v>9476495</v>
          </cell>
          <cell r="M10">
            <v>9476495</v>
          </cell>
          <cell r="N10">
            <v>9476495</v>
          </cell>
        </row>
        <row r="11">
          <cell r="A11" t="str">
            <v>Supply Growth</v>
          </cell>
          <cell r="C11">
            <v>-1.8120357331562031E-2</v>
          </cell>
          <cell r="D11">
            <v>-2.6389691096893375E-2</v>
          </cell>
          <cell r="E11">
            <v>-1.2678127911001758E-2</v>
          </cell>
          <cell r="F11">
            <v>-3.0728592096823326E-2</v>
          </cell>
          <cell r="G11">
            <v>-1.3949801436128118E-2</v>
          </cell>
          <cell r="H11">
            <v>-2.8814616329789988E-2</v>
          </cell>
          <cell r="I11">
            <v>5.1557682012948192E-3</v>
          </cell>
          <cell r="J11">
            <v>2.73972602739736E-3</v>
          </cell>
          <cell r="K11">
            <v>-2.732240437158473E-3</v>
          </cell>
          <cell r="L11">
            <v>0</v>
          </cell>
          <cell r="M11">
            <v>0</v>
          </cell>
          <cell r="N11">
            <v>0</v>
          </cell>
          <cell r="O11">
            <v>1.0290336393670163E-3</v>
          </cell>
        </row>
        <row r="12">
          <cell r="A12" t="str">
            <v>Occupancy</v>
          </cell>
          <cell r="B12">
            <v>0.68177887437993212</v>
          </cell>
          <cell r="C12">
            <v>0.67034568222076873</v>
          </cell>
          <cell r="D12">
            <v>0.6583502803067145</v>
          </cell>
          <cell r="E12">
            <v>0.63527252732214212</v>
          </cell>
          <cell r="F12">
            <v>0.63043523969615667</v>
          </cell>
          <cell r="G12">
            <v>0.62245354365359629</v>
          </cell>
          <cell r="H12">
            <v>0.59581059891786992</v>
          </cell>
          <cell r="I12">
            <v>0.60671503546406136</v>
          </cell>
          <cell r="J12">
            <v>0.62119999999999997</v>
          </cell>
          <cell r="K12">
            <v>0.64739999999999998</v>
          </cell>
          <cell r="L12">
            <v>0.65</v>
          </cell>
          <cell r="M12">
            <v>0.65</v>
          </cell>
          <cell r="N12">
            <v>0.65</v>
          </cell>
        </row>
        <row r="13">
          <cell r="A13" t="str">
            <v>Occupancy Growth</v>
          </cell>
          <cell r="C13">
            <v>-1.6769648618933375E-2</v>
          </cell>
          <cell r="D13">
            <v>-1.7894352469482677E-2</v>
          </cell>
          <cell r="E13">
            <v>-3.5053912293955158E-2</v>
          </cell>
          <cell r="F13">
            <v>-7.6145078182052739E-3</v>
          </cell>
          <cell r="G13">
            <v>-1.2660612129498428E-2</v>
          </cell>
          <cell r="H13">
            <v>-4.2803105560844101E-2</v>
          </cell>
          <cell r="I13">
            <v>1.830185056458622E-2</v>
          </cell>
          <cell r="J13">
            <v>2.3874411691247044E-2</v>
          </cell>
          <cell r="K13">
            <v>4.2176432710882228E-2</v>
          </cell>
          <cell r="L13">
            <v>4.0160642570281624E-3</v>
          </cell>
          <cell r="M13">
            <v>0</v>
          </cell>
          <cell r="N13">
            <v>0</v>
          </cell>
          <cell r="O13">
            <v>1.7562342447128954E-2</v>
          </cell>
        </row>
        <row r="14">
          <cell r="A14" t="str">
            <v>ADR</v>
          </cell>
          <cell r="B14">
            <v>49.932030974634593</v>
          </cell>
          <cell r="C14">
            <v>48.45715238083271</v>
          </cell>
          <cell r="D14">
            <v>47.483996937145029</v>
          </cell>
          <cell r="E14">
            <v>47.555090912077773</v>
          </cell>
          <cell r="F14">
            <v>48.963206097252296</v>
          </cell>
          <cell r="G14">
            <v>51.871420355860579</v>
          </cell>
          <cell r="H14">
            <v>56.54471087643654</v>
          </cell>
          <cell r="I14">
            <v>59.059592850339826</v>
          </cell>
          <cell r="J14">
            <v>61.751448808757239</v>
          </cell>
          <cell r="K14">
            <v>63.765999999999991</v>
          </cell>
          <cell r="L14">
            <v>66.316639999999992</v>
          </cell>
          <cell r="M14">
            <v>68.637722399999987</v>
          </cell>
          <cell r="N14">
            <v>71.040042683999985</v>
          </cell>
        </row>
        <row r="15">
          <cell r="A15" t="str">
            <v>ADR Growth</v>
          </cell>
          <cell r="C15">
            <v>-2.9537724883474503E-2</v>
          </cell>
          <cell r="D15">
            <v>-2.0082802968682367E-2</v>
          </cell>
          <cell r="E15">
            <v>1.4972196849152297E-3</v>
          </cell>
          <cell r="F15">
            <v>2.9610188061209186E-2</v>
          </cell>
          <cell r="G15">
            <v>5.9395911551051173E-2</v>
          </cell>
          <cell r="H15">
            <v>9.0093745043323459E-2</v>
          </cell>
          <cell r="I15">
            <v>4.4475989618178335E-2</v>
          </cell>
          <cell r="J15">
            <v>4.5578640632330858E-2</v>
          </cell>
          <cell r="K15">
            <v>3.2623545359749651E-2</v>
          </cell>
          <cell r="L15">
            <v>0.04</v>
          </cell>
          <cell r="M15">
            <v>3.5000000000000003E-2</v>
          </cell>
          <cell r="N15">
            <v>3.499999999999992E-2</v>
          </cell>
          <cell r="O15">
            <v>3.952317343261047E-2</v>
          </cell>
        </row>
        <row r="16">
          <cell r="A16" t="str">
            <v>RevPAR</v>
          </cell>
          <cell r="B16">
            <v>34.042603873390277</v>
          </cell>
          <cell r="C16">
            <v>32.483042871205051</v>
          </cell>
          <cell r="D16">
            <v>31.261102693652603</v>
          </cell>
          <cell r="E16">
            <v>30.21044279074988</v>
          </cell>
          <cell r="F16">
            <v>30.86813057221357</v>
          </cell>
          <cell r="G16">
            <v>32.287549414850709</v>
          </cell>
          <cell r="H16">
            <v>33.689938052927445</v>
          </cell>
          <cell r="I16">
            <v>35.832342970686952</v>
          </cell>
          <cell r="J16">
            <v>38.359999999999992</v>
          </cell>
          <cell r="K16">
            <v>41.282108399999991</v>
          </cell>
          <cell r="L16">
            <v>43.105815999999997</v>
          </cell>
          <cell r="M16">
            <v>44.614519559999991</v>
          </cell>
          <cell r="N16">
            <v>46.176027744599992</v>
          </cell>
        </row>
        <row r="17">
          <cell r="A17" t="str">
            <v>RevPAR Growth</v>
          </cell>
          <cell r="C17">
            <v>-4.5812036235109321E-2</v>
          </cell>
          <cell r="D17">
            <v>-3.7617786683268206E-2</v>
          </cell>
          <cell r="E17">
            <v>-3.3609176016559772E-2</v>
          </cell>
          <cell r="F17">
            <v>2.1770213234513225E-2</v>
          </cell>
          <cell r="G17">
            <v>4.5983310823326962E-2</v>
          </cell>
          <cell r="H17">
            <v>4.3434347403018103E-2</v>
          </cell>
          <cell r="I17">
            <v>6.3591833098468609E-2</v>
          </cell>
          <cell r="J17">
            <v>7.0541215554361658E-2</v>
          </cell>
          <cell r="K17">
            <v>7.6175922836287713E-2</v>
          </cell>
          <cell r="L17">
            <v>4.4176706827309342E-2</v>
          </cell>
          <cell r="M17">
            <v>3.499999999999992E-2</v>
          </cell>
          <cell r="N17">
            <v>3.499999999999992E-2</v>
          </cell>
          <cell r="O17">
            <v>5.7779635386160155E-2</v>
          </cell>
        </row>
        <row r="19">
          <cell r="A19" t="str">
            <v>Room Revenue</v>
          </cell>
          <cell r="B19">
            <v>366343.42200000002</v>
          </cell>
          <cell r="C19">
            <v>343226.32299999992</v>
          </cell>
          <cell r="D19">
            <v>321598</v>
          </cell>
          <cell r="E19">
            <v>306849.12900000002</v>
          </cell>
          <cell r="F19">
            <v>303894.98599999998</v>
          </cell>
          <cell r="G19">
            <v>313434.87300000008</v>
          </cell>
          <cell r="H19">
            <v>317624.929</v>
          </cell>
          <cell r="I19">
            <v>339565.01900000009</v>
          </cell>
          <cell r="J19">
            <v>364514.28887999995</v>
          </cell>
          <cell r="K19">
            <v>391209.69384205795</v>
          </cell>
          <cell r="L19">
            <v>408492.04979491996</v>
          </cell>
          <cell r="M19">
            <v>422789.27153774211</v>
          </cell>
          <cell r="N19">
            <v>437586.89604156307</v>
          </cell>
        </row>
        <row r="20">
          <cell r="A20" t="str">
            <v>Other Revenue</v>
          </cell>
          <cell r="B20">
            <v>13296.994000000001</v>
          </cell>
          <cell r="C20">
            <v>11989</v>
          </cell>
          <cell r="D20">
            <v>9772.1479999999992</v>
          </cell>
          <cell r="E20">
            <v>8276.103000000001</v>
          </cell>
          <cell r="F20">
            <v>7944.1379999999999</v>
          </cell>
          <cell r="G20">
            <v>6764.19</v>
          </cell>
          <cell r="H20">
            <v>7154.4639999999999</v>
          </cell>
          <cell r="I20">
            <v>7130.8653990000021</v>
          </cell>
          <cell r="J20">
            <v>7654.8000664799993</v>
          </cell>
          <cell r="K20">
            <v>8215.4035706832183</v>
          </cell>
          <cell r="L20">
            <v>8578.3330456933199</v>
          </cell>
          <cell r="M20">
            <v>8878.5747022925843</v>
          </cell>
          <cell r="N20">
            <v>9189.324816872826</v>
          </cell>
        </row>
        <row r="21">
          <cell r="A21" t="str">
            <v>Total Revenue</v>
          </cell>
          <cell r="B21">
            <v>379640.41600000003</v>
          </cell>
          <cell r="C21">
            <v>355215.32299999992</v>
          </cell>
          <cell r="D21">
            <v>331370.14799999999</v>
          </cell>
          <cell r="E21">
            <v>315125.23200000002</v>
          </cell>
          <cell r="F21">
            <v>311839.12399999995</v>
          </cell>
          <cell r="G21">
            <v>320199.06300000008</v>
          </cell>
          <cell r="H21">
            <v>324779.39299999998</v>
          </cell>
          <cell r="I21">
            <v>346695.88439900009</v>
          </cell>
          <cell r="J21">
            <v>372169.08894647995</v>
          </cell>
          <cell r="K21">
            <v>399425.09741274116</v>
          </cell>
          <cell r="L21">
            <v>417070.38284061331</v>
          </cell>
          <cell r="M21">
            <v>431667.84624003468</v>
          </cell>
          <cell r="N21">
            <v>446776.2208584359</v>
          </cell>
          <cell r="O21">
            <v>5.8552121616288311E-2</v>
          </cell>
        </row>
        <row r="23">
          <cell r="A23" t="str">
            <v>Personnel Costs</v>
          </cell>
        </row>
        <row r="24">
          <cell r="A24" t="str">
            <v>Salaries &amp; Wages</v>
          </cell>
          <cell r="B24">
            <v>-76803</v>
          </cell>
          <cell r="C24">
            <v>-72449.55</v>
          </cell>
          <cell r="D24">
            <v>-70540.198000000004</v>
          </cell>
          <cell r="E24">
            <v>-70692.581000000006</v>
          </cell>
          <cell r="F24">
            <v>-66743.914000000004</v>
          </cell>
          <cell r="G24">
            <v>-68771.820000000007</v>
          </cell>
          <cell r="H24">
            <v>-68215.285999999993</v>
          </cell>
          <cell r="I24">
            <v>-70261.744579999999</v>
          </cell>
          <cell r="J24">
            <v>-72369.596917400006</v>
          </cell>
          <cell r="K24">
            <v>-74540.684824922006</v>
          </cell>
          <cell r="L24">
            <v>-76776.905369669665</v>
          </cell>
          <cell r="M24">
            <v>-79080.21253075976</v>
          </cell>
          <cell r="N24">
            <v>-81452.618906682561</v>
          </cell>
        </row>
        <row r="25">
          <cell r="A25" t="str">
            <v>Payroll Taxes &amp; Benefits</v>
          </cell>
          <cell r="B25">
            <v>-17438.028999999999</v>
          </cell>
          <cell r="C25">
            <v>-16238.094000000001</v>
          </cell>
          <cell r="D25">
            <v>-15943.619000000001</v>
          </cell>
          <cell r="E25">
            <v>-15686.601000000002</v>
          </cell>
          <cell r="F25">
            <v>-18210.126</v>
          </cell>
          <cell r="G25">
            <v>-20541.084000000003</v>
          </cell>
          <cell r="H25">
            <v>-17330.589</v>
          </cell>
          <cell r="I25">
            <v>-18370.424340000001</v>
          </cell>
          <cell r="J25">
            <v>-19472.649800400002</v>
          </cell>
          <cell r="K25">
            <v>-20641.008788424002</v>
          </cell>
          <cell r="L25">
            <v>-21879.469315729442</v>
          </cell>
          <cell r="M25">
            <v>-23192.237474673209</v>
          </cell>
          <cell r="N25">
            <v>-24583.771723153604</v>
          </cell>
        </row>
        <row r="26">
          <cell r="A26" t="str">
            <v>Total Personnel Costs</v>
          </cell>
          <cell r="B26">
            <v>-94241.028999999995</v>
          </cell>
          <cell r="C26">
            <v>-88687.644</v>
          </cell>
          <cell r="D26">
            <v>-86483.81700000001</v>
          </cell>
          <cell r="E26">
            <v>-86379.182000000001</v>
          </cell>
          <cell r="F26">
            <v>-84954.040000000008</v>
          </cell>
          <cell r="G26">
            <v>-89312.90400000001</v>
          </cell>
          <cell r="H26">
            <v>-85545.875</v>
          </cell>
          <cell r="I26">
            <v>-88632.168919999996</v>
          </cell>
          <cell r="J26">
            <v>-91842.246717800008</v>
          </cell>
          <cell r="K26">
            <v>-95181.693613346011</v>
          </cell>
          <cell r="L26">
            <v>-98656.374685399103</v>
          </cell>
          <cell r="M26">
            <v>-102272.45000543297</v>
          </cell>
          <cell r="N26">
            <v>-106036.39062983617</v>
          </cell>
          <cell r="O26">
            <v>3.6363042736601736E-2</v>
          </cell>
        </row>
        <row r="27">
          <cell r="B27" t="str">
            <v xml:space="preserve"> </v>
          </cell>
          <cell r="C27" t="str">
            <v xml:space="preserve"> </v>
          </cell>
          <cell r="D27" t="str">
            <v xml:space="preserve"> </v>
          </cell>
          <cell r="E27" t="str">
            <v xml:space="preserve"> </v>
          </cell>
          <cell r="F27" t="str">
            <v xml:space="preserve"> </v>
          </cell>
          <cell r="G27" t="str">
            <v xml:space="preserve"> </v>
          </cell>
          <cell r="H27" t="str">
            <v xml:space="preserve"> </v>
          </cell>
        </row>
        <row r="28">
          <cell r="A28" t="str">
            <v>Controllable Expenses</v>
          </cell>
        </row>
        <row r="29">
          <cell r="A29" t="str">
            <v>Energy &amp; water</v>
          </cell>
          <cell r="B29">
            <v>-17022.929</v>
          </cell>
          <cell r="C29">
            <v>-17419.300999999999</v>
          </cell>
          <cell r="D29">
            <v>-15826.817999999999</v>
          </cell>
          <cell r="E29">
            <v>-17199.698999999997</v>
          </cell>
          <cell r="F29">
            <v>-16637.219000000001</v>
          </cell>
          <cell r="G29">
            <v>-18551.862000000001</v>
          </cell>
          <cell r="H29">
            <v>-18275.59</v>
          </cell>
          <cell r="I29">
            <v>-19189.369500000001</v>
          </cell>
          <cell r="J29">
            <v>-20148.837975000002</v>
          </cell>
          <cell r="K29">
            <v>-21156.279873750002</v>
          </cell>
          <cell r="L29">
            <v>-22214.093867437503</v>
          </cell>
          <cell r="M29">
            <v>-23324.79856080938</v>
          </cell>
          <cell r="N29">
            <v>-24491.038488849852</v>
          </cell>
        </row>
        <row r="30">
          <cell r="A30" t="str">
            <v>Supplies &amp; Cost of goods sold</v>
          </cell>
          <cell r="B30">
            <v>-17212.837</v>
          </cell>
          <cell r="C30">
            <v>-16337.731</v>
          </cell>
          <cell r="D30">
            <v>-15392.417000000001</v>
          </cell>
          <cell r="E30">
            <v>-15198.454</v>
          </cell>
          <cell r="F30">
            <v>-14334.663</v>
          </cell>
          <cell r="G30">
            <v>-14124.115</v>
          </cell>
          <cell r="H30">
            <v>-14617.374</v>
          </cell>
          <cell r="I30">
            <v>-15601.314797955003</v>
          </cell>
          <cell r="J30">
            <v>-16747.609002591598</v>
          </cell>
          <cell r="K30">
            <v>-17974.129383573352</v>
          </cell>
          <cell r="L30">
            <v>-18768.167227827598</v>
          </cell>
          <cell r="M30">
            <v>-19425.053080801561</v>
          </cell>
          <cell r="N30">
            <v>-20104.929938629615</v>
          </cell>
        </row>
        <row r="31">
          <cell r="A31" t="str">
            <v>Repairs &amp; Maintenance</v>
          </cell>
          <cell r="B31">
            <v>-11137.232</v>
          </cell>
          <cell r="C31">
            <v>-10582.694</v>
          </cell>
          <cell r="D31">
            <v>-10761.574000000001</v>
          </cell>
          <cell r="E31">
            <v>-10825.637000000001</v>
          </cell>
          <cell r="F31">
            <v>-10936.673999999999</v>
          </cell>
          <cell r="G31">
            <v>-11877.434999999999</v>
          </cell>
          <cell r="H31">
            <v>-11472.124</v>
          </cell>
          <cell r="I31">
            <v>-12134.355953965005</v>
          </cell>
          <cell r="J31">
            <v>-13025.9181131268</v>
          </cell>
          <cell r="K31">
            <v>-13979.878409445942</v>
          </cell>
          <cell r="L31">
            <v>-14597.463399421467</v>
          </cell>
          <cell r="M31">
            <v>-15108.374618401214</v>
          </cell>
          <cell r="N31">
            <v>-15637.167730045257</v>
          </cell>
        </row>
        <row r="32">
          <cell r="A32" t="str">
            <v>Other Utilities</v>
          </cell>
          <cell r="B32">
            <v>-11499.156999999999</v>
          </cell>
          <cell r="C32">
            <v>-10538.238000000001</v>
          </cell>
          <cell r="D32">
            <v>-10531.880999999999</v>
          </cell>
          <cell r="E32">
            <v>-10179.955</v>
          </cell>
          <cell r="F32">
            <v>-9256.8580000000002</v>
          </cell>
          <cell r="G32">
            <v>-9252.2530000000006</v>
          </cell>
          <cell r="H32">
            <v>-8860.2839999999997</v>
          </cell>
          <cell r="I32">
            <v>-9199.2512000000006</v>
          </cell>
          <cell r="J32">
            <v>-9444.6830553600012</v>
          </cell>
          <cell r="K32">
            <v>-9816.1325808000001</v>
          </cell>
          <cell r="L32">
            <v>-9855.5547999999999</v>
          </cell>
          <cell r="M32">
            <v>-9855.5547999999999</v>
          </cell>
          <cell r="N32">
            <v>-9855.5547999999999</v>
          </cell>
        </row>
        <row r="33">
          <cell r="A33" t="str">
            <v>Billboard &amp; Local Advertising</v>
          </cell>
          <cell r="B33">
            <v>-9425.1239999999998</v>
          </cell>
          <cell r="C33">
            <v>-7352.1390000000001</v>
          </cell>
          <cell r="D33">
            <v>-6831.4619999999995</v>
          </cell>
          <cell r="E33">
            <v>-6641.4380000000001</v>
          </cell>
          <cell r="F33">
            <v>-6004.6970000000001</v>
          </cell>
          <cell r="G33">
            <v>-5991.4229999999998</v>
          </cell>
          <cell r="H33">
            <v>-5755.2970000000005</v>
          </cell>
          <cell r="I33">
            <v>-5899.1794250000003</v>
          </cell>
          <cell r="J33">
            <v>-6046.6589106249994</v>
          </cell>
          <cell r="K33">
            <v>-6197.8253833906238</v>
          </cell>
          <cell r="L33">
            <v>-6352.7710179753885</v>
          </cell>
          <cell r="M33">
            <v>-6511.5902934247724</v>
          </cell>
          <cell r="N33">
            <v>-6674.380050760391</v>
          </cell>
        </row>
        <row r="34">
          <cell r="A34" t="str">
            <v>Guest Finance</v>
          </cell>
          <cell r="B34">
            <v>-7166.366</v>
          </cell>
          <cell r="C34">
            <v>-9422.1880000000001</v>
          </cell>
          <cell r="D34">
            <v>-8066.5919999999996</v>
          </cell>
          <cell r="E34">
            <v>-6666.39</v>
          </cell>
          <cell r="F34">
            <v>-5615.4</v>
          </cell>
          <cell r="G34">
            <v>-6898.3419999999996</v>
          </cell>
          <cell r="H34">
            <v>-6551.8289999999997</v>
          </cell>
          <cell r="I34">
            <v>-6587.221803581002</v>
          </cell>
          <cell r="J34">
            <v>-7071.2126899831192</v>
          </cell>
          <cell r="K34">
            <v>-7589.0768508420815</v>
          </cell>
          <cell r="L34">
            <v>-7924.3372739716524</v>
          </cell>
          <cell r="M34">
            <v>-8201.6890785606593</v>
          </cell>
          <cell r="N34">
            <v>-8488.7481963102819</v>
          </cell>
        </row>
        <row r="35">
          <cell r="A35" t="str">
            <v>Legal</v>
          </cell>
          <cell r="B35">
            <v>-300.2</v>
          </cell>
          <cell r="C35">
            <v>-300.2</v>
          </cell>
          <cell r="D35">
            <v>-300.2</v>
          </cell>
          <cell r="E35">
            <v>-312.28199999999998</v>
          </cell>
          <cell r="F35">
            <v>-3521.011</v>
          </cell>
          <cell r="G35">
            <v>-582.05799999999999</v>
          </cell>
          <cell r="H35">
            <v>-824.2</v>
          </cell>
          <cell r="I35">
            <v>-300</v>
          </cell>
          <cell r="J35">
            <v>-300</v>
          </cell>
          <cell r="K35">
            <v>-300</v>
          </cell>
          <cell r="L35">
            <v>-300</v>
          </cell>
          <cell r="M35">
            <v>-300</v>
          </cell>
          <cell r="N35">
            <v>-300</v>
          </cell>
        </row>
        <row r="36">
          <cell r="A36" t="str">
            <v>Professional Services</v>
          </cell>
          <cell r="B36">
            <v>-5009.5219999999999</v>
          </cell>
          <cell r="C36">
            <v>-2946.52</v>
          </cell>
          <cell r="D36">
            <v>-2933.598</v>
          </cell>
          <cell r="E36">
            <v>-2847.0949999999998</v>
          </cell>
          <cell r="F36">
            <v>-2677.681</v>
          </cell>
          <cell r="G36">
            <v>-2755.8110000000001</v>
          </cell>
          <cell r="H36">
            <v>-2590.9930000000004</v>
          </cell>
          <cell r="I36">
            <v>-2655.7678250000004</v>
          </cell>
          <cell r="J36">
            <v>-2722.162020625</v>
          </cell>
          <cell r="K36">
            <v>-2790.2160711406245</v>
          </cell>
          <cell r="L36">
            <v>-2859.9714729191401</v>
          </cell>
          <cell r="M36">
            <v>-2931.4707597421184</v>
          </cell>
          <cell r="N36">
            <v>-3004.7575287356713</v>
          </cell>
        </row>
        <row r="37">
          <cell r="A37" t="str">
            <v>Loyalty Program</v>
          </cell>
          <cell r="B37">
            <v>0</v>
          </cell>
          <cell r="C37">
            <v>-1256.518</v>
          </cell>
          <cell r="D37">
            <v>-1775.9559999999999</v>
          </cell>
          <cell r="E37">
            <v>-2260.4379999999996</v>
          </cell>
          <cell r="F37">
            <v>-2258.4380000000001</v>
          </cell>
          <cell r="G37">
            <v>-2061.5309999999999</v>
          </cell>
          <cell r="H37">
            <v>-1965.7539999999999</v>
          </cell>
          <cell r="I37">
            <v>-2012.3362</v>
          </cell>
          <cell r="J37">
            <v>-2066.0244183599998</v>
          </cell>
          <cell r="K37">
            <v>-2147.2790020499997</v>
          </cell>
          <cell r="L37">
            <v>-2155.9026125</v>
          </cell>
          <cell r="M37">
            <v>-2155.9026125</v>
          </cell>
          <cell r="N37">
            <v>-2155.9026125</v>
          </cell>
        </row>
        <row r="38">
          <cell r="A38" t="str">
            <v>Travel Agent Commissions</v>
          </cell>
          <cell r="B38">
            <v>-1817.145</v>
          </cell>
          <cell r="C38">
            <v>-2317.2539999999999</v>
          </cell>
          <cell r="D38">
            <v>-1377.6769999999999</v>
          </cell>
          <cell r="E38">
            <v>-1431.664</v>
          </cell>
          <cell r="F38">
            <v>-1584.6869999999999</v>
          </cell>
          <cell r="G38">
            <v>-1439.049</v>
          </cell>
          <cell r="H38">
            <v>-1394.6680000000001</v>
          </cell>
          <cell r="I38">
            <v>-1437.383</v>
          </cell>
          <cell r="J38">
            <v>-1475.7317274</v>
          </cell>
          <cell r="K38">
            <v>-1533.7707157499999</v>
          </cell>
          <cell r="L38">
            <v>-1539.9304374999999</v>
          </cell>
          <cell r="M38">
            <v>-1539.9304374999999</v>
          </cell>
          <cell r="N38">
            <v>-1539.9304374999999</v>
          </cell>
        </row>
        <row r="39">
          <cell r="A39" t="str">
            <v>Travel</v>
          </cell>
          <cell r="B39">
            <v>-929.90099999999995</v>
          </cell>
          <cell r="C39">
            <v>-730.36099999999999</v>
          </cell>
          <cell r="D39">
            <v>-804.77499999999998</v>
          </cell>
          <cell r="E39">
            <v>-1106.5050000000001</v>
          </cell>
          <cell r="F39">
            <v>-905.13599999999985</v>
          </cell>
          <cell r="G39">
            <v>-1364.347</v>
          </cell>
          <cell r="H39">
            <v>-1248.317</v>
          </cell>
          <cell r="I39">
            <v>-1279.5249249999999</v>
          </cell>
          <cell r="J39">
            <v>-1311.5130481249998</v>
          </cell>
          <cell r="K39">
            <v>-1344.3008743281248</v>
          </cell>
          <cell r="L39">
            <v>-1377.9083961863278</v>
          </cell>
          <cell r="M39">
            <v>-1412.3561060909858</v>
          </cell>
          <cell r="N39">
            <v>-1447.6650087432604</v>
          </cell>
        </row>
        <row r="40">
          <cell r="A40" t="str">
            <v>Other Operating Expenses</v>
          </cell>
          <cell r="B40">
            <v>-538</v>
          </cell>
          <cell r="C40">
            <v>-3259.7420000000002</v>
          </cell>
          <cell r="D40">
            <v>-786.93700000000001</v>
          </cell>
          <cell r="E40">
            <v>255.36699999999999</v>
          </cell>
          <cell r="F40">
            <v>1159.0420000000001</v>
          </cell>
          <cell r="G40">
            <v>1019.409</v>
          </cell>
          <cell r="H40">
            <v>1837.1579999999999</v>
          </cell>
          <cell r="I40">
            <v>1892.2727399999999</v>
          </cell>
          <cell r="J40">
            <v>1949.0409221999998</v>
          </cell>
          <cell r="K40">
            <v>2007.5121498659998</v>
          </cell>
          <cell r="L40">
            <v>2067.7375143619797</v>
          </cell>
          <cell r="M40">
            <v>2129.7696397928394</v>
          </cell>
          <cell r="N40">
            <v>2193.6627289866246</v>
          </cell>
        </row>
        <row r="41">
          <cell r="A41" t="str">
            <v>Total Controllable Expenses</v>
          </cell>
          <cell r="B41">
            <v>-82058.413</v>
          </cell>
          <cell r="C41">
            <v>-82462.885999999999</v>
          </cell>
          <cell r="D41">
            <v>-75389.887000000002</v>
          </cell>
          <cell r="E41">
            <v>-74414.190000000017</v>
          </cell>
          <cell r="F41">
            <v>-72573.421999999991</v>
          </cell>
          <cell r="G41">
            <v>-73878.816999999995</v>
          </cell>
          <cell r="H41">
            <v>-71719.272000000012</v>
          </cell>
          <cell r="I41">
            <v>-74403.43189050103</v>
          </cell>
          <cell r="J41">
            <v>-78411.310038996497</v>
          </cell>
          <cell r="K41">
            <v>-82821.37699520473</v>
          </cell>
          <cell r="L41">
            <v>-85878.362991377086</v>
          </cell>
          <cell r="M41">
            <v>-88636.950708037853</v>
          </cell>
          <cell r="N41">
            <v>-91506.412063087701</v>
          </cell>
          <cell r="O41">
            <v>4.3267760648424192E-2</v>
          </cell>
        </row>
        <row r="43">
          <cell r="A43" t="str">
            <v>Total Operating Expenses</v>
          </cell>
          <cell r="B43">
            <v>-176299.44199999998</v>
          </cell>
          <cell r="C43">
            <v>-171150.53</v>
          </cell>
          <cell r="D43">
            <v>-161873.70400000003</v>
          </cell>
          <cell r="E43">
            <v>-160793.37200000003</v>
          </cell>
          <cell r="F43">
            <v>-157527.462</v>
          </cell>
          <cell r="G43">
            <v>-163191.72100000002</v>
          </cell>
          <cell r="H43">
            <v>-157265.147</v>
          </cell>
          <cell r="I43">
            <v>-163035.60081050103</v>
          </cell>
          <cell r="J43">
            <v>-170253.55675679649</v>
          </cell>
          <cell r="K43">
            <v>-178003.07060855074</v>
          </cell>
          <cell r="L43">
            <v>-184534.73767677619</v>
          </cell>
          <cell r="M43">
            <v>-190909.40071347082</v>
          </cell>
          <cell r="N43">
            <v>-197542.80269292387</v>
          </cell>
          <cell r="O43">
            <v>3.9534640220491912E-2</v>
          </cell>
        </row>
        <row r="45">
          <cell r="A45" t="str">
            <v>Land &amp; Building leases</v>
          </cell>
          <cell r="B45">
            <v>-2114.739</v>
          </cell>
          <cell r="C45">
            <v>-2307.1810000000005</v>
          </cell>
          <cell r="D45">
            <v>-2013.57</v>
          </cell>
          <cell r="E45">
            <v>-2268.3079999999995</v>
          </cell>
          <cell r="F45">
            <v>-1676.9789999999985</v>
          </cell>
          <cell r="G45">
            <v>-1937.491</v>
          </cell>
          <cell r="H45">
            <v>-1758</v>
          </cell>
          <cell r="I45">
            <v>-1801.9499999999998</v>
          </cell>
          <cell r="J45">
            <v>-1846.9987499999997</v>
          </cell>
          <cell r="K45">
            <v>-1893.1737187499996</v>
          </cell>
          <cell r="L45">
            <v>-1940.5030617187494</v>
          </cell>
          <cell r="M45">
            <v>-1989.0156382617181</v>
          </cell>
          <cell r="N45">
            <v>-2038.7410292182608</v>
          </cell>
        </row>
        <row r="46">
          <cell r="A46" t="str">
            <v>Lease FF&amp;E</v>
          </cell>
          <cell r="B46">
            <v>-427.55500000000001</v>
          </cell>
          <cell r="C46">
            <v>-341.68099999999998</v>
          </cell>
          <cell r="D46">
            <v>-301.108</v>
          </cell>
          <cell r="E46">
            <v>-219.30799999999999</v>
          </cell>
          <cell r="F46">
            <v>-218.12299999999999</v>
          </cell>
          <cell r="G46">
            <v>-218.01499999999999</v>
          </cell>
          <cell r="H46">
            <v>-216.79400000000001</v>
          </cell>
          <cell r="I46">
            <v>-178</v>
          </cell>
          <cell r="J46">
            <v>-178</v>
          </cell>
          <cell r="K46">
            <v>-178</v>
          </cell>
          <cell r="L46">
            <v>-178</v>
          </cell>
          <cell r="M46">
            <v>-178</v>
          </cell>
          <cell r="N46">
            <v>-178</v>
          </cell>
        </row>
        <row r="47">
          <cell r="A47" t="str">
            <v>Other Leases</v>
          </cell>
          <cell r="B47">
            <v>-8</v>
          </cell>
          <cell r="C47">
            <v>-25</v>
          </cell>
          <cell r="D47">
            <v>-45</v>
          </cell>
          <cell r="E47">
            <v>-52</v>
          </cell>
          <cell r="F47">
            <v>-55.216999999999999</v>
          </cell>
          <cell r="G47">
            <v>-32</v>
          </cell>
          <cell r="H47">
            <v>-19.870999999999999</v>
          </cell>
          <cell r="I47">
            <v>-20</v>
          </cell>
          <cell r="J47">
            <v>-20</v>
          </cell>
          <cell r="K47">
            <v>-20</v>
          </cell>
          <cell r="L47">
            <v>-20</v>
          </cell>
          <cell r="M47">
            <v>-20</v>
          </cell>
          <cell r="N47">
            <v>-20</v>
          </cell>
        </row>
        <row r="48">
          <cell r="A48" t="str">
            <v>Property Tax &amp; Other</v>
          </cell>
          <cell r="B48">
            <v>-18989.050999999999</v>
          </cell>
          <cell r="C48">
            <v>-20046.556</v>
          </cell>
          <cell r="D48">
            <v>-17484.455000000002</v>
          </cell>
          <cell r="E48">
            <v>-16487.075700000001</v>
          </cell>
          <cell r="F48">
            <v>-18139.916000000001</v>
          </cell>
          <cell r="G48">
            <v>-18281.846000000001</v>
          </cell>
          <cell r="H48">
            <v>-18516.043000000001</v>
          </cell>
          <cell r="I48">
            <v>-19071.524290000001</v>
          </cell>
          <cell r="J48">
            <v>-19643.670018700002</v>
          </cell>
          <cell r="K48">
            <v>-20232.980119261003</v>
          </cell>
          <cell r="L48">
            <v>-20839.969522838834</v>
          </cell>
          <cell r="M48">
            <v>-21465.168608524</v>
          </cell>
          <cell r="N48">
            <v>-22109.12366677972</v>
          </cell>
        </row>
        <row r="49">
          <cell r="A49" t="str">
            <v>General Insurance</v>
          </cell>
          <cell r="B49">
            <v>-2164.2779999999998</v>
          </cell>
          <cell r="C49">
            <v>-1847.0540000000001</v>
          </cell>
          <cell r="D49">
            <v>-2116.6320000000001</v>
          </cell>
          <cell r="E49">
            <v>-3759.7339999999999</v>
          </cell>
          <cell r="F49">
            <v>-5234.4780000000001</v>
          </cell>
          <cell r="G49">
            <v>-4176.3819999999996</v>
          </cell>
          <cell r="H49">
            <v>-2837.7829999999999</v>
          </cell>
          <cell r="I49">
            <v>-4469</v>
          </cell>
          <cell r="J49">
            <v>-4580.7249999999995</v>
          </cell>
          <cell r="K49">
            <v>-4695.2431249999991</v>
          </cell>
          <cell r="L49">
            <v>-4812.6242031249985</v>
          </cell>
          <cell r="M49">
            <v>-4932.939808203123</v>
          </cell>
          <cell r="N49">
            <v>-5056.263303408201</v>
          </cell>
        </row>
        <row r="50">
          <cell r="A50" t="str">
            <v>Total Other Expenses</v>
          </cell>
          <cell r="B50">
            <v>-23703.623</v>
          </cell>
          <cell r="C50">
            <v>-24567.472000000002</v>
          </cell>
          <cell r="D50">
            <v>-21960.765000000003</v>
          </cell>
          <cell r="E50">
            <v>-22786.4257</v>
          </cell>
          <cell r="F50">
            <v>-25324.713</v>
          </cell>
          <cell r="G50">
            <v>-24645.734000000004</v>
          </cell>
          <cell r="H50">
            <v>-23348.491000000002</v>
          </cell>
          <cell r="I50">
            <v>-25540.474290000002</v>
          </cell>
          <cell r="J50">
            <v>-26269.3937687</v>
          </cell>
          <cell r="K50">
            <v>-27019.396963011</v>
          </cell>
          <cell r="L50">
            <v>-27791.096787682582</v>
          </cell>
          <cell r="M50">
            <v>-28585.124054988839</v>
          </cell>
          <cell r="N50">
            <v>-29402.127999406184</v>
          </cell>
          <cell r="O50">
            <v>4.1300921559693782E-2</v>
          </cell>
        </row>
        <row r="52">
          <cell r="A52" t="str">
            <v>Operating Profit</v>
          </cell>
          <cell r="B52">
            <v>179637.35100000005</v>
          </cell>
          <cell r="C52">
            <v>159497.32099999991</v>
          </cell>
          <cell r="D52">
            <v>147535.67899999995</v>
          </cell>
          <cell r="E52">
            <v>131545.43429999999</v>
          </cell>
          <cell r="F52">
            <v>128986.94899999995</v>
          </cell>
          <cell r="G52">
            <v>132361.60800000007</v>
          </cell>
          <cell r="H52">
            <v>144165.75499999998</v>
          </cell>
          <cell r="I52">
            <v>158119.80929849905</v>
          </cell>
          <cell r="J52">
            <v>175646.13842098345</v>
          </cell>
          <cell r="K52">
            <v>194402.62984117941</v>
          </cell>
          <cell r="L52">
            <v>204744.54837615453</v>
          </cell>
          <cell r="M52">
            <v>212173.32147157501</v>
          </cell>
          <cell r="N52">
            <v>219831.29016610584</v>
          </cell>
          <cell r="O52">
            <v>8.0353125940155756E-2</v>
          </cell>
        </row>
        <row r="53">
          <cell r="A53" t="str">
            <v>GOP Margin</v>
          </cell>
          <cell r="B53">
            <v>0.47317762658862972</v>
          </cell>
          <cell r="C53">
            <v>0.44901588043261281</v>
          </cell>
          <cell r="D53">
            <v>0.44522923953910282</v>
          </cell>
          <cell r="E53">
            <v>0.41743859565012548</v>
          </cell>
          <cell r="F53">
            <v>0.41363298916912034</v>
          </cell>
          <cell r="G53">
            <v>0.41337287735910716</v>
          </cell>
          <cell r="H53">
            <v>0.44388824570529323</v>
          </cell>
          <cell r="I53">
            <v>0.45607639552053214</v>
          </cell>
          <cell r="J53">
            <v>0.47195251738449018</v>
          </cell>
          <cell r="K53">
            <v>0.4867060960876371</v>
          </cell>
          <cell r="L53">
            <v>0.49091126294239706</v>
          </cell>
          <cell r="M53">
            <v>0.49151986491389771</v>
          </cell>
          <cell r="N53">
            <v>0.49203892217836026</v>
          </cell>
        </row>
        <row r="55">
          <cell r="A55" t="str">
            <v>Franchise Fee (4% GPR)</v>
          </cell>
          <cell r="I55">
            <v>-13867.835375960003</v>
          </cell>
          <cell r="J55">
            <v>-14886.763557859198</v>
          </cell>
          <cell r="K55">
            <v>-15977.003896509646</v>
          </cell>
          <cell r="L55">
            <v>-16682.815313624531</v>
          </cell>
          <cell r="M55">
            <v>-17266.713849601387</v>
          </cell>
          <cell r="N55">
            <v>-17871.048834337438</v>
          </cell>
        </row>
        <row r="56">
          <cell r="A56" t="str">
            <v xml:space="preserve">Marketing fees (2% GPR) </v>
          </cell>
          <cell r="B56">
            <v>-7592.808320000001</v>
          </cell>
          <cell r="C56">
            <v>-7104.3064599999998</v>
          </cell>
          <cell r="D56">
            <v>-6627.4029599999994</v>
          </cell>
          <cell r="E56">
            <v>-6302.5046400000001</v>
          </cell>
          <cell r="F56">
            <v>-6236.7824799999989</v>
          </cell>
          <cell r="G56">
            <v>-6403.9812600000005</v>
          </cell>
          <cell r="H56">
            <v>-6495.5878599999996</v>
          </cell>
          <cell r="I56">
            <v>-6933.9176879800016</v>
          </cell>
          <cell r="J56">
            <v>-7443.381778929599</v>
          </cell>
          <cell r="K56">
            <v>-7988.5019482548232</v>
          </cell>
          <cell r="L56">
            <v>-8341.4076568122655</v>
          </cell>
          <cell r="M56">
            <v>-8633.3569248006934</v>
          </cell>
          <cell r="N56">
            <v>-8935.5244171687191</v>
          </cell>
        </row>
        <row r="57">
          <cell r="A57" t="str">
            <v>Reservation fees (1.5 % RR)</v>
          </cell>
          <cell r="B57">
            <v>-5495.1513299999997</v>
          </cell>
          <cell r="C57">
            <v>-5148.3948449999998</v>
          </cell>
          <cell r="D57">
            <v>-4823.97</v>
          </cell>
          <cell r="E57">
            <v>-4602.7369349999999</v>
          </cell>
          <cell r="F57">
            <v>-4558.4247899999991</v>
          </cell>
          <cell r="G57">
            <v>-4701.5230950000005</v>
          </cell>
          <cell r="H57">
            <v>-4764.3739349999996</v>
          </cell>
          <cell r="I57">
            <v>-5200.4382659850007</v>
          </cell>
          <cell r="J57">
            <v>-5582.5363341971988</v>
          </cell>
          <cell r="K57">
            <v>-5991.3764611911174</v>
          </cell>
          <cell r="L57">
            <v>-6256.0557426091991</v>
          </cell>
          <cell r="M57">
            <v>-6475.01769360052</v>
          </cell>
          <cell r="N57">
            <v>-6701.6433128765384</v>
          </cell>
        </row>
        <row r="59">
          <cell r="A59" t="str">
            <v>Hotel EBITDA</v>
          </cell>
          <cell r="B59">
            <v>166549.39135000005</v>
          </cell>
          <cell r="C59">
            <v>147244.61969499991</v>
          </cell>
          <cell r="D59">
            <v>136084.30603999994</v>
          </cell>
          <cell r="E59">
            <v>120640.192725</v>
          </cell>
          <cell r="F59">
            <v>118191.74172999995</v>
          </cell>
          <cell r="G59">
            <v>121256.10364500007</v>
          </cell>
          <cell r="H59">
            <v>132905.79320499997</v>
          </cell>
          <cell r="I59">
            <v>132117.61796857405</v>
          </cell>
          <cell r="J59">
            <v>147733.45674999745</v>
          </cell>
          <cell r="K59">
            <v>164445.74753522384</v>
          </cell>
          <cell r="L59">
            <v>173464.26966310854</v>
          </cell>
          <cell r="M59">
            <v>179798.23300357242</v>
          </cell>
          <cell r="N59">
            <v>186323.07360172315</v>
          </cell>
          <cell r="O59">
            <v>6.2302739659784168E-2</v>
          </cell>
        </row>
        <row r="61">
          <cell r="A61" t="str">
            <v>Maintenance Capex</v>
          </cell>
          <cell r="B61">
            <v>-31114</v>
          </cell>
          <cell r="C61">
            <v>-27094</v>
          </cell>
          <cell r="D61">
            <v>-26641</v>
          </cell>
          <cell r="E61">
            <v>-9868</v>
          </cell>
          <cell r="F61">
            <v>-9824</v>
          </cell>
          <cell r="G61">
            <v>-12983</v>
          </cell>
          <cell r="H61">
            <v>-14121</v>
          </cell>
          <cell r="I61">
            <v>-17334.794219950007</v>
          </cell>
          <cell r="J61">
            <v>-18608.454447323998</v>
          </cell>
          <cell r="K61">
            <v>-19971.254870637058</v>
          </cell>
          <cell r="L61">
            <v>-20853.519142030666</v>
          </cell>
          <cell r="M61">
            <v>-21583.392312001735</v>
          </cell>
          <cell r="N61">
            <v>-22338.811042921796</v>
          </cell>
        </row>
        <row r="63">
          <cell r="A63" t="str">
            <v>Hotel NOI</v>
          </cell>
          <cell r="B63">
            <v>135435.39135000005</v>
          </cell>
          <cell r="C63">
            <v>120150.61969499991</v>
          </cell>
          <cell r="D63">
            <v>109443.30603999994</v>
          </cell>
          <cell r="E63">
            <v>110772.192725</v>
          </cell>
          <cell r="F63">
            <v>108367.74172999995</v>
          </cell>
          <cell r="G63">
            <v>108273.10364500007</v>
          </cell>
          <cell r="H63">
            <v>118784.79320499997</v>
          </cell>
          <cell r="I63">
            <v>114782.82374862404</v>
          </cell>
          <cell r="J63">
            <v>129125.00230267346</v>
          </cell>
          <cell r="K63">
            <v>144474.49266458678</v>
          </cell>
          <cell r="L63">
            <v>152610.75052107789</v>
          </cell>
          <cell r="M63">
            <v>158214.84069157069</v>
          </cell>
          <cell r="N63">
            <v>163984.26255880136</v>
          </cell>
          <cell r="O63">
            <v>5.9003204985341284E-2</v>
          </cell>
        </row>
        <row r="64">
          <cell r="A64" t="str">
            <v>Margin</v>
          </cell>
          <cell r="B64">
            <v>0.35674650443434358</v>
          </cell>
          <cell r="C64">
            <v>0.33824728809629628</v>
          </cell>
          <cell r="D64">
            <v>0.33027509176837483</v>
          </cell>
          <cell r="E64">
            <v>0.35151800451510651</v>
          </cell>
          <cell r="F64">
            <v>0.34751169237507212</v>
          </cell>
          <cell r="G64">
            <v>0.33814309957865191</v>
          </cell>
          <cell r="H64">
            <v>0.36573993228997742</v>
          </cell>
          <cell r="I64">
            <v>0.33107639552053214</v>
          </cell>
          <cell r="J64">
            <v>0.34695251738449018</v>
          </cell>
          <cell r="K64">
            <v>0.36170609608763715</v>
          </cell>
          <cell r="L64">
            <v>0.36591126294239712</v>
          </cell>
          <cell r="M64">
            <v>0.36651986491389771</v>
          </cell>
          <cell r="N64">
            <v>0.36703892217836026</v>
          </cell>
        </row>
        <row r="66">
          <cell r="A66" t="str">
            <v>Other Capex</v>
          </cell>
        </row>
        <row r="67">
          <cell r="A67" t="str">
            <v xml:space="preserve">Repositioning Capex </v>
          </cell>
          <cell r="B67">
            <v>0</v>
          </cell>
          <cell r="C67">
            <v>0</v>
          </cell>
          <cell r="D67">
            <v>0</v>
          </cell>
          <cell r="E67">
            <v>-11349.107</v>
          </cell>
          <cell r="F67">
            <v>-39951</v>
          </cell>
          <cell r="G67">
            <v>-45046</v>
          </cell>
          <cell r="H67">
            <v>-41508</v>
          </cell>
          <cell r="I67">
            <v>-27707</v>
          </cell>
          <cell r="J67">
            <v>-25395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</row>
        <row r="68">
          <cell r="A68" t="str">
            <v>Casualty loss replacement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-1329</v>
          </cell>
          <cell r="H68">
            <v>-2089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</row>
        <row r="69">
          <cell r="A69" t="str">
            <v>ADA Compliance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-1900</v>
          </cell>
          <cell r="H69">
            <v>-3951</v>
          </cell>
          <cell r="I69">
            <v>-1134</v>
          </cell>
          <cell r="J69">
            <v>-1000</v>
          </cell>
          <cell r="K69">
            <v>-1192</v>
          </cell>
          <cell r="L69">
            <v>0</v>
          </cell>
          <cell r="M69">
            <v>0</v>
          </cell>
          <cell r="N69">
            <v>0</v>
          </cell>
        </row>
        <row r="70">
          <cell r="A70" t="str">
            <v>Company cars / office furniture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</row>
        <row r="71">
          <cell r="A71" t="str">
            <v>New constructions / conversions</v>
          </cell>
          <cell r="B71">
            <v>-383</v>
          </cell>
          <cell r="C71">
            <v>-35605</v>
          </cell>
          <cell r="D71">
            <v>-13387</v>
          </cell>
          <cell r="E71">
            <v>-4181</v>
          </cell>
          <cell r="F71">
            <v>-3699</v>
          </cell>
          <cell r="G71">
            <v>-1153</v>
          </cell>
          <cell r="H71">
            <v>-75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</row>
        <row r="73">
          <cell r="A73" t="str">
            <v>Hotel Cash Flow less Renovation Capex</v>
          </cell>
          <cell r="B73">
            <v>135052.39135000005</v>
          </cell>
          <cell r="C73">
            <v>84545.619694999914</v>
          </cell>
          <cell r="D73">
            <v>96056.306039999938</v>
          </cell>
          <cell r="E73">
            <v>95242.085724999997</v>
          </cell>
          <cell r="F73">
            <v>64717.741729999951</v>
          </cell>
          <cell r="G73">
            <v>58845.103645000068</v>
          </cell>
          <cell r="H73">
            <v>71161.793204999965</v>
          </cell>
          <cell r="I73">
            <v>85941.82374862404</v>
          </cell>
          <cell r="J73">
            <v>102730.00230267346</v>
          </cell>
          <cell r="K73">
            <v>143282.49266458678</v>
          </cell>
          <cell r="L73">
            <v>152610.75052107789</v>
          </cell>
          <cell r="M73">
            <v>158214.84069157069</v>
          </cell>
          <cell r="N73">
            <v>163984.26255880136</v>
          </cell>
          <cell r="O73">
            <v>0.17327567569620994</v>
          </cell>
        </row>
        <row r="74">
          <cell r="A74" t="str">
            <v>Margin</v>
          </cell>
          <cell r="B74">
            <v>0.35573765504987764</v>
          </cell>
          <cell r="C74">
            <v>0.2380123103388756</v>
          </cell>
          <cell r="D74">
            <v>0.28987615999736926</v>
          </cell>
          <cell r="E74">
            <v>0.30223567030963738</v>
          </cell>
          <cell r="F74">
            <v>0.20753567063637582</v>
          </cell>
          <cell r="G74">
            <v>0.18377662661992253</v>
          </cell>
          <cell r="H74">
            <v>0.21910809225818084</v>
          </cell>
          <cell r="I74">
            <v>0.24788821447247589</v>
          </cell>
          <cell r="J74">
            <v>0.27603045323693343</v>
          </cell>
          <cell r="K74">
            <v>0.35872180689869754</v>
          </cell>
          <cell r="L74">
            <v>0.36591126294239712</v>
          </cell>
          <cell r="M74">
            <v>0.36651986491389771</v>
          </cell>
          <cell r="N74">
            <v>0.36703892217836026</v>
          </cell>
        </row>
        <row r="76">
          <cell r="A76" t="str">
            <v>Corporate Overhead</v>
          </cell>
        </row>
        <row r="77">
          <cell r="A77" t="str">
            <v>Management fees (3 % GPR)</v>
          </cell>
          <cell r="B77">
            <v>-11389.21248</v>
          </cell>
          <cell r="C77">
            <v>-10656.45969</v>
          </cell>
          <cell r="D77">
            <v>-9941.1044399999992</v>
          </cell>
          <cell r="E77">
            <v>-9453.7569600000006</v>
          </cell>
          <cell r="F77">
            <v>-9355.5737199999985</v>
          </cell>
          <cell r="G77">
            <v>-9605.9718900000007</v>
          </cell>
          <cell r="H77">
            <v>-9743.3817899999995</v>
          </cell>
          <cell r="I77">
            <v>-10400.876531970001</v>
          </cell>
          <cell r="J77">
            <v>-11165.072668394398</v>
          </cell>
          <cell r="K77">
            <v>-11982.752922382235</v>
          </cell>
          <cell r="L77">
            <v>-12512.111485218398</v>
          </cell>
          <cell r="M77">
            <v>-12950.03538720104</v>
          </cell>
          <cell r="N77">
            <v>-13403.286625753077</v>
          </cell>
        </row>
        <row r="78">
          <cell r="A78" t="str">
            <v>Service fees (3.5 % GPR)</v>
          </cell>
          <cell r="B78">
            <v>-13287.414560000003</v>
          </cell>
          <cell r="C78">
            <v>-12432.536305</v>
          </cell>
          <cell r="D78">
            <v>-11597.955180000001</v>
          </cell>
          <cell r="E78">
            <v>-11029.383120000002</v>
          </cell>
          <cell r="F78">
            <v>-10914.369339999999</v>
          </cell>
          <cell r="G78">
            <v>-11206.967205000003</v>
          </cell>
          <cell r="H78">
            <v>-11367.278755000001</v>
          </cell>
          <cell r="I78">
            <v>-12134.355953965005</v>
          </cell>
          <cell r="J78">
            <v>-13025.9181131268</v>
          </cell>
          <cell r="K78">
            <v>-13979.878409445942</v>
          </cell>
          <cell r="L78">
            <v>-14597.463399421467</v>
          </cell>
          <cell r="M78">
            <v>-15108.374618401214</v>
          </cell>
          <cell r="N78">
            <v>-15637.167730045257</v>
          </cell>
        </row>
        <row r="79">
          <cell r="A79" t="str">
            <v>Total Corporate Overhead</v>
          </cell>
          <cell r="B79">
            <v>-24676.627040000003</v>
          </cell>
          <cell r="C79">
            <v>-23088.995994999997</v>
          </cell>
          <cell r="D79">
            <v>-21539.05962</v>
          </cell>
          <cell r="E79">
            <v>-20483.140080000005</v>
          </cell>
          <cell r="F79">
            <v>-20269.943059999998</v>
          </cell>
          <cell r="G79">
            <v>-20812.939095000002</v>
          </cell>
          <cell r="H79">
            <v>-21110.660544999999</v>
          </cell>
          <cell r="I79">
            <v>-22535.232485935005</v>
          </cell>
          <cell r="J79">
            <v>-24190.990781521199</v>
          </cell>
          <cell r="K79">
            <v>-25962.631331828175</v>
          </cell>
          <cell r="L79">
            <v>-27109.574884639864</v>
          </cell>
          <cell r="M79">
            <v>-28058.410005602254</v>
          </cell>
          <cell r="N79">
            <v>-29040.454355798334</v>
          </cell>
          <cell r="O79">
            <v>5.8552121616288311E-2</v>
          </cell>
        </row>
        <row r="81">
          <cell r="A81" t="str">
            <v>Hotel Cash Flow less Capex &amp; Overhead</v>
          </cell>
          <cell r="B81">
            <v>110375.76431000004</v>
          </cell>
          <cell r="C81">
            <v>61456.623699999916</v>
          </cell>
          <cell r="D81">
            <v>74517.246419999938</v>
          </cell>
          <cell r="E81">
            <v>74758.945645</v>
          </cell>
          <cell r="F81">
            <v>44447.798669999953</v>
          </cell>
          <cell r="G81">
            <v>38032.164550000067</v>
          </cell>
          <cell r="H81">
            <v>50051.132659999967</v>
          </cell>
          <cell r="I81">
            <v>63406.591262689035</v>
          </cell>
          <cell r="J81">
            <v>78539.01152115225</v>
          </cell>
          <cell r="K81">
            <v>117319.86133275861</v>
          </cell>
          <cell r="L81">
            <v>125501.17563643803</v>
          </cell>
          <cell r="M81">
            <v>130156.43068596843</v>
          </cell>
          <cell r="N81">
            <v>134943.80820300302</v>
          </cell>
          <cell r="O81">
            <v>0.21062696800657066</v>
          </cell>
        </row>
        <row r="82">
          <cell r="A82" t="str">
            <v>Margin</v>
          </cell>
          <cell r="B82">
            <v>0.29073765504987759</v>
          </cell>
          <cell r="C82">
            <v>0.1730123103388756</v>
          </cell>
          <cell r="D82">
            <v>0.22487615999736929</v>
          </cell>
          <cell r="E82">
            <v>0.23723567030963738</v>
          </cell>
          <cell r="F82">
            <v>0.14253438792369094</v>
          </cell>
          <cell r="G82">
            <v>0.11877662661992255</v>
          </cell>
          <cell r="H82">
            <v>0.15410809225818084</v>
          </cell>
          <cell r="I82">
            <v>0.18288821447247589</v>
          </cell>
          <cell r="J82">
            <v>0.21103045323693342</v>
          </cell>
          <cell r="K82">
            <v>0.29372180689869754</v>
          </cell>
          <cell r="L82">
            <v>0.30091126294239712</v>
          </cell>
          <cell r="M82">
            <v>0.30151986491389771</v>
          </cell>
          <cell r="N82">
            <v>0.30203892217836026</v>
          </cell>
        </row>
        <row r="83">
          <cell r="A83" t="str">
            <v>Growth</v>
          </cell>
          <cell r="C83">
            <v>-0.44320545289821434</v>
          </cell>
          <cell r="D83">
            <v>0.21251773907651295</v>
          </cell>
          <cell r="E83">
            <v>3.2435340355678743E-3</v>
          </cell>
          <cell r="F83">
            <v>-0.40545177187136139</v>
          </cell>
          <cell r="G83">
            <v>-0.14434087428338982</v>
          </cell>
          <cell r="H83">
            <v>0.31602114295122008</v>
          </cell>
          <cell r="I83">
            <v>0.26683629106684581</v>
          </cell>
          <cell r="J83">
            <v>0.23865689602790141</v>
          </cell>
          <cell r="K83">
            <v>0.49377817546330882</v>
          </cell>
          <cell r="L83">
            <v>6.9735117402452973E-2</v>
          </cell>
          <cell r="M83">
            <v>3.7093318257162222E-2</v>
          </cell>
          <cell r="N83">
            <v>3.6781720978391164E-2</v>
          </cell>
        </row>
        <row r="85">
          <cell r="B85" t="str">
            <v xml:space="preserve"> </v>
          </cell>
          <cell r="C85" t="str">
            <v xml:space="preserve"> </v>
          </cell>
          <cell r="D85" t="str">
            <v xml:space="preserve"> </v>
          </cell>
          <cell r="E85" t="str">
            <v xml:space="preserve"> </v>
          </cell>
          <cell r="F85" t="str">
            <v xml:space="preserve"> </v>
          </cell>
          <cell r="G85" t="str">
            <v xml:space="preserve"> </v>
          </cell>
          <cell r="H85" t="str">
            <v xml:space="preserve"> </v>
          </cell>
          <cell r="I85" t="str">
            <v xml:space="preserve"> </v>
          </cell>
          <cell r="J85" t="str">
            <v xml:space="preserve"> </v>
          </cell>
          <cell r="K85" t="str">
            <v xml:space="preserve"> </v>
          </cell>
          <cell r="L85" t="str">
            <v xml:space="preserve"> </v>
          </cell>
          <cell r="M85" t="str">
            <v xml:space="preserve"> </v>
          </cell>
          <cell r="N85" t="str">
            <v xml:space="preserve"> </v>
          </cell>
        </row>
        <row r="86">
          <cell r="A86" t="str">
            <v>Franchise Properties</v>
          </cell>
        </row>
        <row r="87">
          <cell r="A87" t="str">
            <v>Existing Franchise Platform</v>
          </cell>
        </row>
        <row r="88">
          <cell r="A88" t="str">
            <v>Hotels</v>
          </cell>
          <cell r="B88">
            <v>88</v>
          </cell>
          <cell r="C88">
            <v>100</v>
          </cell>
          <cell r="D88">
            <v>95</v>
          </cell>
          <cell r="E88">
            <v>98</v>
          </cell>
          <cell r="F88">
            <v>100</v>
          </cell>
          <cell r="G88">
            <v>95</v>
          </cell>
          <cell r="H88">
            <v>96</v>
          </cell>
          <cell r="I88">
            <v>111</v>
          </cell>
          <cell r="J88">
            <v>123</v>
          </cell>
          <cell r="K88">
            <v>140</v>
          </cell>
          <cell r="L88">
            <v>158</v>
          </cell>
          <cell r="M88">
            <v>178</v>
          </cell>
          <cell r="O88">
            <v>0.1314353769849137</v>
          </cell>
        </row>
        <row r="89">
          <cell r="A89" t="str">
            <v>Revenues</v>
          </cell>
          <cell r="B89">
            <v>6634.8230000000003</v>
          </cell>
          <cell r="C89">
            <v>7686.89</v>
          </cell>
          <cell r="D89">
            <v>8170.0309999999999</v>
          </cell>
          <cell r="E89">
            <v>7637.7379999999994</v>
          </cell>
          <cell r="F89">
            <v>8592</v>
          </cell>
          <cell r="G89">
            <v>8990</v>
          </cell>
          <cell r="H89">
            <v>9518</v>
          </cell>
          <cell r="I89">
            <v>10691.287413631055</v>
          </cell>
          <cell r="J89">
            <v>12717.860231193657</v>
          </cell>
          <cell r="K89">
            <v>15048.498117522115</v>
          </cell>
          <cell r="L89">
            <v>17720.078959852515</v>
          </cell>
          <cell r="M89">
            <v>20758.743691308096</v>
          </cell>
        </row>
        <row r="90">
          <cell r="A90" t="str">
            <v>Expenses</v>
          </cell>
          <cell r="B90">
            <v>-5343.1214365482228</v>
          </cell>
          <cell r="C90">
            <v>-6462.7674891774896</v>
          </cell>
          <cell r="D90">
            <v>-6271.4252127659583</v>
          </cell>
          <cell r="E90">
            <v>-6073.1668740157484</v>
          </cell>
          <cell r="F90">
            <v>-6040.1323529411766</v>
          </cell>
          <cell r="G90">
            <v>-6404.4285714285716</v>
          </cell>
          <cell r="H90">
            <v>-6604.9230769230762</v>
          </cell>
          <cell r="I90">
            <v>-6786.2026141451388</v>
          </cell>
          <cell r="J90">
            <v>-7815.2568627069086</v>
          </cell>
          <cell r="K90">
            <v>-8999.2208322920305</v>
          </cell>
          <cell r="L90">
            <v>-10426.673172928102</v>
          </cell>
          <cell r="M90">
            <v>-12040.582310312697</v>
          </cell>
        </row>
        <row r="91">
          <cell r="A91" t="str">
            <v>Cash Flow</v>
          </cell>
          <cell r="B91">
            <v>1291.7015634517775</v>
          </cell>
          <cell r="C91">
            <v>1224.1225108225108</v>
          </cell>
          <cell r="D91">
            <v>1898.6057872340416</v>
          </cell>
          <cell r="E91">
            <v>1564.571125984251</v>
          </cell>
          <cell r="F91">
            <v>2551.8676470588234</v>
          </cell>
          <cell r="G91">
            <v>2585.5714285714284</v>
          </cell>
          <cell r="H91">
            <v>2913.0769230769238</v>
          </cell>
          <cell r="I91">
            <v>3905.0847994859159</v>
          </cell>
          <cell r="J91">
            <v>4902.6033684867489</v>
          </cell>
          <cell r="K91">
            <v>6049.2772852300841</v>
          </cell>
          <cell r="L91">
            <v>7293.4057869244134</v>
          </cell>
          <cell r="M91">
            <v>8718.1613809953997</v>
          </cell>
          <cell r="O91">
            <v>0.24512969363636028</v>
          </cell>
        </row>
        <row r="93">
          <cell r="A93" t="str">
            <v>Owned Hotel Platform</v>
          </cell>
        </row>
        <row r="94">
          <cell r="A94" t="str">
            <v>Hotels</v>
          </cell>
          <cell r="B94">
            <v>255</v>
          </cell>
          <cell r="C94">
            <v>246</v>
          </cell>
          <cell r="D94">
            <v>244</v>
          </cell>
          <cell r="E94">
            <v>234</v>
          </cell>
          <cell r="F94">
            <v>229</v>
          </cell>
          <cell r="G94">
            <v>226</v>
          </cell>
          <cell r="H94">
            <v>221</v>
          </cell>
          <cell r="I94">
            <v>221</v>
          </cell>
          <cell r="J94">
            <v>221</v>
          </cell>
          <cell r="K94">
            <v>221</v>
          </cell>
          <cell r="L94">
            <v>221</v>
          </cell>
          <cell r="M94">
            <v>221</v>
          </cell>
          <cell r="O94">
            <v>0</v>
          </cell>
        </row>
        <row r="95">
          <cell r="A95" t="str">
            <v>Revenues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26002.191329925008</v>
          </cell>
          <cell r="J95">
            <v>27912.681670985992</v>
          </cell>
          <cell r="K95">
            <v>29956.882305955587</v>
          </cell>
          <cell r="L95">
            <v>31280.278713045995</v>
          </cell>
          <cell r="M95">
            <v>32375.088468002599</v>
          </cell>
        </row>
        <row r="96">
          <cell r="A96" t="str">
            <v>Expenses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-14214.531260359003</v>
          </cell>
          <cell r="J96">
            <v>-15258.932646805677</v>
          </cell>
          <cell r="K96">
            <v>-16376.428993922389</v>
          </cell>
          <cell r="L96">
            <v>-17099.885696465146</v>
          </cell>
          <cell r="M96">
            <v>-17698.381695841421</v>
          </cell>
        </row>
        <row r="97">
          <cell r="A97" t="str">
            <v>Cash Flow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11787.660069566005</v>
          </cell>
          <cell r="J97">
            <v>12653.749024180315</v>
          </cell>
          <cell r="K97">
            <v>13580.453312033198</v>
          </cell>
          <cell r="L97">
            <v>14180.393016580849</v>
          </cell>
          <cell r="M97">
            <v>14676.706772161178</v>
          </cell>
        </row>
        <row r="99">
          <cell r="A99" t="str">
            <v>Total Franchise Cash Flow</v>
          </cell>
          <cell r="B99">
            <v>1291.7015634517775</v>
          </cell>
          <cell r="C99">
            <v>1224.1225108225108</v>
          </cell>
          <cell r="D99">
            <v>1898.6057872340416</v>
          </cell>
          <cell r="E99">
            <v>1564.571125984251</v>
          </cell>
          <cell r="F99">
            <v>2551.8676470588234</v>
          </cell>
          <cell r="G99">
            <v>2585.5714285714284</v>
          </cell>
          <cell r="H99">
            <v>2913.0769230769238</v>
          </cell>
          <cell r="I99">
            <v>15692.744869051921</v>
          </cell>
          <cell r="J99">
            <v>17556.352392667064</v>
          </cell>
          <cell r="K99">
            <v>19629.730597263282</v>
          </cell>
          <cell r="L99">
            <v>21473.798803505262</v>
          </cell>
          <cell r="M99">
            <v>23394.868153156578</v>
          </cell>
        </row>
        <row r="100">
          <cell r="A100" t="str">
            <v>Margin</v>
          </cell>
          <cell r="B100">
            <v>0.19468515790877577</v>
          </cell>
          <cell r="C100">
            <v>0.15924808483307432</v>
          </cell>
          <cell r="D100">
            <v>0.23238660749684323</v>
          </cell>
          <cell r="E100">
            <v>0.2048474464539437</v>
          </cell>
          <cell r="F100">
            <v>0.29700507996494685</v>
          </cell>
          <cell r="G100">
            <v>0.28760527570316224</v>
          </cell>
          <cell r="H100">
            <v>0.30605977338484175</v>
          </cell>
          <cell r="I100">
            <v>0.42767122132860752</v>
          </cell>
          <cell r="J100">
            <v>0.43209742156368441</v>
          </cell>
          <cell r="K100">
            <v>0.43616408555060565</v>
          </cell>
          <cell r="L100">
            <v>0.43823759301622722</v>
          </cell>
          <cell r="M100">
            <v>0.44030078769797654</v>
          </cell>
        </row>
        <row r="103">
          <cell r="A103" t="str">
            <v>Deal Cash Flow</v>
          </cell>
          <cell r="B103">
            <v>111667.46587345182</v>
          </cell>
          <cell r="C103">
            <v>62680.746210822428</v>
          </cell>
          <cell r="D103">
            <v>76415.852207233984</v>
          </cell>
          <cell r="E103">
            <v>76323.51677098425</v>
          </cell>
          <cell r="F103">
            <v>46999.666317058778</v>
          </cell>
          <cell r="G103">
            <v>40617.735978571494</v>
          </cell>
          <cell r="H103">
            <v>52964.209583076889</v>
          </cell>
          <cell r="I103">
            <v>79099.336131740958</v>
          </cell>
          <cell r="J103">
            <v>96095.36391381931</v>
          </cell>
          <cell r="K103">
            <v>136949.59193002188</v>
          </cell>
          <cell r="L103">
            <v>146974.9744399433</v>
          </cell>
          <cell r="M103">
            <v>153551.298839125</v>
          </cell>
          <cell r="O103">
            <v>0.23724070501710504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Japan summary"/>
      <sheetName val="Budget Presentation"/>
      <sheetName val="PROJECT SUMMERY"/>
      <sheetName val="general"/>
      <sheetName val="sales"/>
      <sheetName val="bud_detail"/>
      <sheetName val="Development Cash Flow"/>
      <sheetName val="Sensitivity Sheet"/>
      <sheetName val="Job Cost COA"/>
      <sheetName val="financing"/>
      <sheetName val="draws%"/>
      <sheetName val="LIBOR"/>
      <sheetName val="New Waterfall"/>
      <sheetName val="Sensitivity"/>
      <sheetName val="reserves"/>
      <sheetName val="hard_budget"/>
    </sheetNames>
    <sheetDataSet>
      <sheetData sheetId="0"/>
      <sheetData sheetId="1"/>
      <sheetData sheetId="2"/>
      <sheetData sheetId="3">
        <row r="22">
          <cell r="C22">
            <v>0</v>
          </cell>
        </row>
        <row r="27">
          <cell r="G27"/>
        </row>
        <row r="28">
          <cell r="G28"/>
        </row>
        <row r="29">
          <cell r="G29">
            <v>45442.007488425923</v>
          </cell>
        </row>
      </sheetData>
      <sheetData sheetId="4">
        <row r="6">
          <cell r="J6">
            <v>30500</v>
          </cell>
        </row>
        <row r="8">
          <cell r="E8">
            <v>9</v>
          </cell>
          <cell r="G8">
            <v>1450.0000000000002</v>
          </cell>
          <cell r="I8">
            <v>44225000.000000007</v>
          </cell>
          <cell r="J8">
            <v>30500</v>
          </cell>
        </row>
        <row r="18">
          <cell r="I18">
            <v>0</v>
          </cell>
        </row>
      </sheetData>
      <sheetData sheetId="5">
        <row r="8">
          <cell r="E8" t="str">
            <v>Total</v>
          </cell>
        </row>
        <row r="9">
          <cell r="E9" t="str">
            <v>Total</v>
          </cell>
        </row>
        <row r="10">
          <cell r="E10" t="str">
            <v>Total</v>
          </cell>
        </row>
        <row r="11">
          <cell r="E11" t="str">
            <v>Total</v>
          </cell>
        </row>
        <row r="12">
          <cell r="E12" t="str">
            <v>Total</v>
          </cell>
        </row>
        <row r="13">
          <cell r="E13" t="str">
            <v>Total</v>
          </cell>
        </row>
        <row r="14">
          <cell r="E14" t="str">
            <v>Total</v>
          </cell>
        </row>
        <row r="15">
          <cell r="E15" t="str">
            <v>Total</v>
          </cell>
        </row>
        <row r="19">
          <cell r="E19" t="str">
            <v>Total</v>
          </cell>
        </row>
        <row r="20">
          <cell r="E20" t="str">
            <v>Total</v>
          </cell>
        </row>
        <row r="21">
          <cell r="E21" t="str">
            <v>Total</v>
          </cell>
        </row>
        <row r="22">
          <cell r="D22">
            <v>450</v>
          </cell>
          <cell r="E22" t="str">
            <v>Total</v>
          </cell>
          <cell r="F22">
            <v>13725000</v>
          </cell>
        </row>
        <row r="23">
          <cell r="E23" t="str">
            <v>Total</v>
          </cell>
        </row>
        <row r="24">
          <cell r="E24" t="str">
            <v>Total</v>
          </cell>
        </row>
        <row r="25">
          <cell r="E25" t="str">
            <v>Total</v>
          </cell>
        </row>
        <row r="26">
          <cell r="E26" t="str">
            <v>Total</v>
          </cell>
        </row>
        <row r="27">
          <cell r="E27" t="str">
            <v>Total</v>
          </cell>
        </row>
        <row r="28">
          <cell r="E28" t="str">
            <v>Total</v>
          </cell>
        </row>
        <row r="29">
          <cell r="E29" t="str">
            <v>Total</v>
          </cell>
        </row>
        <row r="30">
          <cell r="E30" t="str">
            <v>Total</v>
          </cell>
        </row>
        <row r="34">
          <cell r="E34" t="str">
            <v>Total</v>
          </cell>
        </row>
        <row r="35">
          <cell r="E35" t="str">
            <v>Total</v>
          </cell>
        </row>
        <row r="36">
          <cell r="E36" t="str">
            <v>Total</v>
          </cell>
        </row>
        <row r="37">
          <cell r="E37" t="str">
            <v>Total</v>
          </cell>
        </row>
        <row r="38">
          <cell r="E38" t="str">
            <v>Total</v>
          </cell>
        </row>
        <row r="39">
          <cell r="E39" t="str">
            <v>Total</v>
          </cell>
        </row>
        <row r="40">
          <cell r="E40" t="str">
            <v>Total</v>
          </cell>
        </row>
        <row r="41">
          <cell r="E41" t="str">
            <v>Total</v>
          </cell>
        </row>
        <row r="42">
          <cell r="E42" t="str">
            <v>Total</v>
          </cell>
        </row>
        <row r="43">
          <cell r="E43" t="str">
            <v>Total</v>
          </cell>
        </row>
        <row r="44">
          <cell r="E44" t="str">
            <v>Total</v>
          </cell>
        </row>
        <row r="45">
          <cell r="E45" t="str">
            <v>Total</v>
          </cell>
        </row>
        <row r="46">
          <cell r="E46" t="str">
            <v>Total</v>
          </cell>
        </row>
        <row r="47">
          <cell r="E47" t="str">
            <v>Total</v>
          </cell>
        </row>
        <row r="48">
          <cell r="E48" t="str">
            <v>Total</v>
          </cell>
        </row>
        <row r="49">
          <cell r="E49" t="str">
            <v>Total</v>
          </cell>
        </row>
        <row r="50">
          <cell r="E50" t="str">
            <v>Total</v>
          </cell>
        </row>
        <row r="51">
          <cell r="E51" t="str">
            <v>Total</v>
          </cell>
        </row>
        <row r="52">
          <cell r="E52" t="str">
            <v>Total</v>
          </cell>
        </row>
        <row r="53">
          <cell r="E53" t="str">
            <v>Total</v>
          </cell>
        </row>
        <row r="54">
          <cell r="E54" t="str">
            <v>Total</v>
          </cell>
        </row>
        <row r="55">
          <cell r="E55" t="str">
            <v>Total</v>
          </cell>
        </row>
        <row r="56">
          <cell r="E56" t="str">
            <v>Total</v>
          </cell>
        </row>
        <row r="57">
          <cell r="E57" t="str">
            <v>Total</v>
          </cell>
        </row>
        <row r="58">
          <cell r="E58" t="str">
            <v>Total</v>
          </cell>
        </row>
        <row r="59">
          <cell r="E59" t="str">
            <v>Total</v>
          </cell>
        </row>
        <row r="60">
          <cell r="E60" t="str">
            <v>Total</v>
          </cell>
        </row>
        <row r="61">
          <cell r="E61" t="str">
            <v>Total</v>
          </cell>
        </row>
        <row r="62">
          <cell r="E62" t="str">
            <v>Unit</v>
          </cell>
        </row>
        <row r="72">
          <cell r="E72" t="str">
            <v>SqFt</v>
          </cell>
        </row>
        <row r="73">
          <cell r="E73" t="str">
            <v>SqFt</v>
          </cell>
        </row>
        <row r="74">
          <cell r="E74" t="str">
            <v>Total</v>
          </cell>
        </row>
        <row r="75">
          <cell r="E75" t="str">
            <v>SqFt</v>
          </cell>
        </row>
        <row r="76">
          <cell r="E76" t="str">
            <v>Total</v>
          </cell>
        </row>
        <row r="77">
          <cell r="E77" t="str">
            <v>Total</v>
          </cell>
        </row>
        <row r="78">
          <cell r="E78" t="str">
            <v>Total</v>
          </cell>
        </row>
        <row r="79">
          <cell r="E79" t="str">
            <v>Total</v>
          </cell>
        </row>
        <row r="83">
          <cell r="E83" t="str">
            <v>Total</v>
          </cell>
        </row>
        <row r="84">
          <cell r="E84" t="str">
            <v>Total</v>
          </cell>
        </row>
        <row r="85">
          <cell r="E85" t="str">
            <v>Total</v>
          </cell>
        </row>
        <row r="86">
          <cell r="E86" t="str">
            <v>Total</v>
          </cell>
        </row>
        <row r="87">
          <cell r="E87" t="str">
            <v>Total</v>
          </cell>
        </row>
        <row r="91">
          <cell r="E91" t="str">
            <v>Total</v>
          </cell>
        </row>
        <row r="92">
          <cell r="E92" t="str">
            <v>Total</v>
          </cell>
        </row>
        <row r="93">
          <cell r="E93" t="str">
            <v>Total</v>
          </cell>
        </row>
        <row r="94">
          <cell r="E94" t="str">
            <v>Total</v>
          </cell>
        </row>
        <row r="95">
          <cell r="E95" t="str">
            <v>Total</v>
          </cell>
        </row>
        <row r="96">
          <cell r="E96" t="str">
            <v>Total</v>
          </cell>
        </row>
        <row r="97">
          <cell r="E97" t="str">
            <v>Total</v>
          </cell>
        </row>
        <row r="98">
          <cell r="E98" t="str">
            <v>Total</v>
          </cell>
        </row>
        <row r="99">
          <cell r="E99" t="str">
            <v>Total</v>
          </cell>
        </row>
        <row r="100">
          <cell r="E100" t="str">
            <v>Total</v>
          </cell>
        </row>
        <row r="101">
          <cell r="E101" t="str">
            <v>Total</v>
          </cell>
        </row>
        <row r="102">
          <cell r="E102" t="str">
            <v>Total</v>
          </cell>
        </row>
        <row r="103">
          <cell r="E103" t="str">
            <v>Total</v>
          </cell>
        </row>
        <row r="104">
          <cell r="E104" t="str">
            <v>Total</v>
          </cell>
        </row>
        <row r="105">
          <cell r="E105" t="str">
            <v>Total</v>
          </cell>
        </row>
        <row r="106">
          <cell r="E106" t="str">
            <v>Total</v>
          </cell>
        </row>
        <row r="107">
          <cell r="E107" t="str">
            <v>Total</v>
          </cell>
        </row>
        <row r="108">
          <cell r="E108" t="str">
            <v>Total</v>
          </cell>
        </row>
        <row r="109">
          <cell r="E109" t="str">
            <v>Total</v>
          </cell>
        </row>
        <row r="110">
          <cell r="E110" t="str">
            <v>Total</v>
          </cell>
        </row>
        <row r="111">
          <cell r="E111" t="str">
            <v>Total</v>
          </cell>
        </row>
        <row r="112">
          <cell r="E112" t="str">
            <v>Total</v>
          </cell>
        </row>
        <row r="113">
          <cell r="E113" t="str">
            <v>Total</v>
          </cell>
        </row>
        <row r="114">
          <cell r="E114" t="str">
            <v>Total</v>
          </cell>
        </row>
        <row r="115">
          <cell r="E115" t="str">
            <v>Total</v>
          </cell>
        </row>
        <row r="116">
          <cell r="E116" t="str">
            <v>Total</v>
          </cell>
        </row>
        <row r="117">
          <cell r="E117" t="str">
            <v>Total</v>
          </cell>
        </row>
        <row r="118">
          <cell r="E118" t="str">
            <v>Total</v>
          </cell>
        </row>
        <row r="119">
          <cell r="E119" t="str">
            <v>Total</v>
          </cell>
        </row>
        <row r="123">
          <cell r="E123" t="str">
            <v>Total</v>
          </cell>
        </row>
        <row r="124">
          <cell r="E124" t="str">
            <v>Total</v>
          </cell>
        </row>
        <row r="125">
          <cell r="E125" t="str">
            <v>Unit</v>
          </cell>
        </row>
        <row r="126">
          <cell r="E126" t="str">
            <v>Unit</v>
          </cell>
        </row>
        <row r="127">
          <cell r="E127" t="str">
            <v>Unit</v>
          </cell>
        </row>
        <row r="128">
          <cell r="E128" t="str">
            <v>Unit</v>
          </cell>
        </row>
        <row r="129">
          <cell r="E129" t="str">
            <v>Unit</v>
          </cell>
        </row>
        <row r="130">
          <cell r="E130" t="str">
            <v>Total</v>
          </cell>
        </row>
        <row r="131">
          <cell r="E131" t="str">
            <v>Unit</v>
          </cell>
        </row>
        <row r="132">
          <cell r="E132" t="str">
            <v>Unit</v>
          </cell>
        </row>
        <row r="133">
          <cell r="E133" t="str">
            <v>Unit</v>
          </cell>
        </row>
        <row r="134">
          <cell r="E134" t="str">
            <v>Unit</v>
          </cell>
        </row>
        <row r="135">
          <cell r="E135" t="str">
            <v>Unit</v>
          </cell>
        </row>
        <row r="136">
          <cell r="E136" t="str">
            <v>Unit</v>
          </cell>
        </row>
        <row r="137">
          <cell r="E137" t="str">
            <v>Unit</v>
          </cell>
        </row>
        <row r="138">
          <cell r="E138" t="str">
            <v>Unit</v>
          </cell>
        </row>
        <row r="142">
          <cell r="E142" t="str">
            <v>Total</v>
          </cell>
        </row>
        <row r="143">
          <cell r="E143" t="str">
            <v>Total</v>
          </cell>
        </row>
        <row r="144">
          <cell r="E144" t="str">
            <v>Total</v>
          </cell>
        </row>
        <row r="145">
          <cell r="E145" t="str">
            <v>Total</v>
          </cell>
        </row>
        <row r="146">
          <cell r="E146" t="str">
            <v>Total</v>
          </cell>
        </row>
        <row r="147">
          <cell r="E147" t="str">
            <v>Total</v>
          </cell>
        </row>
        <row r="148">
          <cell r="E148" t="str">
            <v>Total</v>
          </cell>
        </row>
        <row r="149">
          <cell r="E149" t="str">
            <v>Total</v>
          </cell>
        </row>
        <row r="150">
          <cell r="E150" t="str">
            <v>Total</v>
          </cell>
        </row>
        <row r="151">
          <cell r="E151" t="str">
            <v>Total</v>
          </cell>
        </row>
        <row r="155">
          <cell r="E155" t="str">
            <v>Total</v>
          </cell>
        </row>
        <row r="156">
          <cell r="E156" t="str">
            <v>Total</v>
          </cell>
        </row>
        <row r="157">
          <cell r="E157" t="str">
            <v>Total</v>
          </cell>
        </row>
        <row r="158">
          <cell r="E158" t="str">
            <v>Total</v>
          </cell>
        </row>
        <row r="163">
          <cell r="E163" t="str">
            <v>Total</v>
          </cell>
        </row>
        <row r="164">
          <cell r="E164" t="str">
            <v>Total</v>
          </cell>
        </row>
        <row r="168">
          <cell r="E168" t="str">
            <v>Total</v>
          </cell>
        </row>
        <row r="169">
          <cell r="E169" t="str">
            <v>Total</v>
          </cell>
        </row>
        <row r="170">
          <cell r="E170" t="str">
            <v>Total</v>
          </cell>
        </row>
        <row r="171">
          <cell r="E171" t="str">
            <v>Total</v>
          </cell>
        </row>
        <row r="172">
          <cell r="E172" t="str">
            <v>Total</v>
          </cell>
        </row>
        <row r="176">
          <cell r="E176" t="str">
            <v>Total</v>
          </cell>
        </row>
        <row r="177">
          <cell r="E177" t="str">
            <v>Total</v>
          </cell>
        </row>
        <row r="178">
          <cell r="E178" t="str">
            <v>Total</v>
          </cell>
        </row>
        <row r="183">
          <cell r="E183" t="str">
            <v>Total</v>
          </cell>
        </row>
        <row r="184">
          <cell r="E184" t="str">
            <v>Total</v>
          </cell>
        </row>
        <row r="188">
          <cell r="E188" t="str">
            <v>Total</v>
          </cell>
        </row>
        <row r="189">
          <cell r="E189" t="str">
            <v>Total</v>
          </cell>
        </row>
        <row r="190">
          <cell r="E190" t="str">
            <v>Total</v>
          </cell>
        </row>
        <row r="191">
          <cell r="E191" t="str">
            <v>Total</v>
          </cell>
        </row>
        <row r="192">
          <cell r="E192" t="str">
            <v>Total</v>
          </cell>
        </row>
        <row r="193">
          <cell r="E193" t="str">
            <v>Total</v>
          </cell>
        </row>
        <row r="194">
          <cell r="E194" t="str">
            <v>Total</v>
          </cell>
        </row>
        <row r="195">
          <cell r="E195" t="str">
            <v>Total</v>
          </cell>
        </row>
        <row r="206">
          <cell r="E206" t="str">
            <v>Total</v>
          </cell>
        </row>
        <row r="207">
          <cell r="E207" t="str">
            <v>Total</v>
          </cell>
        </row>
        <row r="208">
          <cell r="E208" t="str">
            <v>Total</v>
          </cell>
        </row>
        <row r="209">
          <cell r="E209" t="str">
            <v>Total</v>
          </cell>
        </row>
        <row r="210">
          <cell r="E210" t="str">
            <v>Total</v>
          </cell>
        </row>
        <row r="211">
          <cell r="E211" t="str">
            <v>Total</v>
          </cell>
        </row>
        <row r="212">
          <cell r="E212" t="str">
            <v>Total</v>
          </cell>
        </row>
        <row r="213">
          <cell r="E213" t="str">
            <v>Total</v>
          </cell>
        </row>
        <row r="214">
          <cell r="E214" t="str">
            <v>Total</v>
          </cell>
        </row>
        <row r="215">
          <cell r="E215" t="str">
            <v>Total</v>
          </cell>
        </row>
        <row r="216">
          <cell r="E216" t="str">
            <v>Total</v>
          </cell>
        </row>
        <row r="217">
          <cell r="E217" t="str">
            <v>Total</v>
          </cell>
        </row>
        <row r="218">
          <cell r="E218" t="str">
            <v>Total</v>
          </cell>
        </row>
        <row r="242">
          <cell r="E242" t="str">
            <v>Total</v>
          </cell>
        </row>
        <row r="246">
          <cell r="E246" t="str">
            <v>Sales%</v>
          </cell>
        </row>
        <row r="247">
          <cell r="E247" t="str">
            <v>Total</v>
          </cell>
        </row>
        <row r="248">
          <cell r="E248" t="str">
            <v>Sales%</v>
          </cell>
        </row>
        <row r="249">
          <cell r="E249" t="str">
            <v>Sales%</v>
          </cell>
        </row>
        <row r="250">
          <cell r="E250" t="str">
            <v>Sales%</v>
          </cell>
        </row>
        <row r="251">
          <cell r="E251" t="str">
            <v>Total</v>
          </cell>
        </row>
        <row r="252">
          <cell r="E252" t="str">
            <v>Sales%</v>
          </cell>
        </row>
        <row r="253">
          <cell r="E253" t="str">
            <v>Sales%</v>
          </cell>
        </row>
        <row r="254">
          <cell r="E254" t="str">
            <v>Total</v>
          </cell>
        </row>
        <row r="255">
          <cell r="E255" t="str">
            <v>Total</v>
          </cell>
        </row>
        <row r="256">
          <cell r="E256" t="str">
            <v>Total</v>
          </cell>
        </row>
        <row r="257">
          <cell r="E257" t="str">
            <v>Total</v>
          </cell>
        </row>
        <row r="258">
          <cell r="E258" t="str">
            <v>Total</v>
          </cell>
        </row>
        <row r="259">
          <cell r="E259" t="str">
            <v>Total</v>
          </cell>
        </row>
        <row r="260">
          <cell r="E260" t="str">
            <v>Total</v>
          </cell>
        </row>
        <row r="261">
          <cell r="E261" t="str">
            <v>Total</v>
          </cell>
        </row>
        <row r="262">
          <cell r="E262" t="str">
            <v>Total</v>
          </cell>
        </row>
        <row r="263">
          <cell r="E263" t="str">
            <v>Total</v>
          </cell>
        </row>
        <row r="264">
          <cell r="E264" t="str">
            <v>Total</v>
          </cell>
        </row>
        <row r="265">
          <cell r="E265" t="str">
            <v>Total</v>
          </cell>
        </row>
        <row r="266">
          <cell r="E266" t="str">
            <v>Total</v>
          </cell>
        </row>
        <row r="267">
          <cell r="E267" t="str">
            <v>Total</v>
          </cell>
        </row>
        <row r="268">
          <cell r="E268" t="str">
            <v>Total</v>
          </cell>
        </row>
        <row r="269">
          <cell r="E269" t="str">
            <v>Total</v>
          </cell>
        </row>
        <row r="270">
          <cell r="E270" t="str">
            <v>Total</v>
          </cell>
        </row>
        <row r="271">
          <cell r="E271" t="str">
            <v>Total</v>
          </cell>
        </row>
        <row r="272">
          <cell r="E272" t="str">
            <v>Total</v>
          </cell>
        </row>
        <row r="273">
          <cell r="E273" t="str">
            <v>Total</v>
          </cell>
        </row>
        <row r="296">
          <cell r="E296" t="str">
            <v>Total</v>
          </cell>
        </row>
        <row r="297">
          <cell r="E297" t="str">
            <v>Total</v>
          </cell>
        </row>
        <row r="298">
          <cell r="E298" t="str">
            <v>Total</v>
          </cell>
        </row>
        <row r="302">
          <cell r="E302" t="str">
            <v>Total</v>
          </cell>
        </row>
        <row r="303">
          <cell r="E303" t="str">
            <v>Total</v>
          </cell>
        </row>
        <row r="304">
          <cell r="E304" t="str">
            <v>Total</v>
          </cell>
        </row>
        <row r="305">
          <cell r="E305" t="str">
            <v>Total</v>
          </cell>
        </row>
        <row r="306">
          <cell r="E306" t="str">
            <v>Total</v>
          </cell>
        </row>
        <row r="307">
          <cell r="E307" t="str">
            <v>Total</v>
          </cell>
        </row>
        <row r="308">
          <cell r="E308" t="str">
            <v>Total</v>
          </cell>
        </row>
        <row r="314">
          <cell r="E314" t="str">
            <v>Total</v>
          </cell>
        </row>
        <row r="315">
          <cell r="E315" t="str">
            <v>Total</v>
          </cell>
        </row>
        <row r="316">
          <cell r="E316" t="str">
            <v>Total</v>
          </cell>
        </row>
        <row r="317">
          <cell r="E317" t="str">
            <v>Total</v>
          </cell>
        </row>
        <row r="318">
          <cell r="E318" t="str">
            <v>Total</v>
          </cell>
        </row>
        <row r="319">
          <cell r="E319" t="str">
            <v>Total</v>
          </cell>
        </row>
        <row r="320">
          <cell r="E320" t="str">
            <v>Total</v>
          </cell>
        </row>
        <row r="321">
          <cell r="E321" t="str">
            <v>Total</v>
          </cell>
        </row>
        <row r="322">
          <cell r="E322" t="str">
            <v>Total</v>
          </cell>
        </row>
        <row r="326">
          <cell r="E326" t="str">
            <v>Total</v>
          </cell>
        </row>
        <row r="327">
          <cell r="E327" t="str">
            <v>Total</v>
          </cell>
        </row>
      </sheetData>
      <sheetData sheetId="6"/>
      <sheetData sheetId="7"/>
      <sheetData sheetId="8"/>
      <sheetData sheetId="9">
        <row r="17">
          <cell r="F17">
            <v>33491645</v>
          </cell>
        </row>
        <row r="32">
          <cell r="F32">
            <v>7110913.777886658</v>
          </cell>
        </row>
      </sheetData>
      <sheetData sheetId="10"/>
      <sheetData sheetId="11"/>
      <sheetData sheetId="12"/>
      <sheetData sheetId="13"/>
      <sheetData sheetId="14"/>
      <sheetData sheetId="15">
        <row r="329">
          <cell r="F329">
            <v>18525230.593445383</v>
          </cell>
        </row>
        <row r="332">
          <cell r="F332">
            <v>8582915.5934453811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me"/>
      <sheetName val="general"/>
      <sheetName val="notes"/>
      <sheetName val="sales "/>
      <sheetName val="financing"/>
      <sheetName val="draws%"/>
      <sheetName val="LIBOR"/>
      <sheetName val="bud_detail"/>
      <sheetName val="Budget Presentation"/>
      <sheetName val="Lender Budget"/>
      <sheetName val="Waterfall"/>
      <sheetName val="Related Waterfall"/>
      <sheetName val="Sensitivity"/>
      <sheetName val="Development Cash Flow"/>
      <sheetName val="reserves"/>
      <sheetName val="hard_budget"/>
      <sheetName val="latest changes"/>
    </sheetNames>
    <sheetDataSet>
      <sheetData sheetId="0">
        <row r="10">
          <cell r="C10">
            <v>6.9272518157958984E-4</v>
          </cell>
        </row>
      </sheetData>
      <sheetData sheetId="1">
        <row r="20">
          <cell r="D20">
            <v>0</v>
          </cell>
        </row>
      </sheetData>
      <sheetData sheetId="2"/>
      <sheetData sheetId="3">
        <row r="36">
          <cell r="E36">
            <v>308</v>
          </cell>
        </row>
      </sheetData>
      <sheetData sheetId="4">
        <row r="6">
          <cell r="D6">
            <v>693064027.91821373</v>
          </cell>
        </row>
      </sheetData>
      <sheetData sheetId="5"/>
      <sheetData sheetId="6"/>
      <sheetData sheetId="7">
        <row r="6">
          <cell r="E6" t="str">
            <v>Total</v>
          </cell>
        </row>
      </sheetData>
      <sheetData sheetId="8"/>
      <sheetData sheetId="9"/>
      <sheetData sheetId="10">
        <row r="8">
          <cell r="H8">
            <v>41639</v>
          </cell>
          <cell r="J8">
            <v>-115795270.33333334</v>
          </cell>
        </row>
        <row r="55">
          <cell r="H55">
            <v>43738</v>
          </cell>
          <cell r="J55">
            <v>0</v>
          </cell>
        </row>
      </sheetData>
      <sheetData sheetId="11"/>
      <sheetData sheetId="12"/>
      <sheetData sheetId="13"/>
      <sheetData sheetId="14"/>
      <sheetData sheetId="15">
        <row r="329">
          <cell r="F329">
            <v>693064027.91821373</v>
          </cell>
        </row>
      </sheetData>
      <sheetData sheetId="16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general"/>
      <sheetName val="bud_detail"/>
      <sheetName val="sales"/>
      <sheetName val="Job Cost COA"/>
      <sheetName val="financing"/>
      <sheetName val="draws%"/>
      <sheetName val="LIBOR"/>
      <sheetName val="Budget Presentation"/>
      <sheetName val="Sensitivity"/>
      <sheetName val="New Waterfall"/>
      <sheetName val="Development Cash Flow"/>
      <sheetName val="reserves"/>
      <sheetName val="hard_budget"/>
    </sheetNames>
    <sheetDataSet>
      <sheetData sheetId="0"/>
      <sheetData sheetId="1">
        <row r="20">
          <cell r="E20" t="str">
            <v>Total</v>
          </cell>
        </row>
      </sheetData>
      <sheetData sheetId="2"/>
      <sheetData sheetId="3"/>
      <sheetData sheetId="4"/>
      <sheetData sheetId="5"/>
      <sheetData sheetId="6"/>
      <sheetData sheetId="7">
        <row r="81">
          <cell r="G81">
            <v>0.25653853963211709</v>
          </cell>
        </row>
        <row r="88">
          <cell r="G88">
            <v>0.34505963430192543</v>
          </cell>
        </row>
      </sheetData>
      <sheetData sheetId="8"/>
      <sheetData sheetId="9">
        <row r="82">
          <cell r="Q82">
            <v>762537.15542100649</v>
          </cell>
        </row>
        <row r="83">
          <cell r="Q83">
            <v>5641728.1345033217</v>
          </cell>
        </row>
      </sheetData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rates.chathamfinancial.com/us-market/forward-curve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69738-E92F-40C8-8022-7E337AB9FB49}">
  <sheetPr published="0" codeName="Sheet7">
    <tabColor theme="3" tint="0.59999389629810485"/>
  </sheetPr>
  <dimension ref="B2:Q34"/>
  <sheetViews>
    <sheetView workbookViewId="0">
      <selection activeCell="N19" sqref="N19"/>
    </sheetView>
  </sheetViews>
  <sheetFormatPr baseColWidth="10" defaultColWidth="8.83203125" defaultRowHeight="13"/>
  <cols>
    <col min="2" max="2" width="13.6640625" bestFit="1" customWidth="1"/>
    <col min="5" max="5" width="14.33203125" bestFit="1" customWidth="1"/>
    <col min="6" max="7" width="13" bestFit="1" customWidth="1"/>
    <col min="8" max="8" width="14.33203125" bestFit="1" customWidth="1"/>
    <col min="9" max="9" width="10.33203125" bestFit="1" customWidth="1"/>
    <col min="10" max="10" width="8.1640625" bestFit="1" customWidth="1"/>
    <col min="11" max="11" width="13.5" bestFit="1" customWidth="1"/>
    <col min="12" max="12" width="12.5" bestFit="1" customWidth="1"/>
    <col min="13" max="13" width="10.33203125" bestFit="1" customWidth="1"/>
    <col min="14" max="14" width="9" bestFit="1" customWidth="1"/>
  </cols>
  <sheetData>
    <row r="2" spans="2:17" ht="28">
      <c r="B2" s="1279" t="s">
        <v>5103</v>
      </c>
      <c r="C2" s="1280"/>
      <c r="D2" s="1280"/>
      <c r="E2" s="1280"/>
      <c r="F2" s="1280"/>
      <c r="G2" s="1280"/>
      <c r="H2" s="1280"/>
      <c r="I2" s="1280"/>
      <c r="J2" s="1280"/>
      <c r="K2" s="1280"/>
      <c r="L2" s="1280"/>
      <c r="M2" s="1280"/>
      <c r="N2" s="1280"/>
      <c r="O2" s="1280"/>
      <c r="P2" s="1280"/>
      <c r="Q2" s="1280"/>
    </row>
    <row r="3" spans="2:17" ht="19" thickBot="1">
      <c r="B3" s="1281" t="str">
        <f>+general!B3</f>
        <v>Error(s)</v>
      </c>
      <c r="C3" s="1282"/>
      <c r="D3" s="1282"/>
      <c r="E3" s="1282"/>
      <c r="F3" s="1282"/>
      <c r="G3" s="1282"/>
      <c r="H3" s="1282"/>
      <c r="I3" s="1282"/>
      <c r="J3" s="1282"/>
      <c r="K3" s="1282"/>
      <c r="L3" s="1282"/>
      <c r="M3" s="1282"/>
      <c r="N3" s="1282"/>
      <c r="O3" s="1282"/>
      <c r="P3" s="1282"/>
      <c r="Q3" s="1282"/>
    </row>
    <row r="4" spans="2:17" ht="14">
      <c r="B4" s="1283"/>
      <c r="C4" s="1283"/>
      <c r="D4" s="1283"/>
      <c r="E4" s="1283"/>
      <c r="F4" s="1283"/>
      <c r="G4" s="1283"/>
      <c r="H4" s="1283"/>
      <c r="I4" s="1283"/>
      <c r="J4" s="1283"/>
      <c r="K4" s="1283"/>
      <c r="L4" s="1283"/>
      <c r="M4" s="1283"/>
      <c r="N4" s="1283"/>
      <c r="O4" s="1283"/>
      <c r="P4" s="1283"/>
      <c r="Q4" s="1283"/>
    </row>
    <row r="5" spans="2:17" ht="14">
      <c r="B5" s="1283"/>
      <c r="C5" s="1283"/>
      <c r="D5" s="1283"/>
      <c r="E5" s="1284" t="s">
        <v>5104</v>
      </c>
      <c r="F5" s="1285"/>
      <c r="G5" s="1285"/>
      <c r="H5" s="1286"/>
      <c r="I5" s="1285"/>
      <c r="J5" s="1285"/>
      <c r="K5" s="1286"/>
      <c r="L5" s="1284" t="s">
        <v>5105</v>
      </c>
      <c r="M5" s="1285"/>
      <c r="N5" s="1285"/>
      <c r="O5" s="1285"/>
      <c r="P5" s="1285"/>
      <c r="Q5" s="1286"/>
    </row>
    <row r="6" spans="2:17" ht="30">
      <c r="B6" s="1287" t="s">
        <v>5106</v>
      </c>
      <c r="C6" s="1288" t="s">
        <v>76</v>
      </c>
      <c r="D6" s="1288" t="s">
        <v>5107</v>
      </c>
      <c r="E6" s="1289" t="s">
        <v>5108</v>
      </c>
      <c r="F6" s="1290" t="s">
        <v>148</v>
      </c>
      <c r="G6" s="1290" t="s">
        <v>157</v>
      </c>
      <c r="H6" s="1291" t="s">
        <v>288</v>
      </c>
      <c r="I6" s="1292" t="s">
        <v>153</v>
      </c>
      <c r="J6" s="1290" t="s">
        <v>184</v>
      </c>
      <c r="K6" s="1290" t="s">
        <v>5109</v>
      </c>
      <c r="L6" s="1293" t="s">
        <v>5177</v>
      </c>
      <c r="M6" s="1293" t="s">
        <v>5151</v>
      </c>
      <c r="N6" s="1293" t="s">
        <v>5178</v>
      </c>
      <c r="O6" s="1293"/>
      <c r="P6" s="1293"/>
      <c r="Q6" s="1291" t="s">
        <v>5110</v>
      </c>
    </row>
    <row r="7" spans="2:17" ht="14">
      <c r="B7" s="1294">
        <f>+B8+25</f>
        <v>1550</v>
      </c>
      <c r="C7" s="1295">
        <v>0.44757066824836023</v>
      </c>
      <c r="D7" s="1296">
        <v>0.30918743938763643</v>
      </c>
      <c r="E7" s="1297">
        <v>1600037.9568182454</v>
      </c>
      <c r="F7" s="1298">
        <v>18146300.455545671</v>
      </c>
      <c r="G7" s="1298">
        <v>1427385.75</v>
      </c>
      <c r="H7" s="1299">
        <v>19188249.785256565</v>
      </c>
      <c r="I7" s="1300">
        <v>0.62624780535697966</v>
      </c>
      <c r="J7" s="1301">
        <v>6.7370269809616534</v>
      </c>
      <c r="K7" s="1298">
        <v>8500000</v>
      </c>
      <c r="L7" s="1302">
        <v>19746338.412363917</v>
      </c>
      <c r="M7" s="1303">
        <v>0.62624780535697966</v>
      </c>
      <c r="N7" s="1304">
        <v>6.7370269809616534</v>
      </c>
      <c r="O7" s="1302"/>
      <c r="P7" s="1302"/>
      <c r="Q7" s="1305" t="s">
        <v>5111</v>
      </c>
    </row>
    <row r="8" spans="2:17" ht="14">
      <c r="B8" s="1306">
        <f>+B9+25</f>
        <v>1525</v>
      </c>
      <c r="C8" s="1307">
        <v>0.42091041382135308</v>
      </c>
      <c r="D8" s="1308">
        <v>0.29622586316991611</v>
      </c>
      <c r="E8" s="1309">
        <v>1612622.4694985487</v>
      </c>
      <c r="F8" s="1310">
        <v>16850736.545421571</v>
      </c>
      <c r="G8" s="1310">
        <v>1393400.375</v>
      </c>
      <c r="H8" s="1311">
        <v>17946140.383724339</v>
      </c>
      <c r="I8" s="1312">
        <v>0.60048252940177926</v>
      </c>
      <c r="J8" s="1313">
        <v>6.3013258828989818</v>
      </c>
      <c r="K8" s="1310">
        <v>8500000</v>
      </c>
      <c r="L8" s="1314">
        <v>18463359.014920119</v>
      </c>
      <c r="M8" s="1315">
        <v>0.60048252940177926</v>
      </c>
      <c r="N8" s="1316">
        <v>6.3013258828989818</v>
      </c>
      <c r="O8" s="1314"/>
      <c r="P8" s="1314"/>
      <c r="Q8" s="1317" t="s">
        <v>5111</v>
      </c>
    </row>
    <row r="9" spans="2:17" ht="14">
      <c r="B9" s="1306">
        <f>+B10+25</f>
        <v>1500</v>
      </c>
      <c r="C9" s="1307">
        <v>0.39386208077128493</v>
      </c>
      <c r="D9" s="1308">
        <v>0.28256890420129926</v>
      </c>
      <c r="E9" s="1309">
        <v>1620852.250427682</v>
      </c>
      <c r="F9" s="1310">
        <v>15556731.467674334</v>
      </c>
      <c r="G9" s="1310">
        <v>1359415</v>
      </c>
      <c r="H9" s="1311">
        <v>16701235.082817793</v>
      </c>
      <c r="I9" s="1312">
        <v>0.57405855059623712</v>
      </c>
      <c r="J9" s="1313">
        <v>5.8749385055827155</v>
      </c>
      <c r="K9" s="1310">
        <v>8500000</v>
      </c>
      <c r="L9" s="1314">
        <v>17177583.718102016</v>
      </c>
      <c r="M9" s="1315">
        <v>0.57405855059623712</v>
      </c>
      <c r="N9" s="1316">
        <v>5.8749385055827155</v>
      </c>
      <c r="O9" s="1314"/>
      <c r="P9" s="1314"/>
      <c r="Q9" s="1317" t="s">
        <v>5111</v>
      </c>
    </row>
    <row r="10" spans="2:17" ht="14">
      <c r="B10" s="1306">
        <f>+B11+25</f>
        <v>1475</v>
      </c>
      <c r="C10" s="1307">
        <v>0.36641825457688793</v>
      </c>
      <c r="D10" s="1308">
        <v>0.26815966000860364</v>
      </c>
      <c r="E10" s="1309">
        <v>1627681.0950417258</v>
      </c>
      <c r="F10" s="1310">
        <v>14261134.831519246</v>
      </c>
      <c r="G10" s="1310">
        <v>1325429.625</v>
      </c>
      <c r="H10" s="1311">
        <v>15453337.287188306</v>
      </c>
      <c r="I10" s="1312">
        <v>0.54657328724861143</v>
      </c>
      <c r="J10" s="1313">
        <v>5.4574893285994008</v>
      </c>
      <c r="K10" s="1310">
        <v>8500000</v>
      </c>
      <c r="L10" s="1314">
        <v>15888815.926560972</v>
      </c>
      <c r="M10" s="1315">
        <v>0.54657328724861143</v>
      </c>
      <c r="N10" s="1316">
        <v>5.4574893285994008</v>
      </c>
      <c r="O10" s="1314"/>
      <c r="P10" s="1314"/>
      <c r="Q10" s="1317" t="s">
        <v>5111</v>
      </c>
    </row>
    <row r="11" spans="2:17" ht="14">
      <c r="B11" s="1318">
        <v>1450</v>
      </c>
      <c r="C11" s="1319">
        <v>0.3391321312129929</v>
      </c>
      <c r="D11" s="1320">
        <v>0.25324769924369245</v>
      </c>
      <c r="E11" s="1321">
        <v>1652430.5947832372</v>
      </c>
      <c r="F11" s="1322">
        <v>12797473.355734356</v>
      </c>
      <c r="G11" s="1322">
        <v>1291444.25</v>
      </c>
      <c r="H11" s="1323">
        <v>14219795.000608519</v>
      </c>
      <c r="I11" s="1324">
        <v>0.51236639618873592</v>
      </c>
      <c r="J11" s="1325">
        <v>4.8329765392474737</v>
      </c>
      <c r="K11" s="1322">
        <v>8500000</v>
      </c>
      <c r="L11" s="1326">
        <v>14449903.950517593</v>
      </c>
      <c r="M11" s="1327">
        <v>0.51236639618873592</v>
      </c>
      <c r="N11" s="1328">
        <v>4.8329765392474737</v>
      </c>
      <c r="O11" s="1326"/>
      <c r="P11" s="1326"/>
      <c r="Q11" s="1329" t="s">
        <v>5111</v>
      </c>
    </row>
    <row r="12" spans="2:17" ht="14">
      <c r="B12" s="1306">
        <f>+B11-25</f>
        <v>1425</v>
      </c>
      <c r="C12" s="1307">
        <v>0.31106160471291511</v>
      </c>
      <c r="D12" s="1308">
        <v>0.23725933517901213</v>
      </c>
      <c r="E12" s="1309">
        <v>1679875.1966633797</v>
      </c>
      <c r="F12" s="1310">
        <v>11291596.833660467</v>
      </c>
      <c r="G12" s="1310">
        <v>1257458.875</v>
      </c>
      <c r="H12" s="1311">
        <v>12971472.030323848</v>
      </c>
      <c r="I12" s="1312">
        <v>0.47517296671867371</v>
      </c>
      <c r="J12" s="1313">
        <v>4.2428680075809622</v>
      </c>
      <c r="K12" s="1310">
        <v>8500000</v>
      </c>
      <c r="L12" s="1314">
        <v>12971472.030323846</v>
      </c>
      <c r="M12" s="1315">
        <v>0.47517296671867371</v>
      </c>
      <c r="N12" s="1316">
        <v>4.2428680075809622</v>
      </c>
      <c r="O12" s="1314"/>
      <c r="P12" s="1314"/>
      <c r="Q12" s="1317" t="s">
        <v>5111</v>
      </c>
    </row>
    <row r="13" spans="2:17" ht="14">
      <c r="B13" s="1306">
        <f>+B12-25</f>
        <v>1400</v>
      </c>
      <c r="C13" s="1307">
        <v>0.28265457284943141</v>
      </c>
      <c r="D13" s="1308">
        <v>0.22036686948498629</v>
      </c>
      <c r="E13" s="1309">
        <v>1682251.6496152971</v>
      </c>
      <c r="F13" s="1310">
        <v>10040053.789203821</v>
      </c>
      <c r="G13" s="1310">
        <v>1223473.5</v>
      </c>
      <c r="H13" s="1311">
        <v>11722305.438819103</v>
      </c>
      <c r="I13" s="1312">
        <v>0.44450189471244805</v>
      </c>
      <c r="J13" s="1313">
        <v>3.9305763597047796</v>
      </c>
      <c r="K13" s="1310">
        <v>8500000</v>
      </c>
      <c r="L13" s="1314">
        <v>11722305.438819118</v>
      </c>
      <c r="M13" s="1315">
        <v>0.44450189471244805</v>
      </c>
      <c r="N13" s="1316">
        <v>3.9305763597047796</v>
      </c>
      <c r="O13" s="1314"/>
      <c r="P13" s="1314"/>
      <c r="Q13" s="1317" t="s">
        <v>5111</v>
      </c>
    </row>
    <row r="14" spans="2:17" ht="14">
      <c r="B14" s="1306">
        <f>+B13-25</f>
        <v>1375</v>
      </c>
      <c r="C14" s="1307">
        <v>0.25398472897426472</v>
      </c>
      <c r="D14" s="1308">
        <v>0.20254212280720463</v>
      </c>
      <c r="E14" s="1309">
        <v>1685136.1382640507</v>
      </c>
      <c r="F14" s="1310">
        <v>8789709.5091908071</v>
      </c>
      <c r="G14" s="1310">
        <v>1189488.125</v>
      </c>
      <c r="H14" s="1311">
        <v>10474845.64745485</v>
      </c>
      <c r="I14" s="1312">
        <v>0.41204407811164856</v>
      </c>
      <c r="J14" s="1313">
        <v>3.6187114118637145</v>
      </c>
      <c r="K14" s="1310">
        <v>8500000</v>
      </c>
      <c r="L14" s="1314">
        <v>10474845.647454858</v>
      </c>
      <c r="M14" s="1315">
        <v>0.41204407811164856</v>
      </c>
      <c r="N14" s="1316">
        <v>3.6187114118637145</v>
      </c>
      <c r="O14" s="1314"/>
      <c r="P14" s="1314"/>
      <c r="Q14" s="1317" t="s">
        <v>5111</v>
      </c>
    </row>
    <row r="15" spans="2:17" ht="14">
      <c r="B15" s="1330">
        <f>+B14-25</f>
        <v>1350</v>
      </c>
      <c r="C15" s="1331">
        <v>0.22496864677990813</v>
      </c>
      <c r="D15" s="1332">
        <v>0.18365257541185753</v>
      </c>
      <c r="E15" s="1333">
        <v>1689316.7316132635</v>
      </c>
      <c r="F15" s="1334">
        <v>7537250.9176469054</v>
      </c>
      <c r="G15" s="1334">
        <v>1155502.75</v>
      </c>
      <c r="H15" s="1335">
        <v>9226567.6492601633</v>
      </c>
      <c r="I15" s="1336">
        <v>0.37738144993782041</v>
      </c>
      <c r="J15" s="1337">
        <v>3.3066419123150421</v>
      </c>
      <c r="K15" s="1334">
        <v>8500000</v>
      </c>
      <c r="L15" s="1338">
        <v>9226567.6492601689</v>
      </c>
      <c r="M15" s="1339">
        <v>0.37738144993782041</v>
      </c>
      <c r="N15" s="1340">
        <v>3.3066419123150421</v>
      </c>
      <c r="O15" s="1338"/>
      <c r="P15" s="1338"/>
      <c r="Q15" s="1341" t="s">
        <v>5111</v>
      </c>
    </row>
    <row r="16" spans="2:17" ht="14">
      <c r="B16" s="1283"/>
      <c r="C16" s="1283"/>
      <c r="D16" s="1283"/>
      <c r="E16" s="1283"/>
      <c r="F16" s="1283"/>
      <c r="G16" s="1283"/>
      <c r="H16" s="1283"/>
      <c r="I16" s="1283"/>
      <c r="J16" s="1283"/>
      <c r="K16" s="1283"/>
      <c r="L16" s="1283"/>
      <c r="M16" s="1342"/>
      <c r="N16" s="1343"/>
      <c r="O16" s="1283"/>
      <c r="P16" s="1283"/>
      <c r="Q16" s="1344"/>
    </row>
    <row r="17" spans="2:17" ht="14">
      <c r="B17" s="1283"/>
      <c r="C17" s="1283"/>
      <c r="D17" s="1283"/>
      <c r="E17" s="1284" t="s">
        <v>5104</v>
      </c>
      <c r="F17" s="1285"/>
      <c r="G17" s="1285"/>
      <c r="H17" s="1286"/>
      <c r="I17" s="1285"/>
      <c r="J17" s="1285"/>
      <c r="K17" s="1286"/>
      <c r="L17" s="1284" t="s">
        <v>5105</v>
      </c>
      <c r="M17" s="1285"/>
      <c r="N17" s="1285"/>
      <c r="O17" s="1285"/>
      <c r="P17" s="1285"/>
      <c r="Q17" s="1286"/>
    </row>
    <row r="18" spans="2:17" ht="30">
      <c r="B18" s="1287" t="s">
        <v>5112</v>
      </c>
      <c r="C18" s="1288" t="s">
        <v>76</v>
      </c>
      <c r="D18" s="1288" t="s">
        <v>5107</v>
      </c>
      <c r="E18" s="1345" t="s">
        <v>5108</v>
      </c>
      <c r="F18" s="1346" t="s">
        <v>148</v>
      </c>
      <c r="G18" s="1346" t="s">
        <v>157</v>
      </c>
      <c r="H18" s="1347" t="s">
        <v>288</v>
      </c>
      <c r="I18" s="1348" t="s">
        <v>153</v>
      </c>
      <c r="J18" s="1346" t="s">
        <v>184</v>
      </c>
      <c r="K18" s="1346" t="s">
        <v>5109</v>
      </c>
      <c r="L18" s="1349" t="s">
        <v>5177</v>
      </c>
      <c r="M18" s="1349" t="s">
        <v>5151</v>
      </c>
      <c r="N18" s="1349" t="s">
        <v>5178</v>
      </c>
      <c r="O18" s="1349"/>
      <c r="P18" s="1349"/>
      <c r="Q18" s="1347" t="s">
        <v>5110</v>
      </c>
    </row>
    <row r="19" spans="2:17" ht="14">
      <c r="B19" s="1294">
        <f>+B20+10</f>
        <v>1490</v>
      </c>
      <c r="C19" s="1295">
        <v>0.26055070658532342</v>
      </c>
      <c r="D19" s="1296">
        <v>0.20669593474039871</v>
      </c>
      <c r="E19" s="1297">
        <v>1684071.9569713883</v>
      </c>
      <c r="F19" s="1298">
        <v>9921853.1047183201</v>
      </c>
      <c r="G19" s="1298">
        <v>1291444.2500000002</v>
      </c>
      <c r="H19" s="1299">
        <v>11605925.061689705</v>
      </c>
      <c r="I19" s="1300">
        <v>0.44098152518272404</v>
      </c>
      <c r="J19" s="1301">
        <v>3.9014812654224271</v>
      </c>
      <c r="K19" s="1298">
        <v>8500000</v>
      </c>
      <c r="L19" s="1302">
        <v>11605925.061689708</v>
      </c>
      <c r="M19" s="1303">
        <v>0.44098152518272404</v>
      </c>
      <c r="N19" s="1304">
        <v>3.9014812654224271</v>
      </c>
      <c r="O19" s="1302"/>
      <c r="P19" s="1302"/>
      <c r="Q19" s="1305" t="s">
        <v>5111</v>
      </c>
    </row>
    <row r="20" spans="2:17" ht="14">
      <c r="B20" s="1306">
        <f>+B21+10</f>
        <v>1480</v>
      </c>
      <c r="C20" s="1307">
        <v>0.27917783679322894</v>
      </c>
      <c r="D20" s="1308">
        <v>0.21824786887576153</v>
      </c>
      <c r="E20" s="1309">
        <v>1681202.5568025969</v>
      </c>
      <c r="F20" s="1310">
        <v>10573360.718604196</v>
      </c>
      <c r="G20" s="1310">
        <v>1291444.2500000002</v>
      </c>
      <c r="H20" s="1311">
        <v>12254563.275406793</v>
      </c>
      <c r="I20" s="1312">
        <v>0.45750026106834429</v>
      </c>
      <c r="J20" s="1313">
        <v>4.0636408188516979</v>
      </c>
      <c r="K20" s="1310">
        <v>8500000</v>
      </c>
      <c r="L20" s="1314">
        <v>12254563.275406793</v>
      </c>
      <c r="M20" s="1315">
        <v>0.45750026106834429</v>
      </c>
      <c r="N20" s="1316">
        <v>4.0636408188516979</v>
      </c>
      <c r="O20" s="1314"/>
      <c r="P20" s="1314"/>
      <c r="Q20" s="1317" t="s">
        <v>5111</v>
      </c>
    </row>
    <row r="21" spans="2:17" ht="14">
      <c r="B21" s="1306">
        <f>+B22+10</f>
        <v>1470</v>
      </c>
      <c r="C21" s="1307">
        <v>0.29866515377066216</v>
      </c>
      <c r="D21" s="1308">
        <v>0.22997856907416872</v>
      </c>
      <c r="E21" s="1309">
        <v>1678819.8396280594</v>
      </c>
      <c r="F21" s="1310">
        <v>11234419.319244247</v>
      </c>
      <c r="G21" s="1310">
        <v>1291444.2500000002</v>
      </c>
      <c r="H21" s="1311">
        <v>12913239.158872306</v>
      </c>
      <c r="I21" s="1312">
        <v>0.47375058531761161</v>
      </c>
      <c r="J21" s="1313">
        <v>4.228309789718077</v>
      </c>
      <c r="K21" s="1310">
        <v>8500000</v>
      </c>
      <c r="L21" s="1314">
        <v>12913239.158872306</v>
      </c>
      <c r="M21" s="1315">
        <v>0.47375058531761161</v>
      </c>
      <c r="N21" s="1316">
        <v>4.228309789718077</v>
      </c>
      <c r="O21" s="1314"/>
      <c r="P21" s="1314"/>
      <c r="Q21" s="1317" t="s">
        <v>5111</v>
      </c>
    </row>
    <row r="22" spans="2:17" ht="14">
      <c r="B22" s="1306">
        <f>+B23+10</f>
        <v>1460</v>
      </c>
      <c r="C22" s="1307">
        <v>0.31839846656631354</v>
      </c>
      <c r="D22" s="1308">
        <v>0.24150397216067956</v>
      </c>
      <c r="E22" s="1309">
        <v>1678159.2910146452</v>
      </c>
      <c r="F22" s="1310">
        <v>11882228.369814463</v>
      </c>
      <c r="G22" s="1310">
        <v>1291444.2500000002</v>
      </c>
      <c r="H22" s="1311">
        <v>13560387.660829119</v>
      </c>
      <c r="I22" s="1312">
        <v>0.48906977772712701</v>
      </c>
      <c r="J22" s="1313">
        <v>4.3900969152072769</v>
      </c>
      <c r="K22" s="1310">
        <v>8500000</v>
      </c>
      <c r="L22" s="1314">
        <v>13560387.660829108</v>
      </c>
      <c r="M22" s="1315">
        <v>0.48906977772712701</v>
      </c>
      <c r="N22" s="1316">
        <v>4.3900969152072769</v>
      </c>
      <c r="O22" s="1314"/>
      <c r="P22" s="1314"/>
      <c r="Q22" s="1317" t="s">
        <v>5111</v>
      </c>
    </row>
    <row r="23" spans="2:17" ht="14">
      <c r="B23" s="1318">
        <v>1450</v>
      </c>
      <c r="C23" s="1319">
        <v>0.33913213121299779</v>
      </c>
      <c r="D23" s="1320">
        <v>0.25324769924369517</v>
      </c>
      <c r="E23" s="1321">
        <v>1652430.5947832391</v>
      </c>
      <c r="F23" s="1322">
        <v>12797473.355734508</v>
      </c>
      <c r="G23" s="1322">
        <v>1291444.2500000002</v>
      </c>
      <c r="H23" s="1323">
        <v>14219795.000608675</v>
      </c>
      <c r="I23" s="1324">
        <v>0.51236639618873592</v>
      </c>
      <c r="J23" s="1325">
        <v>4.832976539247519</v>
      </c>
      <c r="K23" s="1322">
        <v>8500000</v>
      </c>
      <c r="L23" s="1326">
        <v>14449903.950517748</v>
      </c>
      <c r="M23" s="1327">
        <v>0.51236639618873592</v>
      </c>
      <c r="N23" s="1328">
        <v>4.832976539247519</v>
      </c>
      <c r="O23" s="1326"/>
      <c r="P23" s="1326"/>
      <c r="Q23" s="1329" t="s">
        <v>5111</v>
      </c>
    </row>
    <row r="24" spans="2:17" ht="14">
      <c r="B24" s="1306">
        <f>+B23-10</f>
        <v>1440</v>
      </c>
      <c r="C24" s="1307">
        <v>0.36007048491129057</v>
      </c>
      <c r="D24" s="1308">
        <v>0.26474398856966291</v>
      </c>
      <c r="E24" s="1309">
        <v>1631790.454380177</v>
      </c>
      <c r="F24" s="1310">
        <v>13647026.643449765</v>
      </c>
      <c r="G24" s="1310">
        <v>1291444.2500000002</v>
      </c>
      <c r="H24" s="1311">
        <v>14865308.772189431</v>
      </c>
      <c r="I24" s="1312">
        <v>0.53310882449150099</v>
      </c>
      <c r="J24" s="1313">
        <v>5.260101091844458</v>
      </c>
      <c r="K24" s="1310">
        <v>8500000</v>
      </c>
      <c r="L24" s="1314">
        <v>15278817.097829942</v>
      </c>
      <c r="M24" s="1315">
        <v>0.53310882449150099</v>
      </c>
      <c r="N24" s="1316">
        <v>5.260101091844458</v>
      </c>
      <c r="O24" s="1314"/>
      <c r="P24" s="1314"/>
      <c r="Q24" s="1317" t="s">
        <v>5111</v>
      </c>
    </row>
    <row r="25" spans="2:17" ht="14">
      <c r="B25" s="1306">
        <f>+B24-10</f>
        <v>1430</v>
      </c>
      <c r="C25" s="1307">
        <v>0.38208790664838754</v>
      </c>
      <c r="D25" s="1308">
        <v>0.27645702188000792</v>
      </c>
      <c r="E25" s="1309">
        <v>1629070.9688860644</v>
      </c>
      <c r="F25" s="1310">
        <v>14326329.703240834</v>
      </c>
      <c r="G25" s="1310">
        <v>1291444.2500000002</v>
      </c>
      <c r="H25" s="1311">
        <v>15522992.664306976</v>
      </c>
      <c r="I25" s="1312">
        <v>0.54798017144203193</v>
      </c>
      <c r="J25" s="1313">
        <v>5.4723165393071849</v>
      </c>
      <c r="K25" s="1310">
        <v>8500000</v>
      </c>
      <c r="L25" s="1314">
        <v>15955400.672126899</v>
      </c>
      <c r="M25" s="1315">
        <v>0.54798017144203193</v>
      </c>
      <c r="N25" s="1316">
        <v>5.4723165393071849</v>
      </c>
      <c r="O25" s="1314"/>
      <c r="P25" s="1314"/>
      <c r="Q25" s="1317" t="s">
        <v>5111</v>
      </c>
    </row>
    <row r="26" spans="2:17" ht="14">
      <c r="B26" s="1306">
        <f>+B25-10</f>
        <v>1420</v>
      </c>
      <c r="C26" s="1307">
        <v>0.40440448143471186</v>
      </c>
      <c r="D26" s="1308">
        <v>0.28795442251905962</v>
      </c>
      <c r="E26" s="1309">
        <v>1626351.4821811803</v>
      </c>
      <c r="F26" s="1310">
        <v>14993525.043657713</v>
      </c>
      <c r="G26" s="1310">
        <v>1291444.2500000002</v>
      </c>
      <c r="H26" s="1311">
        <v>16168568.83583957</v>
      </c>
      <c r="I26" s="1312">
        <v>0.56225295662879937</v>
      </c>
      <c r="J26" s="1313">
        <v>5.6833805452791299</v>
      </c>
      <c r="K26" s="1310">
        <v>8500000</v>
      </c>
      <c r="L26" s="1314">
        <v>16619876.525838893</v>
      </c>
      <c r="M26" s="1315">
        <v>0.56225295662879937</v>
      </c>
      <c r="N26" s="1316">
        <v>5.6833805452791299</v>
      </c>
      <c r="O26" s="1314"/>
      <c r="P26" s="1314"/>
      <c r="Q26" s="1317" t="s">
        <v>5111</v>
      </c>
    </row>
    <row r="27" spans="2:17" ht="14">
      <c r="B27" s="1330">
        <f>+B26-10</f>
        <v>1410</v>
      </c>
      <c r="C27" s="1331">
        <v>0.427287641822375</v>
      </c>
      <c r="D27" s="1332">
        <v>0.29937037868331146</v>
      </c>
      <c r="E27" s="1333">
        <v>1618449.3018937856</v>
      </c>
      <c r="F27" s="1334">
        <v>15661329.990758199</v>
      </c>
      <c r="G27" s="1334">
        <v>1291444.2500000002</v>
      </c>
      <c r="H27" s="1335">
        <v>16809571.92047327</v>
      </c>
      <c r="I27" s="1336">
        <v>0.57662474513053896</v>
      </c>
      <c r="J27" s="1337">
        <v>5.8954091966920075</v>
      </c>
      <c r="K27" s="1334">
        <v>8500000</v>
      </c>
      <c r="L27" s="1338">
        <v>17279779.292651985</v>
      </c>
      <c r="M27" s="1339">
        <v>0.57662474513053896</v>
      </c>
      <c r="N27" s="1340">
        <v>5.8954091966920075</v>
      </c>
      <c r="O27" s="1338"/>
      <c r="P27" s="1338"/>
      <c r="Q27" s="1341" t="s">
        <v>5111</v>
      </c>
    </row>
    <row r="28" spans="2:17" ht="14">
      <c r="B28" s="1283"/>
      <c r="C28" s="1283"/>
      <c r="D28" s="1283"/>
      <c r="E28" s="1283"/>
      <c r="F28" s="1283"/>
      <c r="G28" s="1283"/>
      <c r="H28" s="1283"/>
      <c r="I28" s="1283"/>
      <c r="J28" s="1283"/>
      <c r="K28" s="1283"/>
      <c r="L28" s="1283"/>
      <c r="M28" s="1283"/>
      <c r="N28" s="1283"/>
      <c r="O28" s="1283"/>
      <c r="P28" s="1283"/>
      <c r="Q28" s="1344"/>
    </row>
    <row r="29" spans="2:17" ht="14">
      <c r="B29" s="1283"/>
      <c r="C29" s="1283"/>
      <c r="D29" s="1283"/>
      <c r="E29" s="1283"/>
      <c r="F29" s="1283"/>
      <c r="G29" s="1283"/>
      <c r="H29" s="1283"/>
      <c r="I29" s="1283"/>
      <c r="J29" s="1283"/>
      <c r="K29" s="1283"/>
      <c r="L29" s="1283"/>
      <c r="M29" s="1283"/>
      <c r="N29" s="1283"/>
      <c r="O29" s="1283"/>
      <c r="P29" s="1283"/>
      <c r="Q29" s="1344"/>
    </row>
    <row r="30" spans="2:17" ht="14">
      <c r="B30" s="1350" t="s">
        <v>5113</v>
      </c>
      <c r="C30" s="1351">
        <v>0.33913213121304375</v>
      </c>
      <c r="D30" s="1351">
        <v>0.25324769924372081</v>
      </c>
      <c r="E30" s="1352">
        <v>1652430.5947832391</v>
      </c>
      <c r="F30" s="1352">
        <v>12797473.35573595</v>
      </c>
      <c r="G30" s="1352">
        <v>1291444.2500000002</v>
      </c>
      <c r="H30" s="1352">
        <v>14219795.000610113</v>
      </c>
      <c r="I30" s="1353">
        <v>0.51236639618873592</v>
      </c>
      <c r="J30" s="1354">
        <v>4.8329765392479018</v>
      </c>
      <c r="K30" s="1355">
        <v>8500000</v>
      </c>
      <c r="L30" s="1355">
        <v>14449903.950519189</v>
      </c>
      <c r="M30" s="1355">
        <v>0.51236639618873592</v>
      </c>
      <c r="N30" s="1355">
        <v>4.8329765392479018</v>
      </c>
      <c r="O30" s="1355"/>
      <c r="P30" s="1355"/>
      <c r="Q30" s="1356" t="s">
        <v>5111</v>
      </c>
    </row>
    <row r="31" spans="2:17" ht="14">
      <c r="B31" s="1357" t="s">
        <v>5114</v>
      </c>
      <c r="C31" s="1358">
        <f>+'Budget Presentation'!G88</f>
        <v>0.30393831622347611</v>
      </c>
      <c r="D31" s="1358">
        <f>+'Budget Presentation'!G81</f>
        <v>0.23309255694223005</v>
      </c>
      <c r="E31" s="1359">
        <f>+'New Waterfall'!Q82</f>
        <v>1061507.7681029215</v>
      </c>
      <c r="F31" s="1359">
        <f>+'New Waterfall'!Q83</f>
        <v>5175487.6505360212</v>
      </c>
      <c r="G31" s="1359">
        <f>+bud_detail!F325</f>
        <v>546392</v>
      </c>
      <c r="H31" s="1359">
        <f>+'Budget Presentation'!D81</f>
        <v>6367995.4186389484</v>
      </c>
      <c r="I31" s="1360">
        <f>+'Budget Presentation'!G100</f>
        <v>0.44054588675498962</v>
      </c>
      <c r="J31" s="1361">
        <f>+'Budget Presentation'!G99</f>
        <v>2.5592488546597374</v>
      </c>
      <c r="K31" s="1362">
        <f>+bud_detail!F6</f>
        <v>2900000</v>
      </c>
      <c r="L31" s="1362">
        <f>+'New Waterfall'!S84</f>
        <v>5281638.4273463134</v>
      </c>
      <c r="M31" s="1363">
        <f>+'Budget Presentation'!D100</f>
        <v>1.6040495753288273</v>
      </c>
      <c r="N31" s="1362">
        <f>+'Budget Presentation'!D99</f>
        <v>14.204096068365786</v>
      </c>
      <c r="O31" s="1362"/>
      <c r="P31" s="1362"/>
      <c r="Q31" s="1364" t="str">
        <f>+general!G25</f>
        <v>Error(s)</v>
      </c>
    </row>
    <row r="32" spans="2:17" ht="14">
      <c r="B32" s="1365" t="s">
        <v>175</v>
      </c>
      <c r="C32" s="1366">
        <v>0</v>
      </c>
      <c r="D32" s="1366">
        <v>0</v>
      </c>
      <c r="E32" s="1366">
        <v>0</v>
      </c>
      <c r="F32" s="1366">
        <v>0</v>
      </c>
      <c r="G32" s="1366">
        <v>0</v>
      </c>
      <c r="H32" s="1366">
        <v>0</v>
      </c>
      <c r="I32" s="1367">
        <v>0</v>
      </c>
      <c r="J32" s="1368">
        <v>0</v>
      </c>
      <c r="K32" s="1368">
        <v>0</v>
      </c>
      <c r="L32" s="1368"/>
      <c r="M32" s="1368"/>
      <c r="N32" s="1368"/>
      <c r="O32" s="1368"/>
      <c r="P32" s="1368"/>
      <c r="Q32" s="1369"/>
    </row>
    <row r="34" spans="2:4">
      <c r="B34" s="1371" t="s">
        <v>5115</v>
      </c>
      <c r="C34" s="1372" t="str">
        <f>+IF(D34="SqFt","OK","UPDATE")</f>
        <v>UPDATE</v>
      </c>
      <c r="D34" s="1373" t="str">
        <f>+bud_detail!E20</f>
        <v>Total</v>
      </c>
    </row>
  </sheetData>
  <conditionalFormatting sqref="C34">
    <cfRule type="cellIs" dxfId="104" priority="1" operator="equal">
      <formula>"OK"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RunSA">
                <anchor moveWithCells="1" sizeWithCells="1">
                  <from>
                    <xdr:col>17</xdr:col>
                    <xdr:colOff>101600</xdr:colOff>
                    <xdr:row>0</xdr:row>
                    <xdr:rowOff>76200</xdr:rowOff>
                  </from>
                  <to>
                    <xdr:col>20</xdr:col>
                    <xdr:colOff>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published="0" codeName="Sheet2">
    <tabColor theme="3" tint="0.59999389629810485"/>
    <pageSetUpPr fitToPage="1"/>
  </sheetPr>
  <dimension ref="B2:J43"/>
  <sheetViews>
    <sheetView workbookViewId="0">
      <selection activeCell="C28" sqref="C28"/>
    </sheetView>
  </sheetViews>
  <sheetFormatPr baseColWidth="10" defaultColWidth="9" defaultRowHeight="15"/>
  <cols>
    <col min="1" max="1" width="9" style="732"/>
    <col min="2" max="2" width="65" style="732" bestFit="1" customWidth="1"/>
    <col min="3" max="3" width="7.5" style="732" customWidth="1"/>
    <col min="4" max="4" width="35.5" style="732" customWidth="1"/>
    <col min="5" max="5" width="1.1640625" style="732" customWidth="1"/>
    <col min="6" max="6" width="32" style="732" customWidth="1"/>
    <col min="7" max="7" width="14.5" style="732" customWidth="1"/>
    <col min="8" max="16384" width="9" style="732"/>
  </cols>
  <sheetData>
    <row r="2" spans="2:8" ht="19">
      <c r="B2" s="739" t="s">
        <v>556</v>
      </c>
    </row>
    <row r="3" spans="2:8">
      <c r="B3" s="202" t="str">
        <f>IF(general!G25="working",$D$6&amp;" | "&amp;$D$7&amp;" | "&amp;$D$9&amp;" | "&amp;TEXT($D$10,"#,##0")&amp;" units | "&amp;TEXT(TimeStamp,"m/d/yy"),"Error(s)")</f>
        <v>Error(s)</v>
      </c>
      <c r="C3" s="733"/>
      <c r="D3" s="733"/>
      <c r="E3" s="734"/>
    </row>
    <row r="4" spans="2:8">
      <c r="B4" s="742"/>
      <c r="C4" s="742"/>
      <c r="D4" s="742"/>
      <c r="E4" s="742"/>
      <c r="F4" s="742"/>
      <c r="G4" s="742"/>
    </row>
    <row r="5" spans="2:8">
      <c r="B5" s="735" t="s">
        <v>554</v>
      </c>
      <c r="C5" s="736"/>
      <c r="D5" s="736"/>
      <c r="E5" s="737"/>
      <c r="F5" s="1" t="s">
        <v>559</v>
      </c>
      <c r="G5" s="1"/>
    </row>
    <row r="6" spans="2:8">
      <c r="B6" s="740" t="s">
        <v>133</v>
      </c>
      <c r="C6" s="744"/>
      <c r="D6" s="1437" t="s">
        <v>5191</v>
      </c>
      <c r="F6" s="740" t="s">
        <v>560</v>
      </c>
      <c r="G6" s="1045">
        <v>0.92</v>
      </c>
    </row>
    <row r="7" spans="2:8">
      <c r="B7" s="731" t="s">
        <v>557</v>
      </c>
      <c r="C7" s="745"/>
      <c r="D7" s="1044" t="s">
        <v>5161</v>
      </c>
      <c r="F7" s="741" t="s">
        <v>561</v>
      </c>
      <c r="G7" s="1046">
        <v>0.9</v>
      </c>
    </row>
    <row r="8" spans="2:8">
      <c r="B8" s="731" t="s">
        <v>145</v>
      </c>
      <c r="C8" s="745"/>
      <c r="D8" s="1044" t="s">
        <v>5152</v>
      </c>
      <c r="G8" s="765"/>
    </row>
    <row r="9" spans="2:8">
      <c r="B9" s="731" t="s">
        <v>259</v>
      </c>
      <c r="C9" s="745"/>
      <c r="D9" s="1044" t="s">
        <v>5153</v>
      </c>
      <c r="F9" s="1" t="s">
        <v>562</v>
      </c>
      <c r="G9" s="1"/>
    </row>
    <row r="10" spans="2:8">
      <c r="B10" s="731" t="s">
        <v>30</v>
      </c>
      <c r="C10" s="745"/>
      <c r="D10" s="746">
        <f>ResUnits</f>
        <v>9</v>
      </c>
      <c r="F10" s="740" t="s">
        <v>563</v>
      </c>
      <c r="G10" s="760">
        <f>+bud_detail!E160*100</f>
        <v>3.5000000000000004</v>
      </c>
    </row>
    <row r="11" spans="2:8">
      <c r="B11" s="731" t="s">
        <v>147</v>
      </c>
      <c r="C11" s="745"/>
      <c r="D11" s="746">
        <f>ResSF</f>
        <v>24836</v>
      </c>
      <c r="F11" s="731" t="s">
        <v>568</v>
      </c>
      <c r="G11" s="761">
        <f>+bud_detail!C160</f>
        <v>0.8</v>
      </c>
    </row>
    <row r="12" spans="2:8">
      <c r="B12" s="731" t="s">
        <v>551</v>
      </c>
      <c r="C12" s="745"/>
      <c r="D12" s="747">
        <f>+sales!E28</f>
        <v>0</v>
      </c>
      <c r="F12" s="741" t="s">
        <v>564</v>
      </c>
      <c r="G12" s="759">
        <f>+bud_detail!D160</f>
        <v>0.04</v>
      </c>
    </row>
    <row r="13" spans="2:8">
      <c r="B13" s="731" t="s">
        <v>552</v>
      </c>
      <c r="C13" s="745"/>
      <c r="D13" s="746">
        <f>+D11+D12</f>
        <v>24836</v>
      </c>
      <c r="G13" s="158"/>
    </row>
    <row r="14" spans="2:8">
      <c r="B14" s="731" t="s">
        <v>553</v>
      </c>
      <c r="C14" s="745"/>
      <c r="D14" s="746">
        <f>+SUM(sales!E25:E27)</f>
        <v>0</v>
      </c>
      <c r="E14" s="737"/>
      <c r="F14" s="749" t="s">
        <v>565</v>
      </c>
      <c r="G14" s="158"/>
    </row>
    <row r="15" spans="2:8">
      <c r="B15" s="731" t="s">
        <v>132</v>
      </c>
      <c r="C15" s="745"/>
      <c r="D15" s="1447">
        <f>26046/43560</f>
        <v>0.5979338842975207</v>
      </c>
      <c r="F15" s="740" t="s">
        <v>279</v>
      </c>
      <c r="G15" s="1277" t="str">
        <f>IF(SUM(general!$C$35:$C$36)=0,"Working","Error(s)")</f>
        <v>Working</v>
      </c>
      <c r="H15" s="2">
        <f>+IF(G15="working",1,0)</f>
        <v>1</v>
      </c>
    </row>
    <row r="16" spans="2:8">
      <c r="B16" s="731" t="s">
        <v>128</v>
      </c>
      <c r="C16" s="745"/>
      <c r="D16" s="1447">
        <f>+D11/(D15*43560)</f>
        <v>0.95354373032327422</v>
      </c>
      <c r="F16" s="731" t="s">
        <v>280</v>
      </c>
      <c r="G16" s="1278" t="str">
        <f>IF(SUM(financing!C71:C81)=0,"Working","Error(s)")</f>
        <v>Error(s)</v>
      </c>
      <c r="H16" s="2">
        <f t="shared" ref="H16:H24" si="0">+IF(G16="working",1,0)</f>
        <v>0</v>
      </c>
    </row>
    <row r="17" spans="2:10">
      <c r="B17" s="741" t="s">
        <v>144</v>
      </c>
      <c r="C17" s="748"/>
      <c r="D17" s="750">
        <f>IFERROR(D15*43560*D16,"N/A")</f>
        <v>24836</v>
      </c>
      <c r="F17" s="731" t="s">
        <v>281</v>
      </c>
      <c r="G17" s="1278" t="str">
        <f>IF(SUM('Budget Presentation'!D101:D112)=0,"Working","Error(s)")</f>
        <v>Error(s)</v>
      </c>
      <c r="H17" s="2">
        <f t="shared" si="0"/>
        <v>0</v>
      </c>
    </row>
    <row r="18" spans="2:10">
      <c r="F18" s="731" t="s">
        <v>282</v>
      </c>
      <c r="G18" s="1278" t="str">
        <f>IF(SUM('New Waterfall'!D110:D116)=0,"Working","Error(s)")</f>
        <v>Working</v>
      </c>
      <c r="H18" s="2">
        <f t="shared" si="0"/>
        <v>1</v>
      </c>
    </row>
    <row r="19" spans="2:10">
      <c r="B19" s="735" t="s">
        <v>555</v>
      </c>
      <c r="C19" s="736"/>
      <c r="D19" s="736"/>
      <c r="E19" s="737"/>
      <c r="F19" s="731" t="s">
        <v>283</v>
      </c>
      <c r="G19" s="1278" t="str">
        <f>IF(AND(SUM(reserves!C138:BP138,reserves!BP5:BP138)&lt;=0.001,SUM(reserves!C138:BP138,reserves!BP5:BP138)&gt;=-0.001),"Working","Error(s)")</f>
        <v>Error(s)</v>
      </c>
      <c r="H19" s="2">
        <f t="shared" si="0"/>
        <v>0</v>
      </c>
      <c r="J19" s="202"/>
    </row>
    <row r="20" spans="2:10">
      <c r="B20" s="740" t="s">
        <v>186</v>
      </c>
      <c r="C20" s="751">
        <v>0</v>
      </c>
      <c r="D20" s="1047">
        <v>46235</v>
      </c>
      <c r="F20" s="731" t="s">
        <v>284</v>
      </c>
      <c r="G20" s="1278" t="str">
        <f>IF(SUM('draws%'!$D$131:$AG$131)=0,"Working","Error(s)")</f>
        <v>Working</v>
      </c>
      <c r="H20" s="2">
        <f t="shared" si="0"/>
        <v>1</v>
      </c>
    </row>
    <row r="21" spans="2:10">
      <c r="B21" s="731" t="s">
        <v>558</v>
      </c>
      <c r="C21" s="1048">
        <f>+$C$20</f>
        <v>0</v>
      </c>
      <c r="D21" s="752">
        <f>IF(C21=0,D20,EOMONTH($D$20,C21))</f>
        <v>46235</v>
      </c>
      <c r="F21" s="731" t="s">
        <v>291</v>
      </c>
      <c r="G21" s="1278" t="str">
        <f>IF(SUM(bud_detail!$C$343:$C$351)=0,"Working","Error(s)")</f>
        <v>Error(s)</v>
      </c>
      <c r="H21" s="2">
        <f t="shared" si="0"/>
        <v>0</v>
      </c>
    </row>
    <row r="22" spans="2:10">
      <c r="B22" s="731" t="s">
        <v>399</v>
      </c>
      <c r="C22" s="1049">
        <v>0</v>
      </c>
      <c r="D22" s="752">
        <f>IF(C22=0,D20,EOMONTH($D$20,C22))</f>
        <v>46235</v>
      </c>
      <c r="F22" s="731" t="s">
        <v>427</v>
      </c>
      <c r="G22" s="1278" t="str">
        <f>IF(SUM('Development Cash Flow'!D132:AL133)=0,"Working","Error(s)")</f>
        <v>Working</v>
      </c>
      <c r="H22" s="2">
        <f t="shared" si="0"/>
        <v>1</v>
      </c>
    </row>
    <row r="23" spans="2:10">
      <c r="B23" s="731" t="s">
        <v>149</v>
      </c>
      <c r="C23" s="1049">
        <v>18</v>
      </c>
      <c r="D23" s="752">
        <f>EOMONTH(D20,C23)</f>
        <v>46812</v>
      </c>
      <c r="F23" s="731" t="s">
        <v>322</v>
      </c>
      <c r="G23" s="1278" t="str">
        <f>IF(SUM(sales!C69:C78)=0,"Working","Error(s)")</f>
        <v>Working</v>
      </c>
      <c r="H23" s="2">
        <f t="shared" si="0"/>
        <v>1</v>
      </c>
    </row>
    <row r="24" spans="2:10">
      <c r="B24" s="731" t="s">
        <v>150</v>
      </c>
      <c r="C24" s="738"/>
      <c r="D24" s="753">
        <f>+D23</f>
        <v>46812</v>
      </c>
      <c r="F24" s="731" t="s">
        <v>286</v>
      </c>
      <c r="G24" s="1278" t="str">
        <f>IF(SUM(sales!C69:C78)=0,"Working","Error(s)")</f>
        <v>Working</v>
      </c>
      <c r="H24" s="2">
        <f t="shared" si="0"/>
        <v>1</v>
      </c>
    </row>
    <row r="25" spans="2:10">
      <c r="B25" s="731" t="s">
        <v>151</v>
      </c>
      <c r="C25" s="1049">
        <v>24</v>
      </c>
      <c r="D25" s="753">
        <f>+EOMONTH(D24,C25-1)</f>
        <v>47514</v>
      </c>
      <c r="F25" s="766" t="s">
        <v>569</v>
      </c>
      <c r="G25" s="1278" t="str" cm="1">
        <f t="array" ref="G25">IFERROR(IF(AND(general!$G$24="Working",SUMPRODUCT(--("Working"=general!$G$15:$G$23))=COUNT(general!$H$15:$H$23)),"Working","Error(s)"),"Error(s)")</f>
        <v>Error(s)</v>
      </c>
    </row>
    <row r="26" spans="2:10">
      <c r="B26" s="731" t="s">
        <v>249</v>
      </c>
      <c r="C26" s="1049">
        <v>22</v>
      </c>
      <c r="D26" s="753">
        <f>EOMONTH(D24,C26)</f>
        <v>47483</v>
      </c>
      <c r="F26" s="731" t="s">
        <v>285</v>
      </c>
      <c r="G26" s="1050">
        <v>45026</v>
      </c>
    </row>
    <row r="27" spans="2:10">
      <c r="B27" s="731" t="s">
        <v>401</v>
      </c>
      <c r="C27" s="754">
        <f>C25+C23-1</f>
        <v>41</v>
      </c>
      <c r="D27" s="752">
        <f>EOMONTH($D$20,C27)</f>
        <v>47514</v>
      </c>
      <c r="F27" s="731" t="s">
        <v>570</v>
      </c>
      <c r="G27" s="762">
        <f>ABS(DevBud1-DevBud2)+ABS(DevBud2-hard_budget!F341)+ABS(hard_budget!$F$341-bud_detail!F341)+ABS(bud_detail!F329-DevBud2)</f>
        <v>1042206.7799547836</v>
      </c>
    </row>
    <row r="28" spans="2:10">
      <c r="B28" s="741" t="s">
        <v>423</v>
      </c>
      <c r="C28" s="755">
        <f>+sales!F36</f>
        <v>44</v>
      </c>
      <c r="D28" s="756">
        <f>EOMONTH($D$20,C28)</f>
        <v>47603</v>
      </c>
      <c r="F28" s="731" t="s">
        <v>566</v>
      </c>
      <c r="G28" s="762">
        <v>3993647.2057795515</v>
      </c>
    </row>
    <row r="29" spans="2:10">
      <c r="B29" s="743"/>
      <c r="C29" s="757"/>
      <c r="D29" s="758"/>
      <c r="F29" s="741" t="s">
        <v>567</v>
      </c>
      <c r="G29" s="764">
        <v>45965.885914351849</v>
      </c>
    </row>
    <row r="30" spans="2:10">
      <c r="B30" s="735" t="s">
        <v>5168</v>
      </c>
      <c r="C30" s="736"/>
      <c r="D30" s="736"/>
    </row>
    <row r="31" spans="2:10">
      <c r="B31" s="1546" t="s">
        <v>5174</v>
      </c>
      <c r="C31" s="1547"/>
      <c r="D31" s="1548">
        <f>sales!I6</f>
        <v>3265900</v>
      </c>
    </row>
    <row r="32" spans="2:10">
      <c r="B32" s="1549" t="s">
        <v>311</v>
      </c>
      <c r="C32"/>
      <c r="D32" s="1550">
        <f>bud_detail!F329</f>
        <v>20951604.581361048</v>
      </c>
    </row>
    <row r="33" spans="2:4">
      <c r="B33" s="1549" t="s">
        <v>5175</v>
      </c>
      <c r="C33"/>
      <c r="D33" s="1550">
        <f>financing!F10</f>
        <v>4000000</v>
      </c>
    </row>
    <row r="34" spans="2:4">
      <c r="B34" s="1549" t="s">
        <v>5169</v>
      </c>
      <c r="C34"/>
      <c r="D34" s="1550">
        <f>D31-D32</f>
        <v>-17685704.581361048</v>
      </c>
    </row>
    <row r="35" spans="2:4">
      <c r="B35" s="1549" t="s">
        <v>5176</v>
      </c>
      <c r="C35"/>
      <c r="D35" s="1551">
        <f>D34/D33</f>
        <v>-4.4214261453402619</v>
      </c>
    </row>
    <row r="36" spans="2:4">
      <c r="B36" s="1554" t="s">
        <v>5170</v>
      </c>
      <c r="C36" s="1552"/>
      <c r="D36" s="1553">
        <f>D35/4</f>
        <v>-1.1053565363350655</v>
      </c>
    </row>
    <row r="38" spans="2:4">
      <c r="B38" s="735" t="s">
        <v>5181</v>
      </c>
      <c r="C38" s="736"/>
      <c r="D38" s="736"/>
    </row>
    <row r="39" spans="2:4">
      <c r="B39" s="1546" t="s">
        <v>5171</v>
      </c>
      <c r="C39" s="1547"/>
      <c r="D39" s="1555">
        <f>financing!D7</f>
        <v>0.9</v>
      </c>
    </row>
    <row r="40" spans="2:4">
      <c r="B40" s="1549" t="s">
        <v>2502</v>
      </c>
      <c r="C40" s="1371"/>
      <c r="D40" s="1558">
        <f>D39*D33</f>
        <v>3600000</v>
      </c>
    </row>
    <row r="41" spans="2:4">
      <c r="B41" s="1549" t="s">
        <v>5180</v>
      </c>
      <c r="C41" s="1371"/>
      <c r="D41" s="1558">
        <f>(D39*D34*50%)</f>
        <v>-7958567.0616124719</v>
      </c>
    </row>
    <row r="42" spans="2:4">
      <c r="B42" s="1549" t="s">
        <v>5172</v>
      </c>
      <c r="C42" s="1556"/>
      <c r="D42" s="1551">
        <f>D41/D40</f>
        <v>-2.210713072670131</v>
      </c>
    </row>
    <row r="43" spans="2:4">
      <c r="B43" s="1554" t="s">
        <v>5173</v>
      </c>
      <c r="C43" s="1557"/>
      <c r="D43" s="1553">
        <f>D42/2</f>
        <v>-1.1053565363350655</v>
      </c>
    </row>
  </sheetData>
  <conditionalFormatting sqref="G15:G25">
    <cfRule type="cellIs" dxfId="103" priority="1" operator="equal">
      <formula>"Working"</formula>
    </cfRule>
  </conditionalFormatting>
  <printOptions horizontalCentered="1"/>
  <pageMargins left="0.25" right="0.25" top="0.75" bottom="0.75" header="0.3" footer="0.3"/>
  <pageSetup scale="8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published="0" codeName="Sheet8">
    <tabColor theme="3" tint="0.59999389629810485"/>
    <pageSetUpPr fitToPage="1"/>
  </sheetPr>
  <dimension ref="A1:AD368"/>
  <sheetViews>
    <sheetView topLeftCell="A330" zoomScale="110" zoomScaleNormal="110" workbookViewId="0">
      <selection activeCell="D29" sqref="D29"/>
    </sheetView>
  </sheetViews>
  <sheetFormatPr baseColWidth="10" defaultColWidth="10" defaultRowHeight="15"/>
  <cols>
    <col min="1" max="1" width="11.1640625" style="1531" bestFit="1" customWidth="1"/>
    <col min="2" max="2" width="44" style="6" customWidth="1"/>
    <col min="3" max="3" width="14.33203125" style="6" customWidth="1"/>
    <col min="4" max="4" width="12.33203125" style="6" customWidth="1"/>
    <col min="5" max="5" width="7" style="6" customWidth="1"/>
    <col min="6" max="6" width="19.33203125" style="6" customWidth="1"/>
    <col min="7" max="7" width="14.5" style="6" customWidth="1"/>
    <col min="8" max="8" width="11.5" style="6" customWidth="1"/>
    <col min="9" max="9" width="12.83203125" style="6" customWidth="1"/>
    <col min="10" max="10" width="13.6640625" style="6" customWidth="1"/>
    <col min="11" max="11" width="5.83203125" style="6" customWidth="1"/>
    <col min="12" max="12" width="42" style="678" bestFit="1" customWidth="1"/>
    <col min="13" max="13" width="12.33203125" style="6" bestFit="1" customWidth="1"/>
    <col min="14" max="14" width="11.6640625" style="6" bestFit="1" customWidth="1"/>
    <col min="15" max="15" width="13.6640625" style="6" customWidth="1"/>
    <col min="16" max="16" width="15" bestFit="1" customWidth="1"/>
    <col min="17" max="17" width="86.1640625" bestFit="1" customWidth="1"/>
    <col min="18" max="18" width="12.5" bestFit="1" customWidth="1"/>
    <col min="20" max="16384" width="10" style="6"/>
  </cols>
  <sheetData>
    <row r="1" spans="1:30">
      <c r="G1" s="144">
        <f>ResUnits</f>
        <v>9</v>
      </c>
      <c r="H1" s="144">
        <f>ResSF</f>
        <v>24836</v>
      </c>
      <c r="I1" s="144">
        <f>DevBud1</f>
        <v>21538207.971338443</v>
      </c>
      <c r="J1" s="144">
        <f>TotalSales</f>
        <v>27319600</v>
      </c>
      <c r="K1" s="144"/>
    </row>
    <row r="2" spans="1:30" ht="29">
      <c r="B2" s="547" t="s">
        <v>295</v>
      </c>
      <c r="C2" s="548"/>
      <c r="D2" s="548"/>
      <c r="E2" s="548"/>
      <c r="F2" s="548"/>
    </row>
    <row r="3" spans="1:30" ht="20" thickBot="1">
      <c r="B3" s="549" t="str">
        <f>general!$B$3</f>
        <v>Error(s)</v>
      </c>
      <c r="C3" s="550"/>
      <c r="D3" s="550"/>
      <c r="E3" s="550"/>
      <c r="F3" s="550"/>
      <c r="G3" s="550"/>
      <c r="H3" s="550"/>
      <c r="I3" s="550"/>
      <c r="J3" s="550"/>
      <c r="K3" s="548"/>
    </row>
    <row r="4" spans="1:30">
      <c r="B4" s="548"/>
      <c r="C4" s="551"/>
      <c r="D4" s="551"/>
      <c r="E4" s="551"/>
      <c r="F4" s="551"/>
      <c r="N4" s="208"/>
    </row>
    <row r="5" spans="1:30">
      <c r="B5" s="154" t="s">
        <v>0</v>
      </c>
      <c r="C5" s="551"/>
      <c r="D5" s="552"/>
      <c r="E5" s="152" t="s">
        <v>134</v>
      </c>
      <c r="F5" s="553" t="s">
        <v>21</v>
      </c>
      <c r="G5" s="152" t="s">
        <v>182</v>
      </c>
      <c r="H5" s="152" t="s">
        <v>292</v>
      </c>
      <c r="I5" s="152" t="s">
        <v>262</v>
      </c>
      <c r="J5" s="152" t="s">
        <v>293</v>
      </c>
      <c r="K5" s="152"/>
      <c r="L5" s="1375" t="s">
        <v>4998</v>
      </c>
      <c r="N5" s="554"/>
    </row>
    <row r="6" spans="1:30">
      <c r="A6" s="1531">
        <v>15155201</v>
      </c>
      <c r="B6" s="555" t="s">
        <v>548</v>
      </c>
      <c r="C6" s="556"/>
      <c r="D6" s="1062"/>
      <c r="E6" s="1063" t="s">
        <v>21</v>
      </c>
      <c r="F6" s="1545">
        <v>2900000</v>
      </c>
      <c r="G6" s="557">
        <f t="shared" ref="G6:G14" si="0">$F6/ResUnits</f>
        <v>322222.22222222225</v>
      </c>
      <c r="H6" s="558">
        <f>$F6 / ResSF</f>
        <v>116.7659848606861</v>
      </c>
      <c r="I6" s="559">
        <f>$F6 / DevBud1</f>
        <v>0.13464444227946537</v>
      </c>
      <c r="J6" s="559">
        <f>$F6 / TotalSales</f>
        <v>0.10615089532789646</v>
      </c>
      <c r="K6" s="1026"/>
      <c r="L6" s="1376" t="str">
        <f>IFERROR(INDEX('Job Cost COA'!E:F,MATCH(A6,'Job Cost COA'!E:E,0),2),IF(F6&lt;&gt;0,"Assign Code","Missing Code"))</f>
        <v>Land acq-purchase costs</v>
      </c>
      <c r="M6" s="2"/>
      <c r="N6" s="2"/>
      <c r="O6" s="2"/>
    </row>
    <row r="7" spans="1:30">
      <c r="A7" s="1531">
        <v>15155201</v>
      </c>
      <c r="B7" s="560" t="s">
        <v>549</v>
      </c>
      <c r="C7" s="560"/>
      <c r="D7" s="561"/>
      <c r="E7" s="1064" t="s">
        <v>21</v>
      </c>
      <c r="F7" s="1067">
        <v>0</v>
      </c>
      <c r="G7" s="562">
        <f t="shared" si="0"/>
        <v>0</v>
      </c>
      <c r="H7" s="563">
        <f>$F7 / ResSF</f>
        <v>0</v>
      </c>
      <c r="I7" s="564">
        <f>$F7 / DevBud1</f>
        <v>0</v>
      </c>
      <c r="J7" s="564">
        <f>$F7 / TotalSales</f>
        <v>0</v>
      </c>
      <c r="K7" s="1026"/>
      <c r="L7" s="1377" t="str">
        <f>IFERROR(INDEX('Job Cost COA'!E:F,MATCH(A7,'Job Cost COA'!E:E,0),2),IF(F7&lt;&gt;0,"Assign Code","Missing Code"))</f>
        <v>Land acq-purchase costs</v>
      </c>
      <c r="M7" s="2"/>
      <c r="N7" s="2"/>
      <c r="O7" s="2"/>
    </row>
    <row r="8" spans="1:30">
      <c r="A8" s="1531">
        <v>15155206</v>
      </c>
      <c r="B8" s="560" t="s">
        <v>550</v>
      </c>
      <c r="C8" s="565">
        <f>(0)*43560</f>
        <v>0</v>
      </c>
      <c r="D8" s="1070">
        <v>0</v>
      </c>
      <c r="E8" s="1066" t="s">
        <v>21</v>
      </c>
      <c r="F8" s="1067">
        <v>0</v>
      </c>
      <c r="G8" s="562">
        <f t="shared" si="0"/>
        <v>0</v>
      </c>
      <c r="H8" s="563">
        <f>$F8 / ResSF</f>
        <v>0</v>
      </c>
      <c r="I8" s="564">
        <f>$F8 / DevBud1</f>
        <v>0</v>
      </c>
      <c r="J8" s="564">
        <f>$F8 / TotalSales</f>
        <v>0</v>
      </c>
      <c r="K8" s="1026"/>
      <c r="L8" s="1377" t="str">
        <f>IFERROR(INDEX('Job Cost COA'!E:F,MATCH(A8,'Job Cost COA'!E:E,0),2),IF(F8&lt;&gt;0,"Assign Code","Missing Code"))</f>
        <v>Land acq-trnsfr dev rights TDR</v>
      </c>
      <c r="M8" s="2"/>
      <c r="N8" s="2"/>
      <c r="O8" s="2"/>
    </row>
    <row r="9" spans="1:30">
      <c r="A9" s="1531">
        <v>15155212</v>
      </c>
      <c r="B9" s="560" t="s">
        <v>136</v>
      </c>
      <c r="C9" s="560"/>
      <c r="D9" s="1071">
        <v>0.01</v>
      </c>
      <c r="E9" s="1066" t="s">
        <v>21</v>
      </c>
      <c r="F9" s="1067">
        <f>+D9*F6</f>
        <v>29000</v>
      </c>
      <c r="G9" s="562">
        <f t="shared" si="0"/>
        <v>3222.2222222222222</v>
      </c>
      <c r="H9" s="563">
        <f>$F9 / ResSF</f>
        <v>1.167659848606861</v>
      </c>
      <c r="I9" s="564">
        <f>$F9 / DevBud1</f>
        <v>1.3464444227946537E-3</v>
      </c>
      <c r="J9" s="564">
        <f>$F9 / TotalSales</f>
        <v>1.0615089532789645E-3</v>
      </c>
      <c r="K9" s="1026"/>
      <c r="L9" s="1377" t="str">
        <f>IFERROR(INDEX('Job Cost COA'!E:F,MATCH(A9,'Job Cost COA'!E:E,0),2),IF(F9&lt;&gt;0,"Assign Code","Missing Code"))</f>
        <v>Land acq-closing other</v>
      </c>
      <c r="M9" s="2"/>
      <c r="N9" s="2"/>
      <c r="O9" s="2"/>
    </row>
    <row r="10" spans="1:30">
      <c r="A10" s="1531">
        <v>15155204</v>
      </c>
      <c r="B10" s="560" t="s">
        <v>5012</v>
      </c>
      <c r="C10" s="560"/>
      <c r="D10" s="566"/>
      <c r="E10" s="1066" t="s">
        <v>21</v>
      </c>
      <c r="F10" s="1067">
        <v>0</v>
      </c>
      <c r="G10" s="567">
        <f t="shared" si="0"/>
        <v>0</v>
      </c>
      <c r="H10" s="568">
        <f>$F10/ResSF</f>
        <v>0</v>
      </c>
      <c r="I10" s="569">
        <f>$F10/DevBud2</f>
        <v>0</v>
      </c>
      <c r="J10" s="569">
        <f>$F10/TotalSales</f>
        <v>0</v>
      </c>
      <c r="K10" s="1027"/>
      <c r="L10" s="1377" t="str">
        <f>IFERROR(INDEX('Job Cost COA'!E:F,MATCH(A10,'Job Cost COA'!E:E,0),2),IF(F10&lt;&gt;0,"Assign Code","Missing Code"))</f>
        <v>Land acq-affil brokerage fee</v>
      </c>
      <c r="M10" s="2"/>
      <c r="N10" s="2"/>
      <c r="O10" s="2"/>
    </row>
    <row r="11" spans="1:30">
      <c r="A11" s="1531">
        <f>IFERROR(VLOOKUP(B11,'Job Cost COA'!F:I,4,FALSE),0)</f>
        <v>15155207</v>
      </c>
      <c r="B11" s="1030" t="s">
        <v>4462</v>
      </c>
      <c r="C11" s="571"/>
      <c r="D11" s="566"/>
      <c r="E11" s="1066" t="s">
        <v>21</v>
      </c>
      <c r="F11" s="1067">
        <v>0</v>
      </c>
      <c r="G11" s="567">
        <f t="shared" si="0"/>
        <v>0</v>
      </c>
      <c r="H11" s="568">
        <f>$F11/ResSF</f>
        <v>0</v>
      </c>
      <c r="I11" s="569">
        <f>$F11/DevBud2</f>
        <v>0</v>
      </c>
      <c r="J11" s="569">
        <f>$F11/TotalSales</f>
        <v>0</v>
      </c>
      <c r="K11" s="1027"/>
      <c r="L11" s="1377" t="str">
        <f>IFERROR(INDEX('Job Cost COA'!E:F,MATCH(A11,'Job Cost COA'!E:E,0),2),IF(F11&lt;&gt;0,"Assign Code","Missing Code"))</f>
        <v>Land acq-closing legal</v>
      </c>
      <c r="M11" s="2"/>
      <c r="N11" s="2"/>
      <c r="O11" s="2"/>
    </row>
    <row r="12" spans="1:30">
      <c r="A12" s="1531">
        <f>IFERROR(VLOOKUP(B12,'Job Cost COA'!F:I,4,FALSE),0)</f>
        <v>15155208</v>
      </c>
      <c r="B12" s="1030" t="s">
        <v>4461</v>
      </c>
      <c r="C12" s="571"/>
      <c r="D12" s="566"/>
      <c r="E12" s="1066" t="s">
        <v>21</v>
      </c>
      <c r="F12" s="1067">
        <v>0</v>
      </c>
      <c r="G12" s="567">
        <f t="shared" si="0"/>
        <v>0</v>
      </c>
      <c r="H12" s="568">
        <f>$F12/ResSF</f>
        <v>0</v>
      </c>
      <c r="I12" s="569">
        <f>$F12/DevBud2</f>
        <v>0</v>
      </c>
      <c r="J12" s="569">
        <f>$F12/TotalSales</f>
        <v>0</v>
      </c>
      <c r="K12" s="1027"/>
      <c r="L12" s="1377" t="str">
        <f>IFERROR(INDEX('Job Cost COA'!E:F,MATCH(A12,'Job Cost COA'!E:E,0),2),IF(F12&lt;&gt;0,"Assign Code","Missing Code"))</f>
        <v>Land acq-closing title ins</v>
      </c>
      <c r="M12" s="2"/>
      <c r="N12" s="1475" t="s">
        <v>132</v>
      </c>
      <c r="O12" s="1475" t="s">
        <v>5142</v>
      </c>
      <c r="P12" s="1382"/>
      <c r="Q12" s="1382"/>
      <c r="R12">
        <v>8000</v>
      </c>
      <c r="S12">
        <f>R12+2000</f>
        <v>10000</v>
      </c>
      <c r="T12">
        <f t="shared" ref="T12:AA12" si="1">S12+2000</f>
        <v>12000</v>
      </c>
      <c r="U12">
        <f t="shared" si="1"/>
        <v>14000</v>
      </c>
      <c r="V12">
        <f t="shared" si="1"/>
        <v>16000</v>
      </c>
      <c r="W12">
        <f t="shared" si="1"/>
        <v>18000</v>
      </c>
      <c r="X12">
        <f t="shared" si="1"/>
        <v>20000</v>
      </c>
      <c r="Y12">
        <f t="shared" si="1"/>
        <v>22000</v>
      </c>
      <c r="Z12">
        <f t="shared" si="1"/>
        <v>24000</v>
      </c>
      <c r="AA12">
        <f t="shared" si="1"/>
        <v>26000</v>
      </c>
      <c r="AB12">
        <f t="shared" ref="AB12" si="2">AA12+2000</f>
        <v>28000</v>
      </c>
      <c r="AC12">
        <f t="shared" ref="AC12" si="3">AB12+2000</f>
        <v>30000</v>
      </c>
      <c r="AD12">
        <f t="shared" ref="AD12" si="4">AC12+2000</f>
        <v>32000</v>
      </c>
    </row>
    <row r="13" spans="1:30">
      <c r="A13" s="1531">
        <f>IFERROR(VLOOKUP(B13,'Job Cost COA'!F:I,4,FALSE),0)</f>
        <v>15155202</v>
      </c>
      <c r="B13" s="1037" t="s">
        <v>4466</v>
      </c>
      <c r="C13" s="573"/>
      <c r="D13" s="574"/>
      <c r="E13" s="1068" t="s">
        <v>21</v>
      </c>
      <c r="F13" s="1069">
        <v>0</v>
      </c>
      <c r="G13" s="575">
        <f t="shared" si="0"/>
        <v>0</v>
      </c>
      <c r="H13" s="576">
        <f>$F13/ResSF</f>
        <v>0</v>
      </c>
      <c r="I13" s="577">
        <f>$F13/DevBud2</f>
        <v>0</v>
      </c>
      <c r="J13" s="577">
        <f>$F13/TotalSales</f>
        <v>0</v>
      </c>
      <c r="K13" s="1027"/>
      <c r="L13" s="1378" t="str">
        <f>IFERROR(INDEX('Job Cost COA'!E:F,MATCH(A13,'Job Cost COA'!E:E,0),2),IF(F13&lt;&gt;0,"Assign Code","Missing Code"))</f>
        <v>Land acq-real estate tax</v>
      </c>
      <c r="M13" s="2"/>
      <c r="N13" s="1474">
        <v>2.1</v>
      </c>
      <c r="O13" s="1467">
        <v>43560</v>
      </c>
      <c r="P13" s="1467">
        <f>O13*N13</f>
        <v>91476</v>
      </c>
      <c r="Q13" s="1382">
        <f>P13*0.6</f>
        <v>54885.599999999999</v>
      </c>
      <c r="R13" s="1468">
        <f>R12/$Q$13</f>
        <v>0.14575772151529728</v>
      </c>
      <c r="S13" s="1468">
        <f t="shared" ref="S13" si="5">S12/$Q$13</f>
        <v>0.18219715189412158</v>
      </c>
      <c r="T13" s="1468">
        <f t="shared" ref="T13" si="6">T12/$Q$13</f>
        <v>0.21863658227294591</v>
      </c>
      <c r="U13" s="1468">
        <f t="shared" ref="U13" si="7">U12/$Q$13</f>
        <v>0.25507601265177021</v>
      </c>
      <c r="V13" s="1468">
        <f>V12/$Q$13</f>
        <v>0.29151544303059457</v>
      </c>
      <c r="W13" s="1468">
        <f t="shared" ref="W13" si="8">W12/$Q$13</f>
        <v>0.32795487340941887</v>
      </c>
      <c r="X13" s="1468">
        <f t="shared" ref="X13" si="9">X12/$Q$13</f>
        <v>0.36439430378824317</v>
      </c>
      <c r="Y13" s="1468">
        <f t="shared" ref="Y13" si="10">Y12/$Q$13</f>
        <v>0.40083373416706752</v>
      </c>
      <c r="Z13" s="1468">
        <f>Z12/$Q$13</f>
        <v>0.43727316454589182</v>
      </c>
      <c r="AA13" s="1468">
        <f t="shared" ref="AA13:AD13" si="11">AA12/$Q$13</f>
        <v>0.47371259492471612</v>
      </c>
      <c r="AB13" s="1468">
        <f t="shared" si="11"/>
        <v>0.51015202530354042</v>
      </c>
      <c r="AC13" s="1468">
        <f t="shared" si="11"/>
        <v>0.54659145568236478</v>
      </c>
      <c r="AD13" s="1468">
        <f t="shared" si="11"/>
        <v>0.58303088606118914</v>
      </c>
    </row>
    <row r="14" spans="1:30">
      <c r="B14" s="154" t="s">
        <v>212</v>
      </c>
      <c r="C14" s="154"/>
      <c r="D14" s="578"/>
      <c r="E14" s="154"/>
      <c r="F14" s="579">
        <f>SUM(F5:F13)</f>
        <v>2929000</v>
      </c>
      <c r="G14" s="580">
        <f t="shared" si="0"/>
        <v>325444.44444444444</v>
      </c>
      <c r="H14" s="581">
        <f>$F14/ResSF</f>
        <v>117.93364470929296</v>
      </c>
      <c r="I14" s="210">
        <f>$F14/DevBud2</f>
        <v>0.13599088670226003</v>
      </c>
      <c r="J14" s="210">
        <f>$F14/TotalSales</f>
        <v>0.10721240428117541</v>
      </c>
      <c r="K14" s="210"/>
      <c r="L14" s="1377"/>
      <c r="M14" s="2"/>
      <c r="N14" s="2"/>
      <c r="O14" s="2"/>
      <c r="Q14">
        <v>40</v>
      </c>
      <c r="R14" s="1470">
        <f>($Q$14*$N$13)*(1-R13)</f>
        <v>71.756351392715032</v>
      </c>
      <c r="S14" s="1470">
        <f t="shared" ref="S14:AD14" si="12">($Q$14*$N$13)*(1-S13)</f>
        <v>68.695439240893791</v>
      </c>
      <c r="T14" s="1470">
        <f t="shared" si="12"/>
        <v>65.634527089072549</v>
      </c>
      <c r="U14" s="1470">
        <f t="shared" si="12"/>
        <v>62.573614937251307</v>
      </c>
      <c r="V14" s="1470">
        <f t="shared" si="12"/>
        <v>59.512702785430051</v>
      </c>
      <c r="W14" s="1470">
        <f t="shared" si="12"/>
        <v>56.451790633608816</v>
      </c>
      <c r="X14" s="1470">
        <f t="shared" si="12"/>
        <v>53.390878481787581</v>
      </c>
      <c r="Y14" s="1470">
        <f t="shared" si="12"/>
        <v>50.329966329966325</v>
      </c>
      <c r="Z14" s="1470">
        <f t="shared" si="12"/>
        <v>47.269054178145083</v>
      </c>
      <c r="AA14" s="1470">
        <f t="shared" si="12"/>
        <v>44.208142026323848</v>
      </c>
      <c r="AB14" s="1470">
        <f t="shared" si="12"/>
        <v>41.147229874502607</v>
      </c>
      <c r="AC14" s="1470">
        <f t="shared" si="12"/>
        <v>38.086317722681358</v>
      </c>
      <c r="AD14" s="1470">
        <f t="shared" si="12"/>
        <v>35.025405570860116</v>
      </c>
    </row>
    <row r="15" spans="1:30">
      <c r="B15" s="582"/>
      <c r="C15" s="154"/>
      <c r="D15" s="583"/>
      <c r="E15" s="150"/>
      <c r="F15" s="583"/>
      <c r="L15" s="1377"/>
      <c r="M15" s="2"/>
      <c r="N15" s="2"/>
      <c r="O15" s="2"/>
      <c r="Q15">
        <v>35</v>
      </c>
      <c r="R15" s="1470">
        <f>($Q$15*$N$13)*(1-R13)</f>
        <v>62.786807468625646</v>
      </c>
      <c r="S15" s="1470">
        <f t="shared" ref="S15:AD15" si="13">($Q$15*$N$13)*(1-S13)</f>
        <v>60.108509335782067</v>
      </c>
      <c r="T15" s="1470">
        <f t="shared" si="13"/>
        <v>57.430211202938473</v>
      </c>
      <c r="U15" s="1470">
        <f t="shared" si="13"/>
        <v>54.751913070094893</v>
      </c>
      <c r="V15" s="1470">
        <f t="shared" si="13"/>
        <v>52.073614937251293</v>
      </c>
      <c r="W15" s="1470">
        <f t="shared" si="13"/>
        <v>49.395316804407713</v>
      </c>
      <c r="X15" s="1470">
        <f t="shared" si="13"/>
        <v>46.717018671564134</v>
      </c>
      <c r="Y15" s="1470">
        <f t="shared" si="13"/>
        <v>44.038720538720533</v>
      </c>
      <c r="Z15" s="1470">
        <f t="shared" si="13"/>
        <v>41.360422405876953</v>
      </c>
      <c r="AA15" s="1470">
        <f t="shared" si="13"/>
        <v>38.682124273033367</v>
      </c>
      <c r="AB15" s="1470">
        <f t="shared" si="13"/>
        <v>36.00382614018978</v>
      </c>
      <c r="AC15" s="1470">
        <f t="shared" si="13"/>
        <v>33.325528007346186</v>
      </c>
      <c r="AD15" s="1470">
        <f t="shared" si="13"/>
        <v>30.6472298745026</v>
      </c>
    </row>
    <row r="16" spans="1:30">
      <c r="B16" s="154" t="s">
        <v>84</v>
      </c>
      <c r="C16" s="551"/>
      <c r="D16" s="552"/>
      <c r="E16" s="584" t="s">
        <v>134</v>
      </c>
      <c r="F16" s="553" t="s">
        <v>21</v>
      </c>
      <c r="G16" s="152" t="s">
        <v>182</v>
      </c>
      <c r="H16" s="152" t="s">
        <v>292</v>
      </c>
      <c r="I16" s="152" t="s">
        <v>262</v>
      </c>
      <c r="J16" s="152" t="s">
        <v>293</v>
      </c>
      <c r="K16" s="152"/>
      <c r="L16" s="1377"/>
      <c r="M16" s="2"/>
      <c r="N16" s="2"/>
      <c r="O16" s="2"/>
      <c r="Q16">
        <v>30</v>
      </c>
      <c r="R16" s="1470">
        <f>($Q$16*$N$13)*(1-R13)</f>
        <v>53.817263544536267</v>
      </c>
      <c r="S16" s="1470">
        <f t="shared" ref="S16:AD16" si="14">($Q$16*$N$13)*(1-S13)</f>
        <v>51.521579430670343</v>
      </c>
      <c r="T16" s="1470">
        <f t="shared" si="14"/>
        <v>49.225895316804404</v>
      </c>
      <c r="U16" s="1470">
        <f t="shared" si="14"/>
        <v>46.93021120293848</v>
      </c>
      <c r="V16" s="1470">
        <f t="shared" si="14"/>
        <v>44.634527089072542</v>
      </c>
      <c r="W16" s="1470">
        <f t="shared" si="14"/>
        <v>42.33884297520661</v>
      </c>
      <c r="X16" s="1470">
        <f t="shared" si="14"/>
        <v>40.043158861340686</v>
      </c>
      <c r="Y16" s="1470">
        <f t="shared" si="14"/>
        <v>37.74747474747474</v>
      </c>
      <c r="Z16" s="1470">
        <f t="shared" si="14"/>
        <v>35.451790633608816</v>
      </c>
      <c r="AA16" s="1470">
        <f t="shared" si="14"/>
        <v>33.156106519742885</v>
      </c>
      <c r="AB16" s="1470">
        <f t="shared" si="14"/>
        <v>30.860422405876953</v>
      </c>
      <c r="AC16" s="1470">
        <f t="shared" si="14"/>
        <v>28.564738292011018</v>
      </c>
      <c r="AD16" s="1470">
        <f t="shared" si="14"/>
        <v>26.269054178145083</v>
      </c>
    </row>
    <row r="17" spans="1:30">
      <c r="A17" s="1531">
        <v>15220200</v>
      </c>
      <c r="B17" s="555" t="s">
        <v>85</v>
      </c>
      <c r="C17" s="555"/>
      <c r="D17" s="585"/>
      <c r="E17" s="1063" t="s">
        <v>21</v>
      </c>
      <c r="F17" s="1072">
        <v>0</v>
      </c>
      <c r="G17" s="586">
        <f t="shared" ref="G17:G29" si="15">$F17/ResUnits</f>
        <v>0</v>
      </c>
      <c r="H17" s="587">
        <f t="shared" ref="H17:H29" si="16">$F17/ResSF</f>
        <v>0</v>
      </c>
      <c r="I17" s="588">
        <f t="shared" ref="I17:I28" si="17">$F17/DevBud2</f>
        <v>0</v>
      </c>
      <c r="J17" s="588">
        <f>$F17/TotalSales</f>
        <v>0</v>
      </c>
      <c r="K17" s="1027"/>
      <c r="L17" s="1376" t="str">
        <f>IFERROR(INDEX('Job Cost COA'!E:F,MATCH(A17,'Job Cost COA'!E:E,0),2),IF(F17&lt;&gt;0,"Assign Code","Missing Code"))</f>
        <v>Inventory-Construction Costs</v>
      </c>
      <c r="M17" s="2"/>
      <c r="N17" s="2"/>
      <c r="O17" s="2"/>
    </row>
    <row r="18" spans="1:30">
      <c r="A18" s="1531">
        <v>15220200</v>
      </c>
      <c r="B18" s="560" t="s">
        <v>86</v>
      </c>
      <c r="C18" s="560"/>
      <c r="D18" s="561"/>
      <c r="E18" s="1064" t="s">
        <v>21</v>
      </c>
      <c r="F18" s="1067">
        <v>0</v>
      </c>
      <c r="G18" s="567">
        <f t="shared" si="15"/>
        <v>0</v>
      </c>
      <c r="H18" s="568">
        <f t="shared" si="16"/>
        <v>0</v>
      </c>
      <c r="I18" s="569">
        <f t="shared" si="17"/>
        <v>0</v>
      </c>
      <c r="J18" s="569">
        <f>$F18/TotalSales</f>
        <v>0</v>
      </c>
      <c r="K18" s="1027"/>
      <c r="L18" s="1377" t="str">
        <f>IFERROR(INDEX('Job Cost COA'!E:F,MATCH(A18,'Job Cost COA'!E:E,0),2),IF(F18&lt;&gt;0,"Assign Code","Missing Code"))</f>
        <v>Inventory-Construction Costs</v>
      </c>
      <c r="M18" s="2"/>
      <c r="N18" s="2"/>
      <c r="O18" s="2"/>
      <c r="R18" s="1469">
        <f>10000000*(1-R13)</f>
        <v>8542422.7848470267</v>
      </c>
      <c r="S18" s="1469">
        <f t="shared" ref="S18:AD18" si="18">10000000*(1-S13)</f>
        <v>8178028.4810587848</v>
      </c>
      <c r="T18" s="1469">
        <f t="shared" si="18"/>
        <v>7813634.177270541</v>
      </c>
      <c r="U18" s="1469">
        <f t="shared" si="18"/>
        <v>7449239.8734822981</v>
      </c>
      <c r="V18" s="1469">
        <f t="shared" si="18"/>
        <v>7084845.5696940534</v>
      </c>
      <c r="W18" s="1469">
        <f t="shared" si="18"/>
        <v>6720451.2659058115</v>
      </c>
      <c r="X18" s="1469">
        <f t="shared" si="18"/>
        <v>6356056.9621175686</v>
      </c>
      <c r="Y18" s="1469">
        <f t="shared" si="18"/>
        <v>5991662.6583293239</v>
      </c>
      <c r="Z18" s="1469">
        <f t="shared" si="18"/>
        <v>5627268.3545410819</v>
      </c>
      <c r="AA18" s="1469">
        <f t="shared" si="18"/>
        <v>5262874.0507528391</v>
      </c>
      <c r="AB18" s="1469">
        <f t="shared" si="18"/>
        <v>4898479.7469645962</v>
      </c>
      <c r="AC18" s="1469">
        <f t="shared" si="18"/>
        <v>4534085.4431763524</v>
      </c>
      <c r="AD18" s="1469">
        <f t="shared" si="18"/>
        <v>4169691.1393881086</v>
      </c>
    </row>
    <row r="19" spans="1:30">
      <c r="A19" s="1531">
        <v>15220200</v>
      </c>
      <c r="B19" s="560" t="s">
        <v>624</v>
      </c>
      <c r="C19" s="560"/>
      <c r="D19" s="589"/>
      <c r="E19" s="1064" t="s">
        <v>21</v>
      </c>
      <c r="F19" s="1067">
        <v>0</v>
      </c>
      <c r="G19" s="567">
        <f t="shared" si="15"/>
        <v>0</v>
      </c>
      <c r="H19" s="568">
        <f t="shared" si="16"/>
        <v>0</v>
      </c>
      <c r="I19" s="569">
        <f t="shared" si="17"/>
        <v>0</v>
      </c>
      <c r="J19" s="569">
        <f>$F19/TotalSales</f>
        <v>0</v>
      </c>
      <c r="K19" s="1027"/>
      <c r="L19" s="1377" t="str">
        <f>IFERROR(INDEX('Job Cost COA'!E:F,MATCH(A19,'Job Cost COA'!E:E,0),2),IF(F19&lt;&gt;0,"Assign Code","Missing Code"))</f>
        <v>Inventory-Construction Costs</v>
      </c>
      <c r="M19" s="2"/>
      <c r="N19" s="2"/>
      <c r="O19" s="2"/>
    </row>
    <row r="20" spans="1:30">
      <c r="A20" s="1531">
        <v>15220200</v>
      </c>
      <c r="B20" s="560" t="s">
        <v>5117</v>
      </c>
      <c r="C20" s="1473">
        <f>ResSF</f>
        <v>24836</v>
      </c>
      <c r="D20" s="1436">
        <v>400</v>
      </c>
      <c r="E20" s="1064" t="s">
        <v>21</v>
      </c>
      <c r="F20" s="1370">
        <f>+costpsf*C20</f>
        <v>9934400</v>
      </c>
      <c r="G20" s="1031">
        <f t="shared" si="15"/>
        <v>1103822.2222222222</v>
      </c>
      <c r="H20" s="568">
        <f t="shared" si="16"/>
        <v>400</v>
      </c>
      <c r="I20" s="1033">
        <f t="shared" si="17"/>
        <v>0.46124543013142094</v>
      </c>
      <c r="J20" s="1033">
        <f>$F20 / TotalSales</f>
        <v>0.36363636363636365</v>
      </c>
      <c r="K20" s="1026"/>
      <c r="L20" s="1377" t="str">
        <f>IFERROR(INDEX('Job Cost COA'!E:F,MATCH(A20,'Job Cost COA'!E:E,0),2),IF(F20&lt;&gt;0,"Assign Code","Missing Code"))</f>
        <v>Inventory-Construction Costs</v>
      </c>
      <c r="M20" s="2"/>
      <c r="N20" s="2"/>
      <c r="O20" s="2"/>
    </row>
    <row r="21" spans="1:30">
      <c r="A21" s="1531">
        <v>15220200</v>
      </c>
      <c r="B21" s="560" t="s">
        <v>5011</v>
      </c>
      <c r="C21" s="1435"/>
      <c r="D21" s="1435"/>
      <c r="E21" s="1064" t="s">
        <v>21</v>
      </c>
      <c r="F21" s="1065">
        <v>0</v>
      </c>
      <c r="G21" s="567">
        <f t="shared" si="15"/>
        <v>0</v>
      </c>
      <c r="H21" s="568">
        <f t="shared" si="16"/>
        <v>0</v>
      </c>
      <c r="I21" s="569">
        <f t="shared" si="17"/>
        <v>0</v>
      </c>
      <c r="J21" s="569">
        <f>$F21 / TotalSales</f>
        <v>0</v>
      </c>
      <c r="K21" s="1027"/>
      <c r="L21" s="1377" t="str">
        <f>IFERROR(INDEX('Job Cost COA'!E:F,MATCH(A21,'Job Cost COA'!E:E,0),2),IF(F21&lt;&gt;0,"Assign Code","Missing Code"))</f>
        <v>Inventory-Construction Costs</v>
      </c>
      <c r="M21" s="2"/>
      <c r="N21" s="2"/>
      <c r="O21" s="2"/>
    </row>
    <row r="22" spans="1:30">
      <c r="A22" s="1531">
        <v>15220200</v>
      </c>
      <c r="B22" s="560" t="s">
        <v>87</v>
      </c>
      <c r="C22" s="1435"/>
      <c r="D22" s="1435"/>
      <c r="E22" s="1064" t="s">
        <v>21</v>
      </c>
      <c r="F22" s="1067">
        <v>0</v>
      </c>
      <c r="G22" s="567">
        <f t="shared" si="15"/>
        <v>0</v>
      </c>
      <c r="H22" s="568">
        <f t="shared" si="16"/>
        <v>0</v>
      </c>
      <c r="I22" s="569">
        <f t="shared" si="17"/>
        <v>0</v>
      </c>
      <c r="J22" s="569">
        <f t="shared" ref="J22:J29" si="19">$F22/TotalSales</f>
        <v>0</v>
      </c>
      <c r="K22" s="1027"/>
      <c r="L22" s="1377" t="str">
        <f>IFERROR(INDEX('Job Cost COA'!E:F,MATCH(A22,'Job Cost COA'!E:E,0),2),IF(F22&lt;&gt;0,"Assign Code","Missing Code"))</f>
        <v>Inventory-Construction Costs</v>
      </c>
      <c r="M22" s="2"/>
      <c r="N22" s="2"/>
      <c r="O22" s="2"/>
    </row>
    <row r="23" spans="1:30">
      <c r="A23" s="1531">
        <v>15220200</v>
      </c>
      <c r="B23" s="6" t="s">
        <v>5163</v>
      </c>
      <c r="C23" s="1435"/>
      <c r="D23" s="1435"/>
      <c r="E23" s="1064" t="s">
        <v>21</v>
      </c>
      <c r="F23" s="1067">
        <v>0</v>
      </c>
      <c r="G23" s="567">
        <f t="shared" si="15"/>
        <v>0</v>
      </c>
      <c r="H23" s="568">
        <f t="shared" si="16"/>
        <v>0</v>
      </c>
      <c r="I23" s="569">
        <f t="shared" si="17"/>
        <v>0</v>
      </c>
      <c r="J23" s="569">
        <f t="shared" si="19"/>
        <v>0</v>
      </c>
      <c r="K23" s="1027"/>
      <c r="L23" s="1377" t="str">
        <f>IFERROR(INDEX('Job Cost COA'!E:F,MATCH(A23,'Job Cost COA'!E:E,0),2),IF(F23&lt;&gt;0,"Assign Code","Missing Code"))</f>
        <v>Inventory-Construction Costs</v>
      </c>
      <c r="M23" s="2"/>
      <c r="N23" s="2"/>
      <c r="O23" s="2"/>
    </row>
    <row r="24" spans="1:30">
      <c r="A24" s="1531">
        <v>15220200</v>
      </c>
      <c r="B24" s="1030" t="s">
        <v>1901</v>
      </c>
      <c r="C24" s="1435"/>
      <c r="D24" s="1435"/>
      <c r="E24" s="1064" t="s">
        <v>21</v>
      </c>
      <c r="F24" s="1065">
        <v>0</v>
      </c>
      <c r="G24" s="562">
        <f t="shared" si="15"/>
        <v>0</v>
      </c>
      <c r="H24" s="563">
        <f t="shared" si="16"/>
        <v>0</v>
      </c>
      <c r="I24" s="564">
        <f t="shared" si="17"/>
        <v>0</v>
      </c>
      <c r="J24" s="564">
        <f>$F24 / TotalSales</f>
        <v>0</v>
      </c>
      <c r="K24" s="1026"/>
      <c r="L24" s="1377" t="str">
        <f>IFERROR(INDEX('Job Cost COA'!E:F,MATCH(A24,'Job Cost COA'!E:E,0),2),IF(F24&lt;&gt;0,"Assign Code","Missing Code"))</f>
        <v>Inventory-Construction Costs</v>
      </c>
      <c r="M24" s="2"/>
      <c r="N24" s="2"/>
      <c r="O24" s="2"/>
    </row>
    <row r="25" spans="1:30">
      <c r="A25" s="1531">
        <v>15220200</v>
      </c>
      <c r="B25" s="1030" t="s">
        <v>296</v>
      </c>
      <c r="C25" s="590"/>
      <c r="D25" s="590"/>
      <c r="E25" s="1064" t="s">
        <v>21</v>
      </c>
      <c r="F25" s="1067">
        <v>0</v>
      </c>
      <c r="G25" s="567">
        <f t="shared" si="15"/>
        <v>0</v>
      </c>
      <c r="H25" s="568">
        <f t="shared" si="16"/>
        <v>0</v>
      </c>
      <c r="I25" s="569">
        <f t="shared" si="17"/>
        <v>0</v>
      </c>
      <c r="J25" s="569">
        <f t="shared" si="19"/>
        <v>0</v>
      </c>
      <c r="K25" s="1027"/>
      <c r="L25" s="1377" t="str">
        <f>IFERROR(INDEX('Job Cost COA'!E:F,MATCH(A25,'Job Cost COA'!E:E,0),2),IF(F25&lt;&gt;0,"Assign Code","Missing Code"))</f>
        <v>Inventory-Construction Costs</v>
      </c>
      <c r="M25" s="2"/>
      <c r="N25" s="2"/>
      <c r="O25" s="2"/>
    </row>
    <row r="26" spans="1:30">
      <c r="A26" s="1531">
        <v>15220200</v>
      </c>
      <c r="B26" s="1030" t="s">
        <v>296</v>
      </c>
      <c r="C26" s="591"/>
      <c r="D26" s="591"/>
      <c r="E26" s="1064" t="s">
        <v>21</v>
      </c>
      <c r="F26" s="1067">
        <v>0</v>
      </c>
      <c r="G26" s="567">
        <f t="shared" si="15"/>
        <v>0</v>
      </c>
      <c r="H26" s="567">
        <f t="shared" si="16"/>
        <v>0</v>
      </c>
      <c r="I26" s="569">
        <f t="shared" si="17"/>
        <v>0</v>
      </c>
      <c r="J26" s="569">
        <f t="shared" si="19"/>
        <v>0</v>
      </c>
      <c r="K26" s="1027"/>
      <c r="L26" s="1377" t="str">
        <f>IFERROR(INDEX('Job Cost COA'!E:F,MATCH(A26,'Job Cost COA'!E:E,0),2),IF(F26&lt;&gt;0,"Assign Code","Missing Code"))</f>
        <v>Inventory-Construction Costs</v>
      </c>
      <c r="M26" s="2"/>
      <c r="N26" s="2"/>
      <c r="O26" s="2"/>
    </row>
    <row r="27" spans="1:30">
      <c r="A27" s="1531">
        <v>15220200</v>
      </c>
      <c r="B27" s="570" t="s">
        <v>5143</v>
      </c>
      <c r="C27" s="1436">
        <f>sales!E22</f>
        <v>0</v>
      </c>
      <c r="D27" s="1436">
        <v>0</v>
      </c>
      <c r="E27" s="1064" t="s">
        <v>21</v>
      </c>
      <c r="F27" s="1370">
        <f>+D27*C27</f>
        <v>0</v>
      </c>
      <c r="G27" s="567">
        <f t="shared" si="15"/>
        <v>0</v>
      </c>
      <c r="H27" s="567">
        <f t="shared" si="16"/>
        <v>0</v>
      </c>
      <c r="I27" s="1033">
        <f t="shared" si="17"/>
        <v>0</v>
      </c>
      <c r="J27" s="1033">
        <f>$F27 / TotalSales</f>
        <v>0</v>
      </c>
      <c r="K27" s="1027"/>
      <c r="L27" s="1377" t="str">
        <f>IFERROR(INDEX('Job Cost COA'!E:F,MATCH(A27,'Job Cost COA'!E:E,0),2),IF(F27&lt;&gt;0,"Assign Code","Missing Code"))</f>
        <v>Inventory-Construction Costs</v>
      </c>
      <c r="M27" s="2"/>
      <c r="N27" s="2"/>
      <c r="O27" s="2"/>
    </row>
    <row r="28" spans="1:30">
      <c r="A28" s="1531">
        <v>15220200</v>
      </c>
      <c r="B28" s="572" t="s">
        <v>296</v>
      </c>
      <c r="C28" s="573"/>
      <c r="D28" s="592"/>
      <c r="E28" s="1073" t="s">
        <v>21</v>
      </c>
      <c r="F28" s="1069">
        <v>0</v>
      </c>
      <c r="G28" s="575">
        <f t="shared" si="15"/>
        <v>0</v>
      </c>
      <c r="H28" s="576">
        <f t="shared" si="16"/>
        <v>0</v>
      </c>
      <c r="I28" s="577">
        <f t="shared" si="17"/>
        <v>0</v>
      </c>
      <c r="J28" s="577">
        <f t="shared" si="19"/>
        <v>0</v>
      </c>
      <c r="K28" s="1027"/>
      <c r="L28" s="1378" t="str">
        <f>IFERROR(INDEX('Job Cost COA'!E:F,MATCH(A28,'Job Cost COA'!E:E,0),2),IF(F28&lt;&gt;0,"Assign Code","Missing Code"))</f>
        <v>Inventory-Construction Costs</v>
      </c>
      <c r="M28" s="2"/>
      <c r="N28" s="2"/>
      <c r="O28" s="2"/>
    </row>
    <row r="29" spans="1:30">
      <c r="B29" s="154" t="s">
        <v>21</v>
      </c>
      <c r="C29" s="152"/>
      <c r="D29" s="593"/>
      <c r="E29" s="153"/>
      <c r="F29" s="594">
        <f>SUM(F16:F28)</f>
        <v>9934400</v>
      </c>
      <c r="G29" s="580">
        <f t="shared" si="15"/>
        <v>1103822.2222222222</v>
      </c>
      <c r="H29" s="581">
        <f t="shared" si="16"/>
        <v>400</v>
      </c>
      <c r="I29" s="210">
        <f t="shared" ref="I29" si="20">$F29/DevBud2</f>
        <v>0.46124543013142094</v>
      </c>
      <c r="J29" s="210">
        <f t="shared" si="19"/>
        <v>0.36363636363636365</v>
      </c>
      <c r="K29" s="210"/>
      <c r="L29" s="1377"/>
      <c r="M29" s="2"/>
      <c r="N29" s="2"/>
      <c r="O29" s="2"/>
    </row>
    <row r="30" spans="1:30">
      <c r="B30" s="149"/>
      <c r="D30" s="595"/>
      <c r="E30" s="150"/>
      <c r="F30" s="596"/>
      <c r="L30" s="1377"/>
      <c r="M30" s="2"/>
      <c r="N30" s="2"/>
      <c r="O30" s="2"/>
    </row>
    <row r="31" spans="1:30">
      <c r="B31" s="597" t="s">
        <v>297</v>
      </c>
      <c r="C31" s="598"/>
      <c r="D31" s="599"/>
      <c r="E31" s="584" t="s">
        <v>134</v>
      </c>
      <c r="F31" s="600" t="s">
        <v>21</v>
      </c>
      <c r="G31" s="584" t="s">
        <v>182</v>
      </c>
      <c r="H31" s="584" t="s">
        <v>292</v>
      </c>
      <c r="I31" s="584" t="s">
        <v>262</v>
      </c>
      <c r="J31" s="584" t="s">
        <v>293</v>
      </c>
      <c r="K31" s="152"/>
      <c r="L31" s="1377"/>
      <c r="M31" s="2"/>
      <c r="N31" s="2"/>
      <c r="O31" s="2"/>
    </row>
    <row r="32" spans="1:30">
      <c r="A32" s="1531">
        <v>15230690</v>
      </c>
      <c r="B32" s="601" t="s">
        <v>532</v>
      </c>
      <c r="C32" s="585"/>
      <c r="D32" s="1074"/>
      <c r="E32" s="1063" t="s">
        <v>21</v>
      </c>
      <c r="F32" s="1075">
        <v>25000</v>
      </c>
      <c r="G32" s="557">
        <f t="shared" ref="G32:G61" si="21">$F32/ResUnits</f>
        <v>2777.7777777777778</v>
      </c>
      <c r="H32" s="558">
        <f t="shared" ref="H32:H54" si="22">$F32 / ResSF</f>
        <v>1.0066033177645353</v>
      </c>
      <c r="I32" s="559">
        <f t="shared" ref="I32:I59" si="23">$F32 / DevBud1</f>
        <v>1.1607279506850464E-3</v>
      </c>
      <c r="J32" s="559">
        <f t="shared" ref="J32:J59" si="24">$F32 / TotalSales</f>
        <v>9.1509392524048673E-4</v>
      </c>
      <c r="K32" s="1026"/>
      <c r="L32" s="1376" t="str">
        <f>IFERROR(INDEX('Job Cost COA'!E:F,MATCH(A32,'Job Cost COA'!E:E,0),2),IF(F32&lt;&gt;0,"Assign Code","Missing Code"))</f>
        <v>Inv-Owner Items-other</v>
      </c>
      <c r="M32" s="2"/>
      <c r="N32" s="2"/>
      <c r="O32" s="2"/>
    </row>
    <row r="33" spans="1:15">
      <c r="A33" s="1531">
        <v>15230082</v>
      </c>
      <c r="B33" s="602" t="s">
        <v>625</v>
      </c>
      <c r="C33" s="603"/>
      <c r="D33" s="590"/>
      <c r="E33" s="1064" t="s">
        <v>21</v>
      </c>
      <c r="F33" s="1065"/>
      <c r="G33" s="562">
        <f t="shared" si="21"/>
        <v>0</v>
      </c>
      <c r="H33" s="563">
        <f t="shared" si="22"/>
        <v>0</v>
      </c>
      <c r="I33" s="564">
        <f t="shared" si="23"/>
        <v>0</v>
      </c>
      <c r="J33" s="564">
        <f t="shared" si="24"/>
        <v>0</v>
      </c>
      <c r="K33" s="1026"/>
      <c r="L33" s="1377" t="str">
        <f>IFERROR(INDEX('Job Cost COA'!E:F,MATCH(A33,'Job Cost COA'!E:E,0),2),IF(F33&lt;&gt;0,"Assign Code","Missing Code"))</f>
        <v>Owner Items-pool-equipment and furniture</v>
      </c>
      <c r="M33" s="2"/>
      <c r="N33" s="2"/>
      <c r="O33" s="2"/>
    </row>
    <row r="34" spans="1:15">
      <c r="A34" s="1531">
        <v>15230061</v>
      </c>
      <c r="B34" s="602" t="s">
        <v>626</v>
      </c>
      <c r="C34" s="604"/>
      <c r="D34" s="590"/>
      <c r="E34" s="1064" t="s">
        <v>21</v>
      </c>
      <c r="F34" s="1065"/>
      <c r="G34" s="562">
        <f t="shared" si="21"/>
        <v>0</v>
      </c>
      <c r="H34" s="563">
        <f t="shared" si="22"/>
        <v>0</v>
      </c>
      <c r="I34" s="564">
        <f t="shared" si="23"/>
        <v>0</v>
      </c>
      <c r="J34" s="564">
        <f t="shared" si="24"/>
        <v>0</v>
      </c>
      <c r="K34" s="1026"/>
      <c r="L34" s="1377" t="str">
        <f>IFERROR(INDEX('Job Cost COA'!E:F,MATCH(A34,'Job Cost COA'!E:E,0),2),IF(F34&lt;&gt;0,"Assign Code","Missing Code"))</f>
        <v>Owner Items-clubhouse</v>
      </c>
      <c r="M34" s="2"/>
      <c r="N34" s="2"/>
      <c r="O34" s="2"/>
    </row>
    <row r="35" spans="1:15">
      <c r="A35" s="1531">
        <v>15230103</v>
      </c>
      <c r="B35" s="602" t="s">
        <v>627</v>
      </c>
      <c r="C35" s="560"/>
      <c r="D35" s="590"/>
      <c r="E35" s="1064" t="s">
        <v>21</v>
      </c>
      <c r="F35" s="1065"/>
      <c r="G35" s="562">
        <f t="shared" si="21"/>
        <v>0</v>
      </c>
      <c r="H35" s="563">
        <f t="shared" si="22"/>
        <v>0</v>
      </c>
      <c r="I35" s="564">
        <f t="shared" si="23"/>
        <v>0</v>
      </c>
      <c r="J35" s="564">
        <f t="shared" si="24"/>
        <v>0</v>
      </c>
      <c r="K35" s="1026"/>
      <c r="L35" s="1377" t="str">
        <f>IFERROR(INDEX('Job Cost COA'!E:F,MATCH(A35,'Job Cost COA'!E:E,0),2),IF(F35&lt;&gt;0,"Assign Code","Missing Code"))</f>
        <v>Owner Items-fitness room-gym equipment</v>
      </c>
      <c r="M35" s="2"/>
      <c r="N35" s="2"/>
      <c r="O35" s="2"/>
    </row>
    <row r="36" spans="1:15">
      <c r="A36" s="1531">
        <v>15230163</v>
      </c>
      <c r="B36" s="602" t="s">
        <v>628</v>
      </c>
      <c r="C36" s="560"/>
      <c r="D36" s="590"/>
      <c r="E36" s="1064" t="s">
        <v>21</v>
      </c>
      <c r="F36" s="1065"/>
      <c r="G36" s="562">
        <f t="shared" si="21"/>
        <v>0</v>
      </c>
      <c r="H36" s="563">
        <f t="shared" si="22"/>
        <v>0</v>
      </c>
      <c r="I36" s="564">
        <f t="shared" si="23"/>
        <v>0</v>
      </c>
      <c r="J36" s="564">
        <f t="shared" si="24"/>
        <v>0</v>
      </c>
      <c r="K36" s="1026"/>
      <c r="L36" s="1377" t="str">
        <f>IFERROR(INDEX('Job Cost COA'!E:F,MATCH(A36,'Job Cost COA'!E:E,0),2),IF(F36&lt;&gt;0,"Assign Code","Missing Code"))</f>
        <v>Owner Items-technology-audio/visual equipment</v>
      </c>
      <c r="M36" s="2"/>
      <c r="N36" s="2"/>
      <c r="O36" s="2"/>
    </row>
    <row r="37" spans="1:15">
      <c r="A37" s="1531">
        <v>15230652</v>
      </c>
      <c r="B37" s="602" t="s">
        <v>5020</v>
      </c>
      <c r="C37" s="560"/>
      <c r="D37" s="590"/>
      <c r="E37" s="1064" t="s">
        <v>21</v>
      </c>
      <c r="F37" s="1065"/>
      <c r="G37" s="562">
        <f t="shared" si="21"/>
        <v>0</v>
      </c>
      <c r="H37" s="563">
        <f t="shared" si="22"/>
        <v>0</v>
      </c>
      <c r="I37" s="564">
        <f t="shared" si="23"/>
        <v>0</v>
      </c>
      <c r="J37" s="564">
        <f t="shared" si="24"/>
        <v>0</v>
      </c>
      <c r="K37" s="1026"/>
      <c r="L37" s="1377" t="str">
        <f>IFERROR(INDEX('Job Cost COA'!E:F,MATCH(A37,'Job Cost COA'!E:E,0),2),IF(F37&lt;&gt;0,"Assign Code","Missing Code"))</f>
        <v>Inv-Owner Items-cab and countertops</v>
      </c>
      <c r="M37" s="2"/>
      <c r="N37" s="2"/>
      <c r="O37" s="2"/>
    </row>
    <row r="38" spans="1:15">
      <c r="A38" s="1531">
        <v>15230241</v>
      </c>
      <c r="B38" s="1472" t="s">
        <v>53</v>
      </c>
      <c r="C38" s="560"/>
      <c r="D38" s="590"/>
      <c r="E38" s="1064" t="s">
        <v>21</v>
      </c>
      <c r="F38" s="1065"/>
      <c r="G38" s="562">
        <f t="shared" si="21"/>
        <v>0</v>
      </c>
      <c r="H38" s="563">
        <f t="shared" si="22"/>
        <v>0</v>
      </c>
      <c r="I38" s="564">
        <f t="shared" si="23"/>
        <v>0</v>
      </c>
      <c r="J38" s="564">
        <f t="shared" si="24"/>
        <v>0</v>
      </c>
      <c r="K38" s="1026"/>
      <c r="L38" s="1377" t="str">
        <f>IFERROR(INDEX('Job Cost COA'!E:F,MATCH(A38,'Job Cost COA'!E:E,0),2),IF(F38&lt;&gt;0,"Assign Code","Missing Code"))</f>
        <v>Owner Items-landscaping</v>
      </c>
      <c r="M38" s="2"/>
      <c r="N38" s="2"/>
      <c r="O38" s="2"/>
    </row>
    <row r="39" spans="1:15">
      <c r="A39" s="1531">
        <v>15230163</v>
      </c>
      <c r="B39" s="602" t="s">
        <v>5013</v>
      </c>
      <c r="C39" s="560"/>
      <c r="D39" s="590"/>
      <c r="E39" s="1064" t="s">
        <v>21</v>
      </c>
      <c r="F39" s="1065"/>
      <c r="G39" s="562">
        <f t="shared" si="21"/>
        <v>0</v>
      </c>
      <c r="H39" s="563">
        <f t="shared" si="22"/>
        <v>0</v>
      </c>
      <c r="I39" s="564">
        <f t="shared" si="23"/>
        <v>0</v>
      </c>
      <c r="J39" s="564">
        <f t="shared" si="24"/>
        <v>0</v>
      </c>
      <c r="K39" s="1026"/>
      <c r="L39" s="1377" t="str">
        <f>IFERROR(INDEX('Job Cost COA'!E:F,MATCH(A39,'Job Cost COA'!E:E,0),2),IF(F39&lt;&gt;0,"Assign Code","Missing Code"))</f>
        <v>Owner Items-technology-audio/visual equipment</v>
      </c>
      <c r="M39" s="2"/>
      <c r="N39" s="2"/>
      <c r="O39" s="2"/>
    </row>
    <row r="40" spans="1:15">
      <c r="A40" s="1531">
        <v>15230650</v>
      </c>
      <c r="B40" s="1472" t="s">
        <v>4</v>
      </c>
      <c r="C40" s="560"/>
      <c r="D40" s="590"/>
      <c r="E40" s="1064" t="s">
        <v>21</v>
      </c>
      <c r="F40" s="1065"/>
      <c r="G40" s="1031">
        <f t="shared" ref="G40:G47" si="25" xml:space="preserve"> $F40 / ResUnits</f>
        <v>0</v>
      </c>
      <c r="H40" s="1032">
        <f t="shared" ref="H40:H47" si="26">$F40 / ResSF</f>
        <v>0</v>
      </c>
      <c r="I40" s="1033">
        <f t="shared" ref="I40:I47" si="27">$F40 / DevBud1</f>
        <v>0</v>
      </c>
      <c r="J40" s="1033">
        <f t="shared" ref="J40:J47" si="28">$F40 / TotalSales</f>
        <v>0</v>
      </c>
      <c r="K40" s="1026"/>
      <c r="L40" s="1377" t="str">
        <f>IFERROR(INDEX('Job Cost COA'!E:F,MATCH(A40,'Job Cost COA'!E:E,0),2),IF(F40&lt;&gt;0,"Assign Code","Missing Code"))</f>
        <v>Inv-Owner Items-appliances</v>
      </c>
      <c r="M40" s="2"/>
      <c r="N40" s="2"/>
      <c r="O40" s="2"/>
    </row>
    <row r="41" spans="1:15">
      <c r="A41" s="1531">
        <v>15230403</v>
      </c>
      <c r="B41" s="602" t="s">
        <v>5019</v>
      </c>
      <c r="C41" s="560"/>
      <c r="D41" s="590"/>
      <c r="E41" s="1064" t="s">
        <v>21</v>
      </c>
      <c r="F41" s="1065"/>
      <c r="G41" s="1031">
        <f t="shared" si="25"/>
        <v>0</v>
      </c>
      <c r="H41" s="1032">
        <f t="shared" si="26"/>
        <v>0</v>
      </c>
      <c r="I41" s="1033">
        <f t="shared" si="27"/>
        <v>0</v>
      </c>
      <c r="J41" s="1033">
        <f t="shared" si="28"/>
        <v>0</v>
      </c>
      <c r="K41" s="1026"/>
      <c r="L41" s="1377" t="str">
        <f>IFERROR(INDEX('Job Cost COA'!E:F,MATCH(A41,'Job Cost COA'!E:E,0),2),IF(F41&lt;&gt;0,"Assign Code","Missing Code"))</f>
        <v>Owner Items-exterior-gates</v>
      </c>
      <c r="M41" s="2"/>
      <c r="N41" s="2"/>
      <c r="O41" s="2"/>
    </row>
    <row r="42" spans="1:15">
      <c r="A42" s="1531">
        <v>15230653</v>
      </c>
      <c r="B42" s="602" t="s">
        <v>477</v>
      </c>
      <c r="C42" s="560"/>
      <c r="D42" s="590"/>
      <c r="E42" s="1064" t="s">
        <v>21</v>
      </c>
      <c r="F42" s="1065"/>
      <c r="G42" s="1031">
        <f t="shared" si="25"/>
        <v>0</v>
      </c>
      <c r="H42" s="1032">
        <f t="shared" si="26"/>
        <v>0</v>
      </c>
      <c r="I42" s="1033">
        <f t="shared" si="27"/>
        <v>0</v>
      </c>
      <c r="J42" s="1033">
        <f t="shared" si="28"/>
        <v>0</v>
      </c>
      <c r="K42" s="1026"/>
      <c r="L42" s="1377" t="str">
        <f>IFERROR(INDEX('Job Cost COA'!E:F,MATCH(A42,'Job Cost COA'!E:E,0),2),IF(F42&lt;&gt;0,"Assign Code","Missing Code"))</f>
        <v>Inv-Owner Items-flooring materials</v>
      </c>
      <c r="M42" s="2"/>
      <c r="N42" s="2"/>
      <c r="O42" s="2"/>
    </row>
    <row r="43" spans="1:15">
      <c r="A43" s="1531">
        <v>15230406</v>
      </c>
      <c r="B43" s="602" t="s">
        <v>28</v>
      </c>
      <c r="C43" s="560"/>
      <c r="D43" s="590"/>
      <c r="E43" s="1064" t="s">
        <v>21</v>
      </c>
      <c r="F43" s="1065"/>
      <c r="G43" s="1031">
        <f t="shared" si="25"/>
        <v>0</v>
      </c>
      <c r="H43" s="1032">
        <f t="shared" si="26"/>
        <v>0</v>
      </c>
      <c r="I43" s="1033">
        <f t="shared" si="27"/>
        <v>0</v>
      </c>
      <c r="J43" s="1033">
        <f t="shared" si="28"/>
        <v>0</v>
      </c>
      <c r="K43" s="1026"/>
      <c r="L43" s="1377" t="str">
        <f>IFERROR(INDEX('Job Cost COA'!E:F,MATCH(A43,'Job Cost COA'!E:E,0),2),IF(F43&lt;&gt;0,"Assign Code","Missing Code"))</f>
        <v>Owner Items-exterior-signage</v>
      </c>
      <c r="M43" s="2"/>
      <c r="N43" s="2"/>
      <c r="O43" s="2"/>
    </row>
    <row r="44" spans="1:15">
      <c r="A44" s="1531">
        <f>IFERROR(VLOOKUP(B44,'Job Cost COA'!F:I,4,FALSE),0)</f>
        <v>15230041</v>
      </c>
      <c r="B44" s="602" t="s">
        <v>4349</v>
      </c>
      <c r="C44" s="560"/>
      <c r="D44" s="590"/>
      <c r="E44" s="1064" t="s">
        <v>21</v>
      </c>
      <c r="F44" s="1065"/>
      <c r="G44" s="1031">
        <f t="shared" si="25"/>
        <v>0</v>
      </c>
      <c r="H44" s="1032">
        <f t="shared" si="26"/>
        <v>0</v>
      </c>
      <c r="I44" s="1033">
        <f t="shared" si="27"/>
        <v>0</v>
      </c>
      <c r="J44" s="1033">
        <f t="shared" si="28"/>
        <v>0</v>
      </c>
      <c r="K44" s="1026"/>
      <c r="L44" s="1377" t="str">
        <f>IFERROR(INDEX('Job Cost COA'!E:F,MATCH(A44,'Job Cost COA'!E:E,0),2),IF(F44&lt;&gt;0,"Assign Code","Missing Code"))</f>
        <v>Owner Items-storage</v>
      </c>
      <c r="M44" s="2"/>
      <c r="N44" s="2"/>
      <c r="O44" s="2"/>
    </row>
    <row r="45" spans="1:15">
      <c r="A45" s="1531">
        <f>IFERROR(VLOOKUP(B45,'Job Cost COA'!F:I,4,FALSE),0)</f>
        <v>15230061</v>
      </c>
      <c r="B45" s="602" t="s">
        <v>4343</v>
      </c>
      <c r="C45" s="560"/>
      <c r="D45" s="590"/>
      <c r="E45" s="1064" t="s">
        <v>21</v>
      </c>
      <c r="F45" s="1065"/>
      <c r="G45" s="1031">
        <f t="shared" si="25"/>
        <v>0</v>
      </c>
      <c r="H45" s="1032">
        <f t="shared" si="26"/>
        <v>0</v>
      </c>
      <c r="I45" s="1033">
        <f t="shared" si="27"/>
        <v>0</v>
      </c>
      <c r="J45" s="1033">
        <f t="shared" si="28"/>
        <v>0</v>
      </c>
      <c r="K45" s="1026"/>
      <c r="L45" s="1377" t="str">
        <f>IFERROR(INDEX('Job Cost COA'!E:F,MATCH(A45,'Job Cost COA'!E:E,0),2),IF(F45&lt;&gt;0,"Assign Code","Missing Code"))</f>
        <v>Owner Items-clubhouse</v>
      </c>
      <c r="M45" s="2"/>
      <c r="N45" s="2"/>
      <c r="O45" s="2"/>
    </row>
    <row r="46" spans="1:15">
      <c r="A46" s="1531">
        <f>IFERROR(VLOOKUP(B46,'Job Cost COA'!F:I,4,FALSE),0)</f>
        <v>15230081</v>
      </c>
      <c r="B46" s="1472" t="s">
        <v>4337</v>
      </c>
      <c r="C46" s="560"/>
      <c r="D46" s="590"/>
      <c r="E46" s="1064" t="s">
        <v>21</v>
      </c>
      <c r="F46" s="1065"/>
      <c r="G46" s="1031">
        <f t="shared" si="25"/>
        <v>0</v>
      </c>
      <c r="H46" s="1032">
        <f t="shared" si="26"/>
        <v>0</v>
      </c>
      <c r="I46" s="1033">
        <f t="shared" si="27"/>
        <v>0</v>
      </c>
      <c r="J46" s="1033">
        <f t="shared" si="28"/>
        <v>0</v>
      </c>
      <c r="K46" s="1026"/>
      <c r="L46" s="1377" t="str">
        <f>IFERROR(INDEX('Job Cost COA'!E:F,MATCH(A46,'Job Cost COA'!E:E,0),2),IF(F46&lt;&gt;0,"Assign Code","Missing Code"))</f>
        <v>Owner Items-pool</v>
      </c>
      <c r="M46" s="2"/>
      <c r="N46" s="2"/>
      <c r="O46" s="2"/>
    </row>
    <row r="47" spans="1:15">
      <c r="A47" s="1531">
        <f>IFERROR(VLOOKUP(B47,'Job Cost COA'!F:I,4,FALSE),0)</f>
        <v>15230101</v>
      </c>
      <c r="B47" s="602" t="s">
        <v>4332</v>
      </c>
      <c r="C47" s="560"/>
      <c r="D47" s="590"/>
      <c r="E47" s="1064" t="s">
        <v>21</v>
      </c>
      <c r="F47" s="1065"/>
      <c r="G47" s="1031">
        <f t="shared" si="25"/>
        <v>0</v>
      </c>
      <c r="H47" s="1032">
        <f t="shared" si="26"/>
        <v>0</v>
      </c>
      <c r="I47" s="1033">
        <f t="shared" si="27"/>
        <v>0</v>
      </c>
      <c r="J47" s="1033">
        <f t="shared" si="28"/>
        <v>0</v>
      </c>
      <c r="K47" s="1026"/>
      <c r="L47" s="1377" t="str">
        <f>IFERROR(INDEX('Job Cost COA'!E:F,MATCH(A47,'Job Cost COA'!E:E,0),2),IF(F47&lt;&gt;0,"Assign Code","Missing Code"))</f>
        <v>Owner Items-fitness room</v>
      </c>
      <c r="M47" s="2"/>
      <c r="N47" s="2"/>
      <c r="O47" s="2"/>
    </row>
    <row r="48" spans="1:15">
      <c r="A48" s="1531">
        <v>15230361</v>
      </c>
      <c r="B48" s="602" t="s">
        <v>107</v>
      </c>
      <c r="C48" s="560"/>
      <c r="D48" s="590"/>
      <c r="E48" s="1064" t="s">
        <v>21</v>
      </c>
      <c r="F48" s="1065"/>
      <c r="G48" s="562">
        <f t="shared" si="21"/>
        <v>0</v>
      </c>
      <c r="H48" s="563">
        <f t="shared" si="22"/>
        <v>0</v>
      </c>
      <c r="I48" s="564">
        <f t="shared" si="23"/>
        <v>0</v>
      </c>
      <c r="J48" s="564">
        <f t="shared" si="24"/>
        <v>0</v>
      </c>
      <c r="K48" s="1026"/>
      <c r="L48" s="1377" t="str">
        <f>IFERROR(INDEX('Job Cost COA'!E:F,MATCH(A48,'Job Cost COA'!E:E,0),2),IF(F48&lt;&gt;0,"Assign Code","Missing Code"))</f>
        <v>Owner Items-security-jobsite security</v>
      </c>
      <c r="M48" s="2"/>
      <c r="N48" s="2"/>
      <c r="O48" s="2"/>
    </row>
    <row r="49" spans="1:15">
      <c r="A49" s="1531">
        <v>15231200</v>
      </c>
      <c r="B49" s="602" t="s">
        <v>5014</v>
      </c>
      <c r="C49" s="560"/>
      <c r="D49" s="590"/>
      <c r="E49" s="1064" t="s">
        <v>21</v>
      </c>
      <c r="F49" s="1065"/>
      <c r="G49" s="562">
        <f t="shared" si="21"/>
        <v>0</v>
      </c>
      <c r="H49" s="563">
        <f t="shared" si="22"/>
        <v>0</v>
      </c>
      <c r="I49" s="564">
        <f t="shared" si="23"/>
        <v>0</v>
      </c>
      <c r="J49" s="564">
        <f t="shared" si="24"/>
        <v>0</v>
      </c>
      <c r="K49" s="1026"/>
      <c r="L49" s="1377" t="str">
        <f>IFERROR(INDEX('Job Cost COA'!E:F,MATCH(A49,'Job Cost COA'!E:E,0),2),IF(F49&lt;&gt;0,"Assign Code","Missing Code"))</f>
        <v>Inv-Owner items-upgrades-buyer</v>
      </c>
      <c r="M49" s="2"/>
      <c r="N49" s="2"/>
      <c r="O49" s="2"/>
    </row>
    <row r="50" spans="1:15">
      <c r="A50" s="1531">
        <v>15230424</v>
      </c>
      <c r="B50" s="602" t="s">
        <v>5015</v>
      </c>
      <c r="C50" s="560"/>
      <c r="D50" s="590"/>
      <c r="E50" s="1064" t="s">
        <v>21</v>
      </c>
      <c r="F50" s="1065"/>
      <c r="G50" s="562">
        <f t="shared" si="21"/>
        <v>0</v>
      </c>
      <c r="H50" s="563">
        <f t="shared" si="22"/>
        <v>0</v>
      </c>
      <c r="I50" s="564">
        <f t="shared" si="23"/>
        <v>0</v>
      </c>
      <c r="J50" s="564">
        <f t="shared" si="24"/>
        <v>0</v>
      </c>
      <c r="K50" s="1026"/>
      <c r="L50" s="1377" t="str">
        <f>IFERROR(INDEX('Job Cost COA'!E:F,MATCH(A50,'Job Cost COA'!E:E,0),2),IF(F50&lt;&gt;0,"Assign Code","Missing Code"))</f>
        <v>Owner Items-interior-artwork</v>
      </c>
      <c r="M50" s="2"/>
      <c r="N50" s="2"/>
      <c r="O50" s="2"/>
    </row>
    <row r="51" spans="1:15">
      <c r="A51" s="1531">
        <v>15230404</v>
      </c>
      <c r="B51" s="602" t="s">
        <v>5018</v>
      </c>
      <c r="C51" s="560"/>
      <c r="D51" s="590"/>
      <c r="E51" s="1064" t="s">
        <v>21</v>
      </c>
      <c r="F51" s="1065"/>
      <c r="G51" s="562">
        <f t="shared" si="21"/>
        <v>0</v>
      </c>
      <c r="H51" s="563">
        <f t="shared" si="22"/>
        <v>0</v>
      </c>
      <c r="I51" s="564">
        <f t="shared" si="23"/>
        <v>0</v>
      </c>
      <c r="J51" s="564">
        <f t="shared" si="24"/>
        <v>0</v>
      </c>
      <c r="K51" s="1026"/>
      <c r="L51" s="1377" t="str">
        <f>IFERROR(INDEX('Job Cost COA'!E:F,MATCH(A51,'Job Cost COA'!E:E,0),2),IF(F51&lt;&gt;0,"Assign Code","Missing Code"))</f>
        <v>Owner Items-exterior-artwork</v>
      </c>
      <c r="M51" s="2"/>
      <c r="N51" s="2"/>
      <c r="O51" s="2"/>
    </row>
    <row r="52" spans="1:15">
      <c r="A52" s="1531">
        <v>15230382</v>
      </c>
      <c r="B52" s="602" t="s">
        <v>5016</v>
      </c>
      <c r="C52" s="571"/>
      <c r="D52" s="591"/>
      <c r="E52" s="1064" t="s">
        <v>21</v>
      </c>
      <c r="F52" s="1065"/>
      <c r="G52" s="562">
        <f t="shared" si="21"/>
        <v>0</v>
      </c>
      <c r="H52" s="563">
        <f t="shared" si="22"/>
        <v>0</v>
      </c>
      <c r="I52" s="564">
        <f t="shared" si="23"/>
        <v>0</v>
      </c>
      <c r="J52" s="564">
        <f t="shared" si="24"/>
        <v>0</v>
      </c>
      <c r="K52" s="1026"/>
      <c r="L52" s="1377" t="str">
        <f>IFERROR(INDEX('Job Cost COA'!E:F,MATCH(A52,'Job Cost COA'!E:E,0),2),IF(F52&lt;&gt;0,"Assign Code","Missing Code"))</f>
        <v>Owner Items-utilities-power</v>
      </c>
    </row>
    <row r="53" spans="1:15">
      <c r="A53" s="1531">
        <v>15230383</v>
      </c>
      <c r="B53" s="602" t="s">
        <v>5017</v>
      </c>
      <c r="C53" s="571"/>
      <c r="D53" s="591"/>
      <c r="E53" s="1064" t="s">
        <v>21</v>
      </c>
      <c r="F53" s="1065"/>
      <c r="G53" s="562">
        <f t="shared" si="21"/>
        <v>0</v>
      </c>
      <c r="H53" s="563">
        <f t="shared" si="22"/>
        <v>0</v>
      </c>
      <c r="I53" s="564">
        <f t="shared" si="23"/>
        <v>0</v>
      </c>
      <c r="J53" s="564">
        <f t="shared" si="24"/>
        <v>0</v>
      </c>
      <c r="K53" s="1026"/>
      <c r="L53" s="1377" t="str">
        <f>IFERROR(INDEX('Job Cost COA'!E:F,MATCH(A53,'Job Cost COA'!E:E,0),2),IF(F53&lt;&gt;0,"Assign Code","Missing Code"))</f>
        <v>Owner Items-utilities-water/sewer</v>
      </c>
    </row>
    <row r="54" spans="1:15">
      <c r="A54" s="1531">
        <v>15230603</v>
      </c>
      <c r="B54" s="1030" t="s">
        <v>4142</v>
      </c>
      <c r="C54" s="571"/>
      <c r="D54" s="591"/>
      <c r="E54" s="1064" t="s">
        <v>21</v>
      </c>
      <c r="F54" s="1065"/>
      <c r="G54" s="562">
        <f t="shared" si="21"/>
        <v>0</v>
      </c>
      <c r="H54" s="563">
        <f t="shared" si="22"/>
        <v>0</v>
      </c>
      <c r="I54" s="564">
        <f t="shared" si="23"/>
        <v>0</v>
      </c>
      <c r="J54" s="564">
        <f t="shared" si="24"/>
        <v>0</v>
      </c>
      <c r="K54" s="1026"/>
      <c r="L54" s="1377" t="str">
        <f>IFERROR(INDEX('Job Cost COA'!E:F,MATCH(A54,'Job Cost COA'!E:E,0),2),IF(F54&lt;&gt;0,"Assign Code","Missing Code"))</f>
        <v>Owner Items-ffe-fixtures</v>
      </c>
    </row>
    <row r="55" spans="1:15">
      <c r="A55" s="1531">
        <f>IFERROR(VLOOKUP(B55,'Job Cost COA'!F:I,4,FALSE),0)</f>
        <v>0</v>
      </c>
      <c r="B55" s="1030" t="s">
        <v>5021</v>
      </c>
      <c r="C55" s="571"/>
      <c r="D55" s="591"/>
      <c r="E55" s="1064" t="s">
        <v>21</v>
      </c>
      <c r="F55" s="1065"/>
      <c r="G55" s="562">
        <f t="shared" si="21"/>
        <v>0</v>
      </c>
      <c r="H55" s="563">
        <f t="shared" ref="H55:H59" si="29">$F55 / ResSF</f>
        <v>0</v>
      </c>
      <c r="I55" s="564">
        <f>$F55 / DevBud1</f>
        <v>0</v>
      </c>
      <c r="J55" s="564">
        <f>$F55 / TotalSales</f>
        <v>0</v>
      </c>
      <c r="K55" s="1026"/>
      <c r="L55" s="1377" t="str">
        <f>IFERROR(INDEX('Job Cost COA'!E:F,MATCH(A55,'Job Cost COA'!E:E,0),2),IF(F55&lt;&gt;0,"Assign Code","Missing Code"))</f>
        <v>Missing Code</v>
      </c>
    </row>
    <row r="56" spans="1:15">
      <c r="A56" s="1531">
        <f>IFERROR(VLOOKUP(B56,'Job Cost COA'!F:I,4,FALSE),0)</f>
        <v>0</v>
      </c>
      <c r="B56" s="1030" t="s">
        <v>5021</v>
      </c>
      <c r="C56" s="571"/>
      <c r="D56" s="591"/>
      <c r="E56" s="1064" t="s">
        <v>21</v>
      </c>
      <c r="F56" s="1065"/>
      <c r="G56" s="562">
        <f t="shared" si="21"/>
        <v>0</v>
      </c>
      <c r="H56" s="563">
        <f t="shared" si="29"/>
        <v>0</v>
      </c>
      <c r="I56" s="564">
        <f t="shared" si="23"/>
        <v>0</v>
      </c>
      <c r="J56" s="564">
        <f t="shared" si="24"/>
        <v>0</v>
      </c>
      <c r="K56" s="1026"/>
      <c r="L56" s="1377" t="str">
        <f>IFERROR(INDEX('Job Cost COA'!E:F,MATCH(A56,'Job Cost COA'!E:E,0),2),IF(F56&lt;&gt;0,"Assign Code","Missing Code"))</f>
        <v>Missing Code</v>
      </c>
    </row>
    <row r="57" spans="1:15">
      <c r="A57" s="1531">
        <f>IFERROR(VLOOKUP(B57,'Job Cost COA'!F:I,4,FALSE),0)</f>
        <v>0</v>
      </c>
      <c r="B57" s="1030" t="s">
        <v>5021</v>
      </c>
      <c r="C57" s="571"/>
      <c r="D57" s="591"/>
      <c r="E57" s="1064" t="s">
        <v>21</v>
      </c>
      <c r="F57" s="1065">
        <v>0</v>
      </c>
      <c r="G57" s="562">
        <f t="shared" si="21"/>
        <v>0</v>
      </c>
      <c r="H57" s="563">
        <f t="shared" si="29"/>
        <v>0</v>
      </c>
      <c r="I57" s="564">
        <f t="shared" si="23"/>
        <v>0</v>
      </c>
      <c r="J57" s="564">
        <f t="shared" si="24"/>
        <v>0</v>
      </c>
      <c r="K57" s="1026"/>
      <c r="L57" s="1377" t="str">
        <f>IFERROR(INDEX('Job Cost COA'!E:F,MATCH(A57,'Job Cost COA'!E:E,0),2),IF(F57&lt;&gt;0,"Assign Code","Missing Code"))</f>
        <v>Missing Code</v>
      </c>
    </row>
    <row r="58" spans="1:15">
      <c r="A58" s="1531">
        <f>IFERROR(VLOOKUP(B58,'Job Cost COA'!F:I,4,FALSE),0)</f>
        <v>0</v>
      </c>
      <c r="B58" s="1030" t="s">
        <v>5021</v>
      </c>
      <c r="C58" s="571"/>
      <c r="D58" s="591"/>
      <c r="E58" s="1064" t="s">
        <v>21</v>
      </c>
      <c r="F58" s="1065">
        <v>0</v>
      </c>
      <c r="G58" s="562">
        <f t="shared" si="21"/>
        <v>0</v>
      </c>
      <c r="H58" s="563">
        <f t="shared" si="29"/>
        <v>0</v>
      </c>
      <c r="I58" s="564">
        <f t="shared" si="23"/>
        <v>0</v>
      </c>
      <c r="J58" s="564">
        <f t="shared" si="24"/>
        <v>0</v>
      </c>
      <c r="K58" s="1026"/>
      <c r="L58" s="1377" t="str">
        <f>IFERROR(INDEX('Job Cost COA'!E:F,MATCH(A58,'Job Cost COA'!E:E,0),2),IF(F58&lt;&gt;0,"Assign Code","Missing Code"))</f>
        <v>Missing Code</v>
      </c>
    </row>
    <row r="59" spans="1:15">
      <c r="A59" s="1531">
        <v>15230245</v>
      </c>
      <c r="B59" s="570" t="s">
        <v>5118</v>
      </c>
      <c r="C59" s="571"/>
      <c r="D59" s="591"/>
      <c r="E59" s="1064" t="s">
        <v>21</v>
      </c>
      <c r="F59" s="1065">
        <v>0</v>
      </c>
      <c r="G59" s="562">
        <f t="shared" si="21"/>
        <v>0</v>
      </c>
      <c r="H59" s="563">
        <f t="shared" si="29"/>
        <v>0</v>
      </c>
      <c r="I59" s="564">
        <f t="shared" si="23"/>
        <v>0</v>
      </c>
      <c r="J59" s="564">
        <f t="shared" si="24"/>
        <v>0</v>
      </c>
      <c r="K59" s="1026"/>
      <c r="L59" s="1377" t="str">
        <f>IFERROR(INDEX('Job Cost COA'!E:F,MATCH(A59,'Job Cost COA'!E:E,0),2),IF(F59&lt;&gt;0,"Assign Code","Missing Code"))</f>
        <v>Owner Items-landscaping-tree mitigation</v>
      </c>
    </row>
    <row r="60" spans="1:15">
      <c r="A60" s="1531">
        <v>15230601</v>
      </c>
      <c r="B60" s="570" t="s">
        <v>5119</v>
      </c>
      <c r="C60" s="1517">
        <f>ResUnits</f>
        <v>9</v>
      </c>
      <c r="D60" s="1518"/>
      <c r="E60" s="1073" t="s">
        <v>4981</v>
      </c>
      <c r="F60" s="1522">
        <f>$G60 * ResUnits</f>
        <v>0</v>
      </c>
      <c r="G60" s="1523">
        <v>0</v>
      </c>
      <c r="H60" s="1524">
        <f>$F60 / ResSF</f>
        <v>0</v>
      </c>
      <c r="I60" s="1525">
        <f>$F60 / DevBud1</f>
        <v>0</v>
      </c>
      <c r="J60" s="1525">
        <f>$F60 / TotalSales</f>
        <v>0</v>
      </c>
      <c r="K60" s="1026"/>
      <c r="L60" s="1378" t="str">
        <f>IFERROR(INDEX('Job Cost COA'!E:F,MATCH(A60,'Job Cost COA'!E:E,0),2),IF(F60&lt;&gt;0,"Assign Code","Missing Code"))</f>
        <v>Owner Items-ffe</v>
      </c>
    </row>
    <row r="61" spans="1:15">
      <c r="B61" s="608" t="s">
        <v>21</v>
      </c>
      <c r="C61" s="152"/>
      <c r="D61" s="609"/>
      <c r="E61" s="153"/>
      <c r="F61" s="583">
        <f>SUM(F31:F60)</f>
        <v>25000</v>
      </c>
      <c r="G61" s="580">
        <f t="shared" si="21"/>
        <v>2777.7777777777778</v>
      </c>
      <c r="H61" s="581">
        <f>$F61/ResSF</f>
        <v>1.0066033177645353</v>
      </c>
      <c r="I61" s="210">
        <f>$F61/DevBud2</f>
        <v>1.1607279506850464E-3</v>
      </c>
      <c r="J61" s="210">
        <f>$F61/TotalSales</f>
        <v>9.1509392524048673E-4</v>
      </c>
      <c r="K61" s="210"/>
      <c r="L61" s="1379"/>
    </row>
    <row r="62" spans="1:15">
      <c r="B62" s="154"/>
      <c r="C62" s="152"/>
      <c r="D62" s="583"/>
      <c r="E62" s="153"/>
      <c r="F62" s="583"/>
      <c r="L62" s="1379"/>
    </row>
    <row r="63" spans="1:15">
      <c r="B63" s="6" t="s">
        <v>214</v>
      </c>
      <c r="D63" s="595"/>
      <c r="E63" s="150"/>
      <c r="F63" s="610">
        <f>SUM(F29,F61)</f>
        <v>9959400</v>
      </c>
      <c r="G63" s="611">
        <f>$F63/ResUnits</f>
        <v>1106600</v>
      </c>
      <c r="H63" s="612">
        <f>$F63/ResSF</f>
        <v>401.00660331776453</v>
      </c>
      <c r="I63" s="613">
        <f>$F63/DevBud2</f>
        <v>0.462406158082106</v>
      </c>
      <c r="J63" s="613">
        <f>$F63/TotalSales</f>
        <v>0.36455145756160412</v>
      </c>
      <c r="K63" s="613"/>
      <c r="L63" s="1378"/>
    </row>
    <row r="64" spans="1:15">
      <c r="A64" s="1531">
        <v>15225200</v>
      </c>
      <c r="B64" s="149" t="s">
        <v>73</v>
      </c>
      <c r="D64" s="614"/>
      <c r="E64" s="1077">
        <v>1.4999999999999999E-2</v>
      </c>
      <c r="F64" s="615">
        <f>ROUND(TotalSales*E64,-3)</f>
        <v>410000</v>
      </c>
      <c r="G64" s="611">
        <f>$F64/ResUnits</f>
        <v>45555.555555555555</v>
      </c>
      <c r="H64" s="612">
        <f>$F64/ResSF</f>
        <v>16.50829441133838</v>
      </c>
      <c r="I64" s="613">
        <f>$F64/DevBud2</f>
        <v>1.9035938391234759E-2</v>
      </c>
      <c r="J64" s="613">
        <f>$F64/TotalSales</f>
        <v>1.5007540373943981E-2</v>
      </c>
      <c r="K64" s="613"/>
      <c r="L64" s="1378" t="str">
        <f>IFERROR(INDEX('Job Cost COA'!E:F,MATCH(A64,'Job Cost COA'!E:E,0),2),IF(F64&lt;&gt;0,"Assign Code","Missing Code"))</f>
        <v>Inventory-Construction Costs-Contingency</v>
      </c>
    </row>
    <row r="65" spans="1:12">
      <c r="B65" s="154"/>
      <c r="C65" s="154"/>
      <c r="D65" s="593"/>
      <c r="E65" s="153"/>
      <c r="F65" s="594"/>
      <c r="L65" s="1379"/>
    </row>
    <row r="66" spans="1:12">
      <c r="B66" s="616" t="s">
        <v>638</v>
      </c>
      <c r="C66" s="616"/>
      <c r="D66" s="617"/>
      <c r="E66" s="618"/>
      <c r="F66" s="619">
        <f>SUM(F63:F64)</f>
        <v>10369400</v>
      </c>
      <c r="G66" s="620">
        <f>$F66/ResUnits</f>
        <v>1152155.5555555555</v>
      </c>
      <c r="H66" s="621">
        <f>$F66/ResSF</f>
        <v>417.51489772910293</v>
      </c>
      <c r="I66" s="622">
        <f>$F66/DevBud2</f>
        <v>0.48144209647334074</v>
      </c>
      <c r="J66" s="622">
        <f>$F66/TotalSales</f>
        <v>0.37955899793554809</v>
      </c>
      <c r="K66" s="622"/>
      <c r="L66" s="1379"/>
    </row>
    <row r="67" spans="1:12">
      <c r="B67" s="154"/>
      <c r="C67" s="154"/>
      <c r="D67" s="578"/>
      <c r="E67" s="154"/>
      <c r="F67" s="583"/>
      <c r="L67" s="1379"/>
    </row>
    <row r="68" spans="1:12">
      <c r="B68" s="548"/>
      <c r="C68" s="548"/>
      <c r="D68" s="548"/>
      <c r="E68" s="548"/>
      <c r="F68" s="548"/>
      <c r="L68" s="1379"/>
    </row>
    <row r="69" spans="1:12">
      <c r="B69" s="597" t="s">
        <v>298</v>
      </c>
      <c r="C69" s="598"/>
      <c r="D69" s="599"/>
      <c r="E69" s="584" t="s">
        <v>134</v>
      </c>
      <c r="F69" s="600" t="s">
        <v>21</v>
      </c>
      <c r="G69" s="584" t="s">
        <v>182</v>
      </c>
      <c r="H69" s="584" t="s">
        <v>292</v>
      </c>
      <c r="I69" s="584" t="s">
        <v>262</v>
      </c>
      <c r="J69" s="584" t="s">
        <v>293</v>
      </c>
      <c r="K69" s="152"/>
      <c r="L69" s="1379"/>
    </row>
    <row r="70" spans="1:12">
      <c r="A70" s="1531">
        <v>15235201</v>
      </c>
      <c r="B70" s="555" t="s">
        <v>629</v>
      </c>
      <c r="C70" s="555"/>
      <c r="D70" s="1078"/>
      <c r="E70" s="1063" t="s">
        <v>5156</v>
      </c>
      <c r="F70" s="1541">
        <f xml:space="preserve"> $H70 * ResSF</f>
        <v>459466</v>
      </c>
      <c r="G70" s="1527">
        <f>$F70 / ResUnits</f>
        <v>51051.777777777781</v>
      </c>
      <c r="H70" s="1542">
        <v>18.5</v>
      </c>
      <c r="I70" s="1529">
        <f>$F70 / DevBud1</f>
        <v>2.1332601143578218E-2</v>
      </c>
      <c r="J70" s="1529">
        <f>$F70 / TotalSales</f>
        <v>1.6818181818181819E-2</v>
      </c>
      <c r="K70" s="1026"/>
      <c r="L70" s="1376" t="str">
        <f>IFERROR(INDEX('Job Cost COA'!E:F,MATCH(A70,'Job Cost COA'!E:E,0),2),IF(F70&lt;&gt;0,"Assign Code","Missing Code"))</f>
        <v>Inv-Architect-building architect</v>
      </c>
    </row>
    <row r="71" spans="1:12">
      <c r="A71" s="1531">
        <v>15235203</v>
      </c>
      <c r="B71" s="560" t="s">
        <v>630</v>
      </c>
      <c r="C71" s="560"/>
      <c r="D71" s="623"/>
      <c r="E71" s="1064" t="s">
        <v>5156</v>
      </c>
      <c r="F71" s="1370">
        <f xml:space="preserve"> $H71 * ResSF</f>
        <v>0</v>
      </c>
      <c r="G71" s="1031">
        <f>$F71 / ResUnits</f>
        <v>0</v>
      </c>
      <c r="H71" s="1543">
        <v>0</v>
      </c>
      <c r="I71" s="1033">
        <f>$F71 / DevBud1</f>
        <v>0</v>
      </c>
      <c r="J71" s="1033">
        <f>$F71 / TotalSales</f>
        <v>0</v>
      </c>
      <c r="K71" s="1026"/>
      <c r="L71" s="1377" t="str">
        <f>IFERROR(INDEX('Job Cost COA'!E:F,MATCH(A71,'Job Cost COA'!E:E,0),2),IF(F71&lt;&gt;0,"Assign Code","Missing Code"))</f>
        <v>Inv-Architect-reimbursable</v>
      </c>
    </row>
    <row r="72" spans="1:12">
      <c r="A72" s="1531">
        <v>15235201</v>
      </c>
      <c r="B72" s="560" t="s">
        <v>631</v>
      </c>
      <c r="C72" s="560"/>
      <c r="D72" s="623"/>
      <c r="E72" s="1064" t="s">
        <v>21</v>
      </c>
      <c r="F72" s="1065">
        <v>0</v>
      </c>
      <c r="G72" s="562">
        <f t="shared" ref="G72:G78" si="30">$F72/ResUnits</f>
        <v>0</v>
      </c>
      <c r="H72" s="563">
        <f t="shared" ref="H72:H77" si="31">$F72 / ResSF</f>
        <v>0</v>
      </c>
      <c r="I72" s="564">
        <f t="shared" ref="I72:I77" si="32">$F72 / DevBud1</f>
        <v>0</v>
      </c>
      <c r="J72" s="564">
        <f t="shared" ref="J72:J77" si="33">$F72 / TotalSales</f>
        <v>0</v>
      </c>
      <c r="K72" s="1026"/>
      <c r="L72" s="1377" t="str">
        <f>IFERROR(INDEX('Job Cost COA'!E:F,MATCH(A72,'Job Cost COA'!E:E,0),2),IF(F72&lt;&gt;0,"Assign Code","Missing Code"))</f>
        <v>Inv-Architect-building architect</v>
      </c>
    </row>
    <row r="73" spans="1:12">
      <c r="A73" s="1531">
        <v>15235204</v>
      </c>
      <c r="B73" s="560" t="s">
        <v>632</v>
      </c>
      <c r="C73" s="560"/>
      <c r="D73" s="623"/>
      <c r="E73" s="1064" t="s">
        <v>5156</v>
      </c>
      <c r="F73" s="1370">
        <f xml:space="preserve"> $H73 * ResSF</f>
        <v>0</v>
      </c>
      <c r="G73" s="1031">
        <f>$F73 / ResUnits</f>
        <v>0</v>
      </c>
      <c r="H73" s="1543">
        <v>0</v>
      </c>
      <c r="I73" s="1033">
        <f>$F73 / DevBud1</f>
        <v>0</v>
      </c>
      <c r="J73" s="1033">
        <f>$F73 / TotalSales</f>
        <v>0</v>
      </c>
      <c r="K73" s="1026"/>
      <c r="L73" s="1377" t="str">
        <f>IFERROR(INDEX('Job Cost COA'!E:F,MATCH(A73,'Job Cost COA'!E:E,0),2),IF(F73&lt;&gt;0,"Assign Code","Missing Code"))</f>
        <v>Inv-Architect-landscape arch</v>
      </c>
    </row>
    <row r="74" spans="1:12">
      <c r="A74" s="1531">
        <f>IFERROR(VLOOKUP(B74,'Job Cost COA'!F:I,4,FALSE),0)</f>
        <v>0</v>
      </c>
      <c r="B74" s="1030" t="s">
        <v>296</v>
      </c>
      <c r="C74" s="560"/>
      <c r="D74" s="623"/>
      <c r="E74" s="1064" t="s">
        <v>21</v>
      </c>
      <c r="F74" s="1065">
        <v>0</v>
      </c>
      <c r="G74" s="562">
        <f t="shared" si="30"/>
        <v>0</v>
      </c>
      <c r="H74" s="563">
        <f t="shared" si="31"/>
        <v>0</v>
      </c>
      <c r="I74" s="564">
        <f t="shared" si="32"/>
        <v>0</v>
      </c>
      <c r="J74" s="564">
        <f t="shared" si="33"/>
        <v>0</v>
      </c>
      <c r="K74" s="1026"/>
      <c r="L74" s="1377" t="str">
        <f>IFERROR(INDEX('Job Cost COA'!E:F,MATCH(A74,'Job Cost COA'!E:E,0),2),IF(F74&lt;&gt;0,"Assign Code","Missing Code"))</f>
        <v>Missing Code</v>
      </c>
    </row>
    <row r="75" spans="1:12">
      <c r="A75" s="1531">
        <f>IFERROR(VLOOKUP(B75,'Job Cost COA'!F:I,4,FALSE),0)</f>
        <v>0</v>
      </c>
      <c r="B75" s="1030" t="s">
        <v>296</v>
      </c>
      <c r="C75" s="571"/>
      <c r="D75" s="624"/>
      <c r="E75" s="1064" t="s">
        <v>21</v>
      </c>
      <c r="F75" s="1065">
        <v>0</v>
      </c>
      <c r="G75" s="562">
        <f t="shared" si="30"/>
        <v>0</v>
      </c>
      <c r="H75" s="563">
        <f t="shared" si="31"/>
        <v>0</v>
      </c>
      <c r="I75" s="564">
        <f t="shared" si="32"/>
        <v>0</v>
      </c>
      <c r="J75" s="564">
        <f t="shared" si="33"/>
        <v>0</v>
      </c>
      <c r="K75" s="1026"/>
      <c r="L75" s="1377" t="str">
        <f>IFERROR(INDEX('Job Cost COA'!E:F,MATCH(A75,'Job Cost COA'!E:E,0),2),IF(F75&lt;&gt;0,"Assign Code","Missing Code"))</f>
        <v>Missing Code</v>
      </c>
    </row>
    <row r="76" spans="1:12">
      <c r="B76" s="570" t="s">
        <v>296</v>
      </c>
      <c r="C76" s="571"/>
      <c r="D76" s="624"/>
      <c r="E76" s="1064" t="s">
        <v>21</v>
      </c>
      <c r="F76" s="1065">
        <v>0</v>
      </c>
      <c r="G76" s="562">
        <f t="shared" si="30"/>
        <v>0</v>
      </c>
      <c r="H76" s="563">
        <f t="shared" si="31"/>
        <v>0</v>
      </c>
      <c r="I76" s="564">
        <f t="shared" si="32"/>
        <v>0</v>
      </c>
      <c r="J76" s="564">
        <f t="shared" si="33"/>
        <v>0</v>
      </c>
      <c r="K76" s="1026"/>
      <c r="L76" s="1377" t="str">
        <f>IFERROR(INDEX('Job Cost COA'!E:F,MATCH(A76,'Job Cost COA'!E:E,0),2),IF(F76&lt;&gt;0,"Assign Code","Missing Code"))</f>
        <v>Missing Code</v>
      </c>
    </row>
    <row r="77" spans="1:12">
      <c r="B77" s="572" t="s">
        <v>296</v>
      </c>
      <c r="C77" s="573"/>
      <c r="D77" s="625"/>
      <c r="E77" s="1073" t="s">
        <v>21</v>
      </c>
      <c r="F77" s="1076">
        <v>0</v>
      </c>
      <c r="G77" s="605">
        <f t="shared" si="30"/>
        <v>0</v>
      </c>
      <c r="H77" s="606">
        <f t="shared" si="31"/>
        <v>0</v>
      </c>
      <c r="I77" s="607">
        <f t="shared" si="32"/>
        <v>0</v>
      </c>
      <c r="J77" s="607">
        <f t="shared" si="33"/>
        <v>0</v>
      </c>
      <c r="K77" s="1026"/>
      <c r="L77" s="1378" t="str">
        <f>IFERROR(INDEX('Job Cost COA'!E:F,MATCH(A77,'Job Cost COA'!E:E,0),2),IF(F77&lt;&gt;0,"Assign Code","Missing Code"))</f>
        <v>Missing Code</v>
      </c>
    </row>
    <row r="78" spans="1:12">
      <c r="B78" s="154" t="s">
        <v>225</v>
      </c>
      <c r="C78" s="154"/>
      <c r="D78" s="593"/>
      <c r="E78" s="150"/>
      <c r="F78" s="583">
        <f>SUM(F69:F77)</f>
        <v>459466</v>
      </c>
      <c r="G78" s="580">
        <f t="shared" si="30"/>
        <v>51051.777777777781</v>
      </c>
      <c r="H78" s="581">
        <f>$F78/ResSF</f>
        <v>18.5</v>
      </c>
      <c r="I78" s="210">
        <f>$F78/DevBud2</f>
        <v>2.1332601143578218E-2</v>
      </c>
      <c r="J78" s="210">
        <f>$F78/TotalSales</f>
        <v>1.6818181818181819E-2</v>
      </c>
      <c r="K78" s="210"/>
      <c r="L78" s="1379"/>
    </row>
    <row r="79" spans="1:12">
      <c r="D79" s="626"/>
      <c r="E79" s="150"/>
      <c r="F79" s="627"/>
      <c r="L79" s="1379"/>
    </row>
    <row r="80" spans="1:12">
      <c r="B80" s="597" t="s">
        <v>32</v>
      </c>
      <c r="C80" s="598"/>
      <c r="D80" s="599"/>
      <c r="E80" s="584" t="s">
        <v>134</v>
      </c>
      <c r="F80" s="600" t="s">
        <v>21</v>
      </c>
      <c r="G80" s="584" t="s">
        <v>182</v>
      </c>
      <c r="H80" s="584" t="s">
        <v>292</v>
      </c>
      <c r="I80" s="584" t="s">
        <v>262</v>
      </c>
      <c r="J80" s="584" t="s">
        <v>293</v>
      </c>
      <c r="K80" s="152"/>
      <c r="L80" s="1379"/>
    </row>
    <row r="81" spans="1:12">
      <c r="A81" s="1531">
        <v>15237201</v>
      </c>
      <c r="B81" s="1035" t="s">
        <v>633</v>
      </c>
      <c r="C81" s="555"/>
      <c r="D81" s="628"/>
      <c r="E81" s="1063" t="s">
        <v>21</v>
      </c>
      <c r="F81" s="1075">
        <v>75000</v>
      </c>
      <c r="G81" s="557">
        <f t="shared" ref="G81:G86" si="34">$F81/ResUnits</f>
        <v>8333.3333333333339</v>
      </c>
      <c r="H81" s="558">
        <f>$F81 / ResSF</f>
        <v>3.0198099532936062</v>
      </c>
      <c r="I81" s="559">
        <f>$F81 / DevBud1</f>
        <v>3.4821838520551389E-3</v>
      </c>
      <c r="J81" s="559">
        <f>$F81 / TotalSales</f>
        <v>2.7452817757214602E-3</v>
      </c>
      <c r="K81" s="1026"/>
      <c r="L81" s="1376" t="str">
        <f>IFERROR(INDEX('Job Cost COA'!E:F,MATCH(A81,'Job Cost COA'!E:E,0),2),IF(F81&lt;&gt;0,"Assign Code","Missing Code"))</f>
        <v>Inv-Design-interiors</v>
      </c>
    </row>
    <row r="82" spans="1:12">
      <c r="A82" s="1531">
        <v>15237202</v>
      </c>
      <c r="B82" s="6" t="s">
        <v>5022</v>
      </c>
      <c r="C82" s="560"/>
      <c r="D82" s="629"/>
      <c r="E82" s="1064" t="s">
        <v>21</v>
      </c>
      <c r="F82" s="1065">
        <v>75000</v>
      </c>
      <c r="G82" s="562">
        <f t="shared" si="34"/>
        <v>8333.3333333333339</v>
      </c>
      <c r="H82" s="563">
        <f>$F82 / ResSF</f>
        <v>3.0198099532936062</v>
      </c>
      <c r="I82" s="564">
        <f>$F82 / DevBud1</f>
        <v>3.4821838520551389E-3</v>
      </c>
      <c r="J82" s="564">
        <f>$F82 / TotalSales</f>
        <v>2.7452817757214602E-3</v>
      </c>
      <c r="K82" s="1026"/>
      <c r="L82" s="1377" t="str">
        <f>IFERROR(INDEX('Job Cost COA'!E:F,MATCH(A82,'Job Cost COA'!E:E,0),2),IF(F82&lt;&gt;0,"Assign Code","Missing Code"))</f>
        <v>Inv-Design-interiors-reimbursable</v>
      </c>
    </row>
    <row r="83" spans="1:12">
      <c r="A83" s="1531">
        <f>IFERROR(VLOOKUP(B83,'Job Cost COA'!F:I,4,FALSE),0)</f>
        <v>0</v>
      </c>
      <c r="B83" s="1036" t="s">
        <v>296</v>
      </c>
      <c r="C83" s="571"/>
      <c r="D83" s="630"/>
      <c r="E83" s="1064" t="s">
        <v>21</v>
      </c>
      <c r="F83" s="1065">
        <v>0</v>
      </c>
      <c r="G83" s="562">
        <f t="shared" si="34"/>
        <v>0</v>
      </c>
      <c r="H83" s="563">
        <f>$F83 / ResSF</f>
        <v>0</v>
      </c>
      <c r="I83" s="564">
        <f>$F83 / DevBud1</f>
        <v>0</v>
      </c>
      <c r="J83" s="564">
        <f>$F83 / TotalSales</f>
        <v>0</v>
      </c>
      <c r="K83" s="1026"/>
      <c r="L83" s="1377" t="str">
        <f>IFERROR(INDEX('Job Cost COA'!E:F,MATCH(A83,'Job Cost COA'!E:E,0),2),IF(F83&lt;&gt;0,"Assign Code","Missing Code"))</f>
        <v>Missing Code</v>
      </c>
    </row>
    <row r="84" spans="1:12">
      <c r="B84" s="570" t="s">
        <v>296</v>
      </c>
      <c r="C84" s="571"/>
      <c r="D84" s="630"/>
      <c r="E84" s="1064" t="s">
        <v>21</v>
      </c>
      <c r="F84" s="1065">
        <v>0</v>
      </c>
      <c r="G84" s="562">
        <f t="shared" si="34"/>
        <v>0</v>
      </c>
      <c r="H84" s="563">
        <f>$F84 / ResSF</f>
        <v>0</v>
      </c>
      <c r="I84" s="564">
        <f>$F84 / DevBud1</f>
        <v>0</v>
      </c>
      <c r="J84" s="564">
        <f>$F84 / TotalSales</f>
        <v>0</v>
      </c>
      <c r="K84" s="1026"/>
      <c r="L84" s="1377" t="str">
        <f>IFERROR(INDEX('Job Cost COA'!E:F,MATCH(A84,'Job Cost COA'!E:E,0),2),IF(F84&lt;&gt;0,"Assign Code","Missing Code"))</f>
        <v>Missing Code</v>
      </c>
    </row>
    <row r="85" spans="1:12">
      <c r="B85" s="572" t="s">
        <v>296</v>
      </c>
      <c r="C85" s="573"/>
      <c r="D85" s="631"/>
      <c r="E85" s="1073" t="s">
        <v>21</v>
      </c>
      <c r="F85" s="1076">
        <v>0</v>
      </c>
      <c r="G85" s="605">
        <f t="shared" si="34"/>
        <v>0</v>
      </c>
      <c r="H85" s="606">
        <f>$F85 / ResSF</f>
        <v>0</v>
      </c>
      <c r="I85" s="607">
        <f>$F85 / DevBud1</f>
        <v>0</v>
      </c>
      <c r="J85" s="607">
        <f>$F85 / TotalSales</f>
        <v>0</v>
      </c>
      <c r="K85" s="1026"/>
      <c r="L85" s="1378" t="str">
        <f>IFERROR(INDEX('Job Cost COA'!E:F,MATCH(A85,'Job Cost COA'!E:E,0),2),IF(F85&lt;&gt;0,"Assign Code","Missing Code"))</f>
        <v>Missing Code</v>
      </c>
    </row>
    <row r="86" spans="1:12">
      <c r="B86" s="154" t="s">
        <v>226</v>
      </c>
      <c r="C86" s="154"/>
      <c r="D86" s="593"/>
      <c r="E86" s="632"/>
      <c r="F86" s="594">
        <f>SUM(F80:F85)</f>
        <v>150000</v>
      </c>
      <c r="G86" s="580">
        <f t="shared" si="34"/>
        <v>16666.666666666668</v>
      </c>
      <c r="H86" s="581">
        <f>$F86/ResSF</f>
        <v>6.0396199065872125</v>
      </c>
      <c r="I86" s="210">
        <f>$F86/DevBud2</f>
        <v>6.9643677041102778E-3</v>
      </c>
      <c r="J86" s="210">
        <f>$F86/TotalSales</f>
        <v>5.4905635514429204E-3</v>
      </c>
      <c r="K86" s="210"/>
      <c r="L86" s="1379"/>
    </row>
    <row r="87" spans="1:12">
      <c r="D87" s="633"/>
      <c r="E87" s="150"/>
      <c r="F87" s="627"/>
      <c r="L87" s="1379"/>
    </row>
    <row r="88" spans="1:12">
      <c r="B88" s="597" t="s">
        <v>215</v>
      </c>
      <c r="C88" s="598"/>
      <c r="D88" s="599"/>
      <c r="E88" s="584" t="s">
        <v>134</v>
      </c>
      <c r="F88" s="600" t="s">
        <v>21</v>
      </c>
      <c r="G88" s="584" t="s">
        <v>182</v>
      </c>
      <c r="H88" s="584" t="s">
        <v>292</v>
      </c>
      <c r="I88" s="584" t="s">
        <v>262</v>
      </c>
      <c r="J88" s="584" t="s">
        <v>293</v>
      </c>
      <c r="K88" s="152"/>
      <c r="L88" s="1379"/>
    </row>
    <row r="89" spans="1:12">
      <c r="A89" s="1531">
        <v>15245200</v>
      </c>
      <c r="B89" s="634" t="s">
        <v>634</v>
      </c>
      <c r="C89" s="634"/>
      <c r="D89" s="635"/>
      <c r="E89" s="1079" t="s">
        <v>21</v>
      </c>
      <c r="F89" s="1065">
        <v>100000</v>
      </c>
      <c r="G89" s="557">
        <f t="shared" ref="G89:G118" si="35">$F89/ResUnits</f>
        <v>11111.111111111111</v>
      </c>
      <c r="H89" s="558">
        <f t="shared" ref="H89:H117" si="36">$F89 / ResSF</f>
        <v>4.0264132710581411</v>
      </c>
      <c r="I89" s="559">
        <f t="shared" ref="I89:I117" si="37">$F89 / DevBud1</f>
        <v>4.6429118027401855E-3</v>
      </c>
      <c r="J89" s="559">
        <f t="shared" ref="J89:J117" si="38">$F89 / TotalSales</f>
        <v>3.6603757009619469E-3</v>
      </c>
      <c r="K89" s="1026"/>
      <c r="L89" s="1376" t="str">
        <f>IFERROR(INDEX('Job Cost COA'!E:F,MATCH(A89,'Job Cost COA'!E:E,0),2),IF(F89&lt;&gt;0,"Assign Code","Missing Code"))</f>
        <v>Inv-Eng-civil engineer</v>
      </c>
    </row>
    <row r="90" spans="1:12">
      <c r="A90" s="1531">
        <v>15245205</v>
      </c>
      <c r="B90" s="560" t="s">
        <v>635</v>
      </c>
      <c r="C90" s="560"/>
      <c r="D90" s="623"/>
      <c r="E90" s="1064" t="s">
        <v>21</v>
      </c>
      <c r="F90" s="1065"/>
      <c r="G90" s="562">
        <f t="shared" si="35"/>
        <v>0</v>
      </c>
      <c r="H90" s="563">
        <f t="shared" si="36"/>
        <v>0</v>
      </c>
      <c r="I90" s="564">
        <f t="shared" si="37"/>
        <v>0</v>
      </c>
      <c r="J90" s="564">
        <f t="shared" si="38"/>
        <v>0</v>
      </c>
      <c r="K90" s="1026"/>
      <c r="L90" s="1377" t="str">
        <f>IFERROR(INDEX('Job Cost COA'!E:F,MATCH(A90,'Job Cost COA'!E:E,0),2),IF(F90&lt;&gt;0,"Assign Code","Missing Code"))</f>
        <v>Inv-Eng-environmental</v>
      </c>
    </row>
    <row r="91" spans="1:12">
      <c r="A91" s="1531">
        <v>15250248</v>
      </c>
      <c r="B91" s="560" t="s">
        <v>54</v>
      </c>
      <c r="C91" s="560"/>
      <c r="D91" s="623"/>
      <c r="E91" s="1064" t="s">
        <v>21</v>
      </c>
      <c r="F91" s="1065"/>
      <c r="G91" s="562">
        <f t="shared" si="35"/>
        <v>0</v>
      </c>
      <c r="H91" s="563">
        <f t="shared" si="36"/>
        <v>0</v>
      </c>
      <c r="I91" s="564">
        <f t="shared" si="37"/>
        <v>0</v>
      </c>
      <c r="J91" s="564">
        <f t="shared" si="38"/>
        <v>0</v>
      </c>
      <c r="K91" s="1026"/>
      <c r="L91" s="1377" t="str">
        <f>IFERROR(INDEX('Job Cost COA'!E:F,MATCH(A91,'Job Cost COA'!E:E,0),2),IF(F91&lt;&gt;0,"Assign Code","Missing Code"))</f>
        <v>Inv-Consulting-financial</v>
      </c>
    </row>
    <row r="92" spans="1:12">
      <c r="A92" s="1531">
        <v>15250280</v>
      </c>
      <c r="B92" s="560" t="s">
        <v>88</v>
      </c>
      <c r="C92" s="560"/>
      <c r="D92" s="623"/>
      <c r="E92" s="1064" t="s">
        <v>21</v>
      </c>
      <c r="F92" s="1065"/>
      <c r="G92" s="562">
        <f t="shared" si="35"/>
        <v>0</v>
      </c>
      <c r="H92" s="563">
        <f t="shared" si="36"/>
        <v>0</v>
      </c>
      <c r="I92" s="564">
        <f t="shared" si="37"/>
        <v>0</v>
      </c>
      <c r="J92" s="564">
        <f t="shared" si="38"/>
        <v>0</v>
      </c>
      <c r="K92" s="1026"/>
      <c r="L92" s="1377" t="str">
        <f>IFERROR(INDEX('Job Cost COA'!E:F,MATCH(A92,'Job Cost COA'!E:E,0),2),IF(F92&lt;&gt;0,"Assign Code","Missing Code"))</f>
        <v>Inv-Consulting-appraisal</v>
      </c>
    </row>
    <row r="93" spans="1:12">
      <c r="A93" s="1531">
        <v>15250244</v>
      </c>
      <c r="B93" s="560" t="s">
        <v>89</v>
      </c>
      <c r="C93" s="560"/>
      <c r="D93" s="561"/>
      <c r="E93" s="1064" t="s">
        <v>21</v>
      </c>
      <c r="F93" s="1065"/>
      <c r="G93" s="562">
        <f t="shared" si="35"/>
        <v>0</v>
      </c>
      <c r="H93" s="563">
        <f t="shared" si="36"/>
        <v>0</v>
      </c>
      <c r="I93" s="564">
        <f t="shared" si="37"/>
        <v>0</v>
      </c>
      <c r="J93" s="564">
        <f t="shared" si="38"/>
        <v>0</v>
      </c>
      <c r="K93" s="1026"/>
      <c r="L93" s="1377" t="str">
        <f>IFERROR(INDEX('Job Cost COA'!E:F,MATCH(A93,'Job Cost COA'!E:E,0),2),IF(F93&lt;&gt;0,"Assign Code","Missing Code"))</f>
        <v>Inv-Consulting-condo docs</v>
      </c>
    </row>
    <row r="94" spans="1:12">
      <c r="A94" s="1531">
        <v>15250208</v>
      </c>
      <c r="B94" s="560" t="s">
        <v>90</v>
      </c>
      <c r="C94" s="560"/>
      <c r="D94" s="623"/>
      <c r="E94" s="1064" t="s">
        <v>21</v>
      </c>
      <c r="F94" s="1065"/>
      <c r="G94" s="562">
        <f t="shared" si="35"/>
        <v>0</v>
      </c>
      <c r="H94" s="563">
        <f t="shared" si="36"/>
        <v>0</v>
      </c>
      <c r="I94" s="564">
        <f t="shared" si="37"/>
        <v>0</v>
      </c>
      <c r="J94" s="564">
        <f t="shared" si="38"/>
        <v>0</v>
      </c>
      <c r="K94" s="1026"/>
      <c r="L94" s="1377" t="str">
        <f>IFERROR(INDEX('Job Cost COA'!E:F,MATCH(A94,'Job Cost COA'!E:E,0),2),IF(F94&lt;&gt;0,"Assign Code","Missing Code"))</f>
        <v>Inv-Consulting-threshold insp</v>
      </c>
    </row>
    <row r="95" spans="1:12">
      <c r="A95" s="1531">
        <v>15250264</v>
      </c>
      <c r="B95" s="560" t="s">
        <v>91</v>
      </c>
      <c r="C95" s="560"/>
      <c r="D95" s="560"/>
      <c r="E95" s="1064" t="s">
        <v>21</v>
      </c>
      <c r="F95" s="1065"/>
      <c r="G95" s="562">
        <f t="shared" si="35"/>
        <v>0</v>
      </c>
      <c r="H95" s="563">
        <f t="shared" si="36"/>
        <v>0</v>
      </c>
      <c r="I95" s="564">
        <f t="shared" si="37"/>
        <v>0</v>
      </c>
      <c r="J95" s="564">
        <f t="shared" si="38"/>
        <v>0</v>
      </c>
      <c r="K95" s="1026"/>
      <c r="L95" s="1377" t="str">
        <f>IFERROR(INDEX('Job Cost COA'!E:F,MATCH(A95,'Job Cost COA'!E:E,0),2),IF(F95&lt;&gt;0,"Assign Code","Missing Code"))</f>
        <v>Inv-Consulting-environmental site assessment</v>
      </c>
    </row>
    <row r="96" spans="1:12">
      <c r="A96" s="1531">
        <v>15250248</v>
      </c>
      <c r="B96" s="560" t="s">
        <v>55</v>
      </c>
      <c r="C96" s="560"/>
      <c r="D96" s="560"/>
      <c r="E96" s="1064" t="s">
        <v>21</v>
      </c>
      <c r="F96" s="1065"/>
      <c r="G96" s="562">
        <f t="shared" si="35"/>
        <v>0</v>
      </c>
      <c r="H96" s="563">
        <f t="shared" si="36"/>
        <v>0</v>
      </c>
      <c r="I96" s="564">
        <f t="shared" si="37"/>
        <v>0</v>
      </c>
      <c r="J96" s="564">
        <f t="shared" si="38"/>
        <v>0</v>
      </c>
      <c r="K96" s="1026"/>
      <c r="L96" s="1377" t="str">
        <f>IFERROR(INDEX('Job Cost COA'!E:F,MATCH(A96,'Job Cost COA'!E:E,0),2),IF(F96&lt;&gt;0,"Assign Code","Missing Code"))</f>
        <v>Inv-Consulting-financial</v>
      </c>
    </row>
    <row r="97" spans="1:12">
      <c r="A97" s="1531">
        <v>15250262</v>
      </c>
      <c r="B97" s="560" t="s">
        <v>92</v>
      </c>
      <c r="C97" s="560"/>
      <c r="D97" s="623"/>
      <c r="E97" s="1064" t="s">
        <v>21</v>
      </c>
      <c r="F97" s="1065"/>
      <c r="G97" s="562">
        <f t="shared" si="35"/>
        <v>0</v>
      </c>
      <c r="H97" s="563">
        <f t="shared" si="36"/>
        <v>0</v>
      </c>
      <c r="I97" s="564">
        <f t="shared" si="37"/>
        <v>0</v>
      </c>
      <c r="J97" s="564">
        <f t="shared" si="38"/>
        <v>0</v>
      </c>
      <c r="K97" s="1026"/>
      <c r="L97" s="1377" t="str">
        <f>IFERROR(INDEX('Job Cost COA'!E:F,MATCH(A97,'Job Cost COA'!E:E,0),2),IF(F97&lt;&gt;0,"Assign Code","Missing Code"))</f>
        <v>Inv-Consulting-soil report</v>
      </c>
    </row>
    <row r="98" spans="1:12">
      <c r="A98" s="1531">
        <v>15250258</v>
      </c>
      <c r="B98" s="560" t="s">
        <v>93</v>
      </c>
      <c r="C98" s="560"/>
      <c r="D98" s="623"/>
      <c r="E98" s="1064" t="s">
        <v>21</v>
      </c>
      <c r="F98" s="1065"/>
      <c r="G98" s="562">
        <f t="shared" si="35"/>
        <v>0</v>
      </c>
      <c r="H98" s="563">
        <f t="shared" si="36"/>
        <v>0</v>
      </c>
      <c r="I98" s="564">
        <f t="shared" si="37"/>
        <v>0</v>
      </c>
      <c r="J98" s="564">
        <f t="shared" si="38"/>
        <v>0</v>
      </c>
      <c r="K98" s="1026"/>
      <c r="L98" s="1377" t="str">
        <f>IFERROR(INDEX('Job Cost COA'!E:F,MATCH(A98,'Job Cost COA'!E:E,0),2),IF(F98&lt;&gt;0,"Assign Code","Missing Code"))</f>
        <v>Inv-Consulting-pile inspector</v>
      </c>
    </row>
    <row r="99" spans="1:12">
      <c r="A99" s="1531">
        <v>15245201</v>
      </c>
      <c r="B99" s="560" t="s">
        <v>56</v>
      </c>
      <c r="C99" s="560"/>
      <c r="D99" s="623"/>
      <c r="E99" s="1064" t="s">
        <v>21</v>
      </c>
      <c r="F99" s="1065"/>
      <c r="G99" s="562">
        <f t="shared" si="35"/>
        <v>0</v>
      </c>
      <c r="H99" s="563">
        <f t="shared" si="36"/>
        <v>0</v>
      </c>
      <c r="I99" s="564">
        <f t="shared" si="37"/>
        <v>0</v>
      </c>
      <c r="J99" s="564">
        <f t="shared" si="38"/>
        <v>0</v>
      </c>
      <c r="K99" s="1026"/>
      <c r="L99" s="1377" t="str">
        <f>IFERROR(INDEX('Job Cost COA'!E:F,MATCH(A99,'Job Cost COA'!E:E,0),2),IF(F99&lt;&gt;0,"Assign Code","Missing Code"))</f>
        <v>Inv-Eng-traffic design</v>
      </c>
    </row>
    <row r="100" spans="1:12">
      <c r="A100" s="1531">
        <v>15250210</v>
      </c>
      <c r="B100" s="560" t="s">
        <v>57</v>
      </c>
      <c r="C100" s="560"/>
      <c r="D100" s="623"/>
      <c r="E100" s="1064" t="s">
        <v>21</v>
      </c>
      <c r="F100" s="1065"/>
      <c r="G100" s="562">
        <f t="shared" si="35"/>
        <v>0</v>
      </c>
      <c r="H100" s="563">
        <f t="shared" si="36"/>
        <v>0</v>
      </c>
      <c r="I100" s="564">
        <f t="shared" si="37"/>
        <v>0</v>
      </c>
      <c r="J100" s="564">
        <f t="shared" si="38"/>
        <v>0</v>
      </c>
      <c r="K100" s="1026"/>
      <c r="L100" s="1377" t="str">
        <f>IFERROR(INDEX('Job Cost COA'!E:F,MATCH(A100,'Job Cost COA'!E:E,0),2),IF(F100&lt;&gt;0,"Assign Code","Missing Code"))</f>
        <v>Inv-Consulting-wind consultants</v>
      </c>
    </row>
    <row r="101" spans="1:12">
      <c r="A101" s="1531">
        <v>15245202</v>
      </c>
      <c r="B101" s="560" t="s">
        <v>65</v>
      </c>
      <c r="C101" s="560"/>
      <c r="D101" s="623"/>
      <c r="E101" s="1064" t="s">
        <v>21</v>
      </c>
      <c r="F101" s="1065"/>
      <c r="G101" s="562">
        <f t="shared" si="35"/>
        <v>0</v>
      </c>
      <c r="H101" s="563">
        <f t="shared" si="36"/>
        <v>0</v>
      </c>
      <c r="I101" s="564">
        <f t="shared" si="37"/>
        <v>0</v>
      </c>
      <c r="J101" s="564">
        <f t="shared" si="38"/>
        <v>0</v>
      </c>
      <c r="K101" s="1026"/>
      <c r="L101" s="1377" t="str">
        <f>IFERROR(INDEX('Job Cost COA'!E:F,MATCH(A101,'Job Cost COA'!E:E,0),2),IF(F101&lt;&gt;0,"Assign Code","Missing Code"))</f>
        <v>Inv-Eng-surveyor</v>
      </c>
    </row>
    <row r="102" spans="1:12">
      <c r="A102" s="1531">
        <v>15250274</v>
      </c>
      <c r="B102" s="560" t="s">
        <v>94</v>
      </c>
      <c r="C102" s="560"/>
      <c r="D102" s="623"/>
      <c r="E102" s="1064" t="s">
        <v>21</v>
      </c>
      <c r="F102" s="1065"/>
      <c r="G102" s="562">
        <f t="shared" si="35"/>
        <v>0</v>
      </c>
      <c r="H102" s="563">
        <f t="shared" si="36"/>
        <v>0</v>
      </c>
      <c r="I102" s="564">
        <f t="shared" si="37"/>
        <v>0</v>
      </c>
      <c r="J102" s="564">
        <f t="shared" si="38"/>
        <v>0</v>
      </c>
      <c r="K102" s="1026"/>
      <c r="L102" s="1377" t="str">
        <f>IFERROR(INDEX('Job Cost COA'!E:F,MATCH(A102,'Job Cost COA'!E:E,0),2),IF(F102&lt;&gt;0,"Assign Code","Missing Code"))</f>
        <v>Inv-Consulting-peer review-structural</v>
      </c>
    </row>
    <row r="103" spans="1:12">
      <c r="A103" s="1531">
        <v>15250226</v>
      </c>
      <c r="B103" s="560" t="s">
        <v>95</v>
      </c>
      <c r="C103" s="560"/>
      <c r="D103" s="623"/>
      <c r="E103" s="1064" t="s">
        <v>21</v>
      </c>
      <c r="F103" s="1065"/>
      <c r="G103" s="562">
        <f t="shared" si="35"/>
        <v>0</v>
      </c>
      <c r="H103" s="563">
        <f t="shared" si="36"/>
        <v>0</v>
      </c>
      <c r="I103" s="564">
        <f t="shared" si="37"/>
        <v>0</v>
      </c>
      <c r="J103" s="564">
        <f t="shared" si="38"/>
        <v>0</v>
      </c>
      <c r="K103" s="1026"/>
      <c r="L103" s="1377" t="str">
        <f>IFERROR(INDEX('Job Cost COA'!E:F,MATCH(A103,'Job Cost COA'!E:E,0),2),IF(F103&lt;&gt;0,"Assign Code","Missing Code"))</f>
        <v>Inv-Consulting-window inspector</v>
      </c>
    </row>
    <row r="104" spans="1:12">
      <c r="A104" s="1531">
        <v>15250226</v>
      </c>
      <c r="B104" s="560" t="s">
        <v>58</v>
      </c>
      <c r="C104" s="560"/>
      <c r="D104" s="623"/>
      <c r="E104" s="1064" t="s">
        <v>21</v>
      </c>
      <c r="F104" s="1065"/>
      <c r="G104" s="562">
        <f t="shared" si="35"/>
        <v>0</v>
      </c>
      <c r="H104" s="563">
        <f t="shared" si="36"/>
        <v>0</v>
      </c>
      <c r="I104" s="564">
        <f t="shared" si="37"/>
        <v>0</v>
      </c>
      <c r="J104" s="564">
        <f t="shared" si="38"/>
        <v>0</v>
      </c>
      <c r="K104" s="1026"/>
      <c r="L104" s="1377" t="str">
        <f>IFERROR(INDEX('Job Cost COA'!E:F,MATCH(A104,'Job Cost COA'!E:E,0),2),IF(F104&lt;&gt;0,"Assign Code","Missing Code"))</f>
        <v>Inv-Consulting-window inspector</v>
      </c>
    </row>
    <row r="105" spans="1:12">
      <c r="A105" s="1531">
        <v>15250224</v>
      </c>
      <c r="B105" s="560" t="s">
        <v>59</v>
      </c>
      <c r="C105" s="560"/>
      <c r="D105" s="623"/>
      <c r="E105" s="1064" t="s">
        <v>21</v>
      </c>
      <c r="F105" s="1065"/>
      <c r="G105" s="562">
        <f t="shared" si="35"/>
        <v>0</v>
      </c>
      <c r="H105" s="563">
        <f t="shared" si="36"/>
        <v>0</v>
      </c>
      <c r="I105" s="564">
        <f t="shared" si="37"/>
        <v>0</v>
      </c>
      <c r="J105" s="564">
        <f t="shared" si="38"/>
        <v>0</v>
      </c>
      <c r="K105" s="1026"/>
      <c r="L105" s="1377" t="str">
        <f>IFERROR(INDEX('Job Cost COA'!E:F,MATCH(A105,'Job Cost COA'!E:E,0),2),IF(F105&lt;&gt;0,"Assign Code","Missing Code"))</f>
        <v>Inv-Consulting-waterproofing</v>
      </c>
    </row>
    <row r="106" spans="1:12">
      <c r="A106" s="1531">
        <v>15250214</v>
      </c>
      <c r="B106" s="560" t="s">
        <v>637</v>
      </c>
      <c r="C106" s="560"/>
      <c r="D106" s="623"/>
      <c r="E106" s="1064" t="s">
        <v>21</v>
      </c>
      <c r="F106" s="1065"/>
      <c r="G106" s="562">
        <f t="shared" si="35"/>
        <v>0</v>
      </c>
      <c r="H106" s="563">
        <f t="shared" si="36"/>
        <v>0</v>
      </c>
      <c r="I106" s="564">
        <f t="shared" si="37"/>
        <v>0</v>
      </c>
      <c r="J106" s="564">
        <f t="shared" si="38"/>
        <v>0</v>
      </c>
      <c r="K106" s="1026"/>
      <c r="L106" s="1377" t="str">
        <f>IFERROR(INDEX('Job Cost COA'!E:F,MATCH(A106,'Job Cost COA'!E:E,0),2),IF(F106&lt;&gt;0,"Assign Code","Missing Code"))</f>
        <v>Inv-Consulting-material testing</v>
      </c>
    </row>
    <row r="107" spans="1:12">
      <c r="A107" s="1531">
        <v>15250234</v>
      </c>
      <c r="B107" s="560" t="s">
        <v>60</v>
      </c>
      <c r="C107" s="560"/>
      <c r="D107" s="623"/>
      <c r="E107" s="1064" t="s">
        <v>21</v>
      </c>
      <c r="F107" s="1065"/>
      <c r="G107" s="562">
        <f t="shared" si="35"/>
        <v>0</v>
      </c>
      <c r="H107" s="563">
        <f t="shared" si="36"/>
        <v>0</v>
      </c>
      <c r="I107" s="564">
        <f t="shared" si="37"/>
        <v>0</v>
      </c>
      <c r="J107" s="564">
        <f t="shared" si="38"/>
        <v>0</v>
      </c>
      <c r="K107" s="1026"/>
      <c r="L107" s="1377" t="str">
        <f>IFERROR(INDEX('Job Cost COA'!E:F,MATCH(A107,'Job Cost COA'!E:E,0),2),IF(F107&lt;&gt;0,"Assign Code","Missing Code"))</f>
        <v>Inv-Consulting-zoning/permit/expediter</v>
      </c>
    </row>
    <row r="108" spans="1:12">
      <c r="A108" s="1531">
        <v>15250254</v>
      </c>
      <c r="B108" s="560" t="s">
        <v>61</v>
      </c>
      <c r="C108" s="560"/>
      <c r="D108" s="623"/>
      <c r="E108" s="1064" t="s">
        <v>21</v>
      </c>
      <c r="F108" s="1065"/>
      <c r="G108" s="562">
        <f t="shared" si="35"/>
        <v>0</v>
      </c>
      <c r="H108" s="563">
        <f t="shared" si="36"/>
        <v>0</v>
      </c>
      <c r="I108" s="564">
        <f t="shared" si="37"/>
        <v>0</v>
      </c>
      <c r="J108" s="564">
        <f t="shared" si="38"/>
        <v>0</v>
      </c>
      <c r="K108" s="1026"/>
      <c r="L108" s="1377" t="str">
        <f>IFERROR(INDEX('Job Cost COA'!E:F,MATCH(A108,'Job Cost COA'!E:E,0),2),IF(F108&lt;&gt;0,"Assign Code","Missing Code"))</f>
        <v>Inv-Consulting-other</v>
      </c>
    </row>
    <row r="109" spans="1:12">
      <c r="A109" s="1531">
        <v>15250900</v>
      </c>
      <c r="B109" s="560" t="s">
        <v>122</v>
      </c>
      <c r="C109" s="560"/>
      <c r="D109" s="623"/>
      <c r="E109" s="1064" t="s">
        <v>21</v>
      </c>
      <c r="F109" s="1065"/>
      <c r="G109" s="562">
        <f t="shared" si="35"/>
        <v>0</v>
      </c>
      <c r="H109" s="563">
        <f t="shared" si="36"/>
        <v>0</v>
      </c>
      <c r="I109" s="564">
        <f t="shared" si="37"/>
        <v>0</v>
      </c>
      <c r="J109" s="564">
        <f t="shared" si="38"/>
        <v>0</v>
      </c>
      <c r="K109" s="1026"/>
      <c r="L109" s="1377" t="str">
        <f>IFERROR(INDEX('Job Cost COA'!E:F,MATCH(A109,'Job Cost COA'!E:E,0),2),IF(F109&lt;&gt;0,"Assign Code","Missing Code"))</f>
        <v>Inv-Consulting-contingency</v>
      </c>
    </row>
    <row r="110" spans="1:12">
      <c r="A110" s="1531">
        <v>15245210</v>
      </c>
      <c r="B110" s="560" t="s">
        <v>636</v>
      </c>
      <c r="C110" s="571"/>
      <c r="D110" s="624"/>
      <c r="E110" s="1064" t="s">
        <v>21</v>
      </c>
      <c r="F110" s="1065"/>
      <c r="G110" s="562">
        <f t="shared" si="35"/>
        <v>0</v>
      </c>
      <c r="H110" s="563">
        <f t="shared" si="36"/>
        <v>0</v>
      </c>
      <c r="I110" s="564">
        <f t="shared" si="37"/>
        <v>0</v>
      </c>
      <c r="J110" s="564">
        <f t="shared" si="38"/>
        <v>0</v>
      </c>
      <c r="K110" s="1026"/>
      <c r="L110" s="1377" t="str">
        <f>IFERROR(INDEX('Job Cost COA'!E:F,MATCH(A110,'Job Cost COA'!E:E,0),2),IF(F110&lt;&gt;0,"Assign Code","Missing Code"))</f>
        <v>Inv-Eng-MEP (Mechanical Electrical and Plumbing)</v>
      </c>
    </row>
    <row r="111" spans="1:12">
      <c r="A111" s="1531">
        <f>IFERROR(VLOOKUP(B111,'Job Cost COA'!F:I,4,FALSE),0)</f>
        <v>0</v>
      </c>
      <c r="B111" s="1030" t="s">
        <v>4999</v>
      </c>
      <c r="C111" s="571"/>
      <c r="D111" s="624"/>
      <c r="E111" s="1064" t="s">
        <v>21</v>
      </c>
      <c r="F111" s="1065"/>
      <c r="G111" s="562">
        <f t="shared" si="35"/>
        <v>0</v>
      </c>
      <c r="H111" s="563">
        <f t="shared" si="36"/>
        <v>0</v>
      </c>
      <c r="I111" s="564">
        <f t="shared" si="37"/>
        <v>0</v>
      </c>
      <c r="J111" s="564">
        <f t="shared" si="38"/>
        <v>0</v>
      </c>
      <c r="K111" s="1026"/>
      <c r="L111" s="1377" t="str">
        <f>IFERROR(INDEX('Job Cost COA'!E:F,MATCH(A111,'Job Cost COA'!E:E,0),2),IF(F111&lt;&gt;0,"Assign Code","Missing Code"))</f>
        <v>Missing Code</v>
      </c>
    </row>
    <row r="112" spans="1:12">
      <c r="A112" s="1531">
        <v>15250216</v>
      </c>
      <c r="B112" s="570" t="s">
        <v>5130</v>
      </c>
      <c r="C112" s="571"/>
      <c r="D112" s="624"/>
      <c r="E112" s="1064" t="s">
        <v>21</v>
      </c>
      <c r="F112" s="1065"/>
      <c r="G112" s="562">
        <f t="shared" si="35"/>
        <v>0</v>
      </c>
      <c r="H112" s="563">
        <f t="shared" si="36"/>
        <v>0</v>
      </c>
      <c r="I112" s="564">
        <f t="shared" si="37"/>
        <v>0</v>
      </c>
      <c r="J112" s="564">
        <f t="shared" si="38"/>
        <v>0</v>
      </c>
      <c r="K112" s="1026"/>
      <c r="L112" s="1377" t="str">
        <f>IFERROR(INDEX('Job Cost COA'!E:F,MATCH(A112,'Job Cost COA'!E:E,0),2),IF(F112&lt;&gt;0,"Assign Code","Missing Code"))</f>
        <v>Inv-Consulting-acoustic</v>
      </c>
    </row>
    <row r="113" spans="1:12">
      <c r="A113" s="1531">
        <f>IFERROR(VLOOKUP(B113,'Job Cost COA'!F:I,4,FALSE),0)</f>
        <v>15250268</v>
      </c>
      <c r="B113" s="1030" t="s">
        <v>3966</v>
      </c>
      <c r="C113" s="571"/>
      <c r="D113" s="624"/>
      <c r="E113" s="1064" t="s">
        <v>21</v>
      </c>
      <c r="F113" s="1065"/>
      <c r="G113" s="562">
        <f t="shared" si="35"/>
        <v>0</v>
      </c>
      <c r="H113" s="563">
        <f t="shared" si="36"/>
        <v>0</v>
      </c>
      <c r="I113" s="564">
        <f t="shared" si="37"/>
        <v>0</v>
      </c>
      <c r="J113" s="564">
        <f t="shared" si="38"/>
        <v>0</v>
      </c>
      <c r="K113" s="1026"/>
      <c r="L113" s="1377" t="str">
        <f>IFERROR(INDEX('Job Cost COA'!E:F,MATCH(A113,'Job Cost COA'!E:E,0),2),IF(F113&lt;&gt;0,"Assign Code","Missing Code"))</f>
        <v>Inv-Consulting-elevator</v>
      </c>
    </row>
    <row r="114" spans="1:12">
      <c r="A114" s="1531">
        <f>IFERROR(VLOOKUP(B114,'Job Cost COA'!F:I,4,FALSE),0)</f>
        <v>15250250</v>
      </c>
      <c r="B114" s="1030" t="s">
        <v>3984</v>
      </c>
      <c r="C114" s="571"/>
      <c r="D114" s="624"/>
      <c r="E114" s="1064" t="s">
        <v>21</v>
      </c>
      <c r="F114" s="1065"/>
      <c r="G114" s="562">
        <f t="shared" si="35"/>
        <v>0</v>
      </c>
      <c r="H114" s="563">
        <f t="shared" si="36"/>
        <v>0</v>
      </c>
      <c r="I114" s="564">
        <f t="shared" si="37"/>
        <v>0</v>
      </c>
      <c r="J114" s="564">
        <f t="shared" si="38"/>
        <v>0</v>
      </c>
      <c r="K114" s="1026"/>
      <c r="L114" s="1377" t="str">
        <f>IFERROR(INDEX('Job Cost COA'!E:F,MATCH(A114,'Job Cost COA'!E:E,0),2),IF(F114&lt;&gt;0,"Assign Code","Missing Code"))</f>
        <v>Inv-Consulting-Pool and Spa</v>
      </c>
    </row>
    <row r="115" spans="1:12">
      <c r="A115" s="1531">
        <v>15250206</v>
      </c>
      <c r="B115" s="570" t="s">
        <v>5129</v>
      </c>
      <c r="C115" s="571"/>
      <c r="D115" s="624"/>
      <c r="E115" s="1064" t="s">
        <v>21</v>
      </c>
      <c r="F115" s="1065"/>
      <c r="G115" s="562">
        <f t="shared" si="35"/>
        <v>0</v>
      </c>
      <c r="H115" s="563">
        <f t="shared" si="36"/>
        <v>0</v>
      </c>
      <c r="I115" s="564">
        <f t="shared" si="37"/>
        <v>0</v>
      </c>
      <c r="J115" s="564">
        <f t="shared" si="38"/>
        <v>0</v>
      </c>
      <c r="K115" s="1026"/>
      <c r="L115" s="1377" t="str">
        <f>IFERROR(INDEX('Job Cost COA'!E:F,MATCH(A115,'Job Cost COA'!E:E,0),2),IF(F115&lt;&gt;0,"Assign Code","Missing Code"))</f>
        <v>Inv-Consulting-fire life safety</v>
      </c>
    </row>
    <row r="116" spans="1:12">
      <c r="A116" s="1531">
        <v>15250218</v>
      </c>
      <c r="B116" s="570" t="s">
        <v>5127</v>
      </c>
      <c r="C116" s="571"/>
      <c r="D116" s="624"/>
      <c r="E116" s="1064" t="s">
        <v>21</v>
      </c>
      <c r="F116" s="1065"/>
      <c r="G116" s="562">
        <f t="shared" si="35"/>
        <v>0</v>
      </c>
      <c r="H116" s="563">
        <f t="shared" si="36"/>
        <v>0</v>
      </c>
      <c r="I116" s="564">
        <f t="shared" si="37"/>
        <v>0</v>
      </c>
      <c r="J116" s="564">
        <f t="shared" si="38"/>
        <v>0</v>
      </c>
      <c r="K116" s="1026"/>
      <c r="L116" s="1377" t="str">
        <f>IFERROR(INDEX('Job Cost COA'!E:F,MATCH(A116,'Job Cost COA'!E:E,0),2),IF(F116&lt;&gt;0,"Assign Code","Missing Code"))</f>
        <v>Inv-Consulting-ada assessment</v>
      </c>
    </row>
    <row r="117" spans="1:12">
      <c r="A117" s="1531">
        <v>15250217</v>
      </c>
      <c r="B117" s="572" t="s">
        <v>5128</v>
      </c>
      <c r="C117" s="573"/>
      <c r="D117" s="625"/>
      <c r="E117" s="1073" t="s">
        <v>21</v>
      </c>
      <c r="F117" s="1076"/>
      <c r="G117" s="605">
        <f t="shared" si="35"/>
        <v>0</v>
      </c>
      <c r="H117" s="606">
        <f t="shared" si="36"/>
        <v>0</v>
      </c>
      <c r="I117" s="607">
        <f t="shared" si="37"/>
        <v>0</v>
      </c>
      <c r="J117" s="607">
        <f t="shared" si="38"/>
        <v>0</v>
      </c>
      <c r="K117" s="1026"/>
      <c r="L117" s="1378" t="str">
        <f>IFERROR(INDEX('Job Cost COA'!E:F,MATCH(A117,'Job Cost COA'!E:E,0),2),IF(F117&lt;&gt;0,"Assign Code","Missing Code"))</f>
        <v>Inv-Consulting-lighting</v>
      </c>
    </row>
    <row r="118" spans="1:12">
      <c r="B118" s="154" t="s">
        <v>223</v>
      </c>
      <c r="C118" s="154"/>
      <c r="D118" s="636"/>
      <c r="E118" s="153"/>
      <c r="F118" s="583">
        <f>SUM(F88:F117)</f>
        <v>100000</v>
      </c>
      <c r="G118" s="580">
        <f t="shared" si="35"/>
        <v>11111.111111111111</v>
      </c>
      <c r="H118" s="581">
        <f>$F118/ResSF</f>
        <v>4.0264132710581411</v>
      </c>
      <c r="I118" s="210">
        <f>$F118/DevBud2</f>
        <v>4.6429118027401855E-3</v>
      </c>
      <c r="J118" s="210">
        <f>$F118/TotalSales</f>
        <v>3.6603757009619469E-3</v>
      </c>
      <c r="K118" s="210"/>
      <c r="L118" s="1379"/>
    </row>
    <row r="119" spans="1:12">
      <c r="E119" s="150"/>
      <c r="F119" s="150"/>
      <c r="L119" s="1379"/>
    </row>
    <row r="120" spans="1:12">
      <c r="B120" s="597" t="s">
        <v>18</v>
      </c>
      <c r="C120" s="598"/>
      <c r="D120" s="599"/>
      <c r="E120" s="584" t="s">
        <v>134</v>
      </c>
      <c r="F120" s="600" t="s">
        <v>21</v>
      </c>
      <c r="G120" s="584" t="s">
        <v>182</v>
      </c>
      <c r="H120" s="584" t="s">
        <v>292</v>
      </c>
      <c r="I120" s="584" t="s">
        <v>262</v>
      </c>
      <c r="J120" s="584" t="s">
        <v>293</v>
      </c>
      <c r="K120" s="152"/>
      <c r="L120" s="1379"/>
    </row>
    <row r="121" spans="1:12">
      <c r="A121" s="1531">
        <v>15255200</v>
      </c>
      <c r="B121" s="637" t="s">
        <v>33</v>
      </c>
      <c r="C121" s="634"/>
      <c r="D121" s="1078">
        <v>0.02</v>
      </c>
      <c r="E121" s="1064" t="s">
        <v>21</v>
      </c>
      <c r="F121" s="1065">
        <f>+ROUND(D121*F29,-3)</f>
        <v>199000</v>
      </c>
      <c r="G121" s="562">
        <f t="shared" ref="G121:G137" si="39">$F121/ResUnits</f>
        <v>22111.111111111109</v>
      </c>
      <c r="H121" s="563">
        <f t="shared" ref="H121:H128" si="40">$F121 / ResSF</f>
        <v>8.0125624094057013</v>
      </c>
      <c r="I121" s="564">
        <f t="shared" ref="I121:I128" si="41">$F121 / DevBud1</f>
        <v>9.2393944874529683E-3</v>
      </c>
      <c r="J121" s="564">
        <f t="shared" ref="J121:J128" si="42">$F121 / TotalSales</f>
        <v>7.2841476449142743E-3</v>
      </c>
      <c r="K121" s="1026"/>
      <c r="L121" s="1376" t="str">
        <f>IFERROR(INDEX('Job Cost COA'!E:F,MATCH(A121,'Job Cost COA'!E:E,0),2),IF(F121&lt;&gt;0,"Assign Code","Missing Code"))</f>
        <v>Inv-Muni fees-building permits</v>
      </c>
    </row>
    <row r="122" spans="1:12">
      <c r="A122" s="1531">
        <v>15255230</v>
      </c>
      <c r="B122" s="602" t="s">
        <v>143</v>
      </c>
      <c r="C122" s="638"/>
      <c r="D122" s="639"/>
      <c r="E122" s="1064" t="s">
        <v>21</v>
      </c>
      <c r="F122" s="1065">
        <v>0</v>
      </c>
      <c r="G122" s="562">
        <f t="shared" si="39"/>
        <v>0</v>
      </c>
      <c r="H122" s="563">
        <f t="shared" si="40"/>
        <v>0</v>
      </c>
      <c r="I122" s="564">
        <f t="shared" si="41"/>
        <v>0</v>
      </c>
      <c r="J122" s="564">
        <f t="shared" si="42"/>
        <v>0</v>
      </c>
      <c r="K122" s="1026"/>
      <c r="L122" s="1377" t="str">
        <f>IFERROR(INDEX('Job Cost COA'!E:F,MATCH(A122,'Job Cost COA'!E:E,0),2),IF(F122&lt;&gt;0,"Assign Code","Missing Code"))</f>
        <v>Inv-Muni fees-impact fees-general</v>
      </c>
    </row>
    <row r="123" spans="1:12">
      <c r="A123" s="1531">
        <v>15255205</v>
      </c>
      <c r="B123" s="602" t="s">
        <v>99</v>
      </c>
      <c r="C123" s="560"/>
      <c r="D123" s="640"/>
      <c r="E123" s="1064" t="s">
        <v>4981</v>
      </c>
      <c r="F123" s="1370">
        <f>$G123 * ResUnits</f>
        <v>1620</v>
      </c>
      <c r="G123" s="1533">
        <v>180</v>
      </c>
      <c r="H123" s="1032">
        <f>$F123 / ResSF</f>
        <v>6.5227894991141885E-2</v>
      </c>
      <c r="I123" s="1033">
        <f>$F123 / DevBud1</f>
        <v>7.5215171204391E-5</v>
      </c>
      <c r="J123" s="1033">
        <f>$F123 / TotalSales</f>
        <v>5.9298086355583539E-5</v>
      </c>
      <c r="K123" s="1026"/>
      <c r="L123" s="1377" t="str">
        <f>IFERROR(INDEX('Job Cost COA'!E:F,MATCH(A123,'Job Cost COA'!E:E,0),2),IF(F123&lt;&gt;0,"Assign Code","Missing Code"))</f>
        <v>Inv-Muni fees-cert of occupancy</v>
      </c>
    </row>
    <row r="124" spans="1:12">
      <c r="A124" s="1531">
        <v>15255214</v>
      </c>
      <c r="B124" s="602" t="s">
        <v>96</v>
      </c>
      <c r="C124" s="560"/>
      <c r="D124" s="561"/>
      <c r="E124" s="1064" t="s">
        <v>4981</v>
      </c>
      <c r="F124" s="1370">
        <f>$G124 * ResUnits</f>
        <v>9000</v>
      </c>
      <c r="G124" s="1533">
        <v>1000</v>
      </c>
      <c r="H124" s="1032">
        <f>$F124 / ResSF</f>
        <v>0.36237719439523275</v>
      </c>
      <c r="I124" s="1033">
        <f>$F124 / DevBud1</f>
        <v>4.1786206224661668E-4</v>
      </c>
      <c r="J124" s="1033">
        <f>$F124 / TotalSales</f>
        <v>3.2943381308657519E-4</v>
      </c>
      <c r="K124" s="1026"/>
      <c r="L124" s="1377" t="str">
        <f>IFERROR(INDEX('Job Cost COA'!E:F,MATCH(A124,'Job Cost COA'!E:E,0),2),IF(F124&lt;&gt;0,"Assign Code","Missing Code"))</f>
        <v>Inv-Muni fees-impact fees-roads</v>
      </c>
    </row>
    <row r="125" spans="1:12">
      <c r="A125" s="1531">
        <v>15255216</v>
      </c>
      <c r="B125" s="602" t="s">
        <v>5120</v>
      </c>
      <c r="C125" s="560"/>
      <c r="D125" s="561"/>
      <c r="E125" s="1064" t="s">
        <v>4981</v>
      </c>
      <c r="F125" s="1370">
        <f>$G125 * ResUnits</f>
        <v>18000</v>
      </c>
      <c r="G125" s="1533">
        <v>2000</v>
      </c>
      <c r="H125" s="1032">
        <f>$F125 / ResSF</f>
        <v>0.7247543887904655</v>
      </c>
      <c r="I125" s="1033">
        <f>$F125 / DevBud1</f>
        <v>8.3572412449323336E-4</v>
      </c>
      <c r="J125" s="1033">
        <f>$F125 / TotalSales</f>
        <v>6.5886762617315038E-4</v>
      </c>
      <c r="K125" s="1026"/>
      <c r="L125" s="1377" t="str">
        <f>IFERROR(INDEX('Job Cost COA'!E:F,MATCH(A125,'Job Cost COA'!E:E,0),2),IF(F125&lt;&gt;0,"Assign Code","Missing Code"))</f>
        <v>Inv-Muni fees-impact fees-water</v>
      </c>
    </row>
    <row r="126" spans="1:12">
      <c r="A126" s="1531">
        <v>15255215</v>
      </c>
      <c r="B126" s="602" t="s">
        <v>97</v>
      </c>
      <c r="C126" s="560"/>
      <c r="D126" s="561"/>
      <c r="E126" s="1064" t="s">
        <v>4981</v>
      </c>
      <c r="F126" s="1370">
        <f>$G126 * ResUnits</f>
        <v>9000</v>
      </c>
      <c r="G126" s="1533">
        <v>1000</v>
      </c>
      <c r="H126" s="1032">
        <f>$F126 / ResSF</f>
        <v>0.36237719439523275</v>
      </c>
      <c r="I126" s="1033">
        <f>$F126 / DevBud1</f>
        <v>4.1786206224661668E-4</v>
      </c>
      <c r="J126" s="1033">
        <f>$F126 / TotalSales</f>
        <v>3.2943381308657519E-4</v>
      </c>
      <c r="K126" s="1026"/>
      <c r="L126" s="1377" t="str">
        <f>IFERROR(INDEX('Job Cost COA'!E:F,MATCH(A126,'Job Cost COA'!E:E,0),2),IF(F126&lt;&gt;0,"Assign Code","Missing Code"))</f>
        <v>Inv-Muni fees-impact fees-school</v>
      </c>
    </row>
    <row r="127" spans="1:12">
      <c r="A127" s="1531">
        <v>15255213</v>
      </c>
      <c r="B127" s="602" t="s">
        <v>98</v>
      </c>
      <c r="C127" s="560"/>
      <c r="D127" s="561"/>
      <c r="E127" s="1064" t="s">
        <v>4981</v>
      </c>
      <c r="F127" s="1370">
        <f>$G127 * ResUnits</f>
        <v>9000</v>
      </c>
      <c r="G127" s="1533">
        <v>1000</v>
      </c>
      <c r="H127" s="1032">
        <f>$F127 / ResSF</f>
        <v>0.36237719439523275</v>
      </c>
      <c r="I127" s="1033">
        <f>$F127 / DevBud1</f>
        <v>4.1786206224661668E-4</v>
      </c>
      <c r="J127" s="1033">
        <f>$F127 / TotalSales</f>
        <v>3.2943381308657519E-4</v>
      </c>
      <c r="K127" s="1026"/>
      <c r="L127" s="1377" t="str">
        <f>IFERROR(INDEX('Job Cost COA'!E:F,MATCH(A127,'Job Cost COA'!E:E,0),2),IF(F127&lt;&gt;0,"Assign Code","Missing Code"))</f>
        <v>Inv-Muni fees-impact fees-park</v>
      </c>
    </row>
    <row r="128" spans="1:12">
      <c r="A128" s="1531">
        <v>15255230</v>
      </c>
      <c r="B128" s="560" t="s">
        <v>27</v>
      </c>
      <c r="C128" s="560"/>
      <c r="D128" s="561"/>
      <c r="E128" s="1064" t="s">
        <v>21</v>
      </c>
      <c r="F128" s="1065">
        <v>0</v>
      </c>
      <c r="G128" s="562">
        <f t="shared" si="39"/>
        <v>0</v>
      </c>
      <c r="H128" s="563">
        <f t="shared" si="40"/>
        <v>0</v>
      </c>
      <c r="I128" s="564">
        <f t="shared" si="41"/>
        <v>0</v>
      </c>
      <c r="J128" s="564">
        <f t="shared" si="42"/>
        <v>0</v>
      </c>
      <c r="K128" s="1026"/>
      <c r="L128" s="1377" t="str">
        <f>IFERROR(INDEX('Job Cost COA'!E:F,MATCH(A128,'Job Cost COA'!E:E,0),2),IF(F128&lt;&gt;0,"Assign Code","Missing Code"))</f>
        <v>Inv-Muni fees-impact fees-general</v>
      </c>
    </row>
    <row r="129" spans="1:16">
      <c r="A129" s="1531">
        <v>15255216</v>
      </c>
      <c r="B129" s="570" t="s">
        <v>540</v>
      </c>
      <c r="C129" s="641">
        <v>2.3E-2</v>
      </c>
      <c r="D129" s="642">
        <v>1734</v>
      </c>
      <c r="E129" s="1064" t="s">
        <v>4981</v>
      </c>
      <c r="F129" s="1534">
        <f t="shared" ref="F129:F136" si="43">$G129 * ResUnits</f>
        <v>13500</v>
      </c>
      <c r="G129" s="1533">
        <v>1500</v>
      </c>
      <c r="H129" s="1032">
        <f t="shared" ref="H129:H136" si="44">$F129 / ResSF</f>
        <v>0.54356579159284912</v>
      </c>
      <c r="I129" s="1033">
        <f t="shared" ref="I129:I136" si="45">$F129 / DevBud1</f>
        <v>6.2679309336992502E-4</v>
      </c>
      <c r="J129" s="1033">
        <f t="shared" ref="J129:J136" si="46">$F129 / TotalSales</f>
        <v>4.9415071962986281E-4</v>
      </c>
      <c r="K129" s="1026"/>
      <c r="L129" s="1377" t="str">
        <f>IFERROR(INDEX('Job Cost COA'!E:F,MATCH(A129,'Job Cost COA'!E:E,0),2),IF(F129&lt;&gt;0,"Assign Code","Missing Code"))</f>
        <v>Inv-Muni fees-impact fees-water</v>
      </c>
    </row>
    <row r="130" spans="1:16">
      <c r="A130" s="1531">
        <v>15255216</v>
      </c>
      <c r="B130" s="570" t="s">
        <v>541</v>
      </c>
      <c r="C130" s="641">
        <v>2.3E-2</v>
      </c>
      <c r="D130" s="642">
        <v>1685</v>
      </c>
      <c r="E130" s="1064" t="s">
        <v>4981</v>
      </c>
      <c r="F130" s="1534">
        <f t="shared" si="43"/>
        <v>13500</v>
      </c>
      <c r="G130" s="1533">
        <v>1500</v>
      </c>
      <c r="H130" s="1032">
        <f t="shared" si="44"/>
        <v>0.54356579159284912</v>
      </c>
      <c r="I130" s="1033">
        <f t="shared" si="45"/>
        <v>6.2679309336992502E-4</v>
      </c>
      <c r="J130" s="1033">
        <f t="shared" si="46"/>
        <v>4.9415071962986281E-4</v>
      </c>
      <c r="K130" s="1026"/>
      <c r="L130" s="1377" t="str">
        <f>IFERROR(INDEX('Job Cost COA'!E:F,MATCH(A130,'Job Cost COA'!E:E,0),2),IF(F130&lt;&gt;0,"Assign Code","Missing Code"))</f>
        <v>Inv-Muni fees-impact fees-water</v>
      </c>
    </row>
    <row r="131" spans="1:16">
      <c r="A131" s="1531">
        <v>15255214</v>
      </c>
      <c r="B131" s="570" t="s">
        <v>542</v>
      </c>
      <c r="C131" s="641">
        <v>3.0000000000000001E-3</v>
      </c>
      <c r="D131" s="642">
        <v>2592</v>
      </c>
      <c r="E131" s="1064" t="s">
        <v>4981</v>
      </c>
      <c r="F131" s="1534">
        <f t="shared" si="43"/>
        <v>4500</v>
      </c>
      <c r="G131" s="1533">
        <v>500</v>
      </c>
      <c r="H131" s="1032">
        <f t="shared" si="44"/>
        <v>0.18118859719761637</v>
      </c>
      <c r="I131" s="1033">
        <f t="shared" si="45"/>
        <v>2.0893103112330834E-4</v>
      </c>
      <c r="J131" s="1033">
        <f t="shared" si="46"/>
        <v>1.6471690654328759E-4</v>
      </c>
      <c r="K131" s="1026"/>
      <c r="L131" s="1377" t="str">
        <f>IFERROR(INDEX('Job Cost COA'!E:F,MATCH(A131,'Job Cost COA'!E:E,0),2),IF(F131&lt;&gt;0,"Assign Code","Missing Code"))</f>
        <v>Inv-Muni fees-impact fees-roads</v>
      </c>
    </row>
    <row r="132" spans="1:16">
      <c r="A132" s="1531">
        <v>15255211</v>
      </c>
      <c r="B132" s="570" t="s">
        <v>543</v>
      </c>
      <c r="C132" s="571">
        <v>3.0000000000000001E-3</v>
      </c>
      <c r="D132" s="642">
        <v>257</v>
      </c>
      <c r="E132" s="1064" t="s">
        <v>4981</v>
      </c>
      <c r="F132" s="1534">
        <f t="shared" si="43"/>
        <v>2313</v>
      </c>
      <c r="G132" s="1533">
        <v>257</v>
      </c>
      <c r="H132" s="1032">
        <f t="shared" si="44"/>
        <v>9.3130938959574805E-2</v>
      </c>
      <c r="I132" s="1033">
        <f t="shared" si="45"/>
        <v>1.0739054999738048E-4</v>
      </c>
      <c r="J132" s="1033">
        <f t="shared" si="46"/>
        <v>8.4664489963249824E-5</v>
      </c>
      <c r="K132" s="1026"/>
      <c r="L132" s="1377" t="str">
        <f>IFERROR(INDEX('Job Cost COA'!E:F,MATCH(A132,'Job Cost COA'!E:E,0),2),IF(F132&lt;&gt;0,"Assign Code","Missing Code"))</f>
        <v>Inv-Muni fees-impact fees-fire</v>
      </c>
    </row>
    <row r="133" spans="1:16">
      <c r="A133" s="1531">
        <f>IFERROR(VLOOKUP(B133,'Job Cost COA'!F:I,4,FALSE),0)</f>
        <v>0</v>
      </c>
      <c r="B133" s="1030" t="s">
        <v>5000</v>
      </c>
      <c r="C133" s="571">
        <v>3.0000000000000001E-3</v>
      </c>
      <c r="D133" s="642">
        <v>42</v>
      </c>
      <c r="E133" s="1064" t="s">
        <v>4981</v>
      </c>
      <c r="F133" s="1534">
        <f t="shared" si="43"/>
        <v>0</v>
      </c>
      <c r="G133" s="1533">
        <v>0</v>
      </c>
      <c r="H133" s="1032">
        <f t="shared" si="44"/>
        <v>0</v>
      </c>
      <c r="I133" s="1033">
        <f t="shared" si="45"/>
        <v>0</v>
      </c>
      <c r="J133" s="1033">
        <f t="shared" si="46"/>
        <v>0</v>
      </c>
      <c r="K133" s="1026"/>
      <c r="L133" s="1377" t="str">
        <f>IFERROR(INDEX('Job Cost COA'!E:F,MATCH(A133,'Job Cost COA'!E:E,0),2),IF(F133&lt;&gt;0,"Assign Code","Missing Code"))</f>
        <v>Missing Code</v>
      </c>
    </row>
    <row r="134" spans="1:16">
      <c r="A134" s="1531">
        <f>IFERROR(VLOOKUP(B134,'Job Cost COA'!F:I,4,FALSE),0)</f>
        <v>0</v>
      </c>
      <c r="B134" s="1030" t="s">
        <v>5000</v>
      </c>
      <c r="C134" s="571">
        <v>3.0000000000000001E-3</v>
      </c>
      <c r="D134" s="642">
        <v>955.35</v>
      </c>
      <c r="E134" s="1064" t="s">
        <v>4981</v>
      </c>
      <c r="F134" s="1534">
        <f t="shared" si="43"/>
        <v>0</v>
      </c>
      <c r="G134" s="1533">
        <v>0</v>
      </c>
      <c r="H134" s="1032">
        <f t="shared" si="44"/>
        <v>0</v>
      </c>
      <c r="I134" s="1033">
        <f t="shared" si="45"/>
        <v>0</v>
      </c>
      <c r="J134" s="1033">
        <f t="shared" si="46"/>
        <v>0</v>
      </c>
      <c r="K134" s="1026"/>
      <c r="L134" s="1377" t="str">
        <f>IFERROR(INDEX('Job Cost COA'!E:F,MATCH(A134,'Job Cost COA'!E:E,0),2),IF(F134&lt;&gt;0,"Assign Code","Missing Code"))</f>
        <v>Missing Code</v>
      </c>
    </row>
    <row r="135" spans="1:16">
      <c r="B135" s="570" t="s">
        <v>296</v>
      </c>
      <c r="C135" s="571">
        <v>3.0000000000000001E-3</v>
      </c>
      <c r="D135" s="642">
        <v>221.85</v>
      </c>
      <c r="E135" s="1064" t="s">
        <v>4981</v>
      </c>
      <c r="F135" s="1534">
        <f t="shared" si="43"/>
        <v>1996.6499999999999</v>
      </c>
      <c r="G135" s="1533">
        <v>221.85</v>
      </c>
      <c r="H135" s="1032">
        <f t="shared" si="44"/>
        <v>8.0393380576582379E-2</v>
      </c>
      <c r="I135" s="1033">
        <f t="shared" si="45"/>
        <v>9.27026985094119E-5</v>
      </c>
      <c r="J135" s="1033">
        <f t="shared" si="46"/>
        <v>7.30848914332567E-5</v>
      </c>
      <c r="K135" s="1026"/>
      <c r="L135" s="1377" t="str">
        <f>IFERROR(INDEX('Job Cost COA'!E:F,MATCH(A135,'Job Cost COA'!E:E,0),2),IF(F135&lt;&gt;0,"Assign Code","Missing Code"))</f>
        <v>Assign Code</v>
      </c>
    </row>
    <row r="136" spans="1:16">
      <c r="B136" s="572" t="s">
        <v>296</v>
      </c>
      <c r="C136" s="573">
        <v>3.0000000000000001E-3</v>
      </c>
      <c r="D136" s="643">
        <v>581</v>
      </c>
      <c r="E136" s="1073" t="s">
        <v>4981</v>
      </c>
      <c r="F136" s="1535">
        <f t="shared" si="43"/>
        <v>3198.9214285714352</v>
      </c>
      <c r="G136" s="1523">
        <v>355.43571428571499</v>
      </c>
      <c r="H136" s="1524">
        <f t="shared" si="44"/>
        <v>0.12880179693072294</v>
      </c>
      <c r="I136" s="1525">
        <f t="shared" si="45"/>
        <v>1.4852310056752812E-4</v>
      </c>
      <c r="J136" s="1525">
        <f t="shared" si="46"/>
        <v>1.1709254266429358E-4</v>
      </c>
      <c r="K136" s="1026"/>
      <c r="L136" s="1378" t="str">
        <f>IFERROR(INDEX('Job Cost COA'!E:F,MATCH(A136,'Job Cost COA'!E:E,0),2),IF(F136&lt;&gt;0,"Assign Code","Missing Code"))</f>
        <v>Assign Code</v>
      </c>
    </row>
    <row r="137" spans="1:16">
      <c r="B137" s="582" t="s">
        <v>71</v>
      </c>
      <c r="C137" s="154"/>
      <c r="D137" s="593"/>
      <c r="E137" s="150"/>
      <c r="F137" s="594">
        <f>SUM(F120:F136)</f>
        <v>284628.57142857148</v>
      </c>
      <c r="G137" s="580">
        <f t="shared" si="39"/>
        <v>31625.396825396831</v>
      </c>
      <c r="H137" s="581">
        <f>$F137/ResSF</f>
        <v>11.460322573223204</v>
      </c>
      <c r="I137" s="210">
        <f>$F137/DevBud2</f>
        <v>1.3215053536827923E-2</v>
      </c>
      <c r="J137" s="644">
        <f>$F137/TotalSales</f>
        <v>1.0418475066566549E-2</v>
      </c>
      <c r="K137" s="644"/>
      <c r="L137" s="1379"/>
      <c r="M137"/>
      <c r="N137"/>
      <c r="O137"/>
    </row>
    <row r="138" spans="1:16">
      <c r="B138" s="154"/>
      <c r="C138" s="154"/>
      <c r="E138" s="153"/>
      <c r="L138" s="1379"/>
      <c r="M138"/>
      <c r="N138"/>
      <c r="O138"/>
    </row>
    <row r="139" spans="1:16">
      <c r="B139" s="597" t="s">
        <v>299</v>
      </c>
      <c r="C139" s="598"/>
      <c r="D139" s="645" t="s">
        <v>419</v>
      </c>
      <c r="E139" s="584" t="s">
        <v>134</v>
      </c>
      <c r="F139" s="600" t="s">
        <v>21</v>
      </c>
      <c r="G139" s="584" t="s">
        <v>182</v>
      </c>
      <c r="H139" s="584" t="s">
        <v>292</v>
      </c>
      <c r="I139" s="584" t="s">
        <v>262</v>
      </c>
      <c r="J139" s="584" t="s">
        <v>293</v>
      </c>
      <c r="K139" s="152"/>
      <c r="L139" s="1379"/>
      <c r="M139"/>
      <c r="N139" s="1457" t="s">
        <v>5139</v>
      </c>
      <c r="O139"/>
    </row>
    <row r="140" spans="1:16">
      <c r="A140" s="1531">
        <v>15260230</v>
      </c>
      <c r="B140" s="634" t="s">
        <v>257</v>
      </c>
      <c r="C140" s="634"/>
      <c r="D140" s="1081">
        <v>1.05</v>
      </c>
      <c r="E140" s="1079" t="s">
        <v>21</v>
      </c>
      <c r="F140" s="1065">
        <f>O145</f>
        <v>44332.260000000009</v>
      </c>
      <c r="G140" s="557">
        <f t="shared" ref="G140:G150" si="47">$F140/ResUnits</f>
        <v>4925.8066666666673</v>
      </c>
      <c r="H140" s="558">
        <f t="shared" ref="H140:H149" si="48">$F140 / ResSF</f>
        <v>1.7850000000000004</v>
      </c>
      <c r="I140" s="559">
        <f t="shared" ref="I140:I149" si="49">$F140 / DevBud1</f>
        <v>2.0583077319614664E-3</v>
      </c>
      <c r="J140" s="559">
        <f t="shared" ref="J140:J149" si="50">$F140 / TotalSales</f>
        <v>1.6227272727272731E-3</v>
      </c>
      <c r="K140" s="1026"/>
      <c r="L140" s="1376" t="str">
        <f>IFERROR(INDEX('Job Cost COA'!E:F,MATCH(A140,'Job Cost COA'!E:E,0),2),IF(F140&lt;&gt;0,"Assign Code","Missing Code"))</f>
        <v>Inv-Assoc costs-association fee</v>
      </c>
      <c r="M140"/>
      <c r="N140" s="1448" t="s">
        <v>5131</v>
      </c>
      <c r="O140" s="1449">
        <f>+ResUnits*D140*sales!$F$65</f>
        <v>26077.800000000003</v>
      </c>
      <c r="P140" s="1448"/>
    </row>
    <row r="141" spans="1:16">
      <c r="A141" s="1531">
        <v>15260205</v>
      </c>
      <c r="B141" s="560" t="s">
        <v>100</v>
      </c>
      <c r="C141" s="560"/>
      <c r="D141" s="646"/>
      <c r="E141" s="1064" t="s">
        <v>21</v>
      </c>
      <c r="F141" s="1065">
        <v>50000</v>
      </c>
      <c r="G141" s="562">
        <f t="shared" si="47"/>
        <v>5555.5555555555557</v>
      </c>
      <c r="H141" s="563">
        <f t="shared" si="48"/>
        <v>2.0132066355290705</v>
      </c>
      <c r="I141" s="564">
        <f t="shared" si="49"/>
        <v>2.3214559013700928E-3</v>
      </c>
      <c r="J141" s="564">
        <f t="shared" si="50"/>
        <v>1.8301878504809735E-3</v>
      </c>
      <c r="K141" s="1026"/>
      <c r="L141" s="1377" t="str">
        <f>IFERROR(INDEX('Job Cost COA'!E:F,MATCH(A141,'Job Cost COA'!E:E,0),2),IF(F141&lt;&gt;0,"Assign Code","Missing Code"))</f>
        <v>Inv-Assoc costs-start up</v>
      </c>
      <c r="M141"/>
      <c r="N141" s="1448" t="s">
        <v>5132</v>
      </c>
      <c r="O141" s="1449">
        <f>(ResUnits-SUM(sales!$E$50:E50))*bud_detail!$D$140*sales!$F$65</f>
        <v>13038.900000000001</v>
      </c>
      <c r="P141" s="1448">
        <f>ResUnits</f>
        <v>9</v>
      </c>
    </row>
    <row r="142" spans="1:16">
      <c r="A142" s="1531">
        <v>15260200</v>
      </c>
      <c r="B142" s="560" t="s">
        <v>101</v>
      </c>
      <c r="C142" s="560"/>
      <c r="D142" s="646"/>
      <c r="E142" s="1064" t="s">
        <v>21</v>
      </c>
      <c r="F142" s="1065">
        <v>44498</v>
      </c>
      <c r="G142" s="562">
        <f t="shared" si="47"/>
        <v>4944.2222222222226</v>
      </c>
      <c r="H142" s="563">
        <f t="shared" si="48"/>
        <v>1.7916733773554518</v>
      </c>
      <c r="I142" s="564">
        <f t="shared" si="49"/>
        <v>2.0660028939833274E-3</v>
      </c>
      <c r="J142" s="564">
        <f t="shared" si="50"/>
        <v>1.628793979414047E-3</v>
      </c>
      <c r="K142" s="1026"/>
      <c r="L142" s="1377" t="str">
        <f>IFERROR(INDEX('Job Cost COA'!E:F,MATCH(A142,'Job Cost COA'!E:E,0),2),IF(F142&lt;&gt;0,"Assign Code","Missing Code"))</f>
        <v>Inv-Assoc costs-punch-out supplies</v>
      </c>
      <c r="M142"/>
      <c r="N142" s="1448" t="s">
        <v>5133</v>
      </c>
      <c r="O142" s="1449">
        <f>(ResUnits-SUM(sales!$E$50:E51))*bud_detail!$D$140*sales!$F$65</f>
        <v>5215.5600000000022</v>
      </c>
      <c r="P142" s="1448"/>
    </row>
    <row r="143" spans="1:16">
      <c r="A143" s="1531">
        <v>15260210</v>
      </c>
      <c r="B143" s="560" t="s">
        <v>35</v>
      </c>
      <c r="C143" s="560"/>
      <c r="D143" s="646"/>
      <c r="E143" s="1064" t="s">
        <v>21</v>
      </c>
      <c r="F143" s="1065">
        <v>0</v>
      </c>
      <c r="G143" s="562">
        <f t="shared" si="47"/>
        <v>0</v>
      </c>
      <c r="H143" s="563">
        <f t="shared" si="48"/>
        <v>0</v>
      </c>
      <c r="I143" s="564">
        <f t="shared" si="49"/>
        <v>0</v>
      </c>
      <c r="J143" s="564">
        <f t="shared" si="50"/>
        <v>0</v>
      </c>
      <c r="K143" s="1026"/>
      <c r="L143" s="1377" t="str">
        <f>IFERROR(INDEX('Job Cost COA'!E:F,MATCH(A143,'Job Cost COA'!E:E,0),2),IF(F143&lt;&gt;0,"Assign Code","Missing Code"))</f>
        <v>Inv-Assoc costs-temporary power</v>
      </c>
      <c r="M143"/>
      <c r="N143" s="1448" t="s">
        <v>5134</v>
      </c>
      <c r="O143" s="1449">
        <f>(ResUnits-SUM(sales!$E$50:E52))*bud_detail!$D$140*sales!$F$65</f>
        <v>0</v>
      </c>
      <c r="P143" s="1448"/>
    </row>
    <row r="144" spans="1:16">
      <c r="A144" s="1531">
        <v>15260900</v>
      </c>
      <c r="B144" s="560" t="s">
        <v>27</v>
      </c>
      <c r="C144" s="560"/>
      <c r="D144" s="590"/>
      <c r="E144" s="1064" t="s">
        <v>21</v>
      </c>
      <c r="F144" s="1065">
        <v>0</v>
      </c>
      <c r="G144" s="562">
        <f t="shared" si="47"/>
        <v>0</v>
      </c>
      <c r="H144" s="563">
        <f t="shared" si="48"/>
        <v>0</v>
      </c>
      <c r="I144" s="564">
        <f t="shared" si="49"/>
        <v>0</v>
      </c>
      <c r="J144" s="564">
        <f t="shared" si="50"/>
        <v>0</v>
      </c>
      <c r="K144" s="1026"/>
      <c r="L144" s="1377" t="str">
        <f>IFERROR(INDEX('Job Cost COA'!E:F,MATCH(A144,'Job Cost COA'!E:E,0),2),IF(F144&lt;&gt;0,"Assign Code","Missing Code"))</f>
        <v>Inv-Assoc costs-contingency</v>
      </c>
      <c r="M144"/>
      <c r="N144" s="1448" t="s">
        <v>5135</v>
      </c>
      <c r="O144" s="1449">
        <f>(ResUnits-SUM(sales!$E$50:E53))*bud_detail!$D$140*sales!$F$65</f>
        <v>0</v>
      </c>
      <c r="P144" s="1448"/>
    </row>
    <row r="145" spans="1:16">
      <c r="A145" s="1531">
        <f>IFERROR(VLOOKUP(B145,'Job Cost COA'!F:I,4,FALSE),0)</f>
        <v>0</v>
      </c>
      <c r="B145" s="1030" t="s">
        <v>5001</v>
      </c>
      <c r="C145" s="571"/>
      <c r="D145" s="591"/>
      <c r="E145" s="1064" t="s">
        <v>21</v>
      </c>
      <c r="F145" s="1065">
        <v>0</v>
      </c>
      <c r="G145" s="562">
        <f t="shared" si="47"/>
        <v>0</v>
      </c>
      <c r="H145" s="563">
        <f t="shared" si="48"/>
        <v>0</v>
      </c>
      <c r="I145" s="564">
        <f t="shared" si="49"/>
        <v>0</v>
      </c>
      <c r="J145" s="564">
        <f t="shared" si="50"/>
        <v>0</v>
      </c>
      <c r="K145" s="1026"/>
      <c r="L145" s="1377" t="str">
        <f>IFERROR(INDEX('Job Cost COA'!E:F,MATCH(A145,'Job Cost COA'!E:E,0),2),IF(F145&lt;&gt;0,"Assign Code","Missing Code"))</f>
        <v>Missing Code</v>
      </c>
      <c r="M145"/>
      <c r="N145" s="1450" t="s">
        <v>21</v>
      </c>
      <c r="O145" s="1451">
        <f>SUM(O140:O144)</f>
        <v>44332.260000000009</v>
      </c>
      <c r="P145" s="1448"/>
    </row>
    <row r="146" spans="1:16">
      <c r="A146" s="1531">
        <f>IFERROR(VLOOKUP(B146,'Job Cost COA'!F:I,4,FALSE),0)</f>
        <v>0</v>
      </c>
      <c r="B146" s="1030" t="s">
        <v>5001</v>
      </c>
      <c r="C146" s="571"/>
      <c r="D146" s="591"/>
      <c r="E146" s="1064" t="s">
        <v>21</v>
      </c>
      <c r="F146" s="1065">
        <v>0</v>
      </c>
      <c r="G146" s="562">
        <f t="shared" si="47"/>
        <v>0</v>
      </c>
      <c r="H146" s="563">
        <f t="shared" si="48"/>
        <v>0</v>
      </c>
      <c r="I146" s="564">
        <f t="shared" si="49"/>
        <v>0</v>
      </c>
      <c r="J146" s="564">
        <f t="shared" si="50"/>
        <v>0</v>
      </c>
      <c r="K146" s="1026"/>
      <c r="L146" s="1377" t="str">
        <f>IFERROR(INDEX('Job Cost COA'!E:F,MATCH(A146,'Job Cost COA'!E:E,0),2),IF(F146&lt;&gt;0,"Assign Code","Missing Code"))</f>
        <v>Missing Code</v>
      </c>
      <c r="M146"/>
      <c r="N146" s="1448"/>
      <c r="O146" s="1448"/>
      <c r="P146" s="1448"/>
    </row>
    <row r="147" spans="1:16">
      <c r="A147" s="1531">
        <f>IFERROR(VLOOKUP(B147,'Job Cost COA'!F:I,4,FALSE),0)</f>
        <v>0</v>
      </c>
      <c r="B147" s="1030" t="s">
        <v>5001</v>
      </c>
      <c r="C147" s="571"/>
      <c r="D147" s="591"/>
      <c r="E147" s="1064" t="s">
        <v>21</v>
      </c>
      <c r="F147" s="1065">
        <v>0</v>
      </c>
      <c r="G147" s="562">
        <f t="shared" si="47"/>
        <v>0</v>
      </c>
      <c r="H147" s="563">
        <f t="shared" si="48"/>
        <v>0</v>
      </c>
      <c r="I147" s="564">
        <f t="shared" si="49"/>
        <v>0</v>
      </c>
      <c r="J147" s="564">
        <f t="shared" si="50"/>
        <v>0</v>
      </c>
      <c r="K147" s="1026"/>
      <c r="L147" s="1377" t="str">
        <f>IFERROR(INDEX('Job Cost COA'!E:F,MATCH(A147,'Job Cost COA'!E:E,0),2),IF(F147&lt;&gt;0,"Assign Code","Missing Code"))</f>
        <v>Missing Code</v>
      </c>
      <c r="M147"/>
      <c r="N147" s="1448"/>
      <c r="O147" s="1448"/>
      <c r="P147" s="1448"/>
    </row>
    <row r="148" spans="1:16">
      <c r="A148" s="1532">
        <v>15260225</v>
      </c>
      <c r="B148" s="570" t="s">
        <v>5121</v>
      </c>
      <c r="C148" s="571"/>
      <c r="D148" s="591"/>
      <c r="E148" s="1064" t="s">
        <v>21</v>
      </c>
      <c r="F148" s="1065"/>
      <c r="G148" s="562">
        <f t="shared" si="47"/>
        <v>0</v>
      </c>
      <c r="H148" s="563">
        <f t="shared" si="48"/>
        <v>0</v>
      </c>
      <c r="I148" s="564">
        <f t="shared" si="49"/>
        <v>0</v>
      </c>
      <c r="J148" s="564">
        <f t="shared" si="50"/>
        <v>0</v>
      </c>
      <c r="K148" s="1026"/>
      <c r="L148" s="1377" t="str">
        <f>IFERROR(INDEX('Job Cost COA'!E:F,MATCH(A148,'Job Cost COA'!E:E,0),2),IF(F148&lt;&gt;0,"Assign Code","Missing Code"))</f>
        <v>Inv-Assoc costs-settlement</v>
      </c>
      <c r="N148" s="1448"/>
      <c r="O148" s="1448"/>
      <c r="P148" s="1448"/>
    </row>
    <row r="149" spans="1:16">
      <c r="A149" s="1532">
        <v>15260225</v>
      </c>
      <c r="B149" s="572" t="s">
        <v>5122</v>
      </c>
      <c r="C149" s="573"/>
      <c r="D149" s="592"/>
      <c r="E149" s="1073" t="s">
        <v>21</v>
      </c>
      <c r="F149" s="1080"/>
      <c r="G149" s="605">
        <f t="shared" si="47"/>
        <v>0</v>
      </c>
      <c r="H149" s="606">
        <f t="shared" si="48"/>
        <v>0</v>
      </c>
      <c r="I149" s="607">
        <f t="shared" si="49"/>
        <v>0</v>
      </c>
      <c r="J149" s="607">
        <f t="shared" si="50"/>
        <v>0</v>
      </c>
      <c r="K149" s="1026"/>
      <c r="L149" s="1378" t="str">
        <f>IFERROR(INDEX('Job Cost COA'!E:F,MATCH(A149,'Job Cost COA'!E:E,0),2),IF(F149&lt;&gt;0,"Assign Code","Missing Code"))</f>
        <v>Inv-Assoc costs-settlement</v>
      </c>
      <c r="M149" s="1446"/>
      <c r="N149" s="1448"/>
      <c r="O149" s="1448"/>
      <c r="P149" s="1448"/>
    </row>
    <row r="150" spans="1:16">
      <c r="B150" s="154" t="s">
        <v>300</v>
      </c>
      <c r="C150" s="151"/>
      <c r="D150" s="593"/>
      <c r="E150" s="632"/>
      <c r="F150" s="594">
        <f>SUM(F140:F149)</f>
        <v>138830.26</v>
      </c>
      <c r="G150" s="580">
        <f t="shared" si="47"/>
        <v>15425.584444444445</v>
      </c>
      <c r="H150" s="581">
        <f>$F150/ResSF</f>
        <v>5.5898800128845227</v>
      </c>
      <c r="I150" s="210">
        <f>$F150/DevBud2</f>
        <v>6.4457665273148865E-3</v>
      </c>
      <c r="J150" s="210">
        <f>$F150/TotalSales</f>
        <v>5.0817091026222937E-3</v>
      </c>
      <c r="K150" s="210"/>
      <c r="L150" s="1379"/>
      <c r="M150" s="648"/>
      <c r="N150" s="1452">
        <f>2300000-H150</f>
        <v>2299994.4101199871</v>
      </c>
      <c r="O150" s="1448"/>
      <c r="P150" s="1448"/>
    </row>
    <row r="151" spans="1:16">
      <c r="B151" s="154"/>
      <c r="C151" s="154"/>
      <c r="L151" s="1379"/>
      <c r="M151" s="648"/>
      <c r="N151" s="1453"/>
      <c r="O151" s="1453"/>
      <c r="P151" s="1453"/>
    </row>
    <row r="152" spans="1:16">
      <c r="B152" s="154" t="s">
        <v>301</v>
      </c>
      <c r="C152" s="551"/>
      <c r="D152" s="552"/>
      <c r="E152" s="152" t="s">
        <v>134</v>
      </c>
      <c r="F152" s="553" t="s">
        <v>21</v>
      </c>
      <c r="G152" s="152" t="s">
        <v>182</v>
      </c>
      <c r="H152" s="152" t="s">
        <v>292</v>
      </c>
      <c r="I152" s="152" t="s">
        <v>262</v>
      </c>
      <c r="J152" s="152" t="s">
        <v>293</v>
      </c>
      <c r="K152" s="152"/>
      <c r="L152" s="1379"/>
      <c r="M152" s="648"/>
      <c r="N152" s="1448"/>
      <c r="O152" s="1448"/>
      <c r="P152" s="1448"/>
    </row>
    <row r="153" spans="1:16">
      <c r="A153" s="1532">
        <v>15260225</v>
      </c>
      <c r="B153" s="634" t="s">
        <v>258</v>
      </c>
      <c r="C153" s="634"/>
      <c r="D153" s="649"/>
      <c r="E153" s="1079" t="s">
        <v>21</v>
      </c>
      <c r="F153" s="1082">
        <v>50000</v>
      </c>
      <c r="G153" s="557">
        <f>$F153/ResUnits</f>
        <v>5555.5555555555557</v>
      </c>
      <c r="H153" s="558">
        <f>$F153 / ResSF</f>
        <v>2.0132066355290705</v>
      </c>
      <c r="I153" s="559">
        <f>$F153 / DevBud1</f>
        <v>2.3214559013700928E-3</v>
      </c>
      <c r="J153" s="559">
        <f>$F153 / TotalSales</f>
        <v>1.8301878504809735E-3</v>
      </c>
      <c r="K153" s="1026"/>
      <c r="L153" s="1376" t="str">
        <f>IFERROR(INDEX('Job Cost COA'!E:F,MATCH(A153,'Job Cost COA'!E:E,0),2),IF(F153&lt;&gt;0,"Assign Code","Missing Code"))</f>
        <v>Inv-Assoc costs-settlement</v>
      </c>
      <c r="M153" s="648"/>
      <c r="N153" s="1454" t="s">
        <v>30</v>
      </c>
      <c r="O153" s="1455">
        <v>0</v>
      </c>
      <c r="P153" s="1448"/>
    </row>
    <row r="154" spans="1:16">
      <c r="A154" s="1531">
        <f>IFERROR(VLOOKUP(B154,'Job Cost COA'!F:I,4,FALSE),0)</f>
        <v>0</v>
      </c>
      <c r="B154" s="1030" t="s">
        <v>5001</v>
      </c>
      <c r="C154" s="571"/>
      <c r="D154" s="642"/>
      <c r="E154" s="1064" t="s">
        <v>21</v>
      </c>
      <c r="F154" s="1065">
        <v>0</v>
      </c>
      <c r="G154" s="562">
        <f>$F154/ResUnits</f>
        <v>0</v>
      </c>
      <c r="H154" s="563">
        <f>$F154 / ResSF</f>
        <v>0</v>
      </c>
      <c r="I154" s="564">
        <f>$F154 / DevBud1</f>
        <v>0</v>
      </c>
      <c r="J154" s="564">
        <f>$F154 / TotalSales</f>
        <v>0</v>
      </c>
      <c r="K154" s="1026"/>
      <c r="L154" s="1377" t="str">
        <f>IFERROR(INDEX('Job Cost COA'!E:F,MATCH(A154,'Job Cost COA'!E:E,0),2),IF(F154&lt;&gt;0,"Assign Code","Missing Code"))</f>
        <v>Missing Code</v>
      </c>
      <c r="M154" s="648"/>
      <c r="N154" s="1454" t="s">
        <v>5136</v>
      </c>
      <c r="O154" s="1456">
        <v>0.7</v>
      </c>
      <c r="P154" s="1448"/>
    </row>
    <row r="155" spans="1:16">
      <c r="A155" s="1531">
        <f>IFERROR(VLOOKUP(B155,'Job Cost COA'!F:I,4,FALSE),0)</f>
        <v>0</v>
      </c>
      <c r="B155" s="1030" t="s">
        <v>5001</v>
      </c>
      <c r="C155" s="571"/>
      <c r="D155" s="642"/>
      <c r="E155" s="1064" t="s">
        <v>21</v>
      </c>
      <c r="F155" s="1065">
        <v>0</v>
      </c>
      <c r="G155" s="562">
        <f>$F155/ResUnits</f>
        <v>0</v>
      </c>
      <c r="H155" s="563">
        <f>$F155 / ResSF</f>
        <v>0</v>
      </c>
      <c r="I155" s="564">
        <f>$F155 / DevBud1</f>
        <v>0</v>
      </c>
      <c r="J155" s="564">
        <f>$F155 / TotalSales</f>
        <v>0</v>
      </c>
      <c r="K155" s="1026"/>
      <c r="L155" s="1377" t="str">
        <f>IFERROR(INDEX('Job Cost COA'!E:F,MATCH(A155,'Job Cost COA'!E:E,0),2),IF(F155&lt;&gt;0,"Assign Code","Missing Code"))</f>
        <v>Missing Code</v>
      </c>
      <c r="M155" s="648"/>
      <c r="N155" s="1454" t="s">
        <v>105</v>
      </c>
      <c r="O155" s="1448">
        <v>1400</v>
      </c>
      <c r="P155" s="1448" t="e">
        <f>O155/Q155</f>
        <v>#DIV/0!</v>
      </c>
    </row>
    <row r="156" spans="1:16">
      <c r="B156" s="572" t="s">
        <v>296</v>
      </c>
      <c r="C156" s="573"/>
      <c r="D156" s="643"/>
      <c r="E156" s="1073" t="s">
        <v>21</v>
      </c>
      <c r="F156" s="1076">
        <v>0</v>
      </c>
      <c r="G156" s="605">
        <f>$F156/ResUnits</f>
        <v>0</v>
      </c>
      <c r="H156" s="606">
        <f>$F156 / ResSF</f>
        <v>0</v>
      </c>
      <c r="I156" s="607">
        <f>$F156 / DevBud1</f>
        <v>0</v>
      </c>
      <c r="J156" s="607">
        <f>$F156 / TotalSales</f>
        <v>0</v>
      </c>
      <c r="K156" s="1026"/>
      <c r="L156" s="1378" t="str">
        <f>IFERROR(INDEX('Job Cost COA'!E:F,MATCH(A156,'Job Cost COA'!E:E,0),2),IF(F156&lt;&gt;0,"Assign Code","Missing Code"))</f>
        <v>Missing Code</v>
      </c>
      <c r="M156" s="648"/>
      <c r="N156" s="1454" t="s">
        <v>5137</v>
      </c>
      <c r="O156" s="1448">
        <v>36</v>
      </c>
      <c r="P156" s="1448"/>
    </row>
    <row r="157" spans="1:16">
      <c r="B157" s="154" t="s">
        <v>227</v>
      </c>
      <c r="C157" s="151"/>
      <c r="D157" s="593"/>
      <c r="E157" s="632"/>
      <c r="F157" s="594">
        <f>SUM(F152:F156)</f>
        <v>50000</v>
      </c>
      <c r="G157" s="580">
        <f>$F157/ResUnits</f>
        <v>5555.5555555555557</v>
      </c>
      <c r="H157" s="581">
        <f>$F157/ResSF</f>
        <v>2.0132066355290705</v>
      </c>
      <c r="I157" s="210">
        <f>$F157/DevBud2</f>
        <v>2.3214559013700928E-3</v>
      </c>
      <c r="J157" s="210">
        <f>$F157/TotalSales</f>
        <v>1.8301878504809735E-3</v>
      </c>
      <c r="K157" s="210"/>
      <c r="L157" s="1379"/>
      <c r="M157" s="648"/>
      <c r="N157" s="1454" t="s">
        <v>5138</v>
      </c>
      <c r="O157" s="1456">
        <v>0.3</v>
      </c>
      <c r="P157" s="1448"/>
    </row>
    <row r="158" spans="1:16">
      <c r="B158" s="154"/>
      <c r="C158" s="154"/>
      <c r="L158" s="1379"/>
      <c r="M158" s="648"/>
      <c r="N158" s="648"/>
    </row>
    <row r="159" spans="1:16">
      <c r="B159" s="154" t="s">
        <v>26</v>
      </c>
      <c r="C159" s="650" t="s">
        <v>415</v>
      </c>
      <c r="D159" s="651" t="s">
        <v>414</v>
      </c>
      <c r="E159" s="152" t="s">
        <v>134</v>
      </c>
      <c r="F159" s="553" t="s">
        <v>21</v>
      </c>
      <c r="G159" s="152" t="s">
        <v>182</v>
      </c>
      <c r="H159" s="152" t="s">
        <v>292</v>
      </c>
      <c r="I159" s="152" t="s">
        <v>262</v>
      </c>
      <c r="J159" s="152" t="s">
        <v>293</v>
      </c>
      <c r="K159" s="152"/>
      <c r="L159" s="1379"/>
      <c r="M159" s="648"/>
      <c r="N159" s="648"/>
    </row>
    <row r="160" spans="1:16">
      <c r="A160" s="1531">
        <v>15265205</v>
      </c>
      <c r="B160" s="1471" t="s">
        <v>5003</v>
      </c>
      <c r="C160" s="1083">
        <v>0.8</v>
      </c>
      <c r="D160" s="1083">
        <v>0.04</v>
      </c>
      <c r="E160" s="1083">
        <v>3.5000000000000003E-2</v>
      </c>
      <c r="F160" s="1084">
        <f>ROUND(E160*F6*C160*(1-D160)*general!$C$28/12,-3)</f>
        <v>286000</v>
      </c>
      <c r="G160" s="586">
        <f>$F160/ResUnits</f>
        <v>31777.777777777777</v>
      </c>
      <c r="H160" s="587">
        <f>$F160/ResSF</f>
        <v>11.515541955226285</v>
      </c>
      <c r="I160" s="588">
        <f>$F160/DevBud2</f>
        <v>1.327872775583693E-2</v>
      </c>
      <c r="J160" s="588">
        <f>$F160/TotalSales</f>
        <v>1.0468674504751167E-2</v>
      </c>
      <c r="K160" s="1027"/>
      <c r="L160" s="1376" t="str">
        <f>IFERROR(INDEX('Job Cost COA'!E:F,MATCH(A160,'Job Cost COA'!E:E,0),2),IF(F160&lt;&gt;0,"Assign Code","Missing Code"))</f>
        <v>Inv-Real estate taxes-property</v>
      </c>
      <c r="M160" s="648"/>
      <c r="N160" s="648"/>
    </row>
    <row r="161" spans="1:14">
      <c r="A161" s="1531">
        <f>IFERROR(VLOOKUP(B161,'Job Cost COA'!F:I,4,FALSE),0)</f>
        <v>0</v>
      </c>
      <c r="B161" s="1030" t="s">
        <v>5002</v>
      </c>
      <c r="C161" s="571"/>
      <c r="D161" s="652"/>
      <c r="E161" s="1064" t="s">
        <v>21</v>
      </c>
      <c r="F161" s="1065">
        <v>0</v>
      </c>
      <c r="G161" s="562">
        <f>$F161/ResUnits</f>
        <v>0</v>
      </c>
      <c r="H161" s="563">
        <f>$F161 / ResSF</f>
        <v>0</v>
      </c>
      <c r="I161" s="564">
        <f>$F161 / DevBud1</f>
        <v>0</v>
      </c>
      <c r="J161" s="564">
        <f>$F161 / TotalSales</f>
        <v>0</v>
      </c>
      <c r="K161" s="1026"/>
      <c r="L161" s="1377" t="str">
        <f>IFERROR(INDEX('Job Cost COA'!E:F,MATCH(A161,'Job Cost COA'!E:E,0),2),IF(F161&lt;&gt;0,"Assign Code","Missing Code"))</f>
        <v>Missing Code</v>
      </c>
      <c r="M161" s="648"/>
      <c r="N161" s="1029"/>
    </row>
    <row r="162" spans="1:14">
      <c r="A162" s="1531">
        <f>IFERROR(VLOOKUP(B162,'Job Cost COA'!F:I,4,FALSE),0)</f>
        <v>0</v>
      </c>
      <c r="B162" s="1374" t="s">
        <v>5002</v>
      </c>
      <c r="C162" s="573"/>
      <c r="D162" s="653"/>
      <c r="E162" s="1073" t="s">
        <v>21</v>
      </c>
      <c r="F162" s="1076">
        <v>0</v>
      </c>
      <c r="G162" s="605">
        <f>$F162/ResUnits</f>
        <v>0</v>
      </c>
      <c r="H162" s="606">
        <f>$F162 / ResSF</f>
        <v>0</v>
      </c>
      <c r="I162" s="607">
        <f>$F162 / DevBud1</f>
        <v>0</v>
      </c>
      <c r="J162" s="607">
        <f>$F162 / TotalSales</f>
        <v>0</v>
      </c>
      <c r="K162" s="1026"/>
      <c r="L162" s="1378" t="str">
        <f>IFERROR(INDEX('Job Cost COA'!E:F,MATCH(A162,'Job Cost COA'!E:E,0),2),IF(F162&lt;&gt;0,"Assign Code","Missing Code"))</f>
        <v>Missing Code</v>
      </c>
      <c r="M162" s="648"/>
      <c r="N162" s="648"/>
    </row>
    <row r="163" spans="1:14">
      <c r="B163" s="608" t="s">
        <v>222</v>
      </c>
      <c r="C163" s="151"/>
      <c r="D163" s="593"/>
      <c r="E163" s="153"/>
      <c r="F163" s="594">
        <f>SUM(F159:F162)</f>
        <v>286000</v>
      </c>
      <c r="G163" s="580">
        <f>$F163/ResUnits</f>
        <v>31777.777777777777</v>
      </c>
      <c r="H163" s="581">
        <f>$F163/ResSF</f>
        <v>11.515541955226285</v>
      </c>
      <c r="I163" s="210">
        <f>$F163/DevBud2</f>
        <v>1.327872775583693E-2</v>
      </c>
      <c r="J163" s="210">
        <f>$F163/TotalSales</f>
        <v>1.0468674504751167E-2</v>
      </c>
      <c r="K163" s="210"/>
      <c r="L163" s="1379"/>
    </row>
    <row r="164" spans="1:14">
      <c r="D164" s="654"/>
      <c r="E164" s="655"/>
      <c r="F164" s="656"/>
      <c r="L164" s="1379"/>
    </row>
    <row r="165" spans="1:14">
      <c r="B165" s="154" t="s">
        <v>29</v>
      </c>
      <c r="C165" s="551"/>
      <c r="D165" s="552"/>
      <c r="E165" s="152" t="s">
        <v>134</v>
      </c>
      <c r="F165" s="553" t="s">
        <v>21</v>
      </c>
      <c r="G165" s="152" t="s">
        <v>182</v>
      </c>
      <c r="H165" s="152" t="s">
        <v>292</v>
      </c>
      <c r="I165" s="152" t="s">
        <v>262</v>
      </c>
      <c r="J165" s="152" t="s">
        <v>293</v>
      </c>
      <c r="K165" s="152"/>
      <c r="L165" s="1379"/>
    </row>
    <row r="166" spans="1:14">
      <c r="A166" s="1531">
        <v>15270200</v>
      </c>
      <c r="B166" s="555" t="s">
        <v>5004</v>
      </c>
      <c r="C166" s="555"/>
      <c r="D166" s="657"/>
      <c r="E166" s="1063" t="s">
        <v>21</v>
      </c>
      <c r="F166" s="1075">
        <v>400000</v>
      </c>
      <c r="G166" s="557">
        <f t="shared" ref="G166:G171" si="51">$F166/ResUnits</f>
        <v>44444.444444444445</v>
      </c>
      <c r="H166" s="558">
        <f>$F166 / ResSF</f>
        <v>16.105653084232564</v>
      </c>
      <c r="I166" s="559">
        <f>$F166 / DevBud1</f>
        <v>1.8571647210960742E-2</v>
      </c>
      <c r="J166" s="559">
        <f>$F166 / TotalSales</f>
        <v>1.4641502803847788E-2</v>
      </c>
      <c r="K166" s="1026"/>
      <c r="L166" s="1376" t="str">
        <f>IFERROR(INDEX('Job Cost COA'!E:F,MATCH(A166,'Job Cost COA'!E:E,0),2),IF(F166&lt;&gt;0,"Assign Code","Missing Code"))</f>
        <v>Inv-Insurance-builders risk</v>
      </c>
    </row>
    <row r="167" spans="1:14">
      <c r="A167" s="1531">
        <f>IFERROR(VLOOKUP(B167,'Job Cost COA'!F:I,4,FALSE),0)</f>
        <v>15270210</v>
      </c>
      <c r="B167" s="1030" t="s">
        <v>3867</v>
      </c>
      <c r="C167" s="560"/>
      <c r="D167" s="590"/>
      <c r="E167" s="1064" t="s">
        <v>21</v>
      </c>
      <c r="F167" s="1065">
        <v>0</v>
      </c>
      <c r="G167" s="562">
        <f t="shared" si="51"/>
        <v>0</v>
      </c>
      <c r="H167" s="563">
        <f>$F167 / ResSF</f>
        <v>0</v>
      </c>
      <c r="I167" s="564">
        <f>$F167 / DevBud1</f>
        <v>0</v>
      </c>
      <c r="J167" s="564">
        <f>$F167 / TotalSales</f>
        <v>0</v>
      </c>
      <c r="K167" s="1026"/>
      <c r="L167" s="1377" t="str">
        <f>IFERROR(INDEX('Job Cost COA'!E:F,MATCH(A167,'Job Cost COA'!E:E,0),2),IF(F167&lt;&gt;0,"Assign Code","Missing Code"))</f>
        <v>Inv-Insurance-general liability</v>
      </c>
    </row>
    <row r="168" spans="1:14">
      <c r="A168" s="1531">
        <f>IFERROR(VLOOKUP(B168,'Job Cost COA'!F:I,4,FALSE),0)</f>
        <v>15270205</v>
      </c>
      <c r="B168" s="1030" t="s">
        <v>3869</v>
      </c>
      <c r="C168" s="571"/>
      <c r="D168" s="591"/>
      <c r="E168" s="1064" t="s">
        <v>21</v>
      </c>
      <c r="F168" s="1067">
        <v>0</v>
      </c>
      <c r="G168" s="567">
        <f t="shared" si="51"/>
        <v>0</v>
      </c>
      <c r="H168" s="568">
        <f>$F168/ResSF</f>
        <v>0</v>
      </c>
      <c r="I168" s="569">
        <f>$F168/DevBud2</f>
        <v>0</v>
      </c>
      <c r="J168" s="569">
        <f>$F168/TotalSales</f>
        <v>0</v>
      </c>
      <c r="K168" s="1027"/>
      <c r="L168" s="1377" t="str">
        <f>IFERROR(INDEX('Job Cost COA'!E:F,MATCH(A168,'Job Cost COA'!E:E,0),2),IF(F168&lt;&gt;0,"Assign Code","Missing Code"))</f>
        <v>Inv-Insurance-flood</v>
      </c>
    </row>
    <row r="169" spans="1:14">
      <c r="A169" s="1531">
        <f>IFERROR(VLOOKUP(B169,'Job Cost COA'!F:I,4,FALSE),0)</f>
        <v>15270201</v>
      </c>
      <c r="B169" s="1030" t="s">
        <v>3871</v>
      </c>
      <c r="C169" s="571"/>
      <c r="D169" s="591"/>
      <c r="E169" s="1064" t="s">
        <v>21</v>
      </c>
      <c r="F169" s="1067">
        <v>0</v>
      </c>
      <c r="G169" s="567">
        <f t="shared" si="51"/>
        <v>0</v>
      </c>
      <c r="H169" s="568">
        <f>$F169/ResSF</f>
        <v>0</v>
      </c>
      <c r="I169" s="569">
        <f>$F169/DevBud2</f>
        <v>0</v>
      </c>
      <c r="J169" s="569">
        <f>$F169/TotalSales</f>
        <v>0</v>
      </c>
      <c r="K169" s="1027"/>
      <c r="L169" s="1377" t="str">
        <f>IFERROR(INDEX('Job Cost COA'!E:F,MATCH(A169,'Job Cost COA'!E:E,0),2),IF(F169&lt;&gt;0,"Assign Code","Missing Code"))</f>
        <v>Inv-Insurance-bond fees</v>
      </c>
    </row>
    <row r="170" spans="1:14">
      <c r="A170" s="1531">
        <f>IFERROR(VLOOKUP(B170,'Job Cost COA'!F:I,4,FALSE),0)</f>
        <v>15270215</v>
      </c>
      <c r="B170" s="1030" t="s">
        <v>3865</v>
      </c>
      <c r="C170" s="573"/>
      <c r="D170" s="592"/>
      <c r="E170" s="1073" t="s">
        <v>21</v>
      </c>
      <c r="F170" s="1076">
        <v>0</v>
      </c>
      <c r="G170" s="575">
        <f t="shared" si="51"/>
        <v>0</v>
      </c>
      <c r="H170" s="576">
        <f>$F170/ResSF</f>
        <v>0</v>
      </c>
      <c r="I170" s="577">
        <f>$F170/DevBud2</f>
        <v>0</v>
      </c>
      <c r="J170" s="577">
        <f>$F170/TotalSales</f>
        <v>0</v>
      </c>
      <c r="K170" s="1027"/>
      <c r="L170" s="1378" t="str">
        <f>IFERROR(INDEX('Job Cost COA'!E:F,MATCH(A170,'Job Cost COA'!E:E,0),2),IF(F170&lt;&gt;0,"Assign Code","Missing Code"))</f>
        <v>Inv-Insurance-property-real estate</v>
      </c>
    </row>
    <row r="171" spans="1:14">
      <c r="B171" s="647" t="s">
        <v>228</v>
      </c>
      <c r="C171" s="151"/>
      <c r="D171" s="593"/>
      <c r="E171" s="153"/>
      <c r="F171" s="594">
        <f>SUM(F165:F170)</f>
        <v>400000</v>
      </c>
      <c r="G171" s="580">
        <f t="shared" si="51"/>
        <v>44444.444444444445</v>
      </c>
      <c r="H171" s="581">
        <f>$F171/ResSF</f>
        <v>16.105653084232564</v>
      </c>
      <c r="I171" s="210">
        <f>$F171/DevBud2</f>
        <v>1.8571647210960742E-2</v>
      </c>
      <c r="J171" s="210">
        <f>$F171/TotalSales</f>
        <v>1.4641502803847788E-2</v>
      </c>
      <c r="K171" s="210"/>
      <c r="L171" s="1379"/>
    </row>
    <row r="172" spans="1:14">
      <c r="C172" s="151"/>
      <c r="E172" s="150"/>
      <c r="F172" s="627"/>
      <c r="L172" s="1379"/>
    </row>
    <row r="173" spans="1:14">
      <c r="B173" s="154" t="s">
        <v>216</v>
      </c>
      <c r="C173" s="551"/>
      <c r="D173" s="552"/>
      <c r="E173" s="584" t="s">
        <v>134</v>
      </c>
      <c r="F173" s="553" t="s">
        <v>21</v>
      </c>
      <c r="G173" s="152" t="s">
        <v>182</v>
      </c>
      <c r="H173" s="152" t="s">
        <v>292</v>
      </c>
      <c r="I173" s="152" t="s">
        <v>262</v>
      </c>
      <c r="J173" s="152" t="s">
        <v>293</v>
      </c>
      <c r="K173" s="152"/>
      <c r="L173" s="1379"/>
    </row>
    <row r="174" spans="1:14">
      <c r="A174" s="1531">
        <v>17510206</v>
      </c>
      <c r="B174" s="634" t="s">
        <v>5023</v>
      </c>
      <c r="C174" s="634"/>
      <c r="D174" s="658"/>
      <c r="E174" s="1085" t="s">
        <v>21</v>
      </c>
      <c r="F174" s="1082">
        <v>15000</v>
      </c>
      <c r="G174" s="557">
        <f t="shared" ref="G174:G194" si="52">$F174/ResUnits</f>
        <v>1666.6666666666667</v>
      </c>
      <c r="H174" s="558">
        <f>$F174 / ResSF</f>
        <v>0.60396199065872125</v>
      </c>
      <c r="I174" s="559">
        <f>$F174 / DevBud1</f>
        <v>6.9643677041102776E-4</v>
      </c>
      <c r="J174" s="559">
        <f>$F174 / TotalSales</f>
        <v>5.4905635514429204E-4</v>
      </c>
      <c r="K174" s="1026"/>
      <c r="L174" s="1376" t="str">
        <f>IFERROR(INDEX('Job Cost COA'!E:F,MATCH(A174,'Job Cost COA'!E:E,0),2),IF(F174&lt;&gt;0,"Assign Code","Missing Code"))</f>
        <v>Loan cost-appraisal</v>
      </c>
    </row>
    <row r="175" spans="1:14">
      <c r="A175" s="1531">
        <v>17510209</v>
      </c>
      <c r="B175" s="560" t="s">
        <v>639</v>
      </c>
      <c r="C175" s="560"/>
      <c r="D175" s="659"/>
      <c r="E175" s="1064" t="s">
        <v>21</v>
      </c>
      <c r="F175" s="1065">
        <v>50000</v>
      </c>
      <c r="G175" s="562">
        <f t="shared" si="52"/>
        <v>5555.5555555555557</v>
      </c>
      <c r="H175" s="563">
        <f>$F175 / ResSF</f>
        <v>2.0132066355290705</v>
      </c>
      <c r="I175" s="564">
        <f>$F175 / DevBud1</f>
        <v>2.3214559013700928E-3</v>
      </c>
      <c r="J175" s="564">
        <f>$F175 / TotalSales</f>
        <v>1.8301878504809735E-3</v>
      </c>
      <c r="K175" s="1026"/>
      <c r="L175" s="1377" t="str">
        <f>IFERROR(INDEX('Job Cost COA'!E:F,MATCH(A175,'Job Cost COA'!E:E,0),2),IF(F175&lt;&gt;0,"Assign Code","Missing Code"))</f>
        <v>Loan cost-legal fees-outside</v>
      </c>
    </row>
    <row r="176" spans="1:14">
      <c r="A176" s="1531">
        <v>17510208</v>
      </c>
      <c r="B176" s="560" t="s">
        <v>488</v>
      </c>
      <c r="C176" s="560"/>
      <c r="D176" s="659"/>
      <c r="E176" s="1064" t="s">
        <v>21</v>
      </c>
      <c r="F176" s="1065">
        <v>0</v>
      </c>
      <c r="G176" s="562">
        <f t="shared" si="52"/>
        <v>0</v>
      </c>
      <c r="H176" s="563">
        <f>$F176 / ResSF</f>
        <v>0</v>
      </c>
      <c r="I176" s="564">
        <f>$F176 / DevBud1</f>
        <v>0</v>
      </c>
      <c r="J176" s="564">
        <f>$F176 / TotalSales</f>
        <v>0</v>
      </c>
      <c r="K176" s="1026"/>
      <c r="L176" s="1377" t="str">
        <f>IFERROR(INDEX('Job Cost COA'!E:F,MATCH(A176,'Job Cost COA'!E:E,0),2),IF(F176&lt;&gt;0,"Assign Code","Missing Code"))</f>
        <v>Loan cost-legal fees</v>
      </c>
    </row>
    <row r="177" spans="1:12">
      <c r="A177" s="1531">
        <v>17510228</v>
      </c>
      <c r="B177" s="560" t="s">
        <v>640</v>
      </c>
      <c r="C177" s="560"/>
      <c r="D177" s="646"/>
      <c r="E177" s="660"/>
      <c r="F177" s="661">
        <f>ti(DevBud2-hard_budget!F336,TIRates)</f>
        <v>44938.643542676888</v>
      </c>
      <c r="G177" s="562">
        <f t="shared" si="52"/>
        <v>4993.1826158529875</v>
      </c>
      <c r="H177" s="563">
        <f t="shared" ref="H177:H185" si="53">$F177/ResSF</f>
        <v>1.8094155074358547</v>
      </c>
      <c r="I177" s="564">
        <f t="shared" ref="I177:I185" si="54">$F177/DevBud2</f>
        <v>2.0864615850342853E-3</v>
      </c>
      <c r="J177" s="564">
        <f>$F177/TotalSales</f>
        <v>1.6449231885780498E-3</v>
      </c>
      <c r="K177" s="1026"/>
      <c r="L177" s="1377" t="str">
        <f>IFERROR(INDEX('Job Cost COA'!E:F,MATCH(A177,'Job Cost COA'!E:E,0),2),IF(F177&lt;&gt;0,"Assign Code","Missing Code"))</f>
        <v>Loan cost-title insurance</v>
      </c>
    </row>
    <row r="178" spans="1:12">
      <c r="A178" s="1531">
        <v>17510236</v>
      </c>
      <c r="B178" s="560" t="s">
        <v>641</v>
      </c>
      <c r="C178" s="560"/>
      <c r="D178" s="646"/>
      <c r="E178" s="1086">
        <v>0.01</v>
      </c>
      <c r="F178" s="661">
        <f>E178*financing!$F$30</f>
        <v>21750</v>
      </c>
      <c r="G178" s="562">
        <f t="shared" si="52"/>
        <v>2416.6666666666665</v>
      </c>
      <c r="H178" s="563">
        <f t="shared" si="53"/>
        <v>0.87574488645514581</v>
      </c>
      <c r="I178" s="564">
        <f t="shared" si="54"/>
        <v>1.0098333170959902E-3</v>
      </c>
      <c r="J178" s="564">
        <f>$F178/TotalSales</f>
        <v>7.9613171495922339E-4</v>
      </c>
      <c r="K178" s="1026"/>
      <c r="L178" s="1377" t="str">
        <f>IFERROR(INDEX('Job Cost COA'!E:F,MATCH(A178,'Job Cost COA'!E:E,0),2),IF(F178&lt;&gt;0,"Assign Code","Missing Code"))</f>
        <v>Loan cost-origination fees</v>
      </c>
    </row>
    <row r="179" spans="1:12">
      <c r="A179" s="1531">
        <v>17510238</v>
      </c>
      <c r="B179" s="560" t="s">
        <v>642</v>
      </c>
      <c r="C179" s="560"/>
      <c r="D179" s="646"/>
      <c r="E179" s="1086">
        <v>3.5000000000000001E-3</v>
      </c>
      <c r="F179" s="661">
        <f>E179*financing!$F$30</f>
        <v>7612.5</v>
      </c>
      <c r="G179" s="562">
        <f t="shared" si="52"/>
        <v>845.83333333333337</v>
      </c>
      <c r="H179" s="563">
        <f t="shared" si="53"/>
        <v>0.30651071025930099</v>
      </c>
      <c r="I179" s="564">
        <f t="shared" si="54"/>
        <v>3.534416609835966E-4</v>
      </c>
      <c r="J179" s="564">
        <f>$F179/TotalSales</f>
        <v>2.7864610023572821E-4</v>
      </c>
      <c r="K179" s="1026"/>
      <c r="L179" s="1377" t="str">
        <f>IFERROR(INDEX('Job Cost COA'!E:F,MATCH(A179,'Job Cost COA'!E:E,0),2),IF(F179&lt;&gt;0,"Assign Code","Missing Code"))</f>
        <v>Loan cost-doc stamps</v>
      </c>
    </row>
    <row r="180" spans="1:12">
      <c r="A180" s="1531">
        <v>17510244</v>
      </c>
      <c r="B180" s="560" t="s">
        <v>643</v>
      </c>
      <c r="C180" s="560"/>
      <c r="D180" s="646"/>
      <c r="E180" s="1086">
        <v>2E-3</v>
      </c>
      <c r="F180" s="661">
        <f>E180*financing!$F$30</f>
        <v>4350</v>
      </c>
      <c r="G180" s="562">
        <f t="shared" si="52"/>
        <v>483.33333333333331</v>
      </c>
      <c r="H180" s="563">
        <f t="shared" si="53"/>
        <v>0.17514897729102916</v>
      </c>
      <c r="I180" s="564">
        <f t="shared" si="54"/>
        <v>2.0196666341919806E-4</v>
      </c>
      <c r="J180" s="564">
        <f>$F180/TotalSales</f>
        <v>1.5922634299184469E-4</v>
      </c>
      <c r="K180" s="1026"/>
      <c r="L180" s="1377" t="str">
        <f>IFERROR(INDEX('Job Cost COA'!E:F,MATCH(A180,'Job Cost COA'!E:E,0),2),IF(F180&lt;&gt;0,"Assign Code","Missing Code"))</f>
        <v>Loan cost-intangible</v>
      </c>
    </row>
    <row r="181" spans="1:12">
      <c r="A181" s="1531">
        <v>17510249</v>
      </c>
      <c r="B181" s="560" t="s">
        <v>305</v>
      </c>
      <c r="C181" s="560"/>
      <c r="D181" s="659"/>
      <c r="E181" s="1064" t="s">
        <v>21</v>
      </c>
      <c r="F181" s="1067">
        <v>0</v>
      </c>
      <c r="G181" s="562">
        <f t="shared" si="52"/>
        <v>0</v>
      </c>
      <c r="H181" s="563">
        <f>$F181 / ResSF</f>
        <v>0</v>
      </c>
      <c r="I181" s="564">
        <f>$F181 / DevBud1</f>
        <v>0</v>
      </c>
      <c r="J181" s="564">
        <f>$F181 / TotalSales</f>
        <v>0</v>
      </c>
      <c r="K181" s="1026"/>
      <c r="L181" s="1377" t="str">
        <f>IFERROR(INDEX('Job Cost COA'!E:F,MATCH(A181,'Job Cost COA'!E:E,0),2),IF(F181&lt;&gt;0,"Assign Code","Missing Code"))</f>
        <v>Loan cost-other closing cost</v>
      </c>
    </row>
    <row r="182" spans="1:12">
      <c r="A182" s="1531">
        <v>17510242</v>
      </c>
      <c r="B182" s="560" t="s">
        <v>307</v>
      </c>
      <c r="C182" s="560"/>
      <c r="D182" s="659"/>
      <c r="E182" s="1064" t="s">
        <v>21</v>
      </c>
      <c r="F182" s="1067">
        <v>0</v>
      </c>
      <c r="G182" s="562">
        <f t="shared" si="52"/>
        <v>0</v>
      </c>
      <c r="H182" s="563">
        <f>$F182 / ResSF</f>
        <v>0</v>
      </c>
      <c r="I182" s="564">
        <f>$F182 / DevBud1</f>
        <v>0</v>
      </c>
      <c r="J182" s="564">
        <f>$F182 / TotalSales</f>
        <v>0</v>
      </c>
      <c r="K182" s="1026"/>
      <c r="L182" s="1377" t="str">
        <f>IFERROR(INDEX('Job Cost COA'!E:F,MATCH(A182,'Job Cost COA'!E:E,0),2),IF(F182&lt;&gt;0,"Assign Code","Missing Code"))</f>
        <v>Loan cost-inspection fees</v>
      </c>
    </row>
    <row r="183" spans="1:12">
      <c r="A183" s="1531">
        <v>17510236</v>
      </c>
      <c r="B183" s="560" t="s">
        <v>5024</v>
      </c>
      <c r="C183" s="560"/>
      <c r="D183" s="646"/>
      <c r="E183" s="1086">
        <v>5.0000000000000001E-3</v>
      </c>
      <c r="F183" s="661">
        <f>E183*hard_budget!$F$332</f>
        <v>60269.068856692225</v>
      </c>
      <c r="G183" s="562">
        <f t="shared" si="52"/>
        <v>6696.5632062991363</v>
      </c>
      <c r="H183" s="563">
        <f t="shared" si="53"/>
        <v>2.4266817867890249</v>
      </c>
      <c r="I183" s="564">
        <f t="shared" si="54"/>
        <v>2.7982397113489725E-3</v>
      </c>
      <c r="J183" s="564">
        <f>$F183/TotalSales</f>
        <v>2.2060743516263866E-3</v>
      </c>
      <c r="K183" s="1026"/>
      <c r="L183" s="1377" t="str">
        <f>IFERROR(INDEX('Job Cost COA'!E:F,MATCH(A183,'Job Cost COA'!E:E,0),2),IF(F183&lt;&gt;0,"Assign Code","Missing Code"))</f>
        <v>Loan cost-origination fees</v>
      </c>
    </row>
    <row r="184" spans="1:12">
      <c r="A184" s="1531">
        <v>17510238</v>
      </c>
      <c r="B184" s="560" t="s">
        <v>644</v>
      </c>
      <c r="C184" s="560"/>
      <c r="D184" s="646"/>
      <c r="E184" s="1086">
        <v>3.5000000000000001E-3</v>
      </c>
      <c r="F184" s="661">
        <f>E184*hard_budget!$F$332</f>
        <v>42188.348199684558</v>
      </c>
      <c r="G184" s="562">
        <f t="shared" si="52"/>
        <v>4687.5942444093953</v>
      </c>
      <c r="H184" s="563">
        <f t="shared" si="53"/>
        <v>1.6986772507523176</v>
      </c>
      <c r="I184" s="564">
        <f t="shared" si="54"/>
        <v>1.9587677979442807E-3</v>
      </c>
      <c r="J184" s="564">
        <f>$F184/TotalSales</f>
        <v>1.5442520461384705E-3</v>
      </c>
      <c r="K184" s="1026"/>
      <c r="L184" s="1377" t="str">
        <f>IFERROR(INDEX('Job Cost COA'!E:F,MATCH(A184,'Job Cost COA'!E:E,0),2),IF(F184&lt;&gt;0,"Assign Code","Missing Code"))</f>
        <v>Loan cost-doc stamps</v>
      </c>
    </row>
    <row r="185" spans="1:12">
      <c r="A185" s="1531">
        <v>17510244</v>
      </c>
      <c r="B185" s="560" t="s">
        <v>645</v>
      </c>
      <c r="C185" s="560"/>
      <c r="D185" s="646"/>
      <c r="E185" s="1086">
        <v>2E-3</v>
      </c>
      <c r="F185" s="661">
        <f>E185*hard_budget!$F$332</f>
        <v>24107.627542676888</v>
      </c>
      <c r="G185" s="562">
        <f t="shared" si="52"/>
        <v>2678.6252825196543</v>
      </c>
      <c r="H185" s="563">
        <f t="shared" si="53"/>
        <v>0.9706727147156099</v>
      </c>
      <c r="I185" s="564">
        <f t="shared" si="54"/>
        <v>1.1192958845395889E-3</v>
      </c>
      <c r="J185" s="564">
        <f>$F185/TotalSales</f>
        <v>8.8242974065055445E-4</v>
      </c>
      <c r="K185" s="1026"/>
      <c r="L185" s="1377" t="str">
        <f>IFERROR(INDEX('Job Cost COA'!E:F,MATCH(A185,'Job Cost COA'!E:E,0),2),IF(F185&lt;&gt;0,"Assign Code","Missing Code"))</f>
        <v>Loan cost-intangible</v>
      </c>
    </row>
    <row r="186" spans="1:12">
      <c r="A186" s="1531">
        <v>17510249</v>
      </c>
      <c r="B186" s="560" t="s">
        <v>306</v>
      </c>
      <c r="C186" s="560"/>
      <c r="D186" s="659"/>
      <c r="E186" s="1064" t="s">
        <v>21</v>
      </c>
      <c r="F186" s="1067">
        <v>5000</v>
      </c>
      <c r="G186" s="562">
        <f t="shared" si="52"/>
        <v>555.55555555555554</v>
      </c>
      <c r="H186" s="563">
        <f t="shared" ref="H186:H193" si="55">$F186 / ResSF</f>
        <v>0.20132066355290706</v>
      </c>
      <c r="I186" s="564">
        <f t="shared" ref="I186:I193" si="56">$F186 / DevBud1</f>
        <v>2.3214559013700925E-4</v>
      </c>
      <c r="J186" s="564">
        <f t="shared" ref="J186:J193" si="57">$F186 / TotalSales</f>
        <v>1.8301878504809735E-4</v>
      </c>
      <c r="K186" s="1026"/>
      <c r="L186" s="1377" t="str">
        <f>IFERROR(INDEX('Job Cost COA'!E:F,MATCH(A186,'Job Cost COA'!E:E,0),2),IF(F186&lt;&gt;0,"Assign Code","Missing Code"))</f>
        <v>Loan cost-other closing cost</v>
      </c>
    </row>
    <row r="187" spans="1:12">
      <c r="A187" s="1531">
        <v>17510220</v>
      </c>
      <c r="B187" s="560" t="s">
        <v>521</v>
      </c>
      <c r="C187" s="560"/>
      <c r="D187" s="1087">
        <v>0.01</v>
      </c>
      <c r="E187" s="1064" t="s">
        <v>21</v>
      </c>
      <c r="F187" s="1067">
        <v>0</v>
      </c>
      <c r="G187" s="562">
        <f t="shared" si="52"/>
        <v>0</v>
      </c>
      <c r="H187" s="563">
        <f t="shared" si="55"/>
        <v>0</v>
      </c>
      <c r="I187" s="564">
        <f t="shared" si="56"/>
        <v>0</v>
      </c>
      <c r="J187" s="564">
        <f t="shared" si="57"/>
        <v>0</v>
      </c>
      <c r="K187" s="1026"/>
      <c r="L187" s="1377" t="str">
        <f>IFERROR(INDEX('Job Cost COA'!E:F,MATCH(A187,'Job Cost COA'!E:E,0),2),IF(F187&lt;&gt;0,"Assign Code","Missing Code"))</f>
        <v>Loan cost-broker fees</v>
      </c>
    </row>
    <row r="188" spans="1:12">
      <c r="A188" s="1531">
        <v>17510234</v>
      </c>
      <c r="B188" s="560" t="s">
        <v>523</v>
      </c>
      <c r="C188" s="560"/>
      <c r="D188" s="1065">
        <v>2500</v>
      </c>
      <c r="E188" s="1064" t="s">
        <v>21</v>
      </c>
      <c r="F188" s="1065">
        <v>15000</v>
      </c>
      <c r="G188" s="562">
        <f t="shared" si="52"/>
        <v>1666.6666666666667</v>
      </c>
      <c r="H188" s="563">
        <f t="shared" si="55"/>
        <v>0.60396199065872125</v>
      </c>
      <c r="I188" s="564">
        <f t="shared" si="56"/>
        <v>6.9643677041102776E-4</v>
      </c>
      <c r="J188" s="564">
        <f t="shared" si="57"/>
        <v>5.4905635514429204E-4</v>
      </c>
      <c r="K188" s="1026"/>
      <c r="L188" s="1377" t="str">
        <f>IFERROR(INDEX('Job Cost COA'!E:F,MATCH(A188,'Job Cost COA'!E:E,0),2),IF(F188&lt;&gt;0,"Assign Code","Missing Code"))</f>
        <v>Loan cost-cnstr ln-lender fees</v>
      </c>
    </row>
    <row r="189" spans="1:12">
      <c r="A189" s="1531">
        <v>17510228</v>
      </c>
      <c r="B189" s="560" t="s">
        <v>534</v>
      </c>
      <c r="C189" s="560"/>
      <c r="D189" s="1065">
        <v>2</v>
      </c>
      <c r="E189" s="1064" t="s">
        <v>21</v>
      </c>
      <c r="F189" s="1065">
        <v>20000</v>
      </c>
      <c r="G189" s="562">
        <f t="shared" si="52"/>
        <v>2222.2222222222222</v>
      </c>
      <c r="H189" s="563">
        <f t="shared" si="55"/>
        <v>0.80528265421162826</v>
      </c>
      <c r="I189" s="564">
        <f t="shared" si="56"/>
        <v>9.2858236054803702E-4</v>
      </c>
      <c r="J189" s="564">
        <f t="shared" si="57"/>
        <v>7.3207514019238938E-4</v>
      </c>
      <c r="K189" s="1026"/>
      <c r="L189" s="1377" t="str">
        <f>IFERROR(INDEX('Job Cost COA'!E:F,MATCH(A189,'Job Cost COA'!E:E,0),2),IF(F189&lt;&gt;0,"Assign Code","Missing Code"))</f>
        <v>Loan cost-title insurance</v>
      </c>
    </row>
    <row r="190" spans="1:12">
      <c r="A190" s="1531">
        <f>IFERROR(VLOOKUP(B190,'Job Cost COA'!F:I,4,FALSE),0)</f>
        <v>0</v>
      </c>
      <c r="B190" s="1030" t="s">
        <v>5009</v>
      </c>
      <c r="C190" s="571"/>
      <c r="D190" s="662"/>
      <c r="E190" s="1064" t="s">
        <v>21</v>
      </c>
      <c r="F190" s="1067">
        <v>0</v>
      </c>
      <c r="G190" s="562">
        <f t="shared" si="52"/>
        <v>0</v>
      </c>
      <c r="H190" s="563">
        <f t="shared" si="55"/>
        <v>0</v>
      </c>
      <c r="I190" s="564">
        <f t="shared" si="56"/>
        <v>0</v>
      </c>
      <c r="J190" s="564">
        <f t="shared" si="57"/>
        <v>0</v>
      </c>
      <c r="K190" s="1026"/>
      <c r="L190" s="1377" t="str">
        <f>IFERROR(INDEX('Job Cost COA'!E:F,MATCH(A190,'Job Cost COA'!E:E,0),2),IF(F190&lt;&gt;0,"Assign Code","Missing Code"))</f>
        <v>Missing Code</v>
      </c>
    </row>
    <row r="191" spans="1:12">
      <c r="A191" s="1531">
        <f>IFERROR(VLOOKUP(B191,'Job Cost COA'!F:I,4,FALSE),0)</f>
        <v>0</v>
      </c>
      <c r="B191" s="1030" t="s">
        <v>5009</v>
      </c>
      <c r="C191" s="571"/>
      <c r="D191" s="663">
        <v>0</v>
      </c>
      <c r="E191" s="1064" t="s">
        <v>21</v>
      </c>
      <c r="F191" s="1067">
        <v>0</v>
      </c>
      <c r="G191" s="562">
        <f t="shared" si="52"/>
        <v>0</v>
      </c>
      <c r="H191" s="563">
        <f t="shared" si="55"/>
        <v>0</v>
      </c>
      <c r="I191" s="564">
        <f t="shared" si="56"/>
        <v>0</v>
      </c>
      <c r="J191" s="564">
        <f t="shared" si="57"/>
        <v>0</v>
      </c>
      <c r="K191" s="1026"/>
      <c r="L191" s="1377" t="str">
        <f>IFERROR(INDEX('Job Cost COA'!E:F,MATCH(A191,'Job Cost COA'!E:E,0),2),IF(F191&lt;&gt;0,"Assign Code","Missing Code"))</f>
        <v>Missing Code</v>
      </c>
    </row>
    <row r="192" spans="1:12">
      <c r="B192" s="570" t="s">
        <v>296</v>
      </c>
      <c r="C192" s="571"/>
      <c r="D192" s="1087">
        <v>1.5E-3</v>
      </c>
      <c r="E192" s="1064" t="s">
        <v>21</v>
      </c>
      <c r="F192" s="661">
        <f>D192*hard_budget!$F$332</f>
        <v>18080.720657007667</v>
      </c>
      <c r="G192" s="562">
        <f t="shared" si="52"/>
        <v>2008.9689618897407</v>
      </c>
      <c r="H192" s="563">
        <f t="shared" si="55"/>
        <v>0.72800453603670745</v>
      </c>
      <c r="I192" s="564">
        <f t="shared" si="56"/>
        <v>8.3947191340469178E-4</v>
      </c>
      <c r="J192" s="564">
        <f t="shared" si="57"/>
        <v>6.6182230548791584E-4</v>
      </c>
      <c r="K192" s="1026"/>
      <c r="L192" s="1377" t="str">
        <f>IFERROR(INDEX('Job Cost COA'!E:F,MATCH(A192,'Job Cost COA'!E:E,0),2),IF(F192&lt;&gt;0,"Assign Code","Missing Code"))</f>
        <v>Assign Code</v>
      </c>
    </row>
    <row r="193" spans="1:12">
      <c r="A193" s="1531">
        <v>17510247</v>
      </c>
      <c r="B193" s="573" t="s">
        <v>478</v>
      </c>
      <c r="C193" s="573"/>
      <c r="D193" s="664"/>
      <c r="E193" s="1073" t="s">
        <v>21</v>
      </c>
      <c r="F193" s="1076">
        <f>+F192</f>
        <v>18080.720657007667</v>
      </c>
      <c r="G193" s="605">
        <f t="shared" si="52"/>
        <v>2008.9689618897407</v>
      </c>
      <c r="H193" s="606">
        <f t="shared" si="55"/>
        <v>0.72800453603670745</v>
      </c>
      <c r="I193" s="607">
        <f t="shared" si="56"/>
        <v>8.3947191340469178E-4</v>
      </c>
      <c r="J193" s="607">
        <f t="shared" si="57"/>
        <v>6.6182230548791584E-4</v>
      </c>
      <c r="K193" s="1026"/>
      <c r="L193" s="1378" t="str">
        <f>IFERROR(INDEX('Job Cost COA'!E:F,MATCH(A193,'Job Cost COA'!E:E,0),2),IF(F193&lt;&gt;0,"Assign Code","Missing Code"))</f>
        <v>Loan cost-exit fee (non-amortizable)</v>
      </c>
    </row>
    <row r="194" spans="1:12">
      <c r="B194" s="154" t="s">
        <v>72</v>
      </c>
      <c r="C194" s="151"/>
      <c r="D194" s="593"/>
      <c r="E194" s="153"/>
      <c r="F194" s="594">
        <f>SUM(F173:F193)</f>
        <v>346377.62945574586</v>
      </c>
      <c r="G194" s="580">
        <f t="shared" si="52"/>
        <v>38486.403272860654</v>
      </c>
      <c r="H194" s="581">
        <f>$F194/ResSF</f>
        <v>13.946594840382746</v>
      </c>
      <c r="I194" s="210">
        <f>$F194/DevBud2</f>
        <v>1.6082007840052488E-2</v>
      </c>
      <c r="J194" s="210">
        <f>$F194/TotalSales</f>
        <v>1.2678722582166131E-2</v>
      </c>
      <c r="K194" s="210"/>
      <c r="L194" s="1379"/>
    </row>
    <row r="195" spans="1:12">
      <c r="B195" s="665">
        <f>reserves!BY127</f>
        <v>28700</v>
      </c>
      <c r="C195" s="154"/>
      <c r="L195" s="1379"/>
    </row>
    <row r="196" spans="1:12">
      <c r="B196" s="597" t="s">
        <v>321</v>
      </c>
      <c r="C196" s="598"/>
      <c r="D196" s="599"/>
      <c r="E196" s="584" t="s">
        <v>134</v>
      </c>
      <c r="F196" s="600" t="s">
        <v>21</v>
      </c>
      <c r="G196" s="584" t="s">
        <v>182</v>
      </c>
      <c r="H196" s="584" t="s">
        <v>292</v>
      </c>
      <c r="I196" s="584" t="s">
        <v>262</v>
      </c>
      <c r="J196" s="584" t="s">
        <v>293</v>
      </c>
      <c r="K196" s="152"/>
      <c r="L196" s="1379"/>
    </row>
    <row r="197" spans="1:12">
      <c r="A197" s="1531">
        <v>15411600</v>
      </c>
      <c r="B197" s="666" t="s">
        <v>302</v>
      </c>
      <c r="C197" s="666"/>
      <c r="D197" s="667"/>
      <c r="E197" s="667"/>
      <c r="F197" s="668">
        <f>+reserves!AY128</f>
        <v>388252.61441019975</v>
      </c>
      <c r="G197" s="669">
        <f t="shared" ref="G197:G201" si="58">$F197/ResUnits</f>
        <v>43139.179378911082</v>
      </c>
      <c r="H197" s="670">
        <f t="shared" ref="H197:H201" si="59">$F197/ResSF</f>
        <v>15.632654791842477</v>
      </c>
      <c r="I197" s="671">
        <f t="shared" ref="I197:I201" si="60">$F197/DevBud2</f>
        <v>1.8026226458898505E-2</v>
      </c>
      <c r="J197" s="671">
        <f t="shared" ref="J197:J201" si="61">$F197/TotalSales</f>
        <v>1.4211504356220433E-2</v>
      </c>
      <c r="K197" s="1026"/>
      <c r="L197" s="1376" t="str">
        <f>IFERROR(INDEX('Job Cost COA'!E:F,MATCH(A197,'Job Cost COA'!E:E,0),2),IF(F197&lt;&gt;0,"Assign Code","Missing Code"))</f>
        <v>Cap Interest-Expense-Land Loan</v>
      </c>
    </row>
    <row r="198" spans="1:12">
      <c r="A198" s="1531">
        <v>15411605</v>
      </c>
      <c r="B198" s="560" t="s">
        <v>438</v>
      </c>
      <c r="C198" s="666"/>
      <c r="D198" s="667"/>
      <c r="E198" s="667"/>
      <c r="F198" s="661">
        <f>+reserves!BC128+reserves!J128</f>
        <v>0</v>
      </c>
      <c r="G198" s="562">
        <f t="shared" si="58"/>
        <v>0</v>
      </c>
      <c r="H198" s="563">
        <f t="shared" si="59"/>
        <v>0</v>
      </c>
      <c r="I198" s="564">
        <f t="shared" si="60"/>
        <v>0</v>
      </c>
      <c r="J198" s="564">
        <f t="shared" si="61"/>
        <v>0</v>
      </c>
      <c r="K198" s="1026"/>
      <c r="L198" s="1377" t="str">
        <f>IFERROR(INDEX('Job Cost COA'!E:F,MATCH(A198,'Job Cost COA'!E:E,0),2),IF(F198&lt;&gt;0,"Assign Code","Missing Code"))</f>
        <v>Cap Interest-Expense-Mezz Loan</v>
      </c>
    </row>
    <row r="199" spans="1:12">
      <c r="A199" s="1531">
        <v>15411610</v>
      </c>
      <c r="B199" s="560" t="s">
        <v>303</v>
      </c>
      <c r="C199" s="560"/>
      <c r="D199" s="590"/>
      <c r="E199" s="590"/>
      <c r="F199" s="661">
        <f>+reserves!BG128</f>
        <v>1533479.2861765074</v>
      </c>
      <c r="G199" s="562">
        <f t="shared" si="58"/>
        <v>170386.58735294527</v>
      </c>
      <c r="H199" s="563">
        <f t="shared" si="59"/>
        <v>61.744213487538545</v>
      </c>
      <c r="I199" s="564">
        <f t="shared" si="60"/>
        <v>7.1198090770465003E-2</v>
      </c>
      <c r="J199" s="564">
        <f t="shared" si="61"/>
        <v>5.6131103170489589E-2</v>
      </c>
      <c r="K199" s="1026"/>
      <c r="L199" s="1377" t="str">
        <f>IFERROR(INDEX('Job Cost COA'!E:F,MATCH(A199,'Job Cost COA'!E:E,0),2),IF(F199&lt;&gt;0,"Assign Code","Missing Code"))</f>
        <v>Cap Interest-Expense-Dev Loan</v>
      </c>
    </row>
    <row r="200" spans="1:12">
      <c r="A200" s="1531">
        <v>15411615</v>
      </c>
      <c r="B200" s="672" t="s">
        <v>304</v>
      </c>
      <c r="C200" s="672"/>
      <c r="D200" s="673"/>
      <c r="E200" s="673"/>
      <c r="F200" s="674">
        <f>+reserves!K128</f>
        <v>24587.64</v>
      </c>
      <c r="G200" s="605">
        <f t="shared" si="58"/>
        <v>2731.96</v>
      </c>
      <c r="H200" s="606">
        <f t="shared" si="59"/>
        <v>0.99</v>
      </c>
      <c r="I200" s="607">
        <f t="shared" si="60"/>
        <v>1.141582439575267E-3</v>
      </c>
      <c r="J200" s="607">
        <f t="shared" si="61"/>
        <v>8.9999999999999998E-4</v>
      </c>
      <c r="K200" s="1026"/>
      <c r="L200" s="1378" t="str">
        <f>IFERROR(INDEX('Job Cost COA'!E:F,MATCH(A200,'Job Cost COA'!E:E,0),2),IF(F200&lt;&gt;0,"Assign Code","Missing Code"))</f>
        <v>Cap Interest-Expense-Bond Loan</v>
      </c>
    </row>
    <row r="201" spans="1:12">
      <c r="B201" s="154" t="s">
        <v>446</v>
      </c>
      <c r="C201" s="151"/>
      <c r="D201" s="593"/>
      <c r="E201" s="153"/>
      <c r="F201" s="594">
        <f>SUM(F196:F200)</f>
        <v>1946319.5405867069</v>
      </c>
      <c r="G201" s="580">
        <f t="shared" si="58"/>
        <v>216257.72673185632</v>
      </c>
      <c r="H201" s="581">
        <f t="shared" si="59"/>
        <v>78.366868279381023</v>
      </c>
      <c r="I201" s="210">
        <f t="shared" si="60"/>
        <v>9.0365899668938765E-2</v>
      </c>
      <c r="J201" s="210">
        <f t="shared" si="61"/>
        <v>7.1242607526710022E-2</v>
      </c>
      <c r="K201" s="210"/>
      <c r="L201" s="1379"/>
    </row>
    <row r="202" spans="1:12">
      <c r="B202" s="154"/>
      <c r="C202" s="154"/>
      <c r="L202" s="1379"/>
    </row>
    <row r="203" spans="1:12">
      <c r="B203" s="154" t="s">
        <v>23</v>
      </c>
      <c r="C203" s="551"/>
      <c r="D203" s="552"/>
      <c r="E203" s="152" t="s">
        <v>134</v>
      </c>
      <c r="F203" s="553" t="s">
        <v>21</v>
      </c>
      <c r="G203" s="152" t="s">
        <v>182</v>
      </c>
      <c r="H203" s="152" t="s">
        <v>292</v>
      </c>
      <c r="I203" s="152" t="s">
        <v>262</v>
      </c>
      <c r="J203" s="152" t="s">
        <v>293</v>
      </c>
      <c r="K203" s="152"/>
      <c r="L203" s="1379"/>
    </row>
    <row r="204" spans="1:12">
      <c r="A204" s="1531">
        <v>15280200</v>
      </c>
      <c r="B204" s="634" t="s">
        <v>487</v>
      </c>
      <c r="C204" s="634"/>
      <c r="D204" s="675"/>
      <c r="E204" s="1079" t="s">
        <v>21</v>
      </c>
      <c r="F204" s="1082">
        <v>42855</v>
      </c>
      <c r="G204" s="557">
        <f t="shared" ref="G204:G217" si="62">$F204/ResUnits</f>
        <v>4761.666666666667</v>
      </c>
      <c r="H204" s="558">
        <f t="shared" ref="H204:H216" si="63">$F204 / ResSF</f>
        <v>1.7255194073119664</v>
      </c>
      <c r="I204" s="559">
        <f t="shared" ref="I204:I216" si="64">$F204 / DevBud1</f>
        <v>1.9897198530643063E-3</v>
      </c>
      <c r="J204" s="559">
        <f t="shared" ref="J204:J216" si="65">$F204 / TotalSales</f>
        <v>1.5686540066472423E-3</v>
      </c>
      <c r="K204" s="1026"/>
      <c r="L204" s="1376" t="str">
        <f>IFERROR(INDEX('Job Cost COA'!E:F,MATCH(A204,'Job Cost COA'!E:E,0),2),IF(F204&lt;&gt;0,"Assign Code","Missing Code"))</f>
        <v>Inv-Legal-condo docs</v>
      </c>
    </row>
    <row r="205" spans="1:12">
      <c r="A205" s="1531">
        <v>15280205</v>
      </c>
      <c r="B205" s="560" t="s">
        <v>488</v>
      </c>
      <c r="C205" s="560"/>
      <c r="D205" s="590"/>
      <c r="E205" s="1064" t="s">
        <v>21</v>
      </c>
      <c r="F205" s="1065">
        <v>32145</v>
      </c>
      <c r="G205" s="562">
        <f t="shared" si="62"/>
        <v>3571.6666666666665</v>
      </c>
      <c r="H205" s="563">
        <f t="shared" si="63"/>
        <v>1.2942905459816396</v>
      </c>
      <c r="I205" s="564">
        <f t="shared" si="64"/>
        <v>1.4924639989908326E-3</v>
      </c>
      <c r="J205" s="564">
        <f t="shared" si="65"/>
        <v>1.1766277690742177E-3</v>
      </c>
      <c r="K205" s="1026"/>
      <c r="L205" s="1377" t="str">
        <f>IFERROR(INDEX('Job Cost COA'!E:F,MATCH(A205,'Job Cost COA'!E:E,0),2),IF(F205&lt;&gt;0,"Assign Code","Missing Code"))</f>
        <v>Inv-Legal-partnership agreement</v>
      </c>
    </row>
    <row r="206" spans="1:12">
      <c r="A206" s="1531">
        <v>15280210</v>
      </c>
      <c r="B206" s="560" t="s">
        <v>489</v>
      </c>
      <c r="C206" s="560"/>
      <c r="D206" s="590"/>
      <c r="E206" s="1064" t="s">
        <v>21</v>
      </c>
      <c r="F206" s="1065">
        <v>21435</v>
      </c>
      <c r="G206" s="562">
        <f t="shared" si="62"/>
        <v>2381.6666666666665</v>
      </c>
      <c r="H206" s="563">
        <f t="shared" si="63"/>
        <v>0.86306168465131261</v>
      </c>
      <c r="I206" s="564">
        <f t="shared" si="64"/>
        <v>9.9520814491735874E-4</v>
      </c>
      <c r="J206" s="564">
        <f t="shared" si="65"/>
        <v>7.8460153150119332E-4</v>
      </c>
      <c r="K206" s="1026"/>
      <c r="L206" s="1377" t="str">
        <f>IFERROR(INDEX('Job Cost COA'!E:F,MATCH(A206,'Job Cost COA'!E:E,0),2),IF(F206&lt;&gt;0,"Assign Code","Missing Code"))</f>
        <v>Inv-Legal-general assistance</v>
      </c>
    </row>
    <row r="207" spans="1:12">
      <c r="A207" s="1531">
        <v>15280235</v>
      </c>
      <c r="B207" s="560" t="s">
        <v>490</v>
      </c>
      <c r="C207" s="560"/>
      <c r="D207" s="590"/>
      <c r="E207" s="1064" t="s">
        <v>21</v>
      </c>
      <c r="F207" s="1065"/>
      <c r="G207" s="562">
        <f t="shared" si="62"/>
        <v>0</v>
      </c>
      <c r="H207" s="563">
        <f t="shared" si="63"/>
        <v>0</v>
      </c>
      <c r="I207" s="564">
        <f t="shared" si="64"/>
        <v>0</v>
      </c>
      <c r="J207" s="564">
        <f t="shared" si="65"/>
        <v>0</v>
      </c>
      <c r="K207" s="1026"/>
      <c r="L207" s="1377" t="str">
        <f>IFERROR(INDEX('Job Cost COA'!E:F,MATCH(A207,'Job Cost COA'!E:E,0),2),IF(F207&lt;&gt;0,"Assign Code","Missing Code"))</f>
        <v>Inv-Legal-zoning</v>
      </c>
    </row>
    <row r="208" spans="1:12">
      <c r="A208" s="1531">
        <v>15280255</v>
      </c>
      <c r="B208" s="560" t="s">
        <v>491</v>
      </c>
      <c r="C208" s="560"/>
      <c r="D208" s="640"/>
      <c r="E208" s="1064" t="s">
        <v>21</v>
      </c>
      <c r="F208" s="1065"/>
      <c r="G208" s="562">
        <f t="shared" si="62"/>
        <v>0</v>
      </c>
      <c r="H208" s="563">
        <f t="shared" si="63"/>
        <v>0</v>
      </c>
      <c r="I208" s="564">
        <f t="shared" si="64"/>
        <v>0</v>
      </c>
      <c r="J208" s="564">
        <f t="shared" si="65"/>
        <v>0</v>
      </c>
      <c r="K208" s="1026"/>
      <c r="L208" s="1377" t="str">
        <f>IFERROR(INDEX('Job Cost COA'!E:F,MATCH(A208,'Job Cost COA'!E:E,0),2),IF(F208&lt;&gt;0,"Assign Code","Missing Code"))</f>
        <v>Inv-Legal-environmental issues</v>
      </c>
    </row>
    <row r="209" spans="1:14">
      <c r="A209" s="1531">
        <v>15280225</v>
      </c>
      <c r="B209" s="560" t="s">
        <v>492</v>
      </c>
      <c r="C209" s="560"/>
      <c r="D209" s="590"/>
      <c r="E209" s="1064" t="s">
        <v>21</v>
      </c>
      <c r="F209" s="1065"/>
      <c r="G209" s="562">
        <f t="shared" si="62"/>
        <v>0</v>
      </c>
      <c r="H209" s="563">
        <f t="shared" si="63"/>
        <v>0</v>
      </c>
      <c r="I209" s="564">
        <f t="shared" si="64"/>
        <v>0</v>
      </c>
      <c r="J209" s="564">
        <f t="shared" si="65"/>
        <v>0</v>
      </c>
      <c r="K209" s="1026"/>
      <c r="L209" s="1377" t="str">
        <f>IFERROR(INDEX('Job Cost COA'!E:F,MATCH(A209,'Job Cost COA'!E:E,0),2),IF(F209&lt;&gt;0,"Assign Code","Missing Code"))</f>
        <v>Inv-Legal-construction contract</v>
      </c>
    </row>
    <row r="210" spans="1:14">
      <c r="A210" s="1531">
        <v>15280215</v>
      </c>
      <c r="B210" s="560" t="s">
        <v>479</v>
      </c>
      <c r="C210" s="560"/>
      <c r="D210" s="590"/>
      <c r="E210" s="1064" t="s">
        <v>21</v>
      </c>
      <c r="F210" s="1065">
        <v>0</v>
      </c>
      <c r="G210" s="562">
        <f t="shared" si="62"/>
        <v>0</v>
      </c>
      <c r="H210" s="563">
        <f t="shared" si="63"/>
        <v>0</v>
      </c>
      <c r="I210" s="564">
        <f t="shared" si="64"/>
        <v>0</v>
      </c>
      <c r="J210" s="564">
        <f t="shared" si="65"/>
        <v>0</v>
      </c>
      <c r="K210" s="1026"/>
      <c r="L210" s="1377" t="str">
        <f>IFERROR(INDEX('Job Cost COA'!E:F,MATCH(A210,'Job Cost COA'!E:E,0),2),IF(F210&lt;&gt;0,"Assign Code","Missing Code"))</f>
        <v>Inv-Legal-sales contract</v>
      </c>
    </row>
    <row r="211" spans="1:14">
      <c r="A211" s="1531">
        <v>15280300</v>
      </c>
      <c r="B211" s="560" t="s">
        <v>480</v>
      </c>
      <c r="C211" s="560"/>
      <c r="D211" s="590"/>
      <c r="E211" s="1064" t="s">
        <v>21</v>
      </c>
      <c r="F211" s="1065">
        <v>0</v>
      </c>
      <c r="G211" s="562">
        <f t="shared" si="62"/>
        <v>0</v>
      </c>
      <c r="H211" s="563">
        <f t="shared" si="63"/>
        <v>0</v>
      </c>
      <c r="I211" s="564">
        <f t="shared" si="64"/>
        <v>0</v>
      </c>
      <c r="J211" s="564">
        <f t="shared" si="65"/>
        <v>0</v>
      </c>
      <c r="K211" s="1026"/>
      <c r="L211" s="1377" t="str">
        <f>IFERROR(INDEX('Job Cost COA'!E:F,MATCH(A211,'Job Cost COA'!E:E,0),2),IF(F211&lt;&gt;0,"Assign Code","Missing Code"))</f>
        <v>Inv-Legal-closing credits</v>
      </c>
    </row>
    <row r="212" spans="1:14">
      <c r="A212" s="1531">
        <v>15280211</v>
      </c>
      <c r="B212" s="1030" t="s">
        <v>3853</v>
      </c>
      <c r="C212" s="571"/>
      <c r="D212" s="591"/>
      <c r="E212" s="1064" t="s">
        <v>21</v>
      </c>
      <c r="F212" s="1065">
        <v>0</v>
      </c>
      <c r="G212" s="562">
        <f t="shared" si="62"/>
        <v>0</v>
      </c>
      <c r="H212" s="563">
        <f t="shared" si="63"/>
        <v>0</v>
      </c>
      <c r="I212" s="564">
        <f t="shared" si="64"/>
        <v>0</v>
      </c>
      <c r="J212" s="564">
        <f t="shared" si="65"/>
        <v>0</v>
      </c>
      <c r="K212" s="1026"/>
      <c r="L212" s="1377" t="str">
        <f>IFERROR(INDEX('Job Cost COA'!E:F,MATCH(A212,'Job Cost COA'!E:E,0),2),IF(F212&lt;&gt;0,"Assign Code","Missing Code"))</f>
        <v>Inv-Legal-lawsuits</v>
      </c>
    </row>
    <row r="213" spans="1:14">
      <c r="A213" s="1531">
        <f>IFERROR(VLOOKUP(B213,'Job Cost COA'!F:I,4,FALSE),0)</f>
        <v>0</v>
      </c>
      <c r="B213" s="1030" t="s">
        <v>5005</v>
      </c>
      <c r="C213" s="571"/>
      <c r="D213" s="591"/>
      <c r="E213" s="1064" t="s">
        <v>21</v>
      </c>
      <c r="F213" s="1065">
        <v>0</v>
      </c>
      <c r="G213" s="562">
        <f t="shared" si="62"/>
        <v>0</v>
      </c>
      <c r="H213" s="563">
        <f t="shared" si="63"/>
        <v>0</v>
      </c>
      <c r="I213" s="564">
        <f t="shared" si="64"/>
        <v>0</v>
      </c>
      <c r="J213" s="564">
        <f t="shared" si="65"/>
        <v>0</v>
      </c>
      <c r="K213" s="1026"/>
      <c r="L213" s="1377" t="str">
        <f>IFERROR(INDEX('Job Cost COA'!E:F,MATCH(A213,'Job Cost COA'!E:E,0),2),IF(F213&lt;&gt;0,"Assign Code","Missing Code"))</f>
        <v>Missing Code</v>
      </c>
    </row>
    <row r="214" spans="1:14">
      <c r="A214" s="1531">
        <f>IFERROR(VLOOKUP(B214,'Job Cost COA'!F:I,4,FALSE),0)</f>
        <v>0</v>
      </c>
      <c r="B214" s="1030" t="s">
        <v>5005</v>
      </c>
      <c r="C214" s="571"/>
      <c r="D214" s="591"/>
      <c r="E214" s="1064" t="s">
        <v>21</v>
      </c>
      <c r="F214" s="1065">
        <v>0</v>
      </c>
      <c r="G214" s="562">
        <f t="shared" si="62"/>
        <v>0</v>
      </c>
      <c r="H214" s="563">
        <f t="shared" si="63"/>
        <v>0</v>
      </c>
      <c r="I214" s="564">
        <f t="shared" si="64"/>
        <v>0</v>
      </c>
      <c r="J214" s="564">
        <f t="shared" si="65"/>
        <v>0</v>
      </c>
      <c r="K214" s="1026"/>
      <c r="L214" s="1377" t="str">
        <f>IFERROR(INDEX('Job Cost COA'!E:F,MATCH(A214,'Job Cost COA'!E:E,0),2),IF(F214&lt;&gt;0,"Assign Code","Missing Code"))</f>
        <v>Missing Code</v>
      </c>
    </row>
    <row r="215" spans="1:14">
      <c r="A215" s="1531">
        <f>IFERROR(VLOOKUP(B215,'Job Cost COA'!F:I,4,FALSE),0)</f>
        <v>0</v>
      </c>
      <c r="B215" s="1030" t="s">
        <v>5005</v>
      </c>
      <c r="C215" s="571"/>
      <c r="D215" s="591"/>
      <c r="E215" s="1064" t="s">
        <v>21</v>
      </c>
      <c r="F215" s="1065">
        <v>0</v>
      </c>
      <c r="G215" s="562">
        <f t="shared" si="62"/>
        <v>0</v>
      </c>
      <c r="H215" s="563">
        <f t="shared" si="63"/>
        <v>0</v>
      </c>
      <c r="I215" s="564">
        <f t="shared" si="64"/>
        <v>0</v>
      </c>
      <c r="J215" s="564">
        <f t="shared" si="65"/>
        <v>0</v>
      </c>
      <c r="K215" s="1026"/>
      <c r="L215" s="1377" t="str">
        <f>IFERROR(INDEX('Job Cost COA'!E:F,MATCH(A215,'Job Cost COA'!E:E,0),2),IF(F215&lt;&gt;0,"Assign Code","Missing Code"))</f>
        <v>Missing Code</v>
      </c>
    </row>
    <row r="216" spans="1:14">
      <c r="B216" s="572" t="s">
        <v>296</v>
      </c>
      <c r="C216" s="573"/>
      <c r="D216" s="592"/>
      <c r="E216" s="1073" t="s">
        <v>21</v>
      </c>
      <c r="F216" s="1076">
        <v>0</v>
      </c>
      <c r="G216" s="605">
        <f t="shared" si="62"/>
        <v>0</v>
      </c>
      <c r="H216" s="606">
        <f t="shared" si="63"/>
        <v>0</v>
      </c>
      <c r="I216" s="607">
        <f t="shared" si="64"/>
        <v>0</v>
      </c>
      <c r="J216" s="607">
        <f t="shared" si="65"/>
        <v>0</v>
      </c>
      <c r="K216" s="1026"/>
      <c r="L216" s="1378" t="str">
        <f>IFERROR(INDEX('Job Cost COA'!E:F,MATCH(A216,'Job Cost COA'!E:E,0),2),IF(F216&lt;&gt;0,"Assign Code","Missing Code"))</f>
        <v>Missing Code</v>
      </c>
    </row>
    <row r="217" spans="1:14">
      <c r="B217" s="154" t="s">
        <v>229</v>
      </c>
      <c r="C217" s="151"/>
      <c r="D217" s="593"/>
      <c r="E217" s="150"/>
      <c r="F217" s="594">
        <f>SUM(F203:F216)</f>
        <v>96435</v>
      </c>
      <c r="G217" s="580">
        <f t="shared" si="62"/>
        <v>10715</v>
      </c>
      <c r="H217" s="581">
        <f>$F217/ResSF</f>
        <v>3.8828716379449189</v>
      </c>
      <c r="I217" s="210">
        <f>$F217/DevBud2</f>
        <v>4.4773919969724974E-3</v>
      </c>
      <c r="J217" s="210">
        <f>$F217/TotalSales</f>
        <v>3.5298833072226533E-3</v>
      </c>
      <c r="K217" s="210"/>
      <c r="L217" s="1379"/>
    </row>
    <row r="218" spans="1:14">
      <c r="C218" s="151"/>
      <c r="E218" s="150"/>
      <c r="F218" s="627"/>
      <c r="L218" s="1379"/>
    </row>
    <row r="219" spans="1:14">
      <c r="B219" s="154" t="s">
        <v>217</v>
      </c>
      <c r="C219" s="551"/>
      <c r="D219" s="152" t="s">
        <v>309</v>
      </c>
      <c r="E219" s="152" t="s">
        <v>308</v>
      </c>
      <c r="F219" s="600" t="s">
        <v>21</v>
      </c>
      <c r="G219" s="152" t="s">
        <v>182</v>
      </c>
      <c r="H219" s="152" t="s">
        <v>292</v>
      </c>
      <c r="I219" s="152" t="s">
        <v>262</v>
      </c>
      <c r="J219" s="152" t="s">
        <v>293</v>
      </c>
      <c r="K219" s="152"/>
      <c r="L219" s="1379"/>
      <c r="N219" s="1458" t="s">
        <v>82</v>
      </c>
    </row>
    <row r="220" spans="1:14">
      <c r="A220" s="1531">
        <v>15285200</v>
      </c>
      <c r="B220" s="634" t="str">
        <f>T("EVP; ")&amp;N220*100&amp;T("%")</f>
        <v>EVP; 0%</v>
      </c>
      <c r="C220" s="634"/>
      <c r="D220" s="1088"/>
      <c r="E220" s="1089">
        <f>(general!$C$28/12)</f>
        <v>3.6666666666666665</v>
      </c>
      <c r="F220" s="676">
        <f t="shared" ref="F220:F230" si="66">D220*E220*N220</f>
        <v>0</v>
      </c>
      <c r="G220" s="557">
        <f t="shared" ref="G220:G241" si="67">$F220/ResUnits</f>
        <v>0</v>
      </c>
      <c r="H220" s="558">
        <f t="shared" ref="H220:H241" si="68">$F220/ResSF</f>
        <v>0</v>
      </c>
      <c r="I220" s="559">
        <f t="shared" ref="I220:I241" si="69">$F220/DevBud2</f>
        <v>0</v>
      </c>
      <c r="J220" s="559">
        <f t="shared" ref="J220:J241" si="70">$F220/TotalSales</f>
        <v>0</v>
      </c>
      <c r="K220" s="1026"/>
      <c r="L220" s="1376" t="str">
        <f>IFERROR(INDEX('Job Cost COA'!E:F,MATCH(A220,'Job Cost COA'!E:E,0),2),IF(F220&lt;&gt;0,"Assign Code","Missing Code"))</f>
        <v>Inv-Admin costs-salaries and wages</v>
      </c>
      <c r="N220" s="1459">
        <v>0</v>
      </c>
    </row>
    <row r="221" spans="1:14">
      <c r="A221" s="1531">
        <v>15285200</v>
      </c>
      <c r="B221" s="560" t="str">
        <f>T("SVP (TBD); ")&amp;N221*100&amp;T("%")</f>
        <v>SVP (TBD); 25%</v>
      </c>
      <c r="C221" s="560"/>
      <c r="D221" s="1090"/>
      <c r="E221" s="1091">
        <f>(general!$C$28/12)</f>
        <v>3.6666666666666665</v>
      </c>
      <c r="F221" s="661">
        <f t="shared" si="66"/>
        <v>0</v>
      </c>
      <c r="G221" s="562">
        <f t="shared" si="67"/>
        <v>0</v>
      </c>
      <c r="H221" s="563">
        <f t="shared" si="68"/>
        <v>0</v>
      </c>
      <c r="I221" s="564">
        <f t="shared" si="69"/>
        <v>0</v>
      </c>
      <c r="J221" s="564">
        <f t="shared" si="70"/>
        <v>0</v>
      </c>
      <c r="K221" s="1026"/>
      <c r="L221" s="1377" t="str">
        <f>IFERROR(INDEX('Job Cost COA'!E:F,MATCH(A221,'Job Cost COA'!E:E,0),2),IF(F221&lt;&gt;0,"Assign Code","Missing Code"))</f>
        <v>Inv-Admin costs-salaries and wages</v>
      </c>
      <c r="N221" s="1459">
        <v>0.25</v>
      </c>
    </row>
    <row r="222" spans="1:14">
      <c r="A222" s="1531">
        <v>15285200</v>
      </c>
      <c r="B222" s="560" t="str">
        <f>T("Asst. Project Manager (TBD); ")&amp;N222*100&amp;T("%")</f>
        <v>Asst. Project Manager (TBD); 0%</v>
      </c>
      <c r="C222" s="560"/>
      <c r="D222" s="1090"/>
      <c r="E222" s="1091">
        <f>(general!$C$28/12)</f>
        <v>3.6666666666666665</v>
      </c>
      <c r="F222" s="661">
        <f t="shared" si="66"/>
        <v>0</v>
      </c>
      <c r="G222" s="562">
        <f t="shared" si="67"/>
        <v>0</v>
      </c>
      <c r="H222" s="563">
        <f t="shared" si="68"/>
        <v>0</v>
      </c>
      <c r="I222" s="564">
        <f t="shared" si="69"/>
        <v>0</v>
      </c>
      <c r="J222" s="564">
        <f t="shared" si="70"/>
        <v>0</v>
      </c>
      <c r="K222" s="1026"/>
      <c r="L222" s="1377" t="str">
        <f>IFERROR(INDEX('Job Cost COA'!E:F,MATCH(A222,'Job Cost COA'!E:E,0),2),IF(F222&lt;&gt;0,"Assign Code","Missing Code"))</f>
        <v>Inv-Admin costs-salaries and wages</v>
      </c>
      <c r="N222" s="1459">
        <v>0</v>
      </c>
    </row>
    <row r="223" spans="1:14">
      <c r="A223" s="1531">
        <v>15285200</v>
      </c>
      <c r="B223" s="560" t="str">
        <f>T("Construction Manager (TBD); ")&amp;N223*100&amp;T("%")</f>
        <v>Construction Manager (TBD); 25%</v>
      </c>
      <c r="C223" s="560"/>
      <c r="D223" s="1090"/>
      <c r="E223" s="1091">
        <v>1.5</v>
      </c>
      <c r="F223" s="661">
        <f t="shared" si="66"/>
        <v>0</v>
      </c>
      <c r="G223" s="562">
        <f t="shared" si="67"/>
        <v>0</v>
      </c>
      <c r="H223" s="563">
        <f t="shared" si="68"/>
        <v>0</v>
      </c>
      <c r="I223" s="564">
        <f t="shared" si="69"/>
        <v>0</v>
      </c>
      <c r="J223" s="564">
        <f t="shared" si="70"/>
        <v>0</v>
      </c>
      <c r="K223" s="1026"/>
      <c r="L223" s="1377" t="str">
        <f>IFERROR(INDEX('Job Cost COA'!E:F,MATCH(A223,'Job Cost COA'!E:E,0),2),IF(F223&lt;&gt;0,"Assign Code","Missing Code"))</f>
        <v>Inv-Admin costs-salaries and wages</v>
      </c>
      <c r="N223" s="1459">
        <v>0.25</v>
      </c>
    </row>
    <row r="224" spans="1:14">
      <c r="A224" s="1531">
        <v>15285200</v>
      </c>
      <c r="B224" s="560" t="str">
        <f>T("Asst. Constr Manager (TBD); ")&amp;N224*100&amp;T("%")</f>
        <v>Asst. Constr Manager (TBD); 25%</v>
      </c>
      <c r="C224" s="560"/>
      <c r="D224" s="1090"/>
      <c r="E224" s="1091">
        <v>1.5</v>
      </c>
      <c r="F224" s="661">
        <f t="shared" si="66"/>
        <v>0</v>
      </c>
      <c r="G224" s="562">
        <f t="shared" si="67"/>
        <v>0</v>
      </c>
      <c r="H224" s="563">
        <f t="shared" si="68"/>
        <v>0</v>
      </c>
      <c r="I224" s="564">
        <f t="shared" si="69"/>
        <v>0</v>
      </c>
      <c r="J224" s="564">
        <f t="shared" si="70"/>
        <v>0</v>
      </c>
      <c r="K224" s="1026"/>
      <c r="L224" s="1377" t="str">
        <f>IFERROR(INDEX('Job Cost COA'!E:F,MATCH(A224,'Job Cost COA'!E:E,0),2),IF(F224&lt;&gt;0,"Assign Code","Missing Code"))</f>
        <v>Inv-Admin costs-salaries and wages</v>
      </c>
      <c r="N224" s="1459">
        <v>0.25</v>
      </c>
    </row>
    <row r="225" spans="1:14">
      <c r="A225" s="1531">
        <v>15285200</v>
      </c>
      <c r="B225" s="560" t="s">
        <v>62</v>
      </c>
      <c r="C225" s="560"/>
      <c r="D225" s="1090"/>
      <c r="E225" s="1091">
        <f>(general!$C$28/12)-1</f>
        <v>2.6666666666666665</v>
      </c>
      <c r="F225" s="661">
        <f t="shared" si="66"/>
        <v>0</v>
      </c>
      <c r="G225" s="562">
        <f t="shared" si="67"/>
        <v>0</v>
      </c>
      <c r="H225" s="563">
        <f t="shared" si="68"/>
        <v>0</v>
      </c>
      <c r="I225" s="564">
        <f t="shared" si="69"/>
        <v>0</v>
      </c>
      <c r="J225" s="564">
        <f t="shared" si="70"/>
        <v>0</v>
      </c>
      <c r="K225" s="1026"/>
      <c r="L225" s="1377" t="str">
        <f>IFERROR(INDEX('Job Cost COA'!E:F,MATCH(A225,'Job Cost COA'!E:E,0),2),IF(F225&lt;&gt;0,"Assign Code","Missing Code"))</f>
        <v>Inv-Admin costs-salaries and wages</v>
      </c>
      <c r="N225" s="1459"/>
    </row>
    <row r="226" spans="1:14">
      <c r="A226" s="1531">
        <v>15285200</v>
      </c>
      <c r="B226" s="560" t="str">
        <f>T("Controller; ")&amp;N226*100&amp;T("%")</f>
        <v>Controller; 15%</v>
      </c>
      <c r="C226" s="560"/>
      <c r="D226" s="1090"/>
      <c r="E226" s="1091">
        <f>(general!$C$28/12)</f>
        <v>3.6666666666666665</v>
      </c>
      <c r="F226" s="661">
        <f t="shared" si="66"/>
        <v>0</v>
      </c>
      <c r="G226" s="562">
        <f t="shared" si="67"/>
        <v>0</v>
      </c>
      <c r="H226" s="563">
        <f t="shared" si="68"/>
        <v>0</v>
      </c>
      <c r="I226" s="564">
        <f t="shared" si="69"/>
        <v>0</v>
      </c>
      <c r="J226" s="564">
        <f t="shared" si="70"/>
        <v>0</v>
      </c>
      <c r="K226" s="1026"/>
      <c r="L226" s="1377" t="str">
        <f>IFERROR(INDEX('Job Cost COA'!E:F,MATCH(A226,'Job Cost COA'!E:E,0),2),IF(F226&lt;&gt;0,"Assign Code","Missing Code"))</f>
        <v>Inv-Admin costs-salaries and wages</v>
      </c>
      <c r="N226" s="1459">
        <v>0.15</v>
      </c>
    </row>
    <row r="227" spans="1:14">
      <c r="A227" s="1531">
        <v>15285200</v>
      </c>
      <c r="B227" s="560" t="s">
        <v>63</v>
      </c>
      <c r="C227" s="560"/>
      <c r="D227" s="1090"/>
      <c r="E227" s="1091">
        <f>(general!$C$28/12)</f>
        <v>3.6666666666666665</v>
      </c>
      <c r="F227" s="661">
        <f t="shared" si="66"/>
        <v>0</v>
      </c>
      <c r="G227" s="562">
        <f t="shared" si="67"/>
        <v>0</v>
      </c>
      <c r="H227" s="563">
        <f t="shared" si="68"/>
        <v>0</v>
      </c>
      <c r="I227" s="564">
        <f t="shared" si="69"/>
        <v>0</v>
      </c>
      <c r="J227" s="564">
        <f t="shared" si="70"/>
        <v>0</v>
      </c>
      <c r="K227" s="1026"/>
      <c r="L227" s="1377" t="str">
        <f>IFERROR(INDEX('Job Cost COA'!E:F,MATCH(A227,'Job Cost COA'!E:E,0),2),IF(F227&lt;&gt;0,"Assign Code","Missing Code"))</f>
        <v>Inv-Admin costs-salaries and wages</v>
      </c>
      <c r="N227" s="1459"/>
    </row>
    <row r="228" spans="1:14">
      <c r="A228" s="1531">
        <v>15285200</v>
      </c>
      <c r="B228" s="560" t="str">
        <f>T("Executive Assistant; ")&amp;N228*100&amp;T("%")</f>
        <v>Executive Assistant; 0%</v>
      </c>
      <c r="C228" s="560"/>
      <c r="D228" s="1090"/>
      <c r="E228" s="1091">
        <f>(general!$C$28/12)</f>
        <v>3.6666666666666665</v>
      </c>
      <c r="F228" s="661">
        <f t="shared" si="66"/>
        <v>0</v>
      </c>
      <c r="G228" s="562">
        <f t="shared" si="67"/>
        <v>0</v>
      </c>
      <c r="H228" s="563">
        <f t="shared" si="68"/>
        <v>0</v>
      </c>
      <c r="I228" s="564">
        <f t="shared" si="69"/>
        <v>0</v>
      </c>
      <c r="J228" s="564">
        <f t="shared" si="70"/>
        <v>0</v>
      </c>
      <c r="K228" s="1026"/>
      <c r="L228" s="1377" t="str">
        <f>IFERROR(INDEX('Job Cost COA'!E:F,MATCH(A228,'Job Cost COA'!E:E,0),2),IF(F228&lt;&gt;0,"Assign Code","Missing Code"))</f>
        <v>Inv-Admin costs-salaries and wages</v>
      </c>
      <c r="N228" s="1459">
        <v>0</v>
      </c>
    </row>
    <row r="229" spans="1:14">
      <c r="A229" s="1531">
        <v>15285200</v>
      </c>
      <c r="B229" s="560" t="str">
        <f>T("Contract Admin (TBD); ")&amp;N229*100&amp;T("%")</f>
        <v>Contract Admin (TBD); 25%</v>
      </c>
      <c r="C229" s="560"/>
      <c r="D229" s="1090"/>
      <c r="E229" s="1091">
        <f>(general!$C$28/12)</f>
        <v>3.6666666666666665</v>
      </c>
      <c r="F229" s="661">
        <f t="shared" si="66"/>
        <v>0</v>
      </c>
      <c r="G229" s="562">
        <f t="shared" si="67"/>
        <v>0</v>
      </c>
      <c r="H229" s="563">
        <f t="shared" si="68"/>
        <v>0</v>
      </c>
      <c r="I229" s="564">
        <f t="shared" si="69"/>
        <v>0</v>
      </c>
      <c r="J229" s="564">
        <f t="shared" si="70"/>
        <v>0</v>
      </c>
      <c r="K229" s="1026"/>
      <c r="L229" s="1377" t="str">
        <f>IFERROR(INDEX('Job Cost COA'!E:F,MATCH(A229,'Job Cost COA'!E:E,0),2),IF(F229&lt;&gt;0,"Assign Code","Missing Code"))</f>
        <v>Inv-Admin costs-salaries and wages</v>
      </c>
      <c r="N229" s="1459">
        <v>0.25</v>
      </c>
    </row>
    <row r="230" spans="1:14">
      <c r="A230" s="1531">
        <f>IFERROR(VLOOKUP(B230,'Job Cost COA'!F:I,4,FALSE),0)</f>
        <v>0</v>
      </c>
      <c r="B230" s="1030" t="s">
        <v>5140</v>
      </c>
      <c r="C230" s="560"/>
      <c r="D230" s="1090"/>
      <c r="E230" s="1091">
        <v>2</v>
      </c>
      <c r="F230" s="661">
        <f t="shared" si="66"/>
        <v>0</v>
      </c>
      <c r="G230" s="562">
        <f t="shared" si="67"/>
        <v>0</v>
      </c>
      <c r="H230" s="563">
        <f t="shared" si="68"/>
        <v>0</v>
      </c>
      <c r="I230" s="564">
        <f t="shared" si="69"/>
        <v>0</v>
      </c>
      <c r="J230" s="564">
        <f t="shared" si="70"/>
        <v>0</v>
      </c>
      <c r="K230" s="1026"/>
      <c r="L230" s="1377" t="str">
        <f>IFERROR(INDEX('Job Cost COA'!E:F,MATCH(A230,'Job Cost COA'!E:E,0),2),IF(F230&lt;&gt;0,"Assign Code","Missing Code"))</f>
        <v>Missing Code</v>
      </c>
      <c r="N230" s="1459"/>
    </row>
    <row r="231" spans="1:14">
      <c r="A231" s="1531">
        <f>IFERROR(VLOOKUP(B231,'Job Cost COA'!F:I,4,FALSE),0)</f>
        <v>15285226</v>
      </c>
      <c r="B231" s="1030" t="s">
        <v>3785</v>
      </c>
      <c r="C231" s="560"/>
      <c r="D231" s="1090"/>
      <c r="E231" s="1091">
        <v>1</v>
      </c>
      <c r="F231" s="661">
        <f t="shared" ref="F231" si="71">D231*E231</f>
        <v>0</v>
      </c>
      <c r="G231" s="562">
        <f t="shared" si="67"/>
        <v>0</v>
      </c>
      <c r="H231" s="563">
        <f t="shared" si="68"/>
        <v>0</v>
      </c>
      <c r="I231" s="564">
        <f t="shared" si="69"/>
        <v>0</v>
      </c>
      <c r="J231" s="564">
        <f t="shared" si="70"/>
        <v>0</v>
      </c>
      <c r="K231" s="1026"/>
      <c r="L231" s="1377" t="str">
        <f>IFERROR(INDEX('Job Cost COA'!E:F,MATCH(A231,'Job Cost COA'!E:E,0),2),IF(F231&lt;&gt;0,"Assign Code","Missing Code"))</f>
        <v>Inv-Admin costs-sponsorships</v>
      </c>
    </row>
    <row r="232" spans="1:14">
      <c r="A232" s="1531">
        <f>IFERROR(VLOOKUP(B232,'Job Cost COA'!F:I,4,FALSE),0)</f>
        <v>0</v>
      </c>
      <c r="B232" s="1030" t="s">
        <v>5006</v>
      </c>
      <c r="C232" s="560"/>
      <c r="D232" s="1090"/>
      <c r="E232" s="1091">
        <v>0</v>
      </c>
      <c r="F232" s="661">
        <f>D232*E232</f>
        <v>0</v>
      </c>
      <c r="G232" s="562">
        <f t="shared" si="67"/>
        <v>0</v>
      </c>
      <c r="H232" s="563">
        <f t="shared" si="68"/>
        <v>0</v>
      </c>
      <c r="I232" s="564">
        <f t="shared" si="69"/>
        <v>0</v>
      </c>
      <c r="J232" s="564">
        <f t="shared" si="70"/>
        <v>0</v>
      </c>
      <c r="K232" s="1026"/>
      <c r="L232" s="1377" t="str">
        <f>IFERROR(INDEX('Job Cost COA'!E:F,MATCH(A232,'Job Cost COA'!E:E,0),2),IF(F232&lt;&gt;0,"Assign Code","Missing Code"))</f>
        <v>Missing Code</v>
      </c>
    </row>
    <row r="233" spans="1:14">
      <c r="A233" s="1531">
        <f>IFERROR(VLOOKUP(B233,'Job Cost COA'!F:I,4,FALSE),0)</f>
        <v>0</v>
      </c>
      <c r="B233" s="1030" t="s">
        <v>5007</v>
      </c>
      <c r="C233" s="560"/>
      <c r="D233" s="1090"/>
      <c r="E233" s="1091">
        <v>0</v>
      </c>
      <c r="F233" s="661">
        <f>D233*E233</f>
        <v>0</v>
      </c>
      <c r="G233" s="562">
        <f t="shared" si="67"/>
        <v>0</v>
      </c>
      <c r="H233" s="563">
        <f t="shared" si="68"/>
        <v>0</v>
      </c>
      <c r="I233" s="564">
        <f t="shared" si="69"/>
        <v>0</v>
      </c>
      <c r="J233" s="564">
        <f t="shared" si="70"/>
        <v>0</v>
      </c>
      <c r="K233" s="1026"/>
      <c r="L233" s="1377" t="str">
        <f>IFERROR(INDEX('Job Cost COA'!E:F,MATCH(A233,'Job Cost COA'!E:E,0),2),IF(F233&lt;&gt;0,"Assign Code","Missing Code"))</f>
        <v>Missing Code</v>
      </c>
    </row>
    <row r="234" spans="1:14">
      <c r="A234" s="1531">
        <f>IFERROR(VLOOKUP(B234,'Job Cost COA'!F:I,4,FALSE),0)</f>
        <v>0</v>
      </c>
      <c r="B234" s="1030" t="s">
        <v>5007</v>
      </c>
      <c r="C234" s="560"/>
      <c r="D234" s="1090"/>
      <c r="E234" s="1091">
        <v>0</v>
      </c>
      <c r="F234" s="661">
        <f>D234*E234</f>
        <v>0</v>
      </c>
      <c r="G234" s="562">
        <f t="shared" si="67"/>
        <v>0</v>
      </c>
      <c r="H234" s="563">
        <f t="shared" si="68"/>
        <v>0</v>
      </c>
      <c r="I234" s="564">
        <f t="shared" si="69"/>
        <v>0</v>
      </c>
      <c r="J234" s="564">
        <f t="shared" si="70"/>
        <v>0</v>
      </c>
      <c r="K234" s="1026"/>
      <c r="L234" s="1377" t="str">
        <f>IFERROR(INDEX('Job Cost COA'!E:F,MATCH(A234,'Job Cost COA'!E:E,0),2),IF(F234&lt;&gt;0,"Assign Code","Missing Code"))</f>
        <v>Missing Code</v>
      </c>
    </row>
    <row r="235" spans="1:14">
      <c r="B235" s="570" t="s">
        <v>296</v>
      </c>
      <c r="C235" s="560"/>
      <c r="D235" s="1090"/>
      <c r="E235" s="1091">
        <v>0</v>
      </c>
      <c r="F235" s="661">
        <f>D235*E235</f>
        <v>0</v>
      </c>
      <c r="G235" s="562">
        <f t="shared" si="67"/>
        <v>0</v>
      </c>
      <c r="H235" s="563">
        <f t="shared" si="68"/>
        <v>0</v>
      </c>
      <c r="I235" s="564">
        <f t="shared" si="69"/>
        <v>0</v>
      </c>
      <c r="J235" s="564">
        <f t="shared" si="70"/>
        <v>0</v>
      </c>
      <c r="K235" s="1026"/>
      <c r="L235" s="1377" t="str">
        <f>IFERROR(INDEX('Job Cost COA'!E:F,MATCH(A235,'Job Cost COA'!E:E,0),2),IF(F235&lt;&gt;0,"Assign Code","Missing Code"))</f>
        <v>Missing Code</v>
      </c>
    </row>
    <row r="236" spans="1:14">
      <c r="B236" s="570" t="s">
        <v>296</v>
      </c>
      <c r="C236" s="560"/>
      <c r="D236" s="1090"/>
      <c r="E236" s="1091">
        <v>0</v>
      </c>
      <c r="F236" s="661">
        <f>D236*E236</f>
        <v>0</v>
      </c>
      <c r="G236" s="562">
        <f t="shared" si="67"/>
        <v>0</v>
      </c>
      <c r="H236" s="563">
        <f t="shared" si="68"/>
        <v>0</v>
      </c>
      <c r="I236" s="564">
        <f t="shared" si="69"/>
        <v>0</v>
      </c>
      <c r="J236" s="564">
        <f t="shared" si="70"/>
        <v>0</v>
      </c>
      <c r="K236" s="1026"/>
      <c r="L236" s="1378" t="str">
        <f>IFERROR(INDEX('Job Cost COA'!E:F,MATCH(A236,'Job Cost COA'!E:E,0),2),IF(F236&lt;&gt;0,"Assign Code","Missing Code"))</f>
        <v>Missing Code</v>
      </c>
    </row>
    <row r="237" spans="1:14">
      <c r="B237" s="154" t="s">
        <v>310</v>
      </c>
      <c r="D237" s="677"/>
      <c r="E237" s="678"/>
      <c r="F237" s="594">
        <f>SUM(F219:F236)</f>
        <v>0</v>
      </c>
      <c r="G237" s="580">
        <f t="shared" si="67"/>
        <v>0</v>
      </c>
      <c r="H237" s="581">
        <f t="shared" si="68"/>
        <v>0</v>
      </c>
      <c r="I237" s="210">
        <f t="shared" si="69"/>
        <v>0</v>
      </c>
      <c r="J237" s="210">
        <f t="shared" si="70"/>
        <v>0</v>
      </c>
      <c r="K237" s="210"/>
      <c r="L237" s="1377"/>
    </row>
    <row r="238" spans="1:14">
      <c r="A238" s="1531">
        <v>15285204</v>
      </c>
      <c r="B238" s="666" t="s">
        <v>102</v>
      </c>
      <c r="C238" s="666"/>
      <c r="D238" s="679"/>
      <c r="E238" s="1092">
        <v>0.18</v>
      </c>
      <c r="F238" s="680">
        <f>+E238*F237</f>
        <v>0</v>
      </c>
      <c r="G238" s="669">
        <f t="shared" si="67"/>
        <v>0</v>
      </c>
      <c r="H238" s="670">
        <f t="shared" si="68"/>
        <v>0</v>
      </c>
      <c r="I238" s="671">
        <f t="shared" si="69"/>
        <v>0</v>
      </c>
      <c r="J238" s="671">
        <f t="shared" si="70"/>
        <v>0</v>
      </c>
      <c r="K238" s="1026"/>
      <c r="L238" s="1376" t="str">
        <f>IFERROR(INDEX('Job Cost COA'!E:F,MATCH(A238,'Job Cost COA'!E:E,0),2),IF(F238&lt;&gt;0,"Assign Code","Missing Code"))</f>
        <v>Inv-Admin costs-payroll taxes</v>
      </c>
    </row>
    <row r="239" spans="1:14">
      <c r="A239" s="1531">
        <v>15285900</v>
      </c>
      <c r="B239" s="560" t="s">
        <v>27</v>
      </c>
      <c r="C239" s="560"/>
      <c r="D239" s="646"/>
      <c r="E239" s="1093">
        <v>0.1</v>
      </c>
      <c r="F239" s="681">
        <f>+E239*F237</f>
        <v>0</v>
      </c>
      <c r="G239" s="562">
        <f t="shared" si="67"/>
        <v>0</v>
      </c>
      <c r="H239" s="563">
        <f t="shared" si="68"/>
        <v>0</v>
      </c>
      <c r="I239" s="564">
        <f t="shared" si="69"/>
        <v>0</v>
      </c>
      <c r="J239" s="564">
        <f t="shared" si="70"/>
        <v>0</v>
      </c>
      <c r="K239" s="1026"/>
      <c r="L239" s="1377" t="str">
        <f>IFERROR(INDEX('Job Cost COA'!E:F,MATCH(A239,'Job Cost COA'!E:E,0),2),IF(F239&lt;&gt;0,"Assign Code","Missing Code"))</f>
        <v>Inv-Admin costs-contingency</v>
      </c>
    </row>
    <row r="240" spans="1:14">
      <c r="A240" s="1531">
        <v>15285202</v>
      </c>
      <c r="B240" s="672" t="s">
        <v>9</v>
      </c>
      <c r="C240" s="672"/>
      <c r="D240" s="1508">
        <v>0</v>
      </c>
      <c r="E240" s="1073" t="s">
        <v>21</v>
      </c>
      <c r="F240" s="1076">
        <v>0</v>
      </c>
      <c r="G240" s="605">
        <f t="shared" si="67"/>
        <v>0</v>
      </c>
      <c r="H240" s="606">
        <f>$F240 / ResSF</f>
        <v>0</v>
      </c>
      <c r="I240" s="607">
        <f>$F240 / DevBud1</f>
        <v>0</v>
      </c>
      <c r="J240" s="607">
        <f>$F240 / TotalSales</f>
        <v>0</v>
      </c>
      <c r="K240" s="1026"/>
      <c r="L240" s="1378" t="str">
        <f>IFERROR(INDEX('Job Cost COA'!E:F,MATCH(A240,'Job Cost COA'!E:E,0),2),IF(F240&lt;&gt;0,"Assign Code","Missing Code"))</f>
        <v>Inv-Admin costs-incentives</v>
      </c>
    </row>
    <row r="241" spans="1:12">
      <c r="B241" s="154" t="s">
        <v>224</v>
      </c>
      <c r="C241" s="151"/>
      <c r="D241" s="593"/>
      <c r="E241" s="153"/>
      <c r="F241" s="594">
        <f>SUM(F237:F240)</f>
        <v>0</v>
      </c>
      <c r="G241" s="580">
        <f t="shared" si="67"/>
        <v>0</v>
      </c>
      <c r="H241" s="581">
        <f t="shared" si="68"/>
        <v>0</v>
      </c>
      <c r="I241" s="210">
        <f t="shared" si="69"/>
        <v>0</v>
      </c>
      <c r="J241" s="210">
        <f t="shared" si="70"/>
        <v>0</v>
      </c>
      <c r="K241" s="210"/>
      <c r="L241" s="1379"/>
    </row>
    <row r="242" spans="1:12">
      <c r="B242" s="582"/>
      <c r="C242" s="583"/>
      <c r="D242" s="154"/>
      <c r="E242" s="682"/>
      <c r="F242" s="583"/>
      <c r="L242" s="1379"/>
    </row>
    <row r="243" spans="1:12">
      <c r="B243" s="154" t="s">
        <v>218</v>
      </c>
      <c r="C243" s="551"/>
      <c r="D243" s="552"/>
      <c r="E243" s="152" t="s">
        <v>134</v>
      </c>
      <c r="F243" s="553" t="s">
        <v>21</v>
      </c>
      <c r="G243" s="152" t="s">
        <v>182</v>
      </c>
      <c r="H243" s="152" t="s">
        <v>292</v>
      </c>
      <c r="I243" s="152" t="s">
        <v>262</v>
      </c>
      <c r="J243" s="152" t="s">
        <v>293</v>
      </c>
      <c r="K243" s="152"/>
      <c r="L243" s="1379"/>
    </row>
    <row r="244" spans="1:12">
      <c r="A244" s="1531">
        <v>56022900</v>
      </c>
      <c r="B244" s="634" t="s">
        <v>512</v>
      </c>
      <c r="C244" s="683"/>
      <c r="D244" s="1094"/>
      <c r="E244" s="1079" t="s">
        <v>5148</v>
      </c>
      <c r="F244" s="1526">
        <f xml:space="preserve"> $J244 * TotalSales</f>
        <v>0</v>
      </c>
      <c r="G244" s="1527">
        <f>$F244 / ResUnits</f>
        <v>0</v>
      </c>
      <c r="H244" s="1528">
        <f>$F244 / ResSF</f>
        <v>0</v>
      </c>
      <c r="I244" s="1529">
        <f>$F244 / DevBud1</f>
        <v>0</v>
      </c>
      <c r="J244" s="1530"/>
      <c r="K244" s="1026"/>
      <c r="L244" s="1376" t="str">
        <f>IFERROR(INDEX('Job Cost COA'!E:F,MATCH(A244,'Job Cost COA'!E:E,0),2),IF(F244&lt;&gt;0,"Assign Code","Missing Code"))</f>
        <v>Marketing-other</v>
      </c>
    </row>
    <row r="245" spans="1:12">
      <c r="A245" s="1531">
        <v>56022130</v>
      </c>
      <c r="B245" s="560" t="s">
        <v>112</v>
      </c>
      <c r="C245" s="684"/>
      <c r="D245" s="685"/>
      <c r="E245" s="1064" t="s">
        <v>21</v>
      </c>
      <c r="F245" s="1065">
        <v>0</v>
      </c>
      <c r="G245" s="562">
        <f t="shared" ref="G245:G272" si="72">$F245/ResUnits</f>
        <v>0</v>
      </c>
      <c r="H245" s="563">
        <f t="shared" ref="H245:H266" si="73">$F245 / ResSF</f>
        <v>0</v>
      </c>
      <c r="I245" s="564">
        <f t="shared" ref="I245:I266" si="74">$F245 / DevBud1</f>
        <v>0</v>
      </c>
      <c r="J245" s="564">
        <f t="shared" ref="J245:J266" si="75">$F245 / TotalSales</f>
        <v>0</v>
      </c>
      <c r="K245" s="1026"/>
      <c r="L245" s="1377" t="str">
        <f>IFERROR(INDEX('Job Cost COA'!E:F,MATCH(A245,'Job Cost COA'!E:E,0),2),IF(F245&lt;&gt;0,"Assign Code","Missing Code"))</f>
        <v>Marketing-direct mail program</v>
      </c>
    </row>
    <row r="246" spans="1:12">
      <c r="A246" s="1531">
        <v>56022135</v>
      </c>
      <c r="B246" s="560" t="s">
        <v>113</v>
      </c>
      <c r="C246" s="684"/>
      <c r="D246" s="685"/>
      <c r="E246" s="1064" t="s">
        <v>5148</v>
      </c>
      <c r="F246" s="1370">
        <f xml:space="preserve"> $J246 * TotalSales</f>
        <v>61629.529368637734</v>
      </c>
      <c r="G246" s="1031">
        <f>$F246 / ResUnits</f>
        <v>6847.725485404193</v>
      </c>
      <c r="H246" s="1032">
        <f>$F246 / ResSF</f>
        <v>2.4814595493895046</v>
      </c>
      <c r="I246" s="1033">
        <f>$F246 / DevBud1</f>
        <v>2.8614046930297101E-3</v>
      </c>
      <c r="J246" s="1544">
        <v>2.2558723176268223E-3</v>
      </c>
      <c r="K246" s="1026"/>
      <c r="L246" s="1377" t="str">
        <f>IFERROR(INDEX('Job Cost COA'!E:F,MATCH(A246,'Job Cost COA'!E:E,0),2),IF(F246&lt;&gt;0,"Assign Code","Missing Code"))</f>
        <v>Marketing-events</v>
      </c>
    </row>
    <row r="247" spans="1:12">
      <c r="A247" s="1531">
        <v>56021120</v>
      </c>
      <c r="B247" s="1656">
        <v>10000</v>
      </c>
      <c r="C247" s="1656"/>
      <c r="D247" s="686"/>
      <c r="E247" s="1064" t="s">
        <v>5148</v>
      </c>
      <c r="F247" s="1370">
        <f xml:space="preserve"> $J247 * TotalSales</f>
        <v>61629.529368637734</v>
      </c>
      <c r="G247" s="1031">
        <f>$F247 / ResUnits</f>
        <v>6847.725485404193</v>
      </c>
      <c r="H247" s="1032">
        <f>$F247 / ResSF</f>
        <v>2.4814595493895046</v>
      </c>
      <c r="I247" s="1033">
        <f>$F247 / DevBud1</f>
        <v>2.8614046930297101E-3</v>
      </c>
      <c r="J247" s="1544">
        <v>2.2558723176268223E-3</v>
      </c>
      <c r="K247" s="1026"/>
      <c r="L247" s="1377" t="str">
        <f>IFERROR(INDEX('Job Cost COA'!E:F,MATCH(A247,'Job Cost COA'!E:E,0),2),IF(F247&lt;&gt;0,"Assign Code","Missing Code"))</f>
        <v>Advertising-retainer/fees</v>
      </c>
    </row>
    <row r="248" spans="1:12">
      <c r="A248" s="1531">
        <v>56022100</v>
      </c>
      <c r="B248" s="560" t="s">
        <v>114</v>
      </c>
      <c r="C248" s="684"/>
      <c r="D248" s="685"/>
      <c r="E248" s="1064" t="s">
        <v>5148</v>
      </c>
      <c r="F248" s="1370">
        <f xml:space="preserve"> $J248 * TotalSales</f>
        <v>30814.764684318867</v>
      </c>
      <c r="G248" s="1031">
        <f>$F248 / ResUnits</f>
        <v>3423.8627427020965</v>
      </c>
      <c r="H248" s="1032">
        <f>$F248 / ResSF</f>
        <v>1.2407297746947523</v>
      </c>
      <c r="I248" s="1033">
        <f>$F248 / DevBud1</f>
        <v>1.4307023465148551E-3</v>
      </c>
      <c r="J248" s="1544">
        <v>1.1279361588134112E-3</v>
      </c>
      <c r="K248" s="1026"/>
      <c r="L248" s="1377" t="str">
        <f>IFERROR(INDEX('Job Cost COA'!E:F,MATCH(A248,'Job Cost COA'!E:E,0),2),IF(F248&lt;&gt;0,"Assign Code","Missing Code"))</f>
        <v>Marketing-brochures</v>
      </c>
    </row>
    <row r="249" spans="1:12">
      <c r="A249" s="1531">
        <v>56021105</v>
      </c>
      <c r="B249" s="560" t="s">
        <v>404</v>
      </c>
      <c r="C249" s="684"/>
      <c r="D249" s="686"/>
      <c r="E249" s="1064" t="s">
        <v>21</v>
      </c>
      <c r="F249" s="1065">
        <v>0</v>
      </c>
      <c r="G249" s="562">
        <f t="shared" si="72"/>
        <v>0</v>
      </c>
      <c r="H249" s="563">
        <f t="shared" si="73"/>
        <v>0</v>
      </c>
      <c r="I249" s="564">
        <f t="shared" si="74"/>
        <v>0</v>
      </c>
      <c r="J249" s="564">
        <f t="shared" si="75"/>
        <v>0</v>
      </c>
      <c r="K249" s="1026"/>
      <c r="L249" s="1377" t="str">
        <f>IFERROR(INDEX('Job Cost COA'!E:F,MATCH(A249,'Job Cost COA'!E:E,0),2),IF(F249&lt;&gt;0,"Assign Code","Missing Code"))</f>
        <v>Advertising-print/online ads</v>
      </c>
    </row>
    <row r="250" spans="1:12">
      <c r="A250" s="1531">
        <v>56022155</v>
      </c>
      <c r="B250" s="560" t="s">
        <v>115</v>
      </c>
      <c r="C250" s="684"/>
      <c r="D250" s="685"/>
      <c r="E250" s="1064" t="s">
        <v>5148</v>
      </c>
      <c r="F250" s="1370">
        <f xml:space="preserve"> $J250 * TotalSales</f>
        <v>0</v>
      </c>
      <c r="G250" s="1031">
        <f>$F250 / ResUnits</f>
        <v>0</v>
      </c>
      <c r="H250" s="1032">
        <f>$F250 / ResSF</f>
        <v>0</v>
      </c>
      <c r="I250" s="1033">
        <f>$F250 / DevBud1</f>
        <v>0</v>
      </c>
      <c r="J250" s="1544">
        <v>0</v>
      </c>
      <c r="K250" s="1026"/>
      <c r="L250" s="1377" t="str">
        <f>IFERROR(INDEX('Job Cost COA'!E:F,MATCH(A250,'Job Cost COA'!E:E,0),2),IF(F250&lt;&gt;0,"Assign Code","Missing Code"))</f>
        <v>Marketing-photography/artwork</v>
      </c>
    </row>
    <row r="251" spans="1:12">
      <c r="A251" s="1531">
        <v>56021105</v>
      </c>
      <c r="B251" s="560" t="s">
        <v>116</v>
      </c>
      <c r="C251" s="684"/>
      <c r="D251" s="685"/>
      <c r="E251" s="1064" t="s">
        <v>5148</v>
      </c>
      <c r="F251" s="1370">
        <f xml:space="preserve"> $J251 * TotalSales</f>
        <v>0</v>
      </c>
      <c r="G251" s="1031">
        <f>$F251 / ResUnits</f>
        <v>0</v>
      </c>
      <c r="H251" s="1032">
        <f>$F251 / ResSF</f>
        <v>0</v>
      </c>
      <c r="I251" s="1033">
        <f>$F251 / DevBud1</f>
        <v>0</v>
      </c>
      <c r="J251" s="1544">
        <v>0</v>
      </c>
      <c r="K251" s="1026"/>
      <c r="L251" s="1377" t="str">
        <f>IFERROR(INDEX('Job Cost COA'!E:F,MATCH(A251,'Job Cost COA'!E:E,0),2),IF(F251&lt;&gt;0,"Assign Code","Missing Code"))</f>
        <v>Advertising-print/online ads</v>
      </c>
    </row>
    <row r="252" spans="1:12">
      <c r="A252" s="1531">
        <v>56022205</v>
      </c>
      <c r="B252" s="687" t="s">
        <v>12</v>
      </c>
      <c r="C252" s="684"/>
      <c r="D252" s="685"/>
      <c r="E252" s="1064" t="s">
        <v>21</v>
      </c>
      <c r="F252" s="1065"/>
      <c r="G252" s="562">
        <f t="shared" si="72"/>
        <v>0</v>
      </c>
      <c r="H252" s="563">
        <f t="shared" si="73"/>
        <v>0</v>
      </c>
      <c r="I252" s="564">
        <f t="shared" si="74"/>
        <v>0</v>
      </c>
      <c r="J252" s="564">
        <f t="shared" si="75"/>
        <v>0</v>
      </c>
      <c r="K252" s="1026"/>
      <c r="L252" s="1377" t="str">
        <f>IFERROR(INDEX('Job Cost COA'!E:F,MATCH(A252,'Job Cost COA'!E:E,0),2),IF(F252&lt;&gt;0,"Assign Code","Missing Code"))</f>
        <v>Marketing-website production</v>
      </c>
    </row>
    <row r="253" spans="1:12">
      <c r="A253" s="1531">
        <v>56022180</v>
      </c>
      <c r="B253" s="687" t="s">
        <v>1</v>
      </c>
      <c r="C253" s="684"/>
      <c r="D253" s="685"/>
      <c r="E253" s="1064" t="s">
        <v>21</v>
      </c>
      <c r="F253" s="1065"/>
      <c r="G253" s="562">
        <f t="shared" si="72"/>
        <v>0</v>
      </c>
      <c r="H253" s="563">
        <f t="shared" si="73"/>
        <v>0</v>
      </c>
      <c r="I253" s="564">
        <f t="shared" si="74"/>
        <v>0</v>
      </c>
      <c r="J253" s="564">
        <f t="shared" si="75"/>
        <v>0</v>
      </c>
      <c r="K253" s="1026"/>
      <c r="L253" s="1377" t="str">
        <f>IFERROR(INDEX('Job Cost COA'!E:F,MATCH(A253,'Job Cost COA'!E:E,0),2),IF(F253&lt;&gt;0,"Assign Code","Missing Code"))</f>
        <v>Marketing-social media/seo ppc</v>
      </c>
    </row>
    <row r="254" spans="1:12">
      <c r="A254" s="1531">
        <v>56022185</v>
      </c>
      <c r="B254" s="687" t="s">
        <v>13</v>
      </c>
      <c r="C254" s="684"/>
      <c r="D254" s="685"/>
      <c r="E254" s="1064" t="s">
        <v>21</v>
      </c>
      <c r="F254" s="1065"/>
      <c r="G254" s="562">
        <f t="shared" si="72"/>
        <v>0</v>
      </c>
      <c r="H254" s="563">
        <f t="shared" si="73"/>
        <v>0</v>
      </c>
      <c r="I254" s="564">
        <f t="shared" si="74"/>
        <v>0</v>
      </c>
      <c r="J254" s="564">
        <f t="shared" si="75"/>
        <v>0</v>
      </c>
      <c r="K254" s="1026"/>
      <c r="L254" s="1377" t="str">
        <f>IFERROR(INDEX('Job Cost COA'!E:F,MATCH(A254,'Job Cost COA'!E:E,0),2),IF(F254&lt;&gt;0,"Assign Code","Missing Code"))</f>
        <v>Marketing-stationary package</v>
      </c>
    </row>
    <row r="255" spans="1:12">
      <c r="A255" s="1531">
        <v>15250238</v>
      </c>
      <c r="B255" s="687" t="s">
        <v>2</v>
      </c>
      <c r="C255" s="684"/>
      <c r="D255" s="685"/>
      <c r="E255" s="1064" t="s">
        <v>21</v>
      </c>
      <c r="F255" s="1065"/>
      <c r="G255" s="562">
        <f t="shared" si="72"/>
        <v>0</v>
      </c>
      <c r="H255" s="563">
        <f t="shared" si="73"/>
        <v>0</v>
      </c>
      <c r="I255" s="564">
        <f t="shared" si="74"/>
        <v>0</v>
      </c>
      <c r="J255" s="564">
        <f t="shared" si="75"/>
        <v>0</v>
      </c>
      <c r="K255" s="1026"/>
      <c r="L255" s="1377" t="str">
        <f>IFERROR(INDEX('Job Cost COA'!E:F,MATCH(A255,'Job Cost COA'!E:E,0),2),IF(F255&lt;&gt;0,"Assign Code","Missing Code"))</f>
        <v>Inv-Consulting-prints plans reproduction</v>
      </c>
    </row>
    <row r="256" spans="1:12">
      <c r="A256" s="1531">
        <v>56022175</v>
      </c>
      <c r="B256" s="560" t="s">
        <v>28</v>
      </c>
      <c r="C256" s="684"/>
      <c r="D256" s="685"/>
      <c r="E256" s="1064" t="s">
        <v>21</v>
      </c>
      <c r="F256" s="1065"/>
      <c r="G256" s="562">
        <f t="shared" si="72"/>
        <v>0</v>
      </c>
      <c r="H256" s="563">
        <f t="shared" si="73"/>
        <v>0</v>
      </c>
      <c r="I256" s="564">
        <f t="shared" si="74"/>
        <v>0</v>
      </c>
      <c r="J256" s="564">
        <f t="shared" si="75"/>
        <v>0</v>
      </c>
      <c r="K256" s="1026"/>
      <c r="L256" s="1377" t="str">
        <f>IFERROR(INDEX('Job Cost COA'!E:F,MATCH(A256,'Job Cost COA'!E:E,0),2),IF(F256&lt;&gt;0,"Assign Code","Missing Code"))</f>
        <v>Marketing-signage/flags/banner</v>
      </c>
    </row>
    <row r="257" spans="1:12">
      <c r="A257" s="1531">
        <v>56022195</v>
      </c>
      <c r="B257" s="560" t="s">
        <v>14</v>
      </c>
      <c r="C257" s="684"/>
      <c r="D257" s="685"/>
      <c r="E257" s="1064" t="s">
        <v>21</v>
      </c>
      <c r="F257" s="1065"/>
      <c r="G257" s="562">
        <f t="shared" si="72"/>
        <v>0</v>
      </c>
      <c r="H257" s="563">
        <f t="shared" si="73"/>
        <v>0</v>
      </c>
      <c r="I257" s="564">
        <f t="shared" si="74"/>
        <v>0</v>
      </c>
      <c r="J257" s="564">
        <f t="shared" si="75"/>
        <v>0</v>
      </c>
      <c r="K257" s="1026"/>
      <c r="L257" s="1377" t="str">
        <f>IFERROR(INDEX('Job Cost COA'!E:F,MATCH(A257,'Job Cost COA'!E:E,0),2),IF(F257&lt;&gt;0,"Assign Code","Missing Code"))</f>
        <v>Marketing-vid prod/animation</v>
      </c>
    </row>
    <row r="258" spans="1:12">
      <c r="A258" s="1531">
        <v>56022195</v>
      </c>
      <c r="B258" s="560" t="s">
        <v>117</v>
      </c>
      <c r="C258" s="684"/>
      <c r="D258" s="685"/>
      <c r="E258" s="1064" t="s">
        <v>21</v>
      </c>
      <c r="F258" s="1065"/>
      <c r="G258" s="562">
        <f t="shared" si="72"/>
        <v>0</v>
      </c>
      <c r="H258" s="563">
        <f t="shared" si="73"/>
        <v>0</v>
      </c>
      <c r="I258" s="564">
        <f t="shared" si="74"/>
        <v>0</v>
      </c>
      <c r="J258" s="564">
        <f t="shared" si="75"/>
        <v>0</v>
      </c>
      <c r="K258" s="1026"/>
      <c r="L258" s="1377" t="str">
        <f>IFERROR(INDEX('Job Cost COA'!E:F,MATCH(A258,'Job Cost COA'!E:E,0),2),IF(F258&lt;&gt;0,"Assign Code","Missing Code"))</f>
        <v>Marketing-vid prod/animation</v>
      </c>
    </row>
    <row r="259" spans="1:12">
      <c r="A259" s="1531">
        <v>56022170</v>
      </c>
      <c r="B259" s="560" t="s">
        <v>118</v>
      </c>
      <c r="C259" s="684"/>
      <c r="D259" s="685"/>
      <c r="E259" s="1064" t="s">
        <v>21</v>
      </c>
      <c r="F259" s="1065"/>
      <c r="G259" s="562">
        <f t="shared" si="72"/>
        <v>0</v>
      </c>
      <c r="H259" s="563">
        <f t="shared" si="73"/>
        <v>0</v>
      </c>
      <c r="I259" s="564">
        <f t="shared" si="74"/>
        <v>0</v>
      </c>
      <c r="J259" s="564">
        <f t="shared" si="75"/>
        <v>0</v>
      </c>
      <c r="K259" s="1026"/>
      <c r="L259" s="1377" t="str">
        <f>IFERROR(INDEX('Job Cost COA'!E:F,MATCH(A259,'Job Cost COA'!E:E,0),2),IF(F259&lt;&gt;0,"Assign Code","Missing Code"))</f>
        <v>Marketing-scale model</v>
      </c>
    </row>
    <row r="260" spans="1:12">
      <c r="A260" s="1531">
        <v>15250238</v>
      </c>
      <c r="B260" s="560" t="s">
        <v>119</v>
      </c>
      <c r="C260" s="684"/>
      <c r="D260" s="685"/>
      <c r="E260" s="1064" t="s">
        <v>21</v>
      </c>
      <c r="F260" s="1065"/>
      <c r="G260" s="562">
        <f t="shared" si="72"/>
        <v>0</v>
      </c>
      <c r="H260" s="563">
        <f t="shared" si="73"/>
        <v>0</v>
      </c>
      <c r="I260" s="564">
        <f t="shared" si="74"/>
        <v>0</v>
      </c>
      <c r="J260" s="564">
        <f t="shared" si="75"/>
        <v>0</v>
      </c>
      <c r="K260" s="1026"/>
      <c r="L260" s="1377" t="str">
        <f>IFERROR(INDEX('Job Cost COA'!E:F,MATCH(A260,'Job Cost COA'!E:E,0),2),IF(F260&lt;&gt;0,"Assign Code","Missing Code"))</f>
        <v>Inv-Consulting-prints plans reproduction</v>
      </c>
    </row>
    <row r="261" spans="1:12">
      <c r="A261" s="1531">
        <v>56022150</v>
      </c>
      <c r="B261" s="560" t="s">
        <v>120</v>
      </c>
      <c r="C261" s="688"/>
      <c r="D261" s="685"/>
      <c r="E261" s="1064" t="s">
        <v>21</v>
      </c>
      <c r="F261" s="1065"/>
      <c r="G261" s="562">
        <f t="shared" si="72"/>
        <v>0</v>
      </c>
      <c r="H261" s="563">
        <f t="shared" si="73"/>
        <v>0</v>
      </c>
      <c r="I261" s="564">
        <f t="shared" si="74"/>
        <v>0</v>
      </c>
      <c r="J261" s="564">
        <f t="shared" si="75"/>
        <v>0</v>
      </c>
      <c r="K261" s="1026"/>
      <c r="L261" s="1377" t="str">
        <f>IFERROR(INDEX('Job Cost COA'!E:F,MATCH(A261,'Job Cost COA'!E:E,0),2),IF(F261&lt;&gt;0,"Assign Code","Missing Code"))</f>
        <v>Marketing-owners gifts</v>
      </c>
    </row>
    <row r="262" spans="1:12">
      <c r="A262" s="1531">
        <v>56022100</v>
      </c>
      <c r="B262" s="560" t="s">
        <v>15</v>
      </c>
      <c r="C262" s="684"/>
      <c r="D262" s="685"/>
      <c r="E262" s="1064" t="s">
        <v>21</v>
      </c>
      <c r="F262" s="1065"/>
      <c r="G262" s="562">
        <f t="shared" si="72"/>
        <v>0</v>
      </c>
      <c r="H262" s="563">
        <f t="shared" si="73"/>
        <v>0</v>
      </c>
      <c r="I262" s="564">
        <f t="shared" si="74"/>
        <v>0</v>
      </c>
      <c r="J262" s="564">
        <f t="shared" si="75"/>
        <v>0</v>
      </c>
      <c r="K262" s="1026"/>
      <c r="L262" s="1377" t="str">
        <f>IFERROR(INDEX('Job Cost COA'!E:F,MATCH(A262,'Job Cost COA'!E:E,0),2),IF(F262&lt;&gt;0,"Assign Code","Missing Code"))</f>
        <v>Marketing-brochures</v>
      </c>
    </row>
    <row r="263" spans="1:12">
      <c r="A263" s="1531">
        <v>56022165</v>
      </c>
      <c r="B263" s="1657" t="s">
        <v>422</v>
      </c>
      <c r="C263" s="1657"/>
      <c r="D263" s="686"/>
      <c r="E263" s="1064" t="s">
        <v>21</v>
      </c>
      <c r="F263" s="1065"/>
      <c r="G263" s="562">
        <f t="shared" si="72"/>
        <v>0</v>
      </c>
      <c r="H263" s="563">
        <f t="shared" si="73"/>
        <v>0</v>
      </c>
      <c r="I263" s="564">
        <f t="shared" si="74"/>
        <v>0</v>
      </c>
      <c r="J263" s="564">
        <f t="shared" si="75"/>
        <v>0</v>
      </c>
      <c r="K263" s="1026"/>
      <c r="L263" s="1377" t="str">
        <f>IFERROR(INDEX('Job Cost COA'!E:F,MATCH(A263,'Job Cost COA'!E:E,0),2),IF(F263&lt;&gt;0,"Assign Code","Missing Code"))</f>
        <v>Marketing-public relations fee</v>
      </c>
    </row>
    <row r="264" spans="1:12">
      <c r="A264" s="1531">
        <v>56022135</v>
      </c>
      <c r="B264" s="560" t="s">
        <v>16</v>
      </c>
      <c r="C264" s="684"/>
      <c r="D264" s="685"/>
      <c r="E264" s="1064" t="s">
        <v>21</v>
      </c>
      <c r="F264" s="1065"/>
      <c r="G264" s="562">
        <f t="shared" si="72"/>
        <v>0</v>
      </c>
      <c r="H264" s="563">
        <f t="shared" si="73"/>
        <v>0</v>
      </c>
      <c r="I264" s="564">
        <f t="shared" si="74"/>
        <v>0</v>
      </c>
      <c r="J264" s="564">
        <f t="shared" si="75"/>
        <v>0</v>
      </c>
      <c r="K264" s="1026"/>
      <c r="L264" s="1377" t="str">
        <f>IFERROR(INDEX('Job Cost COA'!E:F,MATCH(A264,'Job Cost COA'!E:E,0),2),IF(F264&lt;&gt;0,"Assign Code","Missing Code"))</f>
        <v>Marketing-events</v>
      </c>
    </row>
    <row r="265" spans="1:12">
      <c r="A265" s="1531">
        <v>56022135</v>
      </c>
      <c r="B265" s="560" t="s">
        <v>121</v>
      </c>
      <c r="C265" s="684"/>
      <c r="D265" s="685"/>
      <c r="E265" s="1064" t="s">
        <v>21</v>
      </c>
      <c r="F265" s="1065"/>
      <c r="G265" s="562">
        <f t="shared" si="72"/>
        <v>0</v>
      </c>
      <c r="H265" s="563">
        <f t="shared" si="73"/>
        <v>0</v>
      </c>
      <c r="I265" s="564">
        <f t="shared" si="74"/>
        <v>0</v>
      </c>
      <c r="J265" s="564">
        <f t="shared" si="75"/>
        <v>0</v>
      </c>
      <c r="K265" s="1026"/>
      <c r="L265" s="1377" t="str">
        <f>IFERROR(INDEX('Job Cost COA'!E:F,MATCH(A265,'Job Cost COA'!E:E,0),2),IF(F265&lt;&gt;0,"Assign Code","Missing Code"))</f>
        <v>Marketing-events</v>
      </c>
    </row>
    <row r="266" spans="1:12">
      <c r="A266" s="1531">
        <v>56022990</v>
      </c>
      <c r="B266" s="560" t="s">
        <v>122</v>
      </c>
      <c r="C266" s="684"/>
      <c r="D266" s="685"/>
      <c r="E266" s="1064" t="s">
        <v>21</v>
      </c>
      <c r="F266" s="1065">
        <v>0</v>
      </c>
      <c r="G266" s="562">
        <f t="shared" si="72"/>
        <v>0</v>
      </c>
      <c r="H266" s="563">
        <f t="shared" si="73"/>
        <v>0</v>
      </c>
      <c r="I266" s="564">
        <f t="shared" si="74"/>
        <v>0</v>
      </c>
      <c r="J266" s="564">
        <f t="shared" si="75"/>
        <v>0</v>
      </c>
      <c r="K266" s="1026"/>
      <c r="L266" s="1377" t="str">
        <f>IFERROR(INDEX('Job Cost COA'!E:F,MATCH(A266,'Job Cost COA'!E:E,0),2),IF(F266&lt;&gt;0,"Assign Code","Missing Code"))</f>
        <v>Marketing-contingency</v>
      </c>
    </row>
    <row r="267" spans="1:12">
      <c r="A267" s="1531">
        <v>15295200</v>
      </c>
      <c r="B267" s="571" t="s">
        <v>513</v>
      </c>
      <c r="C267" s="689"/>
      <c r="D267" s="1086">
        <v>0</v>
      </c>
      <c r="E267" s="1064" t="s">
        <v>21</v>
      </c>
      <c r="F267" s="1065">
        <f>(D267*ResSales)</f>
        <v>0</v>
      </c>
      <c r="G267" s="562">
        <f t="shared" si="72"/>
        <v>0</v>
      </c>
      <c r="H267" s="563">
        <f>$F267 / ResSF</f>
        <v>0</v>
      </c>
      <c r="I267" s="564">
        <f>$F267 / DevBud1</f>
        <v>0</v>
      </c>
      <c r="J267" s="564">
        <f>$F267 / TotalSales</f>
        <v>0</v>
      </c>
      <c r="K267" s="1026"/>
      <c r="L267" s="1377" t="str">
        <f>IFERROR(INDEX('Job Cost COA'!E:F,MATCH(A267,'Job Cost COA'!E:E,0),2),IF(F267&lt;&gt;0,"Assign Code","Missing Code"))</f>
        <v>Inv-Branding-fees</v>
      </c>
    </row>
    <row r="268" spans="1:12">
      <c r="A268" s="1531">
        <v>15295200</v>
      </c>
      <c r="B268" s="1030" t="s">
        <v>3671</v>
      </c>
      <c r="C268" s="689"/>
      <c r="D268" s="690"/>
      <c r="E268" s="1064" t="s">
        <v>21</v>
      </c>
      <c r="F268" s="1065">
        <v>0</v>
      </c>
      <c r="G268" s="562">
        <f t="shared" si="72"/>
        <v>0</v>
      </c>
      <c r="H268" s="563">
        <f>$F268 / ResSF</f>
        <v>0</v>
      </c>
      <c r="I268" s="564">
        <f>$F268 / DevBud1</f>
        <v>0</v>
      </c>
      <c r="J268" s="564">
        <f>$F268 / TotalSales</f>
        <v>0</v>
      </c>
      <c r="K268" s="1026"/>
      <c r="L268" s="1377" t="str">
        <f>IFERROR(INDEX('Job Cost COA'!E:F,MATCH(A268,'Job Cost COA'!E:E,0),2),IF(F268&lt;&gt;0,"Assign Code","Missing Code"))</f>
        <v>Inv-Branding-fees</v>
      </c>
    </row>
    <row r="269" spans="1:12">
      <c r="A269" s="1531">
        <v>15295200</v>
      </c>
      <c r="B269" s="570" t="s">
        <v>5123</v>
      </c>
      <c r="C269" s="689"/>
      <c r="D269" s="690"/>
      <c r="E269" s="1064" t="s">
        <v>21</v>
      </c>
      <c r="F269" s="1067">
        <v>0</v>
      </c>
      <c r="G269" s="567">
        <f t="shared" si="72"/>
        <v>0</v>
      </c>
      <c r="H269" s="568">
        <f>$F269/ResSF</f>
        <v>0</v>
      </c>
      <c r="I269" s="569">
        <f>$F269/DevBud2</f>
        <v>0</v>
      </c>
      <c r="J269" s="569">
        <f>$F269/TotalSales</f>
        <v>0</v>
      </c>
      <c r="K269" s="1027"/>
      <c r="L269" s="1377" t="str">
        <f>IFERROR(INDEX('Job Cost COA'!E:F,MATCH(A269,'Job Cost COA'!E:E,0),2),IF(F269&lt;&gt;0,"Assign Code","Missing Code"))</f>
        <v>Inv-Branding-fees</v>
      </c>
    </row>
    <row r="270" spans="1:12">
      <c r="A270" s="1531">
        <v>15295200</v>
      </c>
      <c r="B270" s="6" t="s">
        <v>5124</v>
      </c>
      <c r="C270" s="689"/>
      <c r="D270" s="690"/>
      <c r="E270" s="1064" t="s">
        <v>21</v>
      </c>
      <c r="F270" s="1065">
        <v>0</v>
      </c>
      <c r="G270" s="562">
        <f t="shared" si="72"/>
        <v>0</v>
      </c>
      <c r="H270" s="563">
        <f>$F270 / ResSF</f>
        <v>0</v>
      </c>
      <c r="I270" s="564">
        <f>$F270 / DevBud1</f>
        <v>0</v>
      </c>
      <c r="J270" s="564">
        <f>$F270 / TotalSales</f>
        <v>0</v>
      </c>
      <c r="K270" s="1026"/>
      <c r="L270" s="1377" t="str">
        <f>IFERROR(INDEX('Job Cost COA'!E:F,MATCH(A270,'Job Cost COA'!E:E,0),2),IF(F270&lt;&gt;0,"Assign Code","Missing Code"))</f>
        <v>Inv-Branding-fees</v>
      </c>
    </row>
    <row r="271" spans="1:12">
      <c r="B271" s="572"/>
      <c r="C271" s="692"/>
      <c r="D271" s="693"/>
      <c r="E271" s="1073" t="s">
        <v>21</v>
      </c>
      <c r="F271" s="1076">
        <v>0</v>
      </c>
      <c r="G271" s="605">
        <f t="shared" si="72"/>
        <v>0</v>
      </c>
      <c r="H271" s="606">
        <f>$F271 / ResSF</f>
        <v>0</v>
      </c>
      <c r="I271" s="607">
        <f>$F271 / DevBud1</f>
        <v>0</v>
      </c>
      <c r="J271" s="607">
        <f>$F271 / TotalSales</f>
        <v>0</v>
      </c>
      <c r="K271" s="1026"/>
      <c r="L271" s="1378" t="str">
        <f>IFERROR(INDEX('Job Cost COA'!E:F,MATCH(A271,'Job Cost COA'!E:E,0),2),IF(F271&lt;&gt;0,"Assign Code","Missing Code"))</f>
        <v>Missing Code</v>
      </c>
    </row>
    <row r="272" spans="1:12">
      <c r="B272" s="154" t="s">
        <v>230</v>
      </c>
      <c r="C272" s="151"/>
      <c r="D272" s="593"/>
      <c r="E272" s="632"/>
      <c r="F272" s="594">
        <f>SUM(F243:F271)</f>
        <v>154073.82342159434</v>
      </c>
      <c r="G272" s="580">
        <f t="shared" si="72"/>
        <v>17119.313713510481</v>
      </c>
      <c r="H272" s="581">
        <f>$F272/ResSF</f>
        <v>6.2036488734737611</v>
      </c>
      <c r="I272" s="210">
        <f>$F272/DevBud2</f>
        <v>7.1535117325742751E-3</v>
      </c>
      <c r="J272" s="210">
        <f>$F272/TotalSales</f>
        <v>5.6396807940670554E-3</v>
      </c>
      <c r="K272" s="210"/>
      <c r="L272" s="1379"/>
    </row>
    <row r="273" spans="1:12">
      <c r="C273" s="151"/>
      <c r="E273" s="150"/>
      <c r="F273" s="627"/>
      <c r="L273" s="1379"/>
    </row>
    <row r="274" spans="1:12">
      <c r="B274" s="154" t="s">
        <v>219</v>
      </c>
      <c r="C274" s="551"/>
      <c r="D274" s="552"/>
      <c r="E274" s="152" t="s">
        <v>134</v>
      </c>
      <c r="F274" s="600" t="s">
        <v>21</v>
      </c>
      <c r="G274" s="152" t="s">
        <v>182</v>
      </c>
      <c r="H274" s="152" t="s">
        <v>292</v>
      </c>
      <c r="I274" s="152" t="s">
        <v>262</v>
      </c>
      <c r="J274" s="152" t="s">
        <v>293</v>
      </c>
      <c r="K274" s="152"/>
      <c r="L274" s="1379"/>
    </row>
    <row r="275" spans="1:12">
      <c r="A275" s="1531">
        <v>15290299</v>
      </c>
      <c r="B275" s="634" t="s">
        <v>514</v>
      </c>
      <c r="C275" s="634"/>
      <c r="D275" s="1088">
        <v>20000</v>
      </c>
      <c r="E275" s="1089">
        <v>1</v>
      </c>
      <c r="F275" s="676">
        <f t="shared" ref="F275:F288" si="76">D275*E275</f>
        <v>20000</v>
      </c>
      <c r="G275" s="557">
        <f t="shared" ref="G275:G297" si="77">$F275/ResUnits</f>
        <v>2222.2222222222222</v>
      </c>
      <c r="H275" s="558">
        <f t="shared" ref="H275:H297" si="78">$F275/ResSF</f>
        <v>0.80528265421162826</v>
      </c>
      <c r="I275" s="559">
        <f t="shared" ref="I275:I297" si="79">$F275/DevBud2</f>
        <v>9.2858236054803702E-4</v>
      </c>
      <c r="J275" s="559">
        <f t="shared" ref="J275:J297" si="80">$F275/TotalSales</f>
        <v>7.3207514019238938E-4</v>
      </c>
      <c r="K275" s="1026"/>
      <c r="L275" s="1376" t="str">
        <f>IFERROR(INDEX('Job Cost COA'!E:F,MATCH(A275,'Job Cost COA'!E:E,0),2),IF(F275&lt;&gt;0,"Assign Code","Missing Code"))</f>
        <v>Inv-Sales admin-other</v>
      </c>
    </row>
    <row r="276" spans="1:12">
      <c r="A276" s="1531">
        <v>15290230</v>
      </c>
      <c r="B276" s="560" t="s">
        <v>10</v>
      </c>
      <c r="C276" s="560"/>
      <c r="D276" s="1090">
        <v>10000</v>
      </c>
      <c r="E276" s="1091">
        <v>1</v>
      </c>
      <c r="F276" s="661">
        <f t="shared" si="76"/>
        <v>10000</v>
      </c>
      <c r="G276" s="562">
        <f t="shared" si="77"/>
        <v>1111.1111111111111</v>
      </c>
      <c r="H276" s="563">
        <f t="shared" si="78"/>
        <v>0.40264132710581413</v>
      </c>
      <c r="I276" s="564">
        <f t="shared" si="79"/>
        <v>4.6429118027401851E-4</v>
      </c>
      <c r="J276" s="564">
        <f t="shared" si="80"/>
        <v>3.6603757009619469E-4</v>
      </c>
      <c r="K276" s="1026"/>
      <c r="L276" s="1377" t="str">
        <f>IFERROR(INDEX('Job Cost COA'!E:F,MATCH(A276,'Job Cost COA'!E:E,0),2),IF(F276&lt;&gt;0,"Assign Code","Missing Code"))</f>
        <v>Inv-Sales admin-office expenses</v>
      </c>
    </row>
    <row r="277" spans="1:12">
      <c r="A277" s="1531">
        <v>15290216</v>
      </c>
      <c r="B277" s="560" t="s">
        <v>103</v>
      </c>
      <c r="C277" s="560"/>
      <c r="D277" s="1090">
        <v>10000</v>
      </c>
      <c r="E277" s="1091">
        <v>1</v>
      </c>
      <c r="F277" s="661">
        <f t="shared" si="76"/>
        <v>10000</v>
      </c>
      <c r="G277" s="562">
        <f t="shared" si="77"/>
        <v>1111.1111111111111</v>
      </c>
      <c r="H277" s="563">
        <f t="shared" si="78"/>
        <v>0.40264132710581413</v>
      </c>
      <c r="I277" s="564">
        <f t="shared" si="79"/>
        <v>4.6429118027401851E-4</v>
      </c>
      <c r="J277" s="564">
        <f t="shared" si="80"/>
        <v>3.6603757009619469E-4</v>
      </c>
      <c r="K277" s="1026"/>
      <c r="L277" s="1377" t="str">
        <f>IFERROR(INDEX('Job Cost COA'!E:F,MATCH(A277,'Job Cost COA'!E:E,0),2),IF(F277&lt;&gt;0,"Assign Code","Missing Code"))</f>
        <v>Inv-Sales admin-postage/delivery</v>
      </c>
    </row>
    <row r="278" spans="1:12">
      <c r="A278" s="1531">
        <v>15290214</v>
      </c>
      <c r="B278" s="560" t="s">
        <v>66</v>
      </c>
      <c r="C278" s="560"/>
      <c r="D278" s="1090">
        <v>10000</v>
      </c>
      <c r="E278" s="1091">
        <v>1</v>
      </c>
      <c r="F278" s="661">
        <f t="shared" si="76"/>
        <v>10000</v>
      </c>
      <c r="G278" s="562">
        <f t="shared" si="77"/>
        <v>1111.1111111111111</v>
      </c>
      <c r="H278" s="563">
        <f t="shared" si="78"/>
        <v>0.40264132710581413</v>
      </c>
      <c r="I278" s="564">
        <f t="shared" si="79"/>
        <v>4.6429118027401851E-4</v>
      </c>
      <c r="J278" s="564">
        <f t="shared" si="80"/>
        <v>3.6603757009619469E-4</v>
      </c>
      <c r="K278" s="1026"/>
      <c r="L278" s="1377" t="str">
        <f>IFERROR(INDEX('Job Cost COA'!E:F,MATCH(A278,'Job Cost COA'!E:E,0),2),IF(F278&lt;&gt;0,"Assign Code","Missing Code"))</f>
        <v>Inv-Sales admin-office supplies</v>
      </c>
    </row>
    <row r="279" spans="1:12">
      <c r="A279" s="1531">
        <v>15290224</v>
      </c>
      <c r="B279" s="560" t="s">
        <v>104</v>
      </c>
      <c r="C279" s="560"/>
      <c r="D279" s="1090">
        <v>10000</v>
      </c>
      <c r="E279" s="1091">
        <v>1</v>
      </c>
      <c r="F279" s="661">
        <f t="shared" si="76"/>
        <v>10000</v>
      </c>
      <c r="G279" s="562">
        <f t="shared" si="77"/>
        <v>1111.1111111111111</v>
      </c>
      <c r="H279" s="563">
        <f t="shared" si="78"/>
        <v>0.40264132710581413</v>
      </c>
      <c r="I279" s="564">
        <f t="shared" si="79"/>
        <v>4.6429118027401851E-4</v>
      </c>
      <c r="J279" s="564">
        <f t="shared" si="80"/>
        <v>3.6603757009619469E-4</v>
      </c>
      <c r="K279" s="1026"/>
      <c r="L279" s="1377" t="str">
        <f>IFERROR(INDEX('Job Cost COA'!E:F,MATCH(A279,'Job Cost COA'!E:E,0),2),IF(F279&lt;&gt;0,"Assign Code","Missing Code"))</f>
        <v>Inv-Sales admin-telephone and data</v>
      </c>
    </row>
    <row r="280" spans="1:12">
      <c r="A280" s="1531">
        <v>15290238</v>
      </c>
      <c r="B280" s="560" t="s">
        <v>11</v>
      </c>
      <c r="C280" s="560"/>
      <c r="D280" s="1090">
        <v>10000</v>
      </c>
      <c r="E280" s="1091">
        <v>1</v>
      </c>
      <c r="F280" s="661">
        <f t="shared" si="76"/>
        <v>10000</v>
      </c>
      <c r="G280" s="562">
        <f t="shared" si="77"/>
        <v>1111.1111111111111</v>
      </c>
      <c r="H280" s="563">
        <f t="shared" si="78"/>
        <v>0.40264132710581413</v>
      </c>
      <c r="I280" s="564">
        <f t="shared" si="79"/>
        <v>4.6429118027401851E-4</v>
      </c>
      <c r="J280" s="564">
        <f t="shared" si="80"/>
        <v>3.6603757009619469E-4</v>
      </c>
      <c r="K280" s="1026"/>
      <c r="L280" s="1377" t="str">
        <f>IFERROR(INDEX('Job Cost COA'!E:F,MATCH(A280,'Job Cost COA'!E:E,0),2),IF(F280&lt;&gt;0,"Assign Code","Missing Code"))</f>
        <v>Inv-Sales admin-util-other</v>
      </c>
    </row>
    <row r="281" spans="1:12">
      <c r="A281" s="1531">
        <v>15290233</v>
      </c>
      <c r="B281" s="560" t="s">
        <v>105</v>
      </c>
      <c r="C281" s="560"/>
      <c r="D281" s="1090">
        <v>0</v>
      </c>
      <c r="E281" s="1091">
        <v>1</v>
      </c>
      <c r="F281" s="661">
        <f t="shared" si="76"/>
        <v>0</v>
      </c>
      <c r="G281" s="562">
        <f t="shared" si="77"/>
        <v>0</v>
      </c>
      <c r="H281" s="563">
        <f t="shared" si="78"/>
        <v>0</v>
      </c>
      <c r="I281" s="564">
        <f t="shared" si="79"/>
        <v>0</v>
      </c>
      <c r="J281" s="564">
        <f t="shared" si="80"/>
        <v>0</v>
      </c>
      <c r="K281" s="1026"/>
      <c r="L281" s="1377" t="str">
        <f>IFERROR(INDEX('Job Cost COA'!E:F,MATCH(A281,'Job Cost COA'!E:E,0),2),IF(F281&lt;&gt;0,"Assign Code","Missing Code"))</f>
        <v>Inv-Sales admin-rent/trailer lease</v>
      </c>
    </row>
    <row r="282" spans="1:12">
      <c r="A282" s="1531">
        <v>15290246</v>
      </c>
      <c r="B282" s="560" t="s">
        <v>106</v>
      </c>
      <c r="C282" s="560"/>
      <c r="D282" s="1090">
        <v>20000</v>
      </c>
      <c r="E282" s="1091">
        <v>1</v>
      </c>
      <c r="F282" s="661">
        <f t="shared" si="76"/>
        <v>20000</v>
      </c>
      <c r="G282" s="562">
        <f t="shared" si="77"/>
        <v>2222.2222222222222</v>
      </c>
      <c r="H282" s="563">
        <f t="shared" si="78"/>
        <v>0.80528265421162826</v>
      </c>
      <c r="I282" s="564">
        <f t="shared" si="79"/>
        <v>9.2858236054803702E-4</v>
      </c>
      <c r="J282" s="564">
        <f t="shared" si="80"/>
        <v>7.3207514019238938E-4</v>
      </c>
      <c r="K282" s="1026"/>
      <c r="L282" s="1377" t="str">
        <f>IFERROR(INDEX('Job Cost COA'!E:F,MATCH(A282,'Job Cost COA'!E:E,0),2),IF(F282&lt;&gt;0,"Assign Code","Missing Code"))</f>
        <v>Inv-Sales admin-leased office equipment</v>
      </c>
    </row>
    <row r="283" spans="1:12">
      <c r="A283" s="1531">
        <v>15290244</v>
      </c>
      <c r="B283" s="560" t="s">
        <v>107</v>
      </c>
      <c r="C283" s="560"/>
      <c r="D283" s="1090">
        <v>10000</v>
      </c>
      <c r="E283" s="1091">
        <v>1</v>
      </c>
      <c r="F283" s="661">
        <f t="shared" si="76"/>
        <v>10000</v>
      </c>
      <c r="G283" s="562">
        <f t="shared" si="77"/>
        <v>1111.1111111111111</v>
      </c>
      <c r="H283" s="563">
        <f t="shared" si="78"/>
        <v>0.40264132710581413</v>
      </c>
      <c r="I283" s="564">
        <f t="shared" si="79"/>
        <v>4.6429118027401851E-4</v>
      </c>
      <c r="J283" s="564">
        <f t="shared" si="80"/>
        <v>3.6603757009619469E-4</v>
      </c>
      <c r="K283" s="1026"/>
      <c r="L283" s="1377" t="str">
        <f>IFERROR(INDEX('Job Cost COA'!E:F,MATCH(A283,'Job Cost COA'!E:E,0),2),IF(F283&lt;&gt;0,"Assign Code","Missing Code"))</f>
        <v>Inv-Sales admin-security services</v>
      </c>
    </row>
    <row r="284" spans="1:12">
      <c r="A284" s="1531">
        <v>15290220</v>
      </c>
      <c r="B284" s="560" t="s">
        <v>108</v>
      </c>
      <c r="C284" s="560"/>
      <c r="D284" s="1090">
        <v>10000</v>
      </c>
      <c r="E284" s="1091">
        <v>1</v>
      </c>
      <c r="F284" s="661">
        <f t="shared" si="76"/>
        <v>10000</v>
      </c>
      <c r="G284" s="562">
        <f t="shared" si="77"/>
        <v>1111.1111111111111</v>
      </c>
      <c r="H284" s="563">
        <f t="shared" si="78"/>
        <v>0.40264132710581413</v>
      </c>
      <c r="I284" s="564">
        <f t="shared" si="79"/>
        <v>4.6429118027401851E-4</v>
      </c>
      <c r="J284" s="564">
        <f t="shared" si="80"/>
        <v>3.6603757009619469E-4</v>
      </c>
      <c r="K284" s="1026"/>
      <c r="L284" s="1377" t="str">
        <f>IFERROR(INDEX('Job Cost COA'!E:F,MATCH(A284,'Job Cost COA'!E:E,0),2),IF(F284&lt;&gt;0,"Assign Code","Missing Code"))</f>
        <v>Inv-Sales admin-computer/IT costs</v>
      </c>
    </row>
    <row r="285" spans="1:12">
      <c r="A285" s="1531">
        <v>15290249</v>
      </c>
      <c r="B285" s="560" t="s">
        <v>5</v>
      </c>
      <c r="C285" s="560"/>
      <c r="D285" s="1090">
        <v>10000</v>
      </c>
      <c r="E285" s="1091">
        <v>1</v>
      </c>
      <c r="F285" s="661">
        <f t="shared" si="76"/>
        <v>10000</v>
      </c>
      <c r="G285" s="562">
        <f t="shared" si="77"/>
        <v>1111.1111111111111</v>
      </c>
      <c r="H285" s="563">
        <f t="shared" si="78"/>
        <v>0.40264132710581413</v>
      </c>
      <c r="I285" s="564">
        <f t="shared" si="79"/>
        <v>4.6429118027401851E-4</v>
      </c>
      <c r="J285" s="564">
        <f t="shared" si="80"/>
        <v>3.6603757009619469E-4</v>
      </c>
      <c r="K285" s="1026"/>
      <c r="L285" s="1377" t="str">
        <f>IFERROR(INDEX('Job Cost COA'!E:F,MATCH(A285,'Job Cost COA'!E:E,0),2),IF(F285&lt;&gt;0,"Assign Code","Missing Code"))</f>
        <v>Inv-Sales admin-escrow fees</v>
      </c>
    </row>
    <row r="286" spans="1:12">
      <c r="A286" s="1531">
        <v>15290266</v>
      </c>
      <c r="B286" s="560" t="s">
        <v>109</v>
      </c>
      <c r="C286" s="560"/>
      <c r="D286" s="1090">
        <v>20000</v>
      </c>
      <c r="E286" s="1091">
        <v>0.5</v>
      </c>
      <c r="F286" s="661">
        <f t="shared" si="76"/>
        <v>10000</v>
      </c>
      <c r="G286" s="562">
        <f t="shared" si="77"/>
        <v>1111.1111111111111</v>
      </c>
      <c r="H286" s="563">
        <f t="shared" si="78"/>
        <v>0.40264132710581413</v>
      </c>
      <c r="I286" s="564">
        <f t="shared" si="79"/>
        <v>4.6429118027401851E-4</v>
      </c>
      <c r="J286" s="564">
        <f t="shared" si="80"/>
        <v>3.6603757009619469E-4</v>
      </c>
      <c r="K286" s="1026"/>
      <c r="L286" s="1377" t="str">
        <f>IFERROR(INDEX('Job Cost COA'!E:F,MATCH(A286,'Job Cost COA'!E:E,0),2),IF(F286&lt;&gt;0,"Assign Code","Missing Code"))</f>
        <v>Inv-Sales admin-reimbursable costs</v>
      </c>
    </row>
    <row r="287" spans="1:12">
      <c r="A287" s="1531">
        <v>15290900</v>
      </c>
      <c r="B287" s="560" t="s">
        <v>27</v>
      </c>
      <c r="C287" s="560"/>
      <c r="D287" s="1090">
        <v>20000</v>
      </c>
      <c r="E287" s="1091">
        <v>1</v>
      </c>
      <c r="F287" s="661">
        <f t="shared" si="76"/>
        <v>20000</v>
      </c>
      <c r="G287" s="562">
        <f t="shared" si="77"/>
        <v>2222.2222222222222</v>
      </c>
      <c r="H287" s="563">
        <f t="shared" si="78"/>
        <v>0.80528265421162826</v>
      </c>
      <c r="I287" s="564">
        <f t="shared" si="79"/>
        <v>9.2858236054803702E-4</v>
      </c>
      <c r="J287" s="564">
        <f t="shared" si="80"/>
        <v>7.3207514019238938E-4</v>
      </c>
      <c r="K287" s="1026"/>
      <c r="L287" s="1377" t="str">
        <f>IFERROR(INDEX('Job Cost COA'!E:F,MATCH(A287,'Job Cost COA'!E:E,0),2),IF(F287&lt;&gt;0,"Assign Code","Missing Code"))</f>
        <v>Inv-Sales admin-contingency</v>
      </c>
    </row>
    <row r="288" spans="1:12">
      <c r="A288" s="1531">
        <v>15290299</v>
      </c>
      <c r="B288" s="560" t="s">
        <v>110</v>
      </c>
      <c r="C288" s="560"/>
      <c r="D288" s="1090">
        <v>10000</v>
      </c>
      <c r="E288" s="1091">
        <v>2</v>
      </c>
      <c r="F288" s="661">
        <f t="shared" si="76"/>
        <v>20000</v>
      </c>
      <c r="G288" s="562">
        <f t="shared" si="77"/>
        <v>2222.2222222222222</v>
      </c>
      <c r="H288" s="563">
        <f t="shared" si="78"/>
        <v>0.80528265421162826</v>
      </c>
      <c r="I288" s="564">
        <f t="shared" si="79"/>
        <v>9.2858236054803702E-4</v>
      </c>
      <c r="J288" s="564">
        <f t="shared" si="80"/>
        <v>7.3207514019238938E-4</v>
      </c>
      <c r="K288" s="1026"/>
      <c r="L288" s="1377" t="str">
        <f>IFERROR(INDEX('Job Cost COA'!E:F,MATCH(A288,'Job Cost COA'!E:E,0),2),IF(F288&lt;&gt;0,"Assign Code","Missing Code"))</f>
        <v>Inv-Sales admin-other</v>
      </c>
    </row>
    <row r="289" spans="1:12">
      <c r="A289" s="1531">
        <v>15290200</v>
      </c>
      <c r="B289" s="1038" t="s">
        <v>524</v>
      </c>
      <c r="C289" s="571"/>
      <c r="D289" s="689"/>
      <c r="E289" s="1064" t="s">
        <v>21</v>
      </c>
      <c r="F289" s="1067">
        <f>45200-904+18</f>
        <v>44314</v>
      </c>
      <c r="G289" s="562">
        <f t="shared" si="77"/>
        <v>4923.7777777777774</v>
      </c>
      <c r="H289" s="563">
        <f t="shared" ref="H289:H296" si="81">$F289 / ResSF</f>
        <v>1.7842647769367048</v>
      </c>
      <c r="I289" s="564">
        <f t="shared" ref="I289:I296" si="82">$F289 / DevBud1</f>
        <v>2.0574599362662856E-3</v>
      </c>
      <c r="J289" s="564">
        <f t="shared" ref="J289:J296" si="83">$F289 / TotalSales</f>
        <v>1.622058888124277E-3</v>
      </c>
      <c r="K289" s="1026"/>
      <c r="L289" s="1377" t="str">
        <f>IFERROR(INDEX('Job Cost COA'!E:F,MATCH(A289,'Job Cost COA'!E:E,0),2),IF(F289&lt;&gt;0,"Assign Code","Missing Code"))</f>
        <v>Inv-Sales admin-salaries and wages</v>
      </c>
    </row>
    <row r="290" spans="1:12">
      <c r="A290" s="1531">
        <v>15290247</v>
      </c>
      <c r="B290" s="1039" t="s">
        <v>525</v>
      </c>
      <c r="C290" s="1040"/>
      <c r="D290" s="1041"/>
      <c r="E290" s="1095" t="s">
        <v>21</v>
      </c>
      <c r="F290" s="1096">
        <v>0</v>
      </c>
      <c r="G290" s="724">
        <f t="shared" si="77"/>
        <v>0</v>
      </c>
      <c r="H290" s="725">
        <f t="shared" si="81"/>
        <v>0</v>
      </c>
      <c r="I290" s="726">
        <f t="shared" si="82"/>
        <v>0</v>
      </c>
      <c r="J290" s="726">
        <f t="shared" si="83"/>
        <v>0</v>
      </c>
      <c r="K290" s="1026"/>
      <c r="L290" s="1377" t="str">
        <f>IFERROR(INDEX('Job Cost COA'!E:F,MATCH(A290,'Job Cost COA'!E:E,0),2),IF(F290&lt;&gt;0,"Assign Code","Missing Code"))</f>
        <v>Inv-Sales admin-contract admin allocation</v>
      </c>
    </row>
    <row r="291" spans="1:12">
      <c r="A291" s="1531">
        <v>15290900</v>
      </c>
      <c r="B291" s="6" t="s">
        <v>5027</v>
      </c>
      <c r="C291" s="1039"/>
      <c r="D291" s="1099">
        <v>0.02</v>
      </c>
      <c r="E291" s="1097" t="s">
        <v>21</v>
      </c>
      <c r="F291" s="1098">
        <f>SUM(F270:F290)*D291</f>
        <v>7367.7564684318868</v>
      </c>
      <c r="G291" s="1042">
        <f t="shared" si="77"/>
        <v>818.63960760354303</v>
      </c>
      <c r="H291" s="1043">
        <f t="shared" si="81"/>
        <v>0.29665632422418614</v>
      </c>
      <c r="I291" s="1026">
        <f t="shared" si="82"/>
        <v>3.4207843466997753E-4</v>
      </c>
      <c r="J291" s="1026">
        <f t="shared" si="83"/>
        <v>2.6968756747653284E-4</v>
      </c>
      <c r="K291" s="1026"/>
      <c r="L291" s="1377" t="str">
        <f>IFERROR(INDEX('Job Cost COA'!E:F,MATCH(A291,'Job Cost COA'!E:E,0),2),IF(F291&lt;&gt;0,"Assign Code","Missing Code"))</f>
        <v>Inv-Sales admin-contingency</v>
      </c>
    </row>
    <row r="292" spans="1:12">
      <c r="A292" s="1531">
        <f>IFERROR(VLOOKUP(B292,'Job Cost COA'!F:I,4,FALSE),0)</f>
        <v>0</v>
      </c>
      <c r="B292" s="1036" t="s">
        <v>5007</v>
      </c>
      <c r="C292" s="666"/>
      <c r="D292" s="689"/>
      <c r="E292" s="1064" t="s">
        <v>21</v>
      </c>
      <c r="F292" s="1065">
        <v>0</v>
      </c>
      <c r="G292" s="1031">
        <f xml:space="preserve"> $F292 / ResUnits</f>
        <v>0</v>
      </c>
      <c r="H292" s="1032">
        <f t="shared" si="81"/>
        <v>0</v>
      </c>
      <c r="I292" s="1033">
        <f t="shared" si="82"/>
        <v>0</v>
      </c>
      <c r="J292" s="1033">
        <f t="shared" si="83"/>
        <v>0</v>
      </c>
      <c r="K292" s="1026"/>
      <c r="L292" s="1377" t="str">
        <f>IFERROR(INDEX('Job Cost COA'!E:F,MATCH(A292,'Job Cost COA'!E:E,0),2),IF(F292&lt;&gt;0,"Assign Code","Missing Code"))</f>
        <v>Missing Code</v>
      </c>
    </row>
    <row r="293" spans="1:12">
      <c r="A293" s="1531">
        <f>IFERROR(VLOOKUP(B293,'Job Cost COA'!F:I,4,FALSE),0)</f>
        <v>0</v>
      </c>
      <c r="B293" s="1036" t="s">
        <v>5007</v>
      </c>
      <c r="C293" s="560"/>
      <c r="D293" s="689"/>
      <c r="E293" s="1064" t="s">
        <v>21</v>
      </c>
      <c r="F293" s="1065">
        <v>0</v>
      </c>
      <c r="G293" s="1031">
        <f xml:space="preserve"> $F293 / ResUnits</f>
        <v>0</v>
      </c>
      <c r="H293" s="1032">
        <f t="shared" si="81"/>
        <v>0</v>
      </c>
      <c r="I293" s="1033">
        <f t="shared" si="82"/>
        <v>0</v>
      </c>
      <c r="J293" s="1033">
        <f t="shared" si="83"/>
        <v>0</v>
      </c>
      <c r="K293" s="1026"/>
      <c r="L293" s="1377" t="str">
        <f>IFERROR(INDEX('Job Cost COA'!E:F,MATCH(A293,'Job Cost COA'!E:E,0),2),IF(F293&lt;&gt;0,"Assign Code","Missing Code"))</f>
        <v>Missing Code</v>
      </c>
    </row>
    <row r="294" spans="1:12">
      <c r="A294" s="1531">
        <f>IFERROR(VLOOKUP(B294,'Job Cost COA'!F:I,4,FALSE),0)</f>
        <v>0</v>
      </c>
      <c r="B294" s="1036" t="s">
        <v>5007</v>
      </c>
      <c r="C294" s="571"/>
      <c r="D294" s="689"/>
      <c r="E294" s="1064" t="s">
        <v>21</v>
      </c>
      <c r="F294" s="1065">
        <v>0</v>
      </c>
      <c r="G294" s="1031">
        <f xml:space="preserve"> $F294 / ResUnits</f>
        <v>0</v>
      </c>
      <c r="H294" s="1032">
        <f t="shared" si="81"/>
        <v>0</v>
      </c>
      <c r="I294" s="1033">
        <f t="shared" si="82"/>
        <v>0</v>
      </c>
      <c r="J294" s="1033">
        <f t="shared" si="83"/>
        <v>0</v>
      </c>
      <c r="K294" s="1026"/>
      <c r="L294" s="1377" t="str">
        <f>IFERROR(INDEX('Job Cost COA'!E:F,MATCH(A294,'Job Cost COA'!E:E,0),2),IF(F294&lt;&gt;0,"Assign Code","Missing Code"))</f>
        <v>Missing Code</v>
      </c>
    </row>
    <row r="295" spans="1:12">
      <c r="B295" s="1036" t="s">
        <v>5007</v>
      </c>
      <c r="C295" s="571"/>
      <c r="D295" s="689"/>
      <c r="E295" s="1064" t="s">
        <v>21</v>
      </c>
      <c r="F295" s="1067">
        <v>0</v>
      </c>
      <c r="G295" s="562">
        <f t="shared" si="77"/>
        <v>0</v>
      </c>
      <c r="H295" s="563">
        <f t="shared" si="81"/>
        <v>0</v>
      </c>
      <c r="I295" s="564">
        <f t="shared" si="82"/>
        <v>0</v>
      </c>
      <c r="J295" s="564">
        <f t="shared" si="83"/>
        <v>0</v>
      </c>
      <c r="K295" s="1026"/>
      <c r="L295" s="1377" t="str">
        <f>IFERROR(INDEX('Job Cost COA'!E:F,MATCH(A295,'Job Cost COA'!E:E,0),2),IF(F295&lt;&gt;0,"Assign Code","Missing Code"))</f>
        <v>Missing Code</v>
      </c>
    </row>
    <row r="296" spans="1:12">
      <c r="B296" s="572"/>
      <c r="C296" s="573"/>
      <c r="D296" s="692"/>
      <c r="E296" s="1073" t="s">
        <v>21</v>
      </c>
      <c r="F296" s="1076">
        <v>0</v>
      </c>
      <c r="G296" s="605">
        <f t="shared" si="77"/>
        <v>0</v>
      </c>
      <c r="H296" s="606">
        <f t="shared" si="81"/>
        <v>0</v>
      </c>
      <c r="I296" s="607">
        <f t="shared" si="82"/>
        <v>0</v>
      </c>
      <c r="J296" s="607">
        <f t="shared" si="83"/>
        <v>0</v>
      </c>
      <c r="K296" s="1026"/>
      <c r="L296" s="1378" t="str">
        <f>IFERROR(INDEX('Job Cost COA'!E:F,MATCH(A296,'Job Cost COA'!E:E,0),2),IF(F296&lt;&gt;0,"Assign Code","Missing Code"))</f>
        <v>Missing Code</v>
      </c>
    </row>
    <row r="297" spans="1:12">
      <c r="B297" s="154" t="s">
        <v>231</v>
      </c>
      <c r="C297" s="151"/>
      <c r="D297" s="593"/>
      <c r="E297" s="153"/>
      <c r="F297" s="594">
        <f>SUM(F275:F296)</f>
        <v>221681.75646843188</v>
      </c>
      <c r="G297" s="580">
        <f t="shared" si="77"/>
        <v>24631.30627427021</v>
      </c>
      <c r="H297" s="581">
        <f t="shared" si="78"/>
        <v>8.9258236619597309</v>
      </c>
      <c r="I297" s="210">
        <f t="shared" si="79"/>
        <v>1.0292488435594578E-2</v>
      </c>
      <c r="J297" s="210">
        <f t="shared" si="80"/>
        <v>8.1143851472361191E-3</v>
      </c>
      <c r="K297" s="210"/>
      <c r="L297" s="1379"/>
    </row>
    <row r="298" spans="1:12">
      <c r="C298" s="151"/>
      <c r="E298" s="150"/>
      <c r="F298" s="627"/>
      <c r="L298" s="1379"/>
    </row>
    <row r="299" spans="1:12">
      <c r="B299" s="154" t="s">
        <v>220</v>
      </c>
      <c r="C299" s="551"/>
      <c r="D299" s="552"/>
      <c r="E299" s="152" t="s">
        <v>134</v>
      </c>
      <c r="F299" s="553" t="s">
        <v>21</v>
      </c>
      <c r="G299" s="152" t="s">
        <v>182</v>
      </c>
      <c r="H299" s="152" t="s">
        <v>292</v>
      </c>
      <c r="I299" s="152" t="s">
        <v>262</v>
      </c>
      <c r="J299" s="152" t="s">
        <v>293</v>
      </c>
      <c r="K299" s="152"/>
      <c r="L299" s="1379"/>
    </row>
    <row r="300" spans="1:12">
      <c r="A300" s="1531">
        <v>15300225</v>
      </c>
      <c r="B300" s="601" t="s">
        <v>5192</v>
      </c>
      <c r="C300" s="555"/>
      <c r="D300" s="555"/>
      <c r="E300" s="1079" t="s">
        <v>21</v>
      </c>
      <c r="F300" s="1082">
        <v>150000</v>
      </c>
      <c r="G300" s="557">
        <f t="shared" ref="G300:G306" si="84" xml:space="preserve"> $F300 / ResUnits</f>
        <v>16666.666666666668</v>
      </c>
      <c r="H300" s="558">
        <f t="shared" ref="H300:H306" si="85">$F300 / ResSF</f>
        <v>6.0396199065872125</v>
      </c>
      <c r="I300" s="559">
        <f t="shared" ref="I300:I306" si="86">$F300 / DevBud1</f>
        <v>6.9643677041102778E-3</v>
      </c>
      <c r="J300" s="559">
        <f t="shared" ref="J300:J306" si="87">$F300 / TotalSales</f>
        <v>5.4905635514429204E-3</v>
      </c>
      <c r="K300" s="1026"/>
      <c r="L300" s="1376" t="str">
        <f>IFERROR(INDEX('Job Cost COA'!E:F,MATCH(A300,'Job Cost COA'!E:E,0),2),IF(F300&lt;&gt;0,"Assign Code","Missing Code"))</f>
        <v>Inv-Sales center-buildout &amp; refurbishing</v>
      </c>
    </row>
    <row r="301" spans="1:12">
      <c r="A301" s="1531">
        <v>15300220</v>
      </c>
      <c r="B301" s="602" t="s">
        <v>111</v>
      </c>
      <c r="C301" s="560"/>
      <c r="D301" s="560"/>
      <c r="E301" s="1064" t="s">
        <v>21</v>
      </c>
      <c r="F301" s="1065">
        <v>0</v>
      </c>
      <c r="G301" s="562">
        <f t="shared" si="84"/>
        <v>0</v>
      </c>
      <c r="H301" s="563">
        <f t="shared" si="85"/>
        <v>0</v>
      </c>
      <c r="I301" s="564">
        <f t="shared" si="86"/>
        <v>0</v>
      </c>
      <c r="J301" s="564">
        <f t="shared" si="87"/>
        <v>0</v>
      </c>
      <c r="K301" s="1026"/>
      <c r="L301" s="1377" t="str">
        <f>IFERROR(INDEX('Job Cost COA'!E:F,MATCH(A301,'Job Cost COA'!E:E,0),2),IF(F301&lt;&gt;0,"Assign Code","Missing Code"))</f>
        <v>Inv-Sales center-model furnishings</v>
      </c>
    </row>
    <row r="302" spans="1:12">
      <c r="A302" s="1531">
        <f>IFERROR(VLOOKUP(B302,'Job Cost COA'!F:I,4,FALSE),0)</f>
        <v>0</v>
      </c>
      <c r="B302" s="1030" t="s">
        <v>5008</v>
      </c>
      <c r="C302" s="561"/>
      <c r="D302" s="560"/>
      <c r="E302" s="1064" t="s">
        <v>21</v>
      </c>
      <c r="F302" s="1065">
        <v>0</v>
      </c>
      <c r="G302" s="562">
        <f t="shared" si="84"/>
        <v>0</v>
      </c>
      <c r="H302" s="563">
        <f t="shared" si="85"/>
        <v>0</v>
      </c>
      <c r="I302" s="564">
        <f t="shared" si="86"/>
        <v>0</v>
      </c>
      <c r="J302" s="564">
        <f t="shared" si="87"/>
        <v>0</v>
      </c>
      <c r="K302" s="1026"/>
      <c r="L302" s="1377" t="str">
        <f>IFERROR(INDEX('Job Cost COA'!E:F,MATCH(A302,'Job Cost COA'!E:E,0),2),IF(F302&lt;&gt;0,"Assign Code","Missing Code"))</f>
        <v>Missing Code</v>
      </c>
    </row>
    <row r="303" spans="1:12">
      <c r="A303" s="1531">
        <f>IFERROR(VLOOKUP(B303,'Job Cost COA'!F:I,4,FALSE),0)</f>
        <v>0</v>
      </c>
      <c r="B303" s="1030" t="s">
        <v>5008</v>
      </c>
      <c r="C303" s="561"/>
      <c r="D303" s="560"/>
      <c r="E303" s="1064" t="s">
        <v>21</v>
      </c>
      <c r="F303" s="1065">
        <v>0</v>
      </c>
      <c r="G303" s="562">
        <f t="shared" si="84"/>
        <v>0</v>
      </c>
      <c r="H303" s="563">
        <f t="shared" si="85"/>
        <v>0</v>
      </c>
      <c r="I303" s="564">
        <f t="shared" si="86"/>
        <v>0</v>
      </c>
      <c r="J303" s="564">
        <f t="shared" si="87"/>
        <v>0</v>
      </c>
      <c r="K303" s="1026"/>
      <c r="L303" s="1377" t="str">
        <f>IFERROR(INDEX('Job Cost COA'!E:F,MATCH(A303,'Job Cost COA'!E:E,0),2),IF(F303&lt;&gt;0,"Assign Code","Missing Code"))</f>
        <v>Missing Code</v>
      </c>
    </row>
    <row r="304" spans="1:12">
      <c r="A304" s="1531">
        <f>IFERROR(VLOOKUP(B304,'Job Cost COA'!F:I,4,FALSE),0)</f>
        <v>0</v>
      </c>
      <c r="B304" s="1030" t="s">
        <v>5008</v>
      </c>
      <c r="C304" s="642"/>
      <c r="D304" s="571"/>
      <c r="E304" s="1064" t="s">
        <v>21</v>
      </c>
      <c r="F304" s="1065">
        <v>0</v>
      </c>
      <c r="G304" s="562">
        <f t="shared" si="84"/>
        <v>0</v>
      </c>
      <c r="H304" s="563">
        <f t="shared" si="85"/>
        <v>0</v>
      </c>
      <c r="I304" s="564">
        <f t="shared" si="86"/>
        <v>0</v>
      </c>
      <c r="J304" s="564">
        <f t="shared" si="87"/>
        <v>0</v>
      </c>
      <c r="K304" s="1026"/>
      <c r="L304" s="1377" t="str">
        <f>IFERROR(INDEX('Job Cost COA'!E:F,MATCH(A304,'Job Cost COA'!E:E,0),2),IF(F304&lt;&gt;0,"Assign Code","Missing Code"))</f>
        <v>Missing Code</v>
      </c>
    </row>
    <row r="305" spans="1:15">
      <c r="B305" s="570" t="s">
        <v>296</v>
      </c>
      <c r="C305" s="642"/>
      <c r="D305" s="571"/>
      <c r="E305" s="1064" t="s">
        <v>21</v>
      </c>
      <c r="F305" s="1065">
        <v>0</v>
      </c>
      <c r="G305" s="562">
        <f t="shared" si="84"/>
        <v>0</v>
      </c>
      <c r="H305" s="563">
        <f t="shared" si="85"/>
        <v>0</v>
      </c>
      <c r="I305" s="564">
        <f t="shared" si="86"/>
        <v>0</v>
      </c>
      <c r="J305" s="564">
        <f t="shared" si="87"/>
        <v>0</v>
      </c>
      <c r="K305" s="1026"/>
      <c r="L305" s="1377" t="str">
        <f>IFERROR(INDEX('Job Cost COA'!E:F,MATCH(A305,'Job Cost COA'!E:E,0),2),IF(F305&lt;&gt;0,"Assign Code","Missing Code"))</f>
        <v>Missing Code</v>
      </c>
    </row>
    <row r="306" spans="1:15">
      <c r="B306" s="572" t="s">
        <v>296</v>
      </c>
      <c r="C306" s="643"/>
      <c r="D306" s="573"/>
      <c r="E306" s="1073" t="s">
        <v>21</v>
      </c>
      <c r="F306" s="1076">
        <v>0</v>
      </c>
      <c r="G306" s="605">
        <f t="shared" si="84"/>
        <v>0</v>
      </c>
      <c r="H306" s="606">
        <f t="shared" si="85"/>
        <v>0</v>
      </c>
      <c r="I306" s="607">
        <f t="shared" si="86"/>
        <v>0</v>
      </c>
      <c r="J306" s="607">
        <f t="shared" si="87"/>
        <v>0</v>
      </c>
      <c r="K306" s="1026"/>
      <c r="L306" s="1378" t="str">
        <f>IFERROR(INDEX('Job Cost COA'!E:F,MATCH(A306,'Job Cost COA'!E:E,0),2),IF(F306&lt;&gt;0,"Assign Code","Missing Code"))</f>
        <v>Missing Code</v>
      </c>
      <c r="M306" s="144"/>
      <c r="N306" s="144"/>
    </row>
    <row r="307" spans="1:15">
      <c r="B307" s="582" t="s">
        <v>232</v>
      </c>
      <c r="C307" s="583"/>
      <c r="D307" s="593"/>
      <c r="E307" s="153"/>
      <c r="F307" s="1606">
        <f>SUM(F299:F306)</f>
        <v>150000</v>
      </c>
      <c r="G307" s="580">
        <f>$F307/ResUnits</f>
        <v>16666.666666666668</v>
      </c>
      <c r="H307" s="581">
        <f>$F307/ResSF</f>
        <v>6.0396199065872125</v>
      </c>
      <c r="I307" s="210">
        <f>$F307/DevBud2</f>
        <v>6.9643677041102778E-3</v>
      </c>
      <c r="J307" s="210">
        <f>$F307/TotalSales</f>
        <v>5.4905635514429204E-3</v>
      </c>
      <c r="K307" s="210"/>
      <c r="L307" s="1379"/>
      <c r="N307" s="144"/>
    </row>
    <row r="308" spans="1:15">
      <c r="B308" s="582"/>
      <c r="C308" s="583"/>
      <c r="D308" s="593"/>
      <c r="E308" s="153"/>
      <c r="F308" s="583"/>
      <c r="L308" s="1379"/>
      <c r="M308" s="554"/>
    </row>
    <row r="309" spans="1:15">
      <c r="B309" s="154" t="s">
        <v>20</v>
      </c>
      <c r="C309" s="551"/>
      <c r="D309" s="552"/>
      <c r="E309" s="152" t="s">
        <v>134</v>
      </c>
      <c r="F309" s="553" t="s">
        <v>21</v>
      </c>
      <c r="G309" s="152" t="s">
        <v>182</v>
      </c>
      <c r="H309" s="152" t="s">
        <v>292</v>
      </c>
      <c r="I309" s="152" t="s">
        <v>262</v>
      </c>
      <c r="J309" s="152" t="s">
        <v>293</v>
      </c>
      <c r="K309" s="152"/>
      <c r="L309" s="1379"/>
    </row>
    <row r="310" spans="1:15">
      <c r="A310" s="1531">
        <v>17711220</v>
      </c>
      <c r="B310" s="1034" t="s">
        <v>5010</v>
      </c>
      <c r="C310" s="694"/>
      <c r="D310" s="695"/>
      <c r="E310" s="1083">
        <v>0</v>
      </c>
      <c r="F310" s="696">
        <f>E310*$F$6</f>
        <v>0</v>
      </c>
      <c r="G310" s="586">
        <f t="shared" ref="G310:G318" si="88" xml:space="preserve"> $F310 / ResUnits</f>
        <v>0</v>
      </c>
      <c r="H310" s="587">
        <f>$F310/ResSF</f>
        <v>0</v>
      </c>
      <c r="I310" s="588">
        <f>$F310/DevBud2</f>
        <v>0</v>
      </c>
      <c r="J310" s="588">
        <f>$F310/TotalSales</f>
        <v>0</v>
      </c>
      <c r="K310" s="1027"/>
      <c r="L310" s="1376" t="str">
        <f>IFERROR(INDEX('Job Cost COA'!E:F,MATCH(A310,'Job Cost COA'!E:E,0),2),IF(F310&lt;&gt;0,"Assign Code","Missing Code"))</f>
        <v>Def Sales Costs-Commissions-Pmt-Other</v>
      </c>
    </row>
    <row r="311" spans="1:15">
      <c r="A311" s="1531">
        <v>17711205</v>
      </c>
      <c r="B311" s="697" t="s">
        <v>124</v>
      </c>
      <c r="C311" s="560"/>
      <c r="D311" s="1067">
        <v>100000</v>
      </c>
      <c r="E311" s="1100">
        <v>0</v>
      </c>
      <c r="F311" s="698">
        <f>D311*E311</f>
        <v>0</v>
      </c>
      <c r="G311" s="567">
        <f t="shared" si="88"/>
        <v>0</v>
      </c>
      <c r="H311" s="568">
        <f>$F311/ResSF</f>
        <v>0</v>
      </c>
      <c r="I311" s="569">
        <f>$F311/DevBud2</f>
        <v>0</v>
      </c>
      <c r="J311" s="569">
        <f>$F311/TotalSales</f>
        <v>0</v>
      </c>
      <c r="K311" s="1027"/>
      <c r="L311" s="1377" t="str">
        <f>IFERROR(INDEX('Job Cost COA'!E:F,MATCH(A311,'Job Cost COA'!E:E,0),2),IF(F311&lt;&gt;0,"Assign Code","Missing Code"))</f>
        <v>Def Sales Costs-Commissions-Pmt-Inside</v>
      </c>
    </row>
    <row r="312" spans="1:15">
      <c r="A312" s="1531">
        <v>17711205</v>
      </c>
      <c r="B312" s="560" t="s">
        <v>5025</v>
      </c>
      <c r="C312" s="684"/>
      <c r="D312" s="1101">
        <v>0.03</v>
      </c>
      <c r="E312" s="1064" t="s">
        <v>21</v>
      </c>
      <c r="F312" s="1102">
        <f>ROUND(D312*(ResSales),-3)</f>
        <v>820000</v>
      </c>
      <c r="G312" s="562">
        <f t="shared" si="88"/>
        <v>91111.111111111109</v>
      </c>
      <c r="H312" s="563">
        <f>$F312 / ResSF</f>
        <v>33.016588822676759</v>
      </c>
      <c r="I312" s="564">
        <f>$F312 / DevBud1</f>
        <v>3.8071876782469517E-2</v>
      </c>
      <c r="J312" s="699">
        <f>$F312 / TotalSales</f>
        <v>3.0015080747887963E-2</v>
      </c>
      <c r="K312" s="1028"/>
      <c r="L312" s="1377" t="str">
        <f>IFERROR(INDEX('Job Cost COA'!E:F,MATCH(A312,'Job Cost COA'!E:E,0),2),IF(F312&lt;&gt;0,"Assign Code","Missing Code"))</f>
        <v>Def Sales Costs-Commissions-Pmt-Inside</v>
      </c>
    </row>
    <row r="313" spans="1:15">
      <c r="A313" s="1531">
        <v>17711210</v>
      </c>
      <c r="B313" s="700" t="s">
        <v>177</v>
      </c>
      <c r="C313" s="701"/>
      <c r="D313" s="1101">
        <v>0.05</v>
      </c>
      <c r="E313" s="1064" t="s">
        <v>21</v>
      </c>
      <c r="F313" s="1102">
        <f>ROUND(D313*(ResSales),-3)</f>
        <v>1366000</v>
      </c>
      <c r="G313" s="562">
        <f t="shared" si="88"/>
        <v>151777.77777777778</v>
      </c>
      <c r="H313" s="563">
        <f>$F313 / ResSF</f>
        <v>55.000805282654213</v>
      </c>
      <c r="I313" s="564">
        <f>$F313 / DevBud1</f>
        <v>6.3422175225430935E-2</v>
      </c>
      <c r="J313" s="699">
        <f>$F313 / TotalSales</f>
        <v>5.0000732075140192E-2</v>
      </c>
      <c r="K313" s="1028"/>
      <c r="L313" s="1377" t="str">
        <f>IFERROR(INDEX('Job Cost COA'!E:F,MATCH(A313,'Job Cost COA'!E:E,0),2),IF(F313&lt;&gt;0,"Assign Code","Missing Code"))</f>
        <v>Def Sales Costs-Commissions-Pmt-Outside</v>
      </c>
    </row>
    <row r="314" spans="1:15">
      <c r="A314" s="1531">
        <v>17711220</v>
      </c>
      <c r="B314" s="560" t="s">
        <v>3</v>
      </c>
      <c r="C314" s="700"/>
      <c r="D314" s="702"/>
      <c r="E314" s="1064" t="s">
        <v>21</v>
      </c>
      <c r="F314" s="1065">
        <v>0</v>
      </c>
      <c r="G314" s="562">
        <f t="shared" si="88"/>
        <v>0</v>
      </c>
      <c r="H314" s="563">
        <f t="shared" ref="H314:H319" si="89">$F314 / ResSF</f>
        <v>0</v>
      </c>
      <c r="I314" s="564">
        <f t="shared" ref="I314:I319" si="90">$F314 / DevBud1</f>
        <v>0</v>
      </c>
      <c r="J314" s="564">
        <f t="shared" ref="J314:J319" si="91">$F314 / TotalSales</f>
        <v>0</v>
      </c>
      <c r="K314" s="1026"/>
      <c r="L314" s="1377" t="str">
        <f>IFERROR(INDEX('Job Cost COA'!E:F,MATCH(A314,'Job Cost COA'!E:E,0),2),IF(F314&lt;&gt;0,"Assign Code","Missing Code"))</f>
        <v>Def Sales Costs-Commissions-Pmt-Other</v>
      </c>
    </row>
    <row r="315" spans="1:15">
      <c r="A315" s="1531">
        <v>17711220</v>
      </c>
      <c r="B315" s="560" t="s">
        <v>123</v>
      </c>
      <c r="C315" s="561"/>
      <c r="D315" s="571"/>
      <c r="E315" s="1064" t="s">
        <v>21</v>
      </c>
      <c r="F315" s="1065">
        <v>0</v>
      </c>
      <c r="G315" s="562">
        <f t="shared" si="88"/>
        <v>0</v>
      </c>
      <c r="H315" s="563">
        <f t="shared" si="89"/>
        <v>0</v>
      </c>
      <c r="I315" s="564">
        <f t="shared" si="90"/>
        <v>0</v>
      </c>
      <c r="J315" s="564">
        <f t="shared" si="91"/>
        <v>0</v>
      </c>
      <c r="K315" s="1026"/>
      <c r="L315" s="1377" t="str">
        <f>IFERROR(INDEX('Job Cost COA'!E:F,MATCH(A315,'Job Cost COA'!E:E,0),2),IF(F315&lt;&gt;0,"Assign Code","Missing Code"))</f>
        <v>Def Sales Costs-Commissions-Pmt-Other</v>
      </c>
    </row>
    <row r="316" spans="1:15">
      <c r="A316" s="1531">
        <v>17711220</v>
      </c>
      <c r="B316" s="560" t="s">
        <v>5179</v>
      </c>
      <c r="C316" s="561"/>
      <c r="D316" s="1101">
        <v>0</v>
      </c>
      <c r="E316" s="1064" t="s">
        <v>21</v>
      </c>
      <c r="F316" s="1065">
        <f>D316*general!D40</f>
        <v>0</v>
      </c>
      <c r="G316" s="562">
        <f t="shared" si="88"/>
        <v>0</v>
      </c>
      <c r="H316" s="563">
        <f t="shared" si="89"/>
        <v>0</v>
      </c>
      <c r="I316" s="564">
        <f t="shared" si="90"/>
        <v>0</v>
      </c>
      <c r="J316" s="564">
        <f t="shared" si="91"/>
        <v>0</v>
      </c>
      <c r="K316" s="1026"/>
      <c r="L316" s="1377" t="str">
        <f>IFERROR(INDEX('Job Cost COA'!E:F,MATCH(A316,'Job Cost COA'!E:E,0),2),IF(F316&lt;&gt;0,"Assign Code","Missing Code"))</f>
        <v>Def Sales Costs-Commissions-Pmt-Other</v>
      </c>
      <c r="M316" s="2"/>
      <c r="N316" s="2"/>
      <c r="O316" s="2"/>
    </row>
    <row r="317" spans="1:15">
      <c r="A317" s="1531">
        <v>17711220</v>
      </c>
      <c r="B317" s="570" t="s">
        <v>296</v>
      </c>
      <c r="C317" s="642"/>
      <c r="D317" s="571"/>
      <c r="E317" s="1064" t="s">
        <v>21</v>
      </c>
      <c r="F317" s="1065">
        <v>0</v>
      </c>
      <c r="G317" s="562">
        <f t="shared" si="88"/>
        <v>0</v>
      </c>
      <c r="H317" s="563">
        <f t="shared" si="89"/>
        <v>0</v>
      </c>
      <c r="I317" s="564">
        <f t="shared" si="90"/>
        <v>0</v>
      </c>
      <c r="J317" s="564">
        <f t="shared" si="91"/>
        <v>0</v>
      </c>
      <c r="K317" s="1026"/>
      <c r="L317" s="1377" t="str">
        <f>IFERROR(INDEX('Job Cost COA'!E:F,MATCH(A317,'Job Cost COA'!E:E,0),2),IF(F317&lt;&gt;0,"Assign Code","Missing Code"))</f>
        <v>Def Sales Costs-Commissions-Pmt-Other</v>
      </c>
      <c r="M317" s="2"/>
      <c r="N317" s="2"/>
      <c r="O317" s="2"/>
    </row>
    <row r="318" spans="1:15">
      <c r="A318" s="1531">
        <v>17711220</v>
      </c>
      <c r="B318" s="570" t="s">
        <v>296</v>
      </c>
      <c r="C318" s="642"/>
      <c r="D318" s="571"/>
      <c r="E318" s="1064" t="s">
        <v>21</v>
      </c>
      <c r="F318" s="1065">
        <v>0</v>
      </c>
      <c r="G318" s="562">
        <f t="shared" si="88"/>
        <v>0</v>
      </c>
      <c r="H318" s="563">
        <f t="shared" si="89"/>
        <v>0</v>
      </c>
      <c r="I318" s="564">
        <f t="shared" si="90"/>
        <v>0</v>
      </c>
      <c r="J318" s="564">
        <f t="shared" si="91"/>
        <v>0</v>
      </c>
      <c r="K318" s="1026"/>
      <c r="L318" s="1377" t="str">
        <f>IFERROR(INDEX('Job Cost COA'!E:F,MATCH(A318,'Job Cost COA'!E:E,0),2),IF(F318&lt;&gt;0,"Assign Code","Missing Code"))</f>
        <v>Def Sales Costs-Commissions-Pmt-Other</v>
      </c>
      <c r="M318" s="2"/>
      <c r="N318" s="2"/>
      <c r="O318" s="2"/>
    </row>
    <row r="319" spans="1:15">
      <c r="A319" s="1531">
        <v>17711220</v>
      </c>
      <c r="B319" s="572" t="s">
        <v>296</v>
      </c>
      <c r="C319" s="643"/>
      <c r="D319" s="573"/>
      <c r="E319" s="1073" t="s">
        <v>21</v>
      </c>
      <c r="F319" s="1076">
        <v>0</v>
      </c>
      <c r="G319" s="605">
        <f xml:space="preserve"> $F319 / ResUnits</f>
        <v>0</v>
      </c>
      <c r="H319" s="606">
        <f t="shared" si="89"/>
        <v>0</v>
      </c>
      <c r="I319" s="607">
        <f t="shared" si="90"/>
        <v>0</v>
      </c>
      <c r="J319" s="607">
        <f t="shared" si="91"/>
        <v>0</v>
      </c>
      <c r="K319" s="1026"/>
      <c r="L319" s="1378" t="str">
        <f>IFERROR(INDEX('Job Cost COA'!E:F,MATCH(A319,'Job Cost COA'!E:E,0),2),IF(F319&lt;&gt;0,"Assign Code","Missing Code"))</f>
        <v>Def Sales Costs-Commissions-Pmt-Other</v>
      </c>
      <c r="M319" s="2"/>
      <c r="N319" s="2"/>
      <c r="O319" s="2"/>
    </row>
    <row r="320" spans="1:15">
      <c r="B320" s="582" t="s">
        <v>233</v>
      </c>
      <c r="C320" s="583"/>
      <c r="D320" s="334"/>
      <c r="E320" s="169"/>
      <c r="F320" s="583">
        <f>SUM(F309:F319)</f>
        <v>2186000</v>
      </c>
      <c r="G320" s="580">
        <f>$F320/ResUnits</f>
        <v>242888.88888888888</v>
      </c>
      <c r="H320" s="581">
        <f>$F320/ResSF</f>
        <v>88.017394105330965</v>
      </c>
      <c r="I320" s="210">
        <f>$F320/DevBud2</f>
        <v>0.10149405200790045</v>
      </c>
      <c r="J320" s="210">
        <f>$F320/TotalSales</f>
        <v>8.0015812823028151E-2</v>
      </c>
      <c r="K320" s="210"/>
      <c r="L320" s="1379"/>
      <c r="M320" s="2"/>
      <c r="N320" s="2"/>
      <c r="O320" s="2"/>
    </row>
    <row r="321" spans="1:15">
      <c r="B321" s="154"/>
      <c r="C321" s="154"/>
      <c r="D321" s="154"/>
      <c r="E321" s="153"/>
      <c r="F321" s="583"/>
      <c r="L321" s="1379"/>
      <c r="M321" s="2"/>
      <c r="N321" s="2"/>
      <c r="O321" s="2"/>
    </row>
    <row r="322" spans="1:15">
      <c r="B322" s="154" t="s">
        <v>221</v>
      </c>
      <c r="C322" s="551"/>
      <c r="D322" s="552"/>
      <c r="E322" s="152" t="s">
        <v>134</v>
      </c>
      <c r="F322" s="553" t="s">
        <v>21</v>
      </c>
      <c r="G322" s="152" t="s">
        <v>182</v>
      </c>
      <c r="H322" s="152" t="s">
        <v>292</v>
      </c>
      <c r="I322" s="152" t="s">
        <v>262</v>
      </c>
      <c r="J322" s="152" t="s">
        <v>293</v>
      </c>
      <c r="K322" s="152"/>
      <c r="L322" s="1379"/>
      <c r="M322" s="2"/>
      <c r="N322" s="2"/>
      <c r="O322" s="2"/>
    </row>
    <row r="323" spans="1:15">
      <c r="A323" s="1531">
        <v>15310201</v>
      </c>
      <c r="B323" s="555" t="s">
        <v>221</v>
      </c>
      <c r="C323" s="555"/>
      <c r="D323" s="703">
        <v>0.02</v>
      </c>
      <c r="E323" s="1063" t="s">
        <v>21</v>
      </c>
      <c r="F323" s="1082">
        <f>ResSales*D323</f>
        <v>546392</v>
      </c>
      <c r="G323" s="557">
        <f xml:space="preserve"> $F323 / ResUnits</f>
        <v>60710.222222222219</v>
      </c>
      <c r="H323" s="558">
        <f>$F323 / ResSF</f>
        <v>22</v>
      </c>
      <c r="I323" s="559">
        <f>$F323 / DevBud1</f>
        <v>2.5368498657228154E-2</v>
      </c>
      <c r="J323" s="559">
        <f>$F323 / TotalSales</f>
        <v>0.02</v>
      </c>
      <c r="K323" s="1026"/>
      <c r="L323" s="1376" t="str">
        <f>IFERROR(INDEX('Job Cost COA'!E:F,MATCH(A323,'Job Cost COA'!E:E,0),2),IF(F323&lt;&gt;0,"Assign Code","Missing Code"))</f>
        <v>Inv-Dev fees-affiliate</v>
      </c>
      <c r="M323" s="2"/>
      <c r="N323" s="2"/>
      <c r="O323" s="2"/>
    </row>
    <row r="324" spans="1:15">
      <c r="A324" s="1531">
        <v>15310200</v>
      </c>
      <c r="B324" s="573" t="s">
        <v>5026</v>
      </c>
      <c r="C324" s="573"/>
      <c r="D324" s="704"/>
      <c r="E324" s="1073" t="s">
        <v>21</v>
      </c>
      <c r="F324" s="1069">
        <v>0</v>
      </c>
      <c r="G324" s="575">
        <f xml:space="preserve"> $F324 / ResUnits</f>
        <v>0</v>
      </c>
      <c r="H324" s="576">
        <f>$F324/ResSF</f>
        <v>0</v>
      </c>
      <c r="I324" s="577"/>
      <c r="J324" s="577">
        <f>$F324/TotalSales</f>
        <v>0</v>
      </c>
      <c r="K324" s="1027"/>
      <c r="L324" s="1378" t="str">
        <f>IFERROR(INDEX('Job Cost COA'!E:F,MATCH(A324,'Job Cost COA'!E:E,0),2),IF(F324&lt;&gt;0,"Assign Code","Missing Code"))</f>
        <v>Inv-Dev fees-overhead</v>
      </c>
      <c r="M324" s="2"/>
      <c r="N324" s="2"/>
      <c r="O324" s="2"/>
    </row>
    <row r="325" spans="1:15">
      <c r="B325" s="154" t="s">
        <v>234</v>
      </c>
      <c r="C325" s="151"/>
      <c r="E325" s="150"/>
      <c r="F325" s="594">
        <f>SUM(F322:F324)</f>
        <v>546392</v>
      </c>
      <c r="G325" s="580">
        <f>$F325/ResUnits</f>
        <v>60710.222222222219</v>
      </c>
      <c r="H325" s="581">
        <f>$F325/ResSF</f>
        <v>22</v>
      </c>
      <c r="I325" s="210">
        <f>$F325/DevBud2</f>
        <v>2.5368498657228154E-2</v>
      </c>
      <c r="J325" s="210">
        <f>$F325/TotalSales</f>
        <v>0.02</v>
      </c>
      <c r="K325" s="210"/>
      <c r="L325" s="1379"/>
      <c r="M325" s="2"/>
      <c r="N325" s="2"/>
      <c r="O325" s="2"/>
    </row>
    <row r="326" spans="1:15">
      <c r="C326" s="151"/>
      <c r="E326" s="150"/>
      <c r="F326" s="627"/>
      <c r="L326" s="1380"/>
      <c r="M326" s="2"/>
      <c r="N326" s="2"/>
      <c r="O326" s="2"/>
    </row>
    <row r="327" spans="1:15">
      <c r="A327" s="1531">
        <v>15429900</v>
      </c>
      <c r="B327" s="154" t="s">
        <v>235</v>
      </c>
      <c r="C327" s="594"/>
      <c r="D327" s="593"/>
      <c r="E327" s="1077">
        <v>5.0000000000000001E-3</v>
      </c>
      <c r="F327" s="705">
        <f>ROUND(TotalSales*E327,-3)</f>
        <v>137000</v>
      </c>
      <c r="G327" s="580">
        <f>$F327/ResUnits</f>
        <v>15222.222222222223</v>
      </c>
      <c r="H327" s="581">
        <f>$F327/ResSF</f>
        <v>5.5161861813496538</v>
      </c>
      <c r="I327" s="210">
        <f>$F327/DevBud2</f>
        <v>6.3607891697540541E-3</v>
      </c>
      <c r="J327" s="706">
        <f>$F327/(TotalSales)</f>
        <v>5.014714710317867E-3</v>
      </c>
      <c r="K327" s="706"/>
      <c r="L327" s="1378" t="str">
        <f>IFERROR(INDEX('Job Cost COA'!E:F,MATCH(A327,'Job Cost COA'!E:E,0),2),IF(F327&lt;&gt;0,"Assign Code","Missing Code"))</f>
        <v>Project contingency-general</v>
      </c>
      <c r="M327" s="2"/>
      <c r="N327" s="2"/>
      <c r="O327" s="2"/>
    </row>
    <row r="328" spans="1:15">
      <c r="B328" s="154"/>
      <c r="C328" s="154"/>
      <c r="D328" s="578"/>
      <c r="E328" s="154"/>
      <c r="F328" s="583"/>
      <c r="J328" s="609"/>
      <c r="K328" s="609"/>
      <c r="M328" s="2"/>
      <c r="N328" s="2"/>
      <c r="O328" s="2"/>
    </row>
    <row r="329" spans="1:15">
      <c r="B329" s="616" t="s">
        <v>311</v>
      </c>
      <c r="C329" s="616"/>
      <c r="D329" s="617"/>
      <c r="E329" s="618"/>
      <c r="F329" s="619">
        <f>SUM(F14,F66,F78,F86,F118,F137,F150,F157,F163,F171,F194,F201,F217,F241,F272,F297,F307,F320,F325,F327)</f>
        <v>20951604.581361048</v>
      </c>
      <c r="G329" s="620">
        <f>$F329/ResUnits</f>
        <v>2327956.0645956718</v>
      </c>
      <c r="H329" s="621">
        <f>$F329/ResSF</f>
        <v>843.5981873635468</v>
      </c>
      <c r="I329" s="622">
        <f>$F329/DevBud2</f>
        <v>0.97276452197146546</v>
      </c>
      <c r="J329" s="622">
        <f>$F329/TotalSales</f>
        <v>0.76690744305776981</v>
      </c>
      <c r="K329" s="609"/>
      <c r="M329" s="2"/>
      <c r="N329" s="2"/>
      <c r="O329" s="2"/>
    </row>
    <row r="330" spans="1:15">
      <c r="C330" s="151"/>
      <c r="E330" s="150"/>
      <c r="K330" s="609"/>
      <c r="M330" s="2"/>
      <c r="N330" s="2"/>
      <c r="O330" s="2"/>
    </row>
    <row r="331" spans="1:15">
      <c r="B331" s="597" t="s">
        <v>312</v>
      </c>
      <c r="C331" s="707"/>
      <c r="D331" s="708"/>
      <c r="E331" s="709"/>
      <c r="F331" s="708"/>
      <c r="G331" s="708"/>
      <c r="H331" s="708"/>
      <c r="I331" s="708"/>
      <c r="J331" s="708"/>
      <c r="K331" s="609"/>
      <c r="M331" s="2"/>
      <c r="N331" s="2"/>
      <c r="O331" s="2"/>
    </row>
    <row r="332" spans="1:15">
      <c r="A332" s="1531">
        <v>23010000</v>
      </c>
      <c r="B332" s="710" t="s">
        <v>152</v>
      </c>
      <c r="C332" s="710"/>
      <c r="D332" s="560"/>
      <c r="E332" s="711"/>
      <c r="F332" s="712">
        <f>financing!F16</f>
        <v>12019025.981361054</v>
      </c>
      <c r="G332" s="562">
        <f t="shared" ref="G332:G341" si="92">$F332/ResUnits</f>
        <v>1335447.3312623394</v>
      </c>
      <c r="H332" s="563">
        <f t="shared" ref="H332:H341" si="93">$F332/ResSF</f>
        <v>483.93565716544748</v>
      </c>
      <c r="I332" s="564">
        <f t="shared" ref="I332:J340" si="94">$F332/DevBud2</f>
        <v>0.55803277586302169</v>
      </c>
      <c r="J332" s="564">
        <f t="shared" si="94"/>
        <v>0.55803277586302169</v>
      </c>
      <c r="K332" s="609"/>
      <c r="L332" s="1381" t="str">
        <f>IFERROR(INDEX('Job Cost COA'!E:F,MATCH(A332,'Job Cost COA'!E:E,0),2),IF(F332&lt;&gt;0,"Assign Code","Missing Code"))</f>
        <v>N/P-Promissory</v>
      </c>
      <c r="M332" s="2"/>
      <c r="N332" s="2"/>
      <c r="O332" s="2"/>
    </row>
    <row r="333" spans="1:15">
      <c r="A333" s="1531">
        <v>23110300</v>
      </c>
      <c r="B333" s="710" t="s">
        <v>430</v>
      </c>
      <c r="C333" s="710"/>
      <c r="D333" s="560"/>
      <c r="E333" s="711"/>
      <c r="F333" s="713">
        <f>financing!F15</f>
        <v>0</v>
      </c>
      <c r="G333" s="562">
        <f t="shared" si="92"/>
        <v>0</v>
      </c>
      <c r="H333" s="563">
        <f>$F333/ResSF</f>
        <v>0</v>
      </c>
      <c r="I333" s="564">
        <f>$F333/DevBud2</f>
        <v>0</v>
      </c>
      <c r="J333" s="564">
        <f>$F333/TotalSales</f>
        <v>0</v>
      </c>
      <c r="K333" s="609"/>
      <c r="L333" s="1378" t="str">
        <f>IFERROR(INDEX('Job Cost COA'!E:F,MATCH(A333,'Job Cost COA'!E:E,0),2),IF(F333&lt;&gt;0,"Assign Code","Missing Code"))</f>
        <v>N/P-Affiliate-Addition</v>
      </c>
      <c r="M333" s="2"/>
      <c r="N333" s="2"/>
      <c r="O333" s="2"/>
    </row>
    <row r="334" spans="1:15">
      <c r="A334" s="1531">
        <v>28520300</v>
      </c>
      <c r="B334" s="710" t="s">
        <v>173</v>
      </c>
      <c r="C334" s="710"/>
      <c r="D334" s="560"/>
      <c r="E334" s="711"/>
      <c r="F334" s="712">
        <f>financing!F11</f>
        <v>819588</v>
      </c>
      <c r="G334" s="562">
        <f t="shared" si="92"/>
        <v>91065.333333333328</v>
      </c>
      <c r="H334" s="563">
        <f t="shared" si="93"/>
        <v>33</v>
      </c>
      <c r="I334" s="564">
        <f t="shared" si="94"/>
        <v>3.8052747985842232E-2</v>
      </c>
      <c r="J334" s="564">
        <f t="shared" ref="J334:J341" si="95">$F334/TotalSales</f>
        <v>0.03</v>
      </c>
      <c r="K334" s="609"/>
      <c r="L334" s="1378" t="str">
        <f>IFERROR(INDEX('Job Cost COA'!E:F,MATCH(A334,'Job Cost COA'!E:E,0),2),IF(F334&lt;&gt;0,"Assign Code","Missing Code"))</f>
        <v>Customer Deposits - Sales</v>
      </c>
    </row>
    <row r="335" spans="1:15">
      <c r="A335" s="1531">
        <v>10530400</v>
      </c>
      <c r="B335" s="710" t="s">
        <v>174</v>
      </c>
      <c r="C335" s="710"/>
      <c r="D335" s="560"/>
      <c r="E335" s="711"/>
      <c r="F335" s="712">
        <f>financing!F12</f>
        <v>2458764</v>
      </c>
      <c r="G335" s="562">
        <f t="shared" si="92"/>
        <v>273196</v>
      </c>
      <c r="H335" s="563">
        <f t="shared" si="93"/>
        <v>99</v>
      </c>
      <c r="I335" s="564">
        <f t="shared" si="94"/>
        <v>0.11415824395752669</v>
      </c>
      <c r="J335" s="564">
        <f t="shared" si="95"/>
        <v>0.09</v>
      </c>
      <c r="K335" s="609"/>
      <c r="L335" s="1378" t="str">
        <f>IFERROR(INDEX('Job Cost COA'!E:F,MATCH(A335,'Job Cost COA'!E:E,0),2),IF(F335&lt;&gt;0,"Assign Code","Missing Code"))</f>
        <v>Escrow Excess 10%-Used-Borrowed</v>
      </c>
    </row>
    <row r="336" spans="1:15">
      <c r="A336" s="1531">
        <v>27322000</v>
      </c>
      <c r="B336" s="710" t="s">
        <v>400</v>
      </c>
      <c r="C336" s="710"/>
      <c r="D336" s="560"/>
      <c r="E336" s="711"/>
      <c r="F336" s="712">
        <f>+financing!F14</f>
        <v>1785226.6</v>
      </c>
      <c r="G336" s="562">
        <f t="shared" si="92"/>
        <v>198358.51111111112</v>
      </c>
      <c r="H336" s="563">
        <f t="shared" si="93"/>
        <v>71.880600740860046</v>
      </c>
      <c r="I336" s="564">
        <f t="shared" si="94"/>
        <v>8.2886496517057318E-2</v>
      </c>
      <c r="J336" s="564">
        <f t="shared" si="95"/>
        <v>6.5346000673509139E-2</v>
      </c>
      <c r="K336" s="609"/>
      <c r="L336" s="1378" t="str">
        <f>IFERROR(INDEX('Job Cost COA'!E:F,MATCH(A336,'Job Cost COA'!E:E,0),2),IF(F336&lt;&gt;0,"Assign Code","Missing Code"))</f>
        <v>Deferred COS-Vert Dev</v>
      </c>
    </row>
    <row r="337" spans="1:12">
      <c r="A337" s="1531">
        <v>30000000</v>
      </c>
      <c r="B337" s="714" t="s">
        <v>187</v>
      </c>
      <c r="C337" s="714"/>
      <c r="D337" s="672"/>
      <c r="E337" s="715"/>
      <c r="F337" s="716">
        <f>financing!F10</f>
        <v>4000000</v>
      </c>
      <c r="G337" s="605">
        <f t="shared" si="92"/>
        <v>444444.44444444444</v>
      </c>
      <c r="H337" s="606">
        <f t="shared" si="93"/>
        <v>161.05653084232566</v>
      </c>
      <c r="I337" s="607">
        <f t="shared" si="94"/>
        <v>0.1857164721096074</v>
      </c>
      <c r="J337" s="607">
        <f t="shared" si="95"/>
        <v>0.14641502803847786</v>
      </c>
      <c r="K337" s="609"/>
      <c r="L337" s="1378" t="str">
        <f>IFERROR(INDEX('Job Cost COA'!E:F,MATCH(A337,'Job Cost COA'!E:E,0),2),IF(F337&lt;&gt;0,"Assign Code","Missing Code"))</f>
        <v>EQUITY</v>
      </c>
    </row>
    <row r="338" spans="1:12">
      <c r="A338" s="1531">
        <v>30111300</v>
      </c>
      <c r="B338" s="981" t="str">
        <f>+financing!B22</f>
        <v>OG Group</v>
      </c>
      <c r="C338" s="717"/>
      <c r="D338" s="666"/>
      <c r="E338" s="718"/>
      <c r="F338" s="719">
        <f>financing!F8</f>
        <v>400000</v>
      </c>
      <c r="G338" s="669">
        <f t="shared" si="92"/>
        <v>44444.444444444445</v>
      </c>
      <c r="H338" s="670">
        <f t="shared" si="93"/>
        <v>16.105653084232564</v>
      </c>
      <c r="I338" s="671">
        <f t="shared" si="94"/>
        <v>1.8571647210960742E-2</v>
      </c>
      <c r="J338" s="671">
        <f t="shared" si="95"/>
        <v>1.4641502803847788E-2</v>
      </c>
      <c r="K338" s="609"/>
      <c r="L338" s="1378" t="str">
        <f>IFERROR(INDEX('Job Cost COA'!E:F,MATCH(A338,'Job Cost COA'!E:E,0),2),IF(F338&lt;&gt;0,"Assign Code","Missing Code"))</f>
        <v>Partner-Equity-Contrib</v>
      </c>
    </row>
    <row r="339" spans="1:12">
      <c r="A339" s="1531">
        <v>31111300</v>
      </c>
      <c r="B339" s="981" t="str">
        <f>+financing!B21</f>
        <v>TBD</v>
      </c>
      <c r="C339" s="710"/>
      <c r="D339" s="560"/>
      <c r="E339" s="711"/>
      <c r="F339" s="712">
        <f>financing!F7</f>
        <v>3600000</v>
      </c>
      <c r="G339" s="562">
        <f t="shared" si="92"/>
        <v>400000</v>
      </c>
      <c r="H339" s="563">
        <f t="shared" si="93"/>
        <v>144.9508777580931</v>
      </c>
      <c r="I339" s="564">
        <f t="shared" si="94"/>
        <v>0.16714482489864665</v>
      </c>
      <c r="J339" s="564">
        <f t="shared" si="95"/>
        <v>0.1317735252346301</v>
      </c>
      <c r="K339" s="609"/>
      <c r="L339" s="1378" t="str">
        <f>IFERROR(INDEX('Job Cost COA'!E:F,MATCH(A339,'Job Cost COA'!E:E,0),2),IF(F339&lt;&gt;0,"Assign Code","Missing Code"))</f>
        <v>External-Equity-Contrib</v>
      </c>
    </row>
    <row r="340" spans="1:12">
      <c r="A340" s="1531">
        <v>31111300</v>
      </c>
      <c r="B340" s="981" t="str">
        <f>+financing!B9</f>
        <v>TBD</v>
      </c>
      <c r="C340" s="720"/>
      <c r="D340" s="721"/>
      <c r="E340" s="722"/>
      <c r="F340" s="723">
        <f>financing!F9</f>
        <v>0</v>
      </c>
      <c r="G340" s="724">
        <f t="shared" si="92"/>
        <v>0</v>
      </c>
      <c r="H340" s="725">
        <f t="shared" si="93"/>
        <v>0</v>
      </c>
      <c r="I340" s="726">
        <f t="shared" si="94"/>
        <v>0</v>
      </c>
      <c r="J340" s="726">
        <f t="shared" si="95"/>
        <v>0</v>
      </c>
      <c r="K340" s="609"/>
      <c r="L340" s="1378" t="str">
        <f>IFERROR(INDEX('Job Cost COA'!E:F,MATCH(A340,'Job Cost COA'!E:E,0),2),IF(F340&lt;&gt;0,"Assign Code","Missing Code"))</f>
        <v>External-Equity-Contrib</v>
      </c>
    </row>
    <row r="341" spans="1:12">
      <c r="B341" s="616" t="s">
        <v>313</v>
      </c>
      <c r="C341" s="616"/>
      <c r="D341" s="617"/>
      <c r="E341" s="618"/>
      <c r="F341" s="619">
        <f>SUM(F332:F337)</f>
        <v>21082604.581361055</v>
      </c>
      <c r="G341" s="620">
        <f t="shared" si="92"/>
        <v>2342511.6201512283</v>
      </c>
      <c r="H341" s="621">
        <f t="shared" si="93"/>
        <v>848.8727887486333</v>
      </c>
      <c r="I341" s="622">
        <f>$F341/DevBud2</f>
        <v>0.97884673643305542</v>
      </c>
      <c r="J341" s="622">
        <f t="shared" si="95"/>
        <v>0.77170253522603027</v>
      </c>
      <c r="K341" s="609"/>
      <c r="L341" s="1382"/>
    </row>
    <row r="342" spans="1:12">
      <c r="C342" s="151"/>
      <c r="E342" s="150"/>
      <c r="F342" s="691"/>
    </row>
    <row r="343" spans="1:12">
      <c r="B343" s="727" t="s">
        <v>185</v>
      </c>
      <c r="C343" s="727"/>
      <c r="E343" s="150"/>
    </row>
    <row r="344" spans="1:12">
      <c r="B344" s="727" t="s">
        <v>314</v>
      </c>
      <c r="C344" s="727">
        <f>IF(AND(ABS(F329-F341)&lt;1,ABS(F329-DevBud2)&lt;1,ABS(F341-hard_budget!$F$341)&lt;1),"",1)</f>
        <v>1</v>
      </c>
    </row>
    <row r="345" spans="1:12">
      <c r="B345" s="728" t="s">
        <v>315</v>
      </c>
      <c r="C345" s="727" t="str">
        <f>IF(AND(ABS(SUM(F14,F29,F61,F64,F78,F86,F118,F137,F150,F157,F163,F171,F194,F201,F217,F241,F272,F297,F307,F320,F325,F327)-SUM(F5:F13,F16:F28,F31:F60,F64,F69:F77,F80:F85,F88:F117,F120:F136,F139:F149,F152:F156,F159:F162,F165:F170,F173:F193,F196:F200,F203:F216,F219:F236,F238:F240,F243:F271,F274:F296,F299:F306,F309:F319,F322:F324,F327))&lt;1,ABS(SUM(F14,F29,F61,F64,F78,F86,F118,F137,F150,F157,F163,F171,F194,F201,F217,F241,F272,F297,F307,F320,F325,F327)-F329)&lt;1),"",1)</f>
        <v/>
      </c>
    </row>
    <row r="346" spans="1:12">
      <c r="B346" s="727" t="s">
        <v>316</v>
      </c>
      <c r="C346" s="727" t="str">
        <f>IF(AND(ABS(SUM(G14,G29,G61,G64,G78,G86,G118,G137,G150,G157,G163,G171,G194,G201,G217,G241,G272,G297,G307,G320,G325,G327)-SUM(G5:G13,G16:G28,G31:G60,G64,G69:G77,G80:G85,G88:G117,G120:G136,G139:G149,G152:G156,G159:G162,G165:G170,G173:G193,G196:G200,G203:G216,G219:G236,G238:G240,G243:G271,G274:G296,G299:G306,G309:G319,G322:G324,G327))&lt;1,ABS(SUM(G14,G29,G61,G64,G78,G86,G118,G137,G150,G157,G163,G171,G194,G201,G217,G241,G272,G297,G307,G320,G325,G327)-G329)&lt;1),"",1)</f>
        <v/>
      </c>
    </row>
    <row r="347" spans="1:12">
      <c r="B347" s="727" t="s">
        <v>317</v>
      </c>
      <c r="C347" s="727" t="str">
        <f>IF(AND(ABS(SUM(H14,H29,H61,H64,H78,H86,H118,H137,H150,H157,H163,H171,H194,H201,H217,H241,H272,H297,H307,H320,H325,H327)-SUM(H5:H13,H16:H28,H31:H60,H64,H69:H77,H80:H85,H88:H117,H120:H136,H139:H149,H152:H156,H159:H162,H165:H170,H173:H193,H196:H200,H203:H216,H219:H236,H238:H240,H243:H271,H274:H296,H299:H306,H309:H319,H322:H324,H327))&lt;1,ABS(SUM(H14,H29,H61,H64,H78,H86,H118,H137,H150,H157,H163,H171,H194,H201,H217,H241,H272,H297,H307,H320,H325,H327)-H329)&lt;1),"",1)</f>
        <v/>
      </c>
      <c r="E347" s="150"/>
    </row>
    <row r="348" spans="1:12">
      <c r="B348" s="727" t="s">
        <v>318</v>
      </c>
      <c r="C348" s="727" t="str">
        <f>IF(AND(ABS(SUM(I14,I29,I61,I64,I78,I86,I118,I137,I150,I157,I163,I171,I194,I201,I217,I241,I272,I297,I307,I320,I325,I327)-SUM(I5:I13,I16:I28,I31:I60,I64,I69:I77,I80:I85,I88:I117,I120:I136,I139:I149,I152:I156,I159:I162,I165:I170,I173:I193,I196:I200,I203:I216,I219:I236,I238:I240,I243:I271,I274:I296,I299:I306,I309:I319,I322:I324,I327))&lt;0.0001,ABS(SUM(I14,I29,I61,I64,I78,I86,I118,I137,I150,I157,I163,I171,I194,I201,I217,I241,I272,I297,I307,I320,I325,I327)-I329)&lt;0.0001),"",1)</f>
        <v/>
      </c>
      <c r="E348" s="150"/>
    </row>
    <row r="349" spans="1:12">
      <c r="B349" s="727" t="s">
        <v>319</v>
      </c>
      <c r="C349" s="727" t="str">
        <f>IF(AND(ABS(SUM(J14,J29,J61,J64,J78,J86,J118,J137,J150,J157,J163,J171,J194,J201,J217,J241,J272,J297,J307,J320,J325,J327)-SUM(J5:J13,J16:J28,J31:J60,J64,J69:J77,J80:J85,J88:J117,J120:J136,J139:J149,J152:J156,J159:J162,J165:J170,J173:J193,J196:J200,J203:J216,J219:J236,J238:J240,J243:J271,J274:J296,J299:J306,J309:J319,J322:J324,J327))&lt;0.0001,ABS(SUM(J14,J29,J61,J64,J78,J86,J118,J137,J150,J157,J163,J171,J194,J201,J217,J241,J272,J297,J307,J320,J325,J327)-J329)&lt;0.0001),"",1)</f>
        <v/>
      </c>
    </row>
    <row r="350" spans="1:12">
      <c r="B350" s="728" t="s">
        <v>320</v>
      </c>
      <c r="C350" s="727">
        <f>IF(ABS(F329-F341)&lt;1,"",1)</f>
        <v>1</v>
      </c>
      <c r="E350" s="150"/>
    </row>
    <row r="351" spans="1:12">
      <c r="B351" s="728"/>
      <c r="C351" s="727"/>
      <c r="E351" s="150"/>
    </row>
    <row r="352" spans="1:12">
      <c r="B352" s="727" t="s">
        <v>494</v>
      </c>
      <c r="C352" s="729">
        <f>DevBud1</f>
        <v>21538207.971338443</v>
      </c>
      <c r="E352" s="150"/>
      <c r="F352" s="150"/>
    </row>
    <row r="353" spans="2:6">
      <c r="B353" s="727" t="s">
        <v>495</v>
      </c>
      <c r="C353" s="729">
        <f>DevBud2</f>
        <v>21538207.971338443</v>
      </c>
      <c r="E353" s="150"/>
      <c r="F353" s="150"/>
    </row>
    <row r="354" spans="2:6">
      <c r="B354" s="727" t="s">
        <v>496</v>
      </c>
      <c r="C354" s="730">
        <f>hard_budget!F341</f>
        <v>21538207.971338443</v>
      </c>
      <c r="E354" s="150"/>
    </row>
    <row r="355" spans="2:6">
      <c r="B355" s="149"/>
      <c r="E355" s="150"/>
    </row>
    <row r="356" spans="2:6">
      <c r="B356" s="149"/>
      <c r="E356" s="150"/>
    </row>
    <row r="357" spans="2:6">
      <c r="B357" s="149"/>
      <c r="E357" s="150"/>
    </row>
    <row r="358" spans="2:6">
      <c r="B358" s="149"/>
      <c r="E358" s="150"/>
    </row>
    <row r="359" spans="2:6">
      <c r="B359" s="149"/>
      <c r="E359" s="150"/>
    </row>
    <row r="360" spans="2:6">
      <c r="C360" s="151"/>
      <c r="E360" s="150"/>
    </row>
    <row r="363" spans="2:6">
      <c r="C363" s="152"/>
      <c r="E363" s="153"/>
      <c r="F363" s="150"/>
    </row>
    <row r="367" spans="2:6">
      <c r="B367" s="154"/>
      <c r="C367" s="152"/>
      <c r="E367" s="149"/>
    </row>
    <row r="368" spans="2:6">
      <c r="E368" s="149"/>
    </row>
  </sheetData>
  <mergeCells count="2">
    <mergeCell ref="B247:C247"/>
    <mergeCell ref="B263:C263"/>
  </mergeCells>
  <conditionalFormatting sqref="L6:L13 L17:L28">
    <cfRule type="containsText" dxfId="102" priority="325" operator="containsText" text="Missing">
      <formula>NOT(ISERROR(SEARCH("Missing",L6)))</formula>
    </cfRule>
  </conditionalFormatting>
  <conditionalFormatting sqref="L81:L85">
    <cfRule type="containsText" dxfId="101" priority="315" operator="containsText" text="Missing">
      <formula>NOT(ISERROR(SEARCH("Missing",L81)))</formula>
    </cfRule>
  </conditionalFormatting>
  <conditionalFormatting sqref="L6:L13 L17:L28">
    <cfRule type="containsText" dxfId="100" priority="322" operator="containsText" text="Assign">
      <formula>NOT(ISERROR(SEARCH("Assign",L6)))</formula>
    </cfRule>
  </conditionalFormatting>
  <conditionalFormatting sqref="L32:L60">
    <cfRule type="containsText" dxfId="99" priority="319" operator="containsText" text="Missing">
      <formula>NOT(ISERROR(SEARCH("Missing",L32)))</formula>
    </cfRule>
  </conditionalFormatting>
  <conditionalFormatting sqref="L32:L60">
    <cfRule type="containsText" dxfId="98" priority="318" operator="containsText" text="Assign">
      <formula>NOT(ISERROR(SEARCH("Assign",L32)))</formula>
    </cfRule>
  </conditionalFormatting>
  <conditionalFormatting sqref="L70:L77">
    <cfRule type="containsText" dxfId="97" priority="317" operator="containsText" text="Missing">
      <formula>NOT(ISERROR(SEARCH("Missing",L70)))</formula>
    </cfRule>
  </conditionalFormatting>
  <conditionalFormatting sqref="L70:L77">
    <cfRule type="containsText" dxfId="96" priority="316" operator="containsText" text="Assign">
      <formula>NOT(ISERROR(SEARCH("Assign",L70)))</formula>
    </cfRule>
  </conditionalFormatting>
  <conditionalFormatting sqref="L81:L85">
    <cfRule type="containsText" dxfId="95" priority="314" operator="containsText" text="Assign">
      <formula>NOT(ISERROR(SEARCH("Assign",L81)))</formula>
    </cfRule>
  </conditionalFormatting>
  <conditionalFormatting sqref="L89:L117">
    <cfRule type="containsText" dxfId="94" priority="313" operator="containsText" text="Missing">
      <formula>NOT(ISERROR(SEARCH("Missing",L89)))</formula>
    </cfRule>
  </conditionalFormatting>
  <conditionalFormatting sqref="L89:L117">
    <cfRule type="containsText" dxfId="93" priority="312" operator="containsText" text="Assign">
      <formula>NOT(ISERROR(SEARCH("Assign",L89)))</formula>
    </cfRule>
  </conditionalFormatting>
  <conditionalFormatting sqref="L121:L136">
    <cfRule type="containsText" dxfId="92" priority="311" operator="containsText" text="Missing">
      <formula>NOT(ISERROR(SEARCH("Missing",L121)))</formula>
    </cfRule>
  </conditionalFormatting>
  <conditionalFormatting sqref="L121:L136">
    <cfRule type="containsText" dxfId="91" priority="310" operator="containsText" text="Assign">
      <formula>NOT(ISERROR(SEARCH("Assign",L121)))</formula>
    </cfRule>
  </conditionalFormatting>
  <conditionalFormatting sqref="L140:L149">
    <cfRule type="containsText" dxfId="90" priority="309" operator="containsText" text="Missing">
      <formula>NOT(ISERROR(SEARCH("Missing",L140)))</formula>
    </cfRule>
  </conditionalFormatting>
  <conditionalFormatting sqref="L140:L149">
    <cfRule type="containsText" dxfId="89" priority="308" operator="containsText" text="Assign">
      <formula>NOT(ISERROR(SEARCH("Assign",L140)))</formula>
    </cfRule>
  </conditionalFormatting>
  <conditionalFormatting sqref="L153:L156">
    <cfRule type="containsText" dxfId="88" priority="307" operator="containsText" text="Missing">
      <formula>NOT(ISERROR(SEARCH("Missing",L153)))</formula>
    </cfRule>
  </conditionalFormatting>
  <conditionalFormatting sqref="L153:L156">
    <cfRule type="containsText" dxfId="87" priority="306" operator="containsText" text="Assign">
      <formula>NOT(ISERROR(SEARCH("Assign",L153)))</formula>
    </cfRule>
  </conditionalFormatting>
  <conditionalFormatting sqref="L160:L162">
    <cfRule type="containsText" dxfId="86" priority="305" operator="containsText" text="Missing">
      <formula>NOT(ISERROR(SEARCH("Missing",L160)))</formula>
    </cfRule>
  </conditionalFormatting>
  <conditionalFormatting sqref="L160:L162">
    <cfRule type="containsText" dxfId="85" priority="304" operator="containsText" text="Assign">
      <formula>NOT(ISERROR(SEARCH("Assign",L160)))</formula>
    </cfRule>
  </conditionalFormatting>
  <conditionalFormatting sqref="L166:L170">
    <cfRule type="containsText" dxfId="84" priority="303" operator="containsText" text="Missing">
      <formula>NOT(ISERROR(SEARCH("Missing",L166)))</formula>
    </cfRule>
  </conditionalFormatting>
  <conditionalFormatting sqref="L166:L170">
    <cfRule type="containsText" dxfId="83" priority="302" operator="containsText" text="Assign">
      <formula>NOT(ISERROR(SEARCH("Assign",L166)))</formula>
    </cfRule>
  </conditionalFormatting>
  <conditionalFormatting sqref="L174:L193">
    <cfRule type="containsText" dxfId="82" priority="301" operator="containsText" text="Missing">
      <formula>NOT(ISERROR(SEARCH("Missing",L174)))</formula>
    </cfRule>
  </conditionalFormatting>
  <conditionalFormatting sqref="L174:L193">
    <cfRule type="containsText" dxfId="81" priority="300" operator="containsText" text="Assign">
      <formula>NOT(ISERROR(SEARCH("Assign",L174)))</formula>
    </cfRule>
  </conditionalFormatting>
  <conditionalFormatting sqref="L197:L200">
    <cfRule type="containsText" dxfId="80" priority="299" operator="containsText" text="Missing">
      <formula>NOT(ISERROR(SEARCH("Missing",L197)))</formula>
    </cfRule>
  </conditionalFormatting>
  <conditionalFormatting sqref="L197:L200">
    <cfRule type="containsText" dxfId="79" priority="298" operator="containsText" text="Assign">
      <formula>NOT(ISERROR(SEARCH("Assign",L197)))</formula>
    </cfRule>
  </conditionalFormatting>
  <conditionalFormatting sqref="L204:L216">
    <cfRule type="containsText" dxfId="78" priority="297" operator="containsText" text="Missing">
      <formula>NOT(ISERROR(SEARCH("Missing",L204)))</formula>
    </cfRule>
  </conditionalFormatting>
  <conditionalFormatting sqref="L204:L216">
    <cfRule type="containsText" dxfId="77" priority="296" operator="containsText" text="Assign">
      <formula>NOT(ISERROR(SEARCH("Assign",L204)))</formula>
    </cfRule>
  </conditionalFormatting>
  <conditionalFormatting sqref="L220:L240">
    <cfRule type="containsText" dxfId="76" priority="295" operator="containsText" text="Missing">
      <formula>NOT(ISERROR(SEARCH("Missing",L220)))</formula>
    </cfRule>
  </conditionalFormatting>
  <conditionalFormatting sqref="L220:L240">
    <cfRule type="containsText" dxfId="75" priority="294" operator="containsText" text="Assign">
      <formula>NOT(ISERROR(SEARCH("Assign",L220)))</formula>
    </cfRule>
  </conditionalFormatting>
  <conditionalFormatting sqref="L244:L271">
    <cfRule type="containsText" dxfId="74" priority="293" operator="containsText" text="Missing">
      <formula>NOT(ISERROR(SEARCH("Missing",L244)))</formula>
    </cfRule>
  </conditionalFormatting>
  <conditionalFormatting sqref="L244:L271">
    <cfRule type="containsText" dxfId="73" priority="292" operator="containsText" text="Assign">
      <formula>NOT(ISERROR(SEARCH("Assign",L244)))</formula>
    </cfRule>
  </conditionalFormatting>
  <conditionalFormatting sqref="L275:L296">
    <cfRule type="containsText" dxfId="72" priority="291" operator="containsText" text="Missing">
      <formula>NOT(ISERROR(SEARCH("Missing",L275)))</formula>
    </cfRule>
  </conditionalFormatting>
  <conditionalFormatting sqref="L275:L296">
    <cfRule type="containsText" dxfId="71" priority="290" operator="containsText" text="Assign">
      <formula>NOT(ISERROR(SEARCH("Assign",L275)))</formula>
    </cfRule>
  </conditionalFormatting>
  <conditionalFormatting sqref="L300:L306">
    <cfRule type="containsText" dxfId="70" priority="289" operator="containsText" text="Missing">
      <formula>NOT(ISERROR(SEARCH("Missing",L300)))</formula>
    </cfRule>
  </conditionalFormatting>
  <conditionalFormatting sqref="L300:L306">
    <cfRule type="containsText" dxfId="69" priority="288" operator="containsText" text="Assign">
      <formula>NOT(ISERROR(SEARCH("Assign",L300)))</formula>
    </cfRule>
  </conditionalFormatting>
  <conditionalFormatting sqref="L310:L319">
    <cfRule type="containsText" dxfId="68" priority="287" operator="containsText" text="Missing">
      <formula>NOT(ISERROR(SEARCH("Missing",L310)))</formula>
    </cfRule>
  </conditionalFormatting>
  <conditionalFormatting sqref="L310:L319">
    <cfRule type="containsText" dxfId="67" priority="286" operator="containsText" text="Assign">
      <formula>NOT(ISERROR(SEARCH("Assign",L310)))</formula>
    </cfRule>
  </conditionalFormatting>
  <conditionalFormatting sqref="L323:L324 L327">
    <cfRule type="containsText" dxfId="66" priority="285" operator="containsText" text="Missing">
      <formula>NOT(ISERROR(SEARCH("Missing",L323)))</formula>
    </cfRule>
  </conditionalFormatting>
  <conditionalFormatting sqref="L323:L324 L327">
    <cfRule type="containsText" dxfId="65" priority="284" operator="containsText" text="Assign">
      <formula>NOT(ISERROR(SEARCH("Assign",L323)))</formula>
    </cfRule>
  </conditionalFormatting>
  <conditionalFormatting sqref="L63:L64">
    <cfRule type="containsText" dxfId="64" priority="259" operator="containsText" text="Missing">
      <formula>NOT(ISERROR(SEARCH("Missing",L63)))</formula>
    </cfRule>
  </conditionalFormatting>
  <conditionalFormatting sqref="L63:L64">
    <cfRule type="containsText" dxfId="63" priority="258" operator="containsText" text="Assign">
      <formula>NOT(ISERROR(SEARCH("Assign",L63)))</formula>
    </cfRule>
  </conditionalFormatting>
  <conditionalFormatting sqref="L332:L340">
    <cfRule type="containsText" dxfId="62" priority="180" operator="containsText" text="Missing">
      <formula>NOT(ISERROR(SEARCH("Missing",L332)))</formula>
    </cfRule>
  </conditionalFormatting>
  <conditionalFormatting sqref="L332:L340">
    <cfRule type="containsText" dxfId="61" priority="179" operator="containsText" text="Assign">
      <formula>NOT(ISERROR(SEARCH("Assign",L332)))</formula>
    </cfRule>
  </conditionalFormatting>
  <conditionalFormatting sqref="A153 A107:A109 A91:A105 A140:A143 A193 A186:A187 A121 A123:A127 A129:A132 A9:A10 A197:A200 A300:A301 A204:A211 A275:A278 A294:A295 A280:A290 A244:A270">
    <cfRule type="expression" dxfId="60" priority="1129">
      <formula>$R9="Regular"</formula>
    </cfRule>
    <cfRule type="expression" dxfId="59" priority="1130">
      <formula>AND($C9=9,$R9&lt;&gt;"Regular")</formula>
    </cfRule>
    <cfRule type="expression" dxfId="58" priority="1131">
      <formula>AND($C9=8,$R9&lt;&gt;"Regular")</formula>
    </cfRule>
    <cfRule type="expression" dxfId="57" priority="1132">
      <formula>AND($C9=8,$R9&lt;&gt;"Regular")</formula>
    </cfRule>
    <cfRule type="expression" dxfId="56" priority="1133">
      <formula>AND($C9=7,$R9&lt;&gt;"Regular")</formula>
    </cfRule>
    <cfRule type="expression" dxfId="55" priority="1134">
      <formula>AND($C9=6,$R9&lt;&gt;"Regular")</formula>
    </cfRule>
    <cfRule type="expression" dxfId="54" priority="1135">
      <formula>AND($C9=5,$R9&lt;&gt;"Regular")</formula>
    </cfRule>
    <cfRule type="expression" dxfId="53" priority="1136">
      <formula>AND($C9=4,$R9&lt;&gt;"Regular")</formula>
    </cfRule>
    <cfRule type="expression" dxfId="52" priority="1137">
      <formula>AND($C9=3,$R9&lt;&gt;"Regular")</formula>
    </cfRule>
    <cfRule type="expression" dxfId="51" priority="1138">
      <formula>AND($C9=2,$R9&lt;&gt;"Regular")</formula>
    </cfRule>
    <cfRule type="expression" dxfId="50" priority="1139">
      <formula>AND($C9=1,$R9&lt;&gt;"Regular")</formula>
    </cfRule>
  </conditionalFormatting>
  <conditionalFormatting sqref="A148">
    <cfRule type="expression" dxfId="49" priority="134">
      <formula>$I148=$E148</formula>
    </cfRule>
  </conditionalFormatting>
  <conditionalFormatting sqref="A148">
    <cfRule type="expression" dxfId="48" priority="135">
      <formula>$T148="Regular"</formula>
    </cfRule>
    <cfRule type="expression" dxfId="47" priority="136">
      <formula>AND($C148=9,$T148&lt;&gt;"Regular")</formula>
    </cfRule>
    <cfRule type="expression" dxfId="46" priority="137">
      <formula>AND($C148=8,$T148&lt;&gt;"Regular")</formula>
    </cfRule>
    <cfRule type="expression" dxfId="45" priority="138">
      <formula>AND($C148=8,$T148&lt;&gt;"Regular")</formula>
    </cfRule>
    <cfRule type="expression" dxfId="44" priority="139">
      <formula>AND($C148=7,$T148&lt;&gt;"Regular")</formula>
    </cfRule>
    <cfRule type="expression" dxfId="43" priority="140">
      <formula>AND($C148=6,$T148&lt;&gt;"Regular")</formula>
    </cfRule>
    <cfRule type="expression" dxfId="42" priority="141">
      <formula>AND($C148=5,$T148&lt;&gt;"Regular")</formula>
    </cfRule>
    <cfRule type="expression" dxfId="41" priority="142">
      <formula>AND($C148=4,$T148&lt;&gt;"Regular")</formula>
    </cfRule>
    <cfRule type="expression" dxfId="40" priority="143">
      <formula>AND($C148=3,$T148&lt;&gt;"Regular")</formula>
    </cfRule>
    <cfRule type="expression" dxfId="39" priority="144">
      <formula>AND($C148=2,$T148&lt;&gt;"Regular")</formula>
    </cfRule>
    <cfRule type="expression" dxfId="38" priority="145">
      <formula>AND($C148=1,$T148&lt;&gt;"Regular")</formula>
    </cfRule>
  </conditionalFormatting>
  <conditionalFormatting sqref="A149">
    <cfRule type="expression" dxfId="37" priority="122">
      <formula>$I149=$E149</formula>
    </cfRule>
  </conditionalFormatting>
  <conditionalFormatting sqref="A149">
    <cfRule type="expression" dxfId="36" priority="123">
      <formula>$T149="Regular"</formula>
    </cfRule>
    <cfRule type="expression" dxfId="35" priority="124">
      <formula>AND($C149=9,$T149&lt;&gt;"Regular")</formula>
    </cfRule>
    <cfRule type="expression" dxfId="34" priority="125">
      <formula>AND($C149=8,$T149&lt;&gt;"Regular")</formula>
    </cfRule>
    <cfRule type="expression" dxfId="33" priority="126">
      <formula>AND($C149=8,$T149&lt;&gt;"Regular")</formula>
    </cfRule>
    <cfRule type="expression" dxfId="32" priority="127">
      <formula>AND($C149=7,$T149&lt;&gt;"Regular")</formula>
    </cfRule>
    <cfRule type="expression" dxfId="31" priority="128">
      <formula>AND($C149=6,$T149&lt;&gt;"Regular")</formula>
    </cfRule>
    <cfRule type="expression" dxfId="30" priority="129">
      <formula>AND($C149=5,$T149&lt;&gt;"Regular")</formula>
    </cfRule>
    <cfRule type="expression" dxfId="29" priority="130">
      <formula>AND($C149=4,$T149&lt;&gt;"Regular")</formula>
    </cfRule>
    <cfRule type="expression" dxfId="28" priority="131">
      <formula>AND($C149=3,$T149&lt;&gt;"Regular")</formula>
    </cfRule>
    <cfRule type="expression" dxfId="27" priority="132">
      <formula>AND($C149=2,$T149&lt;&gt;"Regular")</formula>
    </cfRule>
    <cfRule type="expression" dxfId="26" priority="133">
      <formula>AND($C149=1,$T149&lt;&gt;"Regular")</formula>
    </cfRule>
  </conditionalFormatting>
  <conditionalFormatting sqref="A112">
    <cfRule type="expression" dxfId="25" priority="12">
      <formula>$R112="Regular"</formula>
    </cfRule>
    <cfRule type="expression" dxfId="24" priority="13">
      <formula>AND($C112=9,$R112&lt;&gt;"Regular")</formula>
    </cfRule>
    <cfRule type="expression" dxfId="23" priority="14">
      <formula>AND($C112=8,$R112&lt;&gt;"Regular")</formula>
    </cfRule>
    <cfRule type="expression" dxfId="22" priority="15">
      <formula>AND($C112=8,$R112&lt;&gt;"Regular")</formula>
    </cfRule>
    <cfRule type="expression" dxfId="21" priority="16">
      <formula>AND($C112=7,$R112&lt;&gt;"Regular")</formula>
    </cfRule>
    <cfRule type="expression" dxfId="20" priority="17">
      <formula>AND($C112=6,$R112&lt;&gt;"Regular")</formula>
    </cfRule>
    <cfRule type="expression" dxfId="19" priority="18">
      <formula>AND($C112=5,$R112&lt;&gt;"Regular")</formula>
    </cfRule>
    <cfRule type="expression" dxfId="18" priority="19">
      <formula>AND($C112=4,$R112&lt;&gt;"Regular")</formula>
    </cfRule>
    <cfRule type="expression" dxfId="17" priority="20">
      <formula>AND($C112=3,$R112&lt;&gt;"Regular")</formula>
    </cfRule>
    <cfRule type="expression" dxfId="16" priority="21">
      <formula>AND($C112=2,$R112&lt;&gt;"Regular")</formula>
    </cfRule>
    <cfRule type="expression" dxfId="15" priority="22">
      <formula>AND($C112=1,$R112&lt;&gt;"Regular")</formula>
    </cfRule>
  </conditionalFormatting>
  <dataValidations count="2">
    <dataValidation type="list" allowBlank="1" showInputMessage="1" showErrorMessage="1" sqref="E204:E216 E121:E136 E70:E77 E186:E193 E81:E85 E323:E324 E161:E162 E289:E296 E166:E170 E153:E156 E140:E149 E89:E117 E244:E271 E6:E13 E300:E306 E174:E176 E312:E319 E240 E181:E182 E32:E60 E17:E28" xr:uid="{00000000-0002-0000-0300-000000000000}">
      <formula1>"Total,Unit,SqFt,Cost%,Sales%"</formula1>
    </dataValidation>
    <dataValidation type="list" allowBlank="1" showInputMessage="1" showErrorMessage="1" sqref="J3:K3" xr:uid="{00000000-0002-0000-0300-000001000000}">
      <formula1>"Yes, No"</formula1>
    </dataValidation>
  </dataValidations>
  <printOptions horizontalCentered="1"/>
  <pageMargins left="0.25" right="0.25" top="0.75" bottom="0.75" header="0.3" footer="0.3"/>
  <pageSetup scale="69" fitToHeight="0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xr:uid="{524B4261-36CB-4E6F-9929-6A7151BA38F7}">
          <x14:formula1>
            <xm:f>'Job Cost COA'!$F$480:$F$496</xm:f>
          </x14:formula1>
          <xm:sqref>B11:B13</xm:sqref>
        </x14:dataValidation>
        <x14:dataValidation type="list" allowBlank="1" showInputMessage="1" showErrorMessage="1" xr:uid="{6BECDA72-97F1-4FA1-88D9-0176ED458F70}">
          <x14:formula1>
            <xm:f>'Job Cost COA'!$J$2786:$J$3060</xm:f>
          </x14:formula1>
          <xm:sqref>B24:B26</xm:sqref>
        </x14:dataValidation>
        <x14:dataValidation type="list" allowBlank="1" showInputMessage="1" showErrorMessage="1" xr:uid="{9D9B40C4-CEE5-4155-BD97-15000871E9FD}">
          <x14:formula1>
            <xm:f>'Job Cost COA'!$F$818:$F$822</xm:f>
          </x14:formula1>
          <xm:sqref>B74:B75</xm:sqref>
        </x14:dataValidation>
        <x14:dataValidation type="list" allowBlank="1" showInputMessage="1" showErrorMessage="1" xr:uid="{1A188EB5-C57D-44A3-9F96-4F179D9C0496}">
          <x14:formula1>
            <xm:f>'Job Cost COA'!$F$825:$F$826</xm:f>
          </x14:formula1>
          <xm:sqref>B83</xm:sqref>
        </x14:dataValidation>
        <x14:dataValidation type="list" allowBlank="1" showInputMessage="1" showErrorMessage="1" xr:uid="{D5325F91-43D9-4791-8797-ED498BCF7057}">
          <x14:formula1>
            <xm:f>'Job Cost COA'!$F$831:$F$844</xm:f>
          </x14:formula1>
          <xm:sqref>B111</xm:sqref>
        </x14:dataValidation>
        <x14:dataValidation type="list" allowBlank="1" showInputMessage="1" showErrorMessage="1" xr:uid="{6812567C-DB77-4E49-8E80-829F8A70DF8D}">
          <x14:formula1>
            <xm:f>'Job Cost COA'!$F$847:$F$892</xm:f>
          </x14:formula1>
          <xm:sqref>B113:B114</xm:sqref>
        </x14:dataValidation>
        <x14:dataValidation type="list" allowBlank="1" showInputMessage="1" showErrorMessage="1" xr:uid="{627D47E4-471A-4BD2-AD05-92107E74228E}">
          <x14:formula1>
            <xm:f>'Job Cost COA'!$F$899:$F$915</xm:f>
          </x14:formula1>
          <xm:sqref>B133:B134</xm:sqref>
        </x14:dataValidation>
        <x14:dataValidation type="list" allowBlank="1" showInputMessage="1" showErrorMessage="1" xr:uid="{A36D8B3F-4B84-4017-BE1D-0294C8B915BC}">
          <x14:formula1>
            <xm:f>'Job Cost COA'!$F$918:$F$927</xm:f>
          </x14:formula1>
          <xm:sqref>B145:B147 B154:B155</xm:sqref>
        </x14:dataValidation>
        <x14:dataValidation type="list" allowBlank="1" showInputMessage="1" showErrorMessage="1" xr:uid="{5AF07F17-EBED-4003-8360-FFFD857B32EC}">
          <x14:formula1>
            <xm:f>'Job Cost COA'!$F$930:$F$932</xm:f>
          </x14:formula1>
          <xm:sqref>B161:B162</xm:sqref>
        </x14:dataValidation>
        <x14:dataValidation type="list" allowBlank="1" showInputMessage="1" showErrorMessage="1" xr:uid="{4480ABF0-FACD-4CD7-BBAF-62CB0D8E0E05}">
          <x14:formula1>
            <xm:f>'Job Cost COA'!$F$935:$F$940</xm:f>
          </x14:formula1>
          <xm:sqref>B167:B170</xm:sqref>
        </x14:dataValidation>
        <x14:dataValidation type="list" allowBlank="1" showInputMessage="1" showErrorMessage="1" xr:uid="{15BA22F1-9B9E-4DFC-9D38-0BBBD78F8033}">
          <x14:formula1>
            <xm:f>'Job Cost COA'!$F$943:$F$965</xm:f>
          </x14:formula1>
          <xm:sqref>B212:B215</xm:sqref>
        </x14:dataValidation>
        <x14:dataValidation type="list" allowBlank="1" showInputMessage="1" showErrorMessage="1" xr:uid="{1AB664C6-251C-4192-87A1-C77F3AE59434}">
          <x14:formula1>
            <xm:f>'Job Cost COA'!$F$968:$F$1005</xm:f>
          </x14:formula1>
          <xm:sqref>B230:B232</xm:sqref>
        </x14:dataValidation>
        <x14:dataValidation type="list" allowBlank="1" showInputMessage="1" showErrorMessage="1" xr:uid="{76F30483-A037-4F03-AA57-20DBC6A3098D}">
          <x14:formula1>
            <xm:f>'Job Cost COA'!$F$1008:$F$1037</xm:f>
          </x14:formula1>
          <xm:sqref>B233:B234 B292:B295</xm:sqref>
        </x14:dataValidation>
        <x14:dataValidation type="list" allowBlank="1" showInputMessage="1" showErrorMessage="1" xr:uid="{D5A39052-0D20-40F9-82BA-15F00338C35A}">
          <x14:formula1>
            <xm:f>'Job Cost COA'!$F$1040:$F$1042</xm:f>
          </x14:formula1>
          <xm:sqref>B268</xm:sqref>
        </x14:dataValidation>
        <x14:dataValidation type="list" allowBlank="1" showInputMessage="1" showErrorMessage="1" xr:uid="{9997670C-C0FA-499F-844C-A74F708A714E}">
          <x14:formula1>
            <xm:f>'Job Cost COA'!$F$1045:$F$1057</xm:f>
          </x14:formula1>
          <xm:sqref>B302:B304</xm:sqref>
        </x14:dataValidation>
        <x14:dataValidation type="list" allowBlank="1" showInputMessage="1" showErrorMessage="1" xr:uid="{4E27974A-65AC-49BE-8550-1643237529F1}">
          <x14:formula1>
            <xm:f>'Job Cost COA'!$F$1450:$F$1480</xm:f>
          </x14:formula1>
          <xm:sqref>B190:B191</xm:sqref>
        </x14:dataValidation>
        <x14:dataValidation type="list" allowBlank="1" showInputMessage="1" showErrorMessage="1" xr:uid="{139A5719-DB52-4C6A-AEB0-1C5401803EE0}">
          <x14:formula1>
            <xm:f>'Job Cost COA'!$F$561:$F$814</xm:f>
          </x14:formula1>
          <xm:sqref>B54:B58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published="0" codeName="Sheet3">
    <tabColor theme="3" tint="0.59999389629810485"/>
    <pageSetUpPr fitToPage="1"/>
  </sheetPr>
  <dimension ref="A2:T76"/>
  <sheetViews>
    <sheetView zoomScale="143" workbookViewId="0">
      <selection activeCell="G19" sqref="G19"/>
    </sheetView>
  </sheetViews>
  <sheetFormatPr baseColWidth="10" defaultColWidth="9" defaultRowHeight="15"/>
  <cols>
    <col min="1" max="1" width="10.33203125" style="732" bestFit="1" customWidth="1"/>
    <col min="2" max="2" width="28.33203125" style="732" customWidth="1"/>
    <col min="3" max="11" width="12.5" style="732" customWidth="1"/>
    <col min="12" max="12" width="12.83203125" style="732" customWidth="1"/>
    <col min="13" max="13" width="18.1640625" style="732" bestFit="1" customWidth="1"/>
    <col min="14" max="14" width="15.5" style="732" customWidth="1"/>
    <col min="15" max="15" width="17.83203125" style="732" bestFit="1" customWidth="1"/>
    <col min="16" max="16" width="14" style="732" customWidth="1"/>
    <col min="17" max="17" width="17.33203125" style="732" bestFit="1" customWidth="1"/>
    <col min="18" max="18" width="16" style="732" customWidth="1"/>
    <col min="19" max="19" width="12.33203125" style="732" bestFit="1" customWidth="1"/>
    <col min="20" max="20" width="13.6640625" style="732" customWidth="1"/>
    <col min="21" max="21" width="9" style="732"/>
    <col min="22" max="22" width="13.6640625" style="732" customWidth="1"/>
    <col min="23" max="23" width="8.6640625" style="732" customWidth="1"/>
    <col min="24" max="16384" width="9" style="732"/>
  </cols>
  <sheetData>
    <row r="2" spans="1:17" ht="19">
      <c r="B2" s="767" t="s">
        <v>294</v>
      </c>
      <c r="C2" s="738"/>
      <c r="D2" s="738"/>
      <c r="E2" s="738"/>
      <c r="F2" s="738"/>
      <c r="G2" s="738"/>
      <c r="H2" s="738"/>
      <c r="I2" s="738"/>
      <c r="J2" s="738"/>
      <c r="K2" s="738"/>
      <c r="L2"/>
      <c r="M2"/>
      <c r="N2"/>
      <c r="O2"/>
      <c r="P2"/>
      <c r="Q2"/>
    </row>
    <row r="3" spans="1:17">
      <c r="B3" s="807" t="str">
        <f>general!$B$3</f>
        <v>Error(s)</v>
      </c>
      <c r="C3" s="808"/>
      <c r="D3" s="808"/>
      <c r="E3" s="808"/>
      <c r="F3" s="808"/>
      <c r="G3" s="808"/>
      <c r="H3" s="808"/>
      <c r="I3" s="808"/>
      <c r="J3" s="808"/>
      <c r="K3" s="808"/>
      <c r="L3"/>
      <c r="M3"/>
      <c r="N3"/>
      <c r="O3"/>
      <c r="P3"/>
      <c r="Q3"/>
    </row>
    <row r="4" spans="1:17">
      <c r="B4" s="768"/>
      <c r="C4" s="738"/>
      <c r="D4" s="738"/>
      <c r="E4" s="738"/>
      <c r="F4" s="738"/>
      <c r="G4" s="738"/>
      <c r="H4" s="738"/>
      <c r="I4" s="738"/>
      <c r="J4" s="738"/>
      <c r="K4" s="738"/>
      <c r="L4"/>
      <c r="M4"/>
      <c r="N4"/>
      <c r="O4"/>
      <c r="P4"/>
      <c r="Q4"/>
    </row>
    <row r="5" spans="1:17" ht="16">
      <c r="B5" s="798" t="s">
        <v>134</v>
      </c>
      <c r="C5" s="799" t="s">
        <v>499</v>
      </c>
      <c r="D5" s="799" t="s">
        <v>324</v>
      </c>
      <c r="E5" s="799" t="s">
        <v>30</v>
      </c>
      <c r="F5" s="799" t="s">
        <v>147</v>
      </c>
      <c r="G5" s="799" t="s">
        <v>572</v>
      </c>
      <c r="H5" s="799" t="s">
        <v>571</v>
      </c>
      <c r="I5" s="799" t="s">
        <v>326</v>
      </c>
      <c r="J5" s="799" t="s">
        <v>552</v>
      </c>
      <c r="K5" s="800" t="s">
        <v>552</v>
      </c>
    </row>
    <row r="6" spans="1:17">
      <c r="A6" s="1133"/>
      <c r="B6" s="1051" t="s">
        <v>5182</v>
      </c>
      <c r="C6" s="1052">
        <v>4</v>
      </c>
      <c r="D6" s="1507">
        <v>4.5</v>
      </c>
      <c r="E6" s="1052">
        <v>1</v>
      </c>
      <c r="F6" s="1052">
        <v>2969</v>
      </c>
      <c r="G6" s="1052">
        <v>1100</v>
      </c>
      <c r="H6" s="816">
        <f t="shared" ref="H6:H17" si="0">IFERROR(F6*G6,0)</f>
        <v>3265900</v>
      </c>
      <c r="I6" s="816">
        <f t="shared" ref="I6:I17" si="1">H6*E6</f>
        <v>3265900</v>
      </c>
      <c r="J6" s="816">
        <f t="shared" ref="J6:J17" si="2">E6*F6</f>
        <v>2969</v>
      </c>
      <c r="K6" s="818">
        <f t="shared" ref="K6:K17" si="3">+J6/ResSF</f>
        <v>0.11954421001771622</v>
      </c>
    </row>
    <row r="7" spans="1:17">
      <c r="A7" s="1133"/>
      <c r="B7" s="1053" t="s">
        <v>5183</v>
      </c>
      <c r="C7" s="1049">
        <v>4</v>
      </c>
      <c r="D7" s="1605">
        <v>4.5</v>
      </c>
      <c r="E7" s="1049">
        <v>1</v>
      </c>
      <c r="F7" s="1049">
        <v>2869</v>
      </c>
      <c r="G7" s="1049">
        <v>1100</v>
      </c>
      <c r="H7" s="754">
        <f t="shared" si="0"/>
        <v>3155900</v>
      </c>
      <c r="I7" s="754">
        <f t="shared" si="1"/>
        <v>3155900</v>
      </c>
      <c r="J7" s="754">
        <f t="shared" si="2"/>
        <v>2869</v>
      </c>
      <c r="K7" s="801">
        <f t="shared" si="3"/>
        <v>0.11551779674665807</v>
      </c>
    </row>
    <row r="8" spans="1:17">
      <c r="A8" s="1133"/>
      <c r="B8" s="1053" t="s">
        <v>5184</v>
      </c>
      <c r="C8" s="1049">
        <v>4</v>
      </c>
      <c r="D8" s="1605">
        <v>4.5</v>
      </c>
      <c r="E8" s="1049">
        <v>1</v>
      </c>
      <c r="F8" s="1049">
        <v>2969</v>
      </c>
      <c r="G8" s="1049">
        <v>1100</v>
      </c>
      <c r="H8" s="754">
        <f t="shared" ref="H8:H9" si="4">IFERROR(F8*G8,0)</f>
        <v>3265900</v>
      </c>
      <c r="I8" s="754">
        <f t="shared" ref="I8:I9" si="5">H8*E8</f>
        <v>3265900</v>
      </c>
      <c r="J8" s="754">
        <f t="shared" ref="J8:J9" si="6">E8*F8</f>
        <v>2969</v>
      </c>
      <c r="K8" s="801">
        <f t="shared" ref="K8:K9" si="7">+J8/ResSF</f>
        <v>0.11954421001771622</v>
      </c>
    </row>
    <row r="9" spans="1:17">
      <c r="A9" s="1133"/>
      <c r="B9" s="1053" t="s">
        <v>5185</v>
      </c>
      <c r="C9" s="1049">
        <v>4</v>
      </c>
      <c r="D9" s="1605">
        <v>4.5</v>
      </c>
      <c r="E9" s="1049">
        <v>1</v>
      </c>
      <c r="F9" s="1049">
        <v>2909</v>
      </c>
      <c r="G9" s="1049">
        <v>1100</v>
      </c>
      <c r="H9" s="754">
        <f t="shared" si="4"/>
        <v>3199900</v>
      </c>
      <c r="I9" s="754">
        <f t="shared" si="5"/>
        <v>3199900</v>
      </c>
      <c r="J9" s="754">
        <f t="shared" si="6"/>
        <v>2909</v>
      </c>
      <c r="K9" s="801">
        <f t="shared" si="7"/>
        <v>0.11712836205508133</v>
      </c>
      <c r="N9" s="732" t="s">
        <v>4971</v>
      </c>
      <c r="O9" s="732" t="s">
        <v>5032</v>
      </c>
      <c r="P9" s="732">
        <f>COUNTIF(E6:E17,"&gt;0")</f>
        <v>9</v>
      </c>
    </row>
    <row r="10" spans="1:17">
      <c r="A10" s="1133"/>
      <c r="B10" s="1053" t="s">
        <v>5186</v>
      </c>
      <c r="C10" s="1049">
        <v>3</v>
      </c>
      <c r="D10" s="1605">
        <v>3.5</v>
      </c>
      <c r="E10" s="1049">
        <v>1</v>
      </c>
      <c r="F10" s="1049">
        <v>2478</v>
      </c>
      <c r="G10" s="1049">
        <v>1100</v>
      </c>
      <c r="H10" s="754">
        <f t="shared" si="0"/>
        <v>2725800</v>
      </c>
      <c r="I10" s="754">
        <f t="shared" si="1"/>
        <v>2725800</v>
      </c>
      <c r="J10" s="754">
        <f t="shared" si="2"/>
        <v>2478</v>
      </c>
      <c r="K10" s="801">
        <f t="shared" si="3"/>
        <v>9.9774520856820745E-2</v>
      </c>
      <c r="N10" s="742" t="s">
        <v>17</v>
      </c>
      <c r="O10" s="742" t="s">
        <v>5033</v>
      </c>
      <c r="P10" s="742">
        <f>COUNTIFS($C$22:$C$27,N10,$E$22:$E$27,"&gt;0")</f>
        <v>0</v>
      </c>
    </row>
    <row r="11" spans="1:17">
      <c r="A11" s="1133"/>
      <c r="B11" s="1053" t="s">
        <v>5187</v>
      </c>
      <c r="C11" s="1049">
        <v>3</v>
      </c>
      <c r="D11" s="1605">
        <v>3.5</v>
      </c>
      <c r="E11" s="1049">
        <v>1</v>
      </c>
      <c r="F11" s="1049">
        <v>2477</v>
      </c>
      <c r="G11" s="1049">
        <v>1100</v>
      </c>
      <c r="H11" s="754">
        <f t="shared" si="0"/>
        <v>2724700</v>
      </c>
      <c r="I11" s="754">
        <f t="shared" si="1"/>
        <v>2724700</v>
      </c>
      <c r="J11" s="754">
        <f t="shared" si="2"/>
        <v>2477</v>
      </c>
      <c r="K11" s="801">
        <f t="shared" si="3"/>
        <v>9.9734256724110168E-2</v>
      </c>
      <c r="N11" s="742" t="s">
        <v>5028</v>
      </c>
      <c r="O11" s="732" t="s">
        <v>5034</v>
      </c>
      <c r="P11" s="732">
        <f>COUNTIFS($C$22:$C$27,N11,$E$22:$E$27,"&gt;0")</f>
        <v>0</v>
      </c>
    </row>
    <row r="12" spans="1:17">
      <c r="A12" s="1133"/>
      <c r="B12" s="1053" t="s">
        <v>5188</v>
      </c>
      <c r="C12" s="1049">
        <v>2</v>
      </c>
      <c r="D12" s="1605">
        <v>2.5</v>
      </c>
      <c r="E12" s="1049">
        <v>1</v>
      </c>
      <c r="F12" s="1049">
        <v>2123</v>
      </c>
      <c r="G12" s="1049">
        <v>1100</v>
      </c>
      <c r="H12" s="754">
        <f t="shared" si="0"/>
        <v>2335300</v>
      </c>
      <c r="I12" s="754">
        <f t="shared" si="1"/>
        <v>2335300</v>
      </c>
      <c r="J12" s="754">
        <f t="shared" si="2"/>
        <v>2123</v>
      </c>
      <c r="K12" s="801">
        <f t="shared" si="3"/>
        <v>8.5480753744564347E-2</v>
      </c>
      <c r="N12" s="732" t="s">
        <v>123</v>
      </c>
      <c r="O12" s="732" t="s">
        <v>5035</v>
      </c>
      <c r="P12" s="732">
        <f>COUNTIFS($C$22:$C$27,N12,$E$22:$E$27,"&gt;0")</f>
        <v>0</v>
      </c>
    </row>
    <row r="13" spans="1:17">
      <c r="A13" s="1133"/>
      <c r="B13" s="1053" t="s">
        <v>5189</v>
      </c>
      <c r="C13" s="1049">
        <v>2</v>
      </c>
      <c r="D13" s="1605">
        <v>2.5</v>
      </c>
      <c r="E13" s="1049">
        <v>1</v>
      </c>
      <c r="F13" s="1049">
        <v>2123</v>
      </c>
      <c r="G13" s="1049">
        <v>1100</v>
      </c>
      <c r="H13" s="754">
        <f t="shared" si="0"/>
        <v>2335300</v>
      </c>
      <c r="I13" s="754">
        <f t="shared" si="1"/>
        <v>2335300</v>
      </c>
      <c r="J13" s="754">
        <f t="shared" si="2"/>
        <v>2123</v>
      </c>
      <c r="K13" s="801">
        <f t="shared" si="3"/>
        <v>8.5480753744564347E-2</v>
      </c>
      <c r="N13" s="732" t="s">
        <v>5039</v>
      </c>
      <c r="O13" s="732" t="s">
        <v>5040</v>
      </c>
      <c r="P13" s="732">
        <f>COUNTIFS($C$22:$C$27,N13,$E$22:$E$27,"&gt;0")</f>
        <v>0</v>
      </c>
    </row>
    <row r="14" spans="1:17">
      <c r="A14" s="1133"/>
      <c r="B14" s="1053" t="s">
        <v>5190</v>
      </c>
      <c r="C14" s="1049">
        <v>5</v>
      </c>
      <c r="D14" s="1605">
        <v>5</v>
      </c>
      <c r="E14" s="1049">
        <v>1</v>
      </c>
      <c r="F14" s="1049">
        <v>3919</v>
      </c>
      <c r="G14" s="1049">
        <v>1100</v>
      </c>
      <c r="H14" s="754">
        <f t="shared" si="0"/>
        <v>4310900</v>
      </c>
      <c r="I14" s="754">
        <f t="shared" si="1"/>
        <v>4310900</v>
      </c>
      <c r="J14" s="754">
        <f t="shared" si="2"/>
        <v>3919</v>
      </c>
      <c r="K14" s="801">
        <f t="shared" si="3"/>
        <v>0.15779513609276857</v>
      </c>
    </row>
    <row r="15" spans="1:17">
      <c r="A15" s="1133"/>
      <c r="B15" s="1053"/>
      <c r="C15" s="1049"/>
      <c r="D15" s="1605"/>
      <c r="E15" s="1049"/>
      <c r="F15" s="1049"/>
      <c r="G15" s="1049"/>
      <c r="H15" s="754">
        <f t="shared" si="0"/>
        <v>0</v>
      </c>
      <c r="I15" s="754">
        <f t="shared" si="1"/>
        <v>0</v>
      </c>
      <c r="J15" s="754">
        <f t="shared" si="2"/>
        <v>0</v>
      </c>
      <c r="K15" s="801">
        <f t="shared" si="3"/>
        <v>0</v>
      </c>
    </row>
    <row r="16" spans="1:17">
      <c r="A16" s="1133"/>
      <c r="B16" s="1053"/>
      <c r="C16" s="1049"/>
      <c r="D16" s="1605"/>
      <c r="E16" s="1049"/>
      <c r="F16" s="1049"/>
      <c r="G16" s="1049"/>
      <c r="H16" s="754">
        <f t="shared" si="0"/>
        <v>0</v>
      </c>
      <c r="I16" s="754">
        <f t="shared" si="1"/>
        <v>0</v>
      </c>
      <c r="J16" s="754">
        <f t="shared" si="2"/>
        <v>0</v>
      </c>
      <c r="K16" s="801">
        <f t="shared" si="3"/>
        <v>0</v>
      </c>
    </row>
    <row r="17" spans="1:17">
      <c r="A17" s="1133"/>
      <c r="B17" s="1054"/>
      <c r="C17" s="1055"/>
      <c r="D17" s="1055"/>
      <c r="E17" s="1055"/>
      <c r="F17" s="1055"/>
      <c r="G17" s="1055"/>
      <c r="H17" s="817">
        <f t="shared" si="0"/>
        <v>0</v>
      </c>
      <c r="I17" s="817">
        <f t="shared" si="1"/>
        <v>0</v>
      </c>
      <c r="J17" s="817">
        <f t="shared" si="2"/>
        <v>0</v>
      </c>
      <c r="K17" s="819">
        <f t="shared" si="3"/>
        <v>0</v>
      </c>
    </row>
    <row r="18" spans="1:17" ht="16">
      <c r="B18" s="798" t="s">
        <v>325</v>
      </c>
      <c r="C18" s="799"/>
      <c r="D18" s="799"/>
      <c r="E18" s="805">
        <f>SUM(E6:E17)</f>
        <v>9</v>
      </c>
      <c r="F18" s="805">
        <f>SUMPRODUCT($F$6:$F$17,$E$6:$E$17)/$E$18</f>
        <v>2759.5555555555557</v>
      </c>
      <c r="G18" s="805">
        <f>H18/$F$18</f>
        <v>1100</v>
      </c>
      <c r="H18" s="805">
        <f>SUMPRODUCT($H$6:$H$17,$E$6:$E$17)/$E$18</f>
        <v>3035511.111111111</v>
      </c>
      <c r="I18" s="805">
        <f>AvgPrice*ResSF</f>
        <v>27319600</v>
      </c>
      <c r="J18" s="805">
        <f>SUM(J6:J17)</f>
        <v>24836</v>
      </c>
      <c r="K18" s="806">
        <f>IFERROR((#REF!-G18)/#REF!,0)</f>
        <v>0</v>
      </c>
    </row>
    <row r="19" spans="1:17">
      <c r="B19" s="202"/>
      <c r="C19" s="773"/>
      <c r="D19" s="773"/>
      <c r="E19" s="773"/>
      <c r="F19" s="773"/>
      <c r="G19" s="773"/>
      <c r="H19" s="773"/>
      <c r="I19" s="773"/>
      <c r="J19" s="773"/>
      <c r="K19" s="773"/>
      <c r="L19" s="773"/>
      <c r="M19" s="774"/>
      <c r="N19" s="773"/>
      <c r="P19" s="774"/>
      <c r="Q19" s="773"/>
    </row>
    <row r="20" spans="1:17">
      <c r="B20" s="202" t="s">
        <v>580</v>
      </c>
      <c r="C20" s="773"/>
      <c r="D20" s="773"/>
      <c r="E20" s="773"/>
      <c r="F20" s="773"/>
      <c r="G20" s="773"/>
      <c r="H20" s="773"/>
      <c r="I20" s="773"/>
    </row>
    <row r="21" spans="1:17" ht="16">
      <c r="B21" s="201" t="s">
        <v>327</v>
      </c>
      <c r="C21" s="820" t="s">
        <v>5038</v>
      </c>
      <c r="D21" s="797" t="s">
        <v>407</v>
      </c>
      <c r="E21" s="796" t="s">
        <v>408</v>
      </c>
      <c r="F21" s="797" t="s">
        <v>409</v>
      </c>
      <c r="G21" s="797" t="s">
        <v>326</v>
      </c>
      <c r="H21" s="797" t="s">
        <v>410</v>
      </c>
      <c r="I21" s="797" t="s">
        <v>411</v>
      </c>
    </row>
    <row r="22" spans="1:17">
      <c r="B22" s="1051" t="s">
        <v>5031</v>
      </c>
      <c r="C22" s="1052" t="s">
        <v>5028</v>
      </c>
      <c r="D22" s="1049">
        <f>general!C28-2</f>
        <v>42</v>
      </c>
      <c r="E22" s="1052">
        <v>0</v>
      </c>
      <c r="F22" s="1052">
        <v>0</v>
      </c>
      <c r="G22" s="816">
        <f t="shared" ref="G22:G27" si="8">E22*F22</f>
        <v>0</v>
      </c>
      <c r="H22" s="1056">
        <v>0</v>
      </c>
      <c r="I22" s="821">
        <f t="shared" ref="I22:I27" si="9">G22*(1-H22)</f>
        <v>0</v>
      </c>
    </row>
    <row r="23" spans="1:17">
      <c r="B23" s="1053" t="s">
        <v>5030</v>
      </c>
      <c r="C23" s="1049" t="s">
        <v>17</v>
      </c>
      <c r="D23" s="1049">
        <f>+D22+2</f>
        <v>44</v>
      </c>
      <c r="E23" s="1049">
        <v>0</v>
      </c>
      <c r="F23" s="1049">
        <v>0</v>
      </c>
      <c r="G23" s="754">
        <f t="shared" si="8"/>
        <v>0</v>
      </c>
      <c r="H23" s="1057">
        <v>0</v>
      </c>
      <c r="I23" s="762">
        <f t="shared" si="9"/>
        <v>0</v>
      </c>
    </row>
    <row r="24" spans="1:17">
      <c r="B24" s="1053" t="s">
        <v>5029</v>
      </c>
      <c r="C24" s="1049" t="s">
        <v>123</v>
      </c>
      <c r="D24" s="1049">
        <f>+D23</f>
        <v>44</v>
      </c>
      <c r="E24" s="1049">
        <v>0</v>
      </c>
      <c r="F24" s="1049">
        <v>0</v>
      </c>
      <c r="G24" s="754">
        <f t="shared" si="8"/>
        <v>0</v>
      </c>
      <c r="H24" s="1057">
        <v>0</v>
      </c>
      <c r="I24" s="762">
        <f t="shared" si="9"/>
        <v>0</v>
      </c>
    </row>
    <row r="25" spans="1:17">
      <c r="B25" s="1053" t="s">
        <v>573</v>
      </c>
      <c r="C25" s="1049" t="s">
        <v>5039</v>
      </c>
      <c r="D25" s="1049"/>
      <c r="E25" s="1049">
        <v>0</v>
      </c>
      <c r="F25" s="1049">
        <v>0</v>
      </c>
      <c r="G25" s="754">
        <f t="shared" si="8"/>
        <v>0</v>
      </c>
      <c r="H25" s="1057">
        <v>0</v>
      </c>
      <c r="I25" s="762">
        <f t="shared" si="9"/>
        <v>0</v>
      </c>
    </row>
    <row r="26" spans="1:17">
      <c r="B26" s="1053" t="s">
        <v>574</v>
      </c>
      <c r="C26" s="1049" t="s">
        <v>5039</v>
      </c>
      <c r="D26" s="1049"/>
      <c r="E26" s="1049">
        <v>0</v>
      </c>
      <c r="F26" s="1049">
        <v>0</v>
      </c>
      <c r="G26" s="754">
        <f t="shared" si="8"/>
        <v>0</v>
      </c>
      <c r="H26" s="1057">
        <v>0</v>
      </c>
      <c r="I26" s="762">
        <f t="shared" si="9"/>
        <v>0</v>
      </c>
    </row>
    <row r="27" spans="1:17">
      <c r="B27" s="1054" t="s">
        <v>579</v>
      </c>
      <c r="C27" s="1049" t="s">
        <v>5039</v>
      </c>
      <c r="D27" s="1055"/>
      <c r="E27" s="1055">
        <v>0</v>
      </c>
      <c r="F27" s="1055">
        <v>0</v>
      </c>
      <c r="G27" s="817">
        <f t="shared" si="8"/>
        <v>0</v>
      </c>
      <c r="H27" s="1058">
        <v>0</v>
      </c>
      <c r="I27" s="763">
        <f t="shared" si="9"/>
        <v>0</v>
      </c>
    </row>
    <row r="28" spans="1:17">
      <c r="B28" s="814" t="s">
        <v>21</v>
      </c>
      <c r="C28" s="815"/>
      <c r="D28" s="822">
        <f>MAX(D22:D27)</f>
        <v>44</v>
      </c>
      <c r="E28" s="822">
        <f>SUM(E22:E27)</f>
        <v>0</v>
      </c>
      <c r="F28" s="822"/>
      <c r="G28" s="822">
        <f>SUM(G22:G27)</f>
        <v>0</v>
      </c>
      <c r="H28" s="822"/>
      <c r="I28" s="822">
        <f>SUM(I22:I27)</f>
        <v>0</v>
      </c>
    </row>
    <row r="30" spans="1:17">
      <c r="B30" s="202" t="s">
        <v>581</v>
      </c>
      <c r="C30" s="202"/>
      <c r="D30" s="776"/>
      <c r="E30" s="776"/>
      <c r="F30" s="776"/>
      <c r="G30" s="777"/>
      <c r="H30" s="776"/>
      <c r="I30" s="776"/>
      <c r="J30" s="777"/>
      <c r="K30" s="776"/>
    </row>
    <row r="31" spans="1:17" ht="30" customHeight="1">
      <c r="B31" s="775" t="s">
        <v>134</v>
      </c>
      <c r="C31" s="769" t="s">
        <v>67</v>
      </c>
      <c r="D31" s="769" t="s">
        <v>498</v>
      </c>
      <c r="E31" s="769" t="s">
        <v>330</v>
      </c>
      <c r="F31" s="769" t="s">
        <v>331</v>
      </c>
      <c r="G31" s="769" t="s">
        <v>21</v>
      </c>
      <c r="H31" s="769" t="s">
        <v>497</v>
      </c>
      <c r="I31" s="769" t="s">
        <v>577</v>
      </c>
      <c r="J31" s="769" t="s">
        <v>576</v>
      </c>
      <c r="K31" s="769" t="s">
        <v>578</v>
      </c>
      <c r="L31"/>
    </row>
    <row r="32" spans="1:17">
      <c r="B32" s="1051" t="s">
        <v>5164</v>
      </c>
      <c r="C32" s="1056">
        <v>0.1</v>
      </c>
      <c r="D32" s="1052">
        <v>18</v>
      </c>
      <c r="E32" s="1052">
        <v>6</v>
      </c>
      <c r="F32" s="816">
        <f>SUM(D32:E32)</f>
        <v>24</v>
      </c>
      <c r="G32" s="816">
        <f>C32*$I$18</f>
        <v>2731960</v>
      </c>
      <c r="H32" s="816">
        <f t="shared" ref="H32:H37" si="10">G32/ResUnits</f>
        <v>303551.11111111112</v>
      </c>
      <c r="I32" s="816">
        <f t="shared" ref="I32:I37" si="11">G32/ResSF</f>
        <v>110</v>
      </c>
      <c r="J32" s="1056">
        <v>0.3</v>
      </c>
      <c r="K32" s="821">
        <f>+G32*J32</f>
        <v>819588</v>
      </c>
      <c r="L32"/>
    </row>
    <row r="33" spans="2:20">
      <c r="B33" s="1053" t="s">
        <v>405</v>
      </c>
      <c r="C33" s="1057">
        <v>0.1</v>
      </c>
      <c r="D33" s="1049">
        <f>general!C23</f>
        <v>18</v>
      </c>
      <c r="E33" s="1049">
        <v>3</v>
      </c>
      <c r="F33" s="754">
        <f>SUM(D33:E33)</f>
        <v>21</v>
      </c>
      <c r="G33" s="754">
        <f>C33*$I$18</f>
        <v>2731960</v>
      </c>
      <c r="H33" s="754">
        <f t="shared" si="10"/>
        <v>303551.11111111112</v>
      </c>
      <c r="I33" s="754">
        <f t="shared" si="11"/>
        <v>110</v>
      </c>
      <c r="J33" s="1057">
        <v>0.3</v>
      </c>
      <c r="K33" s="762">
        <f>+G33*J33</f>
        <v>819588</v>
      </c>
      <c r="L33"/>
    </row>
    <row r="34" spans="2:20">
      <c r="B34" s="1053" t="s">
        <v>464</v>
      </c>
      <c r="C34" s="1057">
        <v>0.1</v>
      </c>
      <c r="D34" s="1049">
        <f>general!C23+7</f>
        <v>25</v>
      </c>
      <c r="E34" s="1049">
        <v>2</v>
      </c>
      <c r="F34" s="754">
        <f>SUM(D34:E34)</f>
        <v>27</v>
      </c>
      <c r="G34" s="754">
        <f>C34*$I$18</f>
        <v>2731960</v>
      </c>
      <c r="H34" s="754">
        <f t="shared" si="10"/>
        <v>303551.11111111112</v>
      </c>
      <c r="I34" s="754">
        <f t="shared" si="11"/>
        <v>110</v>
      </c>
      <c r="J34" s="1057">
        <v>0.3</v>
      </c>
      <c r="K34" s="762">
        <f>+G34*J34</f>
        <v>819588</v>
      </c>
      <c r="L34"/>
    </row>
    <row r="35" spans="2:20">
      <c r="B35" s="1053" t="s">
        <v>77</v>
      </c>
      <c r="C35" s="1057">
        <v>0.1</v>
      </c>
      <c r="D35" s="1049">
        <f>+D36-6</f>
        <v>36</v>
      </c>
      <c r="E35" s="1049">
        <v>2</v>
      </c>
      <c r="F35" s="754">
        <f>SUM(D35:E35)</f>
        <v>38</v>
      </c>
      <c r="G35" s="754">
        <f>C35*$I$18</f>
        <v>2731960</v>
      </c>
      <c r="H35" s="754">
        <f t="shared" si="10"/>
        <v>303551.11111111112</v>
      </c>
      <c r="I35" s="754">
        <f t="shared" si="11"/>
        <v>110</v>
      </c>
      <c r="J35" s="1057">
        <v>0.3</v>
      </c>
      <c r="K35" s="762">
        <f>+G35*J35</f>
        <v>819588</v>
      </c>
      <c r="L35"/>
    </row>
    <row r="36" spans="2:20">
      <c r="B36" s="824" t="s">
        <v>31</v>
      </c>
      <c r="C36" s="825">
        <f>MAX(0,1-SUM(C32:C35))</f>
        <v>0.6</v>
      </c>
      <c r="D36" s="817">
        <f>general!$C$27+1</f>
        <v>42</v>
      </c>
      <c r="E36" s="817">
        <f>+COUNTIF(D50:D54,"&gt;0")-1</f>
        <v>2</v>
      </c>
      <c r="F36" s="817">
        <f>SUM(D36:E36)</f>
        <v>44</v>
      </c>
      <c r="G36" s="817">
        <f>C36*$I$18</f>
        <v>16391760</v>
      </c>
      <c r="H36" s="817">
        <f t="shared" si="10"/>
        <v>1821306.6666666667</v>
      </c>
      <c r="I36" s="817">
        <f t="shared" si="11"/>
        <v>660</v>
      </c>
      <c r="J36" s="817"/>
      <c r="K36" s="763">
        <f>+G37-SUM(K32:K35)</f>
        <v>24041248</v>
      </c>
      <c r="L36"/>
    </row>
    <row r="37" spans="2:20">
      <c r="B37" s="200" t="s">
        <v>21</v>
      </c>
      <c r="C37" s="778">
        <f>SUM(C32:C36)</f>
        <v>1</v>
      </c>
      <c r="D37" s="201"/>
      <c r="E37" s="201"/>
      <c r="F37" s="201"/>
      <c r="G37" s="212">
        <f>SUM(G32:G36)</f>
        <v>27319600</v>
      </c>
      <c r="H37" s="212">
        <f t="shared" si="10"/>
        <v>3035511.111111111</v>
      </c>
      <c r="I37" s="212">
        <f t="shared" si="11"/>
        <v>1100</v>
      </c>
      <c r="J37" s="778">
        <f>+K37/G37</f>
        <v>1</v>
      </c>
      <c r="K37" s="212">
        <f>SUM(K32:K36)</f>
        <v>27319600</v>
      </c>
      <c r="L37"/>
    </row>
    <row r="38" spans="2:20">
      <c r="K38"/>
      <c r="L38"/>
    </row>
    <row r="39" spans="2:20">
      <c r="B39" s="202" t="s">
        <v>582</v>
      </c>
      <c r="C39" s="202"/>
      <c r="D39" s="777"/>
      <c r="E39" s="776"/>
      <c r="F39" s="777"/>
      <c r="G39" s="776"/>
      <c r="N39" s="777"/>
      <c r="O39" s="776"/>
      <c r="P39" s="777"/>
      <c r="Q39" s="776"/>
    </row>
    <row r="40" spans="2:20" ht="16">
      <c r="B40" s="775"/>
      <c r="C40" s="769" t="s">
        <v>332</v>
      </c>
      <c r="D40" s="769" t="s">
        <v>333</v>
      </c>
      <c r="E40" s="769" t="s">
        <v>334</v>
      </c>
      <c r="F40" s="769" t="s">
        <v>335</v>
      </c>
      <c r="G40" s="769" t="s">
        <v>336</v>
      </c>
      <c r="I40" s="827" t="s">
        <v>445</v>
      </c>
      <c r="J40" s="800" t="s">
        <v>445</v>
      </c>
      <c r="M40" s="982" t="s">
        <v>614</v>
      </c>
    </row>
    <row r="41" spans="2:20">
      <c r="B41" s="823" t="str">
        <f>B32</f>
        <v>Reservation</v>
      </c>
      <c r="C41" s="1056">
        <v>0</v>
      </c>
      <c r="D41" s="816">
        <f>C41*$J32*ResSales*bud_detail!$D$312</f>
        <v>0</v>
      </c>
      <c r="E41" s="1056">
        <v>0</v>
      </c>
      <c r="F41" s="816">
        <f>E41*$J32*ResSales*bud_detail!$D$313</f>
        <v>0</v>
      </c>
      <c r="G41" s="821">
        <f>SUM(D41,F41)</f>
        <v>0</v>
      </c>
      <c r="I41" s="1059">
        <v>0.2</v>
      </c>
      <c r="J41" s="828">
        <f>+bud_detail!F$267*sales!I41</f>
        <v>0</v>
      </c>
      <c r="L41"/>
      <c r="M41" s="984">
        <f>+bud_detail!$D$312*sales!C41+bud_detail!$D$313*sales!E41</f>
        <v>0</v>
      </c>
    </row>
    <row r="42" spans="2:20">
      <c r="B42" s="809" t="str">
        <f>B33</f>
        <v>Contract</v>
      </c>
      <c r="C42" s="1057">
        <v>0.5</v>
      </c>
      <c r="D42" s="754">
        <f>C42*$J33*ResSales*bud_detail!$D$312</f>
        <v>122938.2</v>
      </c>
      <c r="E42" s="1057">
        <v>0.8</v>
      </c>
      <c r="F42" s="754">
        <f>E42*$J33*ResSales*bud_detail!$D$313</f>
        <v>327835.2</v>
      </c>
      <c r="G42" s="762">
        <f>SUM(D42,F42)</f>
        <v>450773.4</v>
      </c>
      <c r="I42" s="1059">
        <v>0</v>
      </c>
      <c r="J42" s="829">
        <f>+bud_detail!F$267*sales!I42</f>
        <v>0</v>
      </c>
      <c r="L42"/>
      <c r="M42" s="985">
        <f>+bud_detail!$D$312*sales!C42+bud_detail!$D$313*sales!E42</f>
        <v>5.5000000000000007E-2</v>
      </c>
    </row>
    <row r="43" spans="2:20">
      <c r="B43" s="809" t="str">
        <f>B34</f>
        <v>Ground Break</v>
      </c>
      <c r="C43" s="1057">
        <v>0</v>
      </c>
      <c r="D43" s="754">
        <f>C43*$J34*ResSales*bud_detail!$D$312</f>
        <v>0</v>
      </c>
      <c r="E43" s="1057">
        <v>0</v>
      </c>
      <c r="F43" s="754">
        <f>E43*$J34*ResSales*bud_detail!$D$313</f>
        <v>0</v>
      </c>
      <c r="G43" s="762">
        <f>SUM(D43,F43)</f>
        <v>0</v>
      </c>
      <c r="I43" s="1059">
        <v>0</v>
      </c>
      <c r="J43" s="829">
        <f>+bud_detail!F$267*sales!I43</f>
        <v>0</v>
      </c>
      <c r="L43"/>
      <c r="M43" s="985">
        <f>+bud_detail!$D$312*sales!C43+bud_detail!$D$313*sales!E43</f>
        <v>0</v>
      </c>
    </row>
    <row r="44" spans="2:20">
      <c r="B44" s="809" t="str">
        <f>B35</f>
        <v>Top Off</v>
      </c>
      <c r="C44" s="1057">
        <v>0</v>
      </c>
      <c r="D44" s="754">
        <f>C44*$J35*ResSales*bud_detail!$D$312</f>
        <v>0</v>
      </c>
      <c r="E44" s="1057">
        <v>0</v>
      </c>
      <c r="F44" s="754">
        <f>E44*$J35*ResSales*bud_detail!$D$313</f>
        <v>0</v>
      </c>
      <c r="G44" s="762">
        <f>SUM(D44,F44)</f>
        <v>0</v>
      </c>
      <c r="I44" s="1059">
        <v>0</v>
      </c>
      <c r="J44" s="829">
        <f>+bud_detail!F$267*sales!I44</f>
        <v>0</v>
      </c>
      <c r="L44"/>
      <c r="M44" s="985">
        <f>+bud_detail!$D$312*sales!C44+bud_detail!$D$313*sales!E44</f>
        <v>0</v>
      </c>
    </row>
    <row r="45" spans="2:20">
      <c r="B45" s="824" t="str">
        <f>B36</f>
        <v>Closing</v>
      </c>
      <c r="C45" s="825">
        <f>MAX(0,1-SUM(C41:C44))</f>
        <v>0.5</v>
      </c>
      <c r="D45" s="817">
        <f>bud_detail!$F$312-SUM(D41:D44)</f>
        <v>697061.8</v>
      </c>
      <c r="E45" s="826">
        <f>MAX(0,1-SUM(E41:E44))</f>
        <v>0.19999999999999996</v>
      </c>
      <c r="F45" s="817">
        <f>bud_detail!F313-SUM(sales!F41:F44)</f>
        <v>1038164.8</v>
      </c>
      <c r="G45" s="763">
        <f>SUM(D45,F45)</f>
        <v>1735226.6</v>
      </c>
      <c r="I45" s="1059">
        <v>0.8</v>
      </c>
      <c r="J45" s="829">
        <f>+bud_detail!F$267*sales!I45</f>
        <v>0</v>
      </c>
      <c r="L45"/>
      <c r="M45" s="985">
        <f>+bud_detail!$D$312*sales!C45+bud_detail!$D$313*sales!E45</f>
        <v>2.4999999999999998E-2</v>
      </c>
    </row>
    <row r="46" spans="2:20">
      <c r="B46" s="201" t="s">
        <v>21</v>
      </c>
      <c r="C46" s="786">
        <f>SUM(C41:C45)</f>
        <v>1</v>
      </c>
      <c r="D46" s="212">
        <f>SUM(D41:D45)</f>
        <v>820000</v>
      </c>
      <c r="E46" s="786">
        <f>SUM(E41:E45)</f>
        <v>1</v>
      </c>
      <c r="F46" s="212">
        <f>SUM(F41:F45)</f>
        <v>1366000</v>
      </c>
      <c r="G46" s="212">
        <f>SUM(G41:G45)</f>
        <v>2186000</v>
      </c>
      <c r="I46" s="830">
        <f>SUM(I41:I45)</f>
        <v>1</v>
      </c>
      <c r="J46" s="831">
        <f>SUM(J41:J45)</f>
        <v>0</v>
      </c>
      <c r="L46"/>
      <c r="M46" s="983">
        <f>SUM(M41:M45)</f>
        <v>0.08</v>
      </c>
      <c r="Q46" s="774"/>
      <c r="R46" s="774"/>
      <c r="S46" s="774"/>
      <c r="T46" s="774"/>
    </row>
    <row r="47" spans="2:20">
      <c r="N47"/>
      <c r="O47"/>
    </row>
    <row r="48" spans="2:20">
      <c r="B48" s="202" t="s">
        <v>359</v>
      </c>
      <c r="C48" s="202"/>
      <c r="D48" s="776"/>
      <c r="E48" s="776"/>
      <c r="F48" s="776"/>
      <c r="G48" s="780"/>
      <c r="H48" s="780"/>
      <c r="I48" s="780"/>
      <c r="J48" s="781"/>
      <c r="K48" s="776"/>
      <c r="L48" s="779"/>
      <c r="M48" s="780"/>
      <c r="N48"/>
      <c r="O48"/>
    </row>
    <row r="49" spans="2:17" ht="16">
      <c r="B49" s="775"/>
      <c r="C49" s="769" t="s">
        <v>360</v>
      </c>
      <c r="D49" s="769" t="s">
        <v>361</v>
      </c>
      <c r="E49" s="769" t="s">
        <v>362</v>
      </c>
      <c r="F49" s="782" t="s">
        <v>363</v>
      </c>
      <c r="G49" s="780"/>
      <c r="H49" s="780"/>
      <c r="I49" s="780"/>
      <c r="J49" s="781"/>
      <c r="K49" s="776"/>
      <c r="L49" s="779"/>
      <c r="M49" s="780"/>
      <c r="N49" s="780"/>
      <c r="O49" s="781"/>
    </row>
    <row r="50" spans="2:17">
      <c r="B50" s="783">
        <v>1</v>
      </c>
      <c r="C50" s="770">
        <f>D36</f>
        <v>42</v>
      </c>
      <c r="D50" s="1060">
        <v>0.5</v>
      </c>
      <c r="E50" s="784">
        <f>D50*ResUnits</f>
        <v>4.5</v>
      </c>
      <c r="F50" s="785">
        <f>E50*$F$18*AvgPrice</f>
        <v>13659800</v>
      </c>
      <c r="G50"/>
      <c r="H50"/>
      <c r="I50"/>
      <c r="J50"/>
      <c r="K50" s="776"/>
    </row>
    <row r="51" spans="2:17">
      <c r="B51" s="787">
        <v>2</v>
      </c>
      <c r="C51" s="771">
        <f>C50+1</f>
        <v>43</v>
      </c>
      <c r="D51" s="1060">
        <v>0.3</v>
      </c>
      <c r="E51" s="788">
        <f>D51*ResUnits</f>
        <v>2.6999999999999997</v>
      </c>
      <c r="F51" s="789">
        <f>E51*$F$18*AvgPrice</f>
        <v>8195879.9999999991</v>
      </c>
      <c r="G51"/>
      <c r="H51"/>
      <c r="I51"/>
      <c r="J51"/>
      <c r="K51" s="776"/>
    </row>
    <row r="52" spans="2:17">
      <c r="B52" s="787">
        <v>3</v>
      </c>
      <c r="C52" s="771">
        <f>C51+1</f>
        <v>44</v>
      </c>
      <c r="D52" s="1060">
        <v>0.2</v>
      </c>
      <c r="E52" s="788">
        <f>D52*ResUnits</f>
        <v>1.8</v>
      </c>
      <c r="F52" s="789">
        <f>E52*$F$18*AvgPrice</f>
        <v>5463920.0000000009</v>
      </c>
      <c r="G52"/>
      <c r="H52"/>
      <c r="I52"/>
      <c r="J52"/>
      <c r="K52" s="776"/>
    </row>
    <row r="53" spans="2:17">
      <c r="B53" s="787">
        <v>4</v>
      </c>
      <c r="C53" s="771">
        <f>C52+1</f>
        <v>45</v>
      </c>
      <c r="D53" s="1060">
        <v>0</v>
      </c>
      <c r="E53" s="788">
        <f>D53*ResUnits</f>
        <v>0</v>
      </c>
      <c r="F53" s="789">
        <f>E53*$F$18*AvgPrice</f>
        <v>0</v>
      </c>
      <c r="G53"/>
      <c r="H53"/>
      <c r="I53"/>
      <c r="J53"/>
      <c r="K53" s="776"/>
    </row>
    <row r="54" spans="2:17">
      <c r="B54" s="791">
        <v>5</v>
      </c>
      <c r="C54" s="772">
        <f>C53+1</f>
        <v>46</v>
      </c>
      <c r="D54" s="1061">
        <v>0</v>
      </c>
      <c r="E54" s="792">
        <f>D54*ResUnits</f>
        <v>0</v>
      </c>
      <c r="F54" s="793">
        <f>E54*$F$18*AvgPrice</f>
        <v>0</v>
      </c>
      <c r="G54" s="777"/>
      <c r="J54" s="777"/>
      <c r="K54" s="776"/>
    </row>
    <row r="55" spans="2:17">
      <c r="B55" s="200"/>
      <c r="C55" s="778"/>
      <c r="D55" s="778">
        <f>SUM(D50:D54)</f>
        <v>1</v>
      </c>
      <c r="E55" s="201">
        <f>SUM(E50:E54)</f>
        <v>9</v>
      </c>
      <c r="F55" s="794">
        <f>SUM(F50:F54)</f>
        <v>27319600</v>
      </c>
      <c r="G55" s="777"/>
      <c r="H55" s="776"/>
      <c r="I55" s="776"/>
      <c r="J55" s="777"/>
      <c r="K55" s="776"/>
    </row>
    <row r="56" spans="2:17">
      <c r="G56" s="158"/>
      <c r="H56" s="158"/>
      <c r="I56" s="158"/>
      <c r="J56" s="158"/>
      <c r="K56" s="776"/>
    </row>
    <row r="57" spans="2:17">
      <c r="B57" s="202" t="s">
        <v>575</v>
      </c>
      <c r="K57" s="776"/>
    </row>
    <row r="58" spans="2:17" ht="16">
      <c r="B58" s="810" t="s">
        <v>323</v>
      </c>
      <c r="C58" s="799" t="str">
        <f t="shared" ref="C58:I58" si="12">+C5</f>
        <v>Beds</v>
      </c>
      <c r="D58" s="799" t="str">
        <f t="shared" si="12"/>
        <v>Baths</v>
      </c>
      <c r="E58" s="799" t="str">
        <f t="shared" si="12"/>
        <v>Units</v>
      </c>
      <c r="F58" s="799" t="str">
        <f t="shared" si="12"/>
        <v>SF</v>
      </c>
      <c r="G58" s="799" t="str">
        <f t="shared" si="12"/>
        <v>Price/SF</v>
      </c>
      <c r="H58" s="799" t="str">
        <f t="shared" si="12"/>
        <v>Price</v>
      </c>
      <c r="I58" s="799" t="str">
        <f t="shared" si="12"/>
        <v>Total Price</v>
      </c>
      <c r="J58" s="800" t="s">
        <v>329</v>
      </c>
      <c r="K58" s="776"/>
    </row>
    <row r="59" spans="2:17">
      <c r="B59" s="823" t="s">
        <v>328</v>
      </c>
      <c r="C59" s="816">
        <f t="shared" ref="C59:C64" si="13">SUMPRODUCT(--($B59=$C$6:$C$17))</f>
        <v>0</v>
      </c>
      <c r="D59" s="816">
        <f t="shared" ref="D59:D64" si="14">SUMPRODUCT(--($B59=$C$6:$C$17),$C$6:$C$17,$E$6:$E$17)</f>
        <v>0</v>
      </c>
      <c r="E59" s="816">
        <f t="shared" ref="E59:E64" si="15">SUMPRODUCT(--($B59=$C$6:$C$17),$E$6:$E$17)</f>
        <v>0</v>
      </c>
      <c r="F59" s="816">
        <f t="shared" ref="F59:F64" si="16">IFERROR(SUMPRODUCT(--($B59=$C$6:$C$17),$E$6:$E$17,$F$6:$F$17)/E59,0)</f>
        <v>0</v>
      </c>
      <c r="G59" s="816">
        <f t="shared" ref="G59:G64" si="17">IFERROR(H59/$F59,0)</f>
        <v>0</v>
      </c>
      <c r="H59" s="816">
        <f t="shared" ref="H59:H64" si="18">IFERROR(SUMPRODUCT(--($B59=$C$6:$C$17),H$6:H$17,$E$6:$E$17)/$E59,0)</f>
        <v>0</v>
      </c>
      <c r="I59" s="816">
        <f t="shared" ref="I59:I64" si="19">+F59*G59*E59</f>
        <v>0</v>
      </c>
      <c r="J59" s="821">
        <f t="shared" ref="J59:J64" si="20">IFERROR(SUMPRODUCT(--($B59=$C$6:$C$17),J$6:J$17),0)</f>
        <v>0</v>
      </c>
      <c r="K59" s="776"/>
      <c r="L59" s="776"/>
      <c r="M59" s="776"/>
      <c r="N59" s="777"/>
      <c r="O59" s="790"/>
      <c r="P59" s="777"/>
      <c r="Q59" s="776"/>
    </row>
    <row r="60" spans="2:17">
      <c r="B60" s="812">
        <v>1</v>
      </c>
      <c r="C60" s="754">
        <f t="shared" si="13"/>
        <v>0</v>
      </c>
      <c r="D60" s="754">
        <f t="shared" si="14"/>
        <v>0</v>
      </c>
      <c r="E60" s="754">
        <f t="shared" si="15"/>
        <v>0</v>
      </c>
      <c r="F60" s="754">
        <f t="shared" si="16"/>
        <v>0</v>
      </c>
      <c r="G60" s="754">
        <f t="shared" si="17"/>
        <v>0</v>
      </c>
      <c r="H60" s="754">
        <f t="shared" si="18"/>
        <v>0</v>
      </c>
      <c r="I60" s="754">
        <f t="shared" si="19"/>
        <v>0</v>
      </c>
      <c r="J60" s="762">
        <f t="shared" si="20"/>
        <v>0</v>
      </c>
      <c r="K60" s="776"/>
      <c r="L60" s="776"/>
      <c r="M60" s="776"/>
      <c r="N60" s="777"/>
      <c r="O60" s="790"/>
      <c r="P60" s="777"/>
      <c r="Q60" s="776"/>
    </row>
    <row r="61" spans="2:17">
      <c r="B61" s="813">
        <v>2</v>
      </c>
      <c r="C61" s="754">
        <f t="shared" si="13"/>
        <v>2</v>
      </c>
      <c r="D61" s="754">
        <f t="shared" si="14"/>
        <v>4</v>
      </c>
      <c r="E61" s="754">
        <f t="shared" si="15"/>
        <v>2</v>
      </c>
      <c r="F61" s="754">
        <f t="shared" si="16"/>
        <v>2123</v>
      </c>
      <c r="G61" s="754">
        <f t="shared" si="17"/>
        <v>1100</v>
      </c>
      <c r="H61" s="754">
        <f t="shared" si="18"/>
        <v>2335300</v>
      </c>
      <c r="I61" s="754">
        <f t="shared" si="19"/>
        <v>4670600</v>
      </c>
      <c r="J61" s="762">
        <f t="shared" si="20"/>
        <v>4246</v>
      </c>
      <c r="K61" s="776"/>
      <c r="L61" s="776"/>
      <c r="M61" s="776"/>
      <c r="N61" s="777"/>
      <c r="O61" s="790"/>
      <c r="P61" s="777"/>
      <c r="Q61" s="776"/>
    </row>
    <row r="62" spans="2:17">
      <c r="B62" s="813">
        <v>3</v>
      </c>
      <c r="C62" s="754">
        <f t="shared" si="13"/>
        <v>2</v>
      </c>
      <c r="D62" s="754">
        <f t="shared" si="14"/>
        <v>6</v>
      </c>
      <c r="E62" s="754">
        <f t="shared" si="15"/>
        <v>2</v>
      </c>
      <c r="F62" s="754">
        <f t="shared" si="16"/>
        <v>2477.5</v>
      </c>
      <c r="G62" s="754">
        <f t="shared" si="17"/>
        <v>1100</v>
      </c>
      <c r="H62" s="754">
        <f t="shared" si="18"/>
        <v>2725250</v>
      </c>
      <c r="I62" s="754">
        <f t="shared" si="19"/>
        <v>5450500</v>
      </c>
      <c r="J62" s="762">
        <f t="shared" si="20"/>
        <v>4955</v>
      </c>
      <c r="K62" s="776"/>
      <c r="L62" s="776"/>
      <c r="M62" s="776"/>
      <c r="N62" s="777"/>
      <c r="O62" s="790"/>
      <c r="P62" s="777"/>
      <c r="Q62" s="776"/>
    </row>
    <row r="63" spans="2:17">
      <c r="B63" s="813">
        <v>4</v>
      </c>
      <c r="C63" s="754">
        <f t="shared" si="13"/>
        <v>4</v>
      </c>
      <c r="D63" s="754">
        <f t="shared" si="14"/>
        <v>16</v>
      </c>
      <c r="E63" s="754">
        <f t="shared" si="15"/>
        <v>4</v>
      </c>
      <c r="F63" s="754">
        <f t="shared" si="16"/>
        <v>2929</v>
      </c>
      <c r="G63" s="754">
        <f t="shared" si="17"/>
        <v>1100</v>
      </c>
      <c r="H63" s="754">
        <f t="shared" si="18"/>
        <v>3221900</v>
      </c>
      <c r="I63" s="754">
        <f t="shared" si="19"/>
        <v>12887600</v>
      </c>
      <c r="J63" s="762">
        <f t="shared" si="20"/>
        <v>11716</v>
      </c>
      <c r="K63" s="776"/>
      <c r="L63" s="776"/>
      <c r="M63" s="776"/>
      <c r="N63" s="777"/>
      <c r="O63" s="790"/>
      <c r="P63" s="777"/>
      <c r="Q63" s="776"/>
    </row>
    <row r="64" spans="2:17">
      <c r="B64" s="824">
        <v>5</v>
      </c>
      <c r="C64" s="817">
        <f t="shared" si="13"/>
        <v>1</v>
      </c>
      <c r="D64" s="817">
        <f t="shared" si="14"/>
        <v>5</v>
      </c>
      <c r="E64" s="817">
        <f t="shared" si="15"/>
        <v>1</v>
      </c>
      <c r="F64" s="817">
        <f t="shared" si="16"/>
        <v>3919</v>
      </c>
      <c r="G64" s="817">
        <f t="shared" si="17"/>
        <v>1100</v>
      </c>
      <c r="H64" s="817">
        <f t="shared" si="18"/>
        <v>4310900</v>
      </c>
      <c r="I64" s="817">
        <f t="shared" si="19"/>
        <v>4310900</v>
      </c>
      <c r="J64" s="763">
        <f t="shared" si="20"/>
        <v>3919</v>
      </c>
      <c r="K64" s="776"/>
      <c r="L64" s="776"/>
      <c r="M64" s="776"/>
      <c r="N64" s="777"/>
      <c r="O64" s="790"/>
      <c r="P64" s="777"/>
      <c r="Q64" s="776"/>
    </row>
    <row r="65" spans="2:17">
      <c r="B65" s="802" t="s">
        <v>21</v>
      </c>
      <c r="C65" s="775">
        <f>SUM(C59:C64)</f>
        <v>9</v>
      </c>
      <c r="D65" s="803">
        <f>SUM(D59:D64)</f>
        <v>31</v>
      </c>
      <c r="E65" s="803">
        <f>SUM(E59:E64)</f>
        <v>9</v>
      </c>
      <c r="F65" s="803">
        <f>$F$18</f>
        <v>2759.5555555555557</v>
      </c>
      <c r="G65" s="811">
        <f>G18</f>
        <v>1100</v>
      </c>
      <c r="H65" s="803">
        <f>H18</f>
        <v>3035511.111111111</v>
      </c>
      <c r="I65" s="803">
        <f>I18</f>
        <v>27319600</v>
      </c>
      <c r="J65" s="804">
        <f>SUM(J59:J64)</f>
        <v>24836</v>
      </c>
      <c r="K65" s="776"/>
      <c r="L65" s="776"/>
      <c r="M65" s="776"/>
      <c r="N65" s="777"/>
      <c r="O65" s="790"/>
      <c r="P65" s="777"/>
      <c r="Q65" s="776"/>
    </row>
    <row r="66" spans="2:17">
      <c r="B66" s="202"/>
      <c r="C66" s="202"/>
      <c r="D66" s="776"/>
      <c r="E66" s="776"/>
      <c r="F66" s="776"/>
      <c r="G66" s="777"/>
      <c r="H66" s="776"/>
      <c r="I66" s="776"/>
      <c r="J66" s="777"/>
      <c r="K66" s="776"/>
      <c r="L66" s="776"/>
      <c r="M66" s="776"/>
      <c r="N66" s="777"/>
      <c r="O66" s="790"/>
      <c r="P66" s="777"/>
      <c r="Q66" s="776"/>
    </row>
    <row r="67" spans="2:17">
      <c r="B67" s="202"/>
      <c r="C67" s="202"/>
      <c r="D67" s="776"/>
      <c r="E67" s="776"/>
      <c r="F67" s="776"/>
      <c r="G67" s="777"/>
      <c r="H67" s="776"/>
      <c r="I67" s="776"/>
      <c r="J67" s="777"/>
      <c r="K67" s="776"/>
      <c r="L67" s="776"/>
      <c r="M67" s="776"/>
      <c r="N67" s="777"/>
      <c r="O67" s="790"/>
      <c r="P67" s="777"/>
      <c r="Q67" s="776"/>
    </row>
    <row r="68" spans="2:17">
      <c r="K68" s="776"/>
      <c r="L68" s="776"/>
      <c r="M68" s="776"/>
      <c r="N68" s="777"/>
      <c r="O68" s="790"/>
      <c r="P68" s="777"/>
      <c r="Q68" s="776"/>
    </row>
    <row r="69" spans="2:17">
      <c r="B69" s="795" t="s">
        <v>185</v>
      </c>
      <c r="C69" s="795"/>
      <c r="K69" s="776"/>
      <c r="L69" s="776"/>
      <c r="M69" s="776"/>
      <c r="N69" s="777"/>
      <c r="O69" s="790"/>
      <c r="P69" s="777"/>
      <c r="Q69" s="776"/>
    </row>
    <row r="70" spans="2:17">
      <c r="B70" s="795" t="s">
        <v>357</v>
      </c>
      <c r="C70" s="795" t="str">
        <f>IF(AND(E65=ResUnits,ResUnits='Development Cash Flow'!E128,ResUnits=E55),"",1)</f>
        <v/>
      </c>
      <c r="K70" s="776"/>
      <c r="L70" s="776"/>
      <c r="M70" s="776"/>
      <c r="N70" s="777"/>
      <c r="O70" s="790"/>
      <c r="P70" s="777"/>
      <c r="Q70" s="776"/>
    </row>
    <row r="71" spans="2:17">
      <c r="B71" s="795" t="s">
        <v>358</v>
      </c>
      <c r="C71" s="795" t="str">
        <f>IF(ResSF=E65*F65,"",1)</f>
        <v/>
      </c>
      <c r="K71" s="776"/>
      <c r="L71" s="776"/>
      <c r="M71" s="776"/>
      <c r="N71" s="777"/>
      <c r="O71" s="776"/>
      <c r="P71" s="777"/>
      <c r="Q71" s="776"/>
    </row>
    <row r="72" spans="2:17">
      <c r="B72" s="795" t="s">
        <v>337</v>
      </c>
      <c r="C72" s="795" t="str">
        <f>IF(AND(ABS(D46-bud_detail!F312)&lt;1,ABS(F46-bud_detail!F313)&lt;1),"",1)</f>
        <v/>
      </c>
      <c r="K72" s="776"/>
      <c r="L72" s="776"/>
      <c r="M72" s="776"/>
      <c r="N72" s="777"/>
      <c r="O72" s="776"/>
      <c r="P72" s="777"/>
      <c r="Q72" s="776"/>
    </row>
    <row r="73" spans="2:17">
      <c r="B73" s="795" t="s">
        <v>338</v>
      </c>
      <c r="C73" s="795" t="str">
        <f>IF(ABS(G37-SUM('Development Cash Flow'!G6:K126))&lt;1,"",1)</f>
        <v/>
      </c>
    </row>
    <row r="74" spans="2:17">
      <c r="B74" s="795" t="s">
        <v>339</v>
      </c>
      <c r="C74" s="795" t="str">
        <f>IF(AND(ABS(I18-SUM('Development Cash Flow'!F6:F127))&lt;1,ABS(F55-ResSales)&lt;1,ABS(ResSales-I65)&lt;1,ABS(ResSales-G37)&lt;1),"",1)</f>
        <v/>
      </c>
    </row>
    <row r="75" spans="2:17">
      <c r="B75" s="795" t="s">
        <v>364</v>
      </c>
      <c r="C75" s="795" t="str">
        <f>IF(AND(SUM(D50:D54)=1,MAX(D50:D54)&lt;=1,MIN(D50:D54)&gt;=0),"",1)</f>
        <v/>
      </c>
    </row>
    <row r="76" spans="2:17">
      <c r="B76" s="795" t="s">
        <v>20</v>
      </c>
      <c r="C76" s="795" t="str">
        <f>IF(AND(ABS(G46-SUM(bud_detail!$F$312:$F$313))&lt;1,ABS(G46-'Development Cash Flow'!AF128-'Development Cash Flow'!AG128)&lt;1),"",1)</f>
        <v/>
      </c>
    </row>
  </sheetData>
  <conditionalFormatting sqref="A6:A17">
    <cfRule type="cellIs" dxfId="14" priority="1" operator="equal">
      <formula>1</formula>
    </cfRule>
  </conditionalFormatting>
  <dataValidations count="5">
    <dataValidation type="whole" allowBlank="1" showInputMessage="1" showErrorMessage="1" sqref="E33:E36" xr:uid="{00000000-0002-0000-0400-000002000000}">
      <formula1>0</formula1>
      <formula2>4</formula2>
    </dataValidation>
    <dataValidation type="whole" allowBlank="1" showInputMessage="1" showErrorMessage="1" sqref="E32" xr:uid="{00000000-0002-0000-0400-000003000000}">
      <formula1>0</formula1>
      <formula2>12</formula2>
    </dataValidation>
    <dataValidation type="list" allowBlank="1" showInputMessage="1" showErrorMessage="1" sqref="C6:C17" xr:uid="{00000000-0002-0000-0400-000000000000}">
      <formula1>"studio,1,2,3,4,5"</formula1>
    </dataValidation>
    <dataValidation type="list" allowBlank="1" showInputMessage="1" showErrorMessage="1" sqref="D6:D17" xr:uid="{00000000-0002-0000-0400-000001000000}">
      <formula1>"1,1.5,2,2.5,3,3.5,4,4.5,5"</formula1>
    </dataValidation>
    <dataValidation type="list" allowBlank="1" showInputMessage="1" showErrorMessage="1" sqref="C22:C24" xr:uid="{BCDB8B8C-4E0E-4337-B810-DA9F100E0394}">
      <formula1>$N$10:$N$12</formula1>
    </dataValidation>
  </dataValidations>
  <printOptions horizontalCentered="1"/>
  <pageMargins left="0.25" right="0.25" top="0.75" bottom="0.75" header="0.3" footer="0.3"/>
  <pageSetup scale="7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7828F-0970-453E-AC86-87EF3A9D3644}">
  <sheetPr codeName="Sheet1">
    <pageSetUpPr fitToPage="1"/>
  </sheetPr>
  <dimension ref="A1:AI4240"/>
  <sheetViews>
    <sheetView workbookViewId="0"/>
  </sheetViews>
  <sheetFormatPr baseColWidth="10" defaultColWidth="11.6640625" defaultRowHeight="14" outlineLevelCol="2"/>
  <cols>
    <col min="1" max="2" width="7.33203125" style="1008" customWidth="1" outlineLevel="1"/>
    <col min="3" max="3" width="3.5" style="1008" customWidth="1"/>
    <col min="4" max="4" width="10.83203125" style="1009" customWidth="1" outlineLevel="1"/>
    <col min="5" max="5" width="12.33203125" style="1009" customWidth="1"/>
    <col min="6" max="6" width="55.33203125" style="1007" bestFit="1" customWidth="1"/>
    <col min="7" max="7" width="10" style="1007" hidden="1" customWidth="1" outlineLevel="1"/>
    <col min="8" max="8" width="11.6640625" style="1010" hidden="1" customWidth="1" outlineLevel="1"/>
    <col min="9" max="9" width="11.6640625" style="1009" collapsed="1"/>
    <col min="10" max="10" width="55.33203125" style="1007" bestFit="1" customWidth="1"/>
    <col min="11" max="18" width="11.6640625" style="1007" hidden="1" customWidth="1" outlineLevel="1"/>
    <col min="19" max="19" width="8.6640625" style="1008" customWidth="1" collapsed="1"/>
    <col min="20" max="20" width="9.5" style="1008" customWidth="1"/>
    <col min="21" max="21" width="20" style="1008" customWidth="1"/>
    <col min="22" max="23" width="11.6640625" style="1008" hidden="1" customWidth="1" outlineLevel="2"/>
    <col min="24" max="25" width="3" style="1007" customWidth="1" outlineLevel="1" collapsed="1"/>
    <col min="26" max="35" width="3" style="1007" customWidth="1" outlineLevel="1"/>
    <col min="36" max="16384" width="11.6640625" style="1007"/>
  </cols>
  <sheetData>
    <row r="1" spans="1:35" s="1020" customFormat="1" ht="31">
      <c r="A1" s="1025"/>
      <c r="B1" s="1025"/>
      <c r="C1" s="1025"/>
      <c r="D1" s="1023"/>
      <c r="E1" s="1024" t="s">
        <v>4997</v>
      </c>
      <c r="F1" s="1022"/>
      <c r="G1" s="1022"/>
      <c r="H1" s="1023"/>
      <c r="I1" s="1023"/>
      <c r="J1" s="1022"/>
      <c r="K1" s="1022"/>
      <c r="L1" s="1022"/>
      <c r="M1" s="1022"/>
      <c r="N1" s="1022"/>
      <c r="O1" s="1022"/>
      <c r="P1" s="1022"/>
      <c r="Q1" s="1022"/>
      <c r="R1" s="1022"/>
      <c r="S1" s="1022"/>
      <c r="T1" s="1022"/>
      <c r="U1" s="1022"/>
      <c r="V1" s="1022"/>
      <c r="W1" s="1022"/>
      <c r="X1" s="1021">
        <v>4</v>
      </c>
      <c r="Y1" s="1021">
        <v>9</v>
      </c>
      <c r="Z1" s="1021">
        <v>10</v>
      </c>
      <c r="AA1" s="1021">
        <v>5</v>
      </c>
      <c r="AB1" s="1021">
        <v>1</v>
      </c>
      <c r="AC1" s="1021">
        <v>3</v>
      </c>
      <c r="AD1" s="1021">
        <v>6</v>
      </c>
      <c r="AE1" s="1021">
        <v>14</v>
      </c>
      <c r="AF1" s="1021">
        <v>8</v>
      </c>
      <c r="AG1" s="1021">
        <v>11</v>
      </c>
      <c r="AH1" s="1021">
        <v>12</v>
      </c>
      <c r="AI1" s="1021">
        <v>13</v>
      </c>
    </row>
    <row r="2" spans="1:35">
      <c r="D2" s="1018"/>
      <c r="E2" s="1019">
        <v>43749.549747569443</v>
      </c>
      <c r="F2" s="1017"/>
      <c r="G2" s="1017"/>
      <c r="H2" s="1018"/>
      <c r="I2" s="1018"/>
      <c r="J2" s="1017"/>
      <c r="K2" s="1017"/>
      <c r="L2" s="1017"/>
      <c r="M2" s="1017"/>
      <c r="N2" s="1017"/>
      <c r="O2" s="1017"/>
      <c r="P2" s="1017"/>
      <c r="Q2" s="1017"/>
      <c r="R2" s="1017"/>
      <c r="S2" s="1017"/>
      <c r="T2" s="1017"/>
      <c r="U2" s="1017"/>
      <c r="V2" s="1017"/>
      <c r="W2" s="1017"/>
      <c r="X2" s="1016" t="s">
        <v>4996</v>
      </c>
      <c r="Y2" s="1016"/>
      <c r="Z2" s="1016"/>
      <c r="AA2" s="1016"/>
      <c r="AB2" s="1016"/>
      <c r="AC2" s="1016"/>
      <c r="AD2" s="1016"/>
      <c r="AE2" s="1016"/>
      <c r="AF2" s="1016"/>
      <c r="AG2" s="1016"/>
      <c r="AH2" s="1016"/>
      <c r="AI2" s="1016"/>
    </row>
    <row r="3" spans="1:35" s="1011" customFormat="1" ht="72" customHeight="1">
      <c r="A3" s="1013" t="s">
        <v>4995</v>
      </c>
      <c r="B3" s="1013" t="s">
        <v>4994</v>
      </c>
      <c r="C3" s="1013" t="s">
        <v>4993</v>
      </c>
      <c r="D3" s="1014" t="s">
        <v>4992</v>
      </c>
      <c r="E3" s="1014" t="s">
        <v>4991</v>
      </c>
      <c r="F3" s="1011" t="s">
        <v>4990</v>
      </c>
      <c r="G3" s="1011" t="s">
        <v>4989</v>
      </c>
      <c r="H3" s="1015" t="s">
        <v>4988</v>
      </c>
      <c r="I3" s="1014" t="s">
        <v>4987</v>
      </c>
      <c r="J3" s="1011" t="s">
        <v>4986</v>
      </c>
      <c r="K3" s="1011" t="s">
        <v>4985</v>
      </c>
      <c r="L3" s="1011" t="s">
        <v>4984</v>
      </c>
      <c r="M3" s="1011" t="s">
        <v>4983</v>
      </c>
      <c r="N3" s="1011" t="s">
        <v>4982</v>
      </c>
      <c r="O3" s="1011" t="s">
        <v>4981</v>
      </c>
      <c r="P3" s="1011" t="s">
        <v>4980</v>
      </c>
      <c r="Q3" s="1011" t="s">
        <v>4979</v>
      </c>
      <c r="R3" s="1011" t="s">
        <v>4978</v>
      </c>
      <c r="S3" s="1013" t="s">
        <v>4977</v>
      </c>
      <c r="T3" s="1013" t="s">
        <v>4976</v>
      </c>
      <c r="U3" s="1013" t="s">
        <v>4975</v>
      </c>
      <c r="V3" s="1013" t="s">
        <v>4974</v>
      </c>
      <c r="W3" s="1013" t="s">
        <v>4973</v>
      </c>
      <c r="X3" s="1012" t="s">
        <v>4972</v>
      </c>
      <c r="Y3" s="1012" t="s">
        <v>4971</v>
      </c>
      <c r="Z3" s="1012" t="s">
        <v>4970</v>
      </c>
      <c r="AA3" s="1012" t="s">
        <v>4969</v>
      </c>
      <c r="AB3" s="1012" t="s">
        <v>4968</v>
      </c>
      <c r="AC3" s="1012" t="s">
        <v>4967</v>
      </c>
      <c r="AD3" s="1012" t="s">
        <v>4966</v>
      </c>
      <c r="AE3" s="1012" t="s">
        <v>4965</v>
      </c>
      <c r="AF3" s="1012" t="s">
        <v>4964</v>
      </c>
      <c r="AG3" s="1012" t="s">
        <v>4963</v>
      </c>
      <c r="AH3" s="1012" t="s">
        <v>4962</v>
      </c>
      <c r="AI3" s="1012" t="s">
        <v>4961</v>
      </c>
    </row>
    <row r="4" spans="1:35">
      <c r="A4" s="1008">
        <v>23508</v>
      </c>
      <c r="C4" s="1008">
        <v>1</v>
      </c>
      <c r="D4" s="1009">
        <v>39999999</v>
      </c>
      <c r="E4" s="1009">
        <v>9999000</v>
      </c>
      <c r="F4" s="1007" t="s">
        <v>4960</v>
      </c>
      <c r="O4" s="1007" t="s">
        <v>648</v>
      </c>
      <c r="P4" s="1007" t="s">
        <v>648</v>
      </c>
      <c r="S4" s="1008" t="s">
        <v>650</v>
      </c>
      <c r="T4" s="1008" t="s">
        <v>675</v>
      </c>
      <c r="U4" s="1008" t="s">
        <v>649</v>
      </c>
      <c r="V4" s="1008" t="s">
        <v>648</v>
      </c>
      <c r="W4" s="1008" t="s">
        <v>546</v>
      </c>
      <c r="X4" s="1008"/>
      <c r="Y4" s="1008"/>
      <c r="Z4" s="1008"/>
      <c r="AA4" s="1008"/>
      <c r="AB4" s="1008"/>
      <c r="AC4" s="1008"/>
      <c r="AD4" s="1008"/>
      <c r="AE4" s="1008"/>
      <c r="AF4" s="1008"/>
      <c r="AG4" s="1008"/>
      <c r="AH4" s="1008"/>
      <c r="AI4" s="1008"/>
    </row>
    <row r="5" spans="1:35">
      <c r="A5" s="1008">
        <v>23509</v>
      </c>
      <c r="C5" s="1008">
        <v>2</v>
      </c>
      <c r="D5" s="1009">
        <v>19999999</v>
      </c>
      <c r="E5" s="1009">
        <v>10000000</v>
      </c>
      <c r="F5" s="1007" t="s">
        <v>4959</v>
      </c>
      <c r="O5" s="1007" t="s">
        <v>648</v>
      </c>
      <c r="P5" s="1007" t="s">
        <v>648</v>
      </c>
      <c r="S5" s="1008" t="s">
        <v>650</v>
      </c>
      <c r="T5" s="1008" t="s">
        <v>675</v>
      </c>
      <c r="U5" s="1008" t="s">
        <v>649</v>
      </c>
      <c r="V5" s="1008" t="s">
        <v>648</v>
      </c>
      <c r="W5" s="1008" t="s">
        <v>546</v>
      </c>
      <c r="X5" s="1008"/>
      <c r="Y5" s="1008"/>
      <c r="Z5" s="1008"/>
      <c r="AA5" s="1008"/>
      <c r="AB5" s="1008"/>
      <c r="AC5" s="1008"/>
      <c r="AD5" s="1008"/>
      <c r="AE5" s="1008"/>
      <c r="AF5" s="1008"/>
      <c r="AG5" s="1008"/>
      <c r="AH5" s="1008"/>
      <c r="AI5" s="1008"/>
    </row>
    <row r="6" spans="1:35">
      <c r="A6" s="1008">
        <v>23510</v>
      </c>
      <c r="C6" s="1008">
        <v>3</v>
      </c>
      <c r="D6" s="1009">
        <v>19999998</v>
      </c>
      <c r="E6" s="1009">
        <v>10001000</v>
      </c>
      <c r="F6" s="1007" t="s">
        <v>4959</v>
      </c>
      <c r="O6" s="1007" t="s">
        <v>648</v>
      </c>
      <c r="P6" s="1007" t="s">
        <v>648</v>
      </c>
      <c r="S6" s="1008" t="s">
        <v>650</v>
      </c>
      <c r="T6" s="1008" t="s">
        <v>675</v>
      </c>
      <c r="U6" s="1008" t="s">
        <v>649</v>
      </c>
      <c r="V6" s="1008" t="s">
        <v>648</v>
      </c>
      <c r="W6" s="1008" t="s">
        <v>546</v>
      </c>
      <c r="X6" s="1008"/>
      <c r="Y6" s="1008"/>
      <c r="Z6" s="1008"/>
      <c r="AA6" s="1008"/>
      <c r="AB6" s="1008"/>
      <c r="AC6" s="1008"/>
      <c r="AD6" s="1008"/>
      <c r="AE6" s="1008"/>
      <c r="AF6" s="1008"/>
      <c r="AG6" s="1008"/>
      <c r="AH6" s="1008"/>
      <c r="AI6" s="1008"/>
    </row>
    <row r="7" spans="1:35">
      <c r="A7" s="1008">
        <v>23511</v>
      </c>
      <c r="C7" s="1008">
        <v>4</v>
      </c>
      <c r="D7" s="1009">
        <v>10299999</v>
      </c>
      <c r="E7" s="1009">
        <v>10100000</v>
      </c>
      <c r="F7" s="1007" t="s">
        <v>4958</v>
      </c>
      <c r="O7" s="1007" t="s">
        <v>648</v>
      </c>
      <c r="P7" s="1007" t="s">
        <v>648</v>
      </c>
      <c r="S7" s="1008" t="s">
        <v>650</v>
      </c>
      <c r="T7" s="1008" t="s">
        <v>675</v>
      </c>
      <c r="U7" s="1008" t="s">
        <v>649</v>
      </c>
      <c r="V7" s="1008" t="s">
        <v>648</v>
      </c>
      <c r="W7" s="1008" t="s">
        <v>546</v>
      </c>
      <c r="X7" s="1008"/>
      <c r="Y7" s="1008"/>
      <c r="Z7" s="1008"/>
      <c r="AA7" s="1008"/>
      <c r="AB7" s="1008"/>
      <c r="AC7" s="1008"/>
      <c r="AD7" s="1008"/>
      <c r="AE7" s="1008"/>
      <c r="AF7" s="1008"/>
      <c r="AG7" s="1008"/>
      <c r="AH7" s="1008"/>
      <c r="AI7" s="1008"/>
    </row>
    <row r="8" spans="1:35">
      <c r="A8" s="1008">
        <v>23512</v>
      </c>
      <c r="C8" s="1008">
        <v>5</v>
      </c>
      <c r="D8" s="1009">
        <v>10199999</v>
      </c>
      <c r="E8" s="1009">
        <v>10101000</v>
      </c>
      <c r="F8" s="1007" t="s">
        <v>4957</v>
      </c>
      <c r="O8" s="1007" t="s">
        <v>648</v>
      </c>
      <c r="P8" s="1007" t="s">
        <v>648</v>
      </c>
      <c r="S8" s="1008" t="s">
        <v>650</v>
      </c>
      <c r="T8" s="1008" t="s">
        <v>675</v>
      </c>
      <c r="U8" s="1008" t="s">
        <v>649</v>
      </c>
      <c r="V8" s="1008" t="s">
        <v>648</v>
      </c>
      <c r="W8" s="1008" t="s">
        <v>546</v>
      </c>
      <c r="X8" s="1008"/>
      <c r="Y8" s="1008"/>
      <c r="Z8" s="1008"/>
      <c r="AA8" s="1008"/>
      <c r="AB8" s="1008"/>
      <c r="AC8" s="1008"/>
      <c r="AD8" s="1008"/>
      <c r="AE8" s="1008"/>
      <c r="AF8" s="1008"/>
      <c r="AG8" s="1008"/>
      <c r="AH8" s="1008"/>
      <c r="AI8" s="1008"/>
    </row>
    <row r="9" spans="1:35">
      <c r="A9" s="1008">
        <v>23513</v>
      </c>
      <c r="C9" s="1008">
        <v>6</v>
      </c>
      <c r="D9" s="1009">
        <v>10149999</v>
      </c>
      <c r="E9" s="1009">
        <v>10110000</v>
      </c>
      <c r="F9" s="1007" t="s">
        <v>4956</v>
      </c>
      <c r="O9" s="1007" t="s">
        <v>648</v>
      </c>
      <c r="P9" s="1007" t="s">
        <v>648</v>
      </c>
      <c r="S9" s="1008" t="s">
        <v>650</v>
      </c>
      <c r="T9" s="1008" t="s">
        <v>675</v>
      </c>
      <c r="U9" s="1008" t="s">
        <v>649</v>
      </c>
      <c r="V9" s="1008" t="s">
        <v>648</v>
      </c>
      <c r="W9" s="1008" t="s">
        <v>546</v>
      </c>
      <c r="X9" s="1008"/>
      <c r="Y9" s="1008"/>
      <c r="Z9" s="1008"/>
      <c r="AA9" s="1008"/>
      <c r="AB9" s="1008"/>
      <c r="AC9" s="1008"/>
      <c r="AD9" s="1008"/>
      <c r="AE9" s="1008"/>
      <c r="AF9" s="1008"/>
      <c r="AG9" s="1008"/>
      <c r="AH9" s="1008"/>
      <c r="AI9" s="1008"/>
    </row>
    <row r="10" spans="1:35">
      <c r="A10" s="1008">
        <v>23514</v>
      </c>
      <c r="B10" s="1008">
        <v>651</v>
      </c>
      <c r="C10" s="1008">
        <v>7</v>
      </c>
      <c r="D10" s="1009">
        <v>10149999</v>
      </c>
      <c r="E10" s="1009">
        <v>10111000</v>
      </c>
      <c r="F10" s="1007" t="s">
        <v>4955</v>
      </c>
      <c r="G10" s="1007">
        <v>8</v>
      </c>
      <c r="H10" s="1010">
        <v>99999999</v>
      </c>
      <c r="I10" s="1009">
        <v>10111000</v>
      </c>
      <c r="J10" s="1007" t="s">
        <v>4955</v>
      </c>
      <c r="O10" s="1007" t="s">
        <v>648</v>
      </c>
      <c r="P10" s="1007" t="s">
        <v>648</v>
      </c>
      <c r="S10" s="1008" t="s">
        <v>650</v>
      </c>
      <c r="T10" s="1008" t="s">
        <v>654</v>
      </c>
      <c r="U10" s="1008" t="s">
        <v>649</v>
      </c>
      <c r="V10" s="1008" t="s">
        <v>648</v>
      </c>
      <c r="W10" s="1008" t="s">
        <v>546</v>
      </c>
      <c r="X10" s="1008" t="s">
        <v>670</v>
      </c>
      <c r="Y10" s="1008" t="s">
        <v>670</v>
      </c>
      <c r="Z10" s="1008" t="s">
        <v>670</v>
      </c>
      <c r="AA10" s="1008" t="s">
        <v>670</v>
      </c>
      <c r="AB10" s="1008" t="s">
        <v>670</v>
      </c>
      <c r="AC10" s="1008" t="s">
        <v>670</v>
      </c>
      <c r="AD10" s="1008" t="s">
        <v>670</v>
      </c>
      <c r="AE10" s="1008" t="s">
        <v>670</v>
      </c>
      <c r="AF10" s="1008" t="s">
        <v>670</v>
      </c>
      <c r="AG10" s="1008" t="s">
        <v>670</v>
      </c>
      <c r="AH10" s="1008"/>
      <c r="AI10" s="1008"/>
    </row>
    <row r="11" spans="1:35">
      <c r="A11" s="1008">
        <v>23515</v>
      </c>
      <c r="B11" s="1008">
        <v>652</v>
      </c>
      <c r="C11" s="1008">
        <v>7</v>
      </c>
      <c r="D11" s="1009">
        <v>10149999</v>
      </c>
      <c r="E11" s="1009">
        <v>10112000</v>
      </c>
      <c r="F11" s="1007" t="s">
        <v>4954</v>
      </c>
      <c r="G11" s="1007">
        <v>8</v>
      </c>
      <c r="H11" s="1010">
        <v>99999999</v>
      </c>
      <c r="I11" s="1009">
        <v>10112000</v>
      </c>
      <c r="J11" s="1007" t="s">
        <v>4954</v>
      </c>
      <c r="O11" s="1007" t="s">
        <v>648</v>
      </c>
      <c r="P11" s="1007" t="s">
        <v>648</v>
      </c>
      <c r="S11" s="1008" t="s">
        <v>650</v>
      </c>
      <c r="T11" s="1008" t="s">
        <v>654</v>
      </c>
      <c r="U11" s="1008" t="s">
        <v>649</v>
      </c>
      <c r="V11" s="1008" t="s">
        <v>648</v>
      </c>
      <c r="W11" s="1008" t="s">
        <v>546</v>
      </c>
      <c r="X11" s="1008" t="s">
        <v>670</v>
      </c>
      <c r="Y11" s="1008" t="s">
        <v>670</v>
      </c>
      <c r="Z11" s="1008" t="s">
        <v>670</v>
      </c>
      <c r="AA11" s="1008" t="s">
        <v>670</v>
      </c>
      <c r="AB11" s="1008" t="s">
        <v>670</v>
      </c>
      <c r="AC11" s="1008" t="s">
        <v>670</v>
      </c>
      <c r="AD11" s="1008" t="s">
        <v>670</v>
      </c>
      <c r="AE11" s="1008"/>
      <c r="AF11" s="1008" t="s">
        <v>670</v>
      </c>
      <c r="AG11" s="1008" t="s">
        <v>670</v>
      </c>
      <c r="AH11" s="1008"/>
      <c r="AI11" s="1008"/>
    </row>
    <row r="12" spans="1:35">
      <c r="A12" s="1008">
        <v>23516</v>
      </c>
      <c r="B12" s="1008">
        <v>653</v>
      </c>
      <c r="C12" s="1008">
        <v>7</v>
      </c>
      <c r="D12" s="1009">
        <v>10149999</v>
      </c>
      <c r="E12" s="1009">
        <v>10113000</v>
      </c>
      <c r="F12" s="1007" t="s">
        <v>4953</v>
      </c>
      <c r="G12" s="1007">
        <v>8</v>
      </c>
      <c r="H12" s="1010">
        <v>99999999</v>
      </c>
      <c r="I12" s="1009">
        <v>10113000</v>
      </c>
      <c r="J12" s="1007" t="s">
        <v>4952</v>
      </c>
      <c r="O12" s="1007" t="s">
        <v>648</v>
      </c>
      <c r="P12" s="1007" t="s">
        <v>648</v>
      </c>
      <c r="S12" s="1008" t="s">
        <v>650</v>
      </c>
      <c r="T12" s="1008" t="s">
        <v>654</v>
      </c>
      <c r="U12" s="1008" t="s">
        <v>649</v>
      </c>
      <c r="V12" s="1008" t="s">
        <v>648</v>
      </c>
      <c r="W12" s="1008" t="s">
        <v>546</v>
      </c>
      <c r="X12" s="1008" t="s">
        <v>670</v>
      </c>
      <c r="Y12" s="1008" t="s">
        <v>670</v>
      </c>
      <c r="Z12" s="1008" t="s">
        <v>670</v>
      </c>
      <c r="AA12" s="1008" t="s">
        <v>670</v>
      </c>
      <c r="AB12" s="1008" t="s">
        <v>670</v>
      </c>
      <c r="AC12" s="1008" t="s">
        <v>670</v>
      </c>
      <c r="AD12" s="1008" t="s">
        <v>670</v>
      </c>
      <c r="AE12" s="1008"/>
      <c r="AF12" s="1008" t="s">
        <v>670</v>
      </c>
      <c r="AG12" s="1008" t="s">
        <v>670</v>
      </c>
      <c r="AH12" s="1008"/>
      <c r="AI12" s="1008"/>
    </row>
    <row r="13" spans="1:35">
      <c r="A13" s="1008">
        <v>23517</v>
      </c>
      <c r="B13" s="1008">
        <v>654</v>
      </c>
      <c r="C13" s="1008">
        <v>7</v>
      </c>
      <c r="D13" s="1009">
        <v>10149999</v>
      </c>
      <c r="E13" s="1009">
        <v>10114000</v>
      </c>
      <c r="F13" s="1007" t="s">
        <v>4951</v>
      </c>
      <c r="G13" s="1007">
        <v>8</v>
      </c>
      <c r="H13" s="1010">
        <v>99999999</v>
      </c>
      <c r="I13" s="1009">
        <v>10114000</v>
      </c>
      <c r="J13" s="1007" t="s">
        <v>4951</v>
      </c>
      <c r="O13" s="1007" t="s">
        <v>648</v>
      </c>
      <c r="P13" s="1007" t="s">
        <v>648</v>
      </c>
      <c r="S13" s="1008" t="s">
        <v>650</v>
      </c>
      <c r="T13" s="1008" t="s">
        <v>654</v>
      </c>
      <c r="U13" s="1008" t="s">
        <v>649</v>
      </c>
      <c r="V13" s="1008" t="s">
        <v>648</v>
      </c>
      <c r="W13" s="1008" t="s">
        <v>546</v>
      </c>
      <c r="X13" s="1008" t="s">
        <v>670</v>
      </c>
      <c r="Y13" s="1008" t="s">
        <v>670</v>
      </c>
      <c r="Z13" s="1008" t="s">
        <v>670</v>
      </c>
      <c r="AA13" s="1008" t="s">
        <v>670</v>
      </c>
      <c r="AB13" s="1008" t="s">
        <v>670</v>
      </c>
      <c r="AC13" s="1008" t="s">
        <v>670</v>
      </c>
      <c r="AD13" s="1008" t="s">
        <v>670</v>
      </c>
      <c r="AE13" s="1008"/>
      <c r="AF13" s="1008" t="s">
        <v>670</v>
      </c>
      <c r="AG13" s="1008" t="s">
        <v>670</v>
      </c>
      <c r="AH13" s="1008"/>
      <c r="AI13" s="1008"/>
    </row>
    <row r="14" spans="1:35">
      <c r="A14" s="1008">
        <v>23518</v>
      </c>
      <c r="B14" s="1008">
        <v>655</v>
      </c>
      <c r="C14" s="1008">
        <v>7</v>
      </c>
      <c r="D14" s="1009">
        <v>10149999</v>
      </c>
      <c r="E14" s="1009">
        <v>10115000</v>
      </c>
      <c r="F14" s="1007" t="s">
        <v>4950</v>
      </c>
      <c r="G14" s="1007">
        <v>8</v>
      </c>
      <c r="H14" s="1010">
        <v>99999999</v>
      </c>
      <c r="I14" s="1009">
        <v>10115000</v>
      </c>
      <c r="J14" s="1007" t="s">
        <v>4950</v>
      </c>
      <c r="O14" s="1007" t="s">
        <v>648</v>
      </c>
      <c r="P14" s="1007" t="s">
        <v>648</v>
      </c>
      <c r="S14" s="1008" t="s">
        <v>650</v>
      </c>
      <c r="T14" s="1008" t="s">
        <v>654</v>
      </c>
      <c r="U14" s="1008" t="s">
        <v>649</v>
      </c>
      <c r="V14" s="1008" t="s">
        <v>648</v>
      </c>
      <c r="W14" s="1008" t="s">
        <v>546</v>
      </c>
      <c r="X14" s="1008" t="s">
        <v>670</v>
      </c>
      <c r="Y14" s="1008" t="s">
        <v>670</v>
      </c>
      <c r="Z14" s="1008" t="s">
        <v>670</v>
      </c>
      <c r="AA14" s="1008" t="s">
        <v>670</v>
      </c>
      <c r="AB14" s="1008" t="s">
        <v>670</v>
      </c>
      <c r="AC14" s="1008" t="s">
        <v>670</v>
      </c>
      <c r="AD14" s="1008" t="s">
        <v>670</v>
      </c>
      <c r="AE14" s="1008"/>
      <c r="AF14" s="1008" t="s">
        <v>670</v>
      </c>
      <c r="AG14" s="1008" t="s">
        <v>670</v>
      </c>
      <c r="AH14" s="1008"/>
      <c r="AI14" s="1008"/>
    </row>
    <row r="15" spans="1:35">
      <c r="A15" s="1008">
        <v>23519</v>
      </c>
      <c r="B15" s="1008">
        <v>814</v>
      </c>
      <c r="C15" s="1008">
        <v>7</v>
      </c>
      <c r="D15" s="1009">
        <v>10149999</v>
      </c>
      <c r="E15" s="1009">
        <v>10116000</v>
      </c>
      <c r="F15" s="1007" t="s">
        <v>4949</v>
      </c>
      <c r="G15" s="1007">
        <v>8</v>
      </c>
      <c r="H15" s="1010">
        <v>99999999</v>
      </c>
      <c r="I15" s="1009">
        <v>10116000</v>
      </c>
      <c r="J15" s="1007" t="s">
        <v>4949</v>
      </c>
      <c r="O15" s="1007" t="s">
        <v>648</v>
      </c>
      <c r="P15" s="1007" t="s">
        <v>648</v>
      </c>
      <c r="S15" s="1008" t="s">
        <v>650</v>
      </c>
      <c r="T15" s="1008" t="s">
        <v>654</v>
      </c>
      <c r="U15" s="1008" t="s">
        <v>649</v>
      </c>
      <c r="V15" s="1008" t="s">
        <v>648</v>
      </c>
      <c r="W15" s="1008" t="s">
        <v>546</v>
      </c>
      <c r="X15" s="1008" t="s">
        <v>670</v>
      </c>
      <c r="Y15" s="1008" t="s">
        <v>670</v>
      </c>
      <c r="Z15" s="1008" t="s">
        <v>670</v>
      </c>
      <c r="AA15" s="1008" t="s">
        <v>670</v>
      </c>
      <c r="AB15" s="1008" t="s">
        <v>670</v>
      </c>
      <c r="AC15" s="1008" t="s">
        <v>670</v>
      </c>
      <c r="AD15" s="1008" t="s">
        <v>670</v>
      </c>
      <c r="AE15" s="1008"/>
      <c r="AF15" s="1008" t="s">
        <v>670</v>
      </c>
      <c r="AG15" s="1008" t="s">
        <v>670</v>
      </c>
      <c r="AH15" s="1008"/>
      <c r="AI15" s="1008"/>
    </row>
    <row r="16" spans="1:35">
      <c r="A16" s="1008">
        <v>23520</v>
      </c>
      <c r="B16" s="1008">
        <v>656</v>
      </c>
      <c r="C16" s="1008">
        <v>7</v>
      </c>
      <c r="D16" s="1009">
        <v>10149999</v>
      </c>
      <c r="E16" s="1009">
        <v>10117000</v>
      </c>
      <c r="F16" s="1007" t="s">
        <v>4948</v>
      </c>
      <c r="G16" s="1007">
        <v>8</v>
      </c>
      <c r="H16" s="1010">
        <v>99999999</v>
      </c>
      <c r="I16" s="1009">
        <v>10117000</v>
      </c>
      <c r="J16" s="1007" t="s">
        <v>4948</v>
      </c>
      <c r="O16" s="1007" t="s">
        <v>648</v>
      </c>
      <c r="P16" s="1007" t="s">
        <v>648</v>
      </c>
      <c r="S16" s="1008" t="s">
        <v>650</v>
      </c>
      <c r="T16" s="1008" t="s">
        <v>654</v>
      </c>
      <c r="U16" s="1008" t="s">
        <v>649</v>
      </c>
      <c r="V16" s="1008" t="s">
        <v>648</v>
      </c>
      <c r="W16" s="1008" t="s">
        <v>546</v>
      </c>
      <c r="X16" s="1008" t="s">
        <v>670</v>
      </c>
      <c r="Y16" s="1008" t="s">
        <v>670</v>
      </c>
      <c r="Z16" s="1008" t="s">
        <v>670</v>
      </c>
      <c r="AA16" s="1008" t="s">
        <v>670</v>
      </c>
      <c r="AB16" s="1008" t="s">
        <v>670</v>
      </c>
      <c r="AC16" s="1008" t="s">
        <v>670</v>
      </c>
      <c r="AD16" s="1008" t="s">
        <v>670</v>
      </c>
      <c r="AE16" s="1008"/>
      <c r="AF16" s="1008" t="s">
        <v>670</v>
      </c>
      <c r="AG16" s="1008" t="s">
        <v>670</v>
      </c>
      <c r="AH16" s="1008"/>
      <c r="AI16" s="1008"/>
    </row>
    <row r="17" spans="1:35">
      <c r="A17" s="1008">
        <v>26495</v>
      </c>
      <c r="B17" s="1008">
        <v>820</v>
      </c>
      <c r="C17" s="1008">
        <v>7</v>
      </c>
      <c r="D17" s="1009">
        <v>10149999</v>
      </c>
      <c r="E17" s="1009">
        <v>10118000</v>
      </c>
      <c r="F17" s="1007" t="s">
        <v>4947</v>
      </c>
      <c r="G17" s="1007">
        <v>8</v>
      </c>
      <c r="H17" s="1010">
        <v>99999999</v>
      </c>
      <c r="I17" s="1009">
        <v>10118000</v>
      </c>
      <c r="J17" s="1007" t="s">
        <v>4947</v>
      </c>
      <c r="O17" s="1007" t="s">
        <v>648</v>
      </c>
      <c r="P17" s="1007" t="s">
        <v>648</v>
      </c>
      <c r="S17" s="1008" t="s">
        <v>650</v>
      </c>
      <c r="T17" s="1008" t="s">
        <v>654</v>
      </c>
      <c r="U17" s="1008" t="s">
        <v>649</v>
      </c>
      <c r="V17" s="1008" t="s">
        <v>648</v>
      </c>
      <c r="W17" s="1008" t="s">
        <v>546</v>
      </c>
      <c r="X17" s="1008" t="s">
        <v>670</v>
      </c>
      <c r="Y17" s="1008" t="s">
        <v>670</v>
      </c>
      <c r="Z17" s="1008" t="s">
        <v>670</v>
      </c>
      <c r="AA17" s="1008" t="s">
        <v>670</v>
      </c>
      <c r="AB17" s="1008" t="s">
        <v>670</v>
      </c>
      <c r="AC17" s="1008" t="s">
        <v>670</v>
      </c>
      <c r="AD17" s="1008" t="s">
        <v>670</v>
      </c>
      <c r="AE17" s="1008"/>
      <c r="AF17" s="1008" t="s">
        <v>670</v>
      </c>
      <c r="AG17" s="1008" t="s">
        <v>670</v>
      </c>
      <c r="AH17" s="1008"/>
      <c r="AI17" s="1008"/>
    </row>
    <row r="18" spans="1:35">
      <c r="A18" s="1008">
        <v>26496</v>
      </c>
      <c r="B18" s="1008">
        <v>821</v>
      </c>
      <c r="C18" s="1008">
        <v>7</v>
      </c>
      <c r="D18" s="1009">
        <v>10149999</v>
      </c>
      <c r="E18" s="1009">
        <v>10119000</v>
      </c>
      <c r="F18" s="1007" t="s">
        <v>4946</v>
      </c>
      <c r="G18" s="1007">
        <v>8</v>
      </c>
      <c r="H18" s="1010">
        <v>99999999</v>
      </c>
      <c r="I18" s="1009">
        <v>10119000</v>
      </c>
      <c r="J18" s="1007" t="s">
        <v>4946</v>
      </c>
      <c r="O18" s="1007" t="s">
        <v>648</v>
      </c>
      <c r="P18" s="1007" t="s">
        <v>648</v>
      </c>
      <c r="S18" s="1008" t="s">
        <v>650</v>
      </c>
      <c r="T18" s="1008" t="s">
        <v>654</v>
      </c>
      <c r="U18" s="1008" t="s">
        <v>649</v>
      </c>
      <c r="V18" s="1008" t="s">
        <v>648</v>
      </c>
      <c r="W18" s="1008" t="s">
        <v>546</v>
      </c>
      <c r="X18" s="1008" t="s">
        <v>670</v>
      </c>
      <c r="Y18" s="1008" t="s">
        <v>670</v>
      </c>
      <c r="Z18" s="1008" t="s">
        <v>670</v>
      </c>
      <c r="AA18" s="1008" t="s">
        <v>670</v>
      </c>
      <c r="AB18" s="1008" t="s">
        <v>670</v>
      </c>
      <c r="AC18" s="1008" t="s">
        <v>670</v>
      </c>
      <c r="AD18" s="1008" t="s">
        <v>670</v>
      </c>
      <c r="AE18" s="1008"/>
      <c r="AF18" s="1008" t="s">
        <v>670</v>
      </c>
      <c r="AG18" s="1008" t="s">
        <v>670</v>
      </c>
      <c r="AH18" s="1008"/>
      <c r="AI18" s="1008"/>
    </row>
    <row r="19" spans="1:35">
      <c r="A19" s="1008">
        <v>23522</v>
      </c>
      <c r="B19" s="1008">
        <v>1226</v>
      </c>
      <c r="C19" s="1008">
        <v>7</v>
      </c>
      <c r="D19" s="1009">
        <v>10149999</v>
      </c>
      <c r="E19" s="1009">
        <v>10120000</v>
      </c>
      <c r="F19" s="1007" t="s">
        <v>4945</v>
      </c>
      <c r="G19" s="1007">
        <v>8</v>
      </c>
      <c r="H19" s="1010">
        <v>99999999</v>
      </c>
      <c r="I19" s="1009">
        <v>10120000</v>
      </c>
      <c r="J19" s="1007" t="s">
        <v>4945</v>
      </c>
      <c r="O19" s="1007" t="s">
        <v>648</v>
      </c>
      <c r="P19" s="1007" t="s">
        <v>648</v>
      </c>
      <c r="S19" s="1008" t="s">
        <v>650</v>
      </c>
      <c r="T19" s="1008" t="s">
        <v>654</v>
      </c>
      <c r="U19" s="1008" t="s">
        <v>649</v>
      </c>
      <c r="V19" s="1008" t="s">
        <v>648</v>
      </c>
      <c r="W19" s="1008" t="s">
        <v>546</v>
      </c>
      <c r="X19" s="1008" t="s">
        <v>670</v>
      </c>
      <c r="Y19" s="1008" t="s">
        <v>670</v>
      </c>
      <c r="Z19" s="1008" t="s">
        <v>670</v>
      </c>
      <c r="AA19" s="1008" t="s">
        <v>670</v>
      </c>
      <c r="AB19" s="1008" t="s">
        <v>670</v>
      </c>
      <c r="AC19" s="1008" t="s">
        <v>670</v>
      </c>
      <c r="AD19" s="1008" t="s">
        <v>670</v>
      </c>
      <c r="AE19" s="1008"/>
      <c r="AF19" s="1008" t="s">
        <v>670</v>
      </c>
      <c r="AG19" s="1008" t="s">
        <v>670</v>
      </c>
      <c r="AH19" s="1008"/>
      <c r="AI19" s="1008"/>
    </row>
    <row r="20" spans="1:35">
      <c r="A20" s="1008">
        <v>23523</v>
      </c>
      <c r="B20" s="1008">
        <v>1227</v>
      </c>
      <c r="C20" s="1008">
        <v>7</v>
      </c>
      <c r="D20" s="1009">
        <v>10149999</v>
      </c>
      <c r="E20" s="1009">
        <v>10121000</v>
      </c>
      <c r="F20" s="1007" t="s">
        <v>4944</v>
      </c>
      <c r="G20" s="1007">
        <v>8</v>
      </c>
      <c r="H20" s="1010">
        <v>99999999</v>
      </c>
      <c r="I20" s="1009">
        <v>10121000</v>
      </c>
      <c r="J20" s="1007" t="s">
        <v>4944</v>
      </c>
      <c r="O20" s="1007" t="s">
        <v>648</v>
      </c>
      <c r="P20" s="1007" t="s">
        <v>648</v>
      </c>
      <c r="S20" s="1008" t="s">
        <v>650</v>
      </c>
      <c r="T20" s="1008" t="s">
        <v>654</v>
      </c>
      <c r="U20" s="1008" t="s">
        <v>649</v>
      </c>
      <c r="V20" s="1008" t="s">
        <v>648</v>
      </c>
      <c r="W20" s="1008" t="s">
        <v>546</v>
      </c>
      <c r="X20" s="1008" t="s">
        <v>670</v>
      </c>
      <c r="Y20" s="1008" t="s">
        <v>670</v>
      </c>
      <c r="Z20" s="1008" t="s">
        <v>670</v>
      </c>
      <c r="AA20" s="1008" t="s">
        <v>670</v>
      </c>
      <c r="AB20" s="1008" t="s">
        <v>670</v>
      </c>
      <c r="AC20" s="1008" t="s">
        <v>670</v>
      </c>
      <c r="AD20" s="1008" t="s">
        <v>670</v>
      </c>
      <c r="AE20" s="1008"/>
      <c r="AF20" s="1008" t="s">
        <v>670</v>
      </c>
      <c r="AG20" s="1008" t="s">
        <v>670</v>
      </c>
      <c r="AH20" s="1008"/>
      <c r="AI20" s="1008"/>
    </row>
    <row r="21" spans="1:35">
      <c r="A21" s="1008">
        <v>26488</v>
      </c>
      <c r="B21" s="1008">
        <v>1228</v>
      </c>
      <c r="C21" s="1008">
        <v>7</v>
      </c>
      <c r="D21" s="1009">
        <v>10149999</v>
      </c>
      <c r="E21" s="1009">
        <v>10122000</v>
      </c>
      <c r="F21" s="1007" t="s">
        <v>4943</v>
      </c>
      <c r="G21" s="1007">
        <v>8</v>
      </c>
      <c r="H21" s="1010">
        <v>99999999</v>
      </c>
      <c r="I21" s="1009">
        <v>10122000</v>
      </c>
      <c r="J21" s="1007" t="s">
        <v>4943</v>
      </c>
      <c r="O21" s="1007" t="s">
        <v>648</v>
      </c>
      <c r="P21" s="1007" t="s">
        <v>648</v>
      </c>
      <c r="S21" s="1008" t="s">
        <v>650</v>
      </c>
      <c r="T21" s="1008" t="s">
        <v>654</v>
      </c>
      <c r="U21" s="1008" t="s">
        <v>649</v>
      </c>
      <c r="V21" s="1008" t="s">
        <v>648</v>
      </c>
      <c r="W21" s="1008" t="s">
        <v>546</v>
      </c>
      <c r="X21" s="1008" t="s">
        <v>670</v>
      </c>
      <c r="Y21" s="1008" t="s">
        <v>670</v>
      </c>
      <c r="Z21" s="1008" t="s">
        <v>670</v>
      </c>
      <c r="AA21" s="1008" t="s">
        <v>670</v>
      </c>
      <c r="AB21" s="1008" t="s">
        <v>670</v>
      </c>
      <c r="AC21" s="1008" t="s">
        <v>670</v>
      </c>
      <c r="AD21" s="1008" t="s">
        <v>670</v>
      </c>
      <c r="AE21" s="1008"/>
      <c r="AF21" s="1008" t="s">
        <v>670</v>
      </c>
      <c r="AG21" s="1008" t="s">
        <v>670</v>
      </c>
      <c r="AH21" s="1008"/>
      <c r="AI21" s="1008"/>
    </row>
    <row r="22" spans="1:35">
      <c r="A22" s="1008">
        <v>26487</v>
      </c>
      <c r="B22" s="1008">
        <v>1229</v>
      </c>
      <c r="C22" s="1008">
        <v>7</v>
      </c>
      <c r="D22" s="1009">
        <v>10149999</v>
      </c>
      <c r="E22" s="1009">
        <v>10123000</v>
      </c>
      <c r="F22" s="1007" t="s">
        <v>4942</v>
      </c>
      <c r="G22" s="1007">
        <v>8</v>
      </c>
      <c r="H22" s="1010">
        <v>99999999</v>
      </c>
      <c r="I22" s="1009">
        <v>10123000</v>
      </c>
      <c r="J22" s="1007" t="s">
        <v>4942</v>
      </c>
      <c r="O22" s="1007" t="s">
        <v>648</v>
      </c>
      <c r="P22" s="1007" t="s">
        <v>648</v>
      </c>
      <c r="S22" s="1008" t="s">
        <v>650</v>
      </c>
      <c r="T22" s="1008" t="s">
        <v>654</v>
      </c>
      <c r="U22" s="1008" t="s">
        <v>649</v>
      </c>
      <c r="V22" s="1008" t="s">
        <v>648</v>
      </c>
      <c r="W22" s="1008" t="s">
        <v>546</v>
      </c>
      <c r="X22" s="1008" t="s">
        <v>670</v>
      </c>
      <c r="Y22" s="1008" t="s">
        <v>670</v>
      </c>
      <c r="Z22" s="1008" t="s">
        <v>670</v>
      </c>
      <c r="AA22" s="1008" t="s">
        <v>670</v>
      </c>
      <c r="AB22" s="1008" t="s">
        <v>670</v>
      </c>
      <c r="AC22" s="1008" t="s">
        <v>670</v>
      </c>
      <c r="AD22" s="1008" t="s">
        <v>670</v>
      </c>
      <c r="AE22" s="1008"/>
      <c r="AF22" s="1008" t="s">
        <v>670</v>
      </c>
      <c r="AG22" s="1008" t="s">
        <v>670</v>
      </c>
      <c r="AH22" s="1008"/>
      <c r="AI22" s="1008"/>
    </row>
    <row r="23" spans="1:35">
      <c r="A23" s="1008">
        <v>26486</v>
      </c>
      <c r="B23" s="1008">
        <v>1230</v>
      </c>
      <c r="C23" s="1008">
        <v>7</v>
      </c>
      <c r="D23" s="1009">
        <v>10149999</v>
      </c>
      <c r="E23" s="1009">
        <v>10124000</v>
      </c>
      <c r="F23" s="1007" t="s">
        <v>4941</v>
      </c>
      <c r="G23" s="1007">
        <v>8</v>
      </c>
      <c r="H23" s="1010">
        <v>99999999</v>
      </c>
      <c r="I23" s="1009">
        <v>10124000</v>
      </c>
      <c r="J23" s="1007" t="s">
        <v>4941</v>
      </c>
      <c r="O23" s="1007" t="s">
        <v>648</v>
      </c>
      <c r="P23" s="1007" t="s">
        <v>648</v>
      </c>
      <c r="S23" s="1008" t="s">
        <v>650</v>
      </c>
      <c r="T23" s="1008" t="s">
        <v>654</v>
      </c>
      <c r="U23" s="1008" t="s">
        <v>649</v>
      </c>
      <c r="V23" s="1008" t="s">
        <v>648</v>
      </c>
      <c r="W23" s="1008" t="s">
        <v>546</v>
      </c>
      <c r="X23" s="1008" t="s">
        <v>670</v>
      </c>
      <c r="Y23" s="1008" t="s">
        <v>670</v>
      </c>
      <c r="Z23" s="1008" t="s">
        <v>670</v>
      </c>
      <c r="AA23" s="1008" t="s">
        <v>670</v>
      </c>
      <c r="AB23" s="1008" t="s">
        <v>670</v>
      </c>
      <c r="AC23" s="1008" t="s">
        <v>670</v>
      </c>
      <c r="AD23" s="1008" t="s">
        <v>670</v>
      </c>
      <c r="AE23" s="1008"/>
      <c r="AF23" s="1008" t="s">
        <v>670</v>
      </c>
      <c r="AG23" s="1008" t="s">
        <v>670</v>
      </c>
      <c r="AH23" s="1008"/>
      <c r="AI23" s="1008"/>
    </row>
    <row r="24" spans="1:35">
      <c r="A24" s="1008">
        <v>26485</v>
      </c>
      <c r="B24" s="1008">
        <v>1231</v>
      </c>
      <c r="C24" s="1008">
        <v>7</v>
      </c>
      <c r="D24" s="1009">
        <v>10149999</v>
      </c>
      <c r="E24" s="1009">
        <v>10125000</v>
      </c>
      <c r="F24" s="1007" t="s">
        <v>4940</v>
      </c>
      <c r="G24" s="1007">
        <v>8</v>
      </c>
      <c r="H24" s="1010">
        <v>99999999</v>
      </c>
      <c r="I24" s="1009">
        <v>10125000</v>
      </c>
      <c r="J24" s="1007" t="s">
        <v>4940</v>
      </c>
      <c r="O24" s="1007" t="s">
        <v>648</v>
      </c>
      <c r="P24" s="1007" t="s">
        <v>648</v>
      </c>
      <c r="S24" s="1008" t="s">
        <v>650</v>
      </c>
      <c r="T24" s="1008" t="s">
        <v>654</v>
      </c>
      <c r="U24" s="1008" t="s">
        <v>649</v>
      </c>
      <c r="V24" s="1008" t="s">
        <v>648</v>
      </c>
      <c r="W24" s="1008" t="s">
        <v>546</v>
      </c>
      <c r="X24" s="1008" t="s">
        <v>670</v>
      </c>
      <c r="Y24" s="1008" t="s">
        <v>670</v>
      </c>
      <c r="Z24" s="1008" t="s">
        <v>670</v>
      </c>
      <c r="AA24" s="1008" t="s">
        <v>670</v>
      </c>
      <c r="AB24" s="1008" t="s">
        <v>670</v>
      </c>
      <c r="AC24" s="1008" t="s">
        <v>670</v>
      </c>
      <c r="AD24" s="1008" t="s">
        <v>670</v>
      </c>
      <c r="AE24" s="1008"/>
      <c r="AF24" s="1008" t="s">
        <v>670</v>
      </c>
      <c r="AG24" s="1008" t="s">
        <v>670</v>
      </c>
      <c r="AH24" s="1008"/>
      <c r="AI24" s="1008"/>
    </row>
    <row r="25" spans="1:35">
      <c r="A25" s="1008">
        <v>26484</v>
      </c>
      <c r="B25" s="1008">
        <v>1257</v>
      </c>
      <c r="C25" s="1008">
        <v>7</v>
      </c>
      <c r="D25" s="1009">
        <v>10149999</v>
      </c>
      <c r="E25" s="1009">
        <v>10126000</v>
      </c>
      <c r="F25" s="1007" t="s">
        <v>4939</v>
      </c>
      <c r="G25" s="1007">
        <v>8</v>
      </c>
      <c r="H25" s="1010">
        <v>99999999</v>
      </c>
      <c r="I25" s="1009">
        <v>10126000</v>
      </c>
      <c r="J25" s="1007" t="s">
        <v>4939</v>
      </c>
      <c r="O25" s="1007" t="s">
        <v>648</v>
      </c>
      <c r="P25" s="1007" t="s">
        <v>648</v>
      </c>
      <c r="S25" s="1008" t="s">
        <v>650</v>
      </c>
      <c r="T25" s="1008" t="s">
        <v>654</v>
      </c>
      <c r="U25" s="1008" t="s">
        <v>649</v>
      </c>
      <c r="V25" s="1008" t="s">
        <v>648</v>
      </c>
      <c r="W25" s="1008" t="s">
        <v>546</v>
      </c>
      <c r="X25" s="1008" t="s">
        <v>670</v>
      </c>
      <c r="Y25" s="1008" t="s">
        <v>670</v>
      </c>
      <c r="Z25" s="1008" t="s">
        <v>670</v>
      </c>
      <c r="AA25" s="1008" t="s">
        <v>670</v>
      </c>
      <c r="AB25" s="1008" t="s">
        <v>670</v>
      </c>
      <c r="AC25" s="1008" t="s">
        <v>670</v>
      </c>
      <c r="AD25" s="1008" t="s">
        <v>670</v>
      </c>
      <c r="AE25" s="1008"/>
      <c r="AF25" s="1008" t="s">
        <v>670</v>
      </c>
      <c r="AG25" s="1008" t="s">
        <v>670</v>
      </c>
      <c r="AH25" s="1008"/>
      <c r="AI25" s="1008"/>
    </row>
    <row r="26" spans="1:35">
      <c r="A26" s="1008">
        <v>27817</v>
      </c>
      <c r="B26" s="1008">
        <v>6629</v>
      </c>
      <c r="C26" s="1008">
        <v>6</v>
      </c>
      <c r="D26" s="1009">
        <v>10149999</v>
      </c>
      <c r="E26" s="1009">
        <v>10149000</v>
      </c>
      <c r="F26" s="1007" t="s">
        <v>4938</v>
      </c>
      <c r="G26" s="1007" t="s">
        <v>648</v>
      </c>
      <c r="H26" s="1010">
        <v>99999999</v>
      </c>
      <c r="I26" s="1009">
        <v>10149000</v>
      </c>
      <c r="J26" s="1007" t="s">
        <v>4937</v>
      </c>
      <c r="O26" s="1007" t="s">
        <v>648</v>
      </c>
      <c r="P26" s="1007" t="s">
        <v>648</v>
      </c>
      <c r="S26" s="1008" t="s">
        <v>650</v>
      </c>
      <c r="T26" s="1008" t="s">
        <v>654</v>
      </c>
      <c r="U26" s="1008" t="s">
        <v>649</v>
      </c>
      <c r="V26" s="1008" t="s">
        <v>648</v>
      </c>
      <c r="W26" s="1008" t="s">
        <v>546</v>
      </c>
      <c r="X26" s="1008"/>
      <c r="Y26" s="1008"/>
      <c r="Z26" s="1008"/>
      <c r="AA26" s="1008"/>
      <c r="AB26" s="1008"/>
      <c r="AC26" s="1008"/>
      <c r="AD26" s="1008"/>
      <c r="AE26" s="1008"/>
      <c r="AF26" s="1008"/>
      <c r="AG26" s="1008"/>
      <c r="AH26" s="1008"/>
      <c r="AI26" s="1008"/>
    </row>
    <row r="27" spans="1:35">
      <c r="A27" s="1008">
        <v>23521</v>
      </c>
      <c r="C27" s="1008">
        <v>6</v>
      </c>
      <c r="D27" s="1009">
        <v>10199999</v>
      </c>
      <c r="E27" s="1009">
        <v>10149999</v>
      </c>
      <c r="F27" s="1007" t="s">
        <v>4936</v>
      </c>
      <c r="O27" s="1007" t="s">
        <v>648</v>
      </c>
      <c r="P27" s="1007" t="s">
        <v>648</v>
      </c>
      <c r="S27" s="1008" t="s">
        <v>650</v>
      </c>
      <c r="T27" s="1008" t="s">
        <v>21</v>
      </c>
      <c r="U27" s="1008" t="s">
        <v>649</v>
      </c>
      <c r="V27" s="1008" t="s">
        <v>648</v>
      </c>
      <c r="W27" s="1008" t="s">
        <v>546</v>
      </c>
      <c r="X27" s="1008"/>
      <c r="Y27" s="1008"/>
      <c r="Z27" s="1008"/>
      <c r="AA27" s="1008"/>
      <c r="AB27" s="1008"/>
      <c r="AC27" s="1008"/>
      <c r="AD27" s="1008"/>
      <c r="AE27" s="1008"/>
      <c r="AF27" s="1008"/>
      <c r="AG27" s="1008"/>
      <c r="AH27" s="1008"/>
      <c r="AI27" s="1008"/>
    </row>
    <row r="28" spans="1:35">
      <c r="A28" s="1008">
        <v>26516</v>
      </c>
      <c r="C28" s="1008">
        <v>6</v>
      </c>
      <c r="D28" s="1009">
        <v>10159999</v>
      </c>
      <c r="E28" s="1009">
        <v>10150000</v>
      </c>
      <c r="F28" s="1007" t="s">
        <v>4935</v>
      </c>
      <c r="O28" s="1007" t="s">
        <v>648</v>
      </c>
      <c r="P28" s="1007" t="s">
        <v>648</v>
      </c>
      <c r="S28" s="1008" t="s">
        <v>650</v>
      </c>
      <c r="T28" s="1008" t="s">
        <v>675</v>
      </c>
      <c r="U28" s="1008" t="s">
        <v>649</v>
      </c>
      <c r="V28" s="1008" t="s">
        <v>648</v>
      </c>
      <c r="W28" s="1008" t="s">
        <v>546</v>
      </c>
      <c r="X28" s="1008"/>
      <c r="Y28" s="1008"/>
      <c r="Z28" s="1008"/>
      <c r="AA28" s="1008"/>
      <c r="AB28" s="1008"/>
      <c r="AC28" s="1008"/>
      <c r="AD28" s="1008"/>
      <c r="AE28" s="1008"/>
      <c r="AF28" s="1008"/>
      <c r="AG28" s="1008"/>
      <c r="AH28" s="1008"/>
      <c r="AI28" s="1008"/>
    </row>
    <row r="29" spans="1:35">
      <c r="A29" s="1008">
        <v>26517</v>
      </c>
      <c r="B29" s="1008">
        <v>661</v>
      </c>
      <c r="C29" s="1008">
        <v>7</v>
      </c>
      <c r="D29" s="1009">
        <v>10159999</v>
      </c>
      <c r="E29" s="1009">
        <v>10151000</v>
      </c>
      <c r="F29" s="1007" t="s">
        <v>4934</v>
      </c>
      <c r="G29" s="1007">
        <v>8</v>
      </c>
      <c r="H29" s="1010">
        <v>99999999</v>
      </c>
      <c r="I29" s="1009">
        <v>10151000</v>
      </c>
      <c r="J29" s="1007" t="s">
        <v>4934</v>
      </c>
      <c r="O29" s="1007" t="s">
        <v>648</v>
      </c>
      <c r="P29" s="1007" t="s">
        <v>648</v>
      </c>
      <c r="S29" s="1008" t="s">
        <v>650</v>
      </c>
      <c r="T29" s="1008" t="s">
        <v>654</v>
      </c>
      <c r="U29" s="1008" t="s">
        <v>649</v>
      </c>
      <c r="V29" s="1008" t="s">
        <v>648</v>
      </c>
      <c r="W29" s="1008" t="s">
        <v>546</v>
      </c>
      <c r="X29" s="1008" t="s">
        <v>670</v>
      </c>
      <c r="Y29" s="1008" t="s">
        <v>670</v>
      </c>
      <c r="Z29" s="1008" t="s">
        <v>670</v>
      </c>
      <c r="AA29" s="1008" t="s">
        <v>670</v>
      </c>
      <c r="AB29" s="1008" t="s">
        <v>670</v>
      </c>
      <c r="AC29" s="1008" t="s">
        <v>670</v>
      </c>
      <c r="AD29" s="1008" t="s">
        <v>670</v>
      </c>
      <c r="AE29" s="1008"/>
      <c r="AF29" s="1008" t="s">
        <v>670</v>
      </c>
      <c r="AG29" s="1008"/>
      <c r="AH29" s="1008"/>
      <c r="AI29" s="1008"/>
    </row>
    <row r="30" spans="1:35">
      <c r="A30" s="1008">
        <v>26518</v>
      </c>
      <c r="B30" s="1008">
        <v>662</v>
      </c>
      <c r="C30" s="1008">
        <v>7</v>
      </c>
      <c r="D30" s="1009">
        <v>10159999</v>
      </c>
      <c r="E30" s="1009">
        <v>10152000</v>
      </c>
      <c r="F30" s="1007" t="s">
        <v>4933</v>
      </c>
      <c r="G30" s="1007">
        <v>8</v>
      </c>
      <c r="H30" s="1010">
        <v>99999999</v>
      </c>
      <c r="I30" s="1009">
        <v>10152000</v>
      </c>
      <c r="J30" s="1007" t="s">
        <v>4933</v>
      </c>
      <c r="O30" s="1007" t="s">
        <v>648</v>
      </c>
      <c r="P30" s="1007" t="s">
        <v>648</v>
      </c>
      <c r="S30" s="1008" t="s">
        <v>650</v>
      </c>
      <c r="T30" s="1008" t="s">
        <v>654</v>
      </c>
      <c r="U30" s="1008" t="s">
        <v>649</v>
      </c>
      <c r="V30" s="1008" t="s">
        <v>648</v>
      </c>
      <c r="W30" s="1008" t="s">
        <v>546</v>
      </c>
      <c r="X30" s="1008" t="s">
        <v>670</v>
      </c>
      <c r="Y30" s="1008" t="s">
        <v>670</v>
      </c>
      <c r="Z30" s="1008" t="s">
        <v>670</v>
      </c>
      <c r="AA30" s="1008" t="s">
        <v>670</v>
      </c>
      <c r="AB30" s="1008" t="s">
        <v>670</v>
      </c>
      <c r="AC30" s="1008" t="s">
        <v>670</v>
      </c>
      <c r="AD30" s="1008" t="s">
        <v>670</v>
      </c>
      <c r="AE30" s="1008"/>
      <c r="AF30" s="1008" t="s">
        <v>670</v>
      </c>
      <c r="AG30" s="1008"/>
      <c r="AH30" s="1008"/>
      <c r="AI30" s="1008"/>
    </row>
    <row r="31" spans="1:35">
      <c r="A31" s="1008">
        <v>26519</v>
      </c>
      <c r="B31" s="1008">
        <v>663</v>
      </c>
      <c r="C31" s="1008">
        <v>7</v>
      </c>
      <c r="D31" s="1009">
        <v>10159999</v>
      </c>
      <c r="E31" s="1009">
        <v>10153000</v>
      </c>
      <c r="F31" s="1007" t="s">
        <v>4932</v>
      </c>
      <c r="G31" s="1007">
        <v>8</v>
      </c>
      <c r="H31" s="1010">
        <v>99999999</v>
      </c>
      <c r="I31" s="1009">
        <v>10153000</v>
      </c>
      <c r="J31" s="1007" t="s">
        <v>4932</v>
      </c>
      <c r="O31" s="1007" t="s">
        <v>648</v>
      </c>
      <c r="P31" s="1007" t="s">
        <v>648</v>
      </c>
      <c r="S31" s="1008" t="s">
        <v>650</v>
      </c>
      <c r="T31" s="1008" t="s">
        <v>654</v>
      </c>
      <c r="U31" s="1008" t="s">
        <v>649</v>
      </c>
      <c r="V31" s="1008" t="s">
        <v>648</v>
      </c>
      <c r="W31" s="1008" t="s">
        <v>546</v>
      </c>
      <c r="X31" s="1008" t="s">
        <v>670</v>
      </c>
      <c r="Y31" s="1008" t="s">
        <v>670</v>
      </c>
      <c r="Z31" s="1008" t="s">
        <v>670</v>
      </c>
      <c r="AA31" s="1008" t="s">
        <v>670</v>
      </c>
      <c r="AB31" s="1008" t="s">
        <v>670</v>
      </c>
      <c r="AC31" s="1008" t="s">
        <v>670</v>
      </c>
      <c r="AD31" s="1008" t="s">
        <v>670</v>
      </c>
      <c r="AE31" s="1008"/>
      <c r="AF31" s="1008" t="s">
        <v>670</v>
      </c>
      <c r="AG31" s="1008"/>
      <c r="AH31" s="1008"/>
      <c r="AI31" s="1008"/>
    </row>
    <row r="32" spans="1:35">
      <c r="A32" s="1008">
        <v>26520</v>
      </c>
      <c r="B32" s="1008">
        <v>664</v>
      </c>
      <c r="C32" s="1008">
        <v>7</v>
      </c>
      <c r="D32" s="1009">
        <v>10159999</v>
      </c>
      <c r="E32" s="1009">
        <v>10154000</v>
      </c>
      <c r="F32" s="1007" t="s">
        <v>4931</v>
      </c>
      <c r="G32" s="1007">
        <v>8</v>
      </c>
      <c r="H32" s="1010">
        <v>99999999</v>
      </c>
      <c r="I32" s="1009">
        <v>10154000</v>
      </c>
      <c r="J32" s="1007" t="s">
        <v>4931</v>
      </c>
      <c r="O32" s="1007" t="s">
        <v>648</v>
      </c>
      <c r="P32" s="1007" t="s">
        <v>648</v>
      </c>
      <c r="S32" s="1008" t="s">
        <v>650</v>
      </c>
      <c r="T32" s="1008" t="s">
        <v>654</v>
      </c>
      <c r="U32" s="1008" t="s">
        <v>649</v>
      </c>
      <c r="V32" s="1008" t="s">
        <v>648</v>
      </c>
      <c r="W32" s="1008" t="s">
        <v>546</v>
      </c>
      <c r="X32" s="1008" t="s">
        <v>670</v>
      </c>
      <c r="Y32" s="1008" t="s">
        <v>670</v>
      </c>
      <c r="Z32" s="1008" t="s">
        <v>670</v>
      </c>
      <c r="AA32" s="1008" t="s">
        <v>670</v>
      </c>
      <c r="AB32" s="1008" t="s">
        <v>670</v>
      </c>
      <c r="AC32" s="1008" t="s">
        <v>670</v>
      </c>
      <c r="AD32" s="1008" t="s">
        <v>670</v>
      </c>
      <c r="AE32" s="1008"/>
      <c r="AF32" s="1008" t="s">
        <v>670</v>
      </c>
      <c r="AG32" s="1008"/>
      <c r="AH32" s="1008"/>
      <c r="AI32" s="1008"/>
    </row>
    <row r="33" spans="1:35">
      <c r="A33" s="1008">
        <v>26521</v>
      </c>
      <c r="B33" s="1008">
        <v>822</v>
      </c>
      <c r="C33" s="1008">
        <v>7</v>
      </c>
      <c r="D33" s="1009">
        <v>10159999</v>
      </c>
      <c r="E33" s="1009">
        <v>10155000</v>
      </c>
      <c r="F33" s="1007" t="s">
        <v>4930</v>
      </c>
      <c r="G33" s="1007">
        <v>8</v>
      </c>
      <c r="H33" s="1010">
        <v>99999999</v>
      </c>
      <c r="I33" s="1009">
        <v>10155000</v>
      </c>
      <c r="J33" s="1007" t="s">
        <v>4930</v>
      </c>
      <c r="O33" s="1007" t="s">
        <v>648</v>
      </c>
      <c r="P33" s="1007" t="s">
        <v>648</v>
      </c>
      <c r="S33" s="1008" t="s">
        <v>650</v>
      </c>
      <c r="T33" s="1008" t="s">
        <v>654</v>
      </c>
      <c r="U33" s="1008" t="s">
        <v>649</v>
      </c>
      <c r="V33" s="1008" t="s">
        <v>648</v>
      </c>
      <c r="W33" s="1008" t="s">
        <v>546</v>
      </c>
      <c r="X33" s="1008" t="s">
        <v>670</v>
      </c>
      <c r="Y33" s="1008" t="s">
        <v>670</v>
      </c>
      <c r="Z33" s="1008" t="s">
        <v>670</v>
      </c>
      <c r="AA33" s="1008" t="s">
        <v>670</v>
      </c>
      <c r="AB33" s="1008" t="s">
        <v>670</v>
      </c>
      <c r="AC33" s="1008" t="s">
        <v>670</v>
      </c>
      <c r="AD33" s="1008" t="s">
        <v>670</v>
      </c>
      <c r="AE33" s="1008"/>
      <c r="AF33" s="1008" t="s">
        <v>670</v>
      </c>
      <c r="AG33" s="1008"/>
      <c r="AH33" s="1008"/>
      <c r="AI33" s="1008"/>
    </row>
    <row r="34" spans="1:35">
      <c r="A34" s="1008">
        <v>26522</v>
      </c>
      <c r="B34" s="1008">
        <v>823</v>
      </c>
      <c r="C34" s="1008">
        <v>7</v>
      </c>
      <c r="D34" s="1009">
        <v>10159999</v>
      </c>
      <c r="E34" s="1009">
        <v>10156000</v>
      </c>
      <c r="F34" s="1007" t="s">
        <v>4929</v>
      </c>
      <c r="G34" s="1007">
        <v>8</v>
      </c>
      <c r="H34" s="1010">
        <v>99999999</v>
      </c>
      <c r="I34" s="1009">
        <v>10156000</v>
      </c>
      <c r="J34" s="1007" t="s">
        <v>4929</v>
      </c>
      <c r="O34" s="1007" t="s">
        <v>648</v>
      </c>
      <c r="P34" s="1007" t="s">
        <v>648</v>
      </c>
      <c r="S34" s="1008" t="s">
        <v>650</v>
      </c>
      <c r="T34" s="1008" t="s">
        <v>654</v>
      </c>
      <c r="U34" s="1008" t="s">
        <v>649</v>
      </c>
      <c r="V34" s="1008" t="s">
        <v>648</v>
      </c>
      <c r="W34" s="1008" t="s">
        <v>546</v>
      </c>
      <c r="X34" s="1008" t="s">
        <v>670</v>
      </c>
      <c r="Y34" s="1008" t="s">
        <v>670</v>
      </c>
      <c r="Z34" s="1008" t="s">
        <v>670</v>
      </c>
      <c r="AA34" s="1008" t="s">
        <v>670</v>
      </c>
      <c r="AB34" s="1008" t="s">
        <v>670</v>
      </c>
      <c r="AC34" s="1008" t="s">
        <v>670</v>
      </c>
      <c r="AD34" s="1008" t="s">
        <v>670</v>
      </c>
      <c r="AE34" s="1008"/>
      <c r="AF34" s="1008" t="s">
        <v>670</v>
      </c>
      <c r="AG34" s="1008"/>
      <c r="AH34" s="1008"/>
      <c r="AI34" s="1008"/>
    </row>
    <row r="35" spans="1:35">
      <c r="A35" s="1008">
        <v>23529</v>
      </c>
      <c r="C35" s="1008">
        <v>6</v>
      </c>
      <c r="D35" s="1009">
        <v>10199999</v>
      </c>
      <c r="E35" s="1009">
        <v>10159999</v>
      </c>
      <c r="F35" s="1007" t="s">
        <v>4928</v>
      </c>
      <c r="O35" s="1007" t="s">
        <v>648</v>
      </c>
      <c r="P35" s="1007" t="s">
        <v>648</v>
      </c>
      <c r="S35" s="1008" t="s">
        <v>650</v>
      </c>
      <c r="T35" s="1008" t="s">
        <v>21</v>
      </c>
      <c r="U35" s="1008" t="s">
        <v>649</v>
      </c>
      <c r="V35" s="1008" t="s">
        <v>648</v>
      </c>
      <c r="W35" s="1008" t="s">
        <v>546</v>
      </c>
      <c r="X35" s="1008"/>
      <c r="Y35" s="1008"/>
      <c r="Z35" s="1008"/>
      <c r="AA35" s="1008"/>
      <c r="AB35" s="1008"/>
      <c r="AC35" s="1008"/>
      <c r="AD35" s="1008"/>
      <c r="AE35" s="1008"/>
      <c r="AF35" s="1008"/>
      <c r="AG35" s="1008"/>
      <c r="AH35" s="1008"/>
      <c r="AI35" s="1008"/>
    </row>
    <row r="36" spans="1:35">
      <c r="A36" s="1008">
        <v>23530</v>
      </c>
      <c r="C36" s="1008">
        <v>5</v>
      </c>
      <c r="D36" s="1009">
        <v>10299999</v>
      </c>
      <c r="E36" s="1009">
        <v>10199999</v>
      </c>
      <c r="F36" s="1007" t="s">
        <v>4927</v>
      </c>
      <c r="O36" s="1007" t="s">
        <v>648</v>
      </c>
      <c r="P36" s="1007" t="s">
        <v>648</v>
      </c>
      <c r="S36" s="1008" t="s">
        <v>650</v>
      </c>
      <c r="T36" s="1008" t="s">
        <v>21</v>
      </c>
      <c r="U36" s="1008" t="s">
        <v>649</v>
      </c>
      <c r="V36" s="1008" t="s">
        <v>648</v>
      </c>
      <c r="W36" s="1008" t="s">
        <v>546</v>
      </c>
      <c r="X36" s="1008"/>
      <c r="Y36" s="1008"/>
      <c r="Z36" s="1008"/>
      <c r="AA36" s="1008"/>
      <c r="AB36" s="1008"/>
      <c r="AC36" s="1008"/>
      <c r="AD36" s="1008"/>
      <c r="AE36" s="1008"/>
      <c r="AF36" s="1008"/>
      <c r="AG36" s="1008"/>
      <c r="AH36" s="1008"/>
      <c r="AI36" s="1008"/>
    </row>
    <row r="37" spans="1:35">
      <c r="A37" s="1008">
        <v>23531</v>
      </c>
      <c r="C37" s="1008">
        <v>5</v>
      </c>
      <c r="D37" s="1009">
        <v>10299900</v>
      </c>
      <c r="E37" s="1009">
        <v>10200000</v>
      </c>
      <c r="F37" s="1007" t="s">
        <v>4926</v>
      </c>
      <c r="O37" s="1007" t="s">
        <v>648</v>
      </c>
      <c r="P37" s="1007" t="s">
        <v>648</v>
      </c>
      <c r="S37" s="1008" t="s">
        <v>650</v>
      </c>
      <c r="T37" s="1008" t="s">
        <v>675</v>
      </c>
      <c r="U37" s="1008" t="s">
        <v>649</v>
      </c>
      <c r="V37" s="1008" t="s">
        <v>648</v>
      </c>
      <c r="W37" s="1008" t="s">
        <v>546</v>
      </c>
      <c r="X37" s="1008"/>
      <c r="Y37" s="1008"/>
      <c r="Z37" s="1008"/>
      <c r="AA37" s="1008"/>
      <c r="AB37" s="1008"/>
      <c r="AC37" s="1008"/>
      <c r="AD37" s="1008"/>
      <c r="AE37" s="1008"/>
      <c r="AF37" s="1008"/>
      <c r="AG37" s="1008"/>
      <c r="AH37" s="1008"/>
      <c r="AI37" s="1008"/>
    </row>
    <row r="38" spans="1:35">
      <c r="A38" s="1008">
        <v>23532</v>
      </c>
      <c r="C38" s="1008">
        <v>6</v>
      </c>
      <c r="D38" s="1009">
        <v>10219999</v>
      </c>
      <c r="E38" s="1009">
        <v>10210000</v>
      </c>
      <c r="F38" s="1007" t="s">
        <v>4925</v>
      </c>
      <c r="O38" s="1007" t="s">
        <v>648</v>
      </c>
      <c r="P38" s="1007" t="s">
        <v>648</v>
      </c>
      <c r="S38" s="1008" t="s">
        <v>650</v>
      </c>
      <c r="T38" s="1008" t="s">
        <v>675</v>
      </c>
      <c r="U38" s="1008" t="s">
        <v>649</v>
      </c>
      <c r="V38" s="1008" t="s">
        <v>648</v>
      </c>
      <c r="W38" s="1008" t="s">
        <v>546</v>
      </c>
      <c r="X38" s="1008"/>
      <c r="Y38" s="1008"/>
      <c r="Z38" s="1008"/>
      <c r="AA38" s="1008"/>
      <c r="AB38" s="1008"/>
      <c r="AC38" s="1008"/>
      <c r="AD38" s="1008"/>
      <c r="AE38" s="1008"/>
      <c r="AF38" s="1008"/>
      <c r="AG38" s="1008"/>
      <c r="AH38" s="1008"/>
      <c r="AI38" s="1008"/>
    </row>
    <row r="39" spans="1:35">
      <c r="A39" s="1008">
        <v>23533</v>
      </c>
      <c r="C39" s="1008">
        <v>6</v>
      </c>
      <c r="D39" s="1009">
        <v>10299900</v>
      </c>
      <c r="E39" s="1009">
        <v>10219999</v>
      </c>
      <c r="F39" s="1007" t="s">
        <v>4924</v>
      </c>
      <c r="O39" s="1007" t="s">
        <v>648</v>
      </c>
      <c r="P39" s="1007" t="s">
        <v>648</v>
      </c>
      <c r="S39" s="1008" t="s">
        <v>650</v>
      </c>
      <c r="T39" s="1008" t="s">
        <v>21</v>
      </c>
      <c r="U39" s="1008" t="s">
        <v>649</v>
      </c>
      <c r="V39" s="1008" t="s">
        <v>648</v>
      </c>
      <c r="W39" s="1008" t="s">
        <v>546</v>
      </c>
      <c r="X39" s="1008"/>
      <c r="Y39" s="1008"/>
      <c r="Z39" s="1008"/>
      <c r="AA39" s="1008"/>
      <c r="AB39" s="1008"/>
      <c r="AC39" s="1008"/>
      <c r="AD39" s="1008"/>
      <c r="AE39" s="1008"/>
      <c r="AF39" s="1008"/>
      <c r="AG39" s="1008"/>
      <c r="AH39" s="1008"/>
      <c r="AI39" s="1008"/>
    </row>
    <row r="40" spans="1:35">
      <c r="A40" s="1008">
        <v>23534</v>
      </c>
      <c r="C40" s="1008">
        <v>6</v>
      </c>
      <c r="D40" s="1009">
        <v>10249999</v>
      </c>
      <c r="E40" s="1009">
        <v>10220000</v>
      </c>
      <c r="F40" s="1007" t="s">
        <v>4923</v>
      </c>
      <c r="O40" s="1007" t="s">
        <v>648</v>
      </c>
      <c r="P40" s="1007" t="s">
        <v>648</v>
      </c>
      <c r="S40" s="1008" t="s">
        <v>650</v>
      </c>
      <c r="T40" s="1008" t="s">
        <v>675</v>
      </c>
      <c r="U40" s="1008" t="s">
        <v>649</v>
      </c>
      <c r="V40" s="1008" t="s">
        <v>648</v>
      </c>
      <c r="W40" s="1008" t="s">
        <v>546</v>
      </c>
      <c r="X40" s="1008"/>
      <c r="Y40" s="1008"/>
      <c r="Z40" s="1008"/>
      <c r="AA40" s="1008"/>
      <c r="AB40" s="1008"/>
      <c r="AC40" s="1008"/>
      <c r="AD40" s="1008"/>
      <c r="AE40" s="1008"/>
      <c r="AF40" s="1008"/>
      <c r="AG40" s="1008"/>
      <c r="AH40" s="1008"/>
      <c r="AI40" s="1008"/>
    </row>
    <row r="41" spans="1:35">
      <c r="A41" s="1008">
        <v>23535</v>
      </c>
      <c r="B41" s="1008">
        <v>669</v>
      </c>
      <c r="C41" s="1008">
        <v>7</v>
      </c>
      <c r="D41" s="1009">
        <v>10249999</v>
      </c>
      <c r="E41" s="1009">
        <v>10221000</v>
      </c>
      <c r="F41" s="1007" t="s">
        <v>4922</v>
      </c>
      <c r="G41" s="1007">
        <v>8</v>
      </c>
      <c r="H41" s="1010">
        <v>99999999</v>
      </c>
      <c r="I41" s="1009">
        <v>10221000</v>
      </c>
      <c r="J41" s="1007" t="s">
        <v>4922</v>
      </c>
      <c r="O41" s="1007" t="s">
        <v>648</v>
      </c>
      <c r="P41" s="1007" t="s">
        <v>648</v>
      </c>
      <c r="S41" s="1008" t="s">
        <v>650</v>
      </c>
      <c r="T41" s="1008" t="s">
        <v>654</v>
      </c>
      <c r="U41" s="1008" t="s">
        <v>649</v>
      </c>
      <c r="V41" s="1008" t="s">
        <v>648</v>
      </c>
      <c r="W41" s="1008" t="s">
        <v>546</v>
      </c>
      <c r="X41" s="1008" t="s">
        <v>670</v>
      </c>
      <c r="Y41" s="1008" t="s">
        <v>670</v>
      </c>
      <c r="Z41" s="1008" t="s">
        <v>670</v>
      </c>
      <c r="AA41" s="1008" t="s">
        <v>670</v>
      </c>
      <c r="AB41" s="1008" t="s">
        <v>670</v>
      </c>
      <c r="AC41" s="1008" t="s">
        <v>670</v>
      </c>
      <c r="AD41" s="1008" t="s">
        <v>670</v>
      </c>
      <c r="AE41" s="1008"/>
      <c r="AF41" s="1008" t="s">
        <v>670</v>
      </c>
      <c r="AG41" s="1008"/>
      <c r="AH41" s="1008"/>
      <c r="AI41" s="1008"/>
    </row>
    <row r="42" spans="1:35">
      <c r="A42" s="1008">
        <v>23536</v>
      </c>
      <c r="B42" s="1008">
        <v>670</v>
      </c>
      <c r="C42" s="1008">
        <v>7</v>
      </c>
      <c r="D42" s="1009">
        <v>10249999</v>
      </c>
      <c r="E42" s="1009">
        <v>10222000</v>
      </c>
      <c r="F42" s="1007" t="s">
        <v>4921</v>
      </c>
      <c r="G42" s="1007">
        <v>8</v>
      </c>
      <c r="H42" s="1010">
        <v>99999999</v>
      </c>
      <c r="I42" s="1009">
        <v>10222000</v>
      </c>
      <c r="J42" s="1007" t="s">
        <v>4921</v>
      </c>
      <c r="O42" s="1007" t="s">
        <v>648</v>
      </c>
      <c r="P42" s="1007" t="s">
        <v>648</v>
      </c>
      <c r="S42" s="1008" t="s">
        <v>650</v>
      </c>
      <c r="T42" s="1008" t="s">
        <v>654</v>
      </c>
      <c r="U42" s="1008" t="s">
        <v>649</v>
      </c>
      <c r="V42" s="1008" t="s">
        <v>648</v>
      </c>
      <c r="W42" s="1008" t="s">
        <v>546</v>
      </c>
      <c r="X42" s="1008" t="s">
        <v>670</v>
      </c>
      <c r="Y42" s="1008" t="s">
        <v>670</v>
      </c>
      <c r="Z42" s="1008" t="s">
        <v>670</v>
      </c>
      <c r="AA42" s="1008" t="s">
        <v>670</v>
      </c>
      <c r="AB42" s="1008" t="s">
        <v>670</v>
      </c>
      <c r="AC42" s="1008" t="s">
        <v>670</v>
      </c>
      <c r="AD42" s="1008" t="s">
        <v>670</v>
      </c>
      <c r="AE42" s="1008"/>
      <c r="AF42" s="1008" t="s">
        <v>670</v>
      </c>
      <c r="AG42" s="1008"/>
      <c r="AH42" s="1008"/>
      <c r="AI42" s="1008"/>
    </row>
    <row r="43" spans="1:35">
      <c r="A43" s="1008">
        <v>23537</v>
      </c>
      <c r="B43" s="1008">
        <v>671</v>
      </c>
      <c r="C43" s="1008">
        <v>7</v>
      </c>
      <c r="D43" s="1009">
        <v>10249999</v>
      </c>
      <c r="E43" s="1009">
        <v>10223000</v>
      </c>
      <c r="F43" s="1007" t="s">
        <v>4920</v>
      </c>
      <c r="G43" s="1007">
        <v>8</v>
      </c>
      <c r="H43" s="1010">
        <v>99999999</v>
      </c>
      <c r="I43" s="1009">
        <v>10223000</v>
      </c>
      <c r="J43" s="1007" t="s">
        <v>4920</v>
      </c>
      <c r="O43" s="1007" t="s">
        <v>648</v>
      </c>
      <c r="P43" s="1007" t="s">
        <v>648</v>
      </c>
      <c r="S43" s="1008" t="s">
        <v>650</v>
      </c>
      <c r="T43" s="1008" t="s">
        <v>654</v>
      </c>
      <c r="U43" s="1008" t="s">
        <v>649</v>
      </c>
      <c r="V43" s="1008" t="s">
        <v>648</v>
      </c>
      <c r="W43" s="1008" t="s">
        <v>546</v>
      </c>
      <c r="X43" s="1008" t="s">
        <v>670</v>
      </c>
      <c r="Y43" s="1008" t="s">
        <v>670</v>
      </c>
      <c r="Z43" s="1008" t="s">
        <v>670</v>
      </c>
      <c r="AA43" s="1008" t="s">
        <v>670</v>
      </c>
      <c r="AB43" s="1008" t="s">
        <v>670</v>
      </c>
      <c r="AC43" s="1008" t="s">
        <v>670</v>
      </c>
      <c r="AD43" s="1008" t="s">
        <v>670</v>
      </c>
      <c r="AE43" s="1008"/>
      <c r="AF43" s="1008" t="s">
        <v>670</v>
      </c>
      <c r="AG43" s="1008"/>
      <c r="AH43" s="1008"/>
      <c r="AI43" s="1008"/>
    </row>
    <row r="44" spans="1:35">
      <c r="A44" s="1008">
        <v>23538</v>
      </c>
      <c r="B44" s="1008">
        <v>672</v>
      </c>
      <c r="C44" s="1008">
        <v>7</v>
      </c>
      <c r="D44" s="1009">
        <v>10249999</v>
      </c>
      <c r="E44" s="1009">
        <v>10224000</v>
      </c>
      <c r="F44" s="1007" t="s">
        <v>4919</v>
      </c>
      <c r="G44" s="1007">
        <v>8</v>
      </c>
      <c r="H44" s="1010">
        <v>99999999</v>
      </c>
      <c r="I44" s="1009">
        <v>10224000</v>
      </c>
      <c r="J44" s="1007" t="s">
        <v>4919</v>
      </c>
      <c r="O44" s="1007" t="s">
        <v>648</v>
      </c>
      <c r="P44" s="1007" t="s">
        <v>648</v>
      </c>
      <c r="S44" s="1008" t="s">
        <v>650</v>
      </c>
      <c r="T44" s="1008" t="s">
        <v>654</v>
      </c>
      <c r="U44" s="1008" t="s">
        <v>649</v>
      </c>
      <c r="V44" s="1008" t="s">
        <v>648</v>
      </c>
      <c r="W44" s="1008" t="s">
        <v>546</v>
      </c>
      <c r="X44" s="1008" t="s">
        <v>670</v>
      </c>
      <c r="Y44" s="1008" t="s">
        <v>670</v>
      </c>
      <c r="Z44" s="1008" t="s">
        <v>670</v>
      </c>
      <c r="AA44" s="1008" t="s">
        <v>670</v>
      </c>
      <c r="AB44" s="1008" t="s">
        <v>670</v>
      </c>
      <c r="AC44" s="1008" t="s">
        <v>670</v>
      </c>
      <c r="AD44" s="1008" t="s">
        <v>670</v>
      </c>
      <c r="AE44" s="1008"/>
      <c r="AF44" s="1008" t="s">
        <v>670</v>
      </c>
      <c r="AG44" s="1008"/>
      <c r="AH44" s="1008"/>
      <c r="AI44" s="1008"/>
    </row>
    <row r="45" spans="1:35">
      <c r="A45" s="1008">
        <v>23539</v>
      </c>
      <c r="B45" s="1008">
        <v>673</v>
      </c>
      <c r="C45" s="1008">
        <v>7</v>
      </c>
      <c r="D45" s="1009">
        <v>10249999</v>
      </c>
      <c r="E45" s="1009">
        <v>10225000</v>
      </c>
      <c r="F45" s="1007" t="s">
        <v>4918</v>
      </c>
      <c r="G45" s="1007">
        <v>8</v>
      </c>
      <c r="H45" s="1010">
        <v>99999999</v>
      </c>
      <c r="I45" s="1009">
        <v>10225000</v>
      </c>
      <c r="J45" s="1007" t="s">
        <v>4918</v>
      </c>
      <c r="O45" s="1007" t="s">
        <v>648</v>
      </c>
      <c r="P45" s="1007" t="s">
        <v>648</v>
      </c>
      <c r="S45" s="1008" t="s">
        <v>650</v>
      </c>
      <c r="T45" s="1008" t="s">
        <v>654</v>
      </c>
      <c r="U45" s="1008" t="s">
        <v>649</v>
      </c>
      <c r="V45" s="1008" t="s">
        <v>648</v>
      </c>
      <c r="W45" s="1008" t="s">
        <v>546</v>
      </c>
      <c r="X45" s="1008" t="s">
        <v>670</v>
      </c>
      <c r="Y45" s="1008" t="s">
        <v>670</v>
      </c>
      <c r="Z45" s="1008" t="s">
        <v>670</v>
      </c>
      <c r="AA45" s="1008" t="s">
        <v>670</v>
      </c>
      <c r="AB45" s="1008" t="s">
        <v>670</v>
      </c>
      <c r="AC45" s="1008" t="s">
        <v>670</v>
      </c>
      <c r="AD45" s="1008" t="s">
        <v>670</v>
      </c>
      <c r="AE45" s="1008"/>
      <c r="AF45" s="1008" t="s">
        <v>670</v>
      </c>
      <c r="AG45" s="1008"/>
      <c r="AH45" s="1008"/>
      <c r="AI45" s="1008"/>
    </row>
    <row r="46" spans="1:35">
      <c r="A46" s="1008">
        <v>23540</v>
      </c>
      <c r="B46" s="1008">
        <v>674</v>
      </c>
      <c r="C46" s="1008">
        <v>7</v>
      </c>
      <c r="D46" s="1009">
        <v>10249999</v>
      </c>
      <c r="E46" s="1009">
        <v>10226000</v>
      </c>
      <c r="F46" s="1007" t="s">
        <v>4917</v>
      </c>
      <c r="G46" s="1007">
        <v>8</v>
      </c>
      <c r="H46" s="1010">
        <v>99999999</v>
      </c>
      <c r="I46" s="1009">
        <v>10226000</v>
      </c>
      <c r="J46" s="1007" t="s">
        <v>4917</v>
      </c>
      <c r="O46" s="1007" t="s">
        <v>648</v>
      </c>
      <c r="P46" s="1007" t="s">
        <v>648</v>
      </c>
      <c r="S46" s="1008" t="s">
        <v>650</v>
      </c>
      <c r="T46" s="1008" t="s">
        <v>654</v>
      </c>
      <c r="U46" s="1008" t="s">
        <v>649</v>
      </c>
      <c r="V46" s="1008" t="s">
        <v>648</v>
      </c>
      <c r="W46" s="1008" t="s">
        <v>546</v>
      </c>
      <c r="X46" s="1008" t="s">
        <v>670</v>
      </c>
      <c r="Y46" s="1008" t="s">
        <v>670</v>
      </c>
      <c r="Z46" s="1008" t="s">
        <v>670</v>
      </c>
      <c r="AA46" s="1008" t="s">
        <v>670</v>
      </c>
      <c r="AB46" s="1008" t="s">
        <v>670</v>
      </c>
      <c r="AC46" s="1008" t="s">
        <v>670</v>
      </c>
      <c r="AD46" s="1008" t="s">
        <v>670</v>
      </c>
      <c r="AE46" s="1008"/>
      <c r="AF46" s="1008" t="s">
        <v>670</v>
      </c>
      <c r="AG46" s="1008"/>
      <c r="AH46" s="1008"/>
      <c r="AI46" s="1008"/>
    </row>
    <row r="47" spans="1:35">
      <c r="A47" s="1008">
        <v>23541</v>
      </c>
      <c r="B47" s="1008">
        <v>675</v>
      </c>
      <c r="C47" s="1008">
        <v>7</v>
      </c>
      <c r="D47" s="1009">
        <v>10249999</v>
      </c>
      <c r="E47" s="1009">
        <v>10227000</v>
      </c>
      <c r="F47" s="1007" t="s">
        <v>4916</v>
      </c>
      <c r="G47" s="1007">
        <v>8</v>
      </c>
      <c r="H47" s="1010">
        <v>99999999</v>
      </c>
      <c r="I47" s="1009">
        <v>10227000</v>
      </c>
      <c r="J47" s="1007" t="s">
        <v>4916</v>
      </c>
      <c r="O47" s="1007" t="s">
        <v>648</v>
      </c>
      <c r="P47" s="1007" t="s">
        <v>648</v>
      </c>
      <c r="S47" s="1008" t="s">
        <v>650</v>
      </c>
      <c r="T47" s="1008" t="s">
        <v>654</v>
      </c>
      <c r="U47" s="1008" t="s">
        <v>649</v>
      </c>
      <c r="V47" s="1008" t="s">
        <v>648</v>
      </c>
      <c r="W47" s="1008" t="s">
        <v>546</v>
      </c>
      <c r="X47" s="1008" t="s">
        <v>670</v>
      </c>
      <c r="Y47" s="1008" t="s">
        <v>670</v>
      </c>
      <c r="Z47" s="1008" t="s">
        <v>670</v>
      </c>
      <c r="AA47" s="1008" t="s">
        <v>670</v>
      </c>
      <c r="AB47" s="1008" t="s">
        <v>670</v>
      </c>
      <c r="AC47" s="1008" t="s">
        <v>670</v>
      </c>
      <c r="AD47" s="1008" t="s">
        <v>670</v>
      </c>
      <c r="AE47" s="1008"/>
      <c r="AF47" s="1008" t="s">
        <v>670</v>
      </c>
      <c r="AG47" s="1008"/>
      <c r="AH47" s="1008"/>
      <c r="AI47" s="1008"/>
    </row>
    <row r="48" spans="1:35">
      <c r="A48" s="1008">
        <v>23542</v>
      </c>
      <c r="B48" s="1008">
        <v>676</v>
      </c>
      <c r="C48" s="1008">
        <v>7</v>
      </c>
      <c r="D48" s="1009">
        <v>10249999</v>
      </c>
      <c r="E48" s="1009">
        <v>10228000</v>
      </c>
      <c r="F48" s="1007" t="s">
        <v>4915</v>
      </c>
      <c r="G48" s="1007">
        <v>8</v>
      </c>
      <c r="H48" s="1010">
        <v>99999999</v>
      </c>
      <c r="I48" s="1009">
        <v>10228000</v>
      </c>
      <c r="J48" s="1007" t="s">
        <v>4915</v>
      </c>
      <c r="O48" s="1007" t="s">
        <v>648</v>
      </c>
      <c r="P48" s="1007" t="s">
        <v>648</v>
      </c>
      <c r="S48" s="1008" t="s">
        <v>650</v>
      </c>
      <c r="T48" s="1008" t="s">
        <v>654</v>
      </c>
      <c r="U48" s="1008" t="s">
        <v>649</v>
      </c>
      <c r="V48" s="1008" t="s">
        <v>648</v>
      </c>
      <c r="W48" s="1008" t="s">
        <v>546</v>
      </c>
      <c r="X48" s="1008" t="s">
        <v>670</v>
      </c>
      <c r="Y48" s="1008" t="s">
        <v>670</v>
      </c>
      <c r="Z48" s="1008" t="s">
        <v>670</v>
      </c>
      <c r="AA48" s="1008" t="s">
        <v>670</v>
      </c>
      <c r="AB48" s="1008" t="s">
        <v>670</v>
      </c>
      <c r="AC48" s="1008" t="s">
        <v>670</v>
      </c>
      <c r="AD48" s="1008" t="s">
        <v>670</v>
      </c>
      <c r="AE48" s="1008"/>
      <c r="AF48" s="1008" t="s">
        <v>670</v>
      </c>
      <c r="AG48" s="1008"/>
      <c r="AH48" s="1008"/>
      <c r="AI48" s="1008"/>
    </row>
    <row r="49" spans="1:35">
      <c r="A49" s="1008">
        <v>23543</v>
      </c>
      <c r="B49" s="1008">
        <v>677</v>
      </c>
      <c r="C49" s="1008">
        <v>7</v>
      </c>
      <c r="D49" s="1009">
        <v>10249999</v>
      </c>
      <c r="E49" s="1009">
        <v>10229000</v>
      </c>
      <c r="F49" s="1007" t="s">
        <v>4914</v>
      </c>
      <c r="G49" s="1007">
        <v>8</v>
      </c>
      <c r="H49" s="1010">
        <v>99999999</v>
      </c>
      <c r="I49" s="1009">
        <v>10229000</v>
      </c>
      <c r="J49" s="1007" t="s">
        <v>4914</v>
      </c>
      <c r="O49" s="1007" t="s">
        <v>648</v>
      </c>
      <c r="P49" s="1007" t="s">
        <v>648</v>
      </c>
      <c r="S49" s="1008" t="s">
        <v>650</v>
      </c>
      <c r="T49" s="1008" t="s">
        <v>654</v>
      </c>
      <c r="U49" s="1008" t="s">
        <v>649</v>
      </c>
      <c r="V49" s="1008" t="s">
        <v>648</v>
      </c>
      <c r="W49" s="1008" t="s">
        <v>546</v>
      </c>
      <c r="X49" s="1008" t="s">
        <v>670</v>
      </c>
      <c r="Y49" s="1008" t="s">
        <v>670</v>
      </c>
      <c r="Z49" s="1008" t="s">
        <v>670</v>
      </c>
      <c r="AA49" s="1008" t="s">
        <v>670</v>
      </c>
      <c r="AB49" s="1008" t="s">
        <v>670</v>
      </c>
      <c r="AC49" s="1008" t="s">
        <v>670</v>
      </c>
      <c r="AD49" s="1008" t="s">
        <v>670</v>
      </c>
      <c r="AE49" s="1008"/>
      <c r="AF49" s="1008" t="s">
        <v>670</v>
      </c>
      <c r="AG49" s="1008"/>
      <c r="AH49" s="1008"/>
      <c r="AI49" s="1008"/>
    </row>
    <row r="50" spans="1:35">
      <c r="A50" s="1008">
        <v>23544</v>
      </c>
      <c r="B50" s="1008">
        <v>678</v>
      </c>
      <c r="C50" s="1008">
        <v>7</v>
      </c>
      <c r="D50" s="1009">
        <v>10249999</v>
      </c>
      <c r="E50" s="1009">
        <v>10230000</v>
      </c>
      <c r="F50" s="1007" t="s">
        <v>4913</v>
      </c>
      <c r="G50" s="1007">
        <v>8</v>
      </c>
      <c r="H50" s="1010">
        <v>99999999</v>
      </c>
      <c r="I50" s="1009">
        <v>10230000</v>
      </c>
      <c r="J50" s="1007" t="s">
        <v>4913</v>
      </c>
      <c r="O50" s="1007" t="s">
        <v>648</v>
      </c>
      <c r="P50" s="1007" t="s">
        <v>648</v>
      </c>
      <c r="S50" s="1008" t="s">
        <v>650</v>
      </c>
      <c r="T50" s="1008" t="s">
        <v>654</v>
      </c>
      <c r="U50" s="1008" t="s">
        <v>649</v>
      </c>
      <c r="V50" s="1008" t="s">
        <v>648</v>
      </c>
      <c r="W50" s="1008" t="s">
        <v>546</v>
      </c>
      <c r="X50" s="1008" t="s">
        <v>670</v>
      </c>
      <c r="Y50" s="1008" t="s">
        <v>670</v>
      </c>
      <c r="Z50" s="1008" t="s">
        <v>670</v>
      </c>
      <c r="AA50" s="1008" t="s">
        <v>670</v>
      </c>
      <c r="AB50" s="1008" t="s">
        <v>670</v>
      </c>
      <c r="AC50" s="1008" t="s">
        <v>670</v>
      </c>
      <c r="AD50" s="1008" t="s">
        <v>670</v>
      </c>
      <c r="AE50" s="1008"/>
      <c r="AF50" s="1008" t="s">
        <v>670</v>
      </c>
      <c r="AG50" s="1008"/>
      <c r="AH50" s="1008"/>
      <c r="AI50" s="1008"/>
    </row>
    <row r="51" spans="1:35">
      <c r="A51" s="1008">
        <v>23545</v>
      </c>
      <c r="B51" s="1008">
        <v>679</v>
      </c>
      <c r="C51" s="1008">
        <v>7</v>
      </c>
      <c r="D51" s="1009">
        <v>10249999</v>
      </c>
      <c r="E51" s="1009">
        <v>10231000</v>
      </c>
      <c r="F51" s="1007" t="s">
        <v>4912</v>
      </c>
      <c r="G51" s="1007">
        <v>8</v>
      </c>
      <c r="H51" s="1010">
        <v>99999999</v>
      </c>
      <c r="I51" s="1009">
        <v>10231000</v>
      </c>
      <c r="J51" s="1007" t="s">
        <v>4912</v>
      </c>
      <c r="O51" s="1007" t="s">
        <v>648</v>
      </c>
      <c r="P51" s="1007" t="s">
        <v>648</v>
      </c>
      <c r="S51" s="1008" t="s">
        <v>650</v>
      </c>
      <c r="T51" s="1008" t="s">
        <v>654</v>
      </c>
      <c r="U51" s="1008" t="s">
        <v>649</v>
      </c>
      <c r="V51" s="1008" t="s">
        <v>648</v>
      </c>
      <c r="W51" s="1008" t="s">
        <v>546</v>
      </c>
      <c r="X51" s="1008" t="s">
        <v>670</v>
      </c>
      <c r="Y51" s="1008" t="s">
        <v>670</v>
      </c>
      <c r="Z51" s="1008" t="s">
        <v>670</v>
      </c>
      <c r="AA51" s="1008" t="s">
        <v>670</v>
      </c>
      <c r="AB51" s="1008" t="s">
        <v>670</v>
      </c>
      <c r="AC51" s="1008" t="s">
        <v>670</v>
      </c>
      <c r="AD51" s="1008" t="s">
        <v>670</v>
      </c>
      <c r="AE51" s="1008"/>
      <c r="AF51" s="1008" t="s">
        <v>670</v>
      </c>
      <c r="AG51" s="1008"/>
      <c r="AH51" s="1008"/>
      <c r="AI51" s="1008"/>
    </row>
    <row r="52" spans="1:35">
      <c r="A52" s="1008">
        <v>23546</v>
      </c>
      <c r="B52" s="1008">
        <v>680</v>
      </c>
      <c r="C52" s="1008">
        <v>7</v>
      </c>
      <c r="D52" s="1009">
        <v>10249999</v>
      </c>
      <c r="E52" s="1009">
        <v>10232000</v>
      </c>
      <c r="F52" s="1007" t="s">
        <v>4911</v>
      </c>
      <c r="G52" s="1007">
        <v>8</v>
      </c>
      <c r="H52" s="1010">
        <v>99999999</v>
      </c>
      <c r="I52" s="1009">
        <v>10232000</v>
      </c>
      <c r="J52" s="1007" t="s">
        <v>4911</v>
      </c>
      <c r="O52" s="1007" t="s">
        <v>648</v>
      </c>
      <c r="P52" s="1007" t="s">
        <v>648</v>
      </c>
      <c r="S52" s="1008" t="s">
        <v>650</v>
      </c>
      <c r="T52" s="1008" t="s">
        <v>654</v>
      </c>
      <c r="U52" s="1008" t="s">
        <v>649</v>
      </c>
      <c r="V52" s="1008" t="s">
        <v>648</v>
      </c>
      <c r="W52" s="1008" t="s">
        <v>546</v>
      </c>
      <c r="X52" s="1008" t="s">
        <v>670</v>
      </c>
      <c r="Y52" s="1008" t="s">
        <v>670</v>
      </c>
      <c r="Z52" s="1008" t="s">
        <v>670</v>
      </c>
      <c r="AA52" s="1008" t="s">
        <v>670</v>
      </c>
      <c r="AB52" s="1008" t="s">
        <v>670</v>
      </c>
      <c r="AC52" s="1008" t="s">
        <v>670</v>
      </c>
      <c r="AD52" s="1008" t="s">
        <v>670</v>
      </c>
      <c r="AE52" s="1008"/>
      <c r="AF52" s="1008" t="s">
        <v>670</v>
      </c>
      <c r="AG52" s="1008"/>
      <c r="AH52" s="1008"/>
      <c r="AI52" s="1008"/>
    </row>
    <row r="53" spans="1:35">
      <c r="A53" s="1008">
        <v>23547</v>
      </c>
      <c r="B53" s="1008">
        <v>681</v>
      </c>
      <c r="C53" s="1008">
        <v>7</v>
      </c>
      <c r="D53" s="1009">
        <v>10249999</v>
      </c>
      <c r="E53" s="1009">
        <v>10233000</v>
      </c>
      <c r="F53" s="1007" t="s">
        <v>4910</v>
      </c>
      <c r="G53" s="1007">
        <v>8</v>
      </c>
      <c r="H53" s="1010">
        <v>99999999</v>
      </c>
      <c r="I53" s="1009">
        <v>10233000</v>
      </c>
      <c r="J53" s="1007" t="s">
        <v>4910</v>
      </c>
      <c r="O53" s="1007" t="s">
        <v>648</v>
      </c>
      <c r="P53" s="1007" t="s">
        <v>648</v>
      </c>
      <c r="S53" s="1008" t="s">
        <v>650</v>
      </c>
      <c r="T53" s="1008" t="s">
        <v>654</v>
      </c>
      <c r="U53" s="1008" t="s">
        <v>649</v>
      </c>
      <c r="V53" s="1008" t="s">
        <v>648</v>
      </c>
      <c r="W53" s="1008" t="s">
        <v>546</v>
      </c>
      <c r="X53" s="1008" t="s">
        <v>670</v>
      </c>
      <c r="Y53" s="1008" t="s">
        <v>670</v>
      </c>
      <c r="Z53" s="1008" t="s">
        <v>670</v>
      </c>
      <c r="AA53" s="1008" t="s">
        <v>670</v>
      </c>
      <c r="AB53" s="1008" t="s">
        <v>670</v>
      </c>
      <c r="AC53" s="1008" t="s">
        <v>670</v>
      </c>
      <c r="AD53" s="1008" t="s">
        <v>670</v>
      </c>
      <c r="AE53" s="1008"/>
      <c r="AF53" s="1008" t="s">
        <v>670</v>
      </c>
      <c r="AG53" s="1008"/>
      <c r="AH53" s="1008"/>
      <c r="AI53" s="1008"/>
    </row>
    <row r="54" spans="1:35">
      <c r="A54" s="1008">
        <v>23548</v>
      </c>
      <c r="B54" s="1008">
        <v>682</v>
      </c>
      <c r="C54" s="1008">
        <v>7</v>
      </c>
      <c r="D54" s="1009">
        <v>10249999</v>
      </c>
      <c r="E54" s="1009">
        <v>10234000</v>
      </c>
      <c r="F54" s="1007" t="s">
        <v>4909</v>
      </c>
      <c r="G54" s="1007">
        <v>8</v>
      </c>
      <c r="H54" s="1010">
        <v>99999999</v>
      </c>
      <c r="I54" s="1009">
        <v>10234000</v>
      </c>
      <c r="J54" s="1007" t="s">
        <v>4909</v>
      </c>
      <c r="O54" s="1007" t="s">
        <v>648</v>
      </c>
      <c r="P54" s="1007" t="s">
        <v>648</v>
      </c>
      <c r="S54" s="1008" t="s">
        <v>650</v>
      </c>
      <c r="T54" s="1008" t="s">
        <v>654</v>
      </c>
      <c r="U54" s="1008" t="s">
        <v>649</v>
      </c>
      <c r="V54" s="1008" t="s">
        <v>648</v>
      </c>
      <c r="W54" s="1008" t="s">
        <v>546</v>
      </c>
      <c r="X54" s="1008" t="s">
        <v>670</v>
      </c>
      <c r="Y54" s="1008" t="s">
        <v>670</v>
      </c>
      <c r="Z54" s="1008" t="s">
        <v>670</v>
      </c>
      <c r="AA54" s="1008" t="s">
        <v>670</v>
      </c>
      <c r="AB54" s="1008" t="s">
        <v>670</v>
      </c>
      <c r="AC54" s="1008" t="s">
        <v>670</v>
      </c>
      <c r="AD54" s="1008" t="s">
        <v>670</v>
      </c>
      <c r="AE54" s="1008"/>
      <c r="AF54" s="1008" t="s">
        <v>670</v>
      </c>
      <c r="AG54" s="1008"/>
      <c r="AH54" s="1008"/>
      <c r="AI54" s="1008"/>
    </row>
    <row r="55" spans="1:35">
      <c r="A55" s="1008">
        <v>23549</v>
      </c>
      <c r="B55" s="1008">
        <v>683</v>
      </c>
      <c r="C55" s="1008">
        <v>7</v>
      </c>
      <c r="D55" s="1009">
        <v>10249999</v>
      </c>
      <c r="E55" s="1009">
        <v>10235000</v>
      </c>
      <c r="F55" s="1007" t="s">
        <v>4908</v>
      </c>
      <c r="G55" s="1007">
        <v>8</v>
      </c>
      <c r="H55" s="1010">
        <v>99999999</v>
      </c>
      <c r="I55" s="1009">
        <v>10235000</v>
      </c>
      <c r="J55" s="1007" t="s">
        <v>4908</v>
      </c>
      <c r="O55" s="1007" t="s">
        <v>648</v>
      </c>
      <c r="P55" s="1007" t="s">
        <v>648</v>
      </c>
      <c r="S55" s="1008" t="s">
        <v>650</v>
      </c>
      <c r="T55" s="1008" t="s">
        <v>654</v>
      </c>
      <c r="U55" s="1008" t="s">
        <v>649</v>
      </c>
      <c r="V55" s="1008" t="s">
        <v>648</v>
      </c>
      <c r="W55" s="1008" t="s">
        <v>546</v>
      </c>
      <c r="X55" s="1008" t="s">
        <v>670</v>
      </c>
      <c r="Y55" s="1008" t="s">
        <v>670</v>
      </c>
      <c r="Z55" s="1008" t="s">
        <v>670</v>
      </c>
      <c r="AA55" s="1008" t="s">
        <v>670</v>
      </c>
      <c r="AB55" s="1008" t="s">
        <v>670</v>
      </c>
      <c r="AC55" s="1008" t="s">
        <v>670</v>
      </c>
      <c r="AD55" s="1008" t="s">
        <v>670</v>
      </c>
      <c r="AE55" s="1008"/>
      <c r="AF55" s="1008" t="s">
        <v>670</v>
      </c>
      <c r="AG55" s="1008"/>
      <c r="AH55" s="1008"/>
      <c r="AI55" s="1008"/>
    </row>
    <row r="56" spans="1:35">
      <c r="A56" s="1008">
        <v>23550</v>
      </c>
      <c r="B56" s="1008">
        <v>684</v>
      </c>
      <c r="C56" s="1008">
        <v>7</v>
      </c>
      <c r="D56" s="1009">
        <v>10249999</v>
      </c>
      <c r="E56" s="1009">
        <v>10236000</v>
      </c>
      <c r="F56" s="1007" t="s">
        <v>4907</v>
      </c>
      <c r="G56" s="1007">
        <v>8</v>
      </c>
      <c r="H56" s="1010">
        <v>99999999</v>
      </c>
      <c r="I56" s="1009">
        <v>10236000</v>
      </c>
      <c r="J56" s="1007" t="s">
        <v>4907</v>
      </c>
      <c r="O56" s="1007" t="s">
        <v>648</v>
      </c>
      <c r="P56" s="1007" t="s">
        <v>648</v>
      </c>
      <c r="S56" s="1008" t="s">
        <v>650</v>
      </c>
      <c r="T56" s="1008" t="s">
        <v>654</v>
      </c>
      <c r="U56" s="1008" t="s">
        <v>649</v>
      </c>
      <c r="V56" s="1008" t="s">
        <v>648</v>
      </c>
      <c r="W56" s="1008" t="s">
        <v>546</v>
      </c>
      <c r="X56" s="1008" t="s">
        <v>670</v>
      </c>
      <c r="Y56" s="1008" t="s">
        <v>670</v>
      </c>
      <c r="Z56" s="1008" t="s">
        <v>670</v>
      </c>
      <c r="AA56" s="1008" t="s">
        <v>670</v>
      </c>
      <c r="AB56" s="1008" t="s">
        <v>670</v>
      </c>
      <c r="AC56" s="1008" t="s">
        <v>670</v>
      </c>
      <c r="AD56" s="1008" t="s">
        <v>670</v>
      </c>
      <c r="AE56" s="1008"/>
      <c r="AF56" s="1008" t="s">
        <v>670</v>
      </c>
      <c r="AG56" s="1008"/>
      <c r="AH56" s="1008"/>
      <c r="AI56" s="1008"/>
    </row>
    <row r="57" spans="1:35">
      <c r="A57" s="1008">
        <v>23551</v>
      </c>
      <c r="B57" s="1008">
        <v>685</v>
      </c>
      <c r="C57" s="1008">
        <v>7</v>
      </c>
      <c r="D57" s="1009">
        <v>10249999</v>
      </c>
      <c r="E57" s="1009">
        <v>10237000</v>
      </c>
      <c r="F57" s="1007" t="s">
        <v>4906</v>
      </c>
      <c r="G57" s="1007">
        <v>8</v>
      </c>
      <c r="H57" s="1010">
        <v>99999999</v>
      </c>
      <c r="I57" s="1009">
        <v>10237000</v>
      </c>
      <c r="J57" s="1007" t="s">
        <v>4906</v>
      </c>
      <c r="O57" s="1007" t="s">
        <v>648</v>
      </c>
      <c r="P57" s="1007" t="s">
        <v>648</v>
      </c>
      <c r="S57" s="1008" t="s">
        <v>650</v>
      </c>
      <c r="T57" s="1008" t="s">
        <v>654</v>
      </c>
      <c r="U57" s="1008" t="s">
        <v>649</v>
      </c>
      <c r="V57" s="1008" t="s">
        <v>648</v>
      </c>
      <c r="W57" s="1008" t="s">
        <v>546</v>
      </c>
      <c r="X57" s="1008" t="s">
        <v>670</v>
      </c>
      <c r="Y57" s="1008" t="s">
        <v>670</v>
      </c>
      <c r="Z57" s="1008" t="s">
        <v>670</v>
      </c>
      <c r="AA57" s="1008" t="s">
        <v>670</v>
      </c>
      <c r="AB57" s="1008" t="s">
        <v>670</v>
      </c>
      <c r="AC57" s="1008" t="s">
        <v>670</v>
      </c>
      <c r="AD57" s="1008" t="s">
        <v>670</v>
      </c>
      <c r="AE57" s="1008"/>
      <c r="AF57" s="1008" t="s">
        <v>670</v>
      </c>
      <c r="AG57" s="1008"/>
      <c r="AH57" s="1008"/>
      <c r="AI57" s="1008"/>
    </row>
    <row r="58" spans="1:35">
      <c r="A58" s="1008">
        <v>23552</v>
      </c>
      <c r="B58" s="1008">
        <v>686</v>
      </c>
      <c r="C58" s="1008">
        <v>7</v>
      </c>
      <c r="D58" s="1009">
        <v>10249999</v>
      </c>
      <c r="E58" s="1009">
        <v>10238000</v>
      </c>
      <c r="F58" s="1007" t="s">
        <v>4905</v>
      </c>
      <c r="G58" s="1007">
        <v>8</v>
      </c>
      <c r="H58" s="1010">
        <v>99999999</v>
      </c>
      <c r="I58" s="1009">
        <v>10238000</v>
      </c>
      <c r="J58" s="1007" t="s">
        <v>4905</v>
      </c>
      <c r="O58" s="1007" t="s">
        <v>648</v>
      </c>
      <c r="P58" s="1007" t="s">
        <v>648</v>
      </c>
      <c r="S58" s="1008" t="s">
        <v>650</v>
      </c>
      <c r="T58" s="1008" t="s">
        <v>654</v>
      </c>
      <c r="U58" s="1008" t="s">
        <v>649</v>
      </c>
      <c r="V58" s="1008" t="s">
        <v>648</v>
      </c>
      <c r="W58" s="1008" t="s">
        <v>546</v>
      </c>
      <c r="X58" s="1008" t="s">
        <v>670</v>
      </c>
      <c r="Y58" s="1008" t="s">
        <v>670</v>
      </c>
      <c r="Z58" s="1008" t="s">
        <v>670</v>
      </c>
      <c r="AA58" s="1008" t="s">
        <v>670</v>
      </c>
      <c r="AB58" s="1008" t="s">
        <v>670</v>
      </c>
      <c r="AC58" s="1008" t="s">
        <v>670</v>
      </c>
      <c r="AD58" s="1008" t="s">
        <v>670</v>
      </c>
      <c r="AE58" s="1008"/>
      <c r="AF58" s="1008" t="s">
        <v>670</v>
      </c>
      <c r="AG58" s="1008"/>
      <c r="AH58" s="1008"/>
      <c r="AI58" s="1008"/>
    </row>
    <row r="59" spans="1:35">
      <c r="A59" s="1008">
        <v>23553</v>
      </c>
      <c r="B59" s="1008">
        <v>1258</v>
      </c>
      <c r="C59" s="1008">
        <v>7</v>
      </c>
      <c r="D59" s="1009">
        <v>10249999</v>
      </c>
      <c r="E59" s="1009">
        <v>10239000</v>
      </c>
      <c r="F59" s="1007" t="s">
        <v>4904</v>
      </c>
      <c r="G59" s="1007">
        <v>8</v>
      </c>
      <c r="H59" s="1010">
        <v>99999999</v>
      </c>
      <c r="I59" s="1009">
        <v>10239000</v>
      </c>
      <c r="J59" s="1007" t="s">
        <v>4904</v>
      </c>
      <c r="O59" s="1007" t="s">
        <v>648</v>
      </c>
      <c r="P59" s="1007" t="s">
        <v>648</v>
      </c>
      <c r="S59" s="1008" t="s">
        <v>650</v>
      </c>
      <c r="T59" s="1008" t="s">
        <v>654</v>
      </c>
      <c r="U59" s="1008" t="s">
        <v>649</v>
      </c>
      <c r="V59" s="1008" t="s">
        <v>648</v>
      </c>
      <c r="W59" s="1008" t="s">
        <v>546</v>
      </c>
      <c r="X59" s="1008" t="s">
        <v>670</v>
      </c>
      <c r="Y59" s="1008" t="s">
        <v>670</v>
      </c>
      <c r="Z59" s="1008" t="s">
        <v>670</v>
      </c>
      <c r="AA59" s="1008" t="s">
        <v>670</v>
      </c>
      <c r="AB59" s="1008" t="s">
        <v>670</v>
      </c>
      <c r="AC59" s="1008" t="s">
        <v>670</v>
      </c>
      <c r="AD59" s="1008" t="s">
        <v>670</v>
      </c>
      <c r="AE59" s="1008"/>
      <c r="AF59" s="1008" t="s">
        <v>670</v>
      </c>
      <c r="AG59" s="1008"/>
      <c r="AH59" s="1008"/>
      <c r="AI59" s="1008"/>
    </row>
    <row r="60" spans="1:35">
      <c r="A60" s="1008">
        <v>23554</v>
      </c>
      <c r="B60" s="1008">
        <v>1259</v>
      </c>
      <c r="C60" s="1008">
        <v>7</v>
      </c>
      <c r="D60" s="1009">
        <v>10249999</v>
      </c>
      <c r="E60" s="1009">
        <v>10240000</v>
      </c>
      <c r="F60" s="1007" t="s">
        <v>4903</v>
      </c>
      <c r="G60" s="1007">
        <v>8</v>
      </c>
      <c r="H60" s="1010">
        <v>99999999</v>
      </c>
      <c r="I60" s="1009">
        <v>10240000</v>
      </c>
      <c r="J60" s="1007" t="s">
        <v>4903</v>
      </c>
      <c r="O60" s="1007" t="s">
        <v>648</v>
      </c>
      <c r="P60" s="1007" t="s">
        <v>648</v>
      </c>
      <c r="S60" s="1008" t="s">
        <v>650</v>
      </c>
      <c r="T60" s="1008" t="s">
        <v>654</v>
      </c>
      <c r="U60" s="1008" t="s">
        <v>649</v>
      </c>
      <c r="V60" s="1008" t="s">
        <v>648</v>
      </c>
      <c r="W60" s="1008" t="s">
        <v>546</v>
      </c>
      <c r="X60" s="1008" t="s">
        <v>670</v>
      </c>
      <c r="Y60" s="1008" t="s">
        <v>670</v>
      </c>
      <c r="Z60" s="1008" t="s">
        <v>670</v>
      </c>
      <c r="AA60" s="1008" t="s">
        <v>670</v>
      </c>
      <c r="AB60" s="1008" t="s">
        <v>670</v>
      </c>
      <c r="AC60" s="1008" t="s">
        <v>670</v>
      </c>
      <c r="AD60" s="1008" t="s">
        <v>670</v>
      </c>
      <c r="AE60" s="1008"/>
      <c r="AF60" s="1008" t="s">
        <v>670</v>
      </c>
      <c r="AG60" s="1008"/>
      <c r="AH60" s="1008"/>
      <c r="AI60" s="1008"/>
    </row>
    <row r="61" spans="1:35">
      <c r="A61" s="1008">
        <v>23555</v>
      </c>
      <c r="C61" s="1008">
        <v>6</v>
      </c>
      <c r="D61" s="1009">
        <v>10299900</v>
      </c>
      <c r="E61" s="1009">
        <v>10249999</v>
      </c>
      <c r="F61" s="1007" t="s">
        <v>4902</v>
      </c>
      <c r="O61" s="1007" t="s">
        <v>648</v>
      </c>
      <c r="P61" s="1007" t="s">
        <v>648</v>
      </c>
      <c r="S61" s="1008" t="s">
        <v>650</v>
      </c>
      <c r="T61" s="1008" t="s">
        <v>21</v>
      </c>
      <c r="U61" s="1008" t="s">
        <v>649</v>
      </c>
      <c r="V61" s="1008" t="s">
        <v>648</v>
      </c>
      <c r="W61" s="1008" t="s">
        <v>546</v>
      </c>
      <c r="X61" s="1008"/>
      <c r="Y61" s="1008"/>
      <c r="Z61" s="1008"/>
      <c r="AA61" s="1008"/>
      <c r="AB61" s="1008"/>
      <c r="AC61" s="1008"/>
      <c r="AD61" s="1008"/>
      <c r="AE61" s="1008"/>
      <c r="AF61" s="1008"/>
      <c r="AG61" s="1008"/>
      <c r="AH61" s="1008"/>
      <c r="AI61" s="1008"/>
    </row>
    <row r="62" spans="1:35">
      <c r="A62" s="1008">
        <v>23556</v>
      </c>
      <c r="C62" s="1008">
        <v>6</v>
      </c>
      <c r="D62" s="1009">
        <v>10259999</v>
      </c>
      <c r="E62" s="1009">
        <v>10250000</v>
      </c>
      <c r="F62" s="1007" t="s">
        <v>4901</v>
      </c>
      <c r="O62" s="1007" t="s">
        <v>648</v>
      </c>
      <c r="P62" s="1007" t="s">
        <v>648</v>
      </c>
      <c r="S62" s="1008" t="s">
        <v>650</v>
      </c>
      <c r="T62" s="1008" t="s">
        <v>675</v>
      </c>
      <c r="U62" s="1008" t="s">
        <v>649</v>
      </c>
      <c r="V62" s="1008" t="s">
        <v>648</v>
      </c>
      <c r="W62" s="1008" t="s">
        <v>546</v>
      </c>
      <c r="X62" s="1008"/>
      <c r="Y62" s="1008"/>
      <c r="Z62" s="1008"/>
      <c r="AA62" s="1008"/>
      <c r="AB62" s="1008"/>
      <c r="AC62" s="1008"/>
      <c r="AD62" s="1008"/>
      <c r="AE62" s="1008"/>
      <c r="AF62" s="1008"/>
      <c r="AG62" s="1008"/>
      <c r="AH62" s="1008"/>
      <c r="AI62" s="1008"/>
    </row>
    <row r="63" spans="1:35">
      <c r="A63" s="1008">
        <v>23557</v>
      </c>
      <c r="B63" s="1008">
        <v>626</v>
      </c>
      <c r="C63" s="1008">
        <v>7</v>
      </c>
      <c r="D63" s="1009">
        <v>10259999</v>
      </c>
      <c r="E63" s="1009">
        <v>10251000</v>
      </c>
      <c r="F63" s="1007" t="s">
        <v>4900</v>
      </c>
      <c r="G63" s="1007">
        <v>8</v>
      </c>
      <c r="H63" s="1010">
        <v>99999999</v>
      </c>
      <c r="I63" s="1009">
        <v>10251000</v>
      </c>
      <c r="J63" s="1007" t="s">
        <v>4900</v>
      </c>
      <c r="O63" s="1007" t="s">
        <v>648</v>
      </c>
      <c r="P63" s="1007" t="s">
        <v>648</v>
      </c>
      <c r="S63" s="1008" t="s">
        <v>650</v>
      </c>
      <c r="T63" s="1008" t="s">
        <v>654</v>
      </c>
      <c r="U63" s="1008" t="s">
        <v>649</v>
      </c>
      <c r="V63" s="1008" t="s">
        <v>648</v>
      </c>
      <c r="W63" s="1008" t="s">
        <v>546</v>
      </c>
      <c r="X63" s="1008" t="s">
        <v>670</v>
      </c>
      <c r="Y63" s="1008" t="s">
        <v>670</v>
      </c>
      <c r="Z63" s="1008" t="s">
        <v>670</v>
      </c>
      <c r="AA63" s="1008" t="s">
        <v>670</v>
      </c>
      <c r="AB63" s="1008" t="s">
        <v>670</v>
      </c>
      <c r="AC63" s="1008" t="s">
        <v>670</v>
      </c>
      <c r="AD63" s="1008" t="s">
        <v>670</v>
      </c>
      <c r="AE63" s="1008"/>
      <c r="AF63" s="1008" t="s">
        <v>670</v>
      </c>
      <c r="AG63" s="1008"/>
      <c r="AH63" s="1008"/>
      <c r="AI63" s="1008"/>
    </row>
    <row r="64" spans="1:35">
      <c r="A64" s="1008">
        <v>27115</v>
      </c>
      <c r="B64" s="1008">
        <v>5948</v>
      </c>
      <c r="C64" s="1008">
        <v>7</v>
      </c>
      <c r="D64" s="1009">
        <v>10259999</v>
      </c>
      <c r="E64" s="1009">
        <v>10252000</v>
      </c>
      <c r="F64" s="1007" t="s">
        <v>4899</v>
      </c>
      <c r="G64" s="1007">
        <v>8</v>
      </c>
      <c r="H64" s="1010">
        <v>99999999</v>
      </c>
      <c r="I64" s="1009">
        <v>10252000</v>
      </c>
      <c r="J64" s="1007" t="s">
        <v>4899</v>
      </c>
      <c r="O64" s="1007" t="s">
        <v>648</v>
      </c>
      <c r="P64" s="1007" t="s">
        <v>648</v>
      </c>
      <c r="S64" s="1008" t="s">
        <v>650</v>
      </c>
      <c r="T64" s="1008" t="s">
        <v>654</v>
      </c>
      <c r="U64" s="1008" t="s">
        <v>649</v>
      </c>
      <c r="V64" s="1008" t="s">
        <v>648</v>
      </c>
      <c r="W64" s="1008" t="s">
        <v>546</v>
      </c>
      <c r="X64" s="1008" t="s">
        <v>670</v>
      </c>
      <c r="Y64" s="1008" t="s">
        <v>670</v>
      </c>
      <c r="Z64" s="1008" t="s">
        <v>670</v>
      </c>
      <c r="AA64" s="1008" t="s">
        <v>670</v>
      </c>
      <c r="AB64" s="1008" t="s">
        <v>670</v>
      </c>
      <c r="AC64" s="1008" t="s">
        <v>670</v>
      </c>
      <c r="AD64" s="1008" t="s">
        <v>670</v>
      </c>
      <c r="AE64" s="1008"/>
      <c r="AF64" s="1008" t="s">
        <v>670</v>
      </c>
      <c r="AG64" s="1008"/>
      <c r="AH64" s="1008"/>
      <c r="AI64" s="1008"/>
    </row>
    <row r="65" spans="1:35">
      <c r="A65" s="1008">
        <v>23558</v>
      </c>
      <c r="C65" s="1008">
        <v>6</v>
      </c>
      <c r="D65" s="1009">
        <v>10299900</v>
      </c>
      <c r="E65" s="1009">
        <v>10259999</v>
      </c>
      <c r="F65" s="1007" t="s">
        <v>4898</v>
      </c>
      <c r="O65" s="1007" t="s">
        <v>648</v>
      </c>
      <c r="P65" s="1007" t="s">
        <v>648</v>
      </c>
      <c r="S65" s="1008" t="s">
        <v>650</v>
      </c>
      <c r="T65" s="1008" t="s">
        <v>21</v>
      </c>
      <c r="U65" s="1008" t="s">
        <v>649</v>
      </c>
      <c r="V65" s="1008" t="s">
        <v>648</v>
      </c>
      <c r="W65" s="1008" t="s">
        <v>546</v>
      </c>
      <c r="X65" s="1008"/>
      <c r="Y65" s="1008"/>
      <c r="Z65" s="1008"/>
      <c r="AA65" s="1008"/>
      <c r="AB65" s="1008"/>
      <c r="AC65" s="1008"/>
      <c r="AD65" s="1008"/>
      <c r="AE65" s="1008"/>
      <c r="AF65" s="1008"/>
      <c r="AG65" s="1008"/>
      <c r="AH65" s="1008"/>
      <c r="AI65" s="1008"/>
    </row>
    <row r="66" spans="1:35">
      <c r="A66" s="1008">
        <v>23559</v>
      </c>
      <c r="C66" s="1008">
        <v>5</v>
      </c>
      <c r="D66" s="1009">
        <v>10299999</v>
      </c>
      <c r="E66" s="1009">
        <v>10299900</v>
      </c>
      <c r="F66" s="1007" t="s">
        <v>4897</v>
      </c>
      <c r="O66" s="1007" t="s">
        <v>648</v>
      </c>
      <c r="P66" s="1007" t="s">
        <v>648</v>
      </c>
      <c r="S66" s="1008" t="s">
        <v>650</v>
      </c>
      <c r="T66" s="1008" t="s">
        <v>21</v>
      </c>
      <c r="U66" s="1008" t="s">
        <v>649</v>
      </c>
      <c r="V66" s="1008" t="s">
        <v>648</v>
      </c>
      <c r="W66" s="1008" t="s">
        <v>546</v>
      </c>
      <c r="X66" s="1008"/>
      <c r="Y66" s="1008"/>
      <c r="Z66" s="1008"/>
      <c r="AA66" s="1008"/>
      <c r="AB66" s="1008"/>
      <c r="AC66" s="1008"/>
      <c r="AD66" s="1008"/>
      <c r="AE66" s="1008"/>
      <c r="AF66" s="1008"/>
      <c r="AG66" s="1008"/>
      <c r="AH66" s="1008"/>
      <c r="AI66" s="1008"/>
    </row>
    <row r="67" spans="1:35">
      <c r="A67" s="1008">
        <v>23560</v>
      </c>
      <c r="C67" s="1008">
        <v>4</v>
      </c>
      <c r="D67" s="1009">
        <v>19999998</v>
      </c>
      <c r="E67" s="1009">
        <v>10299999</v>
      </c>
      <c r="F67" s="1007" t="s">
        <v>4896</v>
      </c>
      <c r="O67" s="1007" t="s">
        <v>648</v>
      </c>
      <c r="P67" s="1007" t="s">
        <v>648</v>
      </c>
      <c r="S67" s="1008" t="s">
        <v>650</v>
      </c>
      <c r="T67" s="1008" t="s">
        <v>21</v>
      </c>
      <c r="U67" s="1008" t="s">
        <v>649</v>
      </c>
      <c r="V67" s="1008" t="s">
        <v>648</v>
      </c>
      <c r="W67" s="1008" t="s">
        <v>546</v>
      </c>
      <c r="X67" s="1008"/>
      <c r="Y67" s="1008"/>
      <c r="Z67" s="1008"/>
      <c r="AA67" s="1008"/>
      <c r="AB67" s="1008"/>
      <c r="AC67" s="1008"/>
      <c r="AD67" s="1008"/>
      <c r="AE67" s="1008"/>
      <c r="AF67" s="1008"/>
      <c r="AG67" s="1008"/>
      <c r="AH67" s="1008"/>
      <c r="AI67" s="1008"/>
    </row>
    <row r="68" spans="1:35">
      <c r="A68" s="1008">
        <v>23561</v>
      </c>
      <c r="C68" s="1008">
        <v>4</v>
      </c>
      <c r="D68" s="1009">
        <v>10799999</v>
      </c>
      <c r="E68" s="1009">
        <v>10300000</v>
      </c>
      <c r="F68" s="1007" t="s">
        <v>4895</v>
      </c>
      <c r="O68" s="1007" t="s">
        <v>648</v>
      </c>
      <c r="P68" s="1007" t="s">
        <v>648</v>
      </c>
      <c r="S68" s="1008" t="s">
        <v>650</v>
      </c>
      <c r="T68" s="1008" t="s">
        <v>675</v>
      </c>
      <c r="U68" s="1008" t="s">
        <v>649</v>
      </c>
      <c r="V68" s="1008" t="s">
        <v>648</v>
      </c>
      <c r="W68" s="1008" t="s">
        <v>546</v>
      </c>
      <c r="X68" s="1008"/>
      <c r="Y68" s="1008"/>
      <c r="Z68" s="1008"/>
      <c r="AA68" s="1008"/>
      <c r="AB68" s="1008"/>
      <c r="AC68" s="1008"/>
      <c r="AD68" s="1008"/>
      <c r="AE68" s="1008"/>
      <c r="AF68" s="1008"/>
      <c r="AG68" s="1008"/>
      <c r="AH68" s="1008"/>
      <c r="AI68" s="1008"/>
    </row>
    <row r="69" spans="1:35">
      <c r="A69" s="1008">
        <v>23562</v>
      </c>
      <c r="C69" s="1008">
        <v>5</v>
      </c>
      <c r="D69" s="1009">
        <v>10399999</v>
      </c>
      <c r="E69" s="1009">
        <v>10301000</v>
      </c>
      <c r="F69" s="1007" t="s">
        <v>4894</v>
      </c>
      <c r="O69" s="1007" t="s">
        <v>648</v>
      </c>
      <c r="P69" s="1007" t="s">
        <v>648</v>
      </c>
      <c r="S69" s="1008" t="s">
        <v>650</v>
      </c>
      <c r="T69" s="1008" t="s">
        <v>675</v>
      </c>
      <c r="U69" s="1008" t="s">
        <v>649</v>
      </c>
      <c r="V69" s="1008" t="s">
        <v>648</v>
      </c>
      <c r="W69" s="1008" t="s">
        <v>546</v>
      </c>
      <c r="X69" s="1008"/>
      <c r="Y69" s="1008"/>
      <c r="Z69" s="1008"/>
      <c r="AA69" s="1008"/>
      <c r="AB69" s="1008"/>
      <c r="AC69" s="1008"/>
      <c r="AD69" s="1008"/>
      <c r="AE69" s="1008"/>
      <c r="AF69" s="1008"/>
      <c r="AG69" s="1008"/>
      <c r="AH69" s="1008"/>
      <c r="AI69" s="1008"/>
    </row>
    <row r="70" spans="1:35">
      <c r="A70" s="1008">
        <v>23563</v>
      </c>
      <c r="C70" s="1008">
        <v>6</v>
      </c>
      <c r="D70" s="1009">
        <v>10319999</v>
      </c>
      <c r="E70" s="1009">
        <v>10310000</v>
      </c>
      <c r="F70" s="1007" t="s">
        <v>4893</v>
      </c>
      <c r="O70" s="1007" t="s">
        <v>648</v>
      </c>
      <c r="P70" s="1007" t="s">
        <v>648</v>
      </c>
      <c r="S70" s="1008" t="s">
        <v>650</v>
      </c>
      <c r="T70" s="1008" t="s">
        <v>675</v>
      </c>
      <c r="U70" s="1008" t="s">
        <v>649</v>
      </c>
      <c r="V70" s="1008" t="s">
        <v>648</v>
      </c>
      <c r="W70" s="1008" t="s">
        <v>546</v>
      </c>
      <c r="X70" s="1008"/>
      <c r="Y70" s="1008"/>
      <c r="Z70" s="1008"/>
      <c r="AA70" s="1008"/>
      <c r="AB70" s="1008"/>
      <c r="AC70" s="1008"/>
      <c r="AD70" s="1008"/>
      <c r="AE70" s="1008"/>
      <c r="AF70" s="1008"/>
      <c r="AG70" s="1008"/>
      <c r="AH70" s="1008"/>
      <c r="AI70" s="1008"/>
    </row>
    <row r="71" spans="1:35">
      <c r="A71" s="1008">
        <v>23564</v>
      </c>
      <c r="B71" s="1008">
        <v>1158</v>
      </c>
      <c r="C71" s="1008">
        <v>7</v>
      </c>
      <c r="D71" s="1009">
        <v>10319999</v>
      </c>
      <c r="E71" s="1009">
        <v>10310100</v>
      </c>
      <c r="F71" s="1007" t="s">
        <v>4892</v>
      </c>
      <c r="G71" s="1007">
        <v>8</v>
      </c>
      <c r="H71" s="1010">
        <v>99999999</v>
      </c>
      <c r="I71" s="1009">
        <v>10310100</v>
      </c>
      <c r="J71" s="1007" t="s">
        <v>4892</v>
      </c>
      <c r="O71" s="1007" t="s">
        <v>648</v>
      </c>
      <c r="P71" s="1007" t="s">
        <v>648</v>
      </c>
      <c r="S71" s="1008" t="s">
        <v>650</v>
      </c>
      <c r="T71" s="1008" t="s">
        <v>654</v>
      </c>
      <c r="U71" s="1008" t="s">
        <v>649</v>
      </c>
      <c r="V71" s="1008" t="s">
        <v>648</v>
      </c>
      <c r="W71" s="1008" t="s">
        <v>546</v>
      </c>
      <c r="X71" s="1008" t="s">
        <v>670</v>
      </c>
      <c r="Y71" s="1008" t="s">
        <v>670</v>
      </c>
      <c r="Z71" s="1008" t="s">
        <v>670</v>
      </c>
      <c r="AA71" s="1008"/>
      <c r="AB71" s="1008" t="s">
        <v>670</v>
      </c>
      <c r="AC71" s="1008"/>
      <c r="AD71" s="1008" t="s">
        <v>670</v>
      </c>
      <c r="AE71" s="1008"/>
      <c r="AF71" s="1008" t="s">
        <v>670</v>
      </c>
      <c r="AG71" s="1008"/>
      <c r="AH71" s="1008"/>
      <c r="AI71" s="1008"/>
    </row>
    <row r="72" spans="1:35">
      <c r="A72" s="1008">
        <v>23565</v>
      </c>
      <c r="B72" s="1008">
        <v>1159</v>
      </c>
      <c r="C72" s="1008">
        <v>7</v>
      </c>
      <c r="D72" s="1009">
        <v>10319999</v>
      </c>
      <c r="E72" s="1009">
        <v>10310200</v>
      </c>
      <c r="F72" s="1007" t="s">
        <v>4891</v>
      </c>
      <c r="G72" s="1007">
        <v>8</v>
      </c>
      <c r="H72" s="1010">
        <v>99999999</v>
      </c>
      <c r="I72" s="1009">
        <v>10310200</v>
      </c>
      <c r="J72" s="1007" t="s">
        <v>4891</v>
      </c>
      <c r="O72" s="1007" t="s">
        <v>648</v>
      </c>
      <c r="P72" s="1007" t="s">
        <v>648</v>
      </c>
      <c r="S72" s="1008" t="s">
        <v>650</v>
      </c>
      <c r="T72" s="1008" t="s">
        <v>654</v>
      </c>
      <c r="U72" s="1008" t="s">
        <v>649</v>
      </c>
      <c r="V72" s="1008" t="s">
        <v>648</v>
      </c>
      <c r="W72" s="1008" t="s">
        <v>546</v>
      </c>
      <c r="X72" s="1008" t="s">
        <v>670</v>
      </c>
      <c r="Y72" s="1008" t="s">
        <v>670</v>
      </c>
      <c r="Z72" s="1008" t="s">
        <v>670</v>
      </c>
      <c r="AA72" s="1008"/>
      <c r="AB72" s="1008" t="s">
        <v>670</v>
      </c>
      <c r="AC72" s="1008"/>
      <c r="AD72" s="1008" t="s">
        <v>670</v>
      </c>
      <c r="AE72" s="1008"/>
      <c r="AF72" s="1008" t="s">
        <v>670</v>
      </c>
      <c r="AG72" s="1008"/>
      <c r="AH72" s="1008"/>
      <c r="AI72" s="1008"/>
    </row>
    <row r="73" spans="1:35">
      <c r="A73" s="1008">
        <v>23566</v>
      </c>
      <c r="B73" s="1008">
        <v>1160</v>
      </c>
      <c r="C73" s="1008">
        <v>7</v>
      </c>
      <c r="D73" s="1009">
        <v>10319999</v>
      </c>
      <c r="E73" s="1009">
        <v>10310300</v>
      </c>
      <c r="F73" s="1007" t="s">
        <v>4890</v>
      </c>
      <c r="G73" s="1007">
        <v>8</v>
      </c>
      <c r="H73" s="1010">
        <v>99999999</v>
      </c>
      <c r="I73" s="1009">
        <v>10310300</v>
      </c>
      <c r="J73" s="1007" t="s">
        <v>4890</v>
      </c>
      <c r="O73" s="1007" t="s">
        <v>648</v>
      </c>
      <c r="P73" s="1007" t="s">
        <v>648</v>
      </c>
      <c r="S73" s="1008" t="s">
        <v>650</v>
      </c>
      <c r="T73" s="1008" t="s">
        <v>654</v>
      </c>
      <c r="U73" s="1008" t="s">
        <v>649</v>
      </c>
      <c r="V73" s="1008" t="s">
        <v>648</v>
      </c>
      <c r="W73" s="1008" t="s">
        <v>546</v>
      </c>
      <c r="X73" s="1008" t="s">
        <v>670</v>
      </c>
      <c r="Y73" s="1008" t="s">
        <v>670</v>
      </c>
      <c r="Z73" s="1008" t="s">
        <v>670</v>
      </c>
      <c r="AA73" s="1008"/>
      <c r="AB73" s="1008" t="s">
        <v>670</v>
      </c>
      <c r="AC73" s="1008"/>
      <c r="AD73" s="1008" t="s">
        <v>670</v>
      </c>
      <c r="AE73" s="1008"/>
      <c r="AF73" s="1008" t="s">
        <v>670</v>
      </c>
      <c r="AG73" s="1008"/>
      <c r="AH73" s="1008"/>
      <c r="AI73" s="1008"/>
    </row>
    <row r="74" spans="1:35">
      <c r="A74" s="1008">
        <v>23567</v>
      </c>
      <c r="B74" s="1008">
        <v>1161</v>
      </c>
      <c r="C74" s="1008">
        <v>7</v>
      </c>
      <c r="D74" s="1009">
        <v>10319999</v>
      </c>
      <c r="E74" s="1009">
        <v>10310400</v>
      </c>
      <c r="F74" s="1007" t="s">
        <v>4889</v>
      </c>
      <c r="G74" s="1007">
        <v>8</v>
      </c>
      <c r="H74" s="1010">
        <v>99999999</v>
      </c>
      <c r="I74" s="1009">
        <v>10310400</v>
      </c>
      <c r="J74" s="1007" t="s">
        <v>4889</v>
      </c>
      <c r="O74" s="1007" t="s">
        <v>648</v>
      </c>
      <c r="P74" s="1007" t="s">
        <v>648</v>
      </c>
      <c r="S74" s="1008" t="s">
        <v>650</v>
      </c>
      <c r="T74" s="1008" t="s">
        <v>654</v>
      </c>
      <c r="U74" s="1008" t="s">
        <v>649</v>
      </c>
      <c r="V74" s="1008" t="s">
        <v>648</v>
      </c>
      <c r="W74" s="1008" t="s">
        <v>546</v>
      </c>
      <c r="X74" s="1008" t="s">
        <v>670</v>
      </c>
      <c r="Y74" s="1008" t="s">
        <v>670</v>
      </c>
      <c r="Z74" s="1008" t="s">
        <v>670</v>
      </c>
      <c r="AA74" s="1008"/>
      <c r="AB74" s="1008" t="s">
        <v>670</v>
      </c>
      <c r="AC74" s="1008"/>
      <c r="AD74" s="1008" t="s">
        <v>670</v>
      </c>
      <c r="AE74" s="1008"/>
      <c r="AF74" s="1008" t="s">
        <v>670</v>
      </c>
      <c r="AG74" s="1008"/>
      <c r="AH74" s="1008"/>
      <c r="AI74" s="1008"/>
    </row>
    <row r="75" spans="1:35">
      <c r="A75" s="1008">
        <v>23568</v>
      </c>
      <c r="B75" s="1008">
        <v>1162</v>
      </c>
      <c r="C75" s="1008">
        <v>7</v>
      </c>
      <c r="D75" s="1009">
        <v>10319999</v>
      </c>
      <c r="E75" s="1009">
        <v>10310500</v>
      </c>
      <c r="F75" s="1007" t="s">
        <v>4888</v>
      </c>
      <c r="G75" s="1007">
        <v>8</v>
      </c>
      <c r="H75" s="1010">
        <v>99999999</v>
      </c>
      <c r="I75" s="1009">
        <v>10310500</v>
      </c>
      <c r="J75" s="1007" t="s">
        <v>4888</v>
      </c>
      <c r="O75" s="1007" t="s">
        <v>648</v>
      </c>
      <c r="P75" s="1007" t="s">
        <v>648</v>
      </c>
      <c r="S75" s="1008" t="s">
        <v>650</v>
      </c>
      <c r="T75" s="1008" t="s">
        <v>654</v>
      </c>
      <c r="U75" s="1008" t="s">
        <v>649</v>
      </c>
      <c r="V75" s="1008" t="s">
        <v>648</v>
      </c>
      <c r="W75" s="1008" t="s">
        <v>546</v>
      </c>
      <c r="X75" s="1008" t="s">
        <v>670</v>
      </c>
      <c r="Y75" s="1008" t="s">
        <v>670</v>
      </c>
      <c r="Z75" s="1008" t="s">
        <v>670</v>
      </c>
      <c r="AA75" s="1008"/>
      <c r="AB75" s="1008" t="s">
        <v>670</v>
      </c>
      <c r="AC75" s="1008"/>
      <c r="AD75" s="1008" t="s">
        <v>670</v>
      </c>
      <c r="AE75" s="1008"/>
      <c r="AF75" s="1008" t="s">
        <v>670</v>
      </c>
      <c r="AG75" s="1008"/>
      <c r="AH75" s="1008"/>
      <c r="AI75" s="1008"/>
    </row>
    <row r="76" spans="1:35">
      <c r="A76" s="1008">
        <v>23569</v>
      </c>
      <c r="C76" s="1008">
        <v>6</v>
      </c>
      <c r="D76" s="1009">
        <v>10399999</v>
      </c>
      <c r="E76" s="1009">
        <v>10319999</v>
      </c>
      <c r="F76" s="1007" t="s">
        <v>4887</v>
      </c>
      <c r="O76" s="1007" t="s">
        <v>648</v>
      </c>
      <c r="P76" s="1007" t="s">
        <v>648</v>
      </c>
      <c r="S76" s="1008" t="s">
        <v>650</v>
      </c>
      <c r="T76" s="1008" t="s">
        <v>21</v>
      </c>
      <c r="U76" s="1008" t="s">
        <v>649</v>
      </c>
      <c r="V76" s="1008" t="s">
        <v>648</v>
      </c>
      <c r="W76" s="1008" t="s">
        <v>546</v>
      </c>
      <c r="X76" s="1008"/>
      <c r="Y76" s="1008"/>
      <c r="Z76" s="1008"/>
      <c r="AA76" s="1008"/>
      <c r="AB76" s="1008"/>
      <c r="AC76" s="1008"/>
      <c r="AD76" s="1008"/>
      <c r="AE76" s="1008"/>
      <c r="AF76" s="1008"/>
      <c r="AG76" s="1008"/>
      <c r="AH76" s="1008"/>
      <c r="AI76" s="1008"/>
    </row>
    <row r="77" spans="1:35">
      <c r="A77" s="1008">
        <v>23570</v>
      </c>
      <c r="C77" s="1008">
        <v>6</v>
      </c>
      <c r="D77" s="1009">
        <v>10329999</v>
      </c>
      <c r="E77" s="1009">
        <v>10320000</v>
      </c>
      <c r="F77" s="1007" t="s">
        <v>4886</v>
      </c>
      <c r="O77" s="1007" t="s">
        <v>648</v>
      </c>
      <c r="P77" s="1007" t="s">
        <v>648</v>
      </c>
      <c r="S77" s="1008" t="s">
        <v>650</v>
      </c>
      <c r="T77" s="1008" t="s">
        <v>675</v>
      </c>
      <c r="U77" s="1008" t="s">
        <v>649</v>
      </c>
      <c r="V77" s="1008" t="s">
        <v>648</v>
      </c>
      <c r="W77" s="1008" t="s">
        <v>546</v>
      </c>
      <c r="X77" s="1008"/>
      <c r="Y77" s="1008"/>
      <c r="Z77" s="1008"/>
      <c r="AA77" s="1008"/>
      <c r="AB77" s="1008"/>
      <c r="AC77" s="1008"/>
      <c r="AD77" s="1008"/>
      <c r="AE77" s="1008"/>
      <c r="AF77" s="1008"/>
      <c r="AG77" s="1008"/>
      <c r="AH77" s="1008"/>
      <c r="AI77" s="1008"/>
    </row>
    <row r="78" spans="1:35">
      <c r="A78" s="1008">
        <v>23571</v>
      </c>
      <c r="B78" s="1008">
        <v>1171</v>
      </c>
      <c r="C78" s="1008">
        <v>7</v>
      </c>
      <c r="D78" s="1009">
        <v>10329999</v>
      </c>
      <c r="E78" s="1009">
        <v>10320100</v>
      </c>
      <c r="F78" s="1007" t="s">
        <v>4885</v>
      </c>
      <c r="G78" s="1007">
        <v>8</v>
      </c>
      <c r="H78" s="1010">
        <v>99999999</v>
      </c>
      <c r="I78" s="1009">
        <v>10320100</v>
      </c>
      <c r="J78" s="1007" t="s">
        <v>4885</v>
      </c>
      <c r="O78" s="1007" t="s">
        <v>648</v>
      </c>
      <c r="P78" s="1007" t="s">
        <v>648</v>
      </c>
      <c r="S78" s="1008" t="s">
        <v>650</v>
      </c>
      <c r="T78" s="1008" t="s">
        <v>654</v>
      </c>
      <c r="U78" s="1008" t="s">
        <v>649</v>
      </c>
      <c r="V78" s="1008" t="s">
        <v>648</v>
      </c>
      <c r="W78" s="1008" t="s">
        <v>546</v>
      </c>
      <c r="X78" s="1008" t="s">
        <v>670</v>
      </c>
      <c r="Y78" s="1008" t="s">
        <v>670</v>
      </c>
      <c r="Z78" s="1008" t="s">
        <v>670</v>
      </c>
      <c r="AA78" s="1008"/>
      <c r="AB78" s="1008" t="s">
        <v>670</v>
      </c>
      <c r="AC78" s="1008" t="s">
        <v>670</v>
      </c>
      <c r="AD78" s="1008" t="s">
        <v>670</v>
      </c>
      <c r="AE78" s="1008"/>
      <c r="AF78" s="1008" t="s">
        <v>670</v>
      </c>
      <c r="AG78" s="1008"/>
      <c r="AH78" s="1008"/>
      <c r="AI78" s="1008"/>
    </row>
    <row r="79" spans="1:35">
      <c r="A79" s="1008">
        <v>23572</v>
      </c>
      <c r="B79" s="1008">
        <v>1172</v>
      </c>
      <c r="C79" s="1008">
        <v>7</v>
      </c>
      <c r="D79" s="1009">
        <v>10329999</v>
      </c>
      <c r="E79" s="1009">
        <v>10320200</v>
      </c>
      <c r="F79" s="1007" t="s">
        <v>4884</v>
      </c>
      <c r="G79" s="1007">
        <v>8</v>
      </c>
      <c r="H79" s="1010">
        <v>99999999</v>
      </c>
      <c r="I79" s="1009">
        <v>10320200</v>
      </c>
      <c r="J79" s="1007" t="s">
        <v>4884</v>
      </c>
      <c r="O79" s="1007" t="s">
        <v>648</v>
      </c>
      <c r="P79" s="1007" t="s">
        <v>648</v>
      </c>
      <c r="S79" s="1008" t="s">
        <v>650</v>
      </c>
      <c r="T79" s="1008" t="s">
        <v>654</v>
      </c>
      <c r="U79" s="1008" t="s">
        <v>649</v>
      </c>
      <c r="V79" s="1008" t="s">
        <v>648</v>
      </c>
      <c r="W79" s="1008" t="s">
        <v>546</v>
      </c>
      <c r="X79" s="1008" t="s">
        <v>670</v>
      </c>
      <c r="Y79" s="1008" t="s">
        <v>670</v>
      </c>
      <c r="Z79" s="1008" t="s">
        <v>670</v>
      </c>
      <c r="AA79" s="1008"/>
      <c r="AB79" s="1008" t="s">
        <v>670</v>
      </c>
      <c r="AC79" s="1008"/>
      <c r="AD79" s="1008" t="s">
        <v>670</v>
      </c>
      <c r="AE79" s="1008"/>
      <c r="AF79" s="1008" t="s">
        <v>670</v>
      </c>
      <c r="AG79" s="1008"/>
      <c r="AH79" s="1008"/>
      <c r="AI79" s="1008"/>
    </row>
    <row r="80" spans="1:35">
      <c r="A80" s="1008">
        <v>23573</v>
      </c>
      <c r="B80" s="1008">
        <v>1173</v>
      </c>
      <c r="C80" s="1008">
        <v>7</v>
      </c>
      <c r="D80" s="1009">
        <v>10329999</v>
      </c>
      <c r="E80" s="1009">
        <v>10320300</v>
      </c>
      <c r="F80" s="1007" t="s">
        <v>4883</v>
      </c>
      <c r="G80" s="1007">
        <v>8</v>
      </c>
      <c r="H80" s="1010">
        <v>99999999</v>
      </c>
      <c r="I80" s="1009">
        <v>10320300</v>
      </c>
      <c r="J80" s="1007" t="s">
        <v>4883</v>
      </c>
      <c r="O80" s="1007" t="s">
        <v>648</v>
      </c>
      <c r="P80" s="1007" t="s">
        <v>648</v>
      </c>
      <c r="S80" s="1008" t="s">
        <v>650</v>
      </c>
      <c r="T80" s="1008" t="s">
        <v>654</v>
      </c>
      <c r="U80" s="1008" t="s">
        <v>649</v>
      </c>
      <c r="V80" s="1008" t="s">
        <v>648</v>
      </c>
      <c r="W80" s="1008" t="s">
        <v>546</v>
      </c>
      <c r="X80" s="1008" t="s">
        <v>670</v>
      </c>
      <c r="Y80" s="1008" t="s">
        <v>670</v>
      </c>
      <c r="Z80" s="1008" t="s">
        <v>670</v>
      </c>
      <c r="AA80" s="1008"/>
      <c r="AB80" s="1008" t="s">
        <v>670</v>
      </c>
      <c r="AC80" s="1008"/>
      <c r="AD80" s="1008" t="s">
        <v>670</v>
      </c>
      <c r="AE80" s="1008"/>
      <c r="AF80" s="1008" t="s">
        <v>670</v>
      </c>
      <c r="AG80" s="1008"/>
      <c r="AH80" s="1008"/>
      <c r="AI80" s="1008"/>
    </row>
    <row r="81" spans="1:35">
      <c r="A81" s="1008">
        <v>23574</v>
      </c>
      <c r="B81" s="1008">
        <v>1174</v>
      </c>
      <c r="C81" s="1008">
        <v>7</v>
      </c>
      <c r="D81" s="1009">
        <v>10329999</v>
      </c>
      <c r="E81" s="1009">
        <v>10320400</v>
      </c>
      <c r="F81" s="1007" t="s">
        <v>4882</v>
      </c>
      <c r="G81" s="1007">
        <v>8</v>
      </c>
      <c r="H81" s="1010">
        <v>99999999</v>
      </c>
      <c r="I81" s="1009">
        <v>10320400</v>
      </c>
      <c r="J81" s="1007" t="s">
        <v>4882</v>
      </c>
      <c r="O81" s="1007" t="s">
        <v>648</v>
      </c>
      <c r="P81" s="1007" t="s">
        <v>648</v>
      </c>
      <c r="S81" s="1008" t="s">
        <v>650</v>
      </c>
      <c r="T81" s="1008" t="s">
        <v>654</v>
      </c>
      <c r="U81" s="1008" t="s">
        <v>649</v>
      </c>
      <c r="V81" s="1008" t="s">
        <v>648</v>
      </c>
      <c r="W81" s="1008" t="s">
        <v>546</v>
      </c>
      <c r="X81" s="1008" t="s">
        <v>670</v>
      </c>
      <c r="Y81" s="1008" t="s">
        <v>670</v>
      </c>
      <c r="Z81" s="1008" t="s">
        <v>670</v>
      </c>
      <c r="AA81" s="1008"/>
      <c r="AB81" s="1008" t="s">
        <v>670</v>
      </c>
      <c r="AC81" s="1008"/>
      <c r="AD81" s="1008" t="s">
        <v>670</v>
      </c>
      <c r="AE81" s="1008"/>
      <c r="AF81" s="1008" t="s">
        <v>670</v>
      </c>
      <c r="AG81" s="1008"/>
      <c r="AH81" s="1008"/>
      <c r="AI81" s="1008"/>
    </row>
    <row r="82" spans="1:35">
      <c r="A82" s="1008">
        <v>23575</v>
      </c>
      <c r="B82" s="1008">
        <v>1175</v>
      </c>
      <c r="C82" s="1008">
        <v>7</v>
      </c>
      <c r="D82" s="1009">
        <v>10329999</v>
      </c>
      <c r="E82" s="1009">
        <v>10320500</v>
      </c>
      <c r="F82" s="1007" t="s">
        <v>4881</v>
      </c>
      <c r="G82" s="1007">
        <v>8</v>
      </c>
      <c r="H82" s="1010">
        <v>99999999</v>
      </c>
      <c r="I82" s="1009">
        <v>10320500</v>
      </c>
      <c r="J82" s="1007" t="s">
        <v>4881</v>
      </c>
      <c r="O82" s="1007" t="s">
        <v>648</v>
      </c>
      <c r="P82" s="1007" t="s">
        <v>648</v>
      </c>
      <c r="S82" s="1008" t="s">
        <v>650</v>
      </c>
      <c r="T82" s="1008" t="s">
        <v>654</v>
      </c>
      <c r="U82" s="1008" t="s">
        <v>649</v>
      </c>
      <c r="V82" s="1008" t="s">
        <v>648</v>
      </c>
      <c r="W82" s="1008" t="s">
        <v>546</v>
      </c>
      <c r="X82" s="1008" t="s">
        <v>670</v>
      </c>
      <c r="Y82" s="1008" t="s">
        <v>670</v>
      </c>
      <c r="Z82" s="1008" t="s">
        <v>670</v>
      </c>
      <c r="AA82" s="1008"/>
      <c r="AB82" s="1008" t="s">
        <v>670</v>
      </c>
      <c r="AC82" s="1008"/>
      <c r="AD82" s="1008" t="s">
        <v>670</v>
      </c>
      <c r="AE82" s="1008"/>
      <c r="AF82" s="1008" t="s">
        <v>670</v>
      </c>
      <c r="AG82" s="1008"/>
      <c r="AH82" s="1008"/>
      <c r="AI82" s="1008"/>
    </row>
    <row r="83" spans="1:35">
      <c r="A83" s="1008">
        <v>27586</v>
      </c>
      <c r="B83" s="1008">
        <v>817</v>
      </c>
      <c r="C83" s="1008">
        <v>7</v>
      </c>
      <c r="D83" s="1009">
        <v>10329999</v>
      </c>
      <c r="E83" s="1009">
        <v>10320800</v>
      </c>
      <c r="F83" s="1007" t="s">
        <v>4880</v>
      </c>
      <c r="G83" s="1007">
        <v>8</v>
      </c>
      <c r="H83" s="1010">
        <v>99999999</v>
      </c>
      <c r="I83" s="1009">
        <v>10320800</v>
      </c>
      <c r="J83" s="1007" t="s">
        <v>4879</v>
      </c>
      <c r="O83" s="1007" t="s">
        <v>648</v>
      </c>
      <c r="P83" s="1007" t="s">
        <v>648</v>
      </c>
      <c r="S83" s="1008" t="s">
        <v>650</v>
      </c>
      <c r="T83" s="1008" t="s">
        <v>654</v>
      </c>
      <c r="U83" s="1008" t="s">
        <v>649</v>
      </c>
      <c r="V83" s="1008" t="s">
        <v>648</v>
      </c>
      <c r="W83" s="1008" t="s">
        <v>546</v>
      </c>
      <c r="X83" s="1008" t="s">
        <v>670</v>
      </c>
      <c r="Y83" s="1008"/>
      <c r="Z83" s="1008"/>
      <c r="AA83" s="1008"/>
      <c r="AB83" s="1008"/>
      <c r="AC83" s="1008"/>
      <c r="AD83" s="1008"/>
      <c r="AE83" s="1008"/>
      <c r="AF83" s="1008"/>
      <c r="AG83" s="1008"/>
      <c r="AH83" s="1008"/>
      <c r="AI83" s="1008"/>
    </row>
    <row r="84" spans="1:35">
      <c r="A84" s="1008">
        <v>23576</v>
      </c>
      <c r="C84" s="1008">
        <v>6</v>
      </c>
      <c r="D84" s="1009">
        <v>10399999</v>
      </c>
      <c r="E84" s="1009">
        <v>10329999</v>
      </c>
      <c r="F84" s="1007" t="s">
        <v>4878</v>
      </c>
      <c r="O84" s="1007" t="s">
        <v>648</v>
      </c>
      <c r="P84" s="1007" t="s">
        <v>648</v>
      </c>
      <c r="S84" s="1008" t="s">
        <v>650</v>
      </c>
      <c r="T84" s="1008" t="s">
        <v>21</v>
      </c>
      <c r="U84" s="1008" t="s">
        <v>649</v>
      </c>
      <c r="V84" s="1008" t="s">
        <v>648</v>
      </c>
      <c r="W84" s="1008" t="s">
        <v>546</v>
      </c>
      <c r="X84" s="1008"/>
      <c r="Y84" s="1008"/>
      <c r="Z84" s="1008"/>
      <c r="AA84" s="1008"/>
      <c r="AB84" s="1008"/>
      <c r="AC84" s="1008"/>
      <c r="AD84" s="1008"/>
      <c r="AE84" s="1008"/>
      <c r="AF84" s="1008"/>
      <c r="AG84" s="1008"/>
      <c r="AH84" s="1008"/>
      <c r="AI84" s="1008"/>
    </row>
    <row r="85" spans="1:35">
      <c r="A85" s="1008">
        <v>23577</v>
      </c>
      <c r="C85" s="1008">
        <v>6</v>
      </c>
      <c r="D85" s="1009">
        <v>10339999</v>
      </c>
      <c r="E85" s="1009">
        <v>10330000</v>
      </c>
      <c r="F85" s="1007" t="s">
        <v>4877</v>
      </c>
      <c r="O85" s="1007" t="s">
        <v>648</v>
      </c>
      <c r="P85" s="1007" t="s">
        <v>648</v>
      </c>
      <c r="S85" s="1008" t="s">
        <v>650</v>
      </c>
      <c r="T85" s="1008" t="s">
        <v>675</v>
      </c>
      <c r="U85" s="1008" t="s">
        <v>649</v>
      </c>
      <c r="V85" s="1008" t="s">
        <v>648</v>
      </c>
      <c r="W85" s="1008" t="s">
        <v>546</v>
      </c>
      <c r="X85" s="1008"/>
      <c r="Y85" s="1008"/>
      <c r="Z85" s="1008"/>
      <c r="AA85" s="1008"/>
      <c r="AB85" s="1008"/>
      <c r="AC85" s="1008"/>
      <c r="AD85" s="1008"/>
      <c r="AE85" s="1008"/>
      <c r="AF85" s="1008"/>
      <c r="AG85" s="1008"/>
      <c r="AH85" s="1008"/>
      <c r="AI85" s="1008"/>
    </row>
    <row r="86" spans="1:35">
      <c r="A86" s="1008">
        <v>23578</v>
      </c>
      <c r="B86" s="1008">
        <v>1146</v>
      </c>
      <c r="C86" s="1008">
        <v>7</v>
      </c>
      <c r="D86" s="1009">
        <v>10339999</v>
      </c>
      <c r="E86" s="1009">
        <v>10330100</v>
      </c>
      <c r="F86" s="1007" t="s">
        <v>4876</v>
      </c>
      <c r="G86" s="1007">
        <v>8</v>
      </c>
      <c r="H86" s="1010">
        <v>99999999</v>
      </c>
      <c r="I86" s="1009">
        <v>10330100</v>
      </c>
      <c r="J86" s="1007" t="s">
        <v>4876</v>
      </c>
      <c r="O86" s="1007" t="s">
        <v>648</v>
      </c>
      <c r="P86" s="1007" t="s">
        <v>648</v>
      </c>
      <c r="S86" s="1008" t="s">
        <v>650</v>
      </c>
      <c r="T86" s="1008" t="s">
        <v>654</v>
      </c>
      <c r="U86" s="1008" t="s">
        <v>649</v>
      </c>
      <c r="V86" s="1008" t="s">
        <v>648</v>
      </c>
      <c r="W86" s="1008" t="s">
        <v>546</v>
      </c>
      <c r="X86" s="1008" t="s">
        <v>670</v>
      </c>
      <c r="Y86" s="1008" t="s">
        <v>670</v>
      </c>
      <c r="Z86" s="1008" t="s">
        <v>670</v>
      </c>
      <c r="AA86" s="1008"/>
      <c r="AB86" s="1008" t="s">
        <v>670</v>
      </c>
      <c r="AC86" s="1008"/>
      <c r="AD86" s="1008" t="s">
        <v>670</v>
      </c>
      <c r="AE86" s="1008"/>
      <c r="AF86" s="1008" t="s">
        <v>670</v>
      </c>
      <c r="AG86" s="1008"/>
      <c r="AH86" s="1008"/>
      <c r="AI86" s="1008"/>
    </row>
    <row r="87" spans="1:35">
      <c r="A87" s="1008">
        <v>23579</v>
      </c>
      <c r="B87" s="1008">
        <v>1148</v>
      </c>
      <c r="C87" s="1008">
        <v>7</v>
      </c>
      <c r="D87" s="1009">
        <v>10339999</v>
      </c>
      <c r="E87" s="1009">
        <v>10330200</v>
      </c>
      <c r="F87" s="1007" t="s">
        <v>4875</v>
      </c>
      <c r="G87" s="1007">
        <v>8</v>
      </c>
      <c r="H87" s="1010">
        <v>99999999</v>
      </c>
      <c r="I87" s="1009">
        <v>10330200</v>
      </c>
      <c r="J87" s="1007" t="s">
        <v>4875</v>
      </c>
      <c r="O87" s="1007" t="s">
        <v>648</v>
      </c>
      <c r="P87" s="1007" t="s">
        <v>648</v>
      </c>
      <c r="S87" s="1008" t="s">
        <v>650</v>
      </c>
      <c r="T87" s="1008" t="s">
        <v>654</v>
      </c>
      <c r="U87" s="1008" t="s">
        <v>649</v>
      </c>
      <c r="V87" s="1008" t="s">
        <v>648</v>
      </c>
      <c r="W87" s="1008" t="s">
        <v>546</v>
      </c>
      <c r="X87" s="1008" t="s">
        <v>670</v>
      </c>
      <c r="Y87" s="1008" t="s">
        <v>670</v>
      </c>
      <c r="Z87" s="1008" t="s">
        <v>670</v>
      </c>
      <c r="AA87" s="1008"/>
      <c r="AB87" s="1008" t="s">
        <v>670</v>
      </c>
      <c r="AC87" s="1008"/>
      <c r="AD87" s="1008" t="s">
        <v>670</v>
      </c>
      <c r="AE87" s="1008"/>
      <c r="AF87" s="1008" t="s">
        <v>670</v>
      </c>
      <c r="AG87" s="1008"/>
      <c r="AH87" s="1008"/>
      <c r="AI87" s="1008"/>
    </row>
    <row r="88" spans="1:35">
      <c r="A88" s="1008">
        <v>23580</v>
      </c>
      <c r="B88" s="1008">
        <v>1149</v>
      </c>
      <c r="C88" s="1008">
        <v>7</v>
      </c>
      <c r="D88" s="1009">
        <v>10339999</v>
      </c>
      <c r="E88" s="1009">
        <v>10330300</v>
      </c>
      <c r="F88" s="1007" t="s">
        <v>4874</v>
      </c>
      <c r="G88" s="1007">
        <v>8</v>
      </c>
      <c r="H88" s="1010">
        <v>99999999</v>
      </c>
      <c r="I88" s="1009">
        <v>10330300</v>
      </c>
      <c r="J88" s="1007" t="s">
        <v>4874</v>
      </c>
      <c r="O88" s="1007" t="s">
        <v>648</v>
      </c>
      <c r="P88" s="1007" t="s">
        <v>648</v>
      </c>
      <c r="S88" s="1008" t="s">
        <v>650</v>
      </c>
      <c r="T88" s="1008" t="s">
        <v>654</v>
      </c>
      <c r="U88" s="1008" t="s">
        <v>649</v>
      </c>
      <c r="V88" s="1008" t="s">
        <v>648</v>
      </c>
      <c r="W88" s="1008" t="s">
        <v>546</v>
      </c>
      <c r="X88" s="1008" t="s">
        <v>670</v>
      </c>
      <c r="Y88" s="1008" t="s">
        <v>670</v>
      </c>
      <c r="Z88" s="1008" t="s">
        <v>670</v>
      </c>
      <c r="AA88" s="1008"/>
      <c r="AB88" s="1008" t="s">
        <v>670</v>
      </c>
      <c r="AC88" s="1008"/>
      <c r="AD88" s="1008" t="s">
        <v>670</v>
      </c>
      <c r="AE88" s="1008"/>
      <c r="AF88" s="1008" t="s">
        <v>670</v>
      </c>
      <c r="AG88" s="1008"/>
      <c r="AH88" s="1008"/>
      <c r="AI88" s="1008"/>
    </row>
    <row r="89" spans="1:35">
      <c r="A89" s="1008">
        <v>23581</v>
      </c>
      <c r="B89" s="1008">
        <v>1150</v>
      </c>
      <c r="C89" s="1008">
        <v>7</v>
      </c>
      <c r="D89" s="1009">
        <v>10339999</v>
      </c>
      <c r="E89" s="1009">
        <v>10330400</v>
      </c>
      <c r="F89" s="1007" t="s">
        <v>4873</v>
      </c>
      <c r="G89" s="1007">
        <v>8</v>
      </c>
      <c r="H89" s="1010">
        <v>99999999</v>
      </c>
      <c r="I89" s="1009">
        <v>10330400</v>
      </c>
      <c r="J89" s="1007" t="s">
        <v>4873</v>
      </c>
      <c r="O89" s="1007" t="s">
        <v>648</v>
      </c>
      <c r="P89" s="1007" t="s">
        <v>648</v>
      </c>
      <c r="S89" s="1008" t="s">
        <v>650</v>
      </c>
      <c r="T89" s="1008" t="s">
        <v>654</v>
      </c>
      <c r="U89" s="1008" t="s">
        <v>649</v>
      </c>
      <c r="V89" s="1008" t="s">
        <v>648</v>
      </c>
      <c r="W89" s="1008" t="s">
        <v>546</v>
      </c>
      <c r="X89" s="1008" t="s">
        <v>670</v>
      </c>
      <c r="Y89" s="1008" t="s">
        <v>670</v>
      </c>
      <c r="Z89" s="1008" t="s">
        <v>670</v>
      </c>
      <c r="AA89" s="1008"/>
      <c r="AB89" s="1008" t="s">
        <v>670</v>
      </c>
      <c r="AC89" s="1008"/>
      <c r="AD89" s="1008" t="s">
        <v>670</v>
      </c>
      <c r="AE89" s="1008"/>
      <c r="AF89" s="1008" t="s">
        <v>670</v>
      </c>
      <c r="AG89" s="1008"/>
      <c r="AH89" s="1008"/>
      <c r="AI89" s="1008"/>
    </row>
    <row r="90" spans="1:35">
      <c r="A90" s="1008">
        <v>23582</v>
      </c>
      <c r="B90" s="1008">
        <v>1151</v>
      </c>
      <c r="C90" s="1008">
        <v>7</v>
      </c>
      <c r="D90" s="1009">
        <v>10339999</v>
      </c>
      <c r="E90" s="1009">
        <v>10330500</v>
      </c>
      <c r="F90" s="1007" t="s">
        <v>4872</v>
      </c>
      <c r="G90" s="1007">
        <v>8</v>
      </c>
      <c r="H90" s="1010">
        <v>99999999</v>
      </c>
      <c r="I90" s="1009">
        <v>10330500</v>
      </c>
      <c r="J90" s="1007" t="s">
        <v>4872</v>
      </c>
      <c r="O90" s="1007" t="s">
        <v>648</v>
      </c>
      <c r="P90" s="1007" t="s">
        <v>648</v>
      </c>
      <c r="S90" s="1008" t="s">
        <v>650</v>
      </c>
      <c r="T90" s="1008" t="s">
        <v>654</v>
      </c>
      <c r="U90" s="1008" t="s">
        <v>649</v>
      </c>
      <c r="V90" s="1008" t="s">
        <v>648</v>
      </c>
      <c r="W90" s="1008" t="s">
        <v>546</v>
      </c>
      <c r="X90" s="1008" t="s">
        <v>670</v>
      </c>
      <c r="Y90" s="1008" t="s">
        <v>670</v>
      </c>
      <c r="Z90" s="1008" t="s">
        <v>670</v>
      </c>
      <c r="AA90" s="1008"/>
      <c r="AB90" s="1008" t="s">
        <v>670</v>
      </c>
      <c r="AC90" s="1008"/>
      <c r="AD90" s="1008" t="s">
        <v>670</v>
      </c>
      <c r="AE90" s="1008"/>
      <c r="AF90" s="1008" t="s">
        <v>670</v>
      </c>
      <c r="AG90" s="1008"/>
      <c r="AH90" s="1008"/>
      <c r="AI90" s="1008"/>
    </row>
    <row r="91" spans="1:35">
      <c r="A91" s="1008">
        <v>23583</v>
      </c>
      <c r="C91" s="1008">
        <v>6</v>
      </c>
      <c r="D91" s="1009">
        <v>10399999</v>
      </c>
      <c r="E91" s="1009">
        <v>10339999</v>
      </c>
      <c r="F91" s="1007" t="s">
        <v>4871</v>
      </c>
      <c r="O91" s="1007" t="s">
        <v>648</v>
      </c>
      <c r="P91" s="1007" t="s">
        <v>648</v>
      </c>
      <c r="S91" s="1008" t="s">
        <v>650</v>
      </c>
      <c r="T91" s="1008" t="s">
        <v>21</v>
      </c>
      <c r="U91" s="1008" t="s">
        <v>649</v>
      </c>
      <c r="V91" s="1008" t="s">
        <v>648</v>
      </c>
      <c r="W91" s="1008" t="s">
        <v>546</v>
      </c>
      <c r="X91" s="1008"/>
      <c r="Y91" s="1008"/>
      <c r="Z91" s="1008"/>
      <c r="AA91" s="1008"/>
      <c r="AB91" s="1008"/>
      <c r="AC91" s="1008"/>
      <c r="AD91" s="1008"/>
      <c r="AE91" s="1008"/>
      <c r="AF91" s="1008"/>
      <c r="AG91" s="1008"/>
      <c r="AH91" s="1008"/>
      <c r="AI91" s="1008"/>
    </row>
    <row r="92" spans="1:35">
      <c r="A92" s="1008">
        <v>23584</v>
      </c>
      <c r="C92" s="1008">
        <v>6</v>
      </c>
      <c r="D92" s="1009">
        <v>10349999</v>
      </c>
      <c r="E92" s="1009">
        <v>10340000</v>
      </c>
      <c r="F92" s="1007" t="s">
        <v>4870</v>
      </c>
      <c r="O92" s="1007" t="s">
        <v>648</v>
      </c>
      <c r="P92" s="1007" t="s">
        <v>648</v>
      </c>
      <c r="S92" s="1008" t="s">
        <v>650</v>
      </c>
      <c r="T92" s="1008" t="s">
        <v>675</v>
      </c>
      <c r="U92" s="1008" t="s">
        <v>649</v>
      </c>
      <c r="V92" s="1008" t="s">
        <v>648</v>
      </c>
      <c r="W92" s="1008" t="s">
        <v>546</v>
      </c>
      <c r="X92" s="1008"/>
      <c r="Y92" s="1008"/>
      <c r="Z92" s="1008"/>
      <c r="AA92" s="1008"/>
      <c r="AB92" s="1008"/>
      <c r="AC92" s="1008"/>
      <c r="AD92" s="1008"/>
      <c r="AE92" s="1008"/>
      <c r="AF92" s="1008"/>
      <c r="AG92" s="1008"/>
      <c r="AH92" s="1008"/>
      <c r="AI92" s="1008"/>
    </row>
    <row r="93" spans="1:35">
      <c r="A93" s="1008">
        <v>23585</v>
      </c>
      <c r="B93" s="1008">
        <v>494</v>
      </c>
      <c r="C93" s="1008">
        <v>7</v>
      </c>
      <c r="D93" s="1009">
        <v>10349999</v>
      </c>
      <c r="E93" s="1009">
        <v>10340100</v>
      </c>
      <c r="F93" s="1007" t="s">
        <v>4869</v>
      </c>
      <c r="G93" s="1007">
        <v>8</v>
      </c>
      <c r="H93" s="1010">
        <v>99999999</v>
      </c>
      <c r="I93" s="1009">
        <v>10340100</v>
      </c>
      <c r="J93" s="1007" t="s">
        <v>4869</v>
      </c>
      <c r="O93" s="1007" t="s">
        <v>648</v>
      </c>
      <c r="P93" s="1007" t="s">
        <v>648</v>
      </c>
      <c r="S93" s="1008" t="s">
        <v>650</v>
      </c>
      <c r="T93" s="1008" t="s">
        <v>654</v>
      </c>
      <c r="U93" s="1008" t="s">
        <v>649</v>
      </c>
      <c r="V93" s="1008" t="s">
        <v>648</v>
      </c>
      <c r="W93" s="1008" t="s">
        <v>546</v>
      </c>
      <c r="X93" s="1008" t="s">
        <v>670</v>
      </c>
      <c r="Y93" s="1008"/>
      <c r="Z93" s="1008"/>
      <c r="AA93" s="1008"/>
      <c r="AB93" s="1008" t="s">
        <v>670</v>
      </c>
      <c r="AC93" s="1008"/>
      <c r="AD93" s="1008" t="s">
        <v>670</v>
      </c>
      <c r="AE93" s="1008"/>
      <c r="AF93" s="1008"/>
      <c r="AG93" s="1008"/>
      <c r="AH93" s="1008"/>
      <c r="AI93" s="1008"/>
    </row>
    <row r="94" spans="1:35">
      <c r="A94" s="1008">
        <v>23586</v>
      </c>
      <c r="B94" s="1008">
        <v>1163</v>
      </c>
      <c r="C94" s="1008">
        <v>7</v>
      </c>
      <c r="D94" s="1009">
        <v>10349999</v>
      </c>
      <c r="E94" s="1009">
        <v>10340200</v>
      </c>
      <c r="F94" s="1007" t="s">
        <v>4868</v>
      </c>
      <c r="G94" s="1007">
        <v>8</v>
      </c>
      <c r="H94" s="1010">
        <v>99999999</v>
      </c>
      <c r="I94" s="1009">
        <v>10340200</v>
      </c>
      <c r="J94" s="1007" t="s">
        <v>4868</v>
      </c>
      <c r="O94" s="1007" t="s">
        <v>648</v>
      </c>
      <c r="P94" s="1007" t="s">
        <v>648</v>
      </c>
      <c r="S94" s="1008" t="s">
        <v>650</v>
      </c>
      <c r="T94" s="1008" t="s">
        <v>654</v>
      </c>
      <c r="U94" s="1008" t="s">
        <v>649</v>
      </c>
      <c r="V94" s="1008" t="s">
        <v>648</v>
      </c>
      <c r="W94" s="1008" t="s">
        <v>546</v>
      </c>
      <c r="X94" s="1008" t="s">
        <v>670</v>
      </c>
      <c r="Y94" s="1008"/>
      <c r="Z94" s="1008"/>
      <c r="AA94" s="1008"/>
      <c r="AB94" s="1008" t="s">
        <v>670</v>
      </c>
      <c r="AC94" s="1008"/>
      <c r="AD94" s="1008" t="s">
        <v>670</v>
      </c>
      <c r="AE94" s="1008"/>
      <c r="AF94" s="1008"/>
      <c r="AG94" s="1008"/>
      <c r="AH94" s="1008"/>
      <c r="AI94" s="1008"/>
    </row>
    <row r="95" spans="1:35">
      <c r="A95" s="1008">
        <v>23587</v>
      </c>
      <c r="B95" s="1008">
        <v>1164</v>
      </c>
      <c r="C95" s="1008">
        <v>7</v>
      </c>
      <c r="D95" s="1009">
        <v>10349999</v>
      </c>
      <c r="E95" s="1009">
        <v>10340300</v>
      </c>
      <c r="F95" s="1007" t="s">
        <v>4867</v>
      </c>
      <c r="G95" s="1007">
        <v>8</v>
      </c>
      <c r="H95" s="1010">
        <v>99999999</v>
      </c>
      <c r="I95" s="1009">
        <v>10340300</v>
      </c>
      <c r="J95" s="1007" t="s">
        <v>4867</v>
      </c>
      <c r="O95" s="1007" t="s">
        <v>648</v>
      </c>
      <c r="P95" s="1007" t="s">
        <v>648</v>
      </c>
      <c r="S95" s="1008" t="s">
        <v>650</v>
      </c>
      <c r="T95" s="1008" t="s">
        <v>654</v>
      </c>
      <c r="U95" s="1008" t="s">
        <v>649</v>
      </c>
      <c r="V95" s="1008" t="s">
        <v>648</v>
      </c>
      <c r="W95" s="1008" t="s">
        <v>546</v>
      </c>
      <c r="X95" s="1008" t="s">
        <v>670</v>
      </c>
      <c r="Y95" s="1008"/>
      <c r="Z95" s="1008"/>
      <c r="AA95" s="1008"/>
      <c r="AB95" s="1008" t="s">
        <v>670</v>
      </c>
      <c r="AC95" s="1008"/>
      <c r="AD95" s="1008" t="s">
        <v>670</v>
      </c>
      <c r="AE95" s="1008"/>
      <c r="AF95" s="1008"/>
      <c r="AG95" s="1008"/>
      <c r="AH95" s="1008"/>
      <c r="AI95" s="1008"/>
    </row>
    <row r="96" spans="1:35">
      <c r="A96" s="1008">
        <v>23588</v>
      </c>
      <c r="B96" s="1008">
        <v>1165</v>
      </c>
      <c r="C96" s="1008">
        <v>7</v>
      </c>
      <c r="D96" s="1009">
        <v>10349999</v>
      </c>
      <c r="E96" s="1009">
        <v>10340400</v>
      </c>
      <c r="F96" s="1007" t="s">
        <v>4866</v>
      </c>
      <c r="G96" s="1007">
        <v>8</v>
      </c>
      <c r="H96" s="1010">
        <v>99999999</v>
      </c>
      <c r="I96" s="1009">
        <v>10340400</v>
      </c>
      <c r="J96" s="1007" t="s">
        <v>4866</v>
      </c>
      <c r="O96" s="1007" t="s">
        <v>648</v>
      </c>
      <c r="P96" s="1007" t="s">
        <v>648</v>
      </c>
      <c r="S96" s="1008" t="s">
        <v>650</v>
      </c>
      <c r="T96" s="1008" t="s">
        <v>654</v>
      </c>
      <c r="U96" s="1008" t="s">
        <v>649</v>
      </c>
      <c r="V96" s="1008" t="s">
        <v>648</v>
      </c>
      <c r="W96" s="1008" t="s">
        <v>546</v>
      </c>
      <c r="X96" s="1008" t="s">
        <v>670</v>
      </c>
      <c r="Y96" s="1008"/>
      <c r="Z96" s="1008"/>
      <c r="AA96" s="1008"/>
      <c r="AB96" s="1008" t="s">
        <v>670</v>
      </c>
      <c r="AC96" s="1008"/>
      <c r="AD96" s="1008" t="s">
        <v>670</v>
      </c>
      <c r="AE96" s="1008"/>
      <c r="AF96" s="1008"/>
      <c r="AG96" s="1008"/>
      <c r="AH96" s="1008"/>
      <c r="AI96" s="1008"/>
    </row>
    <row r="97" spans="1:35">
      <c r="A97" s="1008">
        <v>23589</v>
      </c>
      <c r="B97" s="1008">
        <v>1166</v>
      </c>
      <c r="C97" s="1008">
        <v>7</v>
      </c>
      <c r="D97" s="1009">
        <v>10349999</v>
      </c>
      <c r="E97" s="1009">
        <v>10340500</v>
      </c>
      <c r="F97" s="1007" t="s">
        <v>4865</v>
      </c>
      <c r="G97" s="1007">
        <v>8</v>
      </c>
      <c r="H97" s="1010">
        <v>99999999</v>
      </c>
      <c r="I97" s="1009">
        <v>10340500</v>
      </c>
      <c r="J97" s="1007" t="s">
        <v>4865</v>
      </c>
      <c r="O97" s="1007" t="s">
        <v>648</v>
      </c>
      <c r="P97" s="1007" t="s">
        <v>648</v>
      </c>
      <c r="S97" s="1008" t="s">
        <v>650</v>
      </c>
      <c r="T97" s="1008" t="s">
        <v>654</v>
      </c>
      <c r="U97" s="1008" t="s">
        <v>649</v>
      </c>
      <c r="V97" s="1008" t="s">
        <v>648</v>
      </c>
      <c r="W97" s="1008" t="s">
        <v>546</v>
      </c>
      <c r="X97" s="1008" t="s">
        <v>670</v>
      </c>
      <c r="Y97" s="1008"/>
      <c r="Z97" s="1008"/>
      <c r="AA97" s="1008"/>
      <c r="AB97" s="1008" t="s">
        <v>670</v>
      </c>
      <c r="AC97" s="1008"/>
      <c r="AD97" s="1008" t="s">
        <v>670</v>
      </c>
      <c r="AE97" s="1008"/>
      <c r="AF97" s="1008"/>
      <c r="AG97" s="1008"/>
      <c r="AH97" s="1008"/>
      <c r="AI97" s="1008"/>
    </row>
    <row r="98" spans="1:35">
      <c r="A98" s="1008">
        <v>23590</v>
      </c>
      <c r="C98" s="1008">
        <v>6</v>
      </c>
      <c r="D98" s="1009">
        <v>10399999</v>
      </c>
      <c r="E98" s="1009">
        <v>10349999</v>
      </c>
      <c r="F98" s="1007" t="s">
        <v>4864</v>
      </c>
      <c r="O98" s="1007" t="s">
        <v>648</v>
      </c>
      <c r="P98" s="1007" t="s">
        <v>648</v>
      </c>
      <c r="S98" s="1008" t="s">
        <v>650</v>
      </c>
      <c r="T98" s="1008" t="s">
        <v>21</v>
      </c>
      <c r="U98" s="1008" t="s">
        <v>649</v>
      </c>
      <c r="V98" s="1008" t="s">
        <v>648</v>
      </c>
      <c r="W98" s="1008" t="s">
        <v>546</v>
      </c>
      <c r="X98" s="1008"/>
      <c r="Y98" s="1008"/>
      <c r="Z98" s="1008"/>
      <c r="AA98" s="1008"/>
      <c r="AB98" s="1008"/>
      <c r="AC98" s="1008"/>
      <c r="AD98" s="1008"/>
      <c r="AE98" s="1008"/>
      <c r="AF98" s="1008"/>
      <c r="AG98" s="1008"/>
      <c r="AH98" s="1008"/>
      <c r="AI98" s="1008"/>
    </row>
    <row r="99" spans="1:35">
      <c r="A99" s="1008">
        <v>23591</v>
      </c>
      <c r="C99" s="1008">
        <v>6</v>
      </c>
      <c r="D99" s="1009">
        <v>10359999</v>
      </c>
      <c r="E99" s="1009">
        <v>10350000</v>
      </c>
      <c r="F99" s="1007" t="s">
        <v>4863</v>
      </c>
      <c r="O99" s="1007" t="s">
        <v>648</v>
      </c>
      <c r="P99" s="1007" t="s">
        <v>648</v>
      </c>
      <c r="S99" s="1008" t="s">
        <v>650</v>
      </c>
      <c r="T99" s="1008" t="s">
        <v>675</v>
      </c>
      <c r="U99" s="1008" t="s">
        <v>649</v>
      </c>
      <c r="V99" s="1008" t="s">
        <v>648</v>
      </c>
      <c r="W99" s="1008" t="s">
        <v>546</v>
      </c>
      <c r="X99" s="1008"/>
      <c r="Y99" s="1008"/>
      <c r="Z99" s="1008"/>
      <c r="AA99" s="1008"/>
      <c r="AB99" s="1008"/>
      <c r="AC99" s="1008"/>
      <c r="AD99" s="1008"/>
      <c r="AE99" s="1008"/>
      <c r="AF99" s="1008"/>
      <c r="AG99" s="1008"/>
      <c r="AH99" s="1008"/>
      <c r="AI99" s="1008"/>
    </row>
    <row r="100" spans="1:35">
      <c r="A100" s="1008">
        <v>23592</v>
      </c>
      <c r="B100" s="1008">
        <v>850</v>
      </c>
      <c r="C100" s="1008">
        <v>7</v>
      </c>
      <c r="D100" s="1009">
        <v>10359999</v>
      </c>
      <c r="E100" s="1009">
        <v>10350100</v>
      </c>
      <c r="F100" s="1007" t="s">
        <v>4862</v>
      </c>
      <c r="G100" s="1007">
        <v>8</v>
      </c>
      <c r="H100" s="1010">
        <v>99999999</v>
      </c>
      <c r="I100" s="1009">
        <v>10350100</v>
      </c>
      <c r="J100" s="1007" t="s">
        <v>4862</v>
      </c>
      <c r="O100" s="1007" t="s">
        <v>648</v>
      </c>
      <c r="P100" s="1007" t="s">
        <v>648</v>
      </c>
      <c r="S100" s="1008" t="s">
        <v>650</v>
      </c>
      <c r="T100" s="1008" t="s">
        <v>654</v>
      </c>
      <c r="U100" s="1008" t="s">
        <v>649</v>
      </c>
      <c r="V100" s="1008" t="s">
        <v>648</v>
      </c>
      <c r="W100" s="1008" t="s">
        <v>546</v>
      </c>
      <c r="X100" s="1008" t="s">
        <v>670</v>
      </c>
      <c r="Y100" s="1008"/>
      <c r="Z100" s="1008"/>
      <c r="AA100" s="1008"/>
      <c r="AB100" s="1008" t="s">
        <v>670</v>
      </c>
      <c r="AC100" s="1008"/>
      <c r="AD100" s="1008" t="s">
        <v>670</v>
      </c>
      <c r="AE100" s="1008"/>
      <c r="AF100" s="1008"/>
      <c r="AG100" s="1008"/>
      <c r="AH100" s="1008"/>
      <c r="AI100" s="1008"/>
    </row>
    <row r="101" spans="1:35">
      <c r="A101" s="1008">
        <v>23593</v>
      </c>
      <c r="B101" s="1008">
        <v>1260</v>
      </c>
      <c r="C101" s="1008">
        <v>7</v>
      </c>
      <c r="D101" s="1009">
        <v>10359999</v>
      </c>
      <c r="E101" s="1009">
        <v>10350200</v>
      </c>
      <c r="F101" s="1007" t="s">
        <v>4861</v>
      </c>
      <c r="G101" s="1007">
        <v>8</v>
      </c>
      <c r="H101" s="1010">
        <v>99999999</v>
      </c>
      <c r="I101" s="1009">
        <v>10350200</v>
      </c>
      <c r="J101" s="1007" t="s">
        <v>4861</v>
      </c>
      <c r="O101" s="1007" t="s">
        <v>648</v>
      </c>
      <c r="P101" s="1007" t="s">
        <v>648</v>
      </c>
      <c r="S101" s="1008" t="s">
        <v>650</v>
      </c>
      <c r="T101" s="1008" t="s">
        <v>654</v>
      </c>
      <c r="U101" s="1008" t="s">
        <v>649</v>
      </c>
      <c r="V101" s="1008" t="s">
        <v>648</v>
      </c>
      <c r="W101" s="1008" t="s">
        <v>546</v>
      </c>
      <c r="X101" s="1008" t="s">
        <v>670</v>
      </c>
      <c r="Y101" s="1008"/>
      <c r="Z101" s="1008"/>
      <c r="AA101" s="1008"/>
      <c r="AB101" s="1008"/>
      <c r="AC101" s="1008"/>
      <c r="AD101" s="1008" t="s">
        <v>670</v>
      </c>
      <c r="AE101" s="1008"/>
      <c r="AF101" s="1008"/>
      <c r="AG101" s="1008"/>
      <c r="AH101" s="1008"/>
      <c r="AI101" s="1008"/>
    </row>
    <row r="102" spans="1:35">
      <c r="A102" s="1008">
        <v>23594</v>
      </c>
      <c r="B102" s="1008">
        <v>1261</v>
      </c>
      <c r="C102" s="1008">
        <v>7</v>
      </c>
      <c r="D102" s="1009">
        <v>10359999</v>
      </c>
      <c r="E102" s="1009">
        <v>10350300</v>
      </c>
      <c r="F102" s="1007" t="s">
        <v>4860</v>
      </c>
      <c r="G102" s="1007">
        <v>8</v>
      </c>
      <c r="H102" s="1010">
        <v>99999999</v>
      </c>
      <c r="I102" s="1009">
        <v>10350300</v>
      </c>
      <c r="J102" s="1007" t="s">
        <v>4860</v>
      </c>
      <c r="O102" s="1007" t="s">
        <v>648</v>
      </c>
      <c r="P102" s="1007" t="s">
        <v>648</v>
      </c>
      <c r="S102" s="1008" t="s">
        <v>650</v>
      </c>
      <c r="T102" s="1008" t="s">
        <v>654</v>
      </c>
      <c r="U102" s="1008" t="s">
        <v>649</v>
      </c>
      <c r="V102" s="1008" t="s">
        <v>648</v>
      </c>
      <c r="W102" s="1008" t="s">
        <v>546</v>
      </c>
      <c r="X102" s="1008" t="s">
        <v>670</v>
      </c>
      <c r="Y102" s="1008"/>
      <c r="Z102" s="1008"/>
      <c r="AA102" s="1008"/>
      <c r="AB102" s="1008"/>
      <c r="AC102" s="1008"/>
      <c r="AD102" s="1008" t="s">
        <v>670</v>
      </c>
      <c r="AE102" s="1008"/>
      <c r="AF102" s="1008"/>
      <c r="AG102" s="1008"/>
      <c r="AH102" s="1008"/>
      <c r="AI102" s="1008"/>
    </row>
    <row r="103" spans="1:35">
      <c r="A103" s="1008">
        <v>23595</v>
      </c>
      <c r="B103" s="1008">
        <v>1262</v>
      </c>
      <c r="C103" s="1008">
        <v>7</v>
      </c>
      <c r="D103" s="1009">
        <v>10359999</v>
      </c>
      <c r="E103" s="1009">
        <v>10350400</v>
      </c>
      <c r="F103" s="1007" t="s">
        <v>4859</v>
      </c>
      <c r="G103" s="1007">
        <v>8</v>
      </c>
      <c r="H103" s="1010">
        <v>99999999</v>
      </c>
      <c r="I103" s="1009">
        <v>10350400</v>
      </c>
      <c r="J103" s="1007" t="s">
        <v>4859</v>
      </c>
      <c r="O103" s="1007" t="s">
        <v>648</v>
      </c>
      <c r="P103" s="1007" t="s">
        <v>648</v>
      </c>
      <c r="S103" s="1008" t="s">
        <v>650</v>
      </c>
      <c r="T103" s="1008" t="s">
        <v>654</v>
      </c>
      <c r="U103" s="1008" t="s">
        <v>649</v>
      </c>
      <c r="V103" s="1008" t="s">
        <v>648</v>
      </c>
      <c r="W103" s="1008" t="s">
        <v>546</v>
      </c>
      <c r="X103" s="1008" t="s">
        <v>670</v>
      </c>
      <c r="Y103" s="1008"/>
      <c r="Z103" s="1008"/>
      <c r="AA103" s="1008"/>
      <c r="AB103" s="1008"/>
      <c r="AC103" s="1008"/>
      <c r="AD103" s="1008" t="s">
        <v>670</v>
      </c>
      <c r="AE103" s="1008"/>
      <c r="AF103" s="1008"/>
      <c r="AG103" s="1008"/>
      <c r="AH103" s="1008"/>
      <c r="AI103" s="1008"/>
    </row>
    <row r="104" spans="1:35">
      <c r="A104" s="1008">
        <v>23596</v>
      </c>
      <c r="B104" s="1008">
        <v>1263</v>
      </c>
      <c r="C104" s="1008">
        <v>7</v>
      </c>
      <c r="D104" s="1009">
        <v>10359999</v>
      </c>
      <c r="E104" s="1009">
        <v>10350500</v>
      </c>
      <c r="F104" s="1007" t="s">
        <v>4858</v>
      </c>
      <c r="G104" s="1007">
        <v>8</v>
      </c>
      <c r="H104" s="1010">
        <v>99999999</v>
      </c>
      <c r="I104" s="1009">
        <v>10350500</v>
      </c>
      <c r="J104" s="1007" t="s">
        <v>4858</v>
      </c>
      <c r="O104" s="1007" t="s">
        <v>648</v>
      </c>
      <c r="P104" s="1007" t="s">
        <v>648</v>
      </c>
      <c r="S104" s="1008" t="s">
        <v>650</v>
      </c>
      <c r="T104" s="1008" t="s">
        <v>654</v>
      </c>
      <c r="U104" s="1008" t="s">
        <v>649</v>
      </c>
      <c r="V104" s="1008" t="s">
        <v>648</v>
      </c>
      <c r="W104" s="1008" t="s">
        <v>546</v>
      </c>
      <c r="X104" s="1008" t="s">
        <v>670</v>
      </c>
      <c r="Y104" s="1008"/>
      <c r="Z104" s="1008"/>
      <c r="AA104" s="1008"/>
      <c r="AB104" s="1008"/>
      <c r="AC104" s="1008"/>
      <c r="AD104" s="1008" t="s">
        <v>670</v>
      </c>
      <c r="AE104" s="1008"/>
      <c r="AF104" s="1008"/>
      <c r="AG104" s="1008"/>
      <c r="AH104" s="1008"/>
      <c r="AI104" s="1008"/>
    </row>
    <row r="105" spans="1:35">
      <c r="A105" s="1008">
        <v>23597</v>
      </c>
      <c r="C105" s="1008">
        <v>6</v>
      </c>
      <c r="D105" s="1009">
        <v>10399999</v>
      </c>
      <c r="E105" s="1009">
        <v>10359999</v>
      </c>
      <c r="F105" s="1007" t="s">
        <v>4857</v>
      </c>
      <c r="O105" s="1007" t="s">
        <v>648</v>
      </c>
      <c r="P105" s="1007" t="s">
        <v>648</v>
      </c>
      <c r="S105" s="1008" t="s">
        <v>650</v>
      </c>
      <c r="T105" s="1008" t="s">
        <v>21</v>
      </c>
      <c r="U105" s="1008" t="s">
        <v>649</v>
      </c>
      <c r="V105" s="1008" t="s">
        <v>648</v>
      </c>
      <c r="W105" s="1008" t="s">
        <v>546</v>
      </c>
      <c r="X105" s="1008"/>
      <c r="Y105" s="1008"/>
      <c r="Z105" s="1008"/>
      <c r="AA105" s="1008"/>
      <c r="AB105" s="1008"/>
      <c r="AC105" s="1008"/>
      <c r="AD105" s="1008"/>
      <c r="AE105" s="1008"/>
      <c r="AF105" s="1008"/>
      <c r="AG105" s="1008"/>
      <c r="AH105" s="1008"/>
      <c r="AI105" s="1008"/>
    </row>
    <row r="106" spans="1:35">
      <c r="A106" s="1008">
        <v>23598</v>
      </c>
      <c r="C106" s="1008">
        <v>6</v>
      </c>
      <c r="D106" s="1009">
        <v>10369900</v>
      </c>
      <c r="E106" s="1009">
        <v>10360000</v>
      </c>
      <c r="F106" s="1007" t="s">
        <v>4856</v>
      </c>
      <c r="O106" s="1007" t="s">
        <v>648</v>
      </c>
      <c r="P106" s="1007" t="s">
        <v>648</v>
      </c>
      <c r="S106" s="1008" t="s">
        <v>650</v>
      </c>
      <c r="T106" s="1008" t="s">
        <v>675</v>
      </c>
      <c r="U106" s="1008" t="s">
        <v>649</v>
      </c>
      <c r="V106" s="1008" t="s">
        <v>648</v>
      </c>
      <c r="W106" s="1008" t="s">
        <v>546</v>
      </c>
      <c r="X106" s="1008"/>
      <c r="Y106" s="1008"/>
      <c r="Z106" s="1008"/>
      <c r="AA106" s="1008"/>
      <c r="AB106" s="1008"/>
      <c r="AC106" s="1008"/>
      <c r="AD106" s="1008"/>
      <c r="AE106" s="1008"/>
      <c r="AF106" s="1008"/>
      <c r="AG106" s="1008"/>
      <c r="AH106" s="1008"/>
      <c r="AI106" s="1008"/>
    </row>
    <row r="107" spans="1:35">
      <c r="A107" s="1008">
        <v>23599</v>
      </c>
      <c r="B107" s="1008">
        <v>495</v>
      </c>
      <c r="C107" s="1008">
        <v>7</v>
      </c>
      <c r="D107" s="1009">
        <v>10369900</v>
      </c>
      <c r="E107" s="1009">
        <v>10360100</v>
      </c>
      <c r="F107" s="1007" t="s">
        <v>4855</v>
      </c>
      <c r="G107" s="1007">
        <v>8</v>
      </c>
      <c r="H107" s="1010">
        <v>99999999</v>
      </c>
      <c r="I107" s="1009">
        <v>10360100</v>
      </c>
      <c r="J107" s="1007" t="s">
        <v>4855</v>
      </c>
      <c r="O107" s="1007" t="s">
        <v>648</v>
      </c>
      <c r="P107" s="1007" t="s">
        <v>648</v>
      </c>
      <c r="S107" s="1008" t="s">
        <v>650</v>
      </c>
      <c r="T107" s="1008" t="s">
        <v>654</v>
      </c>
      <c r="U107" s="1008" t="s">
        <v>649</v>
      </c>
      <c r="V107" s="1008" t="s">
        <v>648</v>
      </c>
      <c r="W107" s="1008" t="s">
        <v>546</v>
      </c>
      <c r="X107" s="1008" t="s">
        <v>670</v>
      </c>
      <c r="Y107" s="1008" t="s">
        <v>670</v>
      </c>
      <c r="Z107" s="1008" t="s">
        <v>670</v>
      </c>
      <c r="AA107" s="1008"/>
      <c r="AB107" s="1008" t="s">
        <v>670</v>
      </c>
      <c r="AC107" s="1008"/>
      <c r="AD107" s="1008" t="s">
        <v>670</v>
      </c>
      <c r="AE107" s="1008"/>
      <c r="AF107" s="1008" t="s">
        <v>670</v>
      </c>
      <c r="AG107" s="1008"/>
      <c r="AH107" s="1008"/>
      <c r="AI107" s="1008"/>
    </row>
    <row r="108" spans="1:35">
      <c r="A108" s="1008">
        <v>23600</v>
      </c>
      <c r="B108" s="1008">
        <v>1167</v>
      </c>
      <c r="C108" s="1008">
        <v>7</v>
      </c>
      <c r="D108" s="1009">
        <v>10369900</v>
      </c>
      <c r="E108" s="1009">
        <v>10360200</v>
      </c>
      <c r="F108" s="1007" t="s">
        <v>4854</v>
      </c>
      <c r="G108" s="1007">
        <v>8</v>
      </c>
      <c r="H108" s="1010">
        <v>99999999</v>
      </c>
      <c r="I108" s="1009">
        <v>10360200</v>
      </c>
      <c r="J108" s="1007" t="s">
        <v>4854</v>
      </c>
      <c r="O108" s="1007" t="s">
        <v>648</v>
      </c>
      <c r="P108" s="1007" t="s">
        <v>648</v>
      </c>
      <c r="S108" s="1008" t="s">
        <v>650</v>
      </c>
      <c r="T108" s="1008" t="s">
        <v>654</v>
      </c>
      <c r="U108" s="1008" t="s">
        <v>649</v>
      </c>
      <c r="V108" s="1008" t="s">
        <v>648</v>
      </c>
      <c r="W108" s="1008" t="s">
        <v>546</v>
      </c>
      <c r="X108" s="1008" t="s">
        <v>670</v>
      </c>
      <c r="Y108" s="1008" t="s">
        <v>670</v>
      </c>
      <c r="Z108" s="1008" t="s">
        <v>670</v>
      </c>
      <c r="AA108" s="1008"/>
      <c r="AB108" s="1008" t="s">
        <v>670</v>
      </c>
      <c r="AC108" s="1008"/>
      <c r="AD108" s="1008" t="s">
        <v>670</v>
      </c>
      <c r="AE108" s="1008"/>
      <c r="AF108" s="1008" t="s">
        <v>670</v>
      </c>
      <c r="AG108" s="1008"/>
      <c r="AH108" s="1008"/>
      <c r="AI108" s="1008"/>
    </row>
    <row r="109" spans="1:35">
      <c r="A109" s="1008">
        <v>23601</v>
      </c>
      <c r="B109" s="1008">
        <v>1168</v>
      </c>
      <c r="C109" s="1008">
        <v>7</v>
      </c>
      <c r="D109" s="1009">
        <v>10369900</v>
      </c>
      <c r="E109" s="1009">
        <v>10360300</v>
      </c>
      <c r="F109" s="1007" t="s">
        <v>4853</v>
      </c>
      <c r="G109" s="1007">
        <v>8</v>
      </c>
      <c r="H109" s="1010">
        <v>99999999</v>
      </c>
      <c r="I109" s="1009">
        <v>10360300</v>
      </c>
      <c r="J109" s="1007" t="s">
        <v>4853</v>
      </c>
      <c r="O109" s="1007" t="s">
        <v>648</v>
      </c>
      <c r="P109" s="1007" t="s">
        <v>648</v>
      </c>
      <c r="S109" s="1008" t="s">
        <v>650</v>
      </c>
      <c r="T109" s="1008" t="s">
        <v>654</v>
      </c>
      <c r="U109" s="1008" t="s">
        <v>649</v>
      </c>
      <c r="V109" s="1008" t="s">
        <v>648</v>
      </c>
      <c r="W109" s="1008" t="s">
        <v>546</v>
      </c>
      <c r="X109" s="1008" t="s">
        <v>670</v>
      </c>
      <c r="Y109" s="1008" t="s">
        <v>670</v>
      </c>
      <c r="Z109" s="1008" t="s">
        <v>670</v>
      </c>
      <c r="AA109" s="1008"/>
      <c r="AB109" s="1008" t="s">
        <v>670</v>
      </c>
      <c r="AC109" s="1008"/>
      <c r="AD109" s="1008" t="s">
        <v>670</v>
      </c>
      <c r="AE109" s="1008"/>
      <c r="AF109" s="1008" t="s">
        <v>670</v>
      </c>
      <c r="AG109" s="1008"/>
      <c r="AH109" s="1008"/>
      <c r="AI109" s="1008"/>
    </row>
    <row r="110" spans="1:35">
      <c r="A110" s="1008">
        <v>23602</v>
      </c>
      <c r="B110" s="1008">
        <v>1169</v>
      </c>
      <c r="C110" s="1008">
        <v>7</v>
      </c>
      <c r="D110" s="1009">
        <v>10369900</v>
      </c>
      <c r="E110" s="1009">
        <v>10360400</v>
      </c>
      <c r="F110" s="1007" t="s">
        <v>4852</v>
      </c>
      <c r="G110" s="1007">
        <v>8</v>
      </c>
      <c r="H110" s="1010">
        <v>99999999</v>
      </c>
      <c r="I110" s="1009">
        <v>10360400</v>
      </c>
      <c r="J110" s="1007" t="s">
        <v>4852</v>
      </c>
      <c r="O110" s="1007" t="s">
        <v>648</v>
      </c>
      <c r="P110" s="1007" t="s">
        <v>648</v>
      </c>
      <c r="S110" s="1008" t="s">
        <v>650</v>
      </c>
      <c r="T110" s="1008" t="s">
        <v>654</v>
      </c>
      <c r="U110" s="1008" t="s">
        <v>649</v>
      </c>
      <c r="V110" s="1008" t="s">
        <v>648</v>
      </c>
      <c r="W110" s="1008" t="s">
        <v>546</v>
      </c>
      <c r="X110" s="1008" t="s">
        <v>670</v>
      </c>
      <c r="Y110" s="1008" t="s">
        <v>670</v>
      </c>
      <c r="Z110" s="1008" t="s">
        <v>670</v>
      </c>
      <c r="AA110" s="1008"/>
      <c r="AB110" s="1008" t="s">
        <v>670</v>
      </c>
      <c r="AC110" s="1008"/>
      <c r="AD110" s="1008" t="s">
        <v>670</v>
      </c>
      <c r="AE110" s="1008"/>
      <c r="AF110" s="1008" t="s">
        <v>670</v>
      </c>
      <c r="AG110" s="1008"/>
      <c r="AH110" s="1008"/>
      <c r="AI110" s="1008"/>
    </row>
    <row r="111" spans="1:35">
      <c r="A111" s="1008">
        <v>23603</v>
      </c>
      <c r="B111" s="1008">
        <v>1170</v>
      </c>
      <c r="C111" s="1008">
        <v>7</v>
      </c>
      <c r="D111" s="1009">
        <v>10369900</v>
      </c>
      <c r="E111" s="1009">
        <v>10360500</v>
      </c>
      <c r="F111" s="1007" t="s">
        <v>4851</v>
      </c>
      <c r="G111" s="1007">
        <v>8</v>
      </c>
      <c r="H111" s="1010">
        <v>99999999</v>
      </c>
      <c r="I111" s="1009">
        <v>10360500</v>
      </c>
      <c r="J111" s="1007" t="s">
        <v>4851</v>
      </c>
      <c r="O111" s="1007" t="s">
        <v>648</v>
      </c>
      <c r="P111" s="1007" t="s">
        <v>648</v>
      </c>
      <c r="S111" s="1008" t="s">
        <v>650</v>
      </c>
      <c r="T111" s="1008" t="s">
        <v>654</v>
      </c>
      <c r="U111" s="1008" t="s">
        <v>649</v>
      </c>
      <c r="V111" s="1008" t="s">
        <v>648</v>
      </c>
      <c r="W111" s="1008" t="s">
        <v>546</v>
      </c>
      <c r="X111" s="1008" t="s">
        <v>670</v>
      </c>
      <c r="Y111" s="1008" t="s">
        <v>670</v>
      </c>
      <c r="Z111" s="1008" t="s">
        <v>670</v>
      </c>
      <c r="AA111" s="1008"/>
      <c r="AB111" s="1008" t="s">
        <v>670</v>
      </c>
      <c r="AC111" s="1008"/>
      <c r="AD111" s="1008" t="s">
        <v>670</v>
      </c>
      <c r="AE111" s="1008"/>
      <c r="AF111" s="1008" t="s">
        <v>670</v>
      </c>
      <c r="AG111" s="1008"/>
      <c r="AH111" s="1008"/>
      <c r="AI111" s="1008"/>
    </row>
    <row r="112" spans="1:35">
      <c r="A112" s="1008">
        <v>23604</v>
      </c>
      <c r="C112" s="1008">
        <v>6</v>
      </c>
      <c r="D112" s="1009">
        <v>10399999</v>
      </c>
      <c r="E112" s="1009">
        <v>10369900</v>
      </c>
      <c r="F112" s="1007" t="s">
        <v>4841</v>
      </c>
      <c r="O112" s="1007" t="s">
        <v>648</v>
      </c>
      <c r="P112" s="1007" t="s">
        <v>648</v>
      </c>
      <c r="S112" s="1008" t="s">
        <v>650</v>
      </c>
      <c r="T112" s="1008" t="s">
        <v>21</v>
      </c>
      <c r="U112" s="1008" t="s">
        <v>649</v>
      </c>
      <c r="V112" s="1008" t="s">
        <v>648</v>
      </c>
      <c r="W112" s="1008" t="s">
        <v>546</v>
      </c>
      <c r="X112" s="1008"/>
      <c r="Y112" s="1008"/>
      <c r="Z112" s="1008"/>
      <c r="AA112" s="1008"/>
      <c r="AB112" s="1008"/>
      <c r="AC112" s="1008"/>
      <c r="AD112" s="1008"/>
      <c r="AE112" s="1008"/>
      <c r="AF112" s="1008"/>
      <c r="AG112" s="1008"/>
      <c r="AH112" s="1008"/>
      <c r="AI112" s="1008"/>
    </row>
    <row r="113" spans="1:35">
      <c r="A113" s="1008">
        <v>23605</v>
      </c>
      <c r="C113" s="1008">
        <v>6</v>
      </c>
      <c r="D113" s="1009">
        <v>10379900</v>
      </c>
      <c r="E113" s="1009">
        <v>10370000</v>
      </c>
      <c r="F113" s="1007" t="s">
        <v>4850</v>
      </c>
      <c r="O113" s="1007" t="s">
        <v>648</v>
      </c>
      <c r="P113" s="1007" t="s">
        <v>648</v>
      </c>
      <c r="S113" s="1008" t="s">
        <v>650</v>
      </c>
      <c r="T113" s="1008" t="s">
        <v>675</v>
      </c>
      <c r="U113" s="1008" t="s">
        <v>649</v>
      </c>
      <c r="V113" s="1008" t="s">
        <v>648</v>
      </c>
      <c r="W113" s="1008" t="s">
        <v>546</v>
      </c>
      <c r="X113" s="1008"/>
      <c r="Y113" s="1008"/>
      <c r="Z113" s="1008"/>
      <c r="AA113" s="1008"/>
      <c r="AB113" s="1008"/>
      <c r="AC113" s="1008"/>
      <c r="AD113" s="1008"/>
      <c r="AE113" s="1008"/>
      <c r="AF113" s="1008"/>
      <c r="AG113" s="1008"/>
      <c r="AH113" s="1008"/>
      <c r="AI113" s="1008"/>
    </row>
    <row r="114" spans="1:35">
      <c r="A114" s="1008">
        <v>23606</v>
      </c>
      <c r="B114" s="1008">
        <v>499</v>
      </c>
      <c r="C114" s="1008">
        <v>7</v>
      </c>
      <c r="D114" s="1009">
        <v>10379900</v>
      </c>
      <c r="E114" s="1009">
        <v>10370100</v>
      </c>
      <c r="F114" s="1007" t="s">
        <v>4849</v>
      </c>
      <c r="G114" s="1007">
        <v>8</v>
      </c>
      <c r="H114" s="1010">
        <v>99999999</v>
      </c>
      <c r="I114" s="1009">
        <v>10370100</v>
      </c>
      <c r="J114" s="1007" t="s">
        <v>4849</v>
      </c>
      <c r="O114" s="1007" t="s">
        <v>648</v>
      </c>
      <c r="P114" s="1007" t="s">
        <v>648</v>
      </c>
      <c r="S114" s="1008" t="s">
        <v>650</v>
      </c>
      <c r="T114" s="1008" t="s">
        <v>654</v>
      </c>
      <c r="U114" s="1008" t="s">
        <v>649</v>
      </c>
      <c r="V114" s="1008" t="s">
        <v>648</v>
      </c>
      <c r="W114" s="1008" t="s">
        <v>546</v>
      </c>
      <c r="X114" s="1008" t="s">
        <v>670</v>
      </c>
      <c r="Y114" s="1008" t="s">
        <v>670</v>
      </c>
      <c r="Z114" s="1008" t="s">
        <v>670</v>
      </c>
      <c r="AA114" s="1008"/>
      <c r="AB114" s="1008" t="s">
        <v>670</v>
      </c>
      <c r="AC114" s="1008"/>
      <c r="AD114" s="1008" t="s">
        <v>670</v>
      </c>
      <c r="AE114" s="1008"/>
      <c r="AF114" s="1008" t="s">
        <v>670</v>
      </c>
      <c r="AG114" s="1008"/>
      <c r="AH114" s="1008"/>
      <c r="AI114" s="1008"/>
    </row>
    <row r="115" spans="1:35">
      <c r="A115" s="1008">
        <v>23607</v>
      </c>
      <c r="B115" s="1008">
        <v>843</v>
      </c>
      <c r="C115" s="1008">
        <v>7</v>
      </c>
      <c r="D115" s="1009">
        <v>10379900</v>
      </c>
      <c r="E115" s="1009">
        <v>10370200</v>
      </c>
      <c r="F115" s="1007" t="s">
        <v>4848</v>
      </c>
      <c r="G115" s="1007">
        <v>8</v>
      </c>
      <c r="H115" s="1010">
        <v>99999999</v>
      </c>
      <c r="I115" s="1009">
        <v>10370200</v>
      </c>
      <c r="J115" s="1007" t="s">
        <v>4848</v>
      </c>
      <c r="O115" s="1007" t="s">
        <v>648</v>
      </c>
      <c r="P115" s="1007" t="s">
        <v>648</v>
      </c>
      <c r="S115" s="1008" t="s">
        <v>650</v>
      </c>
      <c r="T115" s="1008" t="s">
        <v>654</v>
      </c>
      <c r="U115" s="1008" t="s">
        <v>649</v>
      </c>
      <c r="V115" s="1008" t="s">
        <v>648</v>
      </c>
      <c r="W115" s="1008" t="s">
        <v>546</v>
      </c>
      <c r="X115" s="1008" t="s">
        <v>670</v>
      </c>
      <c r="Y115" s="1008" t="s">
        <v>670</v>
      </c>
      <c r="Z115" s="1008" t="s">
        <v>670</v>
      </c>
      <c r="AA115" s="1008"/>
      <c r="AB115" s="1008" t="s">
        <v>670</v>
      </c>
      <c r="AC115" s="1008"/>
      <c r="AD115" s="1008" t="s">
        <v>670</v>
      </c>
      <c r="AE115" s="1008"/>
      <c r="AF115" s="1008" t="s">
        <v>670</v>
      </c>
      <c r="AG115" s="1008"/>
      <c r="AH115" s="1008"/>
      <c r="AI115" s="1008"/>
    </row>
    <row r="116" spans="1:35">
      <c r="A116" s="1008">
        <v>26499</v>
      </c>
      <c r="B116" s="1008">
        <v>1197</v>
      </c>
      <c r="C116" s="1008">
        <v>7</v>
      </c>
      <c r="D116" s="1009">
        <v>10379900</v>
      </c>
      <c r="E116" s="1009">
        <v>10370300</v>
      </c>
      <c r="F116" s="1007" t="s">
        <v>4847</v>
      </c>
      <c r="G116" s="1007">
        <v>8</v>
      </c>
      <c r="H116" s="1010">
        <v>99999999</v>
      </c>
      <c r="I116" s="1009">
        <v>10370300</v>
      </c>
      <c r="J116" s="1007" t="s">
        <v>4847</v>
      </c>
      <c r="O116" s="1007" t="s">
        <v>648</v>
      </c>
      <c r="P116" s="1007" t="s">
        <v>648</v>
      </c>
      <c r="S116" s="1008" t="s">
        <v>650</v>
      </c>
      <c r="T116" s="1008" t="s">
        <v>654</v>
      </c>
      <c r="U116" s="1008" t="s">
        <v>649</v>
      </c>
      <c r="V116" s="1008" t="s">
        <v>648</v>
      </c>
      <c r="W116" s="1008" t="s">
        <v>546</v>
      </c>
      <c r="X116" s="1008" t="s">
        <v>670</v>
      </c>
      <c r="Y116" s="1008" t="s">
        <v>670</v>
      </c>
      <c r="Z116" s="1008" t="s">
        <v>670</v>
      </c>
      <c r="AA116" s="1008"/>
      <c r="AB116" s="1008" t="s">
        <v>670</v>
      </c>
      <c r="AC116" s="1008"/>
      <c r="AD116" s="1008" t="s">
        <v>670</v>
      </c>
      <c r="AE116" s="1008"/>
      <c r="AF116" s="1008" t="s">
        <v>670</v>
      </c>
      <c r="AG116" s="1008"/>
      <c r="AH116" s="1008"/>
      <c r="AI116" s="1008"/>
    </row>
    <row r="117" spans="1:35">
      <c r="A117" s="1008">
        <v>26500</v>
      </c>
      <c r="B117" s="1008">
        <v>1198</v>
      </c>
      <c r="C117" s="1008">
        <v>7</v>
      </c>
      <c r="D117" s="1009">
        <v>10379900</v>
      </c>
      <c r="E117" s="1009">
        <v>10370400</v>
      </c>
      <c r="F117" s="1007" t="s">
        <v>4846</v>
      </c>
      <c r="G117" s="1007">
        <v>8</v>
      </c>
      <c r="H117" s="1010">
        <v>99999999</v>
      </c>
      <c r="I117" s="1009">
        <v>10370400</v>
      </c>
      <c r="J117" s="1007" t="s">
        <v>4846</v>
      </c>
      <c r="O117" s="1007" t="s">
        <v>648</v>
      </c>
      <c r="P117" s="1007" t="s">
        <v>648</v>
      </c>
      <c r="S117" s="1008" t="s">
        <v>650</v>
      </c>
      <c r="T117" s="1008" t="s">
        <v>654</v>
      </c>
      <c r="U117" s="1008" t="s">
        <v>649</v>
      </c>
      <c r="V117" s="1008" t="s">
        <v>648</v>
      </c>
      <c r="W117" s="1008" t="s">
        <v>546</v>
      </c>
      <c r="X117" s="1008" t="s">
        <v>670</v>
      </c>
      <c r="Y117" s="1008" t="s">
        <v>670</v>
      </c>
      <c r="Z117" s="1008" t="s">
        <v>670</v>
      </c>
      <c r="AA117" s="1008"/>
      <c r="AB117" s="1008" t="s">
        <v>670</v>
      </c>
      <c r="AC117" s="1008"/>
      <c r="AD117" s="1008" t="s">
        <v>670</v>
      </c>
      <c r="AE117" s="1008"/>
      <c r="AF117" s="1008" t="s">
        <v>670</v>
      </c>
      <c r="AG117" s="1008"/>
      <c r="AH117" s="1008"/>
      <c r="AI117" s="1008"/>
    </row>
    <row r="118" spans="1:35">
      <c r="A118" s="1008">
        <v>23608</v>
      </c>
      <c r="B118" s="1008">
        <v>1199</v>
      </c>
      <c r="C118" s="1008">
        <v>7</v>
      </c>
      <c r="D118" s="1009">
        <v>10379900</v>
      </c>
      <c r="E118" s="1009">
        <v>10370500</v>
      </c>
      <c r="F118" s="1007" t="s">
        <v>4845</v>
      </c>
      <c r="G118" s="1007">
        <v>8</v>
      </c>
      <c r="H118" s="1010">
        <v>99999999</v>
      </c>
      <c r="I118" s="1009">
        <v>10370500</v>
      </c>
      <c r="J118" s="1007" t="s">
        <v>4845</v>
      </c>
      <c r="O118" s="1007" t="s">
        <v>648</v>
      </c>
      <c r="P118" s="1007" t="s">
        <v>648</v>
      </c>
      <c r="S118" s="1008" t="s">
        <v>650</v>
      </c>
      <c r="T118" s="1008" t="s">
        <v>654</v>
      </c>
      <c r="U118" s="1008" t="s">
        <v>649</v>
      </c>
      <c r="V118" s="1008" t="s">
        <v>648</v>
      </c>
      <c r="W118" s="1008" t="s">
        <v>546</v>
      </c>
      <c r="X118" s="1008" t="s">
        <v>670</v>
      </c>
      <c r="Y118" s="1008" t="s">
        <v>670</v>
      </c>
      <c r="Z118" s="1008" t="s">
        <v>670</v>
      </c>
      <c r="AA118" s="1008"/>
      <c r="AB118" s="1008" t="s">
        <v>670</v>
      </c>
      <c r="AC118" s="1008"/>
      <c r="AD118" s="1008" t="s">
        <v>670</v>
      </c>
      <c r="AE118" s="1008"/>
      <c r="AF118" s="1008" t="s">
        <v>670</v>
      </c>
      <c r="AG118" s="1008"/>
      <c r="AH118" s="1008"/>
      <c r="AI118" s="1008"/>
    </row>
    <row r="119" spans="1:35">
      <c r="A119" s="1008">
        <v>23609</v>
      </c>
      <c r="B119" s="1008">
        <v>1200</v>
      </c>
      <c r="C119" s="1008">
        <v>7</v>
      </c>
      <c r="D119" s="1009">
        <v>10379900</v>
      </c>
      <c r="E119" s="1009">
        <v>10370600</v>
      </c>
      <c r="F119" s="1007" t="s">
        <v>4844</v>
      </c>
      <c r="G119" s="1007">
        <v>8</v>
      </c>
      <c r="H119" s="1010">
        <v>99999999</v>
      </c>
      <c r="I119" s="1009">
        <v>10370600</v>
      </c>
      <c r="J119" s="1007" t="s">
        <v>4844</v>
      </c>
      <c r="O119" s="1007" t="s">
        <v>648</v>
      </c>
      <c r="P119" s="1007" t="s">
        <v>648</v>
      </c>
      <c r="S119" s="1008" t="s">
        <v>650</v>
      </c>
      <c r="T119" s="1008" t="s">
        <v>654</v>
      </c>
      <c r="U119" s="1008" t="s">
        <v>649</v>
      </c>
      <c r="V119" s="1008" t="s">
        <v>648</v>
      </c>
      <c r="W119" s="1008" t="s">
        <v>546</v>
      </c>
      <c r="X119" s="1008" t="s">
        <v>670</v>
      </c>
      <c r="Y119" s="1008" t="s">
        <v>670</v>
      </c>
      <c r="Z119" s="1008" t="s">
        <v>670</v>
      </c>
      <c r="AA119" s="1008"/>
      <c r="AB119" s="1008" t="s">
        <v>670</v>
      </c>
      <c r="AC119" s="1008"/>
      <c r="AD119" s="1008" t="s">
        <v>670</v>
      </c>
      <c r="AE119" s="1008"/>
      <c r="AF119" s="1008" t="s">
        <v>670</v>
      </c>
      <c r="AG119" s="1008"/>
      <c r="AH119" s="1008"/>
      <c r="AI119" s="1008"/>
    </row>
    <row r="120" spans="1:35">
      <c r="A120" s="1008">
        <v>23610</v>
      </c>
      <c r="B120" s="1008">
        <v>1201</v>
      </c>
      <c r="C120" s="1008">
        <v>7</v>
      </c>
      <c r="D120" s="1009">
        <v>10379900</v>
      </c>
      <c r="E120" s="1009">
        <v>10370700</v>
      </c>
      <c r="F120" s="1007" t="s">
        <v>4843</v>
      </c>
      <c r="G120" s="1007">
        <v>8</v>
      </c>
      <c r="H120" s="1010">
        <v>99999999</v>
      </c>
      <c r="I120" s="1009">
        <v>10370700</v>
      </c>
      <c r="J120" s="1007" t="s">
        <v>4842</v>
      </c>
      <c r="O120" s="1007" t="s">
        <v>648</v>
      </c>
      <c r="P120" s="1007" t="s">
        <v>648</v>
      </c>
      <c r="S120" s="1008" t="s">
        <v>650</v>
      </c>
      <c r="T120" s="1008" t="s">
        <v>654</v>
      </c>
      <c r="U120" s="1008" t="s">
        <v>649</v>
      </c>
      <c r="V120" s="1008" t="s">
        <v>648</v>
      </c>
      <c r="W120" s="1008" t="s">
        <v>546</v>
      </c>
      <c r="X120" s="1008" t="s">
        <v>670</v>
      </c>
      <c r="Y120" s="1008" t="s">
        <v>670</v>
      </c>
      <c r="Z120" s="1008" t="s">
        <v>670</v>
      </c>
      <c r="AA120" s="1008"/>
      <c r="AB120" s="1008" t="s">
        <v>670</v>
      </c>
      <c r="AC120" s="1008"/>
      <c r="AD120" s="1008" t="s">
        <v>670</v>
      </c>
      <c r="AE120" s="1008"/>
      <c r="AF120" s="1008" t="s">
        <v>670</v>
      </c>
      <c r="AG120" s="1008"/>
      <c r="AH120" s="1008"/>
      <c r="AI120" s="1008"/>
    </row>
    <row r="121" spans="1:35">
      <c r="A121" s="1008">
        <v>23611</v>
      </c>
      <c r="C121" s="1008">
        <v>6</v>
      </c>
      <c r="D121" s="1009">
        <v>10399999</v>
      </c>
      <c r="E121" s="1009">
        <v>10379900</v>
      </c>
      <c r="F121" s="1007" t="s">
        <v>4841</v>
      </c>
      <c r="O121" s="1007" t="s">
        <v>648</v>
      </c>
      <c r="P121" s="1007" t="s">
        <v>648</v>
      </c>
      <c r="S121" s="1008" t="s">
        <v>650</v>
      </c>
      <c r="T121" s="1008" t="s">
        <v>21</v>
      </c>
      <c r="U121" s="1008" t="s">
        <v>649</v>
      </c>
      <c r="V121" s="1008" t="s">
        <v>648</v>
      </c>
      <c r="W121" s="1008" t="s">
        <v>546</v>
      </c>
      <c r="X121" s="1008"/>
      <c r="Y121" s="1008"/>
      <c r="Z121" s="1008"/>
      <c r="AA121" s="1008"/>
      <c r="AB121" s="1008"/>
      <c r="AC121" s="1008"/>
      <c r="AD121" s="1008"/>
      <c r="AE121" s="1008"/>
      <c r="AF121" s="1008"/>
      <c r="AG121" s="1008"/>
      <c r="AH121" s="1008"/>
      <c r="AI121" s="1008"/>
    </row>
    <row r="122" spans="1:35">
      <c r="A122" s="1008">
        <v>23612</v>
      </c>
      <c r="C122" s="1008">
        <v>5</v>
      </c>
      <c r="D122" s="1009">
        <v>10799999</v>
      </c>
      <c r="E122" s="1009">
        <v>10399999</v>
      </c>
      <c r="F122" s="1007" t="s">
        <v>4840</v>
      </c>
      <c r="O122" s="1007" t="s">
        <v>648</v>
      </c>
      <c r="P122" s="1007" t="s">
        <v>648</v>
      </c>
      <c r="S122" s="1008" t="s">
        <v>650</v>
      </c>
      <c r="T122" s="1008" t="s">
        <v>21</v>
      </c>
      <c r="U122" s="1008" t="s">
        <v>649</v>
      </c>
      <c r="V122" s="1008" t="s">
        <v>648</v>
      </c>
      <c r="W122" s="1008" t="s">
        <v>546</v>
      </c>
      <c r="X122" s="1008"/>
      <c r="Y122" s="1008"/>
      <c r="Z122" s="1008"/>
      <c r="AA122" s="1008"/>
      <c r="AB122" s="1008"/>
      <c r="AC122" s="1008"/>
      <c r="AD122" s="1008"/>
      <c r="AE122" s="1008"/>
      <c r="AF122" s="1008"/>
      <c r="AG122" s="1008"/>
      <c r="AH122" s="1008"/>
      <c r="AI122" s="1008"/>
    </row>
    <row r="123" spans="1:35">
      <c r="A123" s="1008">
        <v>23613</v>
      </c>
      <c r="C123" s="1008">
        <v>5</v>
      </c>
      <c r="D123" s="1009">
        <v>10449999</v>
      </c>
      <c r="E123" s="1009">
        <v>10400000</v>
      </c>
      <c r="F123" s="1007" t="s">
        <v>4839</v>
      </c>
      <c r="O123" s="1007" t="s">
        <v>648</v>
      </c>
      <c r="P123" s="1007" t="s">
        <v>648</v>
      </c>
      <c r="S123" s="1008" t="s">
        <v>650</v>
      </c>
      <c r="T123" s="1008" t="s">
        <v>675</v>
      </c>
      <c r="U123" s="1008" t="s">
        <v>649</v>
      </c>
      <c r="V123" s="1008" t="s">
        <v>648</v>
      </c>
      <c r="W123" s="1008" t="s">
        <v>546</v>
      </c>
      <c r="X123" s="1008"/>
      <c r="Y123" s="1008"/>
      <c r="Z123" s="1008"/>
      <c r="AA123" s="1008"/>
      <c r="AB123" s="1008"/>
      <c r="AC123" s="1008"/>
      <c r="AD123" s="1008"/>
      <c r="AE123" s="1008"/>
      <c r="AF123" s="1008"/>
      <c r="AG123" s="1008"/>
      <c r="AH123" s="1008"/>
      <c r="AI123" s="1008"/>
    </row>
    <row r="124" spans="1:35">
      <c r="A124" s="1008">
        <v>23614</v>
      </c>
      <c r="C124" s="1008">
        <v>6</v>
      </c>
      <c r="D124" s="1009">
        <v>10419999</v>
      </c>
      <c r="E124" s="1009">
        <v>10410000</v>
      </c>
      <c r="F124" s="1007" t="s">
        <v>4838</v>
      </c>
      <c r="O124" s="1007" t="s">
        <v>648</v>
      </c>
      <c r="P124" s="1007" t="s">
        <v>648</v>
      </c>
      <c r="S124" s="1008" t="s">
        <v>650</v>
      </c>
      <c r="T124" s="1008" t="s">
        <v>675</v>
      </c>
      <c r="U124" s="1008" t="s">
        <v>649</v>
      </c>
      <c r="V124" s="1008" t="s">
        <v>648</v>
      </c>
      <c r="W124" s="1008" t="s">
        <v>546</v>
      </c>
      <c r="X124" s="1008"/>
      <c r="Y124" s="1008"/>
      <c r="Z124" s="1008"/>
      <c r="AA124" s="1008"/>
      <c r="AB124" s="1008"/>
      <c r="AC124" s="1008"/>
      <c r="AD124" s="1008"/>
      <c r="AE124" s="1008"/>
      <c r="AF124" s="1008"/>
      <c r="AG124" s="1008"/>
      <c r="AH124" s="1008"/>
      <c r="AI124" s="1008"/>
    </row>
    <row r="125" spans="1:35">
      <c r="A125" s="1008">
        <v>23615</v>
      </c>
      <c r="B125" s="1008">
        <v>497</v>
      </c>
      <c r="C125" s="1008">
        <v>7</v>
      </c>
      <c r="D125" s="1009">
        <v>10419999</v>
      </c>
      <c r="E125" s="1009">
        <v>10410100</v>
      </c>
      <c r="F125" s="1007" t="s">
        <v>4837</v>
      </c>
      <c r="G125" s="1007">
        <v>8</v>
      </c>
      <c r="H125" s="1010">
        <v>99999999</v>
      </c>
      <c r="I125" s="1009">
        <v>10410100</v>
      </c>
      <c r="J125" s="1007" t="s">
        <v>4837</v>
      </c>
      <c r="O125" s="1007" t="s">
        <v>648</v>
      </c>
      <c r="P125" s="1007" t="s">
        <v>648</v>
      </c>
      <c r="S125" s="1008" t="s">
        <v>650</v>
      </c>
      <c r="T125" s="1008" t="s">
        <v>654</v>
      </c>
      <c r="U125" s="1008" t="s">
        <v>649</v>
      </c>
      <c r="V125" s="1008" t="s">
        <v>648</v>
      </c>
      <c r="W125" s="1008" t="s">
        <v>546</v>
      </c>
      <c r="X125" s="1008" t="s">
        <v>670</v>
      </c>
      <c r="Y125" s="1008" t="s">
        <v>670</v>
      </c>
      <c r="Z125" s="1008" t="s">
        <v>670</v>
      </c>
      <c r="AA125" s="1008"/>
      <c r="AB125" s="1008" t="s">
        <v>670</v>
      </c>
      <c r="AC125" s="1008"/>
      <c r="AD125" s="1008" t="s">
        <v>670</v>
      </c>
      <c r="AE125" s="1008"/>
      <c r="AF125" s="1008" t="s">
        <v>670</v>
      </c>
      <c r="AG125" s="1008"/>
      <c r="AH125" s="1008"/>
      <c r="AI125" s="1008"/>
    </row>
    <row r="126" spans="1:35">
      <c r="A126" s="1008">
        <v>23616</v>
      </c>
      <c r="B126" s="1008">
        <v>1202</v>
      </c>
      <c r="C126" s="1008">
        <v>7</v>
      </c>
      <c r="D126" s="1009">
        <v>10419999</v>
      </c>
      <c r="E126" s="1009">
        <v>10410200</v>
      </c>
      <c r="F126" s="1007" t="s">
        <v>4836</v>
      </c>
      <c r="G126" s="1007">
        <v>8</v>
      </c>
      <c r="H126" s="1010">
        <v>99999999</v>
      </c>
      <c r="I126" s="1009">
        <v>10410200</v>
      </c>
      <c r="J126" s="1007" t="s">
        <v>4836</v>
      </c>
      <c r="O126" s="1007" t="s">
        <v>648</v>
      </c>
      <c r="P126" s="1007" t="s">
        <v>648</v>
      </c>
      <c r="S126" s="1008" t="s">
        <v>650</v>
      </c>
      <c r="T126" s="1008" t="s">
        <v>654</v>
      </c>
      <c r="U126" s="1008" t="s">
        <v>649</v>
      </c>
      <c r="V126" s="1008" t="s">
        <v>648</v>
      </c>
      <c r="W126" s="1008" t="s">
        <v>546</v>
      </c>
      <c r="X126" s="1008" t="s">
        <v>670</v>
      </c>
      <c r="Y126" s="1008" t="s">
        <v>670</v>
      </c>
      <c r="Z126" s="1008" t="s">
        <v>670</v>
      </c>
      <c r="AA126" s="1008"/>
      <c r="AB126" s="1008" t="s">
        <v>670</v>
      </c>
      <c r="AC126" s="1008"/>
      <c r="AD126" s="1008" t="s">
        <v>670</v>
      </c>
      <c r="AE126" s="1008"/>
      <c r="AF126" s="1008" t="s">
        <v>670</v>
      </c>
      <c r="AG126" s="1008"/>
      <c r="AH126" s="1008"/>
      <c r="AI126" s="1008"/>
    </row>
    <row r="127" spans="1:35">
      <c r="A127" s="1008">
        <v>23617</v>
      </c>
      <c r="B127" s="1008">
        <v>1203</v>
      </c>
      <c r="C127" s="1008">
        <v>7</v>
      </c>
      <c r="D127" s="1009">
        <v>10419999</v>
      </c>
      <c r="E127" s="1009">
        <v>10410300</v>
      </c>
      <c r="F127" s="1007" t="s">
        <v>4835</v>
      </c>
      <c r="G127" s="1007">
        <v>8</v>
      </c>
      <c r="H127" s="1010">
        <v>99999999</v>
      </c>
      <c r="I127" s="1009">
        <v>10410300</v>
      </c>
      <c r="J127" s="1007" t="s">
        <v>4835</v>
      </c>
      <c r="O127" s="1007" t="s">
        <v>648</v>
      </c>
      <c r="P127" s="1007" t="s">
        <v>648</v>
      </c>
      <c r="S127" s="1008" t="s">
        <v>650</v>
      </c>
      <c r="T127" s="1008" t="s">
        <v>654</v>
      </c>
      <c r="U127" s="1008" t="s">
        <v>649</v>
      </c>
      <c r="V127" s="1008" t="s">
        <v>648</v>
      </c>
      <c r="W127" s="1008" t="s">
        <v>546</v>
      </c>
      <c r="X127" s="1008" t="s">
        <v>670</v>
      </c>
      <c r="Y127" s="1008" t="s">
        <v>670</v>
      </c>
      <c r="Z127" s="1008" t="s">
        <v>670</v>
      </c>
      <c r="AA127" s="1008"/>
      <c r="AB127" s="1008" t="s">
        <v>670</v>
      </c>
      <c r="AC127" s="1008"/>
      <c r="AD127" s="1008" t="s">
        <v>670</v>
      </c>
      <c r="AE127" s="1008"/>
      <c r="AF127" s="1008" t="s">
        <v>670</v>
      </c>
      <c r="AG127" s="1008"/>
      <c r="AH127" s="1008"/>
      <c r="AI127" s="1008"/>
    </row>
    <row r="128" spans="1:35">
      <c r="A128" s="1008">
        <v>23618</v>
      </c>
      <c r="B128" s="1008">
        <v>1204</v>
      </c>
      <c r="C128" s="1008">
        <v>7</v>
      </c>
      <c r="D128" s="1009">
        <v>10419999</v>
      </c>
      <c r="E128" s="1009">
        <v>10410400</v>
      </c>
      <c r="F128" s="1007" t="s">
        <v>4834</v>
      </c>
      <c r="G128" s="1007">
        <v>8</v>
      </c>
      <c r="H128" s="1010">
        <v>99999999</v>
      </c>
      <c r="I128" s="1009">
        <v>10410400</v>
      </c>
      <c r="J128" s="1007" t="s">
        <v>4834</v>
      </c>
      <c r="O128" s="1007" t="s">
        <v>648</v>
      </c>
      <c r="P128" s="1007" t="s">
        <v>648</v>
      </c>
      <c r="S128" s="1008" t="s">
        <v>650</v>
      </c>
      <c r="T128" s="1008" t="s">
        <v>654</v>
      </c>
      <c r="U128" s="1008" t="s">
        <v>649</v>
      </c>
      <c r="V128" s="1008" t="s">
        <v>648</v>
      </c>
      <c r="W128" s="1008" t="s">
        <v>546</v>
      </c>
      <c r="X128" s="1008" t="s">
        <v>670</v>
      </c>
      <c r="Y128" s="1008" t="s">
        <v>670</v>
      </c>
      <c r="Z128" s="1008" t="s">
        <v>670</v>
      </c>
      <c r="AA128" s="1008"/>
      <c r="AB128" s="1008" t="s">
        <v>670</v>
      </c>
      <c r="AC128" s="1008"/>
      <c r="AD128" s="1008" t="s">
        <v>670</v>
      </c>
      <c r="AE128" s="1008"/>
      <c r="AF128" s="1008" t="s">
        <v>670</v>
      </c>
      <c r="AG128" s="1008"/>
      <c r="AH128" s="1008"/>
      <c r="AI128" s="1008"/>
    </row>
    <row r="129" spans="1:35">
      <c r="A129" s="1008">
        <v>23619</v>
      </c>
      <c r="B129" s="1008">
        <v>1205</v>
      </c>
      <c r="C129" s="1008">
        <v>7</v>
      </c>
      <c r="D129" s="1009">
        <v>10419999</v>
      </c>
      <c r="E129" s="1009">
        <v>10410500</v>
      </c>
      <c r="F129" s="1007" t="s">
        <v>4833</v>
      </c>
      <c r="G129" s="1007">
        <v>8</v>
      </c>
      <c r="H129" s="1010">
        <v>99999999</v>
      </c>
      <c r="I129" s="1009">
        <v>10410500</v>
      </c>
      <c r="J129" s="1007" t="s">
        <v>4833</v>
      </c>
      <c r="O129" s="1007" t="s">
        <v>648</v>
      </c>
      <c r="P129" s="1007" t="s">
        <v>648</v>
      </c>
      <c r="S129" s="1008" t="s">
        <v>650</v>
      </c>
      <c r="T129" s="1008" t="s">
        <v>654</v>
      </c>
      <c r="U129" s="1008" t="s">
        <v>649</v>
      </c>
      <c r="V129" s="1008" t="s">
        <v>648</v>
      </c>
      <c r="W129" s="1008" t="s">
        <v>546</v>
      </c>
      <c r="X129" s="1008" t="s">
        <v>670</v>
      </c>
      <c r="Y129" s="1008" t="s">
        <v>670</v>
      </c>
      <c r="Z129" s="1008" t="s">
        <v>670</v>
      </c>
      <c r="AA129" s="1008"/>
      <c r="AB129" s="1008" t="s">
        <v>670</v>
      </c>
      <c r="AC129" s="1008"/>
      <c r="AD129" s="1008" t="s">
        <v>670</v>
      </c>
      <c r="AE129" s="1008"/>
      <c r="AF129" s="1008" t="s">
        <v>670</v>
      </c>
      <c r="AG129" s="1008"/>
      <c r="AH129" s="1008"/>
      <c r="AI129" s="1008"/>
    </row>
    <row r="130" spans="1:35">
      <c r="A130" s="1008">
        <v>23620</v>
      </c>
      <c r="C130" s="1008">
        <v>6</v>
      </c>
      <c r="D130" s="1009">
        <v>10449999</v>
      </c>
      <c r="E130" s="1009">
        <v>10419999</v>
      </c>
      <c r="F130" s="1007" t="s">
        <v>4832</v>
      </c>
      <c r="O130" s="1007" t="s">
        <v>648</v>
      </c>
      <c r="P130" s="1007" t="s">
        <v>648</v>
      </c>
      <c r="S130" s="1008" t="s">
        <v>650</v>
      </c>
      <c r="T130" s="1008" t="s">
        <v>21</v>
      </c>
      <c r="U130" s="1008" t="s">
        <v>649</v>
      </c>
      <c r="V130" s="1008" t="s">
        <v>648</v>
      </c>
      <c r="W130" s="1008" t="s">
        <v>546</v>
      </c>
      <c r="X130" s="1008"/>
      <c r="Y130" s="1008"/>
      <c r="Z130" s="1008"/>
      <c r="AA130" s="1008"/>
      <c r="AB130" s="1008"/>
      <c r="AC130" s="1008"/>
      <c r="AD130" s="1008"/>
      <c r="AE130" s="1008"/>
      <c r="AF130" s="1008"/>
      <c r="AG130" s="1008"/>
      <c r="AH130" s="1008"/>
      <c r="AI130" s="1008"/>
    </row>
    <row r="131" spans="1:35">
      <c r="A131" s="1008">
        <v>23621</v>
      </c>
      <c r="C131" s="1008">
        <v>6</v>
      </c>
      <c r="D131" s="1009">
        <v>10429999</v>
      </c>
      <c r="E131" s="1009">
        <v>10420000</v>
      </c>
      <c r="F131" s="1007" t="s">
        <v>4831</v>
      </c>
      <c r="O131" s="1007" t="s">
        <v>648</v>
      </c>
      <c r="P131" s="1007" t="s">
        <v>648</v>
      </c>
      <c r="S131" s="1008" t="s">
        <v>650</v>
      </c>
      <c r="T131" s="1008" t="s">
        <v>675</v>
      </c>
      <c r="U131" s="1008" t="s">
        <v>649</v>
      </c>
      <c r="V131" s="1008" t="s">
        <v>648</v>
      </c>
      <c r="W131" s="1008" t="s">
        <v>546</v>
      </c>
      <c r="X131" s="1008"/>
      <c r="Y131" s="1008"/>
      <c r="Z131" s="1008"/>
      <c r="AA131" s="1008"/>
      <c r="AB131" s="1008"/>
      <c r="AC131" s="1008"/>
      <c r="AD131" s="1008"/>
      <c r="AE131" s="1008"/>
      <c r="AF131" s="1008"/>
      <c r="AG131" s="1008"/>
      <c r="AH131" s="1008"/>
      <c r="AI131" s="1008"/>
    </row>
    <row r="132" spans="1:35">
      <c r="A132" s="1008">
        <v>23622</v>
      </c>
      <c r="B132" s="1008">
        <v>496</v>
      </c>
      <c r="C132" s="1008">
        <v>7</v>
      </c>
      <c r="D132" s="1009">
        <v>10429999</v>
      </c>
      <c r="E132" s="1009">
        <v>10420100</v>
      </c>
      <c r="F132" s="1007" t="s">
        <v>4830</v>
      </c>
      <c r="G132" s="1007">
        <v>8</v>
      </c>
      <c r="H132" s="1010">
        <v>99999999</v>
      </c>
      <c r="I132" s="1009">
        <v>10420100</v>
      </c>
      <c r="J132" s="1007" t="s">
        <v>4830</v>
      </c>
      <c r="O132" s="1007" t="s">
        <v>648</v>
      </c>
      <c r="P132" s="1007" t="s">
        <v>648</v>
      </c>
      <c r="S132" s="1008" t="s">
        <v>650</v>
      </c>
      <c r="T132" s="1008" t="s">
        <v>654</v>
      </c>
      <c r="U132" s="1008" t="s">
        <v>649</v>
      </c>
      <c r="V132" s="1008" t="s">
        <v>648</v>
      </c>
      <c r="W132" s="1008" t="s">
        <v>546</v>
      </c>
      <c r="X132" s="1008" t="s">
        <v>670</v>
      </c>
      <c r="Y132" s="1008" t="s">
        <v>670</v>
      </c>
      <c r="Z132" s="1008" t="s">
        <v>670</v>
      </c>
      <c r="AA132" s="1008"/>
      <c r="AB132" s="1008" t="s">
        <v>670</v>
      </c>
      <c r="AC132" s="1008"/>
      <c r="AD132" s="1008" t="s">
        <v>670</v>
      </c>
      <c r="AE132" s="1008"/>
      <c r="AF132" s="1008" t="s">
        <v>670</v>
      </c>
      <c r="AG132" s="1008"/>
      <c r="AH132" s="1008"/>
      <c r="AI132" s="1008"/>
    </row>
    <row r="133" spans="1:35">
      <c r="A133" s="1008">
        <v>23623</v>
      </c>
      <c r="B133" s="1008">
        <v>1178</v>
      </c>
      <c r="C133" s="1008">
        <v>7</v>
      </c>
      <c r="D133" s="1009">
        <v>10429999</v>
      </c>
      <c r="E133" s="1009">
        <v>10420200</v>
      </c>
      <c r="F133" s="1007" t="s">
        <v>4829</v>
      </c>
      <c r="G133" s="1007">
        <v>8</v>
      </c>
      <c r="H133" s="1010">
        <v>99999999</v>
      </c>
      <c r="I133" s="1009">
        <v>10420200</v>
      </c>
      <c r="J133" s="1007" t="s">
        <v>4829</v>
      </c>
      <c r="O133" s="1007" t="s">
        <v>648</v>
      </c>
      <c r="P133" s="1007" t="s">
        <v>648</v>
      </c>
      <c r="S133" s="1008" t="s">
        <v>650</v>
      </c>
      <c r="T133" s="1008" t="s">
        <v>654</v>
      </c>
      <c r="U133" s="1008" t="s">
        <v>649</v>
      </c>
      <c r="V133" s="1008" t="s">
        <v>648</v>
      </c>
      <c r="W133" s="1008" t="s">
        <v>546</v>
      </c>
      <c r="X133" s="1008" t="s">
        <v>670</v>
      </c>
      <c r="Y133" s="1008" t="s">
        <v>670</v>
      </c>
      <c r="Z133" s="1008" t="s">
        <v>670</v>
      </c>
      <c r="AA133" s="1008"/>
      <c r="AB133" s="1008" t="s">
        <v>670</v>
      </c>
      <c r="AC133" s="1008"/>
      <c r="AD133" s="1008" t="s">
        <v>670</v>
      </c>
      <c r="AE133" s="1008"/>
      <c r="AF133" s="1008" t="s">
        <v>670</v>
      </c>
      <c r="AG133" s="1008"/>
      <c r="AH133" s="1008"/>
      <c r="AI133" s="1008"/>
    </row>
    <row r="134" spans="1:35">
      <c r="A134" s="1008">
        <v>23624</v>
      </c>
      <c r="B134" s="1008">
        <v>1179</v>
      </c>
      <c r="C134" s="1008">
        <v>7</v>
      </c>
      <c r="D134" s="1009">
        <v>10429999</v>
      </c>
      <c r="E134" s="1009">
        <v>10420300</v>
      </c>
      <c r="F134" s="1007" t="s">
        <v>4828</v>
      </c>
      <c r="G134" s="1007">
        <v>8</v>
      </c>
      <c r="H134" s="1010">
        <v>99999999</v>
      </c>
      <c r="I134" s="1009">
        <v>10420300</v>
      </c>
      <c r="J134" s="1007" t="s">
        <v>4828</v>
      </c>
      <c r="O134" s="1007" t="s">
        <v>648</v>
      </c>
      <c r="P134" s="1007" t="s">
        <v>648</v>
      </c>
      <c r="S134" s="1008" t="s">
        <v>650</v>
      </c>
      <c r="T134" s="1008" t="s">
        <v>654</v>
      </c>
      <c r="U134" s="1008" t="s">
        <v>649</v>
      </c>
      <c r="V134" s="1008" t="s">
        <v>648</v>
      </c>
      <c r="W134" s="1008" t="s">
        <v>546</v>
      </c>
      <c r="X134" s="1008" t="s">
        <v>670</v>
      </c>
      <c r="Y134" s="1008" t="s">
        <v>670</v>
      </c>
      <c r="Z134" s="1008" t="s">
        <v>670</v>
      </c>
      <c r="AA134" s="1008"/>
      <c r="AB134" s="1008" t="s">
        <v>670</v>
      </c>
      <c r="AC134" s="1008"/>
      <c r="AD134" s="1008" t="s">
        <v>670</v>
      </c>
      <c r="AE134" s="1008"/>
      <c r="AF134" s="1008" t="s">
        <v>670</v>
      </c>
      <c r="AG134" s="1008"/>
      <c r="AH134" s="1008"/>
      <c r="AI134" s="1008"/>
    </row>
    <row r="135" spans="1:35">
      <c r="A135" s="1008">
        <v>23625</v>
      </c>
      <c r="B135" s="1008">
        <v>1180</v>
      </c>
      <c r="C135" s="1008">
        <v>7</v>
      </c>
      <c r="D135" s="1009">
        <v>10429999</v>
      </c>
      <c r="E135" s="1009">
        <v>10420400</v>
      </c>
      <c r="F135" s="1007" t="s">
        <v>4827</v>
      </c>
      <c r="G135" s="1007">
        <v>8</v>
      </c>
      <c r="H135" s="1010">
        <v>99999999</v>
      </c>
      <c r="I135" s="1009">
        <v>10420400</v>
      </c>
      <c r="J135" s="1007" t="s">
        <v>4827</v>
      </c>
      <c r="O135" s="1007" t="s">
        <v>648</v>
      </c>
      <c r="P135" s="1007" t="s">
        <v>648</v>
      </c>
      <c r="S135" s="1008" t="s">
        <v>650</v>
      </c>
      <c r="T135" s="1008" t="s">
        <v>654</v>
      </c>
      <c r="U135" s="1008" t="s">
        <v>649</v>
      </c>
      <c r="V135" s="1008" t="s">
        <v>648</v>
      </c>
      <c r="W135" s="1008" t="s">
        <v>546</v>
      </c>
      <c r="X135" s="1008" t="s">
        <v>670</v>
      </c>
      <c r="Y135" s="1008" t="s">
        <v>670</v>
      </c>
      <c r="Z135" s="1008" t="s">
        <v>670</v>
      </c>
      <c r="AA135" s="1008"/>
      <c r="AB135" s="1008" t="s">
        <v>670</v>
      </c>
      <c r="AC135" s="1008"/>
      <c r="AD135" s="1008" t="s">
        <v>670</v>
      </c>
      <c r="AE135" s="1008"/>
      <c r="AF135" s="1008" t="s">
        <v>670</v>
      </c>
      <c r="AG135" s="1008"/>
      <c r="AH135" s="1008"/>
      <c r="AI135" s="1008"/>
    </row>
    <row r="136" spans="1:35">
      <c r="A136" s="1008">
        <v>23626</v>
      </c>
      <c r="B136" s="1008">
        <v>1181</v>
      </c>
      <c r="C136" s="1008">
        <v>7</v>
      </c>
      <c r="D136" s="1009">
        <v>10429999</v>
      </c>
      <c r="E136" s="1009">
        <v>10420500</v>
      </c>
      <c r="F136" s="1007" t="s">
        <v>4826</v>
      </c>
      <c r="G136" s="1007">
        <v>8</v>
      </c>
      <c r="H136" s="1010">
        <v>99999999</v>
      </c>
      <c r="I136" s="1009">
        <v>10420500</v>
      </c>
      <c r="J136" s="1007" t="s">
        <v>4826</v>
      </c>
      <c r="O136" s="1007" t="s">
        <v>648</v>
      </c>
      <c r="P136" s="1007" t="s">
        <v>648</v>
      </c>
      <c r="S136" s="1008" t="s">
        <v>650</v>
      </c>
      <c r="T136" s="1008" t="s">
        <v>654</v>
      </c>
      <c r="U136" s="1008" t="s">
        <v>649</v>
      </c>
      <c r="V136" s="1008" t="s">
        <v>648</v>
      </c>
      <c r="W136" s="1008" t="s">
        <v>546</v>
      </c>
      <c r="X136" s="1008" t="s">
        <v>670</v>
      </c>
      <c r="Y136" s="1008" t="s">
        <v>670</v>
      </c>
      <c r="Z136" s="1008" t="s">
        <v>670</v>
      </c>
      <c r="AA136" s="1008"/>
      <c r="AB136" s="1008" t="s">
        <v>670</v>
      </c>
      <c r="AC136" s="1008"/>
      <c r="AD136" s="1008" t="s">
        <v>670</v>
      </c>
      <c r="AE136" s="1008"/>
      <c r="AF136" s="1008" t="s">
        <v>670</v>
      </c>
      <c r="AG136" s="1008"/>
      <c r="AH136" s="1008"/>
      <c r="AI136" s="1008"/>
    </row>
    <row r="137" spans="1:35">
      <c r="A137" s="1008">
        <v>23627</v>
      </c>
      <c r="C137" s="1008">
        <v>6</v>
      </c>
      <c r="D137" s="1009">
        <v>10449999</v>
      </c>
      <c r="E137" s="1009">
        <v>10429999</v>
      </c>
      <c r="F137" s="1007" t="s">
        <v>4825</v>
      </c>
      <c r="O137" s="1007" t="s">
        <v>648</v>
      </c>
      <c r="P137" s="1007" t="s">
        <v>648</v>
      </c>
      <c r="S137" s="1008" t="s">
        <v>650</v>
      </c>
      <c r="T137" s="1008" t="s">
        <v>21</v>
      </c>
      <c r="U137" s="1008" t="s">
        <v>649</v>
      </c>
      <c r="V137" s="1008" t="s">
        <v>648</v>
      </c>
      <c r="W137" s="1008" t="s">
        <v>546</v>
      </c>
      <c r="X137" s="1008"/>
      <c r="Y137" s="1008"/>
      <c r="Z137" s="1008"/>
      <c r="AA137" s="1008"/>
      <c r="AB137" s="1008"/>
      <c r="AC137" s="1008"/>
      <c r="AD137" s="1008"/>
      <c r="AE137" s="1008"/>
      <c r="AF137" s="1008"/>
      <c r="AG137" s="1008"/>
      <c r="AH137" s="1008"/>
      <c r="AI137" s="1008"/>
    </row>
    <row r="138" spans="1:35">
      <c r="A138" s="1008">
        <v>23628</v>
      </c>
      <c r="C138" s="1008">
        <v>6</v>
      </c>
      <c r="D138" s="1009">
        <v>10439999</v>
      </c>
      <c r="E138" s="1009">
        <v>10430000</v>
      </c>
      <c r="F138" s="1007" t="s">
        <v>4824</v>
      </c>
      <c r="O138" s="1007" t="s">
        <v>648</v>
      </c>
      <c r="P138" s="1007" t="s">
        <v>648</v>
      </c>
      <c r="S138" s="1008" t="s">
        <v>650</v>
      </c>
      <c r="T138" s="1008" t="s">
        <v>675</v>
      </c>
      <c r="U138" s="1008" t="s">
        <v>649</v>
      </c>
      <c r="V138" s="1008" t="s">
        <v>648</v>
      </c>
      <c r="W138" s="1008" t="s">
        <v>546</v>
      </c>
      <c r="X138" s="1008"/>
      <c r="Y138" s="1008"/>
      <c r="Z138" s="1008"/>
      <c r="AA138" s="1008"/>
      <c r="AB138" s="1008"/>
      <c r="AC138" s="1008"/>
      <c r="AD138" s="1008"/>
      <c r="AE138" s="1008"/>
      <c r="AF138" s="1008"/>
      <c r="AG138" s="1008"/>
      <c r="AH138" s="1008"/>
      <c r="AI138" s="1008"/>
    </row>
    <row r="139" spans="1:35">
      <c r="A139" s="1008">
        <v>23629</v>
      </c>
      <c r="B139" s="1008">
        <v>1182</v>
      </c>
      <c r="C139" s="1008">
        <v>7</v>
      </c>
      <c r="D139" s="1009">
        <v>10439999</v>
      </c>
      <c r="E139" s="1009">
        <v>10430100</v>
      </c>
      <c r="F139" s="1007" t="s">
        <v>4823</v>
      </c>
      <c r="G139" s="1007">
        <v>8</v>
      </c>
      <c r="H139" s="1010">
        <v>99999999</v>
      </c>
      <c r="I139" s="1009">
        <v>10430100</v>
      </c>
      <c r="J139" s="1007" t="s">
        <v>4823</v>
      </c>
      <c r="O139" s="1007" t="s">
        <v>648</v>
      </c>
      <c r="P139" s="1007" t="s">
        <v>648</v>
      </c>
      <c r="S139" s="1008" t="s">
        <v>650</v>
      </c>
      <c r="T139" s="1008" t="s">
        <v>654</v>
      </c>
      <c r="U139" s="1008" t="s">
        <v>649</v>
      </c>
      <c r="V139" s="1008" t="s">
        <v>648</v>
      </c>
      <c r="W139" s="1008" t="s">
        <v>546</v>
      </c>
      <c r="X139" s="1008" t="s">
        <v>670</v>
      </c>
      <c r="Y139" s="1008"/>
      <c r="Z139" s="1008" t="s">
        <v>670</v>
      </c>
      <c r="AA139" s="1008"/>
      <c r="AB139" s="1008" t="s">
        <v>670</v>
      </c>
      <c r="AC139" s="1008"/>
      <c r="AD139" s="1008" t="s">
        <v>670</v>
      </c>
      <c r="AE139" s="1008"/>
      <c r="AF139" s="1008"/>
      <c r="AG139" s="1008"/>
      <c r="AH139" s="1008"/>
      <c r="AI139" s="1008"/>
    </row>
    <row r="140" spans="1:35">
      <c r="A140" s="1008">
        <v>23630</v>
      </c>
      <c r="B140" s="1008">
        <v>1183</v>
      </c>
      <c r="C140" s="1008">
        <v>7</v>
      </c>
      <c r="D140" s="1009">
        <v>10439999</v>
      </c>
      <c r="E140" s="1009">
        <v>10430200</v>
      </c>
      <c r="F140" s="1007" t="s">
        <v>4822</v>
      </c>
      <c r="G140" s="1007">
        <v>8</v>
      </c>
      <c r="H140" s="1010">
        <v>99999999</v>
      </c>
      <c r="I140" s="1009">
        <v>10430200</v>
      </c>
      <c r="J140" s="1007" t="s">
        <v>4822</v>
      </c>
      <c r="O140" s="1007" t="s">
        <v>648</v>
      </c>
      <c r="P140" s="1007" t="s">
        <v>648</v>
      </c>
      <c r="S140" s="1008" t="s">
        <v>650</v>
      </c>
      <c r="T140" s="1008" t="s">
        <v>654</v>
      </c>
      <c r="U140" s="1008" t="s">
        <v>649</v>
      </c>
      <c r="V140" s="1008" t="s">
        <v>648</v>
      </c>
      <c r="W140" s="1008" t="s">
        <v>546</v>
      </c>
      <c r="X140" s="1008" t="s">
        <v>670</v>
      </c>
      <c r="Y140" s="1008"/>
      <c r="Z140" s="1008" t="s">
        <v>670</v>
      </c>
      <c r="AA140" s="1008"/>
      <c r="AB140" s="1008" t="s">
        <v>670</v>
      </c>
      <c r="AC140" s="1008"/>
      <c r="AD140" s="1008" t="s">
        <v>670</v>
      </c>
      <c r="AE140" s="1008"/>
      <c r="AF140" s="1008"/>
      <c r="AG140" s="1008"/>
      <c r="AH140" s="1008"/>
      <c r="AI140" s="1008"/>
    </row>
    <row r="141" spans="1:35">
      <c r="A141" s="1008">
        <v>23631</v>
      </c>
      <c r="B141" s="1008">
        <v>1184</v>
      </c>
      <c r="C141" s="1008">
        <v>7</v>
      </c>
      <c r="D141" s="1009">
        <v>10439999</v>
      </c>
      <c r="E141" s="1009">
        <v>10430300</v>
      </c>
      <c r="F141" s="1007" t="s">
        <v>4821</v>
      </c>
      <c r="G141" s="1007">
        <v>8</v>
      </c>
      <c r="H141" s="1010">
        <v>99999999</v>
      </c>
      <c r="I141" s="1009">
        <v>10430300</v>
      </c>
      <c r="J141" s="1007" t="s">
        <v>4821</v>
      </c>
      <c r="O141" s="1007" t="s">
        <v>648</v>
      </c>
      <c r="P141" s="1007" t="s">
        <v>648</v>
      </c>
      <c r="S141" s="1008" t="s">
        <v>650</v>
      </c>
      <c r="T141" s="1008" t="s">
        <v>654</v>
      </c>
      <c r="U141" s="1008" t="s">
        <v>649</v>
      </c>
      <c r="V141" s="1008" t="s">
        <v>648</v>
      </c>
      <c r="W141" s="1008" t="s">
        <v>546</v>
      </c>
      <c r="X141" s="1008" t="s">
        <v>670</v>
      </c>
      <c r="Y141" s="1008"/>
      <c r="Z141" s="1008" t="s">
        <v>670</v>
      </c>
      <c r="AA141" s="1008"/>
      <c r="AB141" s="1008" t="s">
        <v>670</v>
      </c>
      <c r="AC141" s="1008"/>
      <c r="AD141" s="1008" t="s">
        <v>670</v>
      </c>
      <c r="AE141" s="1008"/>
      <c r="AF141" s="1008"/>
      <c r="AG141" s="1008"/>
      <c r="AH141" s="1008"/>
      <c r="AI141" s="1008"/>
    </row>
    <row r="142" spans="1:35">
      <c r="A142" s="1008">
        <v>23632</v>
      </c>
      <c r="B142" s="1008">
        <v>1185</v>
      </c>
      <c r="C142" s="1008">
        <v>7</v>
      </c>
      <c r="D142" s="1009">
        <v>10439999</v>
      </c>
      <c r="E142" s="1009">
        <v>10430400</v>
      </c>
      <c r="F142" s="1007" t="s">
        <v>4820</v>
      </c>
      <c r="G142" s="1007">
        <v>8</v>
      </c>
      <c r="H142" s="1010">
        <v>99999999</v>
      </c>
      <c r="I142" s="1009">
        <v>10430400</v>
      </c>
      <c r="J142" s="1007" t="s">
        <v>4820</v>
      </c>
      <c r="O142" s="1007" t="s">
        <v>648</v>
      </c>
      <c r="P142" s="1007" t="s">
        <v>648</v>
      </c>
      <c r="S142" s="1008" t="s">
        <v>650</v>
      </c>
      <c r="T142" s="1008" t="s">
        <v>654</v>
      </c>
      <c r="U142" s="1008" t="s">
        <v>649</v>
      </c>
      <c r="V142" s="1008" t="s">
        <v>648</v>
      </c>
      <c r="W142" s="1008" t="s">
        <v>546</v>
      </c>
      <c r="X142" s="1008" t="s">
        <v>670</v>
      </c>
      <c r="Y142" s="1008"/>
      <c r="Z142" s="1008" t="s">
        <v>670</v>
      </c>
      <c r="AA142" s="1008"/>
      <c r="AB142" s="1008" t="s">
        <v>670</v>
      </c>
      <c r="AC142" s="1008"/>
      <c r="AD142" s="1008" t="s">
        <v>670</v>
      </c>
      <c r="AE142" s="1008"/>
      <c r="AF142" s="1008"/>
      <c r="AG142" s="1008"/>
      <c r="AH142" s="1008"/>
      <c r="AI142" s="1008"/>
    </row>
    <row r="143" spans="1:35">
      <c r="A143" s="1008">
        <v>23633</v>
      </c>
      <c r="B143" s="1008">
        <v>1186</v>
      </c>
      <c r="C143" s="1008">
        <v>7</v>
      </c>
      <c r="D143" s="1009">
        <v>10439999</v>
      </c>
      <c r="E143" s="1009">
        <v>10430500</v>
      </c>
      <c r="F143" s="1007" t="s">
        <v>4819</v>
      </c>
      <c r="G143" s="1007">
        <v>8</v>
      </c>
      <c r="H143" s="1010">
        <v>99999999</v>
      </c>
      <c r="I143" s="1009">
        <v>10430500</v>
      </c>
      <c r="J143" s="1007" t="s">
        <v>4819</v>
      </c>
      <c r="O143" s="1007" t="s">
        <v>648</v>
      </c>
      <c r="P143" s="1007" t="s">
        <v>648</v>
      </c>
      <c r="S143" s="1008" t="s">
        <v>650</v>
      </c>
      <c r="T143" s="1008" t="s">
        <v>654</v>
      </c>
      <c r="U143" s="1008" t="s">
        <v>649</v>
      </c>
      <c r="V143" s="1008" t="s">
        <v>648</v>
      </c>
      <c r="W143" s="1008" t="s">
        <v>546</v>
      </c>
      <c r="X143" s="1008" t="s">
        <v>670</v>
      </c>
      <c r="Y143" s="1008"/>
      <c r="Z143" s="1008" t="s">
        <v>670</v>
      </c>
      <c r="AA143" s="1008"/>
      <c r="AB143" s="1008" t="s">
        <v>670</v>
      </c>
      <c r="AC143" s="1008"/>
      <c r="AD143" s="1008" t="s">
        <v>670</v>
      </c>
      <c r="AE143" s="1008"/>
      <c r="AF143" s="1008"/>
      <c r="AG143" s="1008"/>
      <c r="AH143" s="1008"/>
      <c r="AI143" s="1008"/>
    </row>
    <row r="144" spans="1:35">
      <c r="A144" s="1008">
        <v>23634</v>
      </c>
      <c r="C144" s="1008">
        <v>6</v>
      </c>
      <c r="D144" s="1009">
        <v>10449999</v>
      </c>
      <c r="E144" s="1009">
        <v>10439999</v>
      </c>
      <c r="F144" s="1007" t="s">
        <v>4818</v>
      </c>
      <c r="O144" s="1007" t="s">
        <v>648</v>
      </c>
      <c r="P144" s="1007" t="s">
        <v>648</v>
      </c>
      <c r="S144" s="1008" t="s">
        <v>650</v>
      </c>
      <c r="T144" s="1008" t="s">
        <v>21</v>
      </c>
      <c r="U144" s="1008" t="s">
        <v>649</v>
      </c>
      <c r="V144" s="1008" t="s">
        <v>648</v>
      </c>
      <c r="W144" s="1008" t="s">
        <v>546</v>
      </c>
      <c r="X144" s="1008"/>
      <c r="Y144" s="1008"/>
      <c r="Z144" s="1008"/>
      <c r="AA144" s="1008"/>
      <c r="AB144" s="1008"/>
      <c r="AC144" s="1008"/>
      <c r="AD144" s="1008"/>
      <c r="AE144" s="1008"/>
      <c r="AF144" s="1008"/>
      <c r="AG144" s="1008"/>
      <c r="AH144" s="1008"/>
      <c r="AI144" s="1008"/>
    </row>
    <row r="145" spans="1:35">
      <c r="A145" s="1008">
        <v>23635</v>
      </c>
      <c r="C145" s="1008">
        <v>6</v>
      </c>
      <c r="D145" s="1009">
        <v>10449990</v>
      </c>
      <c r="E145" s="1009">
        <v>10440000</v>
      </c>
      <c r="F145" s="1007" t="s">
        <v>4817</v>
      </c>
      <c r="O145" s="1007" t="s">
        <v>648</v>
      </c>
      <c r="P145" s="1007" t="s">
        <v>648</v>
      </c>
      <c r="S145" s="1008" t="s">
        <v>650</v>
      </c>
      <c r="T145" s="1008" t="s">
        <v>675</v>
      </c>
      <c r="U145" s="1008" t="s">
        <v>649</v>
      </c>
      <c r="V145" s="1008" t="s">
        <v>648</v>
      </c>
      <c r="W145" s="1008" t="s">
        <v>546</v>
      </c>
      <c r="X145" s="1008"/>
      <c r="Y145" s="1008"/>
      <c r="Z145" s="1008"/>
      <c r="AA145" s="1008"/>
      <c r="AB145" s="1008"/>
      <c r="AC145" s="1008"/>
      <c r="AD145" s="1008"/>
      <c r="AE145" s="1008"/>
      <c r="AF145" s="1008"/>
      <c r="AG145" s="1008"/>
      <c r="AH145" s="1008"/>
      <c r="AI145" s="1008"/>
    </row>
    <row r="146" spans="1:35">
      <c r="A146" s="1008">
        <v>23636</v>
      </c>
      <c r="B146" s="1008">
        <v>1187</v>
      </c>
      <c r="C146" s="1008">
        <v>7</v>
      </c>
      <c r="D146" s="1009">
        <v>10449990</v>
      </c>
      <c r="E146" s="1009">
        <v>10440100</v>
      </c>
      <c r="F146" s="1007" t="s">
        <v>4816</v>
      </c>
      <c r="G146" s="1007">
        <v>8</v>
      </c>
      <c r="H146" s="1010">
        <v>99999999</v>
      </c>
      <c r="I146" s="1009">
        <v>10440100</v>
      </c>
      <c r="J146" s="1007" t="s">
        <v>4816</v>
      </c>
      <c r="O146" s="1007" t="s">
        <v>648</v>
      </c>
      <c r="P146" s="1007" t="s">
        <v>648</v>
      </c>
      <c r="S146" s="1008" t="s">
        <v>650</v>
      </c>
      <c r="T146" s="1008" t="s">
        <v>654</v>
      </c>
      <c r="U146" s="1008" t="s">
        <v>649</v>
      </c>
      <c r="V146" s="1008" t="s">
        <v>648</v>
      </c>
      <c r="W146" s="1008" t="s">
        <v>546</v>
      </c>
      <c r="X146" s="1008" t="s">
        <v>670</v>
      </c>
      <c r="Y146" s="1008" t="s">
        <v>670</v>
      </c>
      <c r="Z146" s="1008" t="s">
        <v>670</v>
      </c>
      <c r="AA146" s="1008"/>
      <c r="AB146" s="1008" t="s">
        <v>670</v>
      </c>
      <c r="AC146" s="1008"/>
      <c r="AD146" s="1008" t="s">
        <v>670</v>
      </c>
      <c r="AE146" s="1008"/>
      <c r="AF146" s="1008" t="s">
        <v>670</v>
      </c>
      <c r="AG146" s="1008"/>
      <c r="AH146" s="1008"/>
      <c r="AI146" s="1008"/>
    </row>
    <row r="147" spans="1:35">
      <c r="A147" s="1008">
        <v>23637</v>
      </c>
      <c r="B147" s="1008">
        <v>1188</v>
      </c>
      <c r="C147" s="1008">
        <v>7</v>
      </c>
      <c r="D147" s="1009">
        <v>10449990</v>
      </c>
      <c r="E147" s="1009">
        <v>10440200</v>
      </c>
      <c r="F147" s="1007" t="s">
        <v>4815</v>
      </c>
      <c r="G147" s="1007">
        <v>8</v>
      </c>
      <c r="H147" s="1010">
        <v>99999999</v>
      </c>
      <c r="I147" s="1009">
        <v>10440200</v>
      </c>
      <c r="J147" s="1007" t="s">
        <v>4815</v>
      </c>
      <c r="O147" s="1007" t="s">
        <v>648</v>
      </c>
      <c r="P147" s="1007" t="s">
        <v>648</v>
      </c>
      <c r="S147" s="1008" t="s">
        <v>650</v>
      </c>
      <c r="T147" s="1008" t="s">
        <v>654</v>
      </c>
      <c r="U147" s="1008" t="s">
        <v>649</v>
      </c>
      <c r="V147" s="1008" t="s">
        <v>648</v>
      </c>
      <c r="W147" s="1008" t="s">
        <v>546</v>
      </c>
      <c r="X147" s="1008" t="s">
        <v>670</v>
      </c>
      <c r="Y147" s="1008" t="s">
        <v>670</v>
      </c>
      <c r="Z147" s="1008" t="s">
        <v>670</v>
      </c>
      <c r="AA147" s="1008"/>
      <c r="AB147" s="1008" t="s">
        <v>670</v>
      </c>
      <c r="AC147" s="1008"/>
      <c r="AD147" s="1008" t="s">
        <v>670</v>
      </c>
      <c r="AE147" s="1008"/>
      <c r="AF147" s="1008" t="s">
        <v>670</v>
      </c>
      <c r="AG147" s="1008"/>
      <c r="AH147" s="1008"/>
      <c r="AI147" s="1008"/>
    </row>
    <row r="148" spans="1:35">
      <c r="A148" s="1008">
        <v>23638</v>
      </c>
      <c r="B148" s="1008">
        <v>1189</v>
      </c>
      <c r="C148" s="1008">
        <v>7</v>
      </c>
      <c r="D148" s="1009">
        <v>10449990</v>
      </c>
      <c r="E148" s="1009">
        <v>10440300</v>
      </c>
      <c r="F148" s="1007" t="s">
        <v>4814</v>
      </c>
      <c r="G148" s="1007">
        <v>8</v>
      </c>
      <c r="H148" s="1010">
        <v>99999999</v>
      </c>
      <c r="I148" s="1009">
        <v>10440300</v>
      </c>
      <c r="J148" s="1007" t="s">
        <v>4814</v>
      </c>
      <c r="O148" s="1007" t="s">
        <v>648</v>
      </c>
      <c r="P148" s="1007" t="s">
        <v>648</v>
      </c>
      <c r="S148" s="1008" t="s">
        <v>650</v>
      </c>
      <c r="T148" s="1008" t="s">
        <v>654</v>
      </c>
      <c r="U148" s="1008" t="s">
        <v>649</v>
      </c>
      <c r="V148" s="1008" t="s">
        <v>648</v>
      </c>
      <c r="W148" s="1008" t="s">
        <v>546</v>
      </c>
      <c r="X148" s="1008" t="s">
        <v>670</v>
      </c>
      <c r="Y148" s="1008" t="s">
        <v>670</v>
      </c>
      <c r="Z148" s="1008" t="s">
        <v>670</v>
      </c>
      <c r="AA148" s="1008"/>
      <c r="AB148" s="1008" t="s">
        <v>670</v>
      </c>
      <c r="AC148" s="1008"/>
      <c r="AD148" s="1008" t="s">
        <v>670</v>
      </c>
      <c r="AE148" s="1008"/>
      <c r="AF148" s="1008" t="s">
        <v>670</v>
      </c>
      <c r="AG148" s="1008"/>
      <c r="AH148" s="1008"/>
      <c r="AI148" s="1008"/>
    </row>
    <row r="149" spans="1:35">
      <c r="A149" s="1008">
        <v>23639</v>
      </c>
      <c r="B149" s="1008">
        <v>1190</v>
      </c>
      <c r="C149" s="1008">
        <v>7</v>
      </c>
      <c r="D149" s="1009">
        <v>10449990</v>
      </c>
      <c r="E149" s="1009">
        <v>10440400</v>
      </c>
      <c r="F149" s="1007" t="s">
        <v>4813</v>
      </c>
      <c r="G149" s="1007">
        <v>8</v>
      </c>
      <c r="H149" s="1010">
        <v>99999999</v>
      </c>
      <c r="I149" s="1009">
        <v>10440400</v>
      </c>
      <c r="J149" s="1007" t="s">
        <v>4813</v>
      </c>
      <c r="O149" s="1007" t="s">
        <v>648</v>
      </c>
      <c r="P149" s="1007" t="s">
        <v>648</v>
      </c>
      <c r="S149" s="1008" t="s">
        <v>650</v>
      </c>
      <c r="T149" s="1008" t="s">
        <v>654</v>
      </c>
      <c r="U149" s="1008" t="s">
        <v>649</v>
      </c>
      <c r="V149" s="1008" t="s">
        <v>648</v>
      </c>
      <c r="W149" s="1008" t="s">
        <v>546</v>
      </c>
      <c r="X149" s="1008" t="s">
        <v>670</v>
      </c>
      <c r="Y149" s="1008" t="s">
        <v>670</v>
      </c>
      <c r="Z149" s="1008" t="s">
        <v>670</v>
      </c>
      <c r="AA149" s="1008"/>
      <c r="AB149" s="1008" t="s">
        <v>670</v>
      </c>
      <c r="AC149" s="1008"/>
      <c r="AD149" s="1008" t="s">
        <v>670</v>
      </c>
      <c r="AE149" s="1008"/>
      <c r="AF149" s="1008" t="s">
        <v>670</v>
      </c>
      <c r="AG149" s="1008"/>
      <c r="AH149" s="1008"/>
      <c r="AI149" s="1008"/>
    </row>
    <row r="150" spans="1:35">
      <c r="A150" s="1008">
        <v>23640</v>
      </c>
      <c r="B150" s="1008">
        <v>1191</v>
      </c>
      <c r="C150" s="1008">
        <v>7</v>
      </c>
      <c r="D150" s="1009">
        <v>10449990</v>
      </c>
      <c r="E150" s="1009">
        <v>10440500</v>
      </c>
      <c r="F150" s="1007" t="s">
        <v>4812</v>
      </c>
      <c r="G150" s="1007">
        <v>8</v>
      </c>
      <c r="H150" s="1010">
        <v>99999999</v>
      </c>
      <c r="I150" s="1009">
        <v>10440500</v>
      </c>
      <c r="J150" s="1007" t="s">
        <v>4812</v>
      </c>
      <c r="O150" s="1007" t="s">
        <v>648</v>
      </c>
      <c r="P150" s="1007" t="s">
        <v>648</v>
      </c>
      <c r="S150" s="1008" t="s">
        <v>650</v>
      </c>
      <c r="T150" s="1008" t="s">
        <v>654</v>
      </c>
      <c r="U150" s="1008" t="s">
        <v>649</v>
      </c>
      <c r="V150" s="1008" t="s">
        <v>648</v>
      </c>
      <c r="W150" s="1008" t="s">
        <v>546</v>
      </c>
      <c r="X150" s="1008" t="s">
        <v>670</v>
      </c>
      <c r="Y150" s="1008" t="s">
        <v>670</v>
      </c>
      <c r="Z150" s="1008" t="s">
        <v>670</v>
      </c>
      <c r="AA150" s="1008"/>
      <c r="AB150" s="1008" t="s">
        <v>670</v>
      </c>
      <c r="AC150" s="1008"/>
      <c r="AD150" s="1008" t="s">
        <v>670</v>
      </c>
      <c r="AE150" s="1008"/>
      <c r="AF150" s="1008" t="s">
        <v>670</v>
      </c>
      <c r="AG150" s="1008"/>
      <c r="AH150" s="1008"/>
      <c r="AI150" s="1008"/>
    </row>
    <row r="151" spans="1:35">
      <c r="A151" s="1008">
        <v>23641</v>
      </c>
      <c r="C151" s="1008">
        <v>6</v>
      </c>
      <c r="D151" s="1009">
        <v>10449999</v>
      </c>
      <c r="E151" s="1009">
        <v>10449990</v>
      </c>
      <c r="F151" s="1007" t="s">
        <v>4811</v>
      </c>
      <c r="O151" s="1007" t="s">
        <v>648</v>
      </c>
      <c r="P151" s="1007" t="s">
        <v>648</v>
      </c>
      <c r="S151" s="1008" t="s">
        <v>650</v>
      </c>
      <c r="T151" s="1008" t="s">
        <v>21</v>
      </c>
      <c r="U151" s="1008" t="s">
        <v>649</v>
      </c>
      <c r="V151" s="1008" t="s">
        <v>648</v>
      </c>
      <c r="W151" s="1008" t="s">
        <v>546</v>
      </c>
      <c r="X151" s="1008"/>
      <c r="Y151" s="1008"/>
      <c r="Z151" s="1008"/>
      <c r="AA151" s="1008"/>
      <c r="AB151" s="1008"/>
      <c r="AC151" s="1008"/>
      <c r="AD151" s="1008"/>
      <c r="AE151" s="1008"/>
      <c r="AF151" s="1008"/>
      <c r="AG151" s="1008"/>
      <c r="AH151" s="1008"/>
      <c r="AI151" s="1008"/>
    </row>
    <row r="152" spans="1:35">
      <c r="A152" s="1008">
        <v>23642</v>
      </c>
      <c r="C152" s="1008">
        <v>5</v>
      </c>
      <c r="D152" s="1009">
        <v>10799999</v>
      </c>
      <c r="E152" s="1009">
        <v>10449999</v>
      </c>
      <c r="F152" s="1007" t="s">
        <v>4810</v>
      </c>
      <c r="O152" s="1007" t="s">
        <v>648</v>
      </c>
      <c r="P152" s="1007" t="s">
        <v>648</v>
      </c>
      <c r="S152" s="1008" t="s">
        <v>650</v>
      </c>
      <c r="T152" s="1008" t="s">
        <v>21</v>
      </c>
      <c r="U152" s="1008" t="s">
        <v>649</v>
      </c>
      <c r="V152" s="1008" t="s">
        <v>648</v>
      </c>
      <c r="W152" s="1008" t="s">
        <v>546</v>
      </c>
      <c r="X152" s="1008"/>
      <c r="Y152" s="1008"/>
      <c r="Z152" s="1008"/>
      <c r="AA152" s="1008"/>
      <c r="AB152" s="1008"/>
      <c r="AC152" s="1008"/>
      <c r="AD152" s="1008"/>
      <c r="AE152" s="1008"/>
      <c r="AF152" s="1008"/>
      <c r="AG152" s="1008"/>
      <c r="AH152" s="1008"/>
      <c r="AI152" s="1008"/>
    </row>
    <row r="153" spans="1:35">
      <c r="A153" s="1008">
        <v>23643</v>
      </c>
      <c r="C153" s="1008">
        <v>5</v>
      </c>
      <c r="D153" s="1009">
        <v>10499999</v>
      </c>
      <c r="E153" s="1009">
        <v>10450000</v>
      </c>
      <c r="F153" s="1007" t="s">
        <v>4809</v>
      </c>
      <c r="O153" s="1007" t="s">
        <v>648</v>
      </c>
      <c r="P153" s="1007" t="s">
        <v>648</v>
      </c>
      <c r="S153" s="1008" t="s">
        <v>650</v>
      </c>
      <c r="T153" s="1008" t="s">
        <v>675</v>
      </c>
      <c r="U153" s="1008" t="s">
        <v>649</v>
      </c>
      <c r="V153" s="1008" t="s">
        <v>648</v>
      </c>
      <c r="W153" s="1008" t="s">
        <v>546</v>
      </c>
      <c r="X153" s="1008"/>
      <c r="Y153" s="1008"/>
      <c r="Z153" s="1008"/>
      <c r="AA153" s="1008"/>
      <c r="AB153" s="1008"/>
      <c r="AC153" s="1008"/>
      <c r="AD153" s="1008"/>
      <c r="AE153" s="1008"/>
      <c r="AF153" s="1008"/>
      <c r="AG153" s="1008"/>
      <c r="AH153" s="1008"/>
      <c r="AI153" s="1008"/>
    </row>
    <row r="154" spans="1:35">
      <c r="A154" s="1008">
        <v>23644</v>
      </c>
      <c r="C154" s="1008">
        <v>6</v>
      </c>
      <c r="D154" s="1009">
        <v>10450900</v>
      </c>
      <c r="E154" s="1009">
        <v>10450010</v>
      </c>
      <c r="F154" s="1007" t="s">
        <v>4808</v>
      </c>
      <c r="O154" s="1007" t="s">
        <v>648</v>
      </c>
      <c r="P154" s="1007" t="s">
        <v>648</v>
      </c>
      <c r="S154" s="1008" t="s">
        <v>650</v>
      </c>
      <c r="T154" s="1008" t="s">
        <v>675</v>
      </c>
      <c r="U154" s="1008" t="s">
        <v>649</v>
      </c>
      <c r="V154" s="1008" t="s">
        <v>648</v>
      </c>
      <c r="W154" s="1008" t="s">
        <v>546</v>
      </c>
      <c r="X154" s="1008"/>
      <c r="Y154" s="1008"/>
      <c r="Z154" s="1008"/>
      <c r="AA154" s="1008"/>
      <c r="AB154" s="1008"/>
      <c r="AC154" s="1008"/>
      <c r="AD154" s="1008"/>
      <c r="AE154" s="1008"/>
      <c r="AF154" s="1008"/>
      <c r="AG154" s="1008"/>
      <c r="AH154" s="1008"/>
      <c r="AI154" s="1008"/>
    </row>
    <row r="155" spans="1:35">
      <c r="A155" s="1008">
        <v>23645</v>
      </c>
      <c r="B155" s="1008">
        <v>1192</v>
      </c>
      <c r="C155" s="1008">
        <v>7</v>
      </c>
      <c r="D155" s="1009">
        <v>10450900</v>
      </c>
      <c r="E155" s="1009">
        <v>10450100</v>
      </c>
      <c r="F155" s="1007" t="s">
        <v>4807</v>
      </c>
      <c r="G155" s="1007">
        <v>8</v>
      </c>
      <c r="H155" s="1010">
        <v>99999999</v>
      </c>
      <c r="I155" s="1009">
        <v>10450100</v>
      </c>
      <c r="J155" s="1007" t="s">
        <v>4807</v>
      </c>
      <c r="O155" s="1007" t="s">
        <v>648</v>
      </c>
      <c r="P155" s="1007" t="s">
        <v>648</v>
      </c>
      <c r="S155" s="1008" t="s">
        <v>650</v>
      </c>
      <c r="T155" s="1008" t="s">
        <v>654</v>
      </c>
      <c r="U155" s="1008" t="s">
        <v>649</v>
      </c>
      <c r="V155" s="1008" t="s">
        <v>648</v>
      </c>
      <c r="W155" s="1008" t="s">
        <v>546</v>
      </c>
      <c r="X155" s="1008" t="s">
        <v>670</v>
      </c>
      <c r="Y155" s="1008" t="s">
        <v>670</v>
      </c>
      <c r="Z155" s="1008" t="s">
        <v>670</v>
      </c>
      <c r="AA155" s="1008"/>
      <c r="AB155" s="1008" t="s">
        <v>670</v>
      </c>
      <c r="AC155" s="1008"/>
      <c r="AD155" s="1008" t="s">
        <v>670</v>
      </c>
      <c r="AE155" s="1008"/>
      <c r="AF155" s="1008" t="s">
        <v>670</v>
      </c>
      <c r="AG155" s="1008"/>
      <c r="AH155" s="1008"/>
      <c r="AI155" s="1008"/>
    </row>
    <row r="156" spans="1:35">
      <c r="A156" s="1008">
        <v>23646</v>
      </c>
      <c r="B156" s="1008">
        <v>1193</v>
      </c>
      <c r="C156" s="1008">
        <v>7</v>
      </c>
      <c r="D156" s="1009">
        <v>10450900</v>
      </c>
      <c r="E156" s="1009">
        <v>10450200</v>
      </c>
      <c r="F156" s="1007" t="s">
        <v>4806</v>
      </c>
      <c r="G156" s="1007">
        <v>8</v>
      </c>
      <c r="H156" s="1010">
        <v>99999999</v>
      </c>
      <c r="I156" s="1009">
        <v>10450200</v>
      </c>
      <c r="J156" s="1007" t="s">
        <v>4806</v>
      </c>
      <c r="O156" s="1007" t="s">
        <v>648</v>
      </c>
      <c r="P156" s="1007" t="s">
        <v>648</v>
      </c>
      <c r="S156" s="1008" t="s">
        <v>650</v>
      </c>
      <c r="T156" s="1008" t="s">
        <v>654</v>
      </c>
      <c r="U156" s="1008" t="s">
        <v>649</v>
      </c>
      <c r="V156" s="1008" t="s">
        <v>648</v>
      </c>
      <c r="W156" s="1008" t="s">
        <v>546</v>
      </c>
      <c r="X156" s="1008" t="s">
        <v>670</v>
      </c>
      <c r="Y156" s="1008" t="s">
        <v>670</v>
      </c>
      <c r="Z156" s="1008" t="s">
        <v>670</v>
      </c>
      <c r="AA156" s="1008"/>
      <c r="AB156" s="1008" t="s">
        <v>670</v>
      </c>
      <c r="AC156" s="1008"/>
      <c r="AD156" s="1008" t="s">
        <v>670</v>
      </c>
      <c r="AE156" s="1008"/>
      <c r="AF156" s="1008" t="s">
        <v>670</v>
      </c>
      <c r="AG156" s="1008"/>
      <c r="AH156" s="1008"/>
      <c r="AI156" s="1008"/>
    </row>
    <row r="157" spans="1:35">
      <c r="A157" s="1008">
        <v>23647</v>
      </c>
      <c r="B157" s="1008">
        <v>1194</v>
      </c>
      <c r="C157" s="1008">
        <v>7</v>
      </c>
      <c r="D157" s="1009">
        <v>10450900</v>
      </c>
      <c r="E157" s="1009">
        <v>10450300</v>
      </c>
      <c r="F157" s="1007" t="s">
        <v>4805</v>
      </c>
      <c r="G157" s="1007">
        <v>8</v>
      </c>
      <c r="H157" s="1010">
        <v>99999999</v>
      </c>
      <c r="I157" s="1009">
        <v>10450300</v>
      </c>
      <c r="J157" s="1007" t="s">
        <v>4805</v>
      </c>
      <c r="O157" s="1007" t="s">
        <v>648</v>
      </c>
      <c r="P157" s="1007" t="s">
        <v>648</v>
      </c>
      <c r="S157" s="1008" t="s">
        <v>650</v>
      </c>
      <c r="T157" s="1008" t="s">
        <v>654</v>
      </c>
      <c r="U157" s="1008" t="s">
        <v>649</v>
      </c>
      <c r="V157" s="1008" t="s">
        <v>648</v>
      </c>
      <c r="W157" s="1008" t="s">
        <v>546</v>
      </c>
      <c r="X157" s="1008" t="s">
        <v>670</v>
      </c>
      <c r="Y157" s="1008" t="s">
        <v>670</v>
      </c>
      <c r="Z157" s="1008" t="s">
        <v>670</v>
      </c>
      <c r="AA157" s="1008"/>
      <c r="AB157" s="1008" t="s">
        <v>670</v>
      </c>
      <c r="AC157" s="1008"/>
      <c r="AD157" s="1008" t="s">
        <v>670</v>
      </c>
      <c r="AE157" s="1008"/>
      <c r="AF157" s="1008" t="s">
        <v>670</v>
      </c>
      <c r="AG157" s="1008"/>
      <c r="AH157" s="1008"/>
      <c r="AI157" s="1008"/>
    </row>
    <row r="158" spans="1:35">
      <c r="A158" s="1008">
        <v>23648</v>
      </c>
      <c r="B158" s="1008">
        <v>1195</v>
      </c>
      <c r="C158" s="1008">
        <v>7</v>
      </c>
      <c r="D158" s="1009">
        <v>10450900</v>
      </c>
      <c r="E158" s="1009">
        <v>10450400</v>
      </c>
      <c r="F158" s="1007" t="s">
        <v>4804</v>
      </c>
      <c r="G158" s="1007">
        <v>8</v>
      </c>
      <c r="H158" s="1010">
        <v>99999999</v>
      </c>
      <c r="I158" s="1009">
        <v>10450400</v>
      </c>
      <c r="J158" s="1007" t="s">
        <v>4804</v>
      </c>
      <c r="O158" s="1007" t="s">
        <v>648</v>
      </c>
      <c r="P158" s="1007" t="s">
        <v>648</v>
      </c>
      <c r="S158" s="1008" t="s">
        <v>650</v>
      </c>
      <c r="T158" s="1008" t="s">
        <v>654</v>
      </c>
      <c r="U158" s="1008" t="s">
        <v>649</v>
      </c>
      <c r="V158" s="1008" t="s">
        <v>648</v>
      </c>
      <c r="W158" s="1008" t="s">
        <v>546</v>
      </c>
      <c r="X158" s="1008" t="s">
        <v>670</v>
      </c>
      <c r="Y158" s="1008" t="s">
        <v>670</v>
      </c>
      <c r="Z158" s="1008" t="s">
        <v>670</v>
      </c>
      <c r="AA158" s="1008"/>
      <c r="AB158" s="1008" t="s">
        <v>670</v>
      </c>
      <c r="AC158" s="1008"/>
      <c r="AD158" s="1008" t="s">
        <v>670</v>
      </c>
      <c r="AE158" s="1008"/>
      <c r="AF158" s="1008" t="s">
        <v>670</v>
      </c>
      <c r="AG158" s="1008"/>
      <c r="AH158" s="1008"/>
      <c r="AI158" s="1008"/>
    </row>
    <row r="159" spans="1:35">
      <c r="A159" s="1008">
        <v>23649</v>
      </c>
      <c r="B159" s="1008">
        <v>1196</v>
      </c>
      <c r="C159" s="1008">
        <v>7</v>
      </c>
      <c r="D159" s="1009">
        <v>10450900</v>
      </c>
      <c r="E159" s="1009">
        <v>10450500</v>
      </c>
      <c r="F159" s="1007" t="s">
        <v>4803</v>
      </c>
      <c r="G159" s="1007">
        <v>8</v>
      </c>
      <c r="H159" s="1010">
        <v>99999999</v>
      </c>
      <c r="I159" s="1009">
        <v>10450500</v>
      </c>
      <c r="J159" s="1007" t="s">
        <v>4803</v>
      </c>
      <c r="O159" s="1007" t="s">
        <v>648</v>
      </c>
      <c r="P159" s="1007" t="s">
        <v>648</v>
      </c>
      <c r="S159" s="1008" t="s">
        <v>650</v>
      </c>
      <c r="T159" s="1008" t="s">
        <v>654</v>
      </c>
      <c r="U159" s="1008" t="s">
        <v>649</v>
      </c>
      <c r="V159" s="1008" t="s">
        <v>648</v>
      </c>
      <c r="W159" s="1008" t="s">
        <v>546</v>
      </c>
      <c r="X159" s="1008" t="s">
        <v>670</v>
      </c>
      <c r="Y159" s="1008" t="s">
        <v>670</v>
      </c>
      <c r="Z159" s="1008" t="s">
        <v>670</v>
      </c>
      <c r="AA159" s="1008"/>
      <c r="AB159" s="1008" t="s">
        <v>670</v>
      </c>
      <c r="AC159" s="1008"/>
      <c r="AD159" s="1008" t="s">
        <v>670</v>
      </c>
      <c r="AE159" s="1008"/>
      <c r="AF159" s="1008" t="s">
        <v>670</v>
      </c>
      <c r="AG159" s="1008"/>
      <c r="AH159" s="1008"/>
      <c r="AI159" s="1008"/>
    </row>
    <row r="160" spans="1:35">
      <c r="A160" s="1008">
        <v>23650</v>
      </c>
      <c r="C160" s="1008">
        <v>6</v>
      </c>
      <c r="D160" s="1009">
        <v>10499999</v>
      </c>
      <c r="E160" s="1009">
        <v>10450900</v>
      </c>
      <c r="F160" s="1007" t="s">
        <v>4802</v>
      </c>
      <c r="O160" s="1007" t="s">
        <v>648</v>
      </c>
      <c r="P160" s="1007" t="s">
        <v>648</v>
      </c>
      <c r="S160" s="1008" t="s">
        <v>650</v>
      </c>
      <c r="T160" s="1008" t="s">
        <v>21</v>
      </c>
      <c r="U160" s="1008" t="s">
        <v>649</v>
      </c>
      <c r="V160" s="1008" t="s">
        <v>648</v>
      </c>
      <c r="W160" s="1008" t="s">
        <v>546</v>
      </c>
      <c r="X160" s="1008"/>
      <c r="Y160" s="1008"/>
      <c r="Z160" s="1008"/>
      <c r="AA160" s="1008"/>
      <c r="AB160" s="1008"/>
      <c r="AC160" s="1008"/>
      <c r="AD160" s="1008"/>
      <c r="AE160" s="1008"/>
      <c r="AF160" s="1008"/>
      <c r="AG160" s="1008"/>
      <c r="AH160" s="1008"/>
      <c r="AI160" s="1008"/>
    </row>
    <row r="161" spans="1:35">
      <c r="A161" s="1008">
        <v>23651</v>
      </c>
      <c r="C161" s="1008">
        <v>5</v>
      </c>
      <c r="D161" s="1009">
        <v>10799999</v>
      </c>
      <c r="E161" s="1009">
        <v>10499999</v>
      </c>
      <c r="F161" s="1007" t="s">
        <v>4801</v>
      </c>
      <c r="O161" s="1007" t="s">
        <v>648</v>
      </c>
      <c r="P161" s="1007" t="s">
        <v>648</v>
      </c>
      <c r="S161" s="1008" t="s">
        <v>650</v>
      </c>
      <c r="T161" s="1008" t="s">
        <v>21</v>
      </c>
      <c r="U161" s="1008" t="s">
        <v>649</v>
      </c>
      <c r="V161" s="1008" t="s">
        <v>648</v>
      </c>
      <c r="W161" s="1008" t="s">
        <v>546</v>
      </c>
      <c r="X161" s="1008"/>
      <c r="Y161" s="1008"/>
      <c r="Z161" s="1008"/>
      <c r="AA161" s="1008"/>
      <c r="AB161" s="1008"/>
      <c r="AC161" s="1008"/>
      <c r="AD161" s="1008"/>
      <c r="AE161" s="1008"/>
      <c r="AF161" s="1008"/>
      <c r="AG161" s="1008"/>
      <c r="AH161" s="1008"/>
      <c r="AI161" s="1008"/>
    </row>
    <row r="162" spans="1:35">
      <c r="A162" s="1008">
        <v>23652</v>
      </c>
      <c r="C162" s="1008">
        <v>5</v>
      </c>
      <c r="D162" s="1009">
        <v>10699999</v>
      </c>
      <c r="E162" s="1009">
        <v>10500000</v>
      </c>
      <c r="F162" s="1007" t="s">
        <v>4800</v>
      </c>
      <c r="O162" s="1007" t="s">
        <v>648</v>
      </c>
      <c r="P162" s="1007" t="s">
        <v>648</v>
      </c>
      <c r="S162" s="1008" t="s">
        <v>650</v>
      </c>
      <c r="T162" s="1008" t="s">
        <v>675</v>
      </c>
      <c r="U162" s="1008" t="s">
        <v>649</v>
      </c>
      <c r="V162" s="1008" t="s">
        <v>648</v>
      </c>
      <c r="W162" s="1008" t="s">
        <v>546</v>
      </c>
      <c r="X162" s="1008"/>
      <c r="Y162" s="1008"/>
      <c r="Z162" s="1008"/>
      <c r="AA162" s="1008"/>
      <c r="AB162" s="1008"/>
      <c r="AC162" s="1008"/>
      <c r="AD162" s="1008"/>
      <c r="AE162" s="1008"/>
      <c r="AF162" s="1008"/>
      <c r="AG162" s="1008"/>
      <c r="AH162" s="1008"/>
      <c r="AI162" s="1008"/>
    </row>
    <row r="163" spans="1:35">
      <c r="A163" s="1008">
        <v>23653</v>
      </c>
      <c r="C163" s="1008">
        <v>6</v>
      </c>
      <c r="D163" s="1009">
        <v>10510900</v>
      </c>
      <c r="E163" s="1009">
        <v>10510000</v>
      </c>
      <c r="F163" s="1007" t="s">
        <v>4799</v>
      </c>
      <c r="O163" s="1007" t="s">
        <v>648</v>
      </c>
      <c r="P163" s="1007" t="s">
        <v>648</v>
      </c>
      <c r="S163" s="1008" t="s">
        <v>650</v>
      </c>
      <c r="T163" s="1008" t="s">
        <v>675</v>
      </c>
      <c r="U163" s="1008" t="s">
        <v>649</v>
      </c>
      <c r="V163" s="1008" t="s">
        <v>648</v>
      </c>
      <c r="W163" s="1008" t="s">
        <v>546</v>
      </c>
      <c r="X163" s="1008"/>
      <c r="Y163" s="1008"/>
      <c r="Z163" s="1008"/>
      <c r="AA163" s="1008"/>
      <c r="AB163" s="1008"/>
      <c r="AC163" s="1008"/>
      <c r="AD163" s="1008"/>
      <c r="AE163" s="1008"/>
      <c r="AF163" s="1008"/>
      <c r="AG163" s="1008"/>
      <c r="AH163" s="1008"/>
      <c r="AI163" s="1008"/>
    </row>
    <row r="164" spans="1:35">
      <c r="A164" s="1008">
        <v>23654</v>
      </c>
      <c r="B164" s="1008">
        <v>836</v>
      </c>
      <c r="C164" s="1008">
        <v>7</v>
      </c>
      <c r="D164" s="1009">
        <v>10510900</v>
      </c>
      <c r="E164" s="1009">
        <v>10510100</v>
      </c>
      <c r="F164" s="1007" t="s">
        <v>4798</v>
      </c>
      <c r="G164" s="1007">
        <v>8</v>
      </c>
      <c r="H164" s="1010">
        <v>99999999</v>
      </c>
      <c r="I164" s="1009">
        <v>10510100</v>
      </c>
      <c r="J164" s="1007" t="s">
        <v>4798</v>
      </c>
      <c r="O164" s="1007" t="s">
        <v>648</v>
      </c>
      <c r="P164" s="1007" t="s">
        <v>648</v>
      </c>
      <c r="S164" s="1008" t="s">
        <v>650</v>
      </c>
      <c r="T164" s="1008" t="s">
        <v>654</v>
      </c>
      <c r="U164" s="1008" t="s">
        <v>649</v>
      </c>
      <c r="V164" s="1008" t="s">
        <v>648</v>
      </c>
      <c r="W164" s="1008" t="s">
        <v>546</v>
      </c>
      <c r="X164" s="1008" t="s">
        <v>670</v>
      </c>
      <c r="Y164" s="1008" t="s">
        <v>670</v>
      </c>
      <c r="Z164" s="1008" t="s">
        <v>670</v>
      </c>
      <c r="AA164" s="1008"/>
      <c r="AB164" s="1008" t="s">
        <v>670</v>
      </c>
      <c r="AC164" s="1008"/>
      <c r="AD164" s="1008"/>
      <c r="AE164" s="1008"/>
      <c r="AF164" s="1008" t="s">
        <v>670</v>
      </c>
      <c r="AG164" s="1008"/>
      <c r="AH164" s="1008"/>
      <c r="AI164" s="1008"/>
    </row>
    <row r="165" spans="1:35">
      <c r="A165" s="1008">
        <v>23655</v>
      </c>
      <c r="B165" s="1008">
        <v>838</v>
      </c>
      <c r="C165" s="1008">
        <v>7</v>
      </c>
      <c r="D165" s="1009">
        <v>10510900</v>
      </c>
      <c r="E165" s="1009">
        <v>10510200</v>
      </c>
      <c r="F165" s="1007" t="s">
        <v>4797</v>
      </c>
      <c r="G165" s="1007">
        <v>8</v>
      </c>
      <c r="H165" s="1010">
        <v>99999999</v>
      </c>
      <c r="I165" s="1009">
        <v>10510200</v>
      </c>
      <c r="J165" s="1007" t="s">
        <v>4797</v>
      </c>
      <c r="O165" s="1007" t="s">
        <v>648</v>
      </c>
      <c r="P165" s="1007" t="s">
        <v>648</v>
      </c>
      <c r="S165" s="1008" t="s">
        <v>650</v>
      </c>
      <c r="T165" s="1008" t="s">
        <v>654</v>
      </c>
      <c r="U165" s="1008" t="s">
        <v>649</v>
      </c>
      <c r="V165" s="1008" t="s">
        <v>648</v>
      </c>
      <c r="W165" s="1008" t="s">
        <v>546</v>
      </c>
      <c r="X165" s="1008" t="s">
        <v>670</v>
      </c>
      <c r="Y165" s="1008" t="s">
        <v>670</v>
      </c>
      <c r="Z165" s="1008" t="s">
        <v>670</v>
      </c>
      <c r="AA165" s="1008"/>
      <c r="AB165" s="1008" t="s">
        <v>670</v>
      </c>
      <c r="AC165" s="1008"/>
      <c r="AD165" s="1008"/>
      <c r="AE165" s="1008"/>
      <c r="AF165" s="1008" t="s">
        <v>670</v>
      </c>
      <c r="AG165" s="1008"/>
      <c r="AH165" s="1008"/>
      <c r="AI165" s="1008"/>
    </row>
    <row r="166" spans="1:35">
      <c r="A166" s="1008">
        <v>26483</v>
      </c>
      <c r="B166" s="1008">
        <v>839</v>
      </c>
      <c r="C166" s="1008">
        <v>7</v>
      </c>
      <c r="D166" s="1009">
        <v>10510900</v>
      </c>
      <c r="E166" s="1009">
        <v>10510300</v>
      </c>
      <c r="F166" s="1007" t="s">
        <v>4796</v>
      </c>
      <c r="G166" s="1007">
        <v>8</v>
      </c>
      <c r="H166" s="1010">
        <v>99999999</v>
      </c>
      <c r="I166" s="1009">
        <v>10510300</v>
      </c>
      <c r="J166" s="1007" t="s">
        <v>4796</v>
      </c>
      <c r="O166" s="1007" t="s">
        <v>648</v>
      </c>
      <c r="P166" s="1007" t="s">
        <v>648</v>
      </c>
      <c r="S166" s="1008" t="s">
        <v>650</v>
      </c>
      <c r="T166" s="1008" t="s">
        <v>654</v>
      </c>
      <c r="U166" s="1008" t="s">
        <v>649</v>
      </c>
      <c r="V166" s="1008" t="s">
        <v>648</v>
      </c>
      <c r="W166" s="1008" t="s">
        <v>546</v>
      </c>
      <c r="X166" s="1008" t="s">
        <v>670</v>
      </c>
      <c r="Y166" s="1008" t="s">
        <v>670</v>
      </c>
      <c r="Z166" s="1008" t="s">
        <v>670</v>
      </c>
      <c r="AA166" s="1008"/>
      <c r="AB166" s="1008" t="s">
        <v>670</v>
      </c>
      <c r="AC166" s="1008"/>
      <c r="AD166" s="1008"/>
      <c r="AE166" s="1008"/>
      <c r="AF166" s="1008" t="s">
        <v>670</v>
      </c>
      <c r="AG166" s="1008"/>
      <c r="AH166" s="1008"/>
      <c r="AI166" s="1008"/>
    </row>
    <row r="167" spans="1:35">
      <c r="A167" s="1008">
        <v>23656</v>
      </c>
      <c r="B167" s="1008">
        <v>837</v>
      </c>
      <c r="C167" s="1008">
        <v>7</v>
      </c>
      <c r="D167" s="1009">
        <v>10510900</v>
      </c>
      <c r="E167" s="1009">
        <v>10510400</v>
      </c>
      <c r="F167" s="1007" t="s">
        <v>4795</v>
      </c>
      <c r="G167" s="1007">
        <v>8</v>
      </c>
      <c r="H167" s="1010">
        <v>99999999</v>
      </c>
      <c r="I167" s="1009">
        <v>10510400</v>
      </c>
      <c r="J167" s="1007" t="s">
        <v>4795</v>
      </c>
      <c r="O167" s="1007" t="s">
        <v>648</v>
      </c>
      <c r="P167" s="1007" t="s">
        <v>648</v>
      </c>
      <c r="S167" s="1008" t="s">
        <v>650</v>
      </c>
      <c r="T167" s="1008" t="s">
        <v>654</v>
      </c>
      <c r="U167" s="1008" t="s">
        <v>649</v>
      </c>
      <c r="V167" s="1008" t="s">
        <v>648</v>
      </c>
      <c r="W167" s="1008" t="s">
        <v>546</v>
      </c>
      <c r="X167" s="1008" t="s">
        <v>670</v>
      </c>
      <c r="Y167" s="1008" t="s">
        <v>670</v>
      </c>
      <c r="Z167" s="1008" t="s">
        <v>670</v>
      </c>
      <c r="AA167" s="1008"/>
      <c r="AB167" s="1008" t="s">
        <v>670</v>
      </c>
      <c r="AC167" s="1008"/>
      <c r="AD167" s="1008" t="s">
        <v>670</v>
      </c>
      <c r="AE167" s="1008"/>
      <c r="AF167" s="1008" t="s">
        <v>670</v>
      </c>
      <c r="AG167" s="1008"/>
      <c r="AH167" s="1008"/>
      <c r="AI167" s="1008"/>
    </row>
    <row r="168" spans="1:35">
      <c r="A168" s="1008">
        <v>26482</v>
      </c>
      <c r="B168" s="1008">
        <v>1155</v>
      </c>
      <c r="C168" s="1008">
        <v>7</v>
      </c>
      <c r="D168" s="1009">
        <v>10510900</v>
      </c>
      <c r="E168" s="1009">
        <v>10510500</v>
      </c>
      <c r="F168" s="1007" t="s">
        <v>4794</v>
      </c>
      <c r="G168" s="1007">
        <v>8</v>
      </c>
      <c r="H168" s="1010">
        <v>99999999</v>
      </c>
      <c r="I168" s="1009">
        <v>10510500</v>
      </c>
      <c r="J168" s="1007" t="s">
        <v>4794</v>
      </c>
      <c r="O168" s="1007" t="s">
        <v>648</v>
      </c>
      <c r="P168" s="1007" t="s">
        <v>648</v>
      </c>
      <c r="S168" s="1008" t="s">
        <v>650</v>
      </c>
      <c r="T168" s="1008" t="s">
        <v>654</v>
      </c>
      <c r="U168" s="1008" t="s">
        <v>649</v>
      </c>
      <c r="V168" s="1008" t="s">
        <v>648</v>
      </c>
      <c r="W168" s="1008" t="s">
        <v>546</v>
      </c>
      <c r="X168" s="1008" t="s">
        <v>670</v>
      </c>
      <c r="Y168" s="1008" t="s">
        <v>670</v>
      </c>
      <c r="Z168" s="1008" t="s">
        <v>670</v>
      </c>
      <c r="AA168" s="1008"/>
      <c r="AB168" s="1008"/>
      <c r="AC168" s="1008"/>
      <c r="AD168" s="1008"/>
      <c r="AE168" s="1008"/>
      <c r="AF168" s="1008" t="s">
        <v>670</v>
      </c>
      <c r="AG168" s="1008"/>
      <c r="AH168" s="1008"/>
      <c r="AI168" s="1008"/>
    </row>
    <row r="169" spans="1:35">
      <c r="A169" s="1008">
        <v>23657</v>
      </c>
      <c r="B169" s="1008">
        <v>1156</v>
      </c>
      <c r="C169" s="1008">
        <v>7</v>
      </c>
      <c r="D169" s="1009">
        <v>10510900</v>
      </c>
      <c r="E169" s="1009">
        <v>10510600</v>
      </c>
      <c r="F169" s="1007" t="s">
        <v>4793</v>
      </c>
      <c r="G169" s="1007">
        <v>8</v>
      </c>
      <c r="H169" s="1010">
        <v>99999999</v>
      </c>
      <c r="I169" s="1009">
        <v>10510600</v>
      </c>
      <c r="J169" s="1007" t="s">
        <v>4793</v>
      </c>
      <c r="O169" s="1007" t="s">
        <v>648</v>
      </c>
      <c r="P169" s="1007" t="s">
        <v>648</v>
      </c>
      <c r="S169" s="1008" t="s">
        <v>650</v>
      </c>
      <c r="T169" s="1008" t="s">
        <v>654</v>
      </c>
      <c r="U169" s="1008" t="s">
        <v>649</v>
      </c>
      <c r="V169" s="1008" t="s">
        <v>648</v>
      </c>
      <c r="W169" s="1008" t="s">
        <v>546</v>
      </c>
      <c r="X169" s="1008" t="s">
        <v>670</v>
      </c>
      <c r="Y169" s="1008" t="s">
        <v>670</v>
      </c>
      <c r="Z169" s="1008" t="s">
        <v>670</v>
      </c>
      <c r="AA169" s="1008"/>
      <c r="AB169" s="1008"/>
      <c r="AC169" s="1008"/>
      <c r="AD169" s="1008"/>
      <c r="AE169" s="1008"/>
      <c r="AF169" s="1008" t="s">
        <v>670</v>
      </c>
      <c r="AG169" s="1008"/>
      <c r="AH169" s="1008"/>
      <c r="AI169" s="1008"/>
    </row>
    <row r="170" spans="1:35">
      <c r="A170" s="1008">
        <v>23658</v>
      </c>
      <c r="B170" s="1008">
        <v>1157</v>
      </c>
      <c r="C170" s="1008">
        <v>7</v>
      </c>
      <c r="D170" s="1009">
        <v>10510900</v>
      </c>
      <c r="E170" s="1009">
        <v>10510700</v>
      </c>
      <c r="F170" s="1007" t="s">
        <v>4792</v>
      </c>
      <c r="G170" s="1007">
        <v>8</v>
      </c>
      <c r="H170" s="1010">
        <v>99999999</v>
      </c>
      <c r="I170" s="1009">
        <v>10510700</v>
      </c>
      <c r="J170" s="1007" t="s">
        <v>4792</v>
      </c>
      <c r="O170" s="1007" t="s">
        <v>648</v>
      </c>
      <c r="P170" s="1007" t="s">
        <v>648</v>
      </c>
      <c r="S170" s="1008" t="s">
        <v>650</v>
      </c>
      <c r="T170" s="1008" t="s">
        <v>654</v>
      </c>
      <c r="U170" s="1008" t="s">
        <v>649</v>
      </c>
      <c r="V170" s="1008" t="s">
        <v>648</v>
      </c>
      <c r="W170" s="1008" t="s">
        <v>546</v>
      </c>
      <c r="X170" s="1008" t="s">
        <v>670</v>
      </c>
      <c r="Y170" s="1008" t="s">
        <v>670</v>
      </c>
      <c r="Z170" s="1008" t="s">
        <v>670</v>
      </c>
      <c r="AA170" s="1008"/>
      <c r="AB170" s="1008"/>
      <c r="AC170" s="1008"/>
      <c r="AD170" s="1008"/>
      <c r="AE170" s="1008"/>
      <c r="AF170" s="1008" t="s">
        <v>670</v>
      </c>
      <c r="AG170" s="1008"/>
      <c r="AH170" s="1008"/>
      <c r="AI170" s="1008"/>
    </row>
    <row r="171" spans="1:35">
      <c r="A171" s="1008">
        <v>23659</v>
      </c>
      <c r="C171" s="1008">
        <v>6</v>
      </c>
      <c r="D171" s="1009">
        <v>10699999</v>
      </c>
      <c r="E171" s="1009">
        <v>10510900</v>
      </c>
      <c r="F171" s="1007" t="s">
        <v>4791</v>
      </c>
      <c r="O171" s="1007" t="s">
        <v>648</v>
      </c>
      <c r="P171" s="1007" t="s">
        <v>648</v>
      </c>
      <c r="S171" s="1008" t="s">
        <v>650</v>
      </c>
      <c r="T171" s="1008" t="s">
        <v>21</v>
      </c>
      <c r="U171" s="1008" t="s">
        <v>649</v>
      </c>
      <c r="V171" s="1008" t="s">
        <v>648</v>
      </c>
      <c r="W171" s="1008" t="s">
        <v>546</v>
      </c>
      <c r="X171" s="1008"/>
      <c r="Y171" s="1008"/>
      <c r="Z171" s="1008"/>
      <c r="AA171" s="1008"/>
      <c r="AB171" s="1008"/>
      <c r="AC171" s="1008"/>
      <c r="AD171" s="1008"/>
      <c r="AE171" s="1008"/>
      <c r="AF171" s="1008"/>
      <c r="AG171" s="1008"/>
      <c r="AH171" s="1008"/>
      <c r="AI171" s="1008"/>
    </row>
    <row r="172" spans="1:35">
      <c r="A172" s="1008">
        <v>23660</v>
      </c>
      <c r="C172" s="1008">
        <v>6</v>
      </c>
      <c r="D172" s="1009">
        <v>10520900</v>
      </c>
      <c r="E172" s="1009">
        <v>10520000</v>
      </c>
      <c r="F172" s="1007" t="s">
        <v>4790</v>
      </c>
      <c r="O172" s="1007" t="s">
        <v>648</v>
      </c>
      <c r="P172" s="1007" t="s">
        <v>648</v>
      </c>
      <c r="S172" s="1008" t="s">
        <v>650</v>
      </c>
      <c r="T172" s="1008" t="s">
        <v>675</v>
      </c>
      <c r="U172" s="1008" t="s">
        <v>649</v>
      </c>
      <c r="V172" s="1008" t="s">
        <v>648</v>
      </c>
      <c r="W172" s="1008" t="s">
        <v>546</v>
      </c>
      <c r="X172" s="1008"/>
      <c r="Y172" s="1008"/>
      <c r="Z172" s="1008"/>
      <c r="AA172" s="1008"/>
      <c r="AB172" s="1008"/>
      <c r="AC172" s="1008"/>
      <c r="AD172" s="1008"/>
      <c r="AE172" s="1008"/>
      <c r="AF172" s="1008"/>
      <c r="AG172" s="1008"/>
      <c r="AH172" s="1008"/>
      <c r="AI172" s="1008"/>
    </row>
    <row r="173" spans="1:35">
      <c r="A173" s="1008">
        <v>23661</v>
      </c>
      <c r="B173" s="1008">
        <v>487</v>
      </c>
      <c r="C173" s="1008">
        <v>7</v>
      </c>
      <c r="D173" s="1009">
        <v>10520900</v>
      </c>
      <c r="E173" s="1009">
        <v>10520200</v>
      </c>
      <c r="F173" s="1007" t="s">
        <v>4789</v>
      </c>
      <c r="G173" s="1007">
        <v>8</v>
      </c>
      <c r="H173" s="1010">
        <v>99999999</v>
      </c>
      <c r="I173" s="1009">
        <v>10520200</v>
      </c>
      <c r="J173" s="1007" t="s">
        <v>4789</v>
      </c>
      <c r="O173" s="1007" t="s">
        <v>648</v>
      </c>
      <c r="P173" s="1007" t="s">
        <v>648</v>
      </c>
      <c r="S173" s="1008" t="s">
        <v>650</v>
      </c>
      <c r="T173" s="1008" t="s">
        <v>654</v>
      </c>
      <c r="U173" s="1008" t="s">
        <v>649</v>
      </c>
      <c r="V173" s="1008" t="s">
        <v>648</v>
      </c>
      <c r="W173" s="1008" t="s">
        <v>546</v>
      </c>
      <c r="X173" s="1008" t="s">
        <v>670</v>
      </c>
      <c r="Y173" s="1008" t="s">
        <v>670</v>
      </c>
      <c r="Z173" s="1008"/>
      <c r="AA173" s="1008"/>
      <c r="AB173" s="1008"/>
      <c r="AC173" s="1008"/>
      <c r="AD173" s="1008"/>
      <c r="AE173" s="1008"/>
      <c r="AF173" s="1008" t="s">
        <v>670</v>
      </c>
      <c r="AG173" s="1008"/>
      <c r="AH173" s="1008"/>
      <c r="AI173" s="1008"/>
    </row>
    <row r="174" spans="1:35">
      <c r="A174" s="1008">
        <v>23662</v>
      </c>
      <c r="B174" s="1008">
        <v>1397</v>
      </c>
      <c r="C174" s="1008">
        <v>7</v>
      </c>
      <c r="D174" s="1009">
        <v>10520900</v>
      </c>
      <c r="E174" s="1009">
        <v>10520300</v>
      </c>
      <c r="F174" s="1007" t="s">
        <v>4788</v>
      </c>
      <c r="G174" s="1007">
        <v>7</v>
      </c>
      <c r="H174" s="1010">
        <v>99999999</v>
      </c>
      <c r="I174" s="1009">
        <v>10520300</v>
      </c>
      <c r="J174" s="1007" t="s">
        <v>4788</v>
      </c>
      <c r="O174" s="1007" t="s">
        <v>648</v>
      </c>
      <c r="P174" s="1007" t="s">
        <v>648</v>
      </c>
      <c r="S174" s="1008" t="s">
        <v>650</v>
      </c>
      <c r="T174" s="1008" t="s">
        <v>654</v>
      </c>
      <c r="U174" s="1008" t="s">
        <v>649</v>
      </c>
      <c r="V174" s="1008" t="s">
        <v>648</v>
      </c>
      <c r="W174" s="1008" t="s">
        <v>546</v>
      </c>
      <c r="X174" s="1008" t="s">
        <v>670</v>
      </c>
      <c r="Y174" s="1008" t="s">
        <v>670</v>
      </c>
      <c r="Z174" s="1008"/>
      <c r="AA174" s="1008"/>
      <c r="AB174" s="1008"/>
      <c r="AC174" s="1008"/>
      <c r="AD174" s="1008"/>
      <c r="AE174" s="1008"/>
      <c r="AF174" s="1008" t="s">
        <v>670</v>
      </c>
      <c r="AG174" s="1008"/>
      <c r="AH174" s="1008"/>
      <c r="AI174" s="1008"/>
    </row>
    <row r="175" spans="1:35">
      <c r="A175" s="1008">
        <v>26481</v>
      </c>
      <c r="B175" s="1008">
        <v>1398</v>
      </c>
      <c r="C175" s="1008">
        <v>7</v>
      </c>
      <c r="D175" s="1009">
        <v>10520900</v>
      </c>
      <c r="E175" s="1009">
        <v>10520310</v>
      </c>
      <c r="F175" s="1007" t="s">
        <v>4787</v>
      </c>
      <c r="G175" s="1007">
        <v>7</v>
      </c>
      <c r="H175" s="1010">
        <v>99999999</v>
      </c>
      <c r="I175" s="1009">
        <v>10520310</v>
      </c>
      <c r="J175" s="1007" t="s">
        <v>4787</v>
      </c>
      <c r="O175" s="1007" t="s">
        <v>648</v>
      </c>
      <c r="P175" s="1007" t="s">
        <v>648</v>
      </c>
      <c r="S175" s="1008" t="s">
        <v>650</v>
      </c>
      <c r="T175" s="1008" t="s">
        <v>654</v>
      </c>
      <c r="U175" s="1008" t="s">
        <v>649</v>
      </c>
      <c r="V175" s="1008" t="s">
        <v>648</v>
      </c>
      <c r="W175" s="1008" t="s">
        <v>546</v>
      </c>
      <c r="X175" s="1008" t="s">
        <v>670</v>
      </c>
      <c r="Y175" s="1008" t="s">
        <v>670</v>
      </c>
      <c r="Z175" s="1008"/>
      <c r="AA175" s="1008"/>
      <c r="AB175" s="1008"/>
      <c r="AC175" s="1008"/>
      <c r="AD175" s="1008"/>
      <c r="AE175" s="1008"/>
      <c r="AF175" s="1008" t="s">
        <v>670</v>
      </c>
      <c r="AG175" s="1008"/>
      <c r="AH175" s="1008"/>
      <c r="AI175" s="1008"/>
    </row>
    <row r="176" spans="1:35">
      <c r="A176" s="1008">
        <v>26480</v>
      </c>
      <c r="B176" s="1008">
        <v>1147</v>
      </c>
      <c r="C176" s="1008">
        <v>7</v>
      </c>
      <c r="D176" s="1009">
        <v>10520900</v>
      </c>
      <c r="E176" s="1009">
        <v>10520400</v>
      </c>
      <c r="F176" s="1007" t="s">
        <v>4786</v>
      </c>
      <c r="G176" s="1007">
        <v>8</v>
      </c>
      <c r="H176" s="1010">
        <v>99999999</v>
      </c>
      <c r="I176" s="1009">
        <v>10520400</v>
      </c>
      <c r="J176" s="1007" t="s">
        <v>4786</v>
      </c>
      <c r="O176" s="1007" t="s">
        <v>648</v>
      </c>
      <c r="P176" s="1007" t="s">
        <v>648</v>
      </c>
      <c r="S176" s="1008" t="s">
        <v>650</v>
      </c>
      <c r="T176" s="1008" t="s">
        <v>654</v>
      </c>
      <c r="U176" s="1008" t="s">
        <v>649</v>
      </c>
      <c r="V176" s="1008" t="s">
        <v>648</v>
      </c>
      <c r="W176" s="1008" t="s">
        <v>546</v>
      </c>
      <c r="X176" s="1008" t="s">
        <v>670</v>
      </c>
      <c r="Y176" s="1008" t="s">
        <v>670</v>
      </c>
      <c r="Z176" s="1008"/>
      <c r="AA176" s="1008"/>
      <c r="AB176" s="1008"/>
      <c r="AC176" s="1008"/>
      <c r="AD176" s="1008"/>
      <c r="AE176" s="1008"/>
      <c r="AF176" s="1008" t="s">
        <v>670</v>
      </c>
      <c r="AG176" s="1008"/>
      <c r="AH176" s="1008"/>
      <c r="AI176" s="1008"/>
    </row>
    <row r="177" spans="1:35">
      <c r="A177" s="1008">
        <v>26479</v>
      </c>
      <c r="B177" s="1008">
        <v>1400</v>
      </c>
      <c r="C177" s="1008">
        <v>7</v>
      </c>
      <c r="D177" s="1009">
        <v>10520900</v>
      </c>
      <c r="E177" s="1009">
        <v>10520410</v>
      </c>
      <c r="F177" s="1007" t="s">
        <v>4785</v>
      </c>
      <c r="G177" s="1007">
        <v>7</v>
      </c>
      <c r="H177" s="1010">
        <v>99999999</v>
      </c>
      <c r="I177" s="1009">
        <v>10520410</v>
      </c>
      <c r="J177" s="1007" t="s">
        <v>4785</v>
      </c>
      <c r="O177" s="1007" t="s">
        <v>648</v>
      </c>
      <c r="P177" s="1007" t="s">
        <v>648</v>
      </c>
      <c r="S177" s="1008" t="s">
        <v>650</v>
      </c>
      <c r="T177" s="1008" t="s">
        <v>654</v>
      </c>
      <c r="U177" s="1008" t="s">
        <v>649</v>
      </c>
      <c r="V177" s="1008" t="s">
        <v>648</v>
      </c>
      <c r="W177" s="1008" t="s">
        <v>546</v>
      </c>
      <c r="X177" s="1008" t="s">
        <v>670</v>
      </c>
      <c r="Y177" s="1008" t="s">
        <v>670</v>
      </c>
      <c r="Z177" s="1008"/>
      <c r="AA177" s="1008"/>
      <c r="AB177" s="1008"/>
      <c r="AC177" s="1008"/>
      <c r="AD177" s="1008"/>
      <c r="AE177" s="1008"/>
      <c r="AF177" s="1008" t="s">
        <v>670</v>
      </c>
      <c r="AG177" s="1008"/>
      <c r="AH177" s="1008"/>
      <c r="AI177" s="1008"/>
    </row>
    <row r="178" spans="1:35">
      <c r="A178" s="1008">
        <v>26478</v>
      </c>
      <c r="B178" s="1008">
        <v>489</v>
      </c>
      <c r="C178" s="1008">
        <v>7</v>
      </c>
      <c r="D178" s="1009">
        <v>10520900</v>
      </c>
      <c r="E178" s="1009">
        <v>10520500</v>
      </c>
      <c r="F178" s="1007" t="s">
        <v>4784</v>
      </c>
      <c r="G178" s="1007">
        <v>8</v>
      </c>
      <c r="H178" s="1010">
        <v>99999999</v>
      </c>
      <c r="I178" s="1009">
        <v>10520500</v>
      </c>
      <c r="J178" s="1007" t="s">
        <v>4784</v>
      </c>
      <c r="O178" s="1007" t="s">
        <v>648</v>
      </c>
      <c r="P178" s="1007" t="s">
        <v>648</v>
      </c>
      <c r="S178" s="1008" t="s">
        <v>650</v>
      </c>
      <c r="T178" s="1008" t="s">
        <v>654</v>
      </c>
      <c r="U178" s="1008" t="s">
        <v>649</v>
      </c>
      <c r="V178" s="1008" t="s">
        <v>648</v>
      </c>
      <c r="W178" s="1008" t="s">
        <v>546</v>
      </c>
      <c r="X178" s="1008" t="s">
        <v>670</v>
      </c>
      <c r="Y178" s="1008" t="s">
        <v>670</v>
      </c>
      <c r="Z178" s="1008"/>
      <c r="AA178" s="1008"/>
      <c r="AB178" s="1008"/>
      <c r="AC178" s="1008"/>
      <c r="AD178" s="1008"/>
      <c r="AE178" s="1008"/>
      <c r="AF178" s="1008" t="s">
        <v>670</v>
      </c>
      <c r="AG178" s="1008"/>
      <c r="AH178" s="1008"/>
      <c r="AI178" s="1008"/>
    </row>
    <row r="179" spans="1:35">
      <c r="A179" s="1008">
        <v>23663</v>
      </c>
      <c r="B179" s="1008">
        <v>1402</v>
      </c>
      <c r="C179" s="1008">
        <v>7</v>
      </c>
      <c r="D179" s="1009">
        <v>10520900</v>
      </c>
      <c r="E179" s="1009">
        <v>10520600</v>
      </c>
      <c r="F179" s="1007" t="s">
        <v>4783</v>
      </c>
      <c r="G179" s="1007">
        <v>7</v>
      </c>
      <c r="H179" s="1010">
        <v>99999999</v>
      </c>
      <c r="I179" s="1009">
        <v>10520600</v>
      </c>
      <c r="J179" s="1007" t="s">
        <v>4783</v>
      </c>
      <c r="O179" s="1007" t="s">
        <v>648</v>
      </c>
      <c r="P179" s="1007" t="s">
        <v>648</v>
      </c>
      <c r="S179" s="1008" t="s">
        <v>650</v>
      </c>
      <c r="T179" s="1008" t="s">
        <v>654</v>
      </c>
      <c r="U179" s="1008" t="s">
        <v>649</v>
      </c>
      <c r="V179" s="1008" t="s">
        <v>648</v>
      </c>
      <c r="W179" s="1008" t="s">
        <v>546</v>
      </c>
      <c r="X179" s="1008" t="s">
        <v>670</v>
      </c>
      <c r="Y179" s="1008" t="s">
        <v>670</v>
      </c>
      <c r="Z179" s="1008"/>
      <c r="AA179" s="1008"/>
      <c r="AB179" s="1008"/>
      <c r="AC179" s="1008"/>
      <c r="AD179" s="1008"/>
      <c r="AE179" s="1008"/>
      <c r="AF179" s="1008" t="s">
        <v>670</v>
      </c>
      <c r="AG179" s="1008"/>
      <c r="AH179" s="1008"/>
      <c r="AI179" s="1008"/>
    </row>
    <row r="180" spans="1:35">
      <c r="A180" s="1008">
        <v>26477</v>
      </c>
      <c r="B180" s="1008">
        <v>1403</v>
      </c>
      <c r="C180" s="1008">
        <v>7</v>
      </c>
      <c r="D180" s="1009">
        <v>10520900</v>
      </c>
      <c r="E180" s="1009">
        <v>10520610</v>
      </c>
      <c r="F180" s="1007" t="s">
        <v>4782</v>
      </c>
      <c r="G180" s="1007">
        <v>7</v>
      </c>
      <c r="H180" s="1010">
        <v>99999999</v>
      </c>
      <c r="I180" s="1009">
        <v>10520610</v>
      </c>
      <c r="J180" s="1007" t="s">
        <v>4782</v>
      </c>
      <c r="O180" s="1007" t="s">
        <v>648</v>
      </c>
      <c r="P180" s="1007" t="s">
        <v>648</v>
      </c>
      <c r="S180" s="1008" t="s">
        <v>650</v>
      </c>
      <c r="T180" s="1008" t="s">
        <v>654</v>
      </c>
      <c r="U180" s="1008" t="s">
        <v>649</v>
      </c>
      <c r="V180" s="1008" t="s">
        <v>648</v>
      </c>
      <c r="W180" s="1008" t="s">
        <v>546</v>
      </c>
      <c r="X180" s="1008" t="s">
        <v>670</v>
      </c>
      <c r="Y180" s="1008" t="s">
        <v>670</v>
      </c>
      <c r="Z180" s="1008"/>
      <c r="AA180" s="1008"/>
      <c r="AB180" s="1008"/>
      <c r="AC180" s="1008"/>
      <c r="AD180" s="1008"/>
      <c r="AE180" s="1008"/>
      <c r="AF180" s="1008" t="s">
        <v>670</v>
      </c>
      <c r="AG180" s="1008"/>
      <c r="AH180" s="1008"/>
      <c r="AI180" s="1008"/>
    </row>
    <row r="181" spans="1:35">
      <c r="A181" s="1008">
        <v>23664</v>
      </c>
      <c r="B181" s="1008">
        <v>1404</v>
      </c>
      <c r="C181" s="1008">
        <v>7</v>
      </c>
      <c r="D181" s="1009">
        <v>10520900</v>
      </c>
      <c r="E181" s="1009">
        <v>10520700</v>
      </c>
      <c r="F181" s="1007" t="s">
        <v>4781</v>
      </c>
      <c r="G181" s="1007">
        <v>7</v>
      </c>
      <c r="H181" s="1010">
        <v>99999999</v>
      </c>
      <c r="I181" s="1009">
        <v>10520700</v>
      </c>
      <c r="J181" s="1007" t="s">
        <v>4781</v>
      </c>
      <c r="O181" s="1007" t="s">
        <v>648</v>
      </c>
      <c r="P181" s="1007" t="s">
        <v>648</v>
      </c>
      <c r="S181" s="1008" t="s">
        <v>650</v>
      </c>
      <c r="T181" s="1008" t="s">
        <v>654</v>
      </c>
      <c r="U181" s="1008" t="s">
        <v>649</v>
      </c>
      <c r="V181" s="1008" t="s">
        <v>648</v>
      </c>
      <c r="W181" s="1008" t="s">
        <v>546</v>
      </c>
      <c r="X181" s="1008" t="s">
        <v>670</v>
      </c>
      <c r="Y181" s="1008" t="s">
        <v>670</v>
      </c>
      <c r="Z181" s="1008"/>
      <c r="AA181" s="1008"/>
      <c r="AB181" s="1008"/>
      <c r="AC181" s="1008"/>
      <c r="AD181" s="1008"/>
      <c r="AE181" s="1008"/>
      <c r="AF181" s="1008" t="s">
        <v>670</v>
      </c>
      <c r="AG181" s="1008"/>
      <c r="AH181" s="1008"/>
      <c r="AI181" s="1008"/>
    </row>
    <row r="182" spans="1:35">
      <c r="A182" s="1008">
        <v>23665</v>
      </c>
      <c r="B182" s="1008">
        <v>4725</v>
      </c>
      <c r="C182" s="1008">
        <v>7</v>
      </c>
      <c r="D182" s="1009">
        <v>10520900</v>
      </c>
      <c r="E182" s="1009">
        <v>10520800</v>
      </c>
      <c r="F182" s="1007" t="s">
        <v>4780</v>
      </c>
      <c r="G182" s="1007">
        <v>7</v>
      </c>
      <c r="H182" s="1010">
        <v>99999999</v>
      </c>
      <c r="I182" s="1009">
        <v>10520800</v>
      </c>
      <c r="J182" s="1007" t="s">
        <v>4780</v>
      </c>
      <c r="O182" s="1007" t="s">
        <v>648</v>
      </c>
      <c r="P182" s="1007" t="s">
        <v>648</v>
      </c>
      <c r="S182" s="1008" t="s">
        <v>650</v>
      </c>
      <c r="T182" s="1008" t="s">
        <v>654</v>
      </c>
      <c r="U182" s="1008" t="s">
        <v>649</v>
      </c>
      <c r="V182" s="1008" t="s">
        <v>648</v>
      </c>
      <c r="W182" s="1008" t="s">
        <v>546</v>
      </c>
      <c r="X182" s="1008" t="s">
        <v>670</v>
      </c>
      <c r="Y182" s="1008" t="s">
        <v>670</v>
      </c>
      <c r="Z182" s="1008"/>
      <c r="AA182" s="1008"/>
      <c r="AB182" s="1008"/>
      <c r="AC182" s="1008"/>
      <c r="AD182" s="1008"/>
      <c r="AE182" s="1008"/>
      <c r="AF182" s="1008" t="s">
        <v>670</v>
      </c>
      <c r="AG182" s="1008"/>
      <c r="AH182" s="1008"/>
      <c r="AI182" s="1008"/>
    </row>
    <row r="183" spans="1:35">
      <c r="A183" s="1008">
        <v>23666</v>
      </c>
      <c r="C183" s="1008">
        <v>6</v>
      </c>
      <c r="D183" s="1009">
        <v>10699999</v>
      </c>
      <c r="E183" s="1009">
        <v>10520900</v>
      </c>
      <c r="F183" s="1007" t="s">
        <v>4779</v>
      </c>
      <c r="O183" s="1007" t="s">
        <v>648</v>
      </c>
      <c r="P183" s="1007" t="s">
        <v>648</v>
      </c>
      <c r="S183" s="1008" t="s">
        <v>650</v>
      </c>
      <c r="T183" s="1008" t="s">
        <v>21</v>
      </c>
      <c r="U183" s="1008" t="s">
        <v>649</v>
      </c>
      <c r="V183" s="1008" t="s">
        <v>648</v>
      </c>
      <c r="W183" s="1008" t="s">
        <v>546</v>
      </c>
      <c r="X183" s="1008"/>
      <c r="Y183" s="1008"/>
      <c r="Z183" s="1008"/>
      <c r="AA183" s="1008"/>
      <c r="AB183" s="1008"/>
      <c r="AC183" s="1008"/>
      <c r="AD183" s="1008"/>
      <c r="AE183" s="1008"/>
      <c r="AF183" s="1008"/>
      <c r="AG183" s="1008"/>
      <c r="AH183" s="1008"/>
      <c r="AI183" s="1008"/>
    </row>
    <row r="184" spans="1:35">
      <c r="A184" s="1008">
        <v>23667</v>
      </c>
      <c r="C184" s="1008">
        <v>6</v>
      </c>
      <c r="D184" s="1009">
        <v>10530900</v>
      </c>
      <c r="E184" s="1009">
        <v>10530000</v>
      </c>
      <c r="F184" s="1007" t="s">
        <v>4778</v>
      </c>
      <c r="O184" s="1007" t="s">
        <v>648</v>
      </c>
      <c r="P184" s="1007" t="s">
        <v>648</v>
      </c>
      <c r="S184" s="1008" t="s">
        <v>650</v>
      </c>
      <c r="T184" s="1008" t="s">
        <v>675</v>
      </c>
      <c r="U184" s="1008" t="s">
        <v>649</v>
      </c>
      <c r="V184" s="1008" t="s">
        <v>648</v>
      </c>
      <c r="W184" s="1008" t="s">
        <v>546</v>
      </c>
      <c r="X184" s="1008"/>
      <c r="Y184" s="1008"/>
      <c r="Z184" s="1008"/>
      <c r="AA184" s="1008"/>
      <c r="AB184" s="1008"/>
      <c r="AC184" s="1008"/>
      <c r="AD184" s="1008"/>
      <c r="AE184" s="1008"/>
      <c r="AF184" s="1008"/>
      <c r="AG184" s="1008"/>
      <c r="AH184" s="1008"/>
      <c r="AI184" s="1008"/>
    </row>
    <row r="185" spans="1:35">
      <c r="A185" s="1008">
        <v>23668</v>
      </c>
      <c r="B185" s="1008">
        <v>492</v>
      </c>
      <c r="C185" s="1008">
        <v>7</v>
      </c>
      <c r="D185" s="1009">
        <v>10530900</v>
      </c>
      <c r="E185" s="1009">
        <v>10530200</v>
      </c>
      <c r="F185" s="1007" t="s">
        <v>4777</v>
      </c>
      <c r="G185" s="1007">
        <v>8</v>
      </c>
      <c r="H185" s="1010">
        <v>99999999</v>
      </c>
      <c r="I185" s="1009">
        <v>10530200</v>
      </c>
      <c r="J185" s="1007" t="s">
        <v>4777</v>
      </c>
      <c r="O185" s="1007" t="s">
        <v>648</v>
      </c>
      <c r="P185" s="1007" t="s">
        <v>648</v>
      </c>
      <c r="S185" s="1008" t="s">
        <v>650</v>
      </c>
      <c r="T185" s="1008" t="s">
        <v>654</v>
      </c>
      <c r="U185" s="1008" t="s">
        <v>649</v>
      </c>
      <c r="V185" s="1008" t="s">
        <v>648</v>
      </c>
      <c r="W185" s="1008" t="s">
        <v>546</v>
      </c>
      <c r="X185" s="1008" t="s">
        <v>670</v>
      </c>
      <c r="Y185" s="1008" t="s">
        <v>670</v>
      </c>
      <c r="Z185" s="1008"/>
      <c r="AA185" s="1008"/>
      <c r="AB185" s="1008"/>
      <c r="AC185" s="1008"/>
      <c r="AD185" s="1008"/>
      <c r="AE185" s="1008"/>
      <c r="AF185" s="1008" t="s">
        <v>670</v>
      </c>
      <c r="AG185" s="1008"/>
      <c r="AH185" s="1008"/>
      <c r="AI185" s="1008"/>
    </row>
    <row r="186" spans="1:35">
      <c r="A186" s="1008">
        <v>23669</v>
      </c>
      <c r="B186" s="1008">
        <v>1407</v>
      </c>
      <c r="C186" s="1008">
        <v>7</v>
      </c>
      <c r="D186" s="1009">
        <v>10530900</v>
      </c>
      <c r="E186" s="1009">
        <v>10530300</v>
      </c>
      <c r="F186" s="1007" t="s">
        <v>4776</v>
      </c>
      <c r="G186" s="1007">
        <v>7</v>
      </c>
      <c r="H186" s="1010">
        <v>99999999</v>
      </c>
      <c r="I186" s="1009">
        <v>10530300</v>
      </c>
      <c r="J186" s="1007" t="s">
        <v>4776</v>
      </c>
      <c r="O186" s="1007" t="s">
        <v>648</v>
      </c>
      <c r="P186" s="1007" t="s">
        <v>648</v>
      </c>
      <c r="S186" s="1008" t="s">
        <v>650</v>
      </c>
      <c r="T186" s="1008" t="s">
        <v>654</v>
      </c>
      <c r="U186" s="1008" t="s">
        <v>649</v>
      </c>
      <c r="V186" s="1008" t="s">
        <v>648</v>
      </c>
      <c r="W186" s="1008" t="s">
        <v>546</v>
      </c>
      <c r="X186" s="1008" t="s">
        <v>670</v>
      </c>
      <c r="Y186" s="1008" t="s">
        <v>670</v>
      </c>
      <c r="Z186" s="1008"/>
      <c r="AA186" s="1008"/>
      <c r="AB186" s="1008"/>
      <c r="AC186" s="1008"/>
      <c r="AD186" s="1008"/>
      <c r="AE186" s="1008"/>
      <c r="AF186" s="1008" t="s">
        <v>670</v>
      </c>
      <c r="AG186" s="1008"/>
      <c r="AH186" s="1008"/>
      <c r="AI186" s="1008"/>
    </row>
    <row r="187" spans="1:35">
      <c r="A187" s="1008">
        <v>26475</v>
      </c>
      <c r="B187" s="1008">
        <v>1408</v>
      </c>
      <c r="C187" s="1008">
        <v>7</v>
      </c>
      <c r="D187" s="1009">
        <v>10530900</v>
      </c>
      <c r="E187" s="1009">
        <v>10530310</v>
      </c>
      <c r="F187" s="1007" t="s">
        <v>4775</v>
      </c>
      <c r="G187" s="1007">
        <v>7</v>
      </c>
      <c r="H187" s="1010">
        <v>99999999</v>
      </c>
      <c r="I187" s="1009">
        <v>10530310</v>
      </c>
      <c r="J187" s="1007" t="s">
        <v>4775</v>
      </c>
      <c r="O187" s="1007" t="s">
        <v>648</v>
      </c>
      <c r="P187" s="1007" t="s">
        <v>648</v>
      </c>
      <c r="S187" s="1008" t="s">
        <v>650</v>
      </c>
      <c r="T187" s="1008" t="s">
        <v>654</v>
      </c>
      <c r="U187" s="1008" t="s">
        <v>649</v>
      </c>
      <c r="V187" s="1008" t="s">
        <v>648</v>
      </c>
      <c r="W187" s="1008" t="s">
        <v>546</v>
      </c>
      <c r="X187" s="1008" t="s">
        <v>670</v>
      </c>
      <c r="Y187" s="1008" t="s">
        <v>670</v>
      </c>
      <c r="Z187" s="1008"/>
      <c r="AA187" s="1008"/>
      <c r="AB187" s="1008"/>
      <c r="AC187" s="1008"/>
      <c r="AD187" s="1008"/>
      <c r="AE187" s="1008"/>
      <c r="AF187" s="1008" t="s">
        <v>670</v>
      </c>
      <c r="AG187" s="1008"/>
      <c r="AH187" s="1008"/>
      <c r="AI187" s="1008"/>
    </row>
    <row r="188" spans="1:35">
      <c r="A188" s="1008">
        <v>26474</v>
      </c>
      <c r="B188" s="1008">
        <v>491</v>
      </c>
      <c r="C188" s="1008">
        <v>7</v>
      </c>
      <c r="D188" s="1009">
        <v>10530900</v>
      </c>
      <c r="E188" s="1009">
        <v>10530400</v>
      </c>
      <c r="F188" s="1007" t="s">
        <v>4774</v>
      </c>
      <c r="G188" s="1007">
        <v>8</v>
      </c>
      <c r="H188" s="1010">
        <v>99999999</v>
      </c>
      <c r="I188" s="1009">
        <v>10530400</v>
      </c>
      <c r="J188" s="1007" t="s">
        <v>4774</v>
      </c>
      <c r="O188" s="1007" t="s">
        <v>648</v>
      </c>
      <c r="P188" s="1007" t="s">
        <v>648</v>
      </c>
      <c r="S188" s="1008" t="s">
        <v>650</v>
      </c>
      <c r="T188" s="1008" t="s">
        <v>654</v>
      </c>
      <c r="U188" s="1008" t="s">
        <v>649</v>
      </c>
      <c r="V188" s="1008" t="s">
        <v>648</v>
      </c>
      <c r="W188" s="1008" t="s">
        <v>546</v>
      </c>
      <c r="X188" s="1008" t="s">
        <v>670</v>
      </c>
      <c r="Y188" s="1008" t="s">
        <v>670</v>
      </c>
      <c r="Z188" s="1008"/>
      <c r="AA188" s="1008"/>
      <c r="AB188" s="1008"/>
      <c r="AC188" s="1008"/>
      <c r="AD188" s="1008"/>
      <c r="AE188" s="1008"/>
      <c r="AF188" s="1008" t="s">
        <v>670</v>
      </c>
      <c r="AG188" s="1008"/>
      <c r="AH188" s="1008"/>
      <c r="AI188" s="1008"/>
    </row>
    <row r="189" spans="1:35">
      <c r="A189" s="1008">
        <v>26472</v>
      </c>
      <c r="B189" s="1008">
        <v>1410</v>
      </c>
      <c r="C189" s="1008">
        <v>7</v>
      </c>
      <c r="D189" s="1009">
        <v>10530900</v>
      </c>
      <c r="E189" s="1009">
        <v>10530410</v>
      </c>
      <c r="F189" s="1007" t="s">
        <v>4773</v>
      </c>
      <c r="G189" s="1007">
        <v>7</v>
      </c>
      <c r="H189" s="1010">
        <v>99999999</v>
      </c>
      <c r="I189" s="1009">
        <v>10530410</v>
      </c>
      <c r="J189" s="1007" t="s">
        <v>4773</v>
      </c>
      <c r="O189" s="1007" t="s">
        <v>648</v>
      </c>
      <c r="P189" s="1007" t="s">
        <v>648</v>
      </c>
      <c r="S189" s="1008" t="s">
        <v>650</v>
      </c>
      <c r="T189" s="1008" t="s">
        <v>654</v>
      </c>
      <c r="U189" s="1008" t="s">
        <v>649</v>
      </c>
      <c r="V189" s="1008" t="s">
        <v>648</v>
      </c>
      <c r="W189" s="1008" t="s">
        <v>546</v>
      </c>
      <c r="X189" s="1008" t="s">
        <v>670</v>
      </c>
      <c r="Y189" s="1008" t="s">
        <v>670</v>
      </c>
      <c r="Z189" s="1008"/>
      <c r="AA189" s="1008"/>
      <c r="AB189" s="1008"/>
      <c r="AC189" s="1008"/>
      <c r="AD189" s="1008"/>
      <c r="AE189" s="1008"/>
      <c r="AF189" s="1008" t="s">
        <v>670</v>
      </c>
      <c r="AG189" s="1008"/>
      <c r="AH189" s="1008"/>
      <c r="AI189" s="1008"/>
    </row>
    <row r="190" spans="1:35">
      <c r="A190" s="1008">
        <v>26471</v>
      </c>
      <c r="B190" s="1008">
        <v>490</v>
      </c>
      <c r="C190" s="1008">
        <v>7</v>
      </c>
      <c r="D190" s="1009">
        <v>10530900</v>
      </c>
      <c r="E190" s="1009">
        <v>10530500</v>
      </c>
      <c r="F190" s="1007" t="s">
        <v>4772</v>
      </c>
      <c r="G190" s="1007">
        <v>8</v>
      </c>
      <c r="H190" s="1010">
        <v>99999999</v>
      </c>
      <c r="I190" s="1009">
        <v>10530500</v>
      </c>
      <c r="J190" s="1007" t="s">
        <v>4772</v>
      </c>
      <c r="O190" s="1007" t="s">
        <v>648</v>
      </c>
      <c r="P190" s="1007" t="s">
        <v>648</v>
      </c>
      <c r="S190" s="1008" t="s">
        <v>650</v>
      </c>
      <c r="T190" s="1008" t="s">
        <v>654</v>
      </c>
      <c r="U190" s="1008" t="s">
        <v>649</v>
      </c>
      <c r="V190" s="1008" t="s">
        <v>648</v>
      </c>
      <c r="W190" s="1008" t="s">
        <v>546</v>
      </c>
      <c r="X190" s="1008" t="s">
        <v>670</v>
      </c>
      <c r="Y190" s="1008" t="s">
        <v>670</v>
      </c>
      <c r="Z190" s="1008"/>
      <c r="AA190" s="1008"/>
      <c r="AB190" s="1008"/>
      <c r="AC190" s="1008"/>
      <c r="AD190" s="1008"/>
      <c r="AE190" s="1008"/>
      <c r="AF190" s="1008" t="s">
        <v>670</v>
      </c>
      <c r="AG190" s="1008"/>
      <c r="AH190" s="1008"/>
      <c r="AI190" s="1008"/>
    </row>
    <row r="191" spans="1:35">
      <c r="A191" s="1008">
        <v>23670</v>
      </c>
      <c r="B191" s="1008">
        <v>1412</v>
      </c>
      <c r="C191" s="1008">
        <v>7</v>
      </c>
      <c r="D191" s="1009">
        <v>10530900</v>
      </c>
      <c r="E191" s="1009">
        <v>10530600</v>
      </c>
      <c r="F191" s="1007" t="s">
        <v>4771</v>
      </c>
      <c r="G191" s="1007">
        <v>7</v>
      </c>
      <c r="H191" s="1010">
        <v>99999999</v>
      </c>
      <c r="I191" s="1009">
        <v>10530600</v>
      </c>
      <c r="J191" s="1007" t="s">
        <v>4771</v>
      </c>
      <c r="O191" s="1007" t="s">
        <v>648</v>
      </c>
      <c r="P191" s="1007" t="s">
        <v>648</v>
      </c>
      <c r="S191" s="1008" t="s">
        <v>650</v>
      </c>
      <c r="T191" s="1008" t="s">
        <v>654</v>
      </c>
      <c r="U191" s="1008" t="s">
        <v>649</v>
      </c>
      <c r="V191" s="1008" t="s">
        <v>648</v>
      </c>
      <c r="W191" s="1008" t="s">
        <v>546</v>
      </c>
      <c r="X191" s="1008" t="s">
        <v>670</v>
      </c>
      <c r="Y191" s="1008" t="s">
        <v>670</v>
      </c>
      <c r="Z191" s="1008"/>
      <c r="AA191" s="1008"/>
      <c r="AB191" s="1008"/>
      <c r="AC191" s="1008"/>
      <c r="AD191" s="1008"/>
      <c r="AE191" s="1008"/>
      <c r="AF191" s="1008" t="s">
        <v>670</v>
      </c>
      <c r="AG191" s="1008"/>
      <c r="AH191" s="1008"/>
      <c r="AI191" s="1008"/>
    </row>
    <row r="192" spans="1:35">
      <c r="A192" s="1008">
        <v>26469</v>
      </c>
      <c r="B192" s="1008">
        <v>493</v>
      </c>
      <c r="C192" s="1008">
        <v>7</v>
      </c>
      <c r="D192" s="1009">
        <v>10530900</v>
      </c>
      <c r="E192" s="1009">
        <v>10530610</v>
      </c>
      <c r="F192" s="1007" t="s">
        <v>4770</v>
      </c>
      <c r="G192" s="1007">
        <v>8</v>
      </c>
      <c r="H192" s="1010">
        <v>99999999</v>
      </c>
      <c r="I192" s="1009">
        <v>10530610</v>
      </c>
      <c r="J192" s="1007" t="s">
        <v>4770</v>
      </c>
      <c r="O192" s="1007" t="s">
        <v>648</v>
      </c>
      <c r="P192" s="1007" t="s">
        <v>648</v>
      </c>
      <c r="S192" s="1008" t="s">
        <v>650</v>
      </c>
      <c r="T192" s="1008" t="s">
        <v>654</v>
      </c>
      <c r="U192" s="1008" t="s">
        <v>649</v>
      </c>
      <c r="V192" s="1008" t="s">
        <v>648</v>
      </c>
      <c r="W192" s="1008" t="s">
        <v>546</v>
      </c>
      <c r="X192" s="1008" t="s">
        <v>670</v>
      </c>
      <c r="Y192" s="1008" t="s">
        <v>670</v>
      </c>
      <c r="Z192" s="1008"/>
      <c r="AA192" s="1008"/>
      <c r="AB192" s="1008"/>
      <c r="AC192" s="1008"/>
      <c r="AD192" s="1008"/>
      <c r="AE192" s="1008"/>
      <c r="AF192" s="1008" t="s">
        <v>670</v>
      </c>
      <c r="AG192" s="1008"/>
      <c r="AH192" s="1008"/>
      <c r="AI192" s="1008"/>
    </row>
    <row r="193" spans="1:35">
      <c r="A193" s="1008">
        <v>23671</v>
      </c>
      <c r="B193" s="1008">
        <v>1414</v>
      </c>
      <c r="C193" s="1008">
        <v>7</v>
      </c>
      <c r="D193" s="1009">
        <v>10530900</v>
      </c>
      <c r="E193" s="1009">
        <v>10530700</v>
      </c>
      <c r="F193" s="1007" t="s">
        <v>4769</v>
      </c>
      <c r="G193" s="1007">
        <v>7</v>
      </c>
      <c r="H193" s="1010">
        <v>99999999</v>
      </c>
      <c r="I193" s="1009">
        <v>10530700</v>
      </c>
      <c r="J193" s="1007" t="s">
        <v>4769</v>
      </c>
      <c r="O193" s="1007" t="s">
        <v>648</v>
      </c>
      <c r="P193" s="1007" t="s">
        <v>648</v>
      </c>
      <c r="S193" s="1008" t="s">
        <v>650</v>
      </c>
      <c r="T193" s="1008" t="s">
        <v>654</v>
      </c>
      <c r="U193" s="1008" t="s">
        <v>649</v>
      </c>
      <c r="V193" s="1008" t="s">
        <v>648</v>
      </c>
      <c r="W193" s="1008" t="s">
        <v>546</v>
      </c>
      <c r="X193" s="1008" t="s">
        <v>670</v>
      </c>
      <c r="Y193" s="1008" t="s">
        <v>670</v>
      </c>
      <c r="Z193" s="1008"/>
      <c r="AA193" s="1008"/>
      <c r="AB193" s="1008"/>
      <c r="AC193" s="1008"/>
      <c r="AD193" s="1008"/>
      <c r="AE193" s="1008"/>
      <c r="AF193" s="1008" t="s">
        <v>670</v>
      </c>
      <c r="AG193" s="1008"/>
      <c r="AH193" s="1008"/>
      <c r="AI193" s="1008"/>
    </row>
    <row r="194" spans="1:35">
      <c r="A194" s="1008">
        <v>23672</v>
      </c>
      <c r="B194" s="1008">
        <v>4727</v>
      </c>
      <c r="C194" s="1008">
        <v>7</v>
      </c>
      <c r="D194" s="1009">
        <v>10530900</v>
      </c>
      <c r="E194" s="1009">
        <v>10530800</v>
      </c>
      <c r="F194" s="1007" t="s">
        <v>4768</v>
      </c>
      <c r="G194" s="1007">
        <v>7</v>
      </c>
      <c r="H194" s="1010">
        <v>99999999</v>
      </c>
      <c r="I194" s="1009">
        <v>10530800</v>
      </c>
      <c r="J194" s="1007" t="s">
        <v>4768</v>
      </c>
      <c r="O194" s="1007" t="s">
        <v>648</v>
      </c>
      <c r="P194" s="1007" t="s">
        <v>648</v>
      </c>
      <c r="S194" s="1008" t="s">
        <v>650</v>
      </c>
      <c r="T194" s="1008" t="s">
        <v>654</v>
      </c>
      <c r="U194" s="1008" t="s">
        <v>649</v>
      </c>
      <c r="V194" s="1008" t="s">
        <v>648</v>
      </c>
      <c r="W194" s="1008" t="s">
        <v>546</v>
      </c>
      <c r="X194" s="1008" t="s">
        <v>670</v>
      </c>
      <c r="Y194" s="1008" t="s">
        <v>670</v>
      </c>
      <c r="Z194" s="1008"/>
      <c r="AA194" s="1008"/>
      <c r="AB194" s="1008"/>
      <c r="AC194" s="1008"/>
      <c r="AD194" s="1008"/>
      <c r="AE194" s="1008"/>
      <c r="AF194" s="1008" t="s">
        <v>670</v>
      </c>
      <c r="AG194" s="1008"/>
      <c r="AH194" s="1008"/>
      <c r="AI194" s="1008"/>
    </row>
    <row r="195" spans="1:35">
      <c r="A195" s="1008">
        <v>23673</v>
      </c>
      <c r="C195" s="1008">
        <v>6</v>
      </c>
      <c r="D195" s="1009">
        <v>10699999</v>
      </c>
      <c r="E195" s="1009">
        <v>10530900</v>
      </c>
      <c r="F195" s="1007" t="s">
        <v>4767</v>
      </c>
      <c r="O195" s="1007" t="s">
        <v>648</v>
      </c>
      <c r="P195" s="1007" t="s">
        <v>648</v>
      </c>
      <c r="S195" s="1008" t="s">
        <v>650</v>
      </c>
      <c r="T195" s="1008" t="s">
        <v>21</v>
      </c>
      <c r="U195" s="1008" t="s">
        <v>649</v>
      </c>
      <c r="V195" s="1008" t="s">
        <v>648</v>
      </c>
      <c r="W195" s="1008" t="s">
        <v>546</v>
      </c>
      <c r="X195" s="1008"/>
      <c r="Y195" s="1008"/>
      <c r="Z195" s="1008"/>
      <c r="AA195" s="1008"/>
      <c r="AB195" s="1008"/>
      <c r="AC195" s="1008"/>
      <c r="AD195" s="1008"/>
      <c r="AE195" s="1008"/>
      <c r="AF195" s="1008"/>
      <c r="AG195" s="1008"/>
      <c r="AH195" s="1008"/>
      <c r="AI195" s="1008"/>
    </row>
    <row r="196" spans="1:35">
      <c r="A196" s="1008">
        <v>23674</v>
      </c>
      <c r="C196" s="1008">
        <v>6</v>
      </c>
      <c r="D196" s="1009">
        <v>10540900</v>
      </c>
      <c r="E196" s="1009">
        <v>10540000</v>
      </c>
      <c r="F196" s="1007" t="s">
        <v>4766</v>
      </c>
      <c r="O196" s="1007" t="s">
        <v>648</v>
      </c>
      <c r="P196" s="1007" t="s">
        <v>648</v>
      </c>
      <c r="S196" s="1008" t="s">
        <v>650</v>
      </c>
      <c r="T196" s="1008" t="s">
        <v>675</v>
      </c>
      <c r="U196" s="1008" t="s">
        <v>649</v>
      </c>
      <c r="V196" s="1008" t="s">
        <v>648</v>
      </c>
      <c r="W196" s="1008" t="s">
        <v>546</v>
      </c>
      <c r="X196" s="1008"/>
      <c r="Y196" s="1008"/>
      <c r="Z196" s="1008"/>
      <c r="AA196" s="1008"/>
      <c r="AB196" s="1008"/>
      <c r="AC196" s="1008"/>
      <c r="AD196" s="1008"/>
      <c r="AE196" s="1008"/>
      <c r="AF196" s="1008"/>
      <c r="AG196" s="1008"/>
      <c r="AH196" s="1008"/>
      <c r="AI196" s="1008"/>
    </row>
    <row r="197" spans="1:35">
      <c r="A197" s="1008">
        <v>23675</v>
      </c>
      <c r="B197" s="1008">
        <v>498</v>
      </c>
      <c r="C197" s="1008">
        <v>7</v>
      </c>
      <c r="D197" s="1009">
        <v>10540900</v>
      </c>
      <c r="E197" s="1009">
        <v>10540200</v>
      </c>
      <c r="F197" s="1007" t="s">
        <v>4765</v>
      </c>
      <c r="G197" s="1007">
        <v>8</v>
      </c>
      <c r="H197" s="1010">
        <v>99999999</v>
      </c>
      <c r="I197" s="1009">
        <v>10540200</v>
      </c>
      <c r="J197" s="1007" t="s">
        <v>4764</v>
      </c>
      <c r="O197" s="1007" t="s">
        <v>648</v>
      </c>
      <c r="P197" s="1007" t="s">
        <v>648</v>
      </c>
      <c r="S197" s="1008" t="s">
        <v>650</v>
      </c>
      <c r="T197" s="1008" t="s">
        <v>654</v>
      </c>
      <c r="U197" s="1008" t="s">
        <v>649</v>
      </c>
      <c r="V197" s="1008" t="s">
        <v>648</v>
      </c>
      <c r="W197" s="1008" t="s">
        <v>546</v>
      </c>
      <c r="X197" s="1008" t="s">
        <v>670</v>
      </c>
      <c r="Y197" s="1008" t="s">
        <v>670</v>
      </c>
      <c r="Z197" s="1008"/>
      <c r="AA197" s="1008"/>
      <c r="AB197" s="1008"/>
      <c r="AC197" s="1008"/>
      <c r="AD197" s="1008"/>
      <c r="AE197" s="1008"/>
      <c r="AF197" s="1008" t="s">
        <v>670</v>
      </c>
      <c r="AG197" s="1008"/>
      <c r="AH197" s="1008"/>
      <c r="AI197" s="1008"/>
    </row>
    <row r="198" spans="1:35">
      <c r="A198" s="1008">
        <v>23676</v>
      </c>
      <c r="B198" s="1008">
        <v>1417</v>
      </c>
      <c r="C198" s="1008">
        <v>7</v>
      </c>
      <c r="D198" s="1009">
        <v>10540900</v>
      </c>
      <c r="E198" s="1009">
        <v>10540300</v>
      </c>
      <c r="F198" s="1007" t="s">
        <v>4763</v>
      </c>
      <c r="G198" s="1007">
        <v>7</v>
      </c>
      <c r="H198" s="1010">
        <v>99999999</v>
      </c>
      <c r="I198" s="1009">
        <v>10540300</v>
      </c>
      <c r="J198" s="1007" t="s">
        <v>4762</v>
      </c>
      <c r="O198" s="1007" t="s">
        <v>648</v>
      </c>
      <c r="P198" s="1007" t="s">
        <v>648</v>
      </c>
      <c r="S198" s="1008" t="s">
        <v>650</v>
      </c>
      <c r="T198" s="1008" t="s">
        <v>654</v>
      </c>
      <c r="U198" s="1008" t="s">
        <v>649</v>
      </c>
      <c r="V198" s="1008" t="s">
        <v>648</v>
      </c>
      <c r="W198" s="1008" t="s">
        <v>546</v>
      </c>
      <c r="X198" s="1008" t="s">
        <v>670</v>
      </c>
      <c r="Y198" s="1008" t="s">
        <v>670</v>
      </c>
      <c r="Z198" s="1008"/>
      <c r="AA198" s="1008"/>
      <c r="AB198" s="1008"/>
      <c r="AC198" s="1008"/>
      <c r="AD198" s="1008"/>
      <c r="AE198" s="1008"/>
      <c r="AF198" s="1008" t="s">
        <v>670</v>
      </c>
      <c r="AG198" s="1008"/>
      <c r="AH198" s="1008"/>
      <c r="AI198" s="1008"/>
    </row>
    <row r="199" spans="1:35">
      <c r="A199" s="1008">
        <v>26468</v>
      </c>
      <c r="B199" s="1008">
        <v>1418</v>
      </c>
      <c r="C199" s="1008">
        <v>7</v>
      </c>
      <c r="D199" s="1009">
        <v>10540900</v>
      </c>
      <c r="E199" s="1009">
        <v>10540310</v>
      </c>
      <c r="F199" s="1007" t="s">
        <v>4761</v>
      </c>
      <c r="G199" s="1007">
        <v>7</v>
      </c>
      <c r="H199" s="1010">
        <v>99999999</v>
      </c>
      <c r="I199" s="1009">
        <v>10540310</v>
      </c>
      <c r="J199" s="1007" t="s">
        <v>4760</v>
      </c>
      <c r="O199" s="1007" t="s">
        <v>648</v>
      </c>
      <c r="P199" s="1007" t="s">
        <v>648</v>
      </c>
      <c r="S199" s="1008" t="s">
        <v>650</v>
      </c>
      <c r="T199" s="1008" t="s">
        <v>654</v>
      </c>
      <c r="U199" s="1008" t="s">
        <v>649</v>
      </c>
      <c r="V199" s="1008" t="s">
        <v>648</v>
      </c>
      <c r="W199" s="1008" t="s">
        <v>546</v>
      </c>
      <c r="X199" s="1008" t="s">
        <v>670</v>
      </c>
      <c r="Y199" s="1008" t="s">
        <v>670</v>
      </c>
      <c r="Z199" s="1008"/>
      <c r="AA199" s="1008"/>
      <c r="AB199" s="1008"/>
      <c r="AC199" s="1008"/>
      <c r="AD199" s="1008"/>
      <c r="AE199" s="1008"/>
      <c r="AF199" s="1008" t="s">
        <v>670</v>
      </c>
      <c r="AG199" s="1008"/>
      <c r="AH199" s="1008"/>
      <c r="AI199" s="1008"/>
    </row>
    <row r="200" spans="1:35">
      <c r="A200" s="1008">
        <v>26467</v>
      </c>
      <c r="B200" s="1008">
        <v>1419</v>
      </c>
      <c r="C200" s="1008">
        <v>7</v>
      </c>
      <c r="D200" s="1009">
        <v>10540900</v>
      </c>
      <c r="E200" s="1009">
        <v>10540500</v>
      </c>
      <c r="F200" s="1007" t="s">
        <v>4759</v>
      </c>
      <c r="G200" s="1007">
        <v>7</v>
      </c>
      <c r="H200" s="1010">
        <v>99999999</v>
      </c>
      <c r="I200" s="1009">
        <v>10540500</v>
      </c>
      <c r="J200" s="1007" t="s">
        <v>4758</v>
      </c>
      <c r="O200" s="1007" t="s">
        <v>648</v>
      </c>
      <c r="P200" s="1007" t="s">
        <v>648</v>
      </c>
      <c r="S200" s="1008" t="s">
        <v>650</v>
      </c>
      <c r="T200" s="1008" t="s">
        <v>654</v>
      </c>
      <c r="U200" s="1008" t="s">
        <v>649</v>
      </c>
      <c r="V200" s="1008" t="s">
        <v>648</v>
      </c>
      <c r="W200" s="1008" t="s">
        <v>546</v>
      </c>
      <c r="X200" s="1008" t="s">
        <v>670</v>
      </c>
      <c r="Y200" s="1008" t="s">
        <v>670</v>
      </c>
      <c r="Z200" s="1008"/>
      <c r="AA200" s="1008"/>
      <c r="AB200" s="1008"/>
      <c r="AC200" s="1008"/>
      <c r="AD200" s="1008"/>
      <c r="AE200" s="1008"/>
      <c r="AF200" s="1008" t="s">
        <v>670</v>
      </c>
      <c r="AG200" s="1008"/>
      <c r="AH200" s="1008"/>
      <c r="AI200" s="1008"/>
    </row>
    <row r="201" spans="1:35">
      <c r="A201" s="1008">
        <v>23677</v>
      </c>
      <c r="B201" s="1008">
        <v>1420</v>
      </c>
      <c r="C201" s="1008">
        <v>7</v>
      </c>
      <c r="D201" s="1009">
        <v>10540900</v>
      </c>
      <c r="E201" s="1009">
        <v>10540600</v>
      </c>
      <c r="F201" s="1007" t="s">
        <v>4757</v>
      </c>
      <c r="G201" s="1007">
        <v>7</v>
      </c>
      <c r="H201" s="1010">
        <v>99999999</v>
      </c>
      <c r="I201" s="1009">
        <v>10540600</v>
      </c>
      <c r="J201" s="1007" t="s">
        <v>4756</v>
      </c>
      <c r="O201" s="1007" t="s">
        <v>648</v>
      </c>
      <c r="P201" s="1007" t="s">
        <v>648</v>
      </c>
      <c r="S201" s="1008" t="s">
        <v>650</v>
      </c>
      <c r="T201" s="1008" t="s">
        <v>654</v>
      </c>
      <c r="U201" s="1008" t="s">
        <v>649</v>
      </c>
      <c r="V201" s="1008" t="s">
        <v>648</v>
      </c>
      <c r="W201" s="1008" t="s">
        <v>546</v>
      </c>
      <c r="X201" s="1008" t="s">
        <v>670</v>
      </c>
      <c r="Y201" s="1008" t="s">
        <v>670</v>
      </c>
      <c r="Z201" s="1008"/>
      <c r="AA201" s="1008"/>
      <c r="AB201" s="1008"/>
      <c r="AC201" s="1008"/>
      <c r="AD201" s="1008"/>
      <c r="AE201" s="1008"/>
      <c r="AF201" s="1008" t="s">
        <v>670</v>
      </c>
      <c r="AG201" s="1008"/>
      <c r="AH201" s="1008"/>
      <c r="AI201" s="1008"/>
    </row>
    <row r="202" spans="1:35">
      <c r="A202" s="1008">
        <v>26466</v>
      </c>
      <c r="B202" s="1008">
        <v>1421</v>
      </c>
      <c r="C202" s="1008">
        <v>7</v>
      </c>
      <c r="D202" s="1009">
        <v>10540900</v>
      </c>
      <c r="E202" s="1009">
        <v>10540610</v>
      </c>
      <c r="F202" s="1007" t="s">
        <v>4755</v>
      </c>
      <c r="G202" s="1007">
        <v>7</v>
      </c>
      <c r="H202" s="1010">
        <v>99999999</v>
      </c>
      <c r="I202" s="1009">
        <v>10540610</v>
      </c>
      <c r="J202" s="1007" t="s">
        <v>4754</v>
      </c>
      <c r="O202" s="1007" t="s">
        <v>648</v>
      </c>
      <c r="P202" s="1007" t="s">
        <v>648</v>
      </c>
      <c r="S202" s="1008" t="s">
        <v>650</v>
      </c>
      <c r="T202" s="1008" t="s">
        <v>654</v>
      </c>
      <c r="U202" s="1008" t="s">
        <v>649</v>
      </c>
      <c r="V202" s="1008" t="s">
        <v>648</v>
      </c>
      <c r="W202" s="1008" t="s">
        <v>546</v>
      </c>
      <c r="X202" s="1008" t="s">
        <v>670</v>
      </c>
      <c r="Y202" s="1008" t="s">
        <v>670</v>
      </c>
      <c r="Z202" s="1008"/>
      <c r="AA202" s="1008"/>
      <c r="AB202" s="1008"/>
      <c r="AC202" s="1008"/>
      <c r="AD202" s="1008"/>
      <c r="AE202" s="1008"/>
      <c r="AF202" s="1008" t="s">
        <v>670</v>
      </c>
      <c r="AG202" s="1008"/>
      <c r="AH202" s="1008"/>
      <c r="AI202" s="1008"/>
    </row>
    <row r="203" spans="1:35">
      <c r="A203" s="1008">
        <v>23678</v>
      </c>
      <c r="B203" s="1008">
        <v>1422</v>
      </c>
      <c r="C203" s="1008">
        <v>7</v>
      </c>
      <c r="D203" s="1009">
        <v>10540900</v>
      </c>
      <c r="E203" s="1009">
        <v>10540700</v>
      </c>
      <c r="F203" s="1007" t="s">
        <v>4753</v>
      </c>
      <c r="G203" s="1007">
        <v>7</v>
      </c>
      <c r="H203" s="1010">
        <v>99999999</v>
      </c>
      <c r="I203" s="1009">
        <v>10540700</v>
      </c>
      <c r="J203" s="1007" t="s">
        <v>4752</v>
      </c>
      <c r="O203" s="1007" t="s">
        <v>648</v>
      </c>
      <c r="P203" s="1007" t="s">
        <v>648</v>
      </c>
      <c r="S203" s="1008" t="s">
        <v>650</v>
      </c>
      <c r="T203" s="1008" t="s">
        <v>654</v>
      </c>
      <c r="U203" s="1008" t="s">
        <v>649</v>
      </c>
      <c r="V203" s="1008" t="s">
        <v>648</v>
      </c>
      <c r="W203" s="1008" t="s">
        <v>546</v>
      </c>
      <c r="X203" s="1008" t="s">
        <v>670</v>
      </c>
      <c r="Y203" s="1008" t="s">
        <v>670</v>
      </c>
      <c r="Z203" s="1008"/>
      <c r="AA203" s="1008"/>
      <c r="AB203" s="1008"/>
      <c r="AC203" s="1008"/>
      <c r="AD203" s="1008"/>
      <c r="AE203" s="1008"/>
      <c r="AF203" s="1008" t="s">
        <v>670</v>
      </c>
      <c r="AG203" s="1008"/>
      <c r="AH203" s="1008"/>
      <c r="AI203" s="1008"/>
    </row>
    <row r="204" spans="1:35">
      <c r="A204" s="1008">
        <v>23679</v>
      </c>
      <c r="B204" s="1008">
        <v>4729</v>
      </c>
      <c r="C204" s="1008">
        <v>7</v>
      </c>
      <c r="D204" s="1009">
        <v>10540900</v>
      </c>
      <c r="E204" s="1009">
        <v>10540800</v>
      </c>
      <c r="F204" s="1007" t="s">
        <v>4751</v>
      </c>
      <c r="G204" s="1007">
        <v>7</v>
      </c>
      <c r="H204" s="1010">
        <v>99999999</v>
      </c>
      <c r="I204" s="1009">
        <v>10540800</v>
      </c>
      <c r="J204" s="1007" t="s">
        <v>4750</v>
      </c>
      <c r="O204" s="1007" t="s">
        <v>648</v>
      </c>
      <c r="P204" s="1007" t="s">
        <v>648</v>
      </c>
      <c r="S204" s="1008" t="s">
        <v>650</v>
      </c>
      <c r="T204" s="1008" t="s">
        <v>654</v>
      </c>
      <c r="U204" s="1008" t="s">
        <v>649</v>
      </c>
      <c r="V204" s="1008" t="s">
        <v>648</v>
      </c>
      <c r="W204" s="1008" t="s">
        <v>546</v>
      </c>
      <c r="X204" s="1008" t="s">
        <v>670</v>
      </c>
      <c r="Y204" s="1008" t="s">
        <v>670</v>
      </c>
      <c r="Z204" s="1008"/>
      <c r="AA204" s="1008"/>
      <c r="AB204" s="1008"/>
      <c r="AC204" s="1008"/>
      <c r="AD204" s="1008"/>
      <c r="AE204" s="1008"/>
      <c r="AF204" s="1008" t="s">
        <v>670</v>
      </c>
      <c r="AG204" s="1008"/>
      <c r="AH204" s="1008"/>
      <c r="AI204" s="1008"/>
    </row>
    <row r="205" spans="1:35">
      <c r="A205" s="1008">
        <v>23680</v>
      </c>
      <c r="C205" s="1008">
        <v>6</v>
      </c>
      <c r="D205" s="1009">
        <v>10699999</v>
      </c>
      <c r="E205" s="1009">
        <v>10540900</v>
      </c>
      <c r="F205" s="1007" t="s">
        <v>4749</v>
      </c>
      <c r="O205" s="1007" t="s">
        <v>648</v>
      </c>
      <c r="P205" s="1007" t="s">
        <v>648</v>
      </c>
      <c r="S205" s="1008" t="s">
        <v>650</v>
      </c>
      <c r="T205" s="1008" t="s">
        <v>21</v>
      </c>
      <c r="U205" s="1008" t="s">
        <v>649</v>
      </c>
      <c r="V205" s="1008" t="s">
        <v>648</v>
      </c>
      <c r="W205" s="1008" t="s">
        <v>546</v>
      </c>
      <c r="X205" s="1008"/>
      <c r="Y205" s="1008"/>
      <c r="Z205" s="1008"/>
      <c r="AA205" s="1008"/>
      <c r="AB205" s="1008"/>
      <c r="AC205" s="1008"/>
      <c r="AD205" s="1008"/>
      <c r="AE205" s="1008"/>
      <c r="AF205" s="1008"/>
      <c r="AG205" s="1008"/>
      <c r="AH205" s="1008"/>
      <c r="AI205" s="1008"/>
    </row>
    <row r="206" spans="1:35">
      <c r="A206" s="1008">
        <v>27670</v>
      </c>
      <c r="C206" s="1008">
        <v>6</v>
      </c>
      <c r="D206" s="1009">
        <v>10541900</v>
      </c>
      <c r="E206" s="1009">
        <v>10541000</v>
      </c>
      <c r="F206" s="1007" t="s">
        <v>4748</v>
      </c>
      <c r="O206" s="1007" t="s">
        <v>648</v>
      </c>
      <c r="P206" s="1007" t="s">
        <v>648</v>
      </c>
      <c r="S206" s="1008" t="s">
        <v>650</v>
      </c>
      <c r="T206" s="1008" t="s">
        <v>675</v>
      </c>
      <c r="U206" s="1008" t="s">
        <v>649</v>
      </c>
      <c r="V206" s="1008" t="s">
        <v>648</v>
      </c>
      <c r="W206" s="1008" t="s">
        <v>546</v>
      </c>
      <c r="X206" s="1008"/>
      <c r="Y206" s="1008"/>
      <c r="Z206" s="1008"/>
      <c r="AA206" s="1008"/>
      <c r="AB206" s="1008"/>
      <c r="AC206" s="1008"/>
      <c r="AD206" s="1008"/>
      <c r="AE206" s="1008"/>
      <c r="AF206" s="1008"/>
      <c r="AG206" s="1008"/>
      <c r="AH206" s="1008"/>
      <c r="AI206" s="1008"/>
    </row>
    <row r="207" spans="1:35">
      <c r="A207" s="1008">
        <v>27671</v>
      </c>
      <c r="B207" s="1008">
        <v>6499</v>
      </c>
      <c r="C207" s="1008">
        <v>7</v>
      </c>
      <c r="D207" s="1009">
        <v>10541900</v>
      </c>
      <c r="E207" s="1009">
        <v>10541200</v>
      </c>
      <c r="F207" s="1007" t="s">
        <v>4747</v>
      </c>
      <c r="G207" s="1007">
        <v>8</v>
      </c>
      <c r="H207" s="1010">
        <v>99999999</v>
      </c>
      <c r="I207" s="1009">
        <v>10541200</v>
      </c>
      <c r="J207" s="1007" t="s">
        <v>4747</v>
      </c>
      <c r="O207" s="1007" t="s">
        <v>648</v>
      </c>
      <c r="P207" s="1007" t="s">
        <v>648</v>
      </c>
      <c r="S207" s="1008" t="s">
        <v>650</v>
      </c>
      <c r="T207" s="1008" t="s">
        <v>654</v>
      </c>
      <c r="U207" s="1008" t="s">
        <v>649</v>
      </c>
      <c r="V207" s="1008" t="s">
        <v>648</v>
      </c>
      <c r="W207" s="1008" t="s">
        <v>546</v>
      </c>
      <c r="X207" s="1008" t="s">
        <v>670</v>
      </c>
      <c r="Y207" s="1008" t="s">
        <v>670</v>
      </c>
      <c r="Z207" s="1008"/>
      <c r="AA207" s="1008"/>
      <c r="AB207" s="1008"/>
      <c r="AC207" s="1008"/>
      <c r="AD207" s="1008"/>
      <c r="AE207" s="1008"/>
      <c r="AF207" s="1008" t="s">
        <v>670</v>
      </c>
      <c r="AG207" s="1008"/>
      <c r="AH207" s="1008"/>
      <c r="AI207" s="1008"/>
    </row>
    <row r="208" spans="1:35">
      <c r="A208" s="1008">
        <v>27672</v>
      </c>
      <c r="B208" s="1008">
        <v>6500</v>
      </c>
      <c r="C208" s="1008">
        <v>7</v>
      </c>
      <c r="D208" s="1009">
        <v>10541900</v>
      </c>
      <c r="E208" s="1009">
        <v>10541300</v>
      </c>
      <c r="F208" s="1007" t="s">
        <v>4746</v>
      </c>
      <c r="G208" s="1007">
        <v>8</v>
      </c>
      <c r="H208" s="1010">
        <v>99999999</v>
      </c>
      <c r="I208" s="1009">
        <v>10541300</v>
      </c>
      <c r="J208" s="1007" t="s">
        <v>4746</v>
      </c>
      <c r="O208" s="1007" t="s">
        <v>648</v>
      </c>
      <c r="P208" s="1007" t="s">
        <v>648</v>
      </c>
      <c r="S208" s="1008" t="s">
        <v>650</v>
      </c>
      <c r="T208" s="1008" t="s">
        <v>654</v>
      </c>
      <c r="U208" s="1008" t="s">
        <v>649</v>
      </c>
      <c r="V208" s="1008" t="s">
        <v>648</v>
      </c>
      <c r="W208" s="1008" t="s">
        <v>546</v>
      </c>
      <c r="X208" s="1008" t="s">
        <v>670</v>
      </c>
      <c r="Y208" s="1008" t="s">
        <v>670</v>
      </c>
      <c r="Z208" s="1008"/>
      <c r="AA208" s="1008"/>
      <c r="AB208" s="1008"/>
      <c r="AC208" s="1008"/>
      <c r="AD208" s="1008"/>
      <c r="AE208" s="1008"/>
      <c r="AF208" s="1008" t="s">
        <v>670</v>
      </c>
      <c r="AG208" s="1008"/>
      <c r="AH208" s="1008"/>
      <c r="AI208" s="1008"/>
    </row>
    <row r="209" spans="1:35">
      <c r="A209" s="1008">
        <v>27673</v>
      </c>
      <c r="B209" s="1008">
        <v>6501</v>
      </c>
      <c r="C209" s="1008">
        <v>7</v>
      </c>
      <c r="D209" s="1009">
        <v>10541900</v>
      </c>
      <c r="E209" s="1009">
        <v>10541310</v>
      </c>
      <c r="F209" s="1007" t="s">
        <v>4745</v>
      </c>
      <c r="G209" s="1007">
        <v>8</v>
      </c>
      <c r="H209" s="1010">
        <v>99999999</v>
      </c>
      <c r="I209" s="1009">
        <v>10541310</v>
      </c>
      <c r="J209" s="1007" t="s">
        <v>4745</v>
      </c>
      <c r="O209" s="1007" t="s">
        <v>648</v>
      </c>
      <c r="P209" s="1007" t="s">
        <v>648</v>
      </c>
      <c r="S209" s="1008" t="s">
        <v>650</v>
      </c>
      <c r="T209" s="1008" t="s">
        <v>654</v>
      </c>
      <c r="U209" s="1008" t="s">
        <v>649</v>
      </c>
      <c r="V209" s="1008" t="s">
        <v>648</v>
      </c>
      <c r="W209" s="1008" t="s">
        <v>546</v>
      </c>
      <c r="X209" s="1008" t="s">
        <v>670</v>
      </c>
      <c r="Y209" s="1008" t="s">
        <v>670</v>
      </c>
      <c r="Z209" s="1008"/>
      <c r="AA209" s="1008"/>
      <c r="AB209" s="1008"/>
      <c r="AC209" s="1008"/>
      <c r="AD209" s="1008"/>
      <c r="AE209" s="1008"/>
      <c r="AF209" s="1008" t="s">
        <v>670</v>
      </c>
      <c r="AG209" s="1008"/>
      <c r="AH209" s="1008"/>
      <c r="AI209" s="1008"/>
    </row>
    <row r="210" spans="1:35">
      <c r="A210" s="1008">
        <v>27674</v>
      </c>
      <c r="B210" s="1008">
        <v>6502</v>
      </c>
      <c r="C210" s="1008">
        <v>7</v>
      </c>
      <c r="D210" s="1009">
        <v>10541900</v>
      </c>
      <c r="E210" s="1009">
        <v>10541500</v>
      </c>
      <c r="F210" s="1007" t="s">
        <v>4744</v>
      </c>
      <c r="G210" s="1007">
        <v>8</v>
      </c>
      <c r="H210" s="1010">
        <v>99999999</v>
      </c>
      <c r="I210" s="1009">
        <v>10541500</v>
      </c>
      <c r="J210" s="1007" t="s">
        <v>4744</v>
      </c>
      <c r="O210" s="1007" t="s">
        <v>648</v>
      </c>
      <c r="P210" s="1007" t="s">
        <v>648</v>
      </c>
      <c r="S210" s="1008" t="s">
        <v>650</v>
      </c>
      <c r="T210" s="1008" t="s">
        <v>654</v>
      </c>
      <c r="U210" s="1008" t="s">
        <v>649</v>
      </c>
      <c r="V210" s="1008" t="s">
        <v>648</v>
      </c>
      <c r="W210" s="1008" t="s">
        <v>546</v>
      </c>
      <c r="X210" s="1008" t="s">
        <v>670</v>
      </c>
      <c r="Y210" s="1008" t="s">
        <v>670</v>
      </c>
      <c r="Z210" s="1008"/>
      <c r="AA210" s="1008"/>
      <c r="AB210" s="1008"/>
      <c r="AC210" s="1008"/>
      <c r="AD210" s="1008"/>
      <c r="AE210" s="1008"/>
      <c r="AF210" s="1008" t="s">
        <v>670</v>
      </c>
      <c r="AG210" s="1008"/>
      <c r="AH210" s="1008"/>
      <c r="AI210" s="1008"/>
    </row>
    <row r="211" spans="1:35">
      <c r="A211" s="1008">
        <v>27675</v>
      </c>
      <c r="B211" s="1008">
        <v>6503</v>
      </c>
      <c r="C211" s="1008">
        <v>7</v>
      </c>
      <c r="D211" s="1009">
        <v>10541900</v>
      </c>
      <c r="E211" s="1009">
        <v>10541600</v>
      </c>
      <c r="F211" s="1007" t="s">
        <v>4743</v>
      </c>
      <c r="G211" s="1007">
        <v>8</v>
      </c>
      <c r="H211" s="1010">
        <v>99999999</v>
      </c>
      <c r="I211" s="1009">
        <v>10541600</v>
      </c>
      <c r="J211" s="1007" t="s">
        <v>4742</v>
      </c>
      <c r="O211" s="1007" t="s">
        <v>648</v>
      </c>
      <c r="P211" s="1007" t="s">
        <v>648</v>
      </c>
      <c r="S211" s="1008" t="s">
        <v>650</v>
      </c>
      <c r="T211" s="1008" t="s">
        <v>654</v>
      </c>
      <c r="U211" s="1008" t="s">
        <v>649</v>
      </c>
      <c r="V211" s="1008" t="s">
        <v>648</v>
      </c>
      <c r="W211" s="1008" t="s">
        <v>546</v>
      </c>
      <c r="X211" s="1008" t="s">
        <v>670</v>
      </c>
      <c r="Y211" s="1008" t="s">
        <v>670</v>
      </c>
      <c r="Z211" s="1008"/>
      <c r="AA211" s="1008"/>
      <c r="AB211" s="1008"/>
      <c r="AC211" s="1008"/>
      <c r="AD211" s="1008"/>
      <c r="AE211" s="1008"/>
      <c r="AF211" s="1008" t="s">
        <v>670</v>
      </c>
      <c r="AG211" s="1008"/>
      <c r="AH211" s="1008"/>
      <c r="AI211" s="1008"/>
    </row>
    <row r="212" spans="1:35">
      <c r="A212" s="1008">
        <v>27676</v>
      </c>
      <c r="B212" s="1008">
        <v>6504</v>
      </c>
      <c r="C212" s="1008">
        <v>7</v>
      </c>
      <c r="D212" s="1009">
        <v>10541900</v>
      </c>
      <c r="E212" s="1009">
        <v>10541610</v>
      </c>
      <c r="F212" s="1007" t="s">
        <v>4741</v>
      </c>
      <c r="G212" s="1007">
        <v>8</v>
      </c>
      <c r="H212" s="1010">
        <v>99999999</v>
      </c>
      <c r="I212" s="1009">
        <v>10541610</v>
      </c>
      <c r="J212" s="1007" t="s">
        <v>4740</v>
      </c>
      <c r="O212" s="1007" t="s">
        <v>648</v>
      </c>
      <c r="P212" s="1007" t="s">
        <v>648</v>
      </c>
      <c r="S212" s="1008" t="s">
        <v>650</v>
      </c>
      <c r="T212" s="1008" t="s">
        <v>654</v>
      </c>
      <c r="U212" s="1008" t="s">
        <v>649</v>
      </c>
      <c r="V212" s="1008" t="s">
        <v>648</v>
      </c>
      <c r="W212" s="1008" t="s">
        <v>546</v>
      </c>
      <c r="X212" s="1008" t="s">
        <v>670</v>
      </c>
      <c r="Y212" s="1008" t="s">
        <v>670</v>
      </c>
      <c r="Z212" s="1008"/>
      <c r="AA212" s="1008"/>
      <c r="AB212" s="1008"/>
      <c r="AC212" s="1008"/>
      <c r="AD212" s="1008"/>
      <c r="AE212" s="1008"/>
      <c r="AF212" s="1008" t="s">
        <v>670</v>
      </c>
      <c r="AG212" s="1008"/>
      <c r="AH212" s="1008"/>
      <c r="AI212" s="1008"/>
    </row>
    <row r="213" spans="1:35">
      <c r="A213" s="1008">
        <v>27677</v>
      </c>
      <c r="B213" s="1008">
        <v>6505</v>
      </c>
      <c r="C213" s="1008">
        <v>7</v>
      </c>
      <c r="D213" s="1009">
        <v>10541900</v>
      </c>
      <c r="E213" s="1009">
        <v>10541700</v>
      </c>
      <c r="F213" s="1007" t="s">
        <v>4739</v>
      </c>
      <c r="G213" s="1007">
        <v>8</v>
      </c>
      <c r="H213" s="1010">
        <v>99999999</v>
      </c>
      <c r="I213" s="1009">
        <v>10541700</v>
      </c>
      <c r="J213" s="1007" t="s">
        <v>4738</v>
      </c>
      <c r="O213" s="1007" t="s">
        <v>648</v>
      </c>
      <c r="P213" s="1007" t="s">
        <v>648</v>
      </c>
      <c r="S213" s="1008" t="s">
        <v>650</v>
      </c>
      <c r="T213" s="1008" t="s">
        <v>654</v>
      </c>
      <c r="U213" s="1008" t="s">
        <v>649</v>
      </c>
      <c r="V213" s="1008" t="s">
        <v>648</v>
      </c>
      <c r="W213" s="1008" t="s">
        <v>546</v>
      </c>
      <c r="X213" s="1008" t="s">
        <v>670</v>
      </c>
      <c r="Y213" s="1008" t="s">
        <v>670</v>
      </c>
      <c r="Z213" s="1008"/>
      <c r="AA213" s="1008"/>
      <c r="AB213" s="1008"/>
      <c r="AC213" s="1008"/>
      <c r="AD213" s="1008"/>
      <c r="AE213" s="1008"/>
      <c r="AF213" s="1008" t="s">
        <v>670</v>
      </c>
      <c r="AG213" s="1008"/>
      <c r="AH213" s="1008"/>
      <c r="AI213" s="1008"/>
    </row>
    <row r="214" spans="1:35">
      <c r="A214" s="1008">
        <v>27678</v>
      </c>
      <c r="B214" s="1008">
        <v>6506</v>
      </c>
      <c r="C214" s="1008">
        <v>7</v>
      </c>
      <c r="D214" s="1009">
        <v>10541900</v>
      </c>
      <c r="E214" s="1009">
        <v>10541800</v>
      </c>
      <c r="F214" s="1007" t="s">
        <v>4737</v>
      </c>
      <c r="G214" s="1007">
        <v>8</v>
      </c>
      <c r="H214" s="1010">
        <v>99999999</v>
      </c>
      <c r="I214" s="1009">
        <v>10541800</v>
      </c>
      <c r="J214" s="1007" t="s">
        <v>4736</v>
      </c>
      <c r="O214" s="1007" t="s">
        <v>648</v>
      </c>
      <c r="P214" s="1007" t="s">
        <v>648</v>
      </c>
      <c r="S214" s="1008" t="s">
        <v>650</v>
      </c>
      <c r="T214" s="1008" t="s">
        <v>654</v>
      </c>
      <c r="U214" s="1008" t="s">
        <v>649</v>
      </c>
      <c r="V214" s="1008" t="s">
        <v>648</v>
      </c>
      <c r="W214" s="1008" t="s">
        <v>546</v>
      </c>
      <c r="X214" s="1008" t="s">
        <v>670</v>
      </c>
      <c r="Y214" s="1008" t="s">
        <v>670</v>
      </c>
      <c r="Z214" s="1008"/>
      <c r="AA214" s="1008"/>
      <c r="AB214" s="1008"/>
      <c r="AC214" s="1008"/>
      <c r="AD214" s="1008"/>
      <c r="AE214" s="1008"/>
      <c r="AF214" s="1008" t="s">
        <v>670</v>
      </c>
      <c r="AG214" s="1008"/>
      <c r="AH214" s="1008"/>
      <c r="AI214" s="1008"/>
    </row>
    <row r="215" spans="1:35">
      <c r="A215" s="1008">
        <v>27669</v>
      </c>
      <c r="C215" s="1008">
        <v>6</v>
      </c>
      <c r="D215" s="1009">
        <v>10699999</v>
      </c>
      <c r="E215" s="1009">
        <v>10541900</v>
      </c>
      <c r="F215" s="1007" t="s">
        <v>4735</v>
      </c>
      <c r="O215" s="1007" t="s">
        <v>648</v>
      </c>
      <c r="P215" s="1007" t="s">
        <v>648</v>
      </c>
      <c r="S215" s="1008" t="s">
        <v>650</v>
      </c>
      <c r="T215" s="1008" t="s">
        <v>21</v>
      </c>
      <c r="U215" s="1008" t="s">
        <v>649</v>
      </c>
      <c r="V215" s="1008" t="s">
        <v>648</v>
      </c>
      <c r="W215" s="1008" t="s">
        <v>546</v>
      </c>
      <c r="X215" s="1008"/>
      <c r="Y215" s="1008"/>
      <c r="Z215" s="1008"/>
      <c r="AA215" s="1008"/>
      <c r="AB215" s="1008"/>
      <c r="AC215" s="1008"/>
      <c r="AD215" s="1008"/>
      <c r="AE215" s="1008"/>
      <c r="AF215" s="1008"/>
      <c r="AG215" s="1008"/>
      <c r="AH215" s="1008"/>
      <c r="AI215" s="1008"/>
    </row>
    <row r="216" spans="1:35">
      <c r="A216" s="1008">
        <v>23687</v>
      </c>
      <c r="C216" s="1008">
        <v>6</v>
      </c>
      <c r="D216" s="1009">
        <v>10699999</v>
      </c>
      <c r="E216" s="1009">
        <v>10550900</v>
      </c>
      <c r="F216" s="1007" t="s">
        <v>4734</v>
      </c>
      <c r="O216" s="1007" t="s">
        <v>648</v>
      </c>
      <c r="P216" s="1007" t="s">
        <v>648</v>
      </c>
      <c r="S216" s="1008" t="s">
        <v>650</v>
      </c>
      <c r="T216" s="1008" t="s">
        <v>21</v>
      </c>
      <c r="U216" s="1008" t="s">
        <v>649</v>
      </c>
      <c r="V216" s="1008" t="s">
        <v>648</v>
      </c>
      <c r="W216" s="1008" t="s">
        <v>546</v>
      </c>
      <c r="X216" s="1008"/>
      <c r="Y216" s="1008"/>
      <c r="Z216" s="1008"/>
      <c r="AA216" s="1008"/>
      <c r="AB216" s="1008"/>
      <c r="AC216" s="1008"/>
      <c r="AD216" s="1008"/>
      <c r="AE216" s="1008"/>
      <c r="AF216" s="1008"/>
      <c r="AG216" s="1008"/>
      <c r="AH216" s="1008"/>
      <c r="AI216" s="1008"/>
    </row>
    <row r="217" spans="1:35">
      <c r="A217" s="1008">
        <v>23694</v>
      </c>
      <c r="C217" s="1008">
        <v>6</v>
      </c>
      <c r="D217" s="1009">
        <v>10699999</v>
      </c>
      <c r="E217" s="1009">
        <v>10560900</v>
      </c>
      <c r="F217" s="1007" t="s">
        <v>4733</v>
      </c>
      <c r="O217" s="1007" t="s">
        <v>648</v>
      </c>
      <c r="P217" s="1007" t="s">
        <v>648</v>
      </c>
      <c r="S217" s="1008" t="s">
        <v>650</v>
      </c>
      <c r="T217" s="1008" t="s">
        <v>21</v>
      </c>
      <c r="U217" s="1008" t="s">
        <v>649</v>
      </c>
      <c r="V217" s="1008" t="s">
        <v>648</v>
      </c>
      <c r="W217" s="1008" t="s">
        <v>546</v>
      </c>
      <c r="X217" s="1008"/>
      <c r="Y217" s="1008"/>
      <c r="Z217" s="1008"/>
      <c r="AA217" s="1008"/>
      <c r="AB217" s="1008"/>
      <c r="AC217" s="1008"/>
      <c r="AD217" s="1008"/>
      <c r="AE217" s="1008"/>
      <c r="AF217" s="1008"/>
      <c r="AG217" s="1008"/>
      <c r="AH217" s="1008"/>
      <c r="AI217" s="1008"/>
    </row>
    <row r="218" spans="1:35">
      <c r="A218" s="1008">
        <v>23709</v>
      </c>
      <c r="C218" s="1008">
        <v>6</v>
      </c>
      <c r="D218" s="1009">
        <v>10590900</v>
      </c>
      <c r="E218" s="1009">
        <v>10590000</v>
      </c>
      <c r="F218" s="1007" t="s">
        <v>4732</v>
      </c>
      <c r="O218" s="1007" t="s">
        <v>648</v>
      </c>
      <c r="P218" s="1007" t="s">
        <v>648</v>
      </c>
      <c r="S218" s="1008" t="s">
        <v>650</v>
      </c>
      <c r="T218" s="1008" t="s">
        <v>675</v>
      </c>
      <c r="U218" s="1008" t="s">
        <v>649</v>
      </c>
      <c r="V218" s="1008" t="s">
        <v>648</v>
      </c>
      <c r="W218" s="1008" t="s">
        <v>546</v>
      </c>
      <c r="X218" s="1008"/>
      <c r="Y218" s="1008"/>
      <c r="Z218" s="1008"/>
      <c r="AA218" s="1008"/>
      <c r="AB218" s="1008"/>
      <c r="AC218" s="1008"/>
      <c r="AD218" s="1008"/>
      <c r="AE218" s="1008"/>
      <c r="AF218" s="1008"/>
      <c r="AG218" s="1008"/>
      <c r="AH218" s="1008"/>
      <c r="AI218" s="1008"/>
    </row>
    <row r="219" spans="1:35">
      <c r="A219" s="1008">
        <v>23710</v>
      </c>
      <c r="B219" s="1008">
        <v>842</v>
      </c>
      <c r="C219" s="1008">
        <v>7</v>
      </c>
      <c r="D219" s="1009">
        <v>10590900</v>
      </c>
      <c r="E219" s="1009">
        <v>10590200</v>
      </c>
      <c r="F219" s="1007" t="s">
        <v>4731</v>
      </c>
      <c r="G219" s="1007">
        <v>8</v>
      </c>
      <c r="H219" s="1010">
        <v>99999999</v>
      </c>
      <c r="I219" s="1009">
        <v>10590200</v>
      </c>
      <c r="J219" s="1007" t="s">
        <v>4731</v>
      </c>
      <c r="O219" s="1007" t="s">
        <v>648</v>
      </c>
      <c r="P219" s="1007" t="s">
        <v>648</v>
      </c>
      <c r="S219" s="1008" t="s">
        <v>650</v>
      </c>
      <c r="T219" s="1008" t="s">
        <v>654</v>
      </c>
      <c r="U219" s="1008" t="s">
        <v>649</v>
      </c>
      <c r="V219" s="1008" t="s">
        <v>648</v>
      </c>
      <c r="W219" s="1008" t="s">
        <v>546</v>
      </c>
      <c r="X219" s="1008" t="s">
        <v>670</v>
      </c>
      <c r="Y219" s="1008" t="s">
        <v>670</v>
      </c>
      <c r="Z219" s="1008" t="s">
        <v>670</v>
      </c>
      <c r="AA219" s="1008" t="s">
        <v>670</v>
      </c>
      <c r="AB219" s="1008" t="s">
        <v>670</v>
      </c>
      <c r="AC219" s="1008"/>
      <c r="AD219" s="1008" t="s">
        <v>670</v>
      </c>
      <c r="AE219" s="1008"/>
      <c r="AF219" s="1008" t="s">
        <v>670</v>
      </c>
      <c r="AG219" s="1008"/>
      <c r="AH219" s="1008"/>
      <c r="AI219" s="1008"/>
    </row>
    <row r="220" spans="1:35">
      <c r="A220" s="1008">
        <v>23711</v>
      </c>
      <c r="B220" s="1008">
        <v>1425</v>
      </c>
      <c r="C220" s="1008">
        <v>7</v>
      </c>
      <c r="D220" s="1009">
        <v>10590900</v>
      </c>
      <c r="E220" s="1009">
        <v>10590300</v>
      </c>
      <c r="F220" s="1007" t="s">
        <v>4730</v>
      </c>
      <c r="G220" s="1007">
        <v>7</v>
      </c>
      <c r="H220" s="1010">
        <v>99999999</v>
      </c>
      <c r="I220" s="1009">
        <v>10590300</v>
      </c>
      <c r="J220" s="1007" t="s">
        <v>4730</v>
      </c>
      <c r="O220" s="1007" t="s">
        <v>648</v>
      </c>
      <c r="P220" s="1007" t="s">
        <v>648</v>
      </c>
      <c r="S220" s="1008" t="s">
        <v>650</v>
      </c>
      <c r="T220" s="1008" t="s">
        <v>654</v>
      </c>
      <c r="U220" s="1008" t="s">
        <v>649</v>
      </c>
      <c r="V220" s="1008" t="s">
        <v>648</v>
      </c>
      <c r="W220" s="1008" t="s">
        <v>546</v>
      </c>
      <c r="X220" s="1008" t="s">
        <v>670</v>
      </c>
      <c r="Y220" s="1008" t="s">
        <v>670</v>
      </c>
      <c r="Z220" s="1008" t="s">
        <v>670</v>
      </c>
      <c r="AA220" s="1008"/>
      <c r="AB220" s="1008" t="s">
        <v>670</v>
      </c>
      <c r="AC220" s="1008"/>
      <c r="AD220" s="1008" t="s">
        <v>670</v>
      </c>
      <c r="AE220" s="1008"/>
      <c r="AF220" s="1008" t="s">
        <v>670</v>
      </c>
      <c r="AG220" s="1008"/>
      <c r="AH220" s="1008"/>
      <c r="AI220" s="1008"/>
    </row>
    <row r="221" spans="1:35">
      <c r="A221" s="1008">
        <v>26465</v>
      </c>
      <c r="B221" s="1008">
        <v>1426</v>
      </c>
      <c r="C221" s="1008">
        <v>7</v>
      </c>
      <c r="D221" s="1009">
        <v>10590900</v>
      </c>
      <c r="E221" s="1009">
        <v>10590500</v>
      </c>
      <c r="F221" s="1007" t="s">
        <v>4729</v>
      </c>
      <c r="G221" s="1007">
        <v>7</v>
      </c>
      <c r="H221" s="1010">
        <v>99999999</v>
      </c>
      <c r="I221" s="1009">
        <v>10590500</v>
      </c>
      <c r="J221" s="1007" t="s">
        <v>4729</v>
      </c>
      <c r="O221" s="1007" t="s">
        <v>648</v>
      </c>
      <c r="P221" s="1007" t="s">
        <v>648</v>
      </c>
      <c r="S221" s="1008" t="s">
        <v>650</v>
      </c>
      <c r="T221" s="1008" t="s">
        <v>654</v>
      </c>
      <c r="U221" s="1008" t="s">
        <v>649</v>
      </c>
      <c r="V221" s="1008" t="s">
        <v>648</v>
      </c>
      <c r="W221" s="1008" t="s">
        <v>546</v>
      </c>
      <c r="X221" s="1008" t="s">
        <v>670</v>
      </c>
      <c r="Y221" s="1008" t="s">
        <v>670</v>
      </c>
      <c r="Z221" s="1008" t="s">
        <v>670</v>
      </c>
      <c r="AA221" s="1008"/>
      <c r="AB221" s="1008" t="s">
        <v>670</v>
      </c>
      <c r="AC221" s="1008"/>
      <c r="AD221" s="1008" t="s">
        <v>670</v>
      </c>
      <c r="AE221" s="1008"/>
      <c r="AF221" s="1008" t="s">
        <v>670</v>
      </c>
      <c r="AG221" s="1008"/>
      <c r="AH221" s="1008"/>
      <c r="AI221" s="1008"/>
    </row>
    <row r="222" spans="1:35">
      <c r="A222" s="1008">
        <v>23712</v>
      </c>
      <c r="B222" s="1008">
        <v>1427</v>
      </c>
      <c r="C222" s="1008">
        <v>7</v>
      </c>
      <c r="D222" s="1009">
        <v>10590900</v>
      </c>
      <c r="E222" s="1009">
        <v>10590600</v>
      </c>
      <c r="F222" s="1007" t="s">
        <v>4728</v>
      </c>
      <c r="G222" s="1007">
        <v>7</v>
      </c>
      <c r="H222" s="1010">
        <v>99999999</v>
      </c>
      <c r="I222" s="1009">
        <v>10590600</v>
      </c>
      <c r="J222" s="1007" t="s">
        <v>4728</v>
      </c>
      <c r="O222" s="1007" t="s">
        <v>648</v>
      </c>
      <c r="P222" s="1007" t="s">
        <v>648</v>
      </c>
      <c r="S222" s="1008" t="s">
        <v>650</v>
      </c>
      <c r="T222" s="1008" t="s">
        <v>654</v>
      </c>
      <c r="U222" s="1008" t="s">
        <v>649</v>
      </c>
      <c r="V222" s="1008" t="s">
        <v>648</v>
      </c>
      <c r="W222" s="1008" t="s">
        <v>546</v>
      </c>
      <c r="X222" s="1008" t="s">
        <v>670</v>
      </c>
      <c r="Y222" s="1008" t="s">
        <v>670</v>
      </c>
      <c r="Z222" s="1008" t="s">
        <v>670</v>
      </c>
      <c r="AA222" s="1008"/>
      <c r="AB222" s="1008" t="s">
        <v>670</v>
      </c>
      <c r="AC222" s="1008"/>
      <c r="AD222" s="1008" t="s">
        <v>670</v>
      </c>
      <c r="AE222" s="1008"/>
      <c r="AF222" s="1008" t="s">
        <v>670</v>
      </c>
      <c r="AG222" s="1008"/>
      <c r="AH222" s="1008"/>
      <c r="AI222" s="1008"/>
    </row>
    <row r="223" spans="1:35">
      <c r="A223" s="1008">
        <v>26464</v>
      </c>
      <c r="B223" s="1008">
        <v>1428</v>
      </c>
      <c r="C223" s="1008">
        <v>7</v>
      </c>
      <c r="D223" s="1009">
        <v>10590900</v>
      </c>
      <c r="E223" s="1009">
        <v>10590610</v>
      </c>
      <c r="F223" s="1007" t="s">
        <v>4727</v>
      </c>
      <c r="G223" s="1007">
        <v>7</v>
      </c>
      <c r="H223" s="1010">
        <v>99999999</v>
      </c>
      <c r="I223" s="1009">
        <v>10590610</v>
      </c>
      <c r="J223" s="1007" t="s">
        <v>4727</v>
      </c>
      <c r="O223" s="1007" t="s">
        <v>648</v>
      </c>
      <c r="P223" s="1007" t="s">
        <v>648</v>
      </c>
      <c r="S223" s="1008" t="s">
        <v>650</v>
      </c>
      <c r="T223" s="1008" t="s">
        <v>654</v>
      </c>
      <c r="U223" s="1008" t="s">
        <v>649</v>
      </c>
      <c r="V223" s="1008" t="s">
        <v>648</v>
      </c>
      <c r="W223" s="1008" t="s">
        <v>546</v>
      </c>
      <c r="X223" s="1008" t="s">
        <v>670</v>
      </c>
      <c r="Y223" s="1008" t="s">
        <v>670</v>
      </c>
      <c r="Z223" s="1008" t="s">
        <v>670</v>
      </c>
      <c r="AA223" s="1008"/>
      <c r="AB223" s="1008" t="s">
        <v>670</v>
      </c>
      <c r="AC223" s="1008"/>
      <c r="AD223" s="1008" t="s">
        <v>670</v>
      </c>
      <c r="AE223" s="1008"/>
      <c r="AF223" s="1008" t="s">
        <v>670</v>
      </c>
      <c r="AG223" s="1008"/>
      <c r="AH223" s="1008"/>
      <c r="AI223" s="1008"/>
    </row>
    <row r="224" spans="1:35">
      <c r="A224" s="1008">
        <v>23713</v>
      </c>
      <c r="B224" s="1008">
        <v>1429</v>
      </c>
      <c r="C224" s="1008">
        <v>7</v>
      </c>
      <c r="D224" s="1009">
        <v>10590900</v>
      </c>
      <c r="E224" s="1009">
        <v>10590700</v>
      </c>
      <c r="F224" s="1007" t="s">
        <v>4726</v>
      </c>
      <c r="G224" s="1007">
        <v>7</v>
      </c>
      <c r="H224" s="1010">
        <v>99999999</v>
      </c>
      <c r="I224" s="1009">
        <v>10590700</v>
      </c>
      <c r="J224" s="1007" t="s">
        <v>4726</v>
      </c>
      <c r="O224" s="1007" t="s">
        <v>648</v>
      </c>
      <c r="P224" s="1007" t="s">
        <v>648</v>
      </c>
      <c r="S224" s="1008" t="s">
        <v>650</v>
      </c>
      <c r="T224" s="1008" t="s">
        <v>654</v>
      </c>
      <c r="U224" s="1008" t="s">
        <v>649</v>
      </c>
      <c r="V224" s="1008" t="s">
        <v>648</v>
      </c>
      <c r="W224" s="1008" t="s">
        <v>546</v>
      </c>
      <c r="X224" s="1008" t="s">
        <v>670</v>
      </c>
      <c r="Y224" s="1008" t="s">
        <v>670</v>
      </c>
      <c r="Z224" s="1008" t="s">
        <v>670</v>
      </c>
      <c r="AA224" s="1008"/>
      <c r="AB224" s="1008" t="s">
        <v>670</v>
      </c>
      <c r="AC224" s="1008"/>
      <c r="AD224" s="1008" t="s">
        <v>670</v>
      </c>
      <c r="AE224" s="1008"/>
      <c r="AF224" s="1008" t="s">
        <v>670</v>
      </c>
      <c r="AG224" s="1008"/>
      <c r="AH224" s="1008"/>
      <c r="AI224" s="1008"/>
    </row>
    <row r="225" spans="1:35">
      <c r="A225" s="1008">
        <v>23714</v>
      </c>
      <c r="B225" s="1008">
        <v>4733</v>
      </c>
      <c r="C225" s="1008">
        <v>7</v>
      </c>
      <c r="D225" s="1009">
        <v>10590900</v>
      </c>
      <c r="E225" s="1009">
        <v>10590800</v>
      </c>
      <c r="F225" s="1007" t="s">
        <v>4725</v>
      </c>
      <c r="G225" s="1007">
        <v>7</v>
      </c>
      <c r="H225" s="1010">
        <v>99999999</v>
      </c>
      <c r="I225" s="1009">
        <v>10590800</v>
      </c>
      <c r="J225" s="1007" t="s">
        <v>4725</v>
      </c>
      <c r="O225" s="1007" t="s">
        <v>648</v>
      </c>
      <c r="P225" s="1007" t="s">
        <v>648</v>
      </c>
      <c r="S225" s="1008" t="s">
        <v>650</v>
      </c>
      <c r="T225" s="1008" t="s">
        <v>654</v>
      </c>
      <c r="U225" s="1008" t="s">
        <v>649</v>
      </c>
      <c r="V225" s="1008" t="s">
        <v>648</v>
      </c>
      <c r="W225" s="1008" t="s">
        <v>546</v>
      </c>
      <c r="X225" s="1008" t="s">
        <v>670</v>
      </c>
      <c r="Y225" s="1008" t="s">
        <v>670</v>
      </c>
      <c r="Z225" s="1008" t="s">
        <v>670</v>
      </c>
      <c r="AA225" s="1008"/>
      <c r="AB225" s="1008" t="s">
        <v>670</v>
      </c>
      <c r="AC225" s="1008"/>
      <c r="AD225" s="1008" t="s">
        <v>670</v>
      </c>
      <c r="AE225" s="1008"/>
      <c r="AF225" s="1008" t="s">
        <v>670</v>
      </c>
      <c r="AG225" s="1008"/>
      <c r="AH225" s="1008"/>
      <c r="AI225" s="1008"/>
    </row>
    <row r="226" spans="1:35">
      <c r="A226" s="1008">
        <v>27587</v>
      </c>
      <c r="B226" s="1008">
        <v>834</v>
      </c>
      <c r="C226" s="1008">
        <v>7</v>
      </c>
      <c r="D226" s="1009">
        <v>10590900</v>
      </c>
      <c r="E226" s="1009">
        <v>10590890</v>
      </c>
      <c r="F226" s="1007" t="s">
        <v>4724</v>
      </c>
      <c r="G226" s="1007">
        <v>8</v>
      </c>
      <c r="H226" s="1010">
        <v>99999999</v>
      </c>
      <c r="I226" s="1009">
        <v>10590890</v>
      </c>
      <c r="J226" s="1007" t="s">
        <v>4723</v>
      </c>
      <c r="O226" s="1007" t="s">
        <v>648</v>
      </c>
      <c r="P226" s="1007" t="s">
        <v>648</v>
      </c>
      <c r="S226" s="1008" t="s">
        <v>650</v>
      </c>
      <c r="T226" s="1008" t="s">
        <v>654</v>
      </c>
      <c r="U226" s="1008" t="s">
        <v>649</v>
      </c>
      <c r="V226" s="1008" t="s">
        <v>648</v>
      </c>
      <c r="W226" s="1008" t="s">
        <v>546</v>
      </c>
      <c r="X226" s="1008" t="s">
        <v>670</v>
      </c>
      <c r="Y226" s="1008"/>
      <c r="Z226" s="1008"/>
      <c r="AA226" s="1008"/>
      <c r="AB226" s="1008"/>
      <c r="AC226" s="1008"/>
      <c r="AD226" s="1008"/>
      <c r="AE226" s="1008"/>
      <c r="AF226" s="1008"/>
      <c r="AG226" s="1008"/>
      <c r="AH226" s="1008"/>
      <c r="AI226" s="1008"/>
    </row>
    <row r="227" spans="1:35">
      <c r="A227" s="1008">
        <v>23715</v>
      </c>
      <c r="C227" s="1008">
        <v>6</v>
      </c>
      <c r="D227" s="1009">
        <v>10699999</v>
      </c>
      <c r="E227" s="1009">
        <v>10590900</v>
      </c>
      <c r="F227" s="1007" t="s">
        <v>4722</v>
      </c>
      <c r="O227" s="1007" t="s">
        <v>648</v>
      </c>
      <c r="P227" s="1007" t="s">
        <v>648</v>
      </c>
      <c r="S227" s="1008" t="s">
        <v>650</v>
      </c>
      <c r="T227" s="1008" t="s">
        <v>21</v>
      </c>
      <c r="U227" s="1008" t="s">
        <v>649</v>
      </c>
      <c r="V227" s="1008" t="s">
        <v>648</v>
      </c>
      <c r="W227" s="1008" t="s">
        <v>546</v>
      </c>
      <c r="X227" s="1008"/>
      <c r="Y227" s="1008"/>
      <c r="Z227" s="1008"/>
      <c r="AA227" s="1008"/>
      <c r="AB227" s="1008"/>
      <c r="AC227" s="1008"/>
      <c r="AD227" s="1008"/>
      <c r="AE227" s="1008"/>
      <c r="AF227" s="1008"/>
      <c r="AG227" s="1008"/>
      <c r="AH227" s="1008"/>
      <c r="AI227" s="1008"/>
    </row>
    <row r="228" spans="1:35">
      <c r="A228" s="1008">
        <v>23722</v>
      </c>
      <c r="C228" s="1008">
        <v>5</v>
      </c>
      <c r="D228" s="1009">
        <v>10799999</v>
      </c>
      <c r="E228" s="1009">
        <v>10699999</v>
      </c>
      <c r="F228" s="1007" t="s">
        <v>4721</v>
      </c>
      <c r="O228" s="1007" t="s">
        <v>648</v>
      </c>
      <c r="P228" s="1007" t="s">
        <v>648</v>
      </c>
      <c r="S228" s="1008" t="s">
        <v>650</v>
      </c>
      <c r="T228" s="1008" t="s">
        <v>21</v>
      </c>
      <c r="U228" s="1008" t="s">
        <v>649</v>
      </c>
      <c r="V228" s="1008" t="s">
        <v>648</v>
      </c>
      <c r="W228" s="1008" t="s">
        <v>546</v>
      </c>
      <c r="X228" s="1008"/>
      <c r="Y228" s="1008"/>
      <c r="Z228" s="1008"/>
      <c r="AA228" s="1008"/>
      <c r="AB228" s="1008"/>
      <c r="AC228" s="1008"/>
      <c r="AD228" s="1008"/>
      <c r="AE228" s="1008"/>
      <c r="AF228" s="1008"/>
      <c r="AG228" s="1008"/>
      <c r="AH228" s="1008"/>
      <c r="AI228" s="1008"/>
    </row>
    <row r="229" spans="1:35">
      <c r="A229" s="1008">
        <v>23723</v>
      </c>
      <c r="C229" s="1008">
        <v>4</v>
      </c>
      <c r="D229" s="1009">
        <v>19999998</v>
      </c>
      <c r="E229" s="1009">
        <v>10799999</v>
      </c>
      <c r="F229" s="1007" t="s">
        <v>4720</v>
      </c>
      <c r="O229" s="1007" t="s">
        <v>648</v>
      </c>
      <c r="P229" s="1007" t="s">
        <v>648</v>
      </c>
      <c r="S229" s="1008" t="s">
        <v>650</v>
      </c>
      <c r="T229" s="1008" t="s">
        <v>21</v>
      </c>
      <c r="U229" s="1008" t="s">
        <v>649</v>
      </c>
      <c r="V229" s="1008" t="s">
        <v>648</v>
      </c>
      <c r="W229" s="1008" t="s">
        <v>546</v>
      </c>
      <c r="X229" s="1008"/>
      <c r="Y229" s="1008"/>
      <c r="Z229" s="1008"/>
      <c r="AA229" s="1008"/>
      <c r="AB229" s="1008"/>
      <c r="AC229" s="1008"/>
      <c r="AD229" s="1008"/>
      <c r="AE229" s="1008"/>
      <c r="AF229" s="1008"/>
      <c r="AG229" s="1008"/>
      <c r="AH229" s="1008"/>
      <c r="AI229" s="1008"/>
    </row>
    <row r="230" spans="1:35">
      <c r="A230" s="1008">
        <v>23724</v>
      </c>
      <c r="C230" s="1008">
        <v>4</v>
      </c>
      <c r="D230" s="1009">
        <v>11199999</v>
      </c>
      <c r="E230" s="1009">
        <v>11000000</v>
      </c>
      <c r="F230" s="1007" t="s">
        <v>4719</v>
      </c>
      <c r="O230" s="1007" t="s">
        <v>648</v>
      </c>
      <c r="P230" s="1007" t="s">
        <v>648</v>
      </c>
      <c r="S230" s="1008" t="s">
        <v>650</v>
      </c>
      <c r="T230" s="1008" t="s">
        <v>675</v>
      </c>
      <c r="U230" s="1008" t="s">
        <v>649</v>
      </c>
      <c r="V230" s="1008" t="s">
        <v>648</v>
      </c>
      <c r="W230" s="1008" t="s">
        <v>546</v>
      </c>
      <c r="X230" s="1008"/>
      <c r="Y230" s="1008"/>
      <c r="Z230" s="1008"/>
      <c r="AA230" s="1008"/>
      <c r="AB230" s="1008"/>
      <c r="AC230" s="1008"/>
      <c r="AD230" s="1008"/>
      <c r="AE230" s="1008"/>
      <c r="AF230" s="1008"/>
      <c r="AG230" s="1008"/>
      <c r="AH230" s="1008"/>
      <c r="AI230" s="1008"/>
    </row>
    <row r="231" spans="1:35">
      <c r="A231" s="1008">
        <v>23725</v>
      </c>
      <c r="C231" s="1008">
        <v>5</v>
      </c>
      <c r="D231" s="1009">
        <v>11099999</v>
      </c>
      <c r="E231" s="1009">
        <v>11001000</v>
      </c>
      <c r="F231" s="1007" t="s">
        <v>4718</v>
      </c>
      <c r="O231" s="1007" t="s">
        <v>648</v>
      </c>
      <c r="P231" s="1007" t="s">
        <v>648</v>
      </c>
      <c r="S231" s="1008" t="s">
        <v>650</v>
      </c>
      <c r="T231" s="1008" t="s">
        <v>675</v>
      </c>
      <c r="U231" s="1008" t="s">
        <v>649</v>
      </c>
      <c r="V231" s="1008" t="s">
        <v>648</v>
      </c>
      <c r="W231" s="1008" t="s">
        <v>546</v>
      </c>
      <c r="X231" s="1008"/>
      <c r="Y231" s="1008"/>
      <c r="Z231" s="1008"/>
      <c r="AA231" s="1008"/>
      <c r="AB231" s="1008"/>
      <c r="AC231" s="1008"/>
      <c r="AD231" s="1008"/>
      <c r="AE231" s="1008"/>
      <c r="AF231" s="1008"/>
      <c r="AG231" s="1008"/>
      <c r="AH231" s="1008"/>
      <c r="AI231" s="1008"/>
    </row>
    <row r="232" spans="1:35">
      <c r="A232" s="1008">
        <v>23726</v>
      </c>
      <c r="C232" s="1008">
        <v>6</v>
      </c>
      <c r="D232" s="1009">
        <v>11019999</v>
      </c>
      <c r="E232" s="1009">
        <v>11010000</v>
      </c>
      <c r="F232" s="1007" t="s">
        <v>4718</v>
      </c>
      <c r="O232" s="1007" t="s">
        <v>648</v>
      </c>
      <c r="P232" s="1007" t="s">
        <v>648</v>
      </c>
      <c r="S232" s="1008" t="s">
        <v>650</v>
      </c>
      <c r="T232" s="1008" t="s">
        <v>675</v>
      </c>
      <c r="U232" s="1008" t="s">
        <v>649</v>
      </c>
      <c r="V232" s="1008" t="s">
        <v>648</v>
      </c>
      <c r="W232" s="1008" t="s">
        <v>546</v>
      </c>
      <c r="X232" s="1008"/>
      <c r="Y232" s="1008"/>
      <c r="Z232" s="1008"/>
      <c r="AA232" s="1008"/>
      <c r="AB232" s="1008"/>
      <c r="AC232" s="1008"/>
      <c r="AD232" s="1008"/>
      <c r="AE232" s="1008"/>
      <c r="AF232" s="1008"/>
      <c r="AG232" s="1008"/>
      <c r="AH232" s="1008"/>
      <c r="AI232" s="1008"/>
    </row>
    <row r="233" spans="1:35">
      <c r="A233" s="1008">
        <v>23727</v>
      </c>
      <c r="B233" s="1008">
        <v>1431</v>
      </c>
      <c r="C233" s="1008">
        <v>7</v>
      </c>
      <c r="D233" s="1009">
        <v>11019999</v>
      </c>
      <c r="E233" s="1009">
        <v>11011000</v>
      </c>
      <c r="F233" s="1007" t="s">
        <v>4717</v>
      </c>
      <c r="G233" s="1007">
        <v>7</v>
      </c>
      <c r="H233" s="1010">
        <v>99999999</v>
      </c>
      <c r="I233" s="1009">
        <v>11011000</v>
      </c>
      <c r="J233" s="1007" t="s">
        <v>4717</v>
      </c>
      <c r="O233" s="1007" t="s">
        <v>648</v>
      </c>
      <c r="P233" s="1007" t="s">
        <v>648</v>
      </c>
      <c r="S233" s="1008" t="s">
        <v>650</v>
      </c>
      <c r="T233" s="1008" t="s">
        <v>654</v>
      </c>
      <c r="U233" s="1008" t="s">
        <v>649</v>
      </c>
      <c r="V233" s="1008" t="s">
        <v>648</v>
      </c>
      <c r="W233" s="1008" t="s">
        <v>546</v>
      </c>
      <c r="X233" s="1008" t="s">
        <v>670</v>
      </c>
      <c r="Y233" s="1008" t="s">
        <v>670</v>
      </c>
      <c r="Z233" s="1008" t="s">
        <v>670</v>
      </c>
      <c r="AA233" s="1008" t="s">
        <v>670</v>
      </c>
      <c r="AB233" s="1008" t="s">
        <v>670</v>
      </c>
      <c r="AC233" s="1008" t="s">
        <v>670</v>
      </c>
      <c r="AD233" s="1008" t="s">
        <v>670</v>
      </c>
      <c r="AE233" s="1008"/>
      <c r="AF233" s="1008" t="s">
        <v>670</v>
      </c>
      <c r="AG233" s="1008"/>
      <c r="AH233" s="1008"/>
      <c r="AI233" s="1008"/>
    </row>
    <row r="234" spans="1:35">
      <c r="A234" s="1008">
        <v>23728</v>
      </c>
      <c r="B234" s="1008">
        <v>1432</v>
      </c>
      <c r="C234" s="1008">
        <v>7</v>
      </c>
      <c r="D234" s="1009">
        <v>11019999</v>
      </c>
      <c r="E234" s="1009">
        <v>11012000</v>
      </c>
      <c r="F234" s="1007" t="s">
        <v>4716</v>
      </c>
      <c r="G234" s="1007">
        <v>7</v>
      </c>
      <c r="H234" s="1010">
        <v>99999999</v>
      </c>
      <c r="I234" s="1009">
        <v>11012000</v>
      </c>
      <c r="J234" s="1007" t="s">
        <v>4716</v>
      </c>
      <c r="O234" s="1007" t="s">
        <v>648</v>
      </c>
      <c r="P234" s="1007" t="s">
        <v>648</v>
      </c>
      <c r="S234" s="1008" t="s">
        <v>650</v>
      </c>
      <c r="T234" s="1008" t="s">
        <v>654</v>
      </c>
      <c r="U234" s="1008" t="s">
        <v>649</v>
      </c>
      <c r="V234" s="1008" t="s">
        <v>648</v>
      </c>
      <c r="W234" s="1008" t="s">
        <v>546</v>
      </c>
      <c r="X234" s="1008" t="s">
        <v>670</v>
      </c>
      <c r="Y234" s="1008" t="s">
        <v>670</v>
      </c>
      <c r="Z234" s="1008"/>
      <c r="AA234" s="1008"/>
      <c r="AB234" s="1008"/>
      <c r="AC234" s="1008"/>
      <c r="AD234" s="1008" t="s">
        <v>670</v>
      </c>
      <c r="AE234" s="1008" t="s">
        <v>670</v>
      </c>
      <c r="AF234" s="1008" t="s">
        <v>670</v>
      </c>
      <c r="AG234" s="1008"/>
      <c r="AH234" s="1008"/>
      <c r="AI234" s="1008"/>
    </row>
    <row r="235" spans="1:35">
      <c r="A235" s="1008">
        <v>23729</v>
      </c>
      <c r="B235" s="1008">
        <v>518</v>
      </c>
      <c r="C235" s="1008">
        <v>7</v>
      </c>
      <c r="D235" s="1009">
        <v>11019999</v>
      </c>
      <c r="E235" s="1009">
        <v>11013000</v>
      </c>
      <c r="F235" s="1007" t="s">
        <v>4715</v>
      </c>
      <c r="G235" s="1007">
        <v>8</v>
      </c>
      <c r="H235" s="1010">
        <v>99999999</v>
      </c>
      <c r="I235" s="1009">
        <v>11013000</v>
      </c>
      <c r="J235" s="1007" t="s">
        <v>4715</v>
      </c>
      <c r="O235" s="1007" t="s">
        <v>648</v>
      </c>
      <c r="P235" s="1007" t="s">
        <v>648</v>
      </c>
      <c r="S235" s="1008" t="s">
        <v>650</v>
      </c>
      <c r="T235" s="1008" t="s">
        <v>654</v>
      </c>
      <c r="U235" s="1008" t="s">
        <v>649</v>
      </c>
      <c r="V235" s="1008" t="s">
        <v>648</v>
      </c>
      <c r="W235" s="1008" t="s">
        <v>546</v>
      </c>
      <c r="X235" s="1008" t="s">
        <v>670</v>
      </c>
      <c r="Y235" s="1008" t="s">
        <v>670</v>
      </c>
      <c r="Z235" s="1008"/>
      <c r="AA235" s="1008" t="s">
        <v>670</v>
      </c>
      <c r="AB235" s="1008"/>
      <c r="AC235" s="1008" t="s">
        <v>670</v>
      </c>
      <c r="AD235" s="1008"/>
      <c r="AE235" s="1008"/>
      <c r="AF235" s="1008" t="s">
        <v>670</v>
      </c>
      <c r="AG235" s="1008"/>
      <c r="AH235" s="1008"/>
      <c r="AI235" s="1008"/>
    </row>
    <row r="236" spans="1:35">
      <c r="A236" s="1008">
        <v>26463</v>
      </c>
      <c r="B236" s="1008">
        <v>1278</v>
      </c>
      <c r="C236" s="1008">
        <v>7</v>
      </c>
      <c r="D236" s="1009">
        <v>11019999</v>
      </c>
      <c r="E236" s="1009">
        <v>11014000</v>
      </c>
      <c r="F236" s="1007" t="s">
        <v>4714</v>
      </c>
      <c r="G236" s="1007">
        <v>8</v>
      </c>
      <c r="H236" s="1010">
        <v>99999999</v>
      </c>
      <c r="I236" s="1009">
        <v>11014000</v>
      </c>
      <c r="J236" s="1007" t="s">
        <v>4713</v>
      </c>
      <c r="O236" s="1007" t="s">
        <v>648</v>
      </c>
      <c r="P236" s="1007" t="s">
        <v>648</v>
      </c>
      <c r="S236" s="1008" t="s">
        <v>650</v>
      </c>
      <c r="T236" s="1008" t="s">
        <v>654</v>
      </c>
      <c r="U236" s="1008" t="s">
        <v>649</v>
      </c>
      <c r="V236" s="1008" t="s">
        <v>648</v>
      </c>
      <c r="W236" s="1008" t="s">
        <v>546</v>
      </c>
      <c r="X236" s="1008" t="s">
        <v>670</v>
      </c>
      <c r="Y236" s="1008"/>
      <c r="Z236" s="1008"/>
      <c r="AA236" s="1008"/>
      <c r="AB236" s="1008"/>
      <c r="AC236" s="1008" t="s">
        <v>670</v>
      </c>
      <c r="AD236" s="1008"/>
      <c r="AE236" s="1008"/>
      <c r="AF236" s="1008"/>
      <c r="AG236" s="1008"/>
      <c r="AH236" s="1008"/>
      <c r="AI236" s="1008"/>
    </row>
    <row r="237" spans="1:35">
      <c r="A237" s="1008">
        <v>26524</v>
      </c>
      <c r="B237" s="1008">
        <v>1255</v>
      </c>
      <c r="C237" s="1008">
        <v>7</v>
      </c>
      <c r="D237" s="1009">
        <v>11019999</v>
      </c>
      <c r="E237" s="1009">
        <v>11015000</v>
      </c>
      <c r="F237" s="1007" t="s">
        <v>4712</v>
      </c>
      <c r="G237" s="1007">
        <v>8</v>
      </c>
      <c r="H237" s="1010">
        <v>99999999</v>
      </c>
      <c r="I237" s="1009">
        <v>11015000</v>
      </c>
      <c r="J237" s="1007" t="s">
        <v>4711</v>
      </c>
      <c r="O237" s="1007" t="s">
        <v>648</v>
      </c>
      <c r="P237" s="1007" t="s">
        <v>648</v>
      </c>
      <c r="S237" s="1008" t="s">
        <v>650</v>
      </c>
      <c r="T237" s="1008" t="s">
        <v>654</v>
      </c>
      <c r="U237" s="1008" t="s">
        <v>649</v>
      </c>
      <c r="V237" s="1008" t="s">
        <v>648</v>
      </c>
      <c r="W237" s="1008" t="s">
        <v>546</v>
      </c>
      <c r="X237" s="1008" t="s">
        <v>670</v>
      </c>
      <c r="Y237" s="1008"/>
      <c r="Z237" s="1008"/>
      <c r="AA237" s="1008"/>
      <c r="AB237" s="1008"/>
      <c r="AC237" s="1008" t="s">
        <v>670</v>
      </c>
      <c r="AD237" s="1008"/>
      <c r="AE237" s="1008"/>
      <c r="AF237" s="1008"/>
      <c r="AG237" s="1008"/>
      <c r="AH237" s="1008"/>
      <c r="AI237" s="1008"/>
    </row>
    <row r="238" spans="1:35">
      <c r="A238" s="1008">
        <v>27130</v>
      </c>
      <c r="B238" s="1008">
        <v>5961</v>
      </c>
      <c r="C238" s="1008">
        <v>7</v>
      </c>
      <c r="D238" s="1009">
        <v>11019999</v>
      </c>
      <c r="E238" s="1009">
        <v>11016000</v>
      </c>
      <c r="F238" s="1007" t="s">
        <v>4710</v>
      </c>
      <c r="G238" s="1007">
        <v>8</v>
      </c>
      <c r="H238" s="1010">
        <v>99999999</v>
      </c>
      <c r="I238" s="1009">
        <v>11016000</v>
      </c>
      <c r="J238" s="1007" t="s">
        <v>4710</v>
      </c>
      <c r="O238" s="1007" t="s">
        <v>648</v>
      </c>
      <c r="P238" s="1007" t="s">
        <v>648</v>
      </c>
      <c r="S238" s="1008" t="s">
        <v>650</v>
      </c>
      <c r="T238" s="1008" t="s">
        <v>654</v>
      </c>
      <c r="U238" s="1008" t="s">
        <v>649</v>
      </c>
      <c r="V238" s="1008" t="s">
        <v>648</v>
      </c>
      <c r="W238" s="1008" t="s">
        <v>546</v>
      </c>
      <c r="X238" s="1008" t="s">
        <v>670</v>
      </c>
      <c r="Y238" s="1008" t="s">
        <v>670</v>
      </c>
      <c r="Z238" s="1008"/>
      <c r="AA238" s="1008"/>
      <c r="AB238" s="1008"/>
      <c r="AC238" s="1008"/>
      <c r="AD238" s="1008"/>
      <c r="AE238" s="1008"/>
      <c r="AF238" s="1008" t="s">
        <v>670</v>
      </c>
      <c r="AG238" s="1008"/>
      <c r="AH238" s="1008"/>
      <c r="AI238" s="1008"/>
    </row>
    <row r="239" spans="1:35">
      <c r="A239" s="1008">
        <v>23730</v>
      </c>
      <c r="B239" s="1008">
        <v>530</v>
      </c>
      <c r="C239" s="1008">
        <v>7</v>
      </c>
      <c r="D239" s="1009">
        <v>11019999</v>
      </c>
      <c r="E239" s="1009">
        <v>11019000</v>
      </c>
      <c r="F239" s="1007" t="s">
        <v>4709</v>
      </c>
      <c r="G239" s="1007">
        <v>8</v>
      </c>
      <c r="H239" s="1010">
        <v>99999999</v>
      </c>
      <c r="I239" s="1009">
        <v>11019000</v>
      </c>
      <c r="J239" s="1007" t="s">
        <v>4708</v>
      </c>
      <c r="O239" s="1007" t="s">
        <v>648</v>
      </c>
      <c r="P239" s="1007" t="s">
        <v>648</v>
      </c>
      <c r="S239" s="1008" t="s">
        <v>650</v>
      </c>
      <c r="T239" s="1008" t="s">
        <v>654</v>
      </c>
      <c r="U239" s="1008" t="s">
        <v>649</v>
      </c>
      <c r="V239" s="1008" t="s">
        <v>648</v>
      </c>
      <c r="W239" s="1008" t="s">
        <v>546</v>
      </c>
      <c r="X239" s="1008" t="s">
        <v>670</v>
      </c>
      <c r="Y239" s="1008" t="s">
        <v>670</v>
      </c>
      <c r="Z239" s="1008" t="s">
        <v>670</v>
      </c>
      <c r="AA239" s="1008" t="s">
        <v>670</v>
      </c>
      <c r="AB239" s="1008" t="s">
        <v>670</v>
      </c>
      <c r="AC239" s="1008" t="s">
        <v>670</v>
      </c>
      <c r="AD239" s="1008" t="s">
        <v>670</v>
      </c>
      <c r="AE239" s="1008"/>
      <c r="AF239" s="1008" t="s">
        <v>670</v>
      </c>
      <c r="AG239" s="1008" t="s">
        <v>670</v>
      </c>
      <c r="AH239" s="1008"/>
      <c r="AI239" s="1008"/>
    </row>
    <row r="240" spans="1:35">
      <c r="A240" s="1008">
        <v>23731</v>
      </c>
      <c r="C240" s="1008">
        <v>6</v>
      </c>
      <c r="D240" s="1009">
        <v>11099999</v>
      </c>
      <c r="E240" s="1009">
        <v>11019999</v>
      </c>
      <c r="F240" s="1007" t="s">
        <v>4704</v>
      </c>
      <c r="O240" s="1007" t="s">
        <v>648</v>
      </c>
      <c r="P240" s="1007" t="s">
        <v>648</v>
      </c>
      <c r="S240" s="1008" t="s">
        <v>650</v>
      </c>
      <c r="T240" s="1008" t="s">
        <v>21</v>
      </c>
      <c r="U240" s="1008" t="s">
        <v>649</v>
      </c>
      <c r="V240" s="1008" t="s">
        <v>648</v>
      </c>
      <c r="W240" s="1008" t="s">
        <v>546</v>
      </c>
      <c r="X240" s="1008"/>
      <c r="Y240" s="1008"/>
      <c r="Z240" s="1008"/>
      <c r="AA240" s="1008"/>
      <c r="AB240" s="1008"/>
      <c r="AC240" s="1008"/>
      <c r="AD240" s="1008"/>
      <c r="AE240" s="1008"/>
      <c r="AF240" s="1008"/>
      <c r="AG240" s="1008"/>
      <c r="AH240" s="1008"/>
      <c r="AI240" s="1008"/>
    </row>
    <row r="241" spans="1:35">
      <c r="A241" s="1008">
        <v>23732</v>
      </c>
      <c r="C241" s="1008">
        <v>6</v>
      </c>
      <c r="D241" s="1009">
        <v>11039999</v>
      </c>
      <c r="E241" s="1009">
        <v>11030000</v>
      </c>
      <c r="F241" s="1007" t="s">
        <v>4707</v>
      </c>
      <c r="O241" s="1007" t="s">
        <v>648</v>
      </c>
      <c r="P241" s="1007" t="s">
        <v>648</v>
      </c>
      <c r="S241" s="1008" t="s">
        <v>650</v>
      </c>
      <c r="T241" s="1008" t="s">
        <v>675</v>
      </c>
      <c r="U241" s="1008" t="s">
        <v>649</v>
      </c>
      <c r="V241" s="1008" t="s">
        <v>648</v>
      </c>
      <c r="W241" s="1008" t="s">
        <v>546</v>
      </c>
      <c r="X241" s="1008"/>
      <c r="Y241" s="1008"/>
      <c r="Z241" s="1008"/>
      <c r="AA241" s="1008"/>
      <c r="AB241" s="1008"/>
      <c r="AC241" s="1008"/>
      <c r="AD241" s="1008"/>
      <c r="AE241" s="1008"/>
      <c r="AF241" s="1008"/>
      <c r="AG241" s="1008"/>
      <c r="AH241" s="1008"/>
      <c r="AI241" s="1008"/>
    </row>
    <row r="242" spans="1:35">
      <c r="A242" s="1008">
        <v>23733</v>
      </c>
      <c r="B242" s="1008">
        <v>4741</v>
      </c>
      <c r="C242" s="1008">
        <v>7</v>
      </c>
      <c r="D242" s="1009">
        <v>11039999</v>
      </c>
      <c r="E242" s="1009">
        <v>11030700</v>
      </c>
      <c r="F242" s="1007" t="s">
        <v>4706</v>
      </c>
      <c r="G242" s="1007">
        <v>7</v>
      </c>
      <c r="H242" s="1010">
        <v>99999999</v>
      </c>
      <c r="I242" s="1009">
        <v>11030700</v>
      </c>
      <c r="J242" s="1007" t="s">
        <v>4706</v>
      </c>
      <c r="O242" s="1007" t="s">
        <v>648</v>
      </c>
      <c r="P242" s="1007" t="s">
        <v>648</v>
      </c>
      <c r="S242" s="1008" t="s">
        <v>650</v>
      </c>
      <c r="T242" s="1008" t="s">
        <v>654</v>
      </c>
      <c r="U242" s="1008" t="s">
        <v>649</v>
      </c>
      <c r="V242" s="1008" t="s">
        <v>648</v>
      </c>
      <c r="W242" s="1008" t="s">
        <v>546</v>
      </c>
      <c r="X242" s="1008" t="s">
        <v>670</v>
      </c>
      <c r="Y242" s="1008"/>
      <c r="Z242" s="1008"/>
      <c r="AA242" s="1008"/>
      <c r="AB242" s="1008"/>
      <c r="AC242" s="1008"/>
      <c r="AD242" s="1008" t="s">
        <v>670</v>
      </c>
      <c r="AE242" s="1008"/>
      <c r="AF242" s="1008"/>
      <c r="AG242" s="1008"/>
      <c r="AH242" s="1008"/>
      <c r="AI242" s="1008"/>
    </row>
    <row r="243" spans="1:35">
      <c r="A243" s="1008">
        <v>23734</v>
      </c>
      <c r="C243" s="1008">
        <v>6</v>
      </c>
      <c r="D243" s="1009">
        <v>11099999</v>
      </c>
      <c r="E243" s="1009">
        <v>11039999</v>
      </c>
      <c r="F243" s="1007" t="s">
        <v>4705</v>
      </c>
      <c r="O243" s="1007" t="s">
        <v>648</v>
      </c>
      <c r="P243" s="1007" t="s">
        <v>648</v>
      </c>
      <c r="S243" s="1008" t="s">
        <v>650</v>
      </c>
      <c r="T243" s="1008" t="s">
        <v>21</v>
      </c>
      <c r="U243" s="1008" t="s">
        <v>649</v>
      </c>
      <c r="V243" s="1008" t="s">
        <v>648</v>
      </c>
      <c r="W243" s="1008" t="s">
        <v>546</v>
      </c>
      <c r="X243" s="1008"/>
      <c r="Y243" s="1008"/>
      <c r="Z243" s="1008"/>
      <c r="AA243" s="1008"/>
      <c r="AB243" s="1008"/>
      <c r="AC243" s="1008"/>
      <c r="AD243" s="1008"/>
      <c r="AE243" s="1008"/>
      <c r="AF243" s="1008"/>
      <c r="AG243" s="1008"/>
      <c r="AH243" s="1008"/>
      <c r="AI243" s="1008"/>
    </row>
    <row r="244" spans="1:35">
      <c r="A244" s="1008">
        <v>23735</v>
      </c>
      <c r="C244" s="1008">
        <v>5</v>
      </c>
      <c r="D244" s="1009">
        <v>11199999</v>
      </c>
      <c r="E244" s="1009">
        <v>11099999</v>
      </c>
      <c r="F244" s="1007" t="s">
        <v>4704</v>
      </c>
      <c r="O244" s="1007" t="s">
        <v>648</v>
      </c>
      <c r="P244" s="1007" t="s">
        <v>648</v>
      </c>
      <c r="S244" s="1008" t="s">
        <v>650</v>
      </c>
      <c r="T244" s="1008" t="s">
        <v>21</v>
      </c>
      <c r="U244" s="1008" t="s">
        <v>649</v>
      </c>
      <c r="V244" s="1008" t="s">
        <v>648</v>
      </c>
      <c r="W244" s="1008" t="s">
        <v>546</v>
      </c>
      <c r="X244" s="1008"/>
      <c r="Y244" s="1008"/>
      <c r="Z244" s="1008"/>
      <c r="AA244" s="1008"/>
      <c r="AB244" s="1008"/>
      <c r="AC244" s="1008"/>
      <c r="AD244" s="1008"/>
      <c r="AE244" s="1008"/>
      <c r="AF244" s="1008"/>
      <c r="AG244" s="1008"/>
      <c r="AH244" s="1008"/>
      <c r="AI244" s="1008"/>
    </row>
    <row r="245" spans="1:35">
      <c r="A245" s="1008">
        <v>23736</v>
      </c>
      <c r="C245" s="1008">
        <v>5</v>
      </c>
      <c r="D245" s="1009">
        <v>11199900</v>
      </c>
      <c r="E245" s="1009">
        <v>11100000</v>
      </c>
      <c r="F245" s="1007" t="s">
        <v>4703</v>
      </c>
      <c r="O245" s="1007" t="s">
        <v>648</v>
      </c>
      <c r="P245" s="1007" t="s">
        <v>648</v>
      </c>
      <c r="S245" s="1008" t="s">
        <v>650</v>
      </c>
      <c r="T245" s="1008" t="s">
        <v>675</v>
      </c>
      <c r="U245" s="1008" t="s">
        <v>649</v>
      </c>
      <c r="V245" s="1008" t="s">
        <v>648</v>
      </c>
      <c r="W245" s="1008" t="s">
        <v>546</v>
      </c>
      <c r="X245" s="1008"/>
      <c r="Y245" s="1008"/>
      <c r="Z245" s="1008"/>
      <c r="AA245" s="1008"/>
      <c r="AB245" s="1008"/>
      <c r="AC245" s="1008"/>
      <c r="AD245" s="1008"/>
      <c r="AE245" s="1008"/>
      <c r="AF245" s="1008"/>
      <c r="AG245" s="1008"/>
      <c r="AH245" s="1008"/>
      <c r="AI245" s="1008"/>
    </row>
    <row r="246" spans="1:35">
      <c r="A246" s="1008">
        <v>23737</v>
      </c>
      <c r="C246" s="1008">
        <v>6</v>
      </c>
      <c r="D246" s="1009">
        <v>11119999</v>
      </c>
      <c r="E246" s="1009">
        <v>11110000</v>
      </c>
      <c r="F246" s="1007" t="s">
        <v>4701</v>
      </c>
      <c r="O246" s="1007" t="s">
        <v>648</v>
      </c>
      <c r="P246" s="1007" t="s">
        <v>648</v>
      </c>
      <c r="S246" s="1008" t="s">
        <v>650</v>
      </c>
      <c r="T246" s="1008" t="s">
        <v>675</v>
      </c>
      <c r="U246" s="1008" t="s">
        <v>649</v>
      </c>
      <c r="V246" s="1008" t="s">
        <v>648</v>
      </c>
      <c r="W246" s="1008" t="s">
        <v>546</v>
      </c>
      <c r="X246" s="1008"/>
      <c r="Y246" s="1008"/>
      <c r="Z246" s="1008"/>
      <c r="AA246" s="1008"/>
      <c r="AB246" s="1008"/>
      <c r="AC246" s="1008"/>
      <c r="AD246" s="1008"/>
      <c r="AE246" s="1008"/>
      <c r="AF246" s="1008"/>
      <c r="AG246" s="1008"/>
      <c r="AH246" s="1008"/>
      <c r="AI246" s="1008"/>
    </row>
    <row r="247" spans="1:35">
      <c r="A247" s="1008">
        <v>23738</v>
      </c>
      <c r="B247" s="1008">
        <v>1438</v>
      </c>
      <c r="C247" s="1008">
        <v>7</v>
      </c>
      <c r="D247" s="1009">
        <v>11119999</v>
      </c>
      <c r="E247" s="1009">
        <v>11110300</v>
      </c>
      <c r="F247" s="1007" t="s">
        <v>4702</v>
      </c>
      <c r="G247" s="1007">
        <v>7</v>
      </c>
      <c r="H247" s="1010">
        <v>99999999</v>
      </c>
      <c r="I247" s="1009">
        <v>11110300</v>
      </c>
      <c r="J247" s="1007" t="s">
        <v>4702</v>
      </c>
      <c r="O247" s="1007" t="s">
        <v>648</v>
      </c>
      <c r="P247" s="1007" t="s">
        <v>648</v>
      </c>
      <c r="S247" s="1008" t="s">
        <v>650</v>
      </c>
      <c r="T247" s="1008" t="s">
        <v>654</v>
      </c>
      <c r="U247" s="1008" t="s">
        <v>649</v>
      </c>
      <c r="V247" s="1008" t="s">
        <v>648</v>
      </c>
      <c r="W247" s="1008" t="s">
        <v>546</v>
      </c>
      <c r="X247" s="1008" t="s">
        <v>670</v>
      </c>
      <c r="Y247" s="1008"/>
      <c r="Z247" s="1008"/>
      <c r="AA247" s="1008"/>
      <c r="AB247" s="1008"/>
      <c r="AC247" s="1008"/>
      <c r="AD247" s="1008" t="s">
        <v>670</v>
      </c>
      <c r="AE247" s="1008"/>
      <c r="AF247" s="1008"/>
      <c r="AG247" s="1008"/>
      <c r="AH247" s="1008"/>
      <c r="AI247" s="1008"/>
    </row>
    <row r="248" spans="1:35">
      <c r="A248" s="1008">
        <v>23739</v>
      </c>
      <c r="B248" s="1008">
        <v>513</v>
      </c>
      <c r="C248" s="1008">
        <v>7</v>
      </c>
      <c r="D248" s="1009">
        <v>11119999</v>
      </c>
      <c r="E248" s="1009">
        <v>11110700</v>
      </c>
      <c r="F248" s="1007" t="s">
        <v>4701</v>
      </c>
      <c r="G248" s="1007">
        <v>8</v>
      </c>
      <c r="H248" s="1010">
        <v>99999999</v>
      </c>
      <c r="I248" s="1009">
        <v>11110700</v>
      </c>
      <c r="J248" s="1007" t="s">
        <v>4700</v>
      </c>
      <c r="O248" s="1007" t="s">
        <v>648</v>
      </c>
      <c r="P248" s="1007" t="s">
        <v>648</v>
      </c>
      <c r="S248" s="1008" t="s">
        <v>650</v>
      </c>
      <c r="T248" s="1008" t="s">
        <v>654</v>
      </c>
      <c r="U248" s="1008" t="s">
        <v>649</v>
      </c>
      <c r="V248" s="1008" t="s">
        <v>648</v>
      </c>
      <c r="W248" s="1008" t="s">
        <v>546</v>
      </c>
      <c r="X248" s="1008" t="s">
        <v>670</v>
      </c>
      <c r="Y248" s="1008" t="s">
        <v>670</v>
      </c>
      <c r="Z248" s="1008"/>
      <c r="AA248" s="1008"/>
      <c r="AB248" s="1008"/>
      <c r="AC248" s="1008"/>
      <c r="AD248" s="1008" t="s">
        <v>670</v>
      </c>
      <c r="AE248" s="1008"/>
      <c r="AF248" s="1008" t="s">
        <v>670</v>
      </c>
      <c r="AG248" s="1008"/>
      <c r="AH248" s="1008"/>
      <c r="AI248" s="1008"/>
    </row>
    <row r="249" spans="1:35">
      <c r="A249" s="1008">
        <v>23740</v>
      </c>
      <c r="B249" s="1008">
        <v>4745</v>
      </c>
      <c r="C249" s="1008">
        <v>7</v>
      </c>
      <c r="D249" s="1009">
        <v>11119999</v>
      </c>
      <c r="E249" s="1009">
        <v>11110800</v>
      </c>
      <c r="F249" s="1007" t="s">
        <v>4699</v>
      </c>
      <c r="G249" s="1007">
        <v>7</v>
      </c>
      <c r="H249" s="1010">
        <v>99999999</v>
      </c>
      <c r="I249" s="1009">
        <v>11110800</v>
      </c>
      <c r="J249" s="1007" t="s">
        <v>4699</v>
      </c>
      <c r="O249" s="1007" t="s">
        <v>648</v>
      </c>
      <c r="P249" s="1007" t="s">
        <v>648</v>
      </c>
      <c r="S249" s="1008" t="s">
        <v>650</v>
      </c>
      <c r="T249" s="1008" t="s">
        <v>654</v>
      </c>
      <c r="U249" s="1008" t="s">
        <v>649</v>
      </c>
      <c r="V249" s="1008" t="s">
        <v>648</v>
      </c>
      <c r="W249" s="1008" t="s">
        <v>546</v>
      </c>
      <c r="X249" s="1008" t="s">
        <v>670</v>
      </c>
      <c r="Y249" s="1008"/>
      <c r="Z249" s="1008"/>
      <c r="AA249" s="1008"/>
      <c r="AB249" s="1008"/>
      <c r="AC249" s="1008"/>
      <c r="AD249" s="1008" t="s">
        <v>670</v>
      </c>
      <c r="AE249" s="1008"/>
      <c r="AF249" s="1008"/>
      <c r="AG249" s="1008"/>
      <c r="AH249" s="1008"/>
      <c r="AI249" s="1008"/>
    </row>
    <row r="250" spans="1:35">
      <c r="A250" s="1008">
        <v>23741</v>
      </c>
      <c r="C250" s="1008">
        <v>6</v>
      </c>
      <c r="D250" s="1009">
        <v>11199900</v>
      </c>
      <c r="E250" s="1009">
        <v>11119999</v>
      </c>
      <c r="F250" s="1007" t="s">
        <v>4698</v>
      </c>
      <c r="O250" s="1007" t="s">
        <v>648</v>
      </c>
      <c r="P250" s="1007" t="s">
        <v>648</v>
      </c>
      <c r="S250" s="1008" t="s">
        <v>650</v>
      </c>
      <c r="T250" s="1008" t="s">
        <v>21</v>
      </c>
      <c r="U250" s="1008" t="s">
        <v>649</v>
      </c>
      <c r="V250" s="1008" t="s">
        <v>648</v>
      </c>
      <c r="W250" s="1008" t="s">
        <v>546</v>
      </c>
      <c r="X250" s="1008"/>
      <c r="Y250" s="1008"/>
      <c r="Z250" s="1008"/>
      <c r="AA250" s="1008"/>
      <c r="AB250" s="1008"/>
      <c r="AC250" s="1008"/>
      <c r="AD250" s="1008"/>
      <c r="AE250" s="1008"/>
      <c r="AF250" s="1008"/>
      <c r="AG250" s="1008"/>
      <c r="AH250" s="1008"/>
      <c r="AI250" s="1008"/>
    </row>
    <row r="251" spans="1:35">
      <c r="A251" s="1008">
        <v>23742</v>
      </c>
      <c r="C251" s="1008">
        <v>5</v>
      </c>
      <c r="D251" s="1009">
        <v>11199999</v>
      </c>
      <c r="E251" s="1009">
        <v>11199900</v>
      </c>
      <c r="F251" s="1007" t="s">
        <v>4697</v>
      </c>
      <c r="O251" s="1007" t="s">
        <v>648</v>
      </c>
      <c r="P251" s="1007" t="s">
        <v>648</v>
      </c>
      <c r="S251" s="1008" t="s">
        <v>650</v>
      </c>
      <c r="T251" s="1008" t="s">
        <v>21</v>
      </c>
      <c r="U251" s="1008" t="s">
        <v>649</v>
      </c>
      <c r="V251" s="1008" t="s">
        <v>648</v>
      </c>
      <c r="W251" s="1008" t="s">
        <v>546</v>
      </c>
      <c r="X251" s="1008"/>
      <c r="Y251" s="1008"/>
      <c r="Z251" s="1008"/>
      <c r="AA251" s="1008"/>
      <c r="AB251" s="1008"/>
      <c r="AC251" s="1008"/>
      <c r="AD251" s="1008"/>
      <c r="AE251" s="1008"/>
      <c r="AF251" s="1008"/>
      <c r="AG251" s="1008"/>
      <c r="AH251" s="1008"/>
      <c r="AI251" s="1008"/>
    </row>
    <row r="252" spans="1:35">
      <c r="A252" s="1008">
        <v>23743</v>
      </c>
      <c r="C252" s="1008">
        <v>4</v>
      </c>
      <c r="D252" s="1009">
        <v>19999998</v>
      </c>
      <c r="E252" s="1009">
        <v>11199999</v>
      </c>
      <c r="F252" s="1007" t="s">
        <v>4696</v>
      </c>
      <c r="O252" s="1007" t="s">
        <v>648</v>
      </c>
      <c r="P252" s="1007" t="s">
        <v>648</v>
      </c>
      <c r="S252" s="1008" t="s">
        <v>650</v>
      </c>
      <c r="T252" s="1008" t="s">
        <v>21</v>
      </c>
      <c r="U252" s="1008" t="s">
        <v>649</v>
      </c>
      <c r="V252" s="1008" t="s">
        <v>648</v>
      </c>
      <c r="W252" s="1008" t="s">
        <v>546</v>
      </c>
      <c r="X252" s="1008"/>
      <c r="Y252" s="1008"/>
      <c r="Z252" s="1008"/>
      <c r="AA252" s="1008"/>
      <c r="AB252" s="1008"/>
      <c r="AC252" s="1008"/>
      <c r="AD252" s="1008"/>
      <c r="AE252" s="1008"/>
      <c r="AF252" s="1008"/>
      <c r="AG252" s="1008"/>
      <c r="AH252" s="1008"/>
      <c r="AI252" s="1008"/>
    </row>
    <row r="253" spans="1:35">
      <c r="A253" s="1008">
        <v>26700</v>
      </c>
      <c r="C253" s="1008">
        <v>4</v>
      </c>
      <c r="D253" s="1009">
        <v>11299999</v>
      </c>
      <c r="E253" s="1009">
        <v>11200000</v>
      </c>
      <c r="F253" s="1007" t="s">
        <v>4695</v>
      </c>
      <c r="O253" s="1007" t="s">
        <v>648</v>
      </c>
      <c r="P253" s="1007" t="s">
        <v>648</v>
      </c>
      <c r="S253" s="1008" t="s">
        <v>650</v>
      </c>
      <c r="T253" s="1008" t="s">
        <v>675</v>
      </c>
      <c r="U253" s="1008" t="s">
        <v>649</v>
      </c>
      <c r="V253" s="1008" t="s">
        <v>648</v>
      </c>
      <c r="W253" s="1008" t="s">
        <v>546</v>
      </c>
      <c r="X253" s="1008"/>
      <c r="Y253" s="1008"/>
      <c r="Z253" s="1008"/>
      <c r="AA253" s="1008"/>
      <c r="AB253" s="1008"/>
      <c r="AC253" s="1008"/>
      <c r="AD253" s="1008"/>
      <c r="AE253" s="1008"/>
      <c r="AF253" s="1008"/>
      <c r="AG253" s="1008"/>
      <c r="AH253" s="1008"/>
      <c r="AI253" s="1008"/>
    </row>
    <row r="254" spans="1:35">
      <c r="A254" s="1008">
        <v>26701</v>
      </c>
      <c r="C254" s="1008">
        <v>5</v>
      </c>
      <c r="D254" s="1009">
        <v>11299990</v>
      </c>
      <c r="E254" s="1009">
        <v>11201000</v>
      </c>
      <c r="F254" s="1007" t="s">
        <v>4695</v>
      </c>
      <c r="O254" s="1007" t="s">
        <v>648</v>
      </c>
      <c r="P254" s="1007" t="s">
        <v>648</v>
      </c>
      <c r="S254" s="1008" t="s">
        <v>650</v>
      </c>
      <c r="T254" s="1008" t="s">
        <v>675</v>
      </c>
      <c r="U254" s="1008" t="s">
        <v>649</v>
      </c>
      <c r="V254" s="1008" t="s">
        <v>648</v>
      </c>
      <c r="W254" s="1008" t="s">
        <v>546</v>
      </c>
      <c r="X254" s="1008"/>
      <c r="Y254" s="1008"/>
      <c r="Z254" s="1008"/>
      <c r="AA254" s="1008"/>
      <c r="AB254" s="1008"/>
      <c r="AC254" s="1008"/>
      <c r="AD254" s="1008"/>
      <c r="AE254" s="1008"/>
      <c r="AF254" s="1008"/>
      <c r="AG254" s="1008"/>
      <c r="AH254" s="1008"/>
      <c r="AI254" s="1008"/>
    </row>
    <row r="255" spans="1:35">
      <c r="A255" s="1008">
        <v>26702</v>
      </c>
      <c r="C255" s="1008">
        <v>6</v>
      </c>
      <c r="D255" s="1009">
        <v>11219999</v>
      </c>
      <c r="E255" s="1009">
        <v>11210000</v>
      </c>
      <c r="F255" s="1007" t="s">
        <v>4695</v>
      </c>
      <c r="O255" s="1007" t="s">
        <v>648</v>
      </c>
      <c r="P255" s="1007" t="s">
        <v>648</v>
      </c>
      <c r="S255" s="1008" t="s">
        <v>650</v>
      </c>
      <c r="T255" s="1008" t="s">
        <v>675</v>
      </c>
      <c r="U255" s="1008" t="s">
        <v>649</v>
      </c>
      <c r="V255" s="1008" t="s">
        <v>648</v>
      </c>
      <c r="W255" s="1008" t="s">
        <v>546</v>
      </c>
      <c r="X255" s="1008"/>
      <c r="Y255" s="1008"/>
      <c r="Z255" s="1008"/>
      <c r="AA255" s="1008"/>
      <c r="AB255" s="1008"/>
      <c r="AC255" s="1008"/>
      <c r="AD255" s="1008"/>
      <c r="AE255" s="1008"/>
      <c r="AF255" s="1008"/>
      <c r="AG255" s="1008"/>
      <c r="AH255" s="1008"/>
      <c r="AI255" s="1008"/>
    </row>
    <row r="256" spans="1:35">
      <c r="A256" s="1008">
        <v>26703</v>
      </c>
      <c r="B256" s="1008">
        <v>5896</v>
      </c>
      <c r="C256" s="1008">
        <v>7</v>
      </c>
      <c r="D256" s="1009">
        <v>11219999</v>
      </c>
      <c r="E256" s="1009">
        <v>11211600</v>
      </c>
      <c r="F256" s="1007" t="s">
        <v>4694</v>
      </c>
      <c r="G256" s="1007" t="s">
        <v>648</v>
      </c>
      <c r="H256" s="1010">
        <v>99999999</v>
      </c>
      <c r="I256" s="1009">
        <v>11211600</v>
      </c>
      <c r="J256" s="1007" t="s">
        <v>4694</v>
      </c>
      <c r="O256" s="1007" t="s">
        <v>648</v>
      </c>
      <c r="P256" s="1007" t="s">
        <v>648</v>
      </c>
      <c r="S256" s="1008" t="s">
        <v>650</v>
      </c>
      <c r="T256" s="1008" t="s">
        <v>654</v>
      </c>
      <c r="U256" s="1008" t="s">
        <v>649</v>
      </c>
      <c r="V256" s="1008" t="s">
        <v>648</v>
      </c>
      <c r="W256" s="1008" t="s">
        <v>546</v>
      </c>
      <c r="X256" s="1008" t="s">
        <v>670</v>
      </c>
      <c r="Y256" s="1008" t="s">
        <v>670</v>
      </c>
      <c r="Z256" s="1008" t="s">
        <v>670</v>
      </c>
      <c r="AA256" s="1008"/>
      <c r="AB256" s="1008" t="s">
        <v>670</v>
      </c>
      <c r="AC256" s="1008"/>
      <c r="AD256" s="1008"/>
      <c r="AE256" s="1008"/>
      <c r="AF256" s="1008" t="s">
        <v>670</v>
      </c>
      <c r="AG256" s="1008"/>
      <c r="AH256" s="1008"/>
      <c r="AI256" s="1008"/>
    </row>
    <row r="257" spans="1:35">
      <c r="A257" s="1008">
        <v>26704</v>
      </c>
      <c r="C257" s="1008">
        <v>6</v>
      </c>
      <c r="D257" s="1009">
        <v>11299990</v>
      </c>
      <c r="E257" s="1009">
        <v>11219999</v>
      </c>
      <c r="F257" s="1007" t="s">
        <v>4693</v>
      </c>
      <c r="O257" s="1007" t="s">
        <v>648</v>
      </c>
      <c r="P257" s="1007" t="s">
        <v>648</v>
      </c>
      <c r="S257" s="1008" t="s">
        <v>650</v>
      </c>
      <c r="T257" s="1008" t="s">
        <v>21</v>
      </c>
      <c r="U257" s="1008" t="s">
        <v>649</v>
      </c>
      <c r="V257" s="1008" t="s">
        <v>648</v>
      </c>
      <c r="W257" s="1008" t="s">
        <v>546</v>
      </c>
      <c r="X257" s="1008"/>
      <c r="Y257" s="1008"/>
      <c r="Z257" s="1008"/>
      <c r="AA257" s="1008"/>
      <c r="AB257" s="1008"/>
      <c r="AC257" s="1008"/>
      <c r="AD257" s="1008"/>
      <c r="AE257" s="1008"/>
      <c r="AF257" s="1008"/>
      <c r="AG257" s="1008"/>
      <c r="AH257" s="1008"/>
      <c r="AI257" s="1008"/>
    </row>
    <row r="258" spans="1:35">
      <c r="A258" s="1008">
        <v>26705</v>
      </c>
      <c r="C258" s="1008">
        <v>5</v>
      </c>
      <c r="D258" s="1009">
        <v>11299999</v>
      </c>
      <c r="E258" s="1009">
        <v>11299990</v>
      </c>
      <c r="F258" s="1007" t="s">
        <v>4693</v>
      </c>
      <c r="O258" s="1007" t="s">
        <v>648</v>
      </c>
      <c r="P258" s="1007" t="s">
        <v>648</v>
      </c>
      <c r="S258" s="1008" t="s">
        <v>650</v>
      </c>
      <c r="T258" s="1008" t="s">
        <v>21</v>
      </c>
      <c r="U258" s="1008" t="s">
        <v>649</v>
      </c>
      <c r="V258" s="1008" t="s">
        <v>648</v>
      </c>
      <c r="W258" s="1008" t="s">
        <v>546</v>
      </c>
      <c r="X258" s="1008"/>
      <c r="Y258" s="1008"/>
      <c r="Z258" s="1008"/>
      <c r="AA258" s="1008"/>
      <c r="AB258" s="1008"/>
      <c r="AC258" s="1008"/>
      <c r="AD258" s="1008"/>
      <c r="AE258" s="1008"/>
      <c r="AF258" s="1008"/>
      <c r="AG258" s="1008"/>
      <c r="AH258" s="1008"/>
      <c r="AI258" s="1008"/>
    </row>
    <row r="259" spans="1:35">
      <c r="A259" s="1008">
        <v>26706</v>
      </c>
      <c r="C259" s="1008">
        <v>4</v>
      </c>
      <c r="D259" s="1009">
        <v>19999998</v>
      </c>
      <c r="E259" s="1009">
        <v>11299999</v>
      </c>
      <c r="F259" s="1007" t="s">
        <v>4693</v>
      </c>
      <c r="O259" s="1007" t="s">
        <v>648</v>
      </c>
      <c r="P259" s="1007" t="s">
        <v>648</v>
      </c>
      <c r="S259" s="1008" t="s">
        <v>650</v>
      </c>
      <c r="T259" s="1008" t="s">
        <v>21</v>
      </c>
      <c r="U259" s="1008" t="s">
        <v>649</v>
      </c>
      <c r="V259" s="1008" t="s">
        <v>648</v>
      </c>
      <c r="W259" s="1008" t="s">
        <v>546</v>
      </c>
      <c r="X259" s="1008"/>
      <c r="Y259" s="1008"/>
      <c r="Z259" s="1008"/>
      <c r="AA259" s="1008"/>
      <c r="AB259" s="1008"/>
      <c r="AC259" s="1008"/>
      <c r="AD259" s="1008"/>
      <c r="AE259" s="1008"/>
      <c r="AF259" s="1008"/>
      <c r="AG259" s="1008"/>
      <c r="AH259" s="1008"/>
      <c r="AI259" s="1008"/>
    </row>
    <row r="260" spans="1:35">
      <c r="A260" s="1008">
        <v>27046</v>
      </c>
      <c r="C260" s="1008">
        <v>4</v>
      </c>
      <c r="D260" s="1009">
        <v>11399999</v>
      </c>
      <c r="E260" s="1009">
        <v>11300000</v>
      </c>
      <c r="F260" s="1007" t="s">
        <v>4692</v>
      </c>
      <c r="O260" s="1007" t="s">
        <v>648</v>
      </c>
      <c r="P260" s="1007" t="s">
        <v>648</v>
      </c>
      <c r="S260" s="1008" t="s">
        <v>650</v>
      </c>
      <c r="T260" s="1008" t="s">
        <v>675</v>
      </c>
      <c r="U260" s="1008" t="s">
        <v>649</v>
      </c>
      <c r="V260" s="1008" t="s">
        <v>648</v>
      </c>
      <c r="W260" s="1008" t="s">
        <v>546</v>
      </c>
      <c r="X260" s="1008"/>
      <c r="Y260" s="1008"/>
      <c r="Z260" s="1008"/>
      <c r="AA260" s="1008"/>
      <c r="AB260" s="1008"/>
      <c r="AC260" s="1008"/>
      <c r="AD260" s="1008"/>
      <c r="AE260" s="1008"/>
      <c r="AF260" s="1008"/>
      <c r="AG260" s="1008"/>
      <c r="AH260" s="1008"/>
      <c r="AI260" s="1008"/>
    </row>
    <row r="261" spans="1:35">
      <c r="A261" s="1008">
        <v>27047</v>
      </c>
      <c r="C261" s="1008">
        <v>5</v>
      </c>
      <c r="D261" s="1009">
        <v>11319999</v>
      </c>
      <c r="E261" s="1009">
        <v>11301000</v>
      </c>
      <c r="F261" s="1007" t="s">
        <v>4692</v>
      </c>
      <c r="O261" s="1007" t="s">
        <v>648</v>
      </c>
      <c r="P261" s="1007" t="s">
        <v>648</v>
      </c>
      <c r="S261" s="1008" t="s">
        <v>650</v>
      </c>
      <c r="T261" s="1008" t="s">
        <v>675</v>
      </c>
      <c r="U261" s="1008" t="s">
        <v>649</v>
      </c>
      <c r="V261" s="1008" t="s">
        <v>648</v>
      </c>
      <c r="W261" s="1008" t="s">
        <v>546</v>
      </c>
      <c r="X261" s="1008"/>
      <c r="Y261" s="1008"/>
      <c r="Z261" s="1008"/>
      <c r="AA261" s="1008"/>
      <c r="AB261" s="1008"/>
      <c r="AC261" s="1008"/>
      <c r="AD261" s="1008"/>
      <c r="AE261" s="1008"/>
      <c r="AF261" s="1008"/>
      <c r="AG261" s="1008"/>
      <c r="AH261" s="1008"/>
      <c r="AI261" s="1008"/>
    </row>
    <row r="262" spans="1:35">
      <c r="A262" s="1008">
        <v>26462</v>
      </c>
      <c r="B262" s="1008">
        <v>1441</v>
      </c>
      <c r="C262" s="1008">
        <v>6</v>
      </c>
      <c r="D262" s="1009">
        <v>11319999</v>
      </c>
      <c r="E262" s="1009">
        <v>11310000</v>
      </c>
      <c r="F262" s="1007" t="s">
        <v>4691</v>
      </c>
      <c r="G262" s="1007">
        <v>6</v>
      </c>
      <c r="H262" s="1010">
        <v>99999999</v>
      </c>
      <c r="I262" s="1009">
        <v>11310000</v>
      </c>
      <c r="J262" s="1007" t="s">
        <v>4691</v>
      </c>
      <c r="O262" s="1007" t="s">
        <v>648</v>
      </c>
      <c r="P262" s="1007" t="s">
        <v>648</v>
      </c>
      <c r="S262" s="1008" t="s">
        <v>650</v>
      </c>
      <c r="T262" s="1008" t="s">
        <v>654</v>
      </c>
      <c r="U262" s="1008" t="s">
        <v>649</v>
      </c>
      <c r="V262" s="1008" t="s">
        <v>648</v>
      </c>
      <c r="W262" s="1008" t="s">
        <v>546</v>
      </c>
      <c r="X262" s="1008" t="s">
        <v>670</v>
      </c>
      <c r="Y262" s="1008"/>
      <c r="Z262" s="1008"/>
      <c r="AA262" s="1008" t="s">
        <v>670</v>
      </c>
      <c r="AB262" s="1008"/>
      <c r="AC262" s="1008" t="s">
        <v>670</v>
      </c>
      <c r="AD262" s="1008"/>
      <c r="AE262" s="1008"/>
      <c r="AF262" s="1008"/>
      <c r="AG262" s="1008"/>
      <c r="AH262" s="1008"/>
      <c r="AI262" s="1008"/>
    </row>
    <row r="263" spans="1:35">
      <c r="A263" s="1008">
        <v>23747</v>
      </c>
      <c r="C263" s="1008">
        <v>6</v>
      </c>
      <c r="D263" s="1009">
        <v>11319999</v>
      </c>
      <c r="E263" s="1009">
        <v>11310005</v>
      </c>
      <c r="F263" s="1007" t="s">
        <v>4690</v>
      </c>
      <c r="O263" s="1007" t="s">
        <v>648</v>
      </c>
      <c r="P263" s="1007" t="s">
        <v>648</v>
      </c>
      <c r="S263" s="1008" t="s">
        <v>650</v>
      </c>
      <c r="T263" s="1008" t="s">
        <v>654</v>
      </c>
      <c r="U263" s="1008" t="s">
        <v>649</v>
      </c>
      <c r="V263" s="1008" t="s">
        <v>648</v>
      </c>
      <c r="W263" s="1008" t="s">
        <v>652</v>
      </c>
      <c r="X263" s="1008"/>
      <c r="Y263" s="1008"/>
      <c r="Z263" s="1008"/>
      <c r="AA263" s="1008"/>
      <c r="AB263" s="1008"/>
      <c r="AC263" s="1008"/>
      <c r="AD263" s="1008"/>
      <c r="AE263" s="1008"/>
      <c r="AF263" s="1008"/>
      <c r="AG263" s="1008"/>
      <c r="AH263" s="1008"/>
      <c r="AI263" s="1008"/>
    </row>
    <row r="264" spans="1:35">
      <c r="A264" s="1008">
        <v>23748</v>
      </c>
      <c r="C264" s="1008">
        <v>6</v>
      </c>
      <c r="D264" s="1009">
        <v>11319999</v>
      </c>
      <c r="E264" s="1009">
        <v>11310010</v>
      </c>
      <c r="F264" s="1007" t="s">
        <v>4689</v>
      </c>
      <c r="O264" s="1007" t="s">
        <v>648</v>
      </c>
      <c r="P264" s="1007" t="s">
        <v>648</v>
      </c>
      <c r="S264" s="1008" t="s">
        <v>650</v>
      </c>
      <c r="T264" s="1008" t="s">
        <v>654</v>
      </c>
      <c r="U264" s="1008" t="s">
        <v>649</v>
      </c>
      <c r="V264" s="1008" t="s">
        <v>648</v>
      </c>
      <c r="W264" s="1008" t="s">
        <v>652</v>
      </c>
      <c r="X264" s="1008"/>
      <c r="Y264" s="1008"/>
      <c r="Z264" s="1008"/>
      <c r="AA264" s="1008"/>
      <c r="AB264" s="1008"/>
      <c r="AC264" s="1008"/>
      <c r="AD264" s="1008"/>
      <c r="AE264" s="1008"/>
      <c r="AF264" s="1008"/>
      <c r="AG264" s="1008"/>
      <c r="AH264" s="1008"/>
      <c r="AI264" s="1008"/>
    </row>
    <row r="265" spans="1:35">
      <c r="A265" s="1008">
        <v>23749</v>
      </c>
      <c r="C265" s="1008">
        <v>6</v>
      </c>
      <c r="D265" s="1009">
        <v>11319999</v>
      </c>
      <c r="E265" s="1009">
        <v>11311000</v>
      </c>
      <c r="F265" s="1007" t="s">
        <v>4688</v>
      </c>
      <c r="O265" s="1007" t="s">
        <v>648</v>
      </c>
      <c r="P265" s="1007" t="s">
        <v>648</v>
      </c>
      <c r="S265" s="1008" t="s">
        <v>650</v>
      </c>
      <c r="T265" s="1008" t="s">
        <v>654</v>
      </c>
      <c r="U265" s="1008" t="s">
        <v>649</v>
      </c>
      <c r="V265" s="1008" t="s">
        <v>648</v>
      </c>
      <c r="W265" s="1008" t="s">
        <v>652</v>
      </c>
      <c r="X265" s="1008"/>
      <c r="Y265" s="1008"/>
      <c r="Z265" s="1008"/>
      <c r="AA265" s="1008"/>
      <c r="AB265" s="1008"/>
      <c r="AC265" s="1008"/>
      <c r="AD265" s="1008"/>
      <c r="AE265" s="1008"/>
      <c r="AF265" s="1008"/>
      <c r="AG265" s="1008"/>
      <c r="AH265" s="1008"/>
      <c r="AI265" s="1008"/>
    </row>
    <row r="266" spans="1:35">
      <c r="A266" s="1008">
        <v>23750</v>
      </c>
      <c r="C266" s="1008">
        <v>6</v>
      </c>
      <c r="D266" s="1009">
        <v>11319999</v>
      </c>
      <c r="E266" s="1009">
        <v>11311005</v>
      </c>
      <c r="F266" s="1007" t="s">
        <v>4687</v>
      </c>
      <c r="O266" s="1007" t="s">
        <v>648</v>
      </c>
      <c r="P266" s="1007" t="s">
        <v>648</v>
      </c>
      <c r="S266" s="1008" t="s">
        <v>650</v>
      </c>
      <c r="T266" s="1008" t="s">
        <v>654</v>
      </c>
      <c r="U266" s="1008" t="s">
        <v>649</v>
      </c>
      <c r="V266" s="1008" t="s">
        <v>648</v>
      </c>
      <c r="W266" s="1008" t="s">
        <v>652</v>
      </c>
      <c r="X266" s="1008"/>
      <c r="Y266" s="1008"/>
      <c r="Z266" s="1008"/>
      <c r="AA266" s="1008"/>
      <c r="AB266" s="1008"/>
      <c r="AC266" s="1008"/>
      <c r="AD266" s="1008"/>
      <c r="AE266" s="1008"/>
      <c r="AF266" s="1008"/>
      <c r="AG266" s="1008"/>
      <c r="AH266" s="1008"/>
      <c r="AI266" s="1008"/>
    </row>
    <row r="267" spans="1:35">
      <c r="A267" s="1008">
        <v>27048</v>
      </c>
      <c r="C267" s="1008">
        <v>5</v>
      </c>
      <c r="D267" s="1009">
        <v>11399999</v>
      </c>
      <c r="E267" s="1009">
        <v>11319999</v>
      </c>
      <c r="F267" s="1007" t="s">
        <v>4686</v>
      </c>
      <c r="O267" s="1007" t="s">
        <v>648</v>
      </c>
      <c r="P267" s="1007" t="s">
        <v>648</v>
      </c>
      <c r="S267" s="1008" t="s">
        <v>650</v>
      </c>
      <c r="T267" s="1008" t="s">
        <v>21</v>
      </c>
      <c r="U267" s="1008" t="s">
        <v>649</v>
      </c>
      <c r="V267" s="1008" t="s">
        <v>648</v>
      </c>
      <c r="W267" s="1008" t="s">
        <v>546</v>
      </c>
      <c r="X267" s="1008"/>
      <c r="Y267" s="1008"/>
      <c r="Z267" s="1008"/>
      <c r="AA267" s="1008"/>
      <c r="AB267" s="1008"/>
      <c r="AC267" s="1008"/>
      <c r="AD267" s="1008"/>
      <c r="AE267" s="1008"/>
      <c r="AF267" s="1008"/>
      <c r="AG267" s="1008"/>
      <c r="AH267" s="1008"/>
      <c r="AI267" s="1008"/>
    </row>
    <row r="268" spans="1:35">
      <c r="A268" s="1008">
        <v>27049</v>
      </c>
      <c r="C268" s="1008">
        <v>4</v>
      </c>
      <c r="D268" s="1009">
        <v>19999998</v>
      </c>
      <c r="E268" s="1009">
        <v>11399999</v>
      </c>
      <c r="F268" s="1007" t="s">
        <v>4686</v>
      </c>
      <c r="O268" s="1007" t="s">
        <v>648</v>
      </c>
      <c r="P268" s="1007" t="s">
        <v>648</v>
      </c>
      <c r="S268" s="1008" t="s">
        <v>650</v>
      </c>
      <c r="T268" s="1008" t="s">
        <v>21</v>
      </c>
      <c r="U268" s="1008" t="s">
        <v>649</v>
      </c>
      <c r="V268" s="1008" t="s">
        <v>648</v>
      </c>
      <c r="W268" s="1008" t="s">
        <v>546</v>
      </c>
      <c r="X268" s="1008"/>
      <c r="Y268" s="1008"/>
      <c r="Z268" s="1008"/>
      <c r="AA268" s="1008"/>
      <c r="AB268" s="1008"/>
      <c r="AC268" s="1008"/>
      <c r="AD268" s="1008"/>
      <c r="AE268" s="1008"/>
      <c r="AF268" s="1008"/>
      <c r="AG268" s="1008"/>
      <c r="AH268" s="1008"/>
      <c r="AI268" s="1008"/>
    </row>
    <row r="269" spans="1:35">
      <c r="A269" s="1008">
        <v>23753</v>
      </c>
      <c r="C269" s="1008">
        <v>4</v>
      </c>
      <c r="D269" s="1009">
        <v>11699999</v>
      </c>
      <c r="E269" s="1009">
        <v>11500000</v>
      </c>
      <c r="F269" s="1007" t="s">
        <v>4685</v>
      </c>
      <c r="O269" s="1007" t="s">
        <v>648</v>
      </c>
      <c r="P269" s="1007" t="s">
        <v>648</v>
      </c>
      <c r="S269" s="1008" t="s">
        <v>650</v>
      </c>
      <c r="T269" s="1008" t="s">
        <v>675</v>
      </c>
      <c r="U269" s="1008" t="s">
        <v>649</v>
      </c>
      <c r="V269" s="1008" t="s">
        <v>648</v>
      </c>
      <c r="W269" s="1008" t="s">
        <v>546</v>
      </c>
      <c r="X269" s="1008"/>
      <c r="Y269" s="1008"/>
      <c r="Z269" s="1008"/>
      <c r="AA269" s="1008"/>
      <c r="AB269" s="1008"/>
      <c r="AC269" s="1008"/>
      <c r="AD269" s="1008"/>
      <c r="AE269" s="1008"/>
      <c r="AF269" s="1008"/>
      <c r="AG269" s="1008"/>
      <c r="AH269" s="1008"/>
      <c r="AI269" s="1008"/>
    </row>
    <row r="270" spans="1:35">
      <c r="A270" s="1008">
        <v>23754</v>
      </c>
      <c r="C270" s="1008">
        <v>5</v>
      </c>
      <c r="D270" s="1009">
        <v>11599999</v>
      </c>
      <c r="E270" s="1009">
        <v>11501000</v>
      </c>
      <c r="F270" s="1007" t="s">
        <v>4684</v>
      </c>
      <c r="O270" s="1007" t="s">
        <v>648</v>
      </c>
      <c r="P270" s="1007" t="s">
        <v>648</v>
      </c>
      <c r="S270" s="1008" t="s">
        <v>650</v>
      </c>
      <c r="T270" s="1008" t="s">
        <v>675</v>
      </c>
      <c r="U270" s="1008" t="s">
        <v>649</v>
      </c>
      <c r="V270" s="1008" t="s">
        <v>648</v>
      </c>
      <c r="W270" s="1008" t="s">
        <v>546</v>
      </c>
      <c r="X270" s="1008"/>
      <c r="Y270" s="1008"/>
      <c r="Z270" s="1008"/>
      <c r="AA270" s="1008"/>
      <c r="AB270" s="1008"/>
      <c r="AC270" s="1008"/>
      <c r="AD270" s="1008"/>
      <c r="AE270" s="1008"/>
      <c r="AF270" s="1008"/>
      <c r="AG270" s="1008"/>
      <c r="AH270" s="1008"/>
      <c r="AI270" s="1008"/>
    </row>
    <row r="271" spans="1:35">
      <c r="A271" s="1008">
        <v>23755</v>
      </c>
      <c r="C271" s="1008">
        <v>6</v>
      </c>
      <c r="D271" s="1009">
        <v>11519999</v>
      </c>
      <c r="E271" s="1009">
        <v>11510000</v>
      </c>
      <c r="F271" s="1007" t="s">
        <v>4683</v>
      </c>
      <c r="O271" s="1007" t="s">
        <v>648</v>
      </c>
      <c r="P271" s="1007" t="s">
        <v>648</v>
      </c>
      <c r="S271" s="1008" t="s">
        <v>650</v>
      </c>
      <c r="T271" s="1008" t="s">
        <v>675</v>
      </c>
      <c r="U271" s="1008" t="s">
        <v>649</v>
      </c>
      <c r="V271" s="1008" t="s">
        <v>648</v>
      </c>
      <c r="W271" s="1008" t="s">
        <v>546</v>
      </c>
      <c r="X271" s="1008"/>
      <c r="Y271" s="1008"/>
      <c r="Z271" s="1008"/>
      <c r="AA271" s="1008"/>
      <c r="AB271" s="1008"/>
      <c r="AC271" s="1008"/>
      <c r="AD271" s="1008"/>
      <c r="AE271" s="1008"/>
      <c r="AF271" s="1008"/>
      <c r="AG271" s="1008"/>
      <c r="AH271" s="1008"/>
      <c r="AI271" s="1008"/>
    </row>
    <row r="272" spans="1:35">
      <c r="A272" s="1008">
        <v>23756</v>
      </c>
      <c r="B272" s="1008">
        <v>1447</v>
      </c>
      <c r="C272" s="1008">
        <v>7</v>
      </c>
      <c r="D272" s="1009">
        <v>11519999</v>
      </c>
      <c r="E272" s="1009">
        <v>11510300</v>
      </c>
      <c r="F272" s="1007" t="s">
        <v>4682</v>
      </c>
      <c r="G272" s="1007">
        <v>7</v>
      </c>
      <c r="H272" s="1010">
        <v>99999999</v>
      </c>
      <c r="I272" s="1009">
        <v>11510300</v>
      </c>
      <c r="J272" s="1007" t="s">
        <v>4682</v>
      </c>
      <c r="O272" s="1007" t="s">
        <v>648</v>
      </c>
      <c r="P272" s="1007" t="s">
        <v>648</v>
      </c>
      <c r="S272" s="1008" t="s">
        <v>650</v>
      </c>
      <c r="T272" s="1008" t="s">
        <v>654</v>
      </c>
      <c r="U272" s="1008" t="s">
        <v>649</v>
      </c>
      <c r="V272" s="1008" t="s">
        <v>648</v>
      </c>
      <c r="W272" s="1008" t="s">
        <v>546</v>
      </c>
      <c r="X272" s="1008" t="s">
        <v>670</v>
      </c>
      <c r="Y272" s="1008" t="s">
        <v>670</v>
      </c>
      <c r="Z272" s="1008" t="s">
        <v>670</v>
      </c>
      <c r="AA272" s="1008" t="s">
        <v>670</v>
      </c>
      <c r="AB272" s="1008" t="s">
        <v>670</v>
      </c>
      <c r="AC272" s="1008" t="s">
        <v>670</v>
      </c>
      <c r="AD272" s="1008" t="s">
        <v>670</v>
      </c>
      <c r="AE272" s="1008"/>
      <c r="AF272" s="1008" t="s">
        <v>670</v>
      </c>
      <c r="AG272" s="1008"/>
      <c r="AH272" s="1008"/>
      <c r="AI272" s="1008"/>
    </row>
    <row r="273" spans="1:35">
      <c r="A273" s="1008">
        <v>23757</v>
      </c>
      <c r="B273" s="1008">
        <v>1448</v>
      </c>
      <c r="C273" s="1008">
        <v>7</v>
      </c>
      <c r="D273" s="1009">
        <v>11519999</v>
      </c>
      <c r="E273" s="1009">
        <v>11510500</v>
      </c>
      <c r="F273" s="1007" t="s">
        <v>4681</v>
      </c>
      <c r="G273" s="1007">
        <v>7</v>
      </c>
      <c r="H273" s="1010">
        <v>99999999</v>
      </c>
      <c r="I273" s="1009">
        <v>11510500</v>
      </c>
      <c r="J273" s="1007" t="s">
        <v>4681</v>
      </c>
      <c r="O273" s="1007" t="s">
        <v>648</v>
      </c>
      <c r="P273" s="1007" t="s">
        <v>648</v>
      </c>
      <c r="S273" s="1008" t="s">
        <v>650</v>
      </c>
      <c r="T273" s="1008" t="s">
        <v>654</v>
      </c>
      <c r="U273" s="1008" t="s">
        <v>649</v>
      </c>
      <c r="V273" s="1008" t="s">
        <v>648</v>
      </c>
      <c r="W273" s="1008" t="s">
        <v>546</v>
      </c>
      <c r="X273" s="1008" t="s">
        <v>670</v>
      </c>
      <c r="Y273" s="1008" t="s">
        <v>670</v>
      </c>
      <c r="Z273" s="1008" t="s">
        <v>670</v>
      </c>
      <c r="AA273" s="1008" t="s">
        <v>670</v>
      </c>
      <c r="AB273" s="1008" t="s">
        <v>670</v>
      </c>
      <c r="AC273" s="1008" t="s">
        <v>670</v>
      </c>
      <c r="AD273" s="1008" t="s">
        <v>670</v>
      </c>
      <c r="AE273" s="1008"/>
      <c r="AF273" s="1008" t="s">
        <v>670</v>
      </c>
      <c r="AG273" s="1008"/>
      <c r="AH273" s="1008"/>
      <c r="AI273" s="1008"/>
    </row>
    <row r="274" spans="1:35">
      <c r="A274" s="1008">
        <v>23758</v>
      </c>
      <c r="B274" s="1008">
        <v>1145</v>
      </c>
      <c r="C274" s="1008">
        <v>7</v>
      </c>
      <c r="D274" s="1009">
        <v>11519999</v>
      </c>
      <c r="E274" s="1009">
        <v>11510600</v>
      </c>
      <c r="F274" s="1007" t="s">
        <v>4680</v>
      </c>
      <c r="G274" s="1007">
        <v>8</v>
      </c>
      <c r="H274" s="1010">
        <v>99999999</v>
      </c>
      <c r="I274" s="1009">
        <v>11510600</v>
      </c>
      <c r="J274" s="1007" t="s">
        <v>4680</v>
      </c>
      <c r="O274" s="1007" t="s">
        <v>648</v>
      </c>
      <c r="P274" s="1007" t="s">
        <v>648</v>
      </c>
      <c r="S274" s="1008" t="s">
        <v>650</v>
      </c>
      <c r="T274" s="1008" t="s">
        <v>654</v>
      </c>
      <c r="U274" s="1008" t="s">
        <v>649</v>
      </c>
      <c r="V274" s="1008" t="s">
        <v>648</v>
      </c>
      <c r="W274" s="1008" t="s">
        <v>546</v>
      </c>
      <c r="X274" s="1008" t="s">
        <v>670</v>
      </c>
      <c r="Y274" s="1008" t="s">
        <v>670</v>
      </c>
      <c r="Z274" s="1008" t="s">
        <v>670</v>
      </c>
      <c r="AA274" s="1008" t="s">
        <v>670</v>
      </c>
      <c r="AB274" s="1008" t="s">
        <v>670</v>
      </c>
      <c r="AC274" s="1008" t="s">
        <v>670</v>
      </c>
      <c r="AD274" s="1008" t="s">
        <v>670</v>
      </c>
      <c r="AE274" s="1008"/>
      <c r="AF274" s="1008" t="s">
        <v>670</v>
      </c>
      <c r="AG274" s="1008"/>
      <c r="AH274" s="1008"/>
      <c r="AI274" s="1008"/>
    </row>
    <row r="275" spans="1:35">
      <c r="A275" s="1008">
        <v>26461</v>
      </c>
      <c r="B275" s="1008">
        <v>1450</v>
      </c>
      <c r="C275" s="1008">
        <v>7</v>
      </c>
      <c r="D275" s="1009">
        <v>11519999</v>
      </c>
      <c r="E275" s="1009">
        <v>11510700</v>
      </c>
      <c r="F275" s="1007" t="s">
        <v>4679</v>
      </c>
      <c r="G275" s="1007">
        <v>7</v>
      </c>
      <c r="H275" s="1010">
        <v>99999999</v>
      </c>
      <c r="I275" s="1009">
        <v>11510700</v>
      </c>
      <c r="J275" s="1007" t="s">
        <v>4679</v>
      </c>
      <c r="O275" s="1007" t="s">
        <v>648</v>
      </c>
      <c r="P275" s="1007" t="s">
        <v>648</v>
      </c>
      <c r="S275" s="1008" t="s">
        <v>650</v>
      </c>
      <c r="T275" s="1008" t="s">
        <v>654</v>
      </c>
      <c r="U275" s="1008" t="s">
        <v>649</v>
      </c>
      <c r="V275" s="1008" t="s">
        <v>648</v>
      </c>
      <c r="W275" s="1008" t="s">
        <v>546</v>
      </c>
      <c r="X275" s="1008" t="s">
        <v>670</v>
      </c>
      <c r="Y275" s="1008" t="s">
        <v>670</v>
      </c>
      <c r="Z275" s="1008" t="s">
        <v>670</v>
      </c>
      <c r="AA275" s="1008" t="s">
        <v>670</v>
      </c>
      <c r="AB275" s="1008" t="s">
        <v>670</v>
      </c>
      <c r="AC275" s="1008" t="s">
        <v>670</v>
      </c>
      <c r="AD275" s="1008" t="s">
        <v>670</v>
      </c>
      <c r="AE275" s="1008"/>
      <c r="AF275" s="1008" t="s">
        <v>670</v>
      </c>
      <c r="AG275" s="1008"/>
      <c r="AH275" s="1008"/>
      <c r="AI275" s="1008"/>
    </row>
    <row r="276" spans="1:35">
      <c r="A276" s="1008">
        <v>23759</v>
      </c>
      <c r="B276" s="1008">
        <v>4755</v>
      </c>
      <c r="C276" s="1008">
        <v>7</v>
      </c>
      <c r="D276" s="1009">
        <v>11519999</v>
      </c>
      <c r="E276" s="1009">
        <v>11510800</v>
      </c>
      <c r="F276" s="1007" t="s">
        <v>4678</v>
      </c>
      <c r="G276" s="1007">
        <v>7</v>
      </c>
      <c r="H276" s="1010">
        <v>99999999</v>
      </c>
      <c r="I276" s="1009">
        <v>11510800</v>
      </c>
      <c r="J276" s="1007" t="s">
        <v>4678</v>
      </c>
      <c r="O276" s="1007" t="s">
        <v>648</v>
      </c>
      <c r="P276" s="1007" t="s">
        <v>648</v>
      </c>
      <c r="S276" s="1008" t="s">
        <v>650</v>
      </c>
      <c r="T276" s="1008" t="s">
        <v>654</v>
      </c>
      <c r="U276" s="1008" t="s">
        <v>649</v>
      </c>
      <c r="V276" s="1008" t="s">
        <v>648</v>
      </c>
      <c r="W276" s="1008" t="s">
        <v>546</v>
      </c>
      <c r="X276" s="1008" t="s">
        <v>670</v>
      </c>
      <c r="Y276" s="1008" t="s">
        <v>670</v>
      </c>
      <c r="Z276" s="1008" t="s">
        <v>670</v>
      </c>
      <c r="AA276" s="1008" t="s">
        <v>670</v>
      </c>
      <c r="AB276" s="1008" t="s">
        <v>670</v>
      </c>
      <c r="AC276" s="1008" t="s">
        <v>670</v>
      </c>
      <c r="AD276" s="1008" t="s">
        <v>670</v>
      </c>
      <c r="AE276" s="1008"/>
      <c r="AF276" s="1008" t="s">
        <v>670</v>
      </c>
      <c r="AG276" s="1008"/>
      <c r="AH276" s="1008"/>
      <c r="AI276" s="1008"/>
    </row>
    <row r="277" spans="1:35">
      <c r="A277" s="1008">
        <v>23760</v>
      </c>
      <c r="C277" s="1008">
        <v>6</v>
      </c>
      <c r="D277" s="1009">
        <v>11599999</v>
      </c>
      <c r="E277" s="1009">
        <v>11519999</v>
      </c>
      <c r="F277" s="1007" t="s">
        <v>4677</v>
      </c>
      <c r="O277" s="1007" t="s">
        <v>648</v>
      </c>
      <c r="P277" s="1007" t="s">
        <v>648</v>
      </c>
      <c r="S277" s="1008" t="s">
        <v>650</v>
      </c>
      <c r="T277" s="1008" t="s">
        <v>21</v>
      </c>
      <c r="U277" s="1008" t="s">
        <v>649</v>
      </c>
      <c r="V277" s="1008" t="s">
        <v>648</v>
      </c>
      <c r="W277" s="1008" t="s">
        <v>546</v>
      </c>
      <c r="X277" s="1008"/>
      <c r="Y277" s="1008"/>
      <c r="Z277" s="1008"/>
      <c r="AA277" s="1008"/>
      <c r="AB277" s="1008"/>
      <c r="AC277" s="1008"/>
      <c r="AD277" s="1008"/>
      <c r="AE277" s="1008"/>
      <c r="AF277" s="1008"/>
      <c r="AG277" s="1008"/>
      <c r="AH277" s="1008"/>
      <c r="AI277" s="1008"/>
    </row>
    <row r="278" spans="1:35">
      <c r="A278" s="1008">
        <v>23761</v>
      </c>
      <c r="C278" s="1008">
        <v>6</v>
      </c>
      <c r="D278" s="1009">
        <v>11529999</v>
      </c>
      <c r="E278" s="1009">
        <v>11520000</v>
      </c>
      <c r="F278" s="1007" t="s">
        <v>4676</v>
      </c>
      <c r="O278" s="1007" t="s">
        <v>648</v>
      </c>
      <c r="P278" s="1007" t="s">
        <v>648</v>
      </c>
      <c r="S278" s="1008" t="s">
        <v>650</v>
      </c>
      <c r="T278" s="1008" t="s">
        <v>675</v>
      </c>
      <c r="U278" s="1008" t="s">
        <v>649</v>
      </c>
      <c r="V278" s="1008" t="s">
        <v>648</v>
      </c>
      <c r="W278" s="1008" t="s">
        <v>546</v>
      </c>
      <c r="X278" s="1008"/>
      <c r="Y278" s="1008"/>
      <c r="Z278" s="1008"/>
      <c r="AA278" s="1008"/>
      <c r="AB278" s="1008"/>
      <c r="AC278" s="1008"/>
      <c r="AD278" s="1008"/>
      <c r="AE278" s="1008"/>
      <c r="AF278" s="1008"/>
      <c r="AG278" s="1008"/>
      <c r="AH278" s="1008"/>
      <c r="AI278" s="1008"/>
    </row>
    <row r="279" spans="1:35">
      <c r="A279" s="1008">
        <v>23762</v>
      </c>
      <c r="B279" s="1008">
        <v>1452</v>
      </c>
      <c r="C279" s="1008">
        <v>7</v>
      </c>
      <c r="D279" s="1009">
        <v>11529999</v>
      </c>
      <c r="E279" s="1009">
        <v>11520300</v>
      </c>
      <c r="F279" s="1007" t="s">
        <v>4675</v>
      </c>
      <c r="G279" s="1007">
        <v>7</v>
      </c>
      <c r="H279" s="1010">
        <v>99999999</v>
      </c>
      <c r="I279" s="1009">
        <v>11520300</v>
      </c>
      <c r="J279" s="1007" t="s">
        <v>4675</v>
      </c>
      <c r="O279" s="1007" t="s">
        <v>648</v>
      </c>
      <c r="P279" s="1007" t="s">
        <v>648</v>
      </c>
      <c r="S279" s="1008" t="s">
        <v>650</v>
      </c>
      <c r="T279" s="1008" t="s">
        <v>654</v>
      </c>
      <c r="U279" s="1008" t="s">
        <v>649</v>
      </c>
      <c r="V279" s="1008" t="s">
        <v>648</v>
      </c>
      <c r="W279" s="1008" t="s">
        <v>546</v>
      </c>
      <c r="X279" s="1008" t="s">
        <v>670</v>
      </c>
      <c r="Y279" s="1008" t="s">
        <v>670</v>
      </c>
      <c r="Z279" s="1008" t="s">
        <v>670</v>
      </c>
      <c r="AA279" s="1008" t="s">
        <v>670</v>
      </c>
      <c r="AB279" s="1008" t="s">
        <v>670</v>
      </c>
      <c r="AC279" s="1008" t="s">
        <v>670</v>
      </c>
      <c r="AD279" s="1008" t="s">
        <v>670</v>
      </c>
      <c r="AE279" s="1008"/>
      <c r="AF279" s="1008" t="s">
        <v>670</v>
      </c>
      <c r="AG279" s="1008"/>
      <c r="AH279" s="1008"/>
      <c r="AI279" s="1008"/>
    </row>
    <row r="280" spans="1:35">
      <c r="A280" s="1008">
        <v>23763</v>
      </c>
      <c r="B280" s="1008">
        <v>1453</v>
      </c>
      <c r="C280" s="1008">
        <v>7</v>
      </c>
      <c r="D280" s="1009">
        <v>11529999</v>
      </c>
      <c r="E280" s="1009">
        <v>11520700</v>
      </c>
      <c r="F280" s="1007" t="s">
        <v>4674</v>
      </c>
      <c r="G280" s="1007">
        <v>7</v>
      </c>
      <c r="H280" s="1010">
        <v>99999999</v>
      </c>
      <c r="I280" s="1009">
        <v>11520700</v>
      </c>
      <c r="J280" s="1007" t="s">
        <v>4674</v>
      </c>
      <c r="O280" s="1007" t="s">
        <v>648</v>
      </c>
      <c r="P280" s="1007" t="s">
        <v>648</v>
      </c>
      <c r="S280" s="1008" t="s">
        <v>650</v>
      </c>
      <c r="T280" s="1008" t="s">
        <v>654</v>
      </c>
      <c r="U280" s="1008" t="s">
        <v>649</v>
      </c>
      <c r="V280" s="1008" t="s">
        <v>648</v>
      </c>
      <c r="W280" s="1008" t="s">
        <v>546</v>
      </c>
      <c r="X280" s="1008" t="s">
        <v>670</v>
      </c>
      <c r="Y280" s="1008" t="s">
        <v>670</v>
      </c>
      <c r="Z280" s="1008" t="s">
        <v>670</v>
      </c>
      <c r="AA280" s="1008" t="s">
        <v>670</v>
      </c>
      <c r="AB280" s="1008" t="s">
        <v>670</v>
      </c>
      <c r="AC280" s="1008" t="s">
        <v>670</v>
      </c>
      <c r="AD280" s="1008" t="s">
        <v>670</v>
      </c>
      <c r="AE280" s="1008"/>
      <c r="AF280" s="1008" t="s">
        <v>670</v>
      </c>
      <c r="AG280" s="1008"/>
      <c r="AH280" s="1008"/>
      <c r="AI280" s="1008"/>
    </row>
    <row r="281" spans="1:35">
      <c r="A281" s="1008">
        <v>23764</v>
      </c>
      <c r="B281" s="1008">
        <v>4757</v>
      </c>
      <c r="C281" s="1008">
        <v>7</v>
      </c>
      <c r="D281" s="1009">
        <v>11529999</v>
      </c>
      <c r="E281" s="1009">
        <v>11520800</v>
      </c>
      <c r="F281" s="1007" t="s">
        <v>4673</v>
      </c>
      <c r="G281" s="1007">
        <v>7</v>
      </c>
      <c r="H281" s="1010">
        <v>99999999</v>
      </c>
      <c r="I281" s="1009">
        <v>11520800</v>
      </c>
      <c r="J281" s="1007" t="s">
        <v>4673</v>
      </c>
      <c r="O281" s="1007" t="s">
        <v>648</v>
      </c>
      <c r="P281" s="1007" t="s">
        <v>648</v>
      </c>
      <c r="S281" s="1008" t="s">
        <v>650</v>
      </c>
      <c r="T281" s="1008" t="s">
        <v>654</v>
      </c>
      <c r="U281" s="1008" t="s">
        <v>649</v>
      </c>
      <c r="V281" s="1008" t="s">
        <v>648</v>
      </c>
      <c r="W281" s="1008" t="s">
        <v>546</v>
      </c>
      <c r="X281" s="1008" t="s">
        <v>670</v>
      </c>
      <c r="Y281" s="1008" t="s">
        <v>670</v>
      </c>
      <c r="Z281" s="1008" t="s">
        <v>670</v>
      </c>
      <c r="AA281" s="1008" t="s">
        <v>670</v>
      </c>
      <c r="AB281" s="1008" t="s">
        <v>670</v>
      </c>
      <c r="AC281" s="1008" t="s">
        <v>670</v>
      </c>
      <c r="AD281" s="1008" t="s">
        <v>670</v>
      </c>
      <c r="AE281" s="1008"/>
      <c r="AF281" s="1008" t="s">
        <v>670</v>
      </c>
      <c r="AG281" s="1008"/>
      <c r="AH281" s="1008"/>
      <c r="AI281" s="1008"/>
    </row>
    <row r="282" spans="1:35">
      <c r="A282" s="1008">
        <v>23765</v>
      </c>
      <c r="C282" s="1008">
        <v>6</v>
      </c>
      <c r="D282" s="1009">
        <v>11599999</v>
      </c>
      <c r="E282" s="1009">
        <v>11529999</v>
      </c>
      <c r="F282" s="1007" t="s">
        <v>4672</v>
      </c>
      <c r="O282" s="1007" t="s">
        <v>648</v>
      </c>
      <c r="P282" s="1007" t="s">
        <v>648</v>
      </c>
      <c r="S282" s="1008" t="s">
        <v>650</v>
      </c>
      <c r="T282" s="1008" t="s">
        <v>21</v>
      </c>
      <c r="U282" s="1008" t="s">
        <v>649</v>
      </c>
      <c r="V282" s="1008" t="s">
        <v>648</v>
      </c>
      <c r="W282" s="1008" t="s">
        <v>546</v>
      </c>
      <c r="X282" s="1008"/>
      <c r="Y282" s="1008"/>
      <c r="Z282" s="1008"/>
      <c r="AA282" s="1008"/>
      <c r="AB282" s="1008"/>
      <c r="AC282" s="1008"/>
      <c r="AD282" s="1008"/>
      <c r="AE282" s="1008"/>
      <c r="AF282" s="1008"/>
      <c r="AG282" s="1008"/>
      <c r="AH282" s="1008"/>
      <c r="AI282" s="1008"/>
    </row>
    <row r="283" spans="1:35">
      <c r="A283" s="1008">
        <v>23766</v>
      </c>
      <c r="C283" s="1008">
        <v>5</v>
      </c>
      <c r="D283" s="1009">
        <v>11699999</v>
      </c>
      <c r="E283" s="1009">
        <v>11599999</v>
      </c>
      <c r="F283" s="1007" t="s">
        <v>4671</v>
      </c>
      <c r="O283" s="1007" t="s">
        <v>648</v>
      </c>
      <c r="P283" s="1007" t="s">
        <v>648</v>
      </c>
      <c r="S283" s="1008" t="s">
        <v>650</v>
      </c>
      <c r="T283" s="1008" t="s">
        <v>21</v>
      </c>
      <c r="U283" s="1008" t="s">
        <v>649</v>
      </c>
      <c r="V283" s="1008" t="s">
        <v>648</v>
      </c>
      <c r="W283" s="1008" t="s">
        <v>546</v>
      </c>
      <c r="X283" s="1008"/>
      <c r="Y283" s="1008"/>
      <c r="Z283" s="1008"/>
      <c r="AA283" s="1008"/>
      <c r="AB283" s="1008"/>
      <c r="AC283" s="1008"/>
      <c r="AD283" s="1008"/>
      <c r="AE283" s="1008"/>
      <c r="AF283" s="1008"/>
      <c r="AG283" s="1008"/>
      <c r="AH283" s="1008"/>
      <c r="AI283" s="1008"/>
    </row>
    <row r="284" spans="1:35">
      <c r="A284" s="1008">
        <v>23767</v>
      </c>
      <c r="C284" s="1008">
        <v>5</v>
      </c>
      <c r="D284" s="1009">
        <v>11699900</v>
      </c>
      <c r="E284" s="1009">
        <v>11600000</v>
      </c>
      <c r="F284" s="1007" t="s">
        <v>4670</v>
      </c>
      <c r="O284" s="1007" t="s">
        <v>648</v>
      </c>
      <c r="P284" s="1007" t="s">
        <v>648</v>
      </c>
      <c r="S284" s="1008" t="s">
        <v>650</v>
      </c>
      <c r="T284" s="1008" t="s">
        <v>675</v>
      </c>
      <c r="U284" s="1008" t="s">
        <v>649</v>
      </c>
      <c r="V284" s="1008" t="s">
        <v>648</v>
      </c>
      <c r="W284" s="1008" t="s">
        <v>546</v>
      </c>
      <c r="X284" s="1008"/>
      <c r="Y284" s="1008"/>
      <c r="Z284" s="1008"/>
      <c r="AA284" s="1008"/>
      <c r="AB284" s="1008"/>
      <c r="AC284" s="1008"/>
      <c r="AD284" s="1008"/>
      <c r="AE284" s="1008"/>
      <c r="AF284" s="1008"/>
      <c r="AG284" s="1008"/>
      <c r="AH284" s="1008"/>
      <c r="AI284" s="1008"/>
    </row>
    <row r="285" spans="1:35">
      <c r="A285" s="1008">
        <v>23768</v>
      </c>
      <c r="C285" s="1008">
        <v>6</v>
      </c>
      <c r="D285" s="1009">
        <v>11619999</v>
      </c>
      <c r="E285" s="1009">
        <v>11610000</v>
      </c>
      <c r="F285" s="1007" t="s">
        <v>4669</v>
      </c>
      <c r="O285" s="1007" t="s">
        <v>648</v>
      </c>
      <c r="P285" s="1007" t="s">
        <v>648</v>
      </c>
      <c r="S285" s="1008" t="s">
        <v>650</v>
      </c>
      <c r="T285" s="1008" t="s">
        <v>675</v>
      </c>
      <c r="U285" s="1008" t="s">
        <v>649</v>
      </c>
      <c r="V285" s="1008" t="s">
        <v>648</v>
      </c>
      <c r="W285" s="1008" t="s">
        <v>546</v>
      </c>
      <c r="X285" s="1008"/>
      <c r="Y285" s="1008"/>
      <c r="Z285" s="1008"/>
      <c r="AA285" s="1008"/>
      <c r="AB285" s="1008"/>
      <c r="AC285" s="1008"/>
      <c r="AD285" s="1008"/>
      <c r="AE285" s="1008"/>
      <c r="AF285" s="1008"/>
      <c r="AG285" s="1008"/>
      <c r="AH285" s="1008"/>
      <c r="AI285" s="1008"/>
    </row>
    <row r="286" spans="1:35">
      <c r="A286" s="1008">
        <v>23769</v>
      </c>
      <c r="B286" s="1008">
        <v>1455</v>
      </c>
      <c r="C286" s="1008">
        <v>7</v>
      </c>
      <c r="D286" s="1009">
        <v>11619999</v>
      </c>
      <c r="E286" s="1009">
        <v>11610300</v>
      </c>
      <c r="F286" s="1007" t="s">
        <v>4668</v>
      </c>
      <c r="G286" s="1007">
        <v>7</v>
      </c>
      <c r="H286" s="1010">
        <v>99999999</v>
      </c>
      <c r="I286" s="1009">
        <v>11610300</v>
      </c>
      <c r="J286" s="1007" t="s">
        <v>4668</v>
      </c>
      <c r="O286" s="1007" t="s">
        <v>648</v>
      </c>
      <c r="P286" s="1007" t="s">
        <v>648</v>
      </c>
      <c r="S286" s="1008" t="s">
        <v>650</v>
      </c>
      <c r="T286" s="1008" t="s">
        <v>654</v>
      </c>
      <c r="U286" s="1008" t="s">
        <v>649</v>
      </c>
      <c r="V286" s="1008" t="s">
        <v>648</v>
      </c>
      <c r="W286" s="1008" t="s">
        <v>546</v>
      </c>
      <c r="X286" s="1008" t="s">
        <v>670</v>
      </c>
      <c r="Y286" s="1008" t="s">
        <v>670</v>
      </c>
      <c r="Z286" s="1008" t="s">
        <v>670</v>
      </c>
      <c r="AA286" s="1008" t="s">
        <v>670</v>
      </c>
      <c r="AB286" s="1008" t="s">
        <v>670</v>
      </c>
      <c r="AC286" s="1008" t="s">
        <v>670</v>
      </c>
      <c r="AD286" s="1008" t="s">
        <v>670</v>
      </c>
      <c r="AE286" s="1008"/>
      <c r="AF286" s="1008" t="s">
        <v>670</v>
      </c>
      <c r="AG286" s="1008"/>
      <c r="AH286" s="1008"/>
      <c r="AI286" s="1008"/>
    </row>
    <row r="287" spans="1:35">
      <c r="A287" s="1008">
        <v>23770</v>
      </c>
      <c r="B287" s="1008">
        <v>1456</v>
      </c>
      <c r="C287" s="1008">
        <v>7</v>
      </c>
      <c r="D287" s="1009">
        <v>11619999</v>
      </c>
      <c r="E287" s="1009">
        <v>11610500</v>
      </c>
      <c r="F287" s="1007" t="s">
        <v>4667</v>
      </c>
      <c r="G287" s="1007">
        <v>7</v>
      </c>
      <c r="H287" s="1010">
        <v>99999999</v>
      </c>
      <c r="I287" s="1009">
        <v>11610500</v>
      </c>
      <c r="J287" s="1007" t="s">
        <v>4667</v>
      </c>
      <c r="O287" s="1007" t="s">
        <v>648</v>
      </c>
      <c r="P287" s="1007" t="s">
        <v>648</v>
      </c>
      <c r="S287" s="1008" t="s">
        <v>650</v>
      </c>
      <c r="T287" s="1008" t="s">
        <v>654</v>
      </c>
      <c r="U287" s="1008" t="s">
        <v>649</v>
      </c>
      <c r="V287" s="1008" t="s">
        <v>648</v>
      </c>
      <c r="W287" s="1008" t="s">
        <v>546</v>
      </c>
      <c r="X287" s="1008" t="s">
        <v>670</v>
      </c>
      <c r="Y287" s="1008" t="s">
        <v>670</v>
      </c>
      <c r="Z287" s="1008" t="s">
        <v>670</v>
      </c>
      <c r="AA287" s="1008" t="s">
        <v>670</v>
      </c>
      <c r="AB287" s="1008" t="s">
        <v>670</v>
      </c>
      <c r="AC287" s="1008" t="s">
        <v>670</v>
      </c>
      <c r="AD287" s="1008" t="s">
        <v>670</v>
      </c>
      <c r="AE287" s="1008"/>
      <c r="AF287" s="1008" t="s">
        <v>670</v>
      </c>
      <c r="AG287" s="1008"/>
      <c r="AH287" s="1008"/>
      <c r="AI287" s="1008"/>
    </row>
    <row r="288" spans="1:35">
      <c r="A288" s="1008">
        <v>23771</v>
      </c>
      <c r="B288" s="1008">
        <v>1457</v>
      </c>
      <c r="C288" s="1008">
        <v>7</v>
      </c>
      <c r="D288" s="1009">
        <v>11619999</v>
      </c>
      <c r="E288" s="1009">
        <v>11610600</v>
      </c>
      <c r="F288" s="1007" t="s">
        <v>4666</v>
      </c>
      <c r="G288" s="1007">
        <v>7</v>
      </c>
      <c r="H288" s="1010">
        <v>99999999</v>
      </c>
      <c r="I288" s="1009">
        <v>11610600</v>
      </c>
      <c r="J288" s="1007" t="s">
        <v>4666</v>
      </c>
      <c r="O288" s="1007" t="s">
        <v>648</v>
      </c>
      <c r="P288" s="1007" t="s">
        <v>648</v>
      </c>
      <c r="S288" s="1008" t="s">
        <v>650</v>
      </c>
      <c r="T288" s="1008" t="s">
        <v>654</v>
      </c>
      <c r="U288" s="1008" t="s">
        <v>649</v>
      </c>
      <c r="V288" s="1008" t="s">
        <v>648</v>
      </c>
      <c r="W288" s="1008" t="s">
        <v>546</v>
      </c>
      <c r="X288" s="1008" t="s">
        <v>670</v>
      </c>
      <c r="Y288" s="1008" t="s">
        <v>670</v>
      </c>
      <c r="Z288" s="1008" t="s">
        <v>670</v>
      </c>
      <c r="AA288" s="1008" t="s">
        <v>670</v>
      </c>
      <c r="AB288" s="1008" t="s">
        <v>670</v>
      </c>
      <c r="AC288" s="1008" t="s">
        <v>670</v>
      </c>
      <c r="AD288" s="1008" t="s">
        <v>670</v>
      </c>
      <c r="AE288" s="1008"/>
      <c r="AF288" s="1008" t="s">
        <v>670</v>
      </c>
      <c r="AG288" s="1008"/>
      <c r="AH288" s="1008"/>
      <c r="AI288" s="1008"/>
    </row>
    <row r="289" spans="1:35">
      <c r="A289" s="1008">
        <v>23772</v>
      </c>
      <c r="B289" s="1008">
        <v>1458</v>
      </c>
      <c r="C289" s="1008">
        <v>7</v>
      </c>
      <c r="D289" s="1009">
        <v>11619999</v>
      </c>
      <c r="E289" s="1009">
        <v>11610700</v>
      </c>
      <c r="F289" s="1007" t="s">
        <v>4665</v>
      </c>
      <c r="G289" s="1007">
        <v>7</v>
      </c>
      <c r="H289" s="1010">
        <v>99999999</v>
      </c>
      <c r="I289" s="1009">
        <v>11610700</v>
      </c>
      <c r="J289" s="1007" t="s">
        <v>4665</v>
      </c>
      <c r="O289" s="1007" t="s">
        <v>648</v>
      </c>
      <c r="P289" s="1007" t="s">
        <v>648</v>
      </c>
      <c r="S289" s="1008" t="s">
        <v>650</v>
      </c>
      <c r="T289" s="1008" t="s">
        <v>654</v>
      </c>
      <c r="U289" s="1008" t="s">
        <v>649</v>
      </c>
      <c r="V289" s="1008" t="s">
        <v>648</v>
      </c>
      <c r="W289" s="1008" t="s">
        <v>546</v>
      </c>
      <c r="X289" s="1008" t="s">
        <v>670</v>
      </c>
      <c r="Y289" s="1008" t="s">
        <v>670</v>
      </c>
      <c r="Z289" s="1008" t="s">
        <v>670</v>
      </c>
      <c r="AA289" s="1008" t="s">
        <v>670</v>
      </c>
      <c r="AB289" s="1008" t="s">
        <v>670</v>
      </c>
      <c r="AC289" s="1008" t="s">
        <v>670</v>
      </c>
      <c r="AD289" s="1008" t="s">
        <v>670</v>
      </c>
      <c r="AE289" s="1008"/>
      <c r="AF289" s="1008" t="s">
        <v>670</v>
      </c>
      <c r="AG289" s="1008"/>
      <c r="AH289" s="1008"/>
      <c r="AI289" s="1008"/>
    </row>
    <row r="290" spans="1:35">
      <c r="A290" s="1008">
        <v>23773</v>
      </c>
      <c r="B290" s="1008">
        <v>4761</v>
      </c>
      <c r="C290" s="1008">
        <v>7</v>
      </c>
      <c r="D290" s="1009">
        <v>11619999</v>
      </c>
      <c r="E290" s="1009">
        <v>11610800</v>
      </c>
      <c r="F290" s="1007" t="s">
        <v>4664</v>
      </c>
      <c r="G290" s="1007">
        <v>7</v>
      </c>
      <c r="H290" s="1010">
        <v>99999999</v>
      </c>
      <c r="I290" s="1009">
        <v>11610800</v>
      </c>
      <c r="J290" s="1007" t="s">
        <v>4664</v>
      </c>
      <c r="O290" s="1007" t="s">
        <v>648</v>
      </c>
      <c r="P290" s="1007" t="s">
        <v>648</v>
      </c>
      <c r="S290" s="1008" t="s">
        <v>650</v>
      </c>
      <c r="T290" s="1008" t="s">
        <v>654</v>
      </c>
      <c r="U290" s="1008" t="s">
        <v>649</v>
      </c>
      <c r="V290" s="1008" t="s">
        <v>648</v>
      </c>
      <c r="W290" s="1008" t="s">
        <v>546</v>
      </c>
      <c r="X290" s="1008" t="s">
        <v>670</v>
      </c>
      <c r="Y290" s="1008" t="s">
        <v>670</v>
      </c>
      <c r="Z290" s="1008" t="s">
        <v>670</v>
      </c>
      <c r="AA290" s="1008" t="s">
        <v>670</v>
      </c>
      <c r="AB290" s="1008" t="s">
        <v>670</v>
      </c>
      <c r="AC290" s="1008" t="s">
        <v>670</v>
      </c>
      <c r="AD290" s="1008" t="s">
        <v>670</v>
      </c>
      <c r="AE290" s="1008"/>
      <c r="AF290" s="1008" t="s">
        <v>670</v>
      </c>
      <c r="AG290" s="1008"/>
      <c r="AH290" s="1008"/>
      <c r="AI290" s="1008"/>
    </row>
    <row r="291" spans="1:35">
      <c r="A291" s="1008">
        <v>23774</v>
      </c>
      <c r="C291" s="1008">
        <v>6</v>
      </c>
      <c r="D291" s="1009">
        <v>11699900</v>
      </c>
      <c r="E291" s="1009">
        <v>11619999</v>
      </c>
      <c r="F291" s="1007" t="s">
        <v>4663</v>
      </c>
      <c r="O291" s="1007" t="s">
        <v>648</v>
      </c>
      <c r="P291" s="1007" t="s">
        <v>648</v>
      </c>
      <c r="S291" s="1008" t="s">
        <v>650</v>
      </c>
      <c r="T291" s="1008" t="s">
        <v>21</v>
      </c>
      <c r="U291" s="1008" t="s">
        <v>649</v>
      </c>
      <c r="V291" s="1008" t="s">
        <v>648</v>
      </c>
      <c r="W291" s="1008" t="s">
        <v>546</v>
      </c>
      <c r="X291" s="1008"/>
      <c r="Y291" s="1008"/>
      <c r="Z291" s="1008"/>
      <c r="AA291" s="1008"/>
      <c r="AB291" s="1008"/>
      <c r="AC291" s="1008"/>
      <c r="AD291" s="1008"/>
      <c r="AE291" s="1008"/>
      <c r="AF291" s="1008"/>
      <c r="AG291" s="1008"/>
      <c r="AH291" s="1008"/>
      <c r="AI291" s="1008"/>
    </row>
    <row r="292" spans="1:35">
      <c r="A292" s="1008">
        <v>23775</v>
      </c>
      <c r="C292" s="1008">
        <v>6</v>
      </c>
      <c r="D292" s="1009">
        <v>11629999</v>
      </c>
      <c r="E292" s="1009">
        <v>11620000</v>
      </c>
      <c r="F292" s="1007" t="s">
        <v>4662</v>
      </c>
      <c r="O292" s="1007" t="s">
        <v>648</v>
      </c>
      <c r="P292" s="1007" t="s">
        <v>648</v>
      </c>
      <c r="S292" s="1008" t="s">
        <v>650</v>
      </c>
      <c r="T292" s="1008" t="s">
        <v>675</v>
      </c>
      <c r="U292" s="1008" t="s">
        <v>649</v>
      </c>
      <c r="V292" s="1008" t="s">
        <v>648</v>
      </c>
      <c r="W292" s="1008" t="s">
        <v>546</v>
      </c>
      <c r="X292" s="1008"/>
      <c r="Y292" s="1008"/>
      <c r="Z292" s="1008"/>
      <c r="AA292" s="1008"/>
      <c r="AB292" s="1008"/>
      <c r="AC292" s="1008"/>
      <c r="AD292" s="1008"/>
      <c r="AE292" s="1008"/>
      <c r="AF292" s="1008"/>
      <c r="AG292" s="1008"/>
      <c r="AH292" s="1008"/>
      <c r="AI292" s="1008"/>
    </row>
    <row r="293" spans="1:35">
      <c r="A293" s="1008">
        <v>23776</v>
      </c>
      <c r="B293" s="1008">
        <v>1460</v>
      </c>
      <c r="C293" s="1008">
        <v>7</v>
      </c>
      <c r="D293" s="1009">
        <v>11629999</v>
      </c>
      <c r="E293" s="1009">
        <v>11620300</v>
      </c>
      <c r="F293" s="1007" t="s">
        <v>4661</v>
      </c>
      <c r="G293" s="1007">
        <v>7</v>
      </c>
      <c r="H293" s="1010">
        <v>99999999</v>
      </c>
      <c r="I293" s="1009">
        <v>11620300</v>
      </c>
      <c r="J293" s="1007" t="s">
        <v>4661</v>
      </c>
      <c r="O293" s="1007" t="s">
        <v>648</v>
      </c>
      <c r="P293" s="1007" t="s">
        <v>648</v>
      </c>
      <c r="S293" s="1008" t="s">
        <v>650</v>
      </c>
      <c r="T293" s="1008" t="s">
        <v>654</v>
      </c>
      <c r="U293" s="1008" t="s">
        <v>649</v>
      </c>
      <c r="V293" s="1008" t="s">
        <v>648</v>
      </c>
      <c r="W293" s="1008" t="s">
        <v>546</v>
      </c>
      <c r="X293" s="1008" t="s">
        <v>670</v>
      </c>
      <c r="Y293" s="1008" t="s">
        <v>670</v>
      </c>
      <c r="Z293" s="1008" t="s">
        <v>670</v>
      </c>
      <c r="AA293" s="1008" t="s">
        <v>670</v>
      </c>
      <c r="AB293" s="1008" t="s">
        <v>670</v>
      </c>
      <c r="AC293" s="1008" t="s">
        <v>670</v>
      </c>
      <c r="AD293" s="1008" t="s">
        <v>670</v>
      </c>
      <c r="AE293" s="1008"/>
      <c r="AF293" s="1008" t="s">
        <v>670</v>
      </c>
      <c r="AG293" s="1008"/>
      <c r="AH293" s="1008"/>
      <c r="AI293" s="1008"/>
    </row>
    <row r="294" spans="1:35">
      <c r="A294" s="1008">
        <v>23777</v>
      </c>
      <c r="B294" s="1008">
        <v>1461</v>
      </c>
      <c r="C294" s="1008">
        <v>7</v>
      </c>
      <c r="D294" s="1009">
        <v>11629999</v>
      </c>
      <c r="E294" s="1009">
        <v>11620700</v>
      </c>
      <c r="F294" s="1007" t="s">
        <v>4660</v>
      </c>
      <c r="G294" s="1007">
        <v>7</v>
      </c>
      <c r="H294" s="1010">
        <v>99999999</v>
      </c>
      <c r="I294" s="1009">
        <v>11620700</v>
      </c>
      <c r="J294" s="1007" t="s">
        <v>4660</v>
      </c>
      <c r="O294" s="1007" t="s">
        <v>648</v>
      </c>
      <c r="P294" s="1007" t="s">
        <v>648</v>
      </c>
      <c r="S294" s="1008" t="s">
        <v>650</v>
      </c>
      <c r="T294" s="1008" t="s">
        <v>654</v>
      </c>
      <c r="U294" s="1008" t="s">
        <v>649</v>
      </c>
      <c r="V294" s="1008" t="s">
        <v>648</v>
      </c>
      <c r="W294" s="1008" t="s">
        <v>546</v>
      </c>
      <c r="X294" s="1008" t="s">
        <v>670</v>
      </c>
      <c r="Y294" s="1008" t="s">
        <v>670</v>
      </c>
      <c r="Z294" s="1008" t="s">
        <v>670</v>
      </c>
      <c r="AA294" s="1008" t="s">
        <v>670</v>
      </c>
      <c r="AB294" s="1008" t="s">
        <v>670</v>
      </c>
      <c r="AC294" s="1008" t="s">
        <v>670</v>
      </c>
      <c r="AD294" s="1008" t="s">
        <v>670</v>
      </c>
      <c r="AE294" s="1008"/>
      <c r="AF294" s="1008" t="s">
        <v>670</v>
      </c>
      <c r="AG294" s="1008"/>
      <c r="AH294" s="1008"/>
      <c r="AI294" s="1008"/>
    </row>
    <row r="295" spans="1:35">
      <c r="A295" s="1008">
        <v>23778</v>
      </c>
      <c r="B295" s="1008">
        <v>4763</v>
      </c>
      <c r="C295" s="1008">
        <v>7</v>
      </c>
      <c r="D295" s="1009">
        <v>11629999</v>
      </c>
      <c r="E295" s="1009">
        <v>11620800</v>
      </c>
      <c r="F295" s="1007" t="s">
        <v>4659</v>
      </c>
      <c r="G295" s="1007">
        <v>7</v>
      </c>
      <c r="H295" s="1010">
        <v>99999999</v>
      </c>
      <c r="I295" s="1009">
        <v>11620800</v>
      </c>
      <c r="J295" s="1007" t="s">
        <v>4659</v>
      </c>
      <c r="O295" s="1007" t="s">
        <v>648</v>
      </c>
      <c r="P295" s="1007" t="s">
        <v>648</v>
      </c>
      <c r="S295" s="1008" t="s">
        <v>650</v>
      </c>
      <c r="T295" s="1008" t="s">
        <v>654</v>
      </c>
      <c r="U295" s="1008" t="s">
        <v>649</v>
      </c>
      <c r="V295" s="1008" t="s">
        <v>648</v>
      </c>
      <c r="W295" s="1008" t="s">
        <v>546</v>
      </c>
      <c r="X295" s="1008" t="s">
        <v>670</v>
      </c>
      <c r="Y295" s="1008" t="s">
        <v>670</v>
      </c>
      <c r="Z295" s="1008" t="s">
        <v>670</v>
      </c>
      <c r="AA295" s="1008" t="s">
        <v>670</v>
      </c>
      <c r="AB295" s="1008" t="s">
        <v>670</v>
      </c>
      <c r="AC295" s="1008" t="s">
        <v>670</v>
      </c>
      <c r="AD295" s="1008" t="s">
        <v>670</v>
      </c>
      <c r="AE295" s="1008"/>
      <c r="AF295" s="1008" t="s">
        <v>670</v>
      </c>
      <c r="AG295" s="1008"/>
      <c r="AH295" s="1008"/>
      <c r="AI295" s="1008"/>
    </row>
    <row r="296" spans="1:35">
      <c r="A296" s="1008">
        <v>23779</v>
      </c>
      <c r="C296" s="1008">
        <v>6</v>
      </c>
      <c r="D296" s="1009">
        <v>11699900</v>
      </c>
      <c r="E296" s="1009">
        <v>11629999</v>
      </c>
      <c r="F296" s="1007" t="s">
        <v>4658</v>
      </c>
      <c r="O296" s="1007" t="s">
        <v>648</v>
      </c>
      <c r="P296" s="1007" t="s">
        <v>648</v>
      </c>
      <c r="S296" s="1008" t="s">
        <v>650</v>
      </c>
      <c r="T296" s="1008" t="s">
        <v>21</v>
      </c>
      <c r="U296" s="1008" t="s">
        <v>649</v>
      </c>
      <c r="V296" s="1008" t="s">
        <v>648</v>
      </c>
      <c r="W296" s="1008" t="s">
        <v>546</v>
      </c>
      <c r="X296" s="1008"/>
      <c r="Y296" s="1008"/>
      <c r="Z296" s="1008"/>
      <c r="AA296" s="1008"/>
      <c r="AB296" s="1008"/>
      <c r="AC296" s="1008"/>
      <c r="AD296" s="1008"/>
      <c r="AE296" s="1008"/>
      <c r="AF296" s="1008"/>
      <c r="AG296" s="1008"/>
      <c r="AH296" s="1008"/>
      <c r="AI296" s="1008"/>
    </row>
    <row r="297" spans="1:35">
      <c r="A297" s="1008">
        <v>23780</v>
      </c>
      <c r="C297" s="1008">
        <v>5</v>
      </c>
      <c r="D297" s="1009">
        <v>11699999</v>
      </c>
      <c r="E297" s="1009">
        <v>11699900</v>
      </c>
      <c r="F297" s="1007" t="s">
        <v>4657</v>
      </c>
      <c r="O297" s="1007" t="s">
        <v>648</v>
      </c>
      <c r="P297" s="1007" t="s">
        <v>648</v>
      </c>
      <c r="S297" s="1008" t="s">
        <v>650</v>
      </c>
      <c r="T297" s="1008" t="s">
        <v>21</v>
      </c>
      <c r="U297" s="1008" t="s">
        <v>649</v>
      </c>
      <c r="V297" s="1008" t="s">
        <v>648</v>
      </c>
      <c r="W297" s="1008" t="s">
        <v>546</v>
      </c>
      <c r="X297" s="1008"/>
      <c r="Y297" s="1008"/>
      <c r="Z297" s="1008"/>
      <c r="AA297" s="1008"/>
      <c r="AB297" s="1008"/>
      <c r="AC297" s="1008"/>
      <c r="AD297" s="1008"/>
      <c r="AE297" s="1008"/>
      <c r="AF297" s="1008"/>
      <c r="AG297" s="1008"/>
      <c r="AH297" s="1008"/>
      <c r="AI297" s="1008"/>
    </row>
    <row r="298" spans="1:35">
      <c r="A298" s="1008">
        <v>23781</v>
      </c>
      <c r="C298" s="1008">
        <v>4</v>
      </c>
      <c r="D298" s="1009">
        <v>19999998</v>
      </c>
      <c r="E298" s="1009">
        <v>11699999</v>
      </c>
      <c r="F298" s="1007" t="s">
        <v>4656</v>
      </c>
      <c r="O298" s="1007" t="s">
        <v>648</v>
      </c>
      <c r="P298" s="1007" t="s">
        <v>648</v>
      </c>
      <c r="S298" s="1008" t="s">
        <v>650</v>
      </c>
      <c r="T298" s="1008" t="s">
        <v>21</v>
      </c>
      <c r="U298" s="1008" t="s">
        <v>649</v>
      </c>
      <c r="V298" s="1008" t="s">
        <v>648</v>
      </c>
      <c r="W298" s="1008" t="s">
        <v>546</v>
      </c>
      <c r="X298" s="1008"/>
      <c r="Y298" s="1008"/>
      <c r="Z298" s="1008"/>
      <c r="AA298" s="1008"/>
      <c r="AB298" s="1008"/>
      <c r="AC298" s="1008"/>
      <c r="AD298" s="1008"/>
      <c r="AE298" s="1008"/>
      <c r="AF298" s="1008"/>
      <c r="AG298" s="1008"/>
      <c r="AH298" s="1008"/>
      <c r="AI298" s="1008"/>
    </row>
    <row r="299" spans="1:35">
      <c r="A299" s="1008">
        <v>23782</v>
      </c>
      <c r="C299" s="1008">
        <v>4</v>
      </c>
      <c r="D299" s="1009">
        <v>12199999</v>
      </c>
      <c r="E299" s="1009">
        <v>12000000</v>
      </c>
      <c r="F299" s="1007" t="s">
        <v>4655</v>
      </c>
      <c r="O299" s="1007" t="s">
        <v>648</v>
      </c>
      <c r="P299" s="1007" t="s">
        <v>648</v>
      </c>
      <c r="S299" s="1008" t="s">
        <v>650</v>
      </c>
      <c r="T299" s="1008" t="s">
        <v>675</v>
      </c>
      <c r="U299" s="1008" t="s">
        <v>649</v>
      </c>
      <c r="V299" s="1008" t="s">
        <v>648</v>
      </c>
      <c r="W299" s="1008" t="s">
        <v>546</v>
      </c>
      <c r="X299" s="1008"/>
      <c r="Y299" s="1008"/>
      <c r="Z299" s="1008"/>
      <c r="AA299" s="1008"/>
      <c r="AB299" s="1008"/>
      <c r="AC299" s="1008"/>
      <c r="AD299" s="1008"/>
      <c r="AE299" s="1008"/>
      <c r="AF299" s="1008"/>
      <c r="AG299" s="1008"/>
      <c r="AH299" s="1008"/>
      <c r="AI299" s="1008"/>
    </row>
    <row r="300" spans="1:35">
      <c r="A300" s="1008">
        <v>23783</v>
      </c>
      <c r="C300" s="1008">
        <v>5</v>
      </c>
      <c r="D300" s="1009">
        <v>12199900</v>
      </c>
      <c r="E300" s="1009">
        <v>12100000</v>
      </c>
      <c r="F300" s="1007" t="s">
        <v>4654</v>
      </c>
      <c r="O300" s="1007" t="s">
        <v>648</v>
      </c>
      <c r="P300" s="1007" t="s">
        <v>648</v>
      </c>
      <c r="S300" s="1008" t="s">
        <v>650</v>
      </c>
      <c r="T300" s="1008" t="s">
        <v>675</v>
      </c>
      <c r="U300" s="1008" t="s">
        <v>649</v>
      </c>
      <c r="V300" s="1008" t="s">
        <v>648</v>
      </c>
      <c r="W300" s="1008" t="s">
        <v>546</v>
      </c>
      <c r="X300" s="1008"/>
      <c r="Y300" s="1008"/>
      <c r="Z300" s="1008"/>
      <c r="AA300" s="1008"/>
      <c r="AB300" s="1008"/>
      <c r="AC300" s="1008"/>
      <c r="AD300" s="1008"/>
      <c r="AE300" s="1008"/>
      <c r="AF300" s="1008"/>
      <c r="AG300" s="1008"/>
      <c r="AH300" s="1008"/>
      <c r="AI300" s="1008"/>
    </row>
    <row r="301" spans="1:35">
      <c r="A301" s="1008">
        <v>23784</v>
      </c>
      <c r="B301" s="1008">
        <v>512</v>
      </c>
      <c r="C301" s="1008">
        <v>6</v>
      </c>
      <c r="D301" s="1009">
        <v>12199900</v>
      </c>
      <c r="E301" s="1009">
        <v>12110700</v>
      </c>
      <c r="F301" s="1007" t="s">
        <v>4653</v>
      </c>
      <c r="G301" s="1007">
        <v>8</v>
      </c>
      <c r="H301" s="1010">
        <v>99999999</v>
      </c>
      <c r="I301" s="1009">
        <v>12110700</v>
      </c>
      <c r="J301" s="1007" t="s">
        <v>4653</v>
      </c>
      <c r="O301" s="1007" t="s">
        <v>648</v>
      </c>
      <c r="P301" s="1007" t="s">
        <v>648</v>
      </c>
      <c r="S301" s="1008" t="s">
        <v>650</v>
      </c>
      <c r="T301" s="1008" t="s">
        <v>654</v>
      </c>
      <c r="U301" s="1008" t="s">
        <v>649</v>
      </c>
      <c r="V301" s="1008" t="s">
        <v>648</v>
      </c>
      <c r="W301" s="1008" t="s">
        <v>546</v>
      </c>
      <c r="X301" s="1008" t="s">
        <v>670</v>
      </c>
      <c r="Y301" s="1008" t="s">
        <v>670</v>
      </c>
      <c r="Z301" s="1008" t="s">
        <v>670</v>
      </c>
      <c r="AA301" s="1008" t="s">
        <v>670</v>
      </c>
      <c r="AB301" s="1008" t="s">
        <v>670</v>
      </c>
      <c r="AC301" s="1008" t="s">
        <v>670</v>
      </c>
      <c r="AD301" s="1008" t="s">
        <v>670</v>
      </c>
      <c r="AE301" s="1008"/>
      <c r="AF301" s="1008" t="s">
        <v>670</v>
      </c>
      <c r="AG301" s="1008" t="s">
        <v>670</v>
      </c>
      <c r="AH301" s="1008"/>
      <c r="AI301" s="1008"/>
    </row>
    <row r="302" spans="1:35">
      <c r="A302" s="1008">
        <v>23785</v>
      </c>
      <c r="B302" s="1008">
        <v>4768</v>
      </c>
      <c r="C302" s="1008">
        <v>6</v>
      </c>
      <c r="D302" s="1009">
        <v>12199900</v>
      </c>
      <c r="E302" s="1009">
        <v>12120700</v>
      </c>
      <c r="F302" s="1007" t="s">
        <v>4652</v>
      </c>
      <c r="G302" s="1007">
        <v>6</v>
      </c>
      <c r="H302" s="1010">
        <v>99999999</v>
      </c>
      <c r="I302" s="1009">
        <v>12120700</v>
      </c>
      <c r="J302" s="1007" t="s">
        <v>4652</v>
      </c>
      <c r="O302" s="1007" t="s">
        <v>648</v>
      </c>
      <c r="P302" s="1007" t="s">
        <v>648</v>
      </c>
      <c r="S302" s="1008" t="s">
        <v>650</v>
      </c>
      <c r="T302" s="1008" t="s">
        <v>654</v>
      </c>
      <c r="U302" s="1008" t="s">
        <v>649</v>
      </c>
      <c r="V302" s="1008" t="s">
        <v>648</v>
      </c>
      <c r="W302" s="1008" t="s">
        <v>546</v>
      </c>
      <c r="X302" s="1008" t="s">
        <v>670</v>
      </c>
      <c r="Y302" s="1008" t="s">
        <v>670</v>
      </c>
      <c r="Z302" s="1008"/>
      <c r="AA302" s="1008"/>
      <c r="AB302" s="1008" t="s">
        <v>670</v>
      </c>
      <c r="AC302" s="1008"/>
      <c r="AD302" s="1008"/>
      <c r="AE302" s="1008"/>
      <c r="AF302" s="1008" t="s">
        <v>670</v>
      </c>
      <c r="AG302" s="1008"/>
      <c r="AH302" s="1008"/>
      <c r="AI302" s="1008"/>
    </row>
    <row r="303" spans="1:35">
      <c r="A303" s="1008">
        <v>26507</v>
      </c>
      <c r="B303" s="1008">
        <v>1265</v>
      </c>
      <c r="C303" s="1008">
        <v>6</v>
      </c>
      <c r="D303" s="1009">
        <v>12199900</v>
      </c>
      <c r="E303" s="1009">
        <v>12190000</v>
      </c>
      <c r="F303" s="1007" t="s">
        <v>4651</v>
      </c>
      <c r="G303" s="1007">
        <v>8</v>
      </c>
      <c r="H303" s="1010">
        <v>99999999</v>
      </c>
      <c r="I303" s="1009">
        <v>12190000</v>
      </c>
      <c r="J303" s="1007" t="s">
        <v>4651</v>
      </c>
      <c r="O303" s="1007" t="s">
        <v>648</v>
      </c>
      <c r="P303" s="1007" t="s">
        <v>648</v>
      </c>
      <c r="S303" s="1008" t="s">
        <v>650</v>
      </c>
      <c r="T303" s="1008" t="s">
        <v>654</v>
      </c>
      <c r="U303" s="1008" t="s">
        <v>649</v>
      </c>
      <c r="V303" s="1008" t="s">
        <v>648</v>
      </c>
      <c r="W303" s="1008" t="s">
        <v>546</v>
      </c>
      <c r="X303" s="1008" t="s">
        <v>670</v>
      </c>
      <c r="Y303" s="1008" t="s">
        <v>670</v>
      </c>
      <c r="Z303" s="1008" t="s">
        <v>670</v>
      </c>
      <c r="AA303" s="1008" t="s">
        <v>670</v>
      </c>
      <c r="AB303" s="1008" t="s">
        <v>670</v>
      </c>
      <c r="AC303" s="1008" t="s">
        <v>670</v>
      </c>
      <c r="AD303" s="1008" t="s">
        <v>670</v>
      </c>
      <c r="AE303" s="1008" t="s">
        <v>670</v>
      </c>
      <c r="AF303" s="1008" t="s">
        <v>670</v>
      </c>
      <c r="AG303" s="1008" t="s">
        <v>670</v>
      </c>
      <c r="AH303" s="1008" t="s">
        <v>670</v>
      </c>
      <c r="AI303" s="1008" t="s">
        <v>670</v>
      </c>
    </row>
    <row r="304" spans="1:35">
      <c r="A304" s="1008">
        <v>24432</v>
      </c>
      <c r="B304" s="1008">
        <v>827</v>
      </c>
      <c r="C304" s="1008">
        <v>6</v>
      </c>
      <c r="D304" s="1009">
        <v>12199900</v>
      </c>
      <c r="E304" s="1009">
        <v>12191000</v>
      </c>
      <c r="F304" s="1007" t="s">
        <v>4650</v>
      </c>
      <c r="G304" s="1007">
        <v>8</v>
      </c>
      <c r="H304" s="1010">
        <v>99999999</v>
      </c>
      <c r="I304" s="1009">
        <v>12191000</v>
      </c>
      <c r="J304" s="1007" t="s">
        <v>4650</v>
      </c>
      <c r="O304" s="1007" t="s">
        <v>648</v>
      </c>
      <c r="P304" s="1007" t="s">
        <v>648</v>
      </c>
      <c r="S304" s="1008" t="s">
        <v>650</v>
      </c>
      <c r="T304" s="1008" t="s">
        <v>654</v>
      </c>
      <c r="U304" s="1008" t="s">
        <v>649</v>
      </c>
      <c r="V304" s="1008" t="s">
        <v>648</v>
      </c>
      <c r="W304" s="1008" t="s">
        <v>546</v>
      </c>
      <c r="X304" s="1008" t="s">
        <v>670</v>
      </c>
      <c r="Y304" s="1008" t="s">
        <v>670</v>
      </c>
      <c r="Z304" s="1008" t="s">
        <v>670</v>
      </c>
      <c r="AA304" s="1008" t="s">
        <v>670</v>
      </c>
      <c r="AB304" s="1008" t="s">
        <v>670</v>
      </c>
      <c r="AC304" s="1008" t="s">
        <v>670</v>
      </c>
      <c r="AD304" s="1008" t="s">
        <v>670</v>
      </c>
      <c r="AE304" s="1008" t="s">
        <v>670</v>
      </c>
      <c r="AF304" s="1008" t="s">
        <v>670</v>
      </c>
      <c r="AG304" s="1008" t="s">
        <v>670</v>
      </c>
      <c r="AH304" s="1008"/>
      <c r="AI304" s="1008"/>
    </row>
    <row r="305" spans="1:35">
      <c r="A305" s="1008">
        <v>23786</v>
      </c>
      <c r="C305" s="1008">
        <v>5</v>
      </c>
      <c r="D305" s="1009">
        <v>12199999</v>
      </c>
      <c r="E305" s="1009">
        <v>12199900</v>
      </c>
      <c r="F305" s="1007" t="s">
        <v>4649</v>
      </c>
      <c r="O305" s="1007" t="s">
        <v>648</v>
      </c>
      <c r="P305" s="1007" t="s">
        <v>648</v>
      </c>
      <c r="S305" s="1008" t="s">
        <v>650</v>
      </c>
      <c r="T305" s="1008" t="s">
        <v>21</v>
      </c>
      <c r="U305" s="1008" t="s">
        <v>649</v>
      </c>
      <c r="V305" s="1008" t="s">
        <v>648</v>
      </c>
      <c r="W305" s="1008" t="s">
        <v>546</v>
      </c>
      <c r="X305" s="1008"/>
      <c r="Y305" s="1008"/>
      <c r="Z305" s="1008"/>
      <c r="AA305" s="1008"/>
      <c r="AB305" s="1008"/>
      <c r="AC305" s="1008"/>
      <c r="AD305" s="1008"/>
      <c r="AE305" s="1008"/>
      <c r="AF305" s="1008"/>
      <c r="AG305" s="1008"/>
      <c r="AH305" s="1008"/>
      <c r="AI305" s="1008"/>
    </row>
    <row r="306" spans="1:35">
      <c r="A306" s="1008">
        <v>23787</v>
      </c>
      <c r="C306" s="1008">
        <v>4</v>
      </c>
      <c r="D306" s="1009">
        <v>19999998</v>
      </c>
      <c r="E306" s="1009">
        <v>12199999</v>
      </c>
      <c r="F306" s="1007" t="s">
        <v>4648</v>
      </c>
      <c r="O306" s="1007" t="s">
        <v>648</v>
      </c>
      <c r="P306" s="1007" t="s">
        <v>648</v>
      </c>
      <c r="S306" s="1008" t="s">
        <v>650</v>
      </c>
      <c r="T306" s="1008" t="s">
        <v>21</v>
      </c>
      <c r="U306" s="1008" t="s">
        <v>649</v>
      </c>
      <c r="V306" s="1008" t="s">
        <v>648</v>
      </c>
      <c r="W306" s="1008" t="s">
        <v>546</v>
      </c>
      <c r="X306" s="1008"/>
      <c r="Y306" s="1008"/>
      <c r="Z306" s="1008"/>
      <c r="AA306" s="1008"/>
      <c r="AB306" s="1008"/>
      <c r="AC306" s="1008"/>
      <c r="AD306" s="1008"/>
      <c r="AE306" s="1008"/>
      <c r="AF306" s="1008"/>
      <c r="AG306" s="1008"/>
      <c r="AH306" s="1008"/>
      <c r="AI306" s="1008"/>
    </row>
    <row r="307" spans="1:35">
      <c r="A307" s="1008">
        <v>23788</v>
      </c>
      <c r="C307" s="1008">
        <v>4</v>
      </c>
      <c r="D307" s="1009">
        <v>12699999</v>
      </c>
      <c r="E307" s="1009">
        <v>12500000</v>
      </c>
      <c r="F307" s="1007" t="s">
        <v>4647</v>
      </c>
      <c r="O307" s="1007" t="s">
        <v>648</v>
      </c>
      <c r="P307" s="1007" t="s">
        <v>648</v>
      </c>
      <c r="S307" s="1008" t="s">
        <v>650</v>
      </c>
      <c r="T307" s="1008" t="s">
        <v>675</v>
      </c>
      <c r="U307" s="1008" t="s">
        <v>649</v>
      </c>
      <c r="V307" s="1008" t="s">
        <v>648</v>
      </c>
      <c r="W307" s="1008" t="s">
        <v>546</v>
      </c>
      <c r="X307" s="1008"/>
      <c r="Y307" s="1008"/>
      <c r="Z307" s="1008"/>
      <c r="AA307" s="1008"/>
      <c r="AB307" s="1008"/>
      <c r="AC307" s="1008"/>
      <c r="AD307" s="1008"/>
      <c r="AE307" s="1008"/>
      <c r="AF307" s="1008"/>
      <c r="AG307" s="1008"/>
      <c r="AH307" s="1008"/>
      <c r="AI307" s="1008"/>
    </row>
    <row r="308" spans="1:35">
      <c r="A308" s="1008">
        <v>23789</v>
      </c>
      <c r="C308" s="1008">
        <v>5</v>
      </c>
      <c r="D308" s="1009">
        <v>12599999</v>
      </c>
      <c r="E308" s="1009">
        <v>12501000</v>
      </c>
      <c r="F308" s="1007" t="s">
        <v>4646</v>
      </c>
      <c r="O308" s="1007" t="s">
        <v>648</v>
      </c>
      <c r="P308" s="1007" t="s">
        <v>648</v>
      </c>
      <c r="S308" s="1008" t="s">
        <v>650</v>
      </c>
      <c r="T308" s="1008" t="s">
        <v>675</v>
      </c>
      <c r="U308" s="1008" t="s">
        <v>649</v>
      </c>
      <c r="V308" s="1008" t="s">
        <v>648</v>
      </c>
      <c r="W308" s="1008" t="s">
        <v>546</v>
      </c>
      <c r="X308" s="1008"/>
      <c r="Y308" s="1008"/>
      <c r="Z308" s="1008"/>
      <c r="AA308" s="1008"/>
      <c r="AB308" s="1008"/>
      <c r="AC308" s="1008"/>
      <c r="AD308" s="1008"/>
      <c r="AE308" s="1008"/>
      <c r="AF308" s="1008"/>
      <c r="AG308" s="1008"/>
      <c r="AH308" s="1008"/>
      <c r="AI308" s="1008"/>
    </row>
    <row r="309" spans="1:35">
      <c r="A309" s="1008">
        <v>23790</v>
      </c>
      <c r="C309" s="1008">
        <v>6</v>
      </c>
      <c r="D309" s="1009">
        <v>12519999</v>
      </c>
      <c r="E309" s="1009">
        <v>12510000</v>
      </c>
      <c r="F309" s="1007" t="s">
        <v>4645</v>
      </c>
      <c r="O309" s="1007" t="s">
        <v>648</v>
      </c>
      <c r="P309" s="1007" t="s">
        <v>648</v>
      </c>
      <c r="S309" s="1008" t="s">
        <v>650</v>
      </c>
      <c r="T309" s="1008" t="s">
        <v>675</v>
      </c>
      <c r="U309" s="1008" t="s">
        <v>649</v>
      </c>
      <c r="V309" s="1008" t="s">
        <v>648</v>
      </c>
      <c r="W309" s="1008" t="s">
        <v>546</v>
      </c>
      <c r="X309" s="1008"/>
      <c r="Y309" s="1008"/>
      <c r="Z309" s="1008"/>
      <c r="AA309" s="1008"/>
      <c r="AB309" s="1008"/>
      <c r="AC309" s="1008"/>
      <c r="AD309" s="1008"/>
      <c r="AE309" s="1008"/>
      <c r="AF309" s="1008"/>
      <c r="AG309" s="1008"/>
      <c r="AH309" s="1008"/>
      <c r="AI309" s="1008"/>
    </row>
    <row r="310" spans="1:35">
      <c r="A310" s="1008">
        <v>23791</v>
      </c>
      <c r="B310" s="1008">
        <v>1465</v>
      </c>
      <c r="C310" s="1008">
        <v>7</v>
      </c>
      <c r="D310" s="1009">
        <v>12519999</v>
      </c>
      <c r="E310" s="1009">
        <v>12511000</v>
      </c>
      <c r="F310" s="1007" t="s">
        <v>4644</v>
      </c>
      <c r="G310" s="1007">
        <v>7</v>
      </c>
      <c r="H310" s="1010">
        <v>99999999</v>
      </c>
      <c r="I310" s="1009">
        <v>12511000</v>
      </c>
      <c r="J310" s="1007" t="s">
        <v>4644</v>
      </c>
      <c r="O310" s="1007" t="s">
        <v>648</v>
      </c>
      <c r="P310" s="1007" t="s">
        <v>648</v>
      </c>
      <c r="S310" s="1008" t="s">
        <v>650</v>
      </c>
      <c r="T310" s="1008" t="s">
        <v>654</v>
      </c>
      <c r="U310" s="1008" t="s">
        <v>649</v>
      </c>
      <c r="V310" s="1008" t="s">
        <v>648</v>
      </c>
      <c r="W310" s="1008" t="s">
        <v>546</v>
      </c>
      <c r="X310" s="1008" t="s">
        <v>670</v>
      </c>
      <c r="Y310" s="1008" t="s">
        <v>670</v>
      </c>
      <c r="Z310" s="1008" t="s">
        <v>670</v>
      </c>
      <c r="AA310" s="1008" t="s">
        <v>670</v>
      </c>
      <c r="AB310" s="1008" t="s">
        <v>670</v>
      </c>
      <c r="AC310" s="1008" t="s">
        <v>670</v>
      </c>
      <c r="AD310" s="1008" t="s">
        <v>670</v>
      </c>
      <c r="AE310" s="1008"/>
      <c r="AF310" s="1008" t="s">
        <v>670</v>
      </c>
      <c r="AG310" s="1008"/>
      <c r="AH310" s="1008"/>
      <c r="AI310" s="1008"/>
    </row>
    <row r="311" spans="1:35">
      <c r="A311" s="1008">
        <v>23792</v>
      </c>
      <c r="B311" s="1008">
        <v>4773</v>
      </c>
      <c r="C311" s="1008">
        <v>7</v>
      </c>
      <c r="D311" s="1009">
        <v>12519999</v>
      </c>
      <c r="E311" s="1009">
        <v>12512000</v>
      </c>
      <c r="F311" s="1007" t="s">
        <v>4643</v>
      </c>
      <c r="G311" s="1007">
        <v>7</v>
      </c>
      <c r="H311" s="1010">
        <v>99999999</v>
      </c>
      <c r="I311" s="1009">
        <v>12512000</v>
      </c>
      <c r="J311" s="1007" t="s">
        <v>4643</v>
      </c>
      <c r="O311" s="1007" t="s">
        <v>648</v>
      </c>
      <c r="P311" s="1007" t="s">
        <v>648</v>
      </c>
      <c r="S311" s="1008" t="s">
        <v>650</v>
      </c>
      <c r="T311" s="1008" t="s">
        <v>654</v>
      </c>
      <c r="U311" s="1008" t="s">
        <v>649</v>
      </c>
      <c r="V311" s="1008" t="s">
        <v>648</v>
      </c>
      <c r="W311" s="1008" t="s">
        <v>546</v>
      </c>
      <c r="X311" s="1008" t="s">
        <v>670</v>
      </c>
      <c r="Y311" s="1008" t="s">
        <v>670</v>
      </c>
      <c r="Z311" s="1008" t="s">
        <v>670</v>
      </c>
      <c r="AA311" s="1008" t="s">
        <v>670</v>
      </c>
      <c r="AB311" s="1008" t="s">
        <v>670</v>
      </c>
      <c r="AC311" s="1008" t="s">
        <v>670</v>
      </c>
      <c r="AD311" s="1008" t="s">
        <v>670</v>
      </c>
      <c r="AE311" s="1008"/>
      <c r="AF311" s="1008" t="s">
        <v>670</v>
      </c>
      <c r="AG311" s="1008"/>
      <c r="AH311" s="1008"/>
      <c r="AI311" s="1008"/>
    </row>
    <row r="312" spans="1:35">
      <c r="A312" s="1008">
        <v>23793</v>
      </c>
      <c r="C312" s="1008">
        <v>6</v>
      </c>
      <c r="D312" s="1009">
        <v>12599999</v>
      </c>
      <c r="E312" s="1009">
        <v>12519999</v>
      </c>
      <c r="F312" s="1007" t="s">
        <v>4642</v>
      </c>
      <c r="O312" s="1007" t="s">
        <v>648</v>
      </c>
      <c r="P312" s="1007" t="s">
        <v>648</v>
      </c>
      <c r="S312" s="1008" t="s">
        <v>650</v>
      </c>
      <c r="T312" s="1008" t="s">
        <v>21</v>
      </c>
      <c r="U312" s="1008" t="s">
        <v>649</v>
      </c>
      <c r="V312" s="1008" t="s">
        <v>648</v>
      </c>
      <c r="W312" s="1008" t="s">
        <v>546</v>
      </c>
      <c r="X312" s="1008"/>
      <c r="Y312" s="1008"/>
      <c r="Z312" s="1008"/>
      <c r="AA312" s="1008"/>
      <c r="AB312" s="1008"/>
      <c r="AC312" s="1008"/>
      <c r="AD312" s="1008"/>
      <c r="AE312" s="1008"/>
      <c r="AF312" s="1008"/>
      <c r="AG312" s="1008"/>
      <c r="AH312" s="1008"/>
      <c r="AI312" s="1008"/>
    </row>
    <row r="313" spans="1:35">
      <c r="A313" s="1008">
        <v>23794</v>
      </c>
      <c r="C313" s="1008">
        <v>6</v>
      </c>
      <c r="D313" s="1009">
        <v>12529999</v>
      </c>
      <c r="E313" s="1009">
        <v>12520000</v>
      </c>
      <c r="F313" s="1007" t="s">
        <v>4641</v>
      </c>
      <c r="O313" s="1007" t="s">
        <v>648</v>
      </c>
      <c r="P313" s="1007" t="s">
        <v>648</v>
      </c>
      <c r="S313" s="1008" t="s">
        <v>650</v>
      </c>
      <c r="T313" s="1008" t="s">
        <v>675</v>
      </c>
      <c r="U313" s="1008" t="s">
        <v>649</v>
      </c>
      <c r="V313" s="1008" t="s">
        <v>648</v>
      </c>
      <c r="W313" s="1008" t="s">
        <v>546</v>
      </c>
      <c r="X313" s="1008"/>
      <c r="Y313" s="1008"/>
      <c r="Z313" s="1008"/>
      <c r="AA313" s="1008"/>
      <c r="AB313" s="1008"/>
      <c r="AC313" s="1008"/>
      <c r="AD313" s="1008"/>
      <c r="AE313" s="1008"/>
      <c r="AF313" s="1008"/>
      <c r="AG313" s="1008"/>
      <c r="AH313" s="1008"/>
      <c r="AI313" s="1008"/>
    </row>
    <row r="314" spans="1:35">
      <c r="A314" s="1008">
        <v>26460</v>
      </c>
      <c r="B314" s="1008">
        <v>1467</v>
      </c>
      <c r="C314" s="1008">
        <v>7</v>
      </c>
      <c r="D314" s="1009">
        <v>12529999</v>
      </c>
      <c r="E314" s="1009">
        <v>12520100</v>
      </c>
      <c r="F314" s="1007" t="s">
        <v>4640</v>
      </c>
      <c r="G314" s="1007">
        <v>7</v>
      </c>
      <c r="H314" s="1010">
        <v>99999999</v>
      </c>
      <c r="I314" s="1009">
        <v>12520100</v>
      </c>
      <c r="J314" s="1007" t="s">
        <v>4640</v>
      </c>
      <c r="O314" s="1007" t="s">
        <v>648</v>
      </c>
      <c r="P314" s="1007" t="s">
        <v>648</v>
      </c>
      <c r="S314" s="1008" t="s">
        <v>650</v>
      </c>
      <c r="T314" s="1008" t="s">
        <v>654</v>
      </c>
      <c r="U314" s="1008" t="s">
        <v>649</v>
      </c>
      <c r="V314" s="1008" t="s">
        <v>648</v>
      </c>
      <c r="W314" s="1008" t="s">
        <v>546</v>
      </c>
      <c r="X314" s="1008" t="s">
        <v>670</v>
      </c>
      <c r="Y314" s="1008" t="s">
        <v>670</v>
      </c>
      <c r="Z314" s="1008" t="s">
        <v>670</v>
      </c>
      <c r="AA314" s="1008" t="s">
        <v>670</v>
      </c>
      <c r="AB314" s="1008" t="s">
        <v>670</v>
      </c>
      <c r="AC314" s="1008" t="s">
        <v>670</v>
      </c>
      <c r="AD314" s="1008" t="s">
        <v>670</v>
      </c>
      <c r="AE314" s="1008"/>
      <c r="AF314" s="1008" t="s">
        <v>670</v>
      </c>
      <c r="AG314" s="1008"/>
      <c r="AH314" s="1008"/>
      <c r="AI314" s="1008"/>
    </row>
    <row r="315" spans="1:35">
      <c r="A315" s="1008">
        <v>23795</v>
      </c>
      <c r="B315" s="1008">
        <v>1468</v>
      </c>
      <c r="C315" s="1008">
        <v>7</v>
      </c>
      <c r="D315" s="1009">
        <v>12529999</v>
      </c>
      <c r="E315" s="1009">
        <v>12520200</v>
      </c>
      <c r="F315" s="1007" t="s">
        <v>4639</v>
      </c>
      <c r="G315" s="1007">
        <v>7</v>
      </c>
      <c r="H315" s="1010">
        <v>99999999</v>
      </c>
      <c r="I315" s="1009">
        <v>12520200</v>
      </c>
      <c r="J315" s="1007" t="s">
        <v>4639</v>
      </c>
      <c r="O315" s="1007" t="s">
        <v>648</v>
      </c>
      <c r="P315" s="1007" t="s">
        <v>648</v>
      </c>
      <c r="S315" s="1008" t="s">
        <v>650</v>
      </c>
      <c r="T315" s="1008" t="s">
        <v>654</v>
      </c>
      <c r="U315" s="1008" t="s">
        <v>649</v>
      </c>
      <c r="V315" s="1008" t="s">
        <v>648</v>
      </c>
      <c r="W315" s="1008" t="s">
        <v>546</v>
      </c>
      <c r="X315" s="1008" t="s">
        <v>670</v>
      </c>
      <c r="Y315" s="1008" t="s">
        <v>670</v>
      </c>
      <c r="Z315" s="1008" t="s">
        <v>670</v>
      </c>
      <c r="AA315" s="1008" t="s">
        <v>670</v>
      </c>
      <c r="AB315" s="1008" t="s">
        <v>670</v>
      </c>
      <c r="AC315" s="1008" t="s">
        <v>670</v>
      </c>
      <c r="AD315" s="1008" t="s">
        <v>670</v>
      </c>
      <c r="AE315" s="1008"/>
      <c r="AF315" s="1008" t="s">
        <v>670</v>
      </c>
      <c r="AG315" s="1008"/>
      <c r="AH315" s="1008"/>
      <c r="AI315" s="1008"/>
    </row>
    <row r="316" spans="1:35">
      <c r="A316" s="1008">
        <v>23796</v>
      </c>
      <c r="B316" s="1008">
        <v>4775</v>
      </c>
      <c r="C316" s="1008">
        <v>7</v>
      </c>
      <c r="D316" s="1009">
        <v>12529999</v>
      </c>
      <c r="E316" s="1009">
        <v>12520300</v>
      </c>
      <c r="F316" s="1007" t="s">
        <v>4638</v>
      </c>
      <c r="G316" s="1007">
        <v>7</v>
      </c>
      <c r="H316" s="1010">
        <v>99999999</v>
      </c>
      <c r="I316" s="1009">
        <v>12520300</v>
      </c>
      <c r="J316" s="1007" t="s">
        <v>4638</v>
      </c>
      <c r="O316" s="1007" t="s">
        <v>648</v>
      </c>
      <c r="P316" s="1007" t="s">
        <v>648</v>
      </c>
      <c r="S316" s="1008" t="s">
        <v>650</v>
      </c>
      <c r="T316" s="1008" t="s">
        <v>654</v>
      </c>
      <c r="U316" s="1008" t="s">
        <v>649</v>
      </c>
      <c r="V316" s="1008" t="s">
        <v>648</v>
      </c>
      <c r="W316" s="1008" t="s">
        <v>546</v>
      </c>
      <c r="X316" s="1008" t="s">
        <v>670</v>
      </c>
      <c r="Y316" s="1008" t="s">
        <v>670</v>
      </c>
      <c r="Z316" s="1008" t="s">
        <v>670</v>
      </c>
      <c r="AA316" s="1008" t="s">
        <v>670</v>
      </c>
      <c r="AB316" s="1008" t="s">
        <v>670</v>
      </c>
      <c r="AC316" s="1008" t="s">
        <v>670</v>
      </c>
      <c r="AD316" s="1008" t="s">
        <v>670</v>
      </c>
      <c r="AE316" s="1008"/>
      <c r="AF316" s="1008" t="s">
        <v>670</v>
      </c>
      <c r="AG316" s="1008"/>
      <c r="AH316" s="1008"/>
      <c r="AI316" s="1008"/>
    </row>
    <row r="317" spans="1:35">
      <c r="A317" s="1008">
        <v>23798</v>
      </c>
      <c r="C317" s="1008">
        <v>6</v>
      </c>
      <c r="D317" s="1009">
        <v>12599999</v>
      </c>
      <c r="E317" s="1009">
        <v>12529999</v>
      </c>
      <c r="F317" s="1007" t="s">
        <v>4637</v>
      </c>
      <c r="O317" s="1007" t="s">
        <v>648</v>
      </c>
      <c r="P317" s="1007" t="s">
        <v>648</v>
      </c>
      <c r="S317" s="1008" t="s">
        <v>650</v>
      </c>
      <c r="T317" s="1008" t="s">
        <v>21</v>
      </c>
      <c r="U317" s="1008" t="s">
        <v>649</v>
      </c>
      <c r="V317" s="1008" t="s">
        <v>648</v>
      </c>
      <c r="W317" s="1008" t="s">
        <v>546</v>
      </c>
      <c r="X317" s="1008"/>
      <c r="Y317" s="1008"/>
      <c r="Z317" s="1008"/>
      <c r="AA317" s="1008"/>
      <c r="AB317" s="1008"/>
      <c r="AC317" s="1008"/>
      <c r="AD317" s="1008"/>
      <c r="AE317" s="1008"/>
      <c r="AF317" s="1008"/>
      <c r="AG317" s="1008"/>
      <c r="AH317" s="1008"/>
      <c r="AI317" s="1008"/>
    </row>
    <row r="318" spans="1:35">
      <c r="A318" s="1008">
        <v>23799</v>
      </c>
      <c r="C318" s="1008">
        <v>5</v>
      </c>
      <c r="D318" s="1009">
        <v>12699999</v>
      </c>
      <c r="E318" s="1009">
        <v>12599999</v>
      </c>
      <c r="F318" s="1007" t="s">
        <v>4636</v>
      </c>
      <c r="O318" s="1007" t="s">
        <v>648</v>
      </c>
      <c r="P318" s="1007" t="s">
        <v>648</v>
      </c>
      <c r="S318" s="1008" t="s">
        <v>650</v>
      </c>
      <c r="T318" s="1008" t="s">
        <v>21</v>
      </c>
      <c r="U318" s="1008" t="s">
        <v>649</v>
      </c>
      <c r="V318" s="1008" t="s">
        <v>648</v>
      </c>
      <c r="W318" s="1008" t="s">
        <v>546</v>
      </c>
      <c r="X318" s="1008"/>
      <c r="Y318" s="1008"/>
      <c r="Z318" s="1008"/>
      <c r="AA318" s="1008"/>
      <c r="AB318" s="1008"/>
      <c r="AC318" s="1008"/>
      <c r="AD318" s="1008"/>
      <c r="AE318" s="1008"/>
      <c r="AF318" s="1008"/>
      <c r="AG318" s="1008"/>
      <c r="AH318" s="1008"/>
      <c r="AI318" s="1008"/>
    </row>
    <row r="319" spans="1:35">
      <c r="A319" s="1008">
        <v>23800</v>
      </c>
      <c r="C319" s="1008">
        <v>5</v>
      </c>
      <c r="D319" s="1009">
        <v>12699900</v>
      </c>
      <c r="E319" s="1009">
        <v>12600000</v>
      </c>
      <c r="F319" s="1007" t="s">
        <v>4635</v>
      </c>
      <c r="O319" s="1007" t="s">
        <v>648</v>
      </c>
      <c r="P319" s="1007" t="s">
        <v>648</v>
      </c>
      <c r="S319" s="1008" t="s">
        <v>650</v>
      </c>
      <c r="T319" s="1008" t="s">
        <v>675</v>
      </c>
      <c r="U319" s="1008" t="s">
        <v>649</v>
      </c>
      <c r="V319" s="1008" t="s">
        <v>648</v>
      </c>
      <c r="W319" s="1008" t="s">
        <v>546</v>
      </c>
      <c r="X319" s="1008"/>
      <c r="Y319" s="1008"/>
      <c r="Z319" s="1008"/>
      <c r="AA319" s="1008"/>
      <c r="AB319" s="1008"/>
      <c r="AC319" s="1008"/>
      <c r="AD319" s="1008"/>
      <c r="AE319" s="1008"/>
      <c r="AF319" s="1008"/>
      <c r="AG319" s="1008"/>
      <c r="AH319" s="1008"/>
      <c r="AI319" s="1008"/>
    </row>
    <row r="320" spans="1:35">
      <c r="A320" s="1008">
        <v>23801</v>
      </c>
      <c r="C320" s="1008">
        <v>6</v>
      </c>
      <c r="D320" s="1009">
        <v>12619999</v>
      </c>
      <c r="E320" s="1009">
        <v>12610000</v>
      </c>
      <c r="F320" s="1007" t="s">
        <v>4634</v>
      </c>
      <c r="O320" s="1007" t="s">
        <v>648</v>
      </c>
      <c r="P320" s="1007" t="s">
        <v>648</v>
      </c>
      <c r="S320" s="1008" t="s">
        <v>650</v>
      </c>
      <c r="T320" s="1008" t="s">
        <v>675</v>
      </c>
      <c r="U320" s="1008" t="s">
        <v>649</v>
      </c>
      <c r="V320" s="1008" t="s">
        <v>648</v>
      </c>
      <c r="W320" s="1008" t="s">
        <v>546</v>
      </c>
      <c r="X320" s="1008"/>
      <c r="Y320" s="1008"/>
      <c r="Z320" s="1008"/>
      <c r="AA320" s="1008"/>
      <c r="AB320" s="1008"/>
      <c r="AC320" s="1008"/>
      <c r="AD320" s="1008"/>
      <c r="AE320" s="1008"/>
      <c r="AF320" s="1008"/>
      <c r="AG320" s="1008"/>
      <c r="AH320" s="1008"/>
      <c r="AI320" s="1008"/>
    </row>
    <row r="321" spans="1:35">
      <c r="A321" s="1008">
        <v>23802</v>
      </c>
      <c r="B321" s="1008">
        <v>1470</v>
      </c>
      <c r="C321" s="1008">
        <v>7</v>
      </c>
      <c r="D321" s="1009">
        <v>12619999</v>
      </c>
      <c r="E321" s="1009">
        <v>12610700</v>
      </c>
      <c r="F321" s="1007" t="s">
        <v>4633</v>
      </c>
      <c r="G321" s="1007">
        <v>7</v>
      </c>
      <c r="H321" s="1010">
        <v>99999999</v>
      </c>
      <c r="I321" s="1009">
        <v>12610700</v>
      </c>
      <c r="J321" s="1007" t="s">
        <v>4633</v>
      </c>
      <c r="O321" s="1007" t="s">
        <v>648</v>
      </c>
      <c r="P321" s="1007" t="s">
        <v>648</v>
      </c>
      <c r="S321" s="1008" t="s">
        <v>650</v>
      </c>
      <c r="T321" s="1008" t="s">
        <v>654</v>
      </c>
      <c r="U321" s="1008" t="s">
        <v>649</v>
      </c>
      <c r="V321" s="1008" t="s">
        <v>648</v>
      </c>
      <c r="W321" s="1008" t="s">
        <v>546</v>
      </c>
      <c r="X321" s="1008" t="s">
        <v>670</v>
      </c>
      <c r="Y321" s="1008" t="s">
        <v>670</v>
      </c>
      <c r="Z321" s="1008" t="s">
        <v>670</v>
      </c>
      <c r="AA321" s="1008" t="s">
        <v>670</v>
      </c>
      <c r="AB321" s="1008" t="s">
        <v>670</v>
      </c>
      <c r="AC321" s="1008" t="s">
        <v>670</v>
      </c>
      <c r="AD321" s="1008" t="s">
        <v>670</v>
      </c>
      <c r="AE321" s="1008"/>
      <c r="AF321" s="1008" t="s">
        <v>670</v>
      </c>
      <c r="AG321" s="1008"/>
      <c r="AH321" s="1008"/>
      <c r="AI321" s="1008"/>
    </row>
    <row r="322" spans="1:35">
      <c r="A322" s="1008">
        <v>23803</v>
      </c>
      <c r="B322" s="1008">
        <v>1471</v>
      </c>
      <c r="C322" s="1008">
        <v>7</v>
      </c>
      <c r="D322" s="1009">
        <v>12619999</v>
      </c>
      <c r="E322" s="1009">
        <v>12610710</v>
      </c>
      <c r="F322" s="1007" t="s">
        <v>4632</v>
      </c>
      <c r="G322" s="1007">
        <v>7</v>
      </c>
      <c r="H322" s="1010">
        <v>99999999</v>
      </c>
      <c r="I322" s="1009">
        <v>12610710</v>
      </c>
      <c r="J322" s="1007" t="s">
        <v>4632</v>
      </c>
      <c r="O322" s="1007" t="s">
        <v>648</v>
      </c>
      <c r="P322" s="1007" t="s">
        <v>648</v>
      </c>
      <c r="S322" s="1008" t="s">
        <v>650</v>
      </c>
      <c r="T322" s="1008" t="s">
        <v>654</v>
      </c>
      <c r="U322" s="1008" t="s">
        <v>649</v>
      </c>
      <c r="V322" s="1008" t="s">
        <v>648</v>
      </c>
      <c r="W322" s="1008" t="s">
        <v>546</v>
      </c>
      <c r="X322" s="1008" t="s">
        <v>670</v>
      </c>
      <c r="Y322" s="1008" t="s">
        <v>670</v>
      </c>
      <c r="Z322" s="1008" t="s">
        <v>670</v>
      </c>
      <c r="AA322" s="1008" t="s">
        <v>670</v>
      </c>
      <c r="AB322" s="1008" t="s">
        <v>670</v>
      </c>
      <c r="AC322" s="1008" t="s">
        <v>670</v>
      </c>
      <c r="AD322" s="1008" t="s">
        <v>670</v>
      </c>
      <c r="AE322" s="1008"/>
      <c r="AF322" s="1008" t="s">
        <v>670</v>
      </c>
      <c r="AG322" s="1008"/>
      <c r="AH322" s="1008"/>
      <c r="AI322" s="1008"/>
    </row>
    <row r="323" spans="1:35">
      <c r="A323" s="1008">
        <v>23804</v>
      </c>
      <c r="B323" s="1008">
        <v>741</v>
      </c>
      <c r="C323" s="1008">
        <v>7</v>
      </c>
      <c r="D323" s="1009">
        <v>12619999</v>
      </c>
      <c r="E323" s="1009">
        <v>12610720</v>
      </c>
      <c r="F323" s="1007" t="s">
        <v>4631</v>
      </c>
      <c r="G323" s="1007">
        <v>8</v>
      </c>
      <c r="H323" s="1010">
        <v>99999999</v>
      </c>
      <c r="I323" s="1009">
        <v>12610720</v>
      </c>
      <c r="J323" s="1007" t="s">
        <v>4631</v>
      </c>
      <c r="O323" s="1007" t="s">
        <v>648</v>
      </c>
      <c r="P323" s="1007" t="s">
        <v>648</v>
      </c>
      <c r="S323" s="1008" t="s">
        <v>650</v>
      </c>
      <c r="T323" s="1008" t="s">
        <v>654</v>
      </c>
      <c r="U323" s="1008" t="s">
        <v>649</v>
      </c>
      <c r="V323" s="1008" t="s">
        <v>648</v>
      </c>
      <c r="W323" s="1008" t="s">
        <v>546</v>
      </c>
      <c r="X323" s="1008" t="s">
        <v>670</v>
      </c>
      <c r="Y323" s="1008" t="s">
        <v>670</v>
      </c>
      <c r="Z323" s="1008" t="s">
        <v>670</v>
      </c>
      <c r="AA323" s="1008" t="s">
        <v>670</v>
      </c>
      <c r="AB323" s="1008" t="s">
        <v>670</v>
      </c>
      <c r="AC323" s="1008" t="s">
        <v>670</v>
      </c>
      <c r="AD323" s="1008" t="s">
        <v>670</v>
      </c>
      <c r="AE323" s="1008"/>
      <c r="AF323" s="1008" t="s">
        <v>670</v>
      </c>
      <c r="AG323" s="1008"/>
      <c r="AH323" s="1008"/>
      <c r="AI323" s="1008"/>
    </row>
    <row r="324" spans="1:35">
      <c r="A324" s="1008">
        <v>23805</v>
      </c>
      <c r="B324" s="1008">
        <v>1473</v>
      </c>
      <c r="C324" s="1008">
        <v>7</v>
      </c>
      <c r="D324" s="1009">
        <v>12619999</v>
      </c>
      <c r="E324" s="1009">
        <v>12610730</v>
      </c>
      <c r="F324" s="1007" t="s">
        <v>4630</v>
      </c>
      <c r="G324" s="1007">
        <v>7</v>
      </c>
      <c r="H324" s="1010">
        <v>99999999</v>
      </c>
      <c r="I324" s="1009">
        <v>12610730</v>
      </c>
      <c r="J324" s="1007" t="s">
        <v>4630</v>
      </c>
      <c r="O324" s="1007" t="s">
        <v>648</v>
      </c>
      <c r="P324" s="1007" t="s">
        <v>648</v>
      </c>
      <c r="S324" s="1008" t="s">
        <v>650</v>
      </c>
      <c r="T324" s="1008" t="s">
        <v>654</v>
      </c>
      <c r="U324" s="1008" t="s">
        <v>649</v>
      </c>
      <c r="V324" s="1008" t="s">
        <v>648</v>
      </c>
      <c r="W324" s="1008" t="s">
        <v>546</v>
      </c>
      <c r="X324" s="1008" t="s">
        <v>670</v>
      </c>
      <c r="Y324" s="1008" t="s">
        <v>670</v>
      </c>
      <c r="Z324" s="1008" t="s">
        <v>670</v>
      </c>
      <c r="AA324" s="1008" t="s">
        <v>670</v>
      </c>
      <c r="AB324" s="1008" t="s">
        <v>670</v>
      </c>
      <c r="AC324" s="1008" t="s">
        <v>670</v>
      </c>
      <c r="AD324" s="1008" t="s">
        <v>670</v>
      </c>
      <c r="AE324" s="1008"/>
      <c r="AF324" s="1008" t="s">
        <v>670</v>
      </c>
      <c r="AG324" s="1008"/>
      <c r="AH324" s="1008"/>
      <c r="AI324" s="1008"/>
    </row>
    <row r="325" spans="1:35">
      <c r="A325" s="1008">
        <v>23806</v>
      </c>
      <c r="B325" s="1008">
        <v>1474</v>
      </c>
      <c r="C325" s="1008">
        <v>7</v>
      </c>
      <c r="D325" s="1009">
        <v>12619999</v>
      </c>
      <c r="E325" s="1009">
        <v>12610740</v>
      </c>
      <c r="F325" s="1007" t="s">
        <v>4629</v>
      </c>
      <c r="G325" s="1007">
        <v>7</v>
      </c>
      <c r="H325" s="1010">
        <v>99999999</v>
      </c>
      <c r="I325" s="1009">
        <v>12610740</v>
      </c>
      <c r="J325" s="1007" t="s">
        <v>4629</v>
      </c>
      <c r="O325" s="1007" t="s">
        <v>648</v>
      </c>
      <c r="P325" s="1007" t="s">
        <v>648</v>
      </c>
      <c r="S325" s="1008" t="s">
        <v>650</v>
      </c>
      <c r="T325" s="1008" t="s">
        <v>654</v>
      </c>
      <c r="U325" s="1008" t="s">
        <v>649</v>
      </c>
      <c r="V325" s="1008" t="s">
        <v>648</v>
      </c>
      <c r="W325" s="1008" t="s">
        <v>546</v>
      </c>
      <c r="X325" s="1008" t="s">
        <v>670</v>
      </c>
      <c r="Y325" s="1008" t="s">
        <v>670</v>
      </c>
      <c r="Z325" s="1008" t="s">
        <v>670</v>
      </c>
      <c r="AA325" s="1008" t="s">
        <v>670</v>
      </c>
      <c r="AB325" s="1008" t="s">
        <v>670</v>
      </c>
      <c r="AC325" s="1008" t="s">
        <v>670</v>
      </c>
      <c r="AD325" s="1008" t="s">
        <v>670</v>
      </c>
      <c r="AE325" s="1008"/>
      <c r="AF325" s="1008" t="s">
        <v>670</v>
      </c>
      <c r="AG325" s="1008"/>
      <c r="AH325" s="1008"/>
      <c r="AI325" s="1008"/>
    </row>
    <row r="326" spans="1:35">
      <c r="A326" s="1008">
        <v>23807</v>
      </c>
      <c r="B326" s="1008">
        <v>740</v>
      </c>
      <c r="C326" s="1008">
        <v>7</v>
      </c>
      <c r="D326" s="1009">
        <v>12619999</v>
      </c>
      <c r="E326" s="1009">
        <v>12610750</v>
      </c>
      <c r="F326" s="1007" t="s">
        <v>4628</v>
      </c>
      <c r="G326" s="1007">
        <v>8</v>
      </c>
      <c r="H326" s="1010">
        <v>99999999</v>
      </c>
      <c r="I326" s="1009">
        <v>12610750</v>
      </c>
      <c r="J326" s="1007" t="s">
        <v>4628</v>
      </c>
      <c r="O326" s="1007" t="s">
        <v>648</v>
      </c>
      <c r="P326" s="1007" t="s">
        <v>648</v>
      </c>
      <c r="S326" s="1008" t="s">
        <v>650</v>
      </c>
      <c r="T326" s="1008" t="s">
        <v>654</v>
      </c>
      <c r="U326" s="1008" t="s">
        <v>649</v>
      </c>
      <c r="V326" s="1008" t="s">
        <v>648</v>
      </c>
      <c r="W326" s="1008" t="s">
        <v>546</v>
      </c>
      <c r="X326" s="1008" t="s">
        <v>670</v>
      </c>
      <c r="Y326" s="1008" t="s">
        <v>670</v>
      </c>
      <c r="Z326" s="1008" t="s">
        <v>670</v>
      </c>
      <c r="AA326" s="1008" t="s">
        <v>670</v>
      </c>
      <c r="AB326" s="1008" t="s">
        <v>670</v>
      </c>
      <c r="AC326" s="1008" t="s">
        <v>670</v>
      </c>
      <c r="AD326" s="1008" t="s">
        <v>670</v>
      </c>
      <c r="AE326" s="1008"/>
      <c r="AF326" s="1008" t="s">
        <v>670</v>
      </c>
      <c r="AG326" s="1008"/>
      <c r="AH326" s="1008"/>
      <c r="AI326" s="1008"/>
    </row>
    <row r="327" spans="1:35">
      <c r="A327" s="1008">
        <v>23808</v>
      </c>
      <c r="B327" s="1008">
        <v>739</v>
      </c>
      <c r="C327" s="1008">
        <v>7</v>
      </c>
      <c r="D327" s="1009">
        <v>12619999</v>
      </c>
      <c r="E327" s="1009">
        <v>12610760</v>
      </c>
      <c r="F327" s="1007" t="s">
        <v>4627</v>
      </c>
      <c r="G327" s="1007">
        <v>8</v>
      </c>
      <c r="H327" s="1010">
        <v>99999999</v>
      </c>
      <c r="I327" s="1009">
        <v>12610760</v>
      </c>
      <c r="J327" s="1007" t="s">
        <v>4627</v>
      </c>
      <c r="O327" s="1007" t="s">
        <v>648</v>
      </c>
      <c r="P327" s="1007" t="s">
        <v>648</v>
      </c>
      <c r="S327" s="1008" t="s">
        <v>650</v>
      </c>
      <c r="T327" s="1008" t="s">
        <v>654</v>
      </c>
      <c r="U327" s="1008" t="s">
        <v>649</v>
      </c>
      <c r="V327" s="1008" t="s">
        <v>648</v>
      </c>
      <c r="W327" s="1008" t="s">
        <v>546</v>
      </c>
      <c r="X327" s="1008" t="s">
        <v>670</v>
      </c>
      <c r="Y327" s="1008" t="s">
        <v>670</v>
      </c>
      <c r="Z327" s="1008" t="s">
        <v>670</v>
      </c>
      <c r="AA327" s="1008" t="s">
        <v>670</v>
      </c>
      <c r="AB327" s="1008" t="s">
        <v>670</v>
      </c>
      <c r="AC327" s="1008" t="s">
        <v>670</v>
      </c>
      <c r="AD327" s="1008" t="s">
        <v>670</v>
      </c>
      <c r="AE327" s="1008"/>
      <c r="AF327" s="1008" t="s">
        <v>670</v>
      </c>
      <c r="AG327" s="1008"/>
      <c r="AH327" s="1008"/>
      <c r="AI327" s="1008"/>
    </row>
    <row r="328" spans="1:35">
      <c r="A328" s="1008">
        <v>23809</v>
      </c>
      <c r="B328" s="1008">
        <v>4779</v>
      </c>
      <c r="C328" s="1008">
        <v>7</v>
      </c>
      <c r="D328" s="1009">
        <v>12619999</v>
      </c>
      <c r="E328" s="1009">
        <v>12610780</v>
      </c>
      <c r="F328" s="1007" t="s">
        <v>4626</v>
      </c>
      <c r="G328" s="1007">
        <v>7</v>
      </c>
      <c r="H328" s="1010">
        <v>99999999</v>
      </c>
      <c r="I328" s="1009">
        <v>12610780</v>
      </c>
      <c r="J328" s="1007" t="s">
        <v>4626</v>
      </c>
      <c r="O328" s="1007" t="s">
        <v>648</v>
      </c>
      <c r="P328" s="1007" t="s">
        <v>648</v>
      </c>
      <c r="S328" s="1008" t="s">
        <v>650</v>
      </c>
      <c r="T328" s="1008" t="s">
        <v>654</v>
      </c>
      <c r="U328" s="1008" t="s">
        <v>649</v>
      </c>
      <c r="V328" s="1008" t="s">
        <v>648</v>
      </c>
      <c r="W328" s="1008" t="s">
        <v>546</v>
      </c>
      <c r="X328" s="1008" t="s">
        <v>670</v>
      </c>
      <c r="Y328" s="1008" t="s">
        <v>670</v>
      </c>
      <c r="Z328" s="1008" t="s">
        <v>670</v>
      </c>
      <c r="AA328" s="1008" t="s">
        <v>670</v>
      </c>
      <c r="AB328" s="1008" t="s">
        <v>670</v>
      </c>
      <c r="AC328" s="1008" t="s">
        <v>670</v>
      </c>
      <c r="AD328" s="1008" t="s">
        <v>670</v>
      </c>
      <c r="AE328" s="1008"/>
      <c r="AF328" s="1008" t="s">
        <v>670</v>
      </c>
      <c r="AG328" s="1008"/>
      <c r="AH328" s="1008"/>
      <c r="AI328" s="1008"/>
    </row>
    <row r="329" spans="1:35">
      <c r="A329" s="1008">
        <v>23810</v>
      </c>
      <c r="C329" s="1008">
        <v>6</v>
      </c>
      <c r="D329" s="1009">
        <v>12699900</v>
      </c>
      <c r="E329" s="1009">
        <v>12619999</v>
      </c>
      <c r="F329" s="1007" t="s">
        <v>4625</v>
      </c>
      <c r="O329" s="1007" t="s">
        <v>648</v>
      </c>
      <c r="P329" s="1007" t="s">
        <v>648</v>
      </c>
      <c r="S329" s="1008" t="s">
        <v>650</v>
      </c>
      <c r="T329" s="1008" t="s">
        <v>21</v>
      </c>
      <c r="U329" s="1008" t="s">
        <v>649</v>
      </c>
      <c r="V329" s="1008" t="s">
        <v>648</v>
      </c>
      <c r="W329" s="1008" t="s">
        <v>546</v>
      </c>
      <c r="X329" s="1008"/>
      <c r="Y329" s="1008"/>
      <c r="Z329" s="1008"/>
      <c r="AA329" s="1008"/>
      <c r="AB329" s="1008"/>
      <c r="AC329" s="1008"/>
      <c r="AD329" s="1008"/>
      <c r="AE329" s="1008"/>
      <c r="AF329" s="1008"/>
      <c r="AG329" s="1008"/>
      <c r="AH329" s="1008"/>
      <c r="AI329" s="1008"/>
    </row>
    <row r="330" spans="1:35">
      <c r="A330" s="1008">
        <v>23811</v>
      </c>
      <c r="C330" s="1008">
        <v>6</v>
      </c>
      <c r="D330" s="1009">
        <v>12629999</v>
      </c>
      <c r="E330" s="1009">
        <v>12620000</v>
      </c>
      <c r="F330" s="1007" t="s">
        <v>4624</v>
      </c>
      <c r="O330" s="1007" t="s">
        <v>648</v>
      </c>
      <c r="P330" s="1007" t="s">
        <v>648</v>
      </c>
      <c r="S330" s="1008" t="s">
        <v>650</v>
      </c>
      <c r="T330" s="1008" t="s">
        <v>675</v>
      </c>
      <c r="U330" s="1008" t="s">
        <v>649</v>
      </c>
      <c r="V330" s="1008" t="s">
        <v>648</v>
      </c>
      <c r="W330" s="1008" t="s">
        <v>546</v>
      </c>
      <c r="X330" s="1008"/>
      <c r="Y330" s="1008"/>
      <c r="Z330" s="1008"/>
      <c r="AA330" s="1008"/>
      <c r="AB330" s="1008"/>
      <c r="AC330" s="1008"/>
      <c r="AD330" s="1008"/>
      <c r="AE330" s="1008"/>
      <c r="AF330" s="1008"/>
      <c r="AG330" s="1008"/>
      <c r="AH330" s="1008"/>
      <c r="AI330" s="1008"/>
    </row>
    <row r="331" spans="1:35">
      <c r="A331" s="1008">
        <v>23812</v>
      </c>
      <c r="B331" s="1008">
        <v>1478</v>
      </c>
      <c r="C331" s="1008">
        <v>7</v>
      </c>
      <c r="D331" s="1009">
        <v>12629999</v>
      </c>
      <c r="E331" s="1009">
        <v>12620700</v>
      </c>
      <c r="F331" s="1007" t="s">
        <v>4623</v>
      </c>
      <c r="G331" s="1007">
        <v>7</v>
      </c>
      <c r="H331" s="1010">
        <v>99999999</v>
      </c>
      <c r="I331" s="1009">
        <v>12620700</v>
      </c>
      <c r="J331" s="1007" t="s">
        <v>4623</v>
      </c>
      <c r="O331" s="1007" t="s">
        <v>648</v>
      </c>
      <c r="P331" s="1007" t="s">
        <v>648</v>
      </c>
      <c r="S331" s="1008" t="s">
        <v>650</v>
      </c>
      <c r="T331" s="1008" t="s">
        <v>654</v>
      </c>
      <c r="U331" s="1008" t="s">
        <v>649</v>
      </c>
      <c r="V331" s="1008" t="s">
        <v>648</v>
      </c>
      <c r="W331" s="1008" t="s">
        <v>546</v>
      </c>
      <c r="X331" s="1008" t="s">
        <v>670</v>
      </c>
      <c r="Y331" s="1008"/>
      <c r="Z331" s="1008"/>
      <c r="AA331" s="1008" t="s">
        <v>670</v>
      </c>
      <c r="AB331" s="1008"/>
      <c r="AC331" s="1008"/>
      <c r="AD331" s="1008"/>
      <c r="AE331" s="1008"/>
      <c r="AF331" s="1008"/>
      <c r="AG331" s="1008"/>
      <c r="AH331" s="1008"/>
      <c r="AI331" s="1008"/>
    </row>
    <row r="332" spans="1:35">
      <c r="A332" s="1008">
        <v>27584</v>
      </c>
      <c r="B332" s="1008">
        <v>6433</v>
      </c>
      <c r="C332" s="1008">
        <v>7</v>
      </c>
      <c r="D332" s="1009">
        <v>12629999</v>
      </c>
      <c r="E332" s="1009">
        <v>12620705</v>
      </c>
      <c r="F332" s="1007" t="s">
        <v>4622</v>
      </c>
      <c r="G332" s="1007">
        <v>7</v>
      </c>
      <c r="H332" s="1010">
        <v>99999999</v>
      </c>
      <c r="I332" s="1009">
        <v>12620705</v>
      </c>
      <c r="J332" s="1007" t="s">
        <v>4622</v>
      </c>
      <c r="O332" s="1007" t="s">
        <v>648</v>
      </c>
      <c r="P332" s="1007" t="s">
        <v>648</v>
      </c>
      <c r="S332" s="1008" t="s">
        <v>650</v>
      </c>
      <c r="T332" s="1008" t="s">
        <v>654</v>
      </c>
      <c r="U332" s="1008" t="s">
        <v>649</v>
      </c>
      <c r="V332" s="1008" t="s">
        <v>648</v>
      </c>
      <c r="W332" s="1008" t="s">
        <v>546</v>
      </c>
      <c r="X332" s="1008" t="s">
        <v>670</v>
      </c>
      <c r="Y332" s="1008"/>
      <c r="Z332" s="1008"/>
      <c r="AA332" s="1008" t="s">
        <v>670</v>
      </c>
      <c r="AB332" s="1008"/>
      <c r="AC332" s="1008"/>
      <c r="AD332" s="1008"/>
      <c r="AE332" s="1008"/>
      <c r="AF332" s="1008"/>
      <c r="AG332" s="1008"/>
      <c r="AH332" s="1008"/>
      <c r="AI332" s="1008"/>
    </row>
    <row r="333" spans="1:35">
      <c r="A333" s="1008">
        <v>26532</v>
      </c>
      <c r="B333" s="1008">
        <v>5799</v>
      </c>
      <c r="C333" s="1008">
        <v>7</v>
      </c>
      <c r="D333" s="1009">
        <v>12629999</v>
      </c>
      <c r="E333" s="1009">
        <v>12620710</v>
      </c>
      <c r="F333" s="1007" t="s">
        <v>4621</v>
      </c>
      <c r="G333" s="1007" t="s">
        <v>648</v>
      </c>
      <c r="H333" s="1010">
        <v>99999999</v>
      </c>
      <c r="I333" s="1009">
        <v>12620710</v>
      </c>
      <c r="J333" s="1007" t="s">
        <v>4621</v>
      </c>
      <c r="O333" s="1007" t="s">
        <v>648</v>
      </c>
      <c r="P333" s="1007" t="s">
        <v>648</v>
      </c>
      <c r="S333" s="1008" t="s">
        <v>650</v>
      </c>
      <c r="T333" s="1008" t="s">
        <v>654</v>
      </c>
      <c r="U333" s="1008" t="s">
        <v>649</v>
      </c>
      <c r="V333" s="1008" t="s">
        <v>648</v>
      </c>
      <c r="W333" s="1008" t="s">
        <v>546</v>
      </c>
      <c r="X333" s="1008" t="s">
        <v>670</v>
      </c>
      <c r="Y333" s="1008"/>
      <c r="Z333" s="1008"/>
      <c r="AA333" s="1008" t="s">
        <v>670</v>
      </c>
      <c r="AB333" s="1008"/>
      <c r="AC333" s="1008"/>
      <c r="AD333" s="1008"/>
      <c r="AE333" s="1008"/>
      <c r="AF333" s="1008"/>
      <c r="AG333" s="1008"/>
      <c r="AH333" s="1008"/>
      <c r="AI333" s="1008"/>
    </row>
    <row r="334" spans="1:35">
      <c r="A334" s="1008">
        <v>26533</v>
      </c>
      <c r="B334" s="1008">
        <v>5800</v>
      </c>
      <c r="C334" s="1008">
        <v>7</v>
      </c>
      <c r="D334" s="1009">
        <v>12629999</v>
      </c>
      <c r="E334" s="1009">
        <v>12620720</v>
      </c>
      <c r="F334" s="1007" t="s">
        <v>4620</v>
      </c>
      <c r="G334" s="1007" t="s">
        <v>648</v>
      </c>
      <c r="H334" s="1010">
        <v>99999999</v>
      </c>
      <c r="I334" s="1009">
        <v>12620720</v>
      </c>
      <c r="J334" s="1007" t="s">
        <v>4620</v>
      </c>
      <c r="O334" s="1007" t="s">
        <v>648</v>
      </c>
      <c r="P334" s="1007" t="s">
        <v>648</v>
      </c>
      <c r="S334" s="1008" t="s">
        <v>650</v>
      </c>
      <c r="T334" s="1008" t="s">
        <v>654</v>
      </c>
      <c r="U334" s="1008" t="s">
        <v>649</v>
      </c>
      <c r="V334" s="1008" t="s">
        <v>648</v>
      </c>
      <c r="W334" s="1008" t="s">
        <v>546</v>
      </c>
      <c r="X334" s="1008" t="s">
        <v>670</v>
      </c>
      <c r="Y334" s="1008"/>
      <c r="Z334" s="1008"/>
      <c r="AA334" s="1008" t="s">
        <v>670</v>
      </c>
      <c r="AB334" s="1008"/>
      <c r="AC334" s="1008"/>
      <c r="AD334" s="1008"/>
      <c r="AE334" s="1008"/>
      <c r="AF334" s="1008"/>
      <c r="AG334" s="1008"/>
      <c r="AH334" s="1008"/>
      <c r="AI334" s="1008"/>
    </row>
    <row r="335" spans="1:35">
      <c r="A335" s="1008">
        <v>26534</v>
      </c>
      <c r="B335" s="1008">
        <v>5801</v>
      </c>
      <c r="C335" s="1008">
        <v>7</v>
      </c>
      <c r="D335" s="1009">
        <v>12629999</v>
      </c>
      <c r="E335" s="1009">
        <v>12620730</v>
      </c>
      <c r="F335" s="1007" t="s">
        <v>4619</v>
      </c>
      <c r="G335" s="1007" t="s">
        <v>648</v>
      </c>
      <c r="H335" s="1010">
        <v>99999999</v>
      </c>
      <c r="I335" s="1009">
        <v>12620730</v>
      </c>
      <c r="J335" s="1007" t="s">
        <v>4619</v>
      </c>
      <c r="O335" s="1007" t="s">
        <v>648</v>
      </c>
      <c r="P335" s="1007" t="s">
        <v>648</v>
      </c>
      <c r="S335" s="1008" t="s">
        <v>650</v>
      </c>
      <c r="T335" s="1008" t="s">
        <v>654</v>
      </c>
      <c r="U335" s="1008" t="s">
        <v>649</v>
      </c>
      <c r="V335" s="1008" t="s">
        <v>648</v>
      </c>
      <c r="W335" s="1008" t="s">
        <v>546</v>
      </c>
      <c r="X335" s="1008" t="s">
        <v>670</v>
      </c>
      <c r="Y335" s="1008"/>
      <c r="Z335" s="1008"/>
      <c r="AA335" s="1008" t="s">
        <v>670</v>
      </c>
      <c r="AB335" s="1008"/>
      <c r="AC335" s="1008"/>
      <c r="AD335" s="1008"/>
      <c r="AE335" s="1008"/>
      <c r="AF335" s="1008"/>
      <c r="AG335" s="1008"/>
      <c r="AH335" s="1008"/>
      <c r="AI335" s="1008"/>
    </row>
    <row r="336" spans="1:35">
      <c r="A336" s="1008">
        <v>23813</v>
      </c>
      <c r="B336" s="1008">
        <v>1479</v>
      </c>
      <c r="C336" s="1008">
        <v>7</v>
      </c>
      <c r="D336" s="1009">
        <v>12629999</v>
      </c>
      <c r="E336" s="1009">
        <v>12620740</v>
      </c>
      <c r="F336" s="1007" t="s">
        <v>4618</v>
      </c>
      <c r="G336" s="1007">
        <v>7</v>
      </c>
      <c r="H336" s="1010">
        <v>99999999</v>
      </c>
      <c r="I336" s="1009">
        <v>12620740</v>
      </c>
      <c r="J336" s="1007" t="s">
        <v>4618</v>
      </c>
      <c r="O336" s="1007" t="s">
        <v>648</v>
      </c>
      <c r="P336" s="1007" t="s">
        <v>648</v>
      </c>
      <c r="S336" s="1008" t="s">
        <v>650</v>
      </c>
      <c r="T336" s="1008" t="s">
        <v>654</v>
      </c>
      <c r="U336" s="1008" t="s">
        <v>649</v>
      </c>
      <c r="V336" s="1008" t="s">
        <v>648</v>
      </c>
      <c r="W336" s="1008" t="s">
        <v>546</v>
      </c>
      <c r="X336" s="1008" t="s">
        <v>670</v>
      </c>
      <c r="Y336" s="1008"/>
      <c r="Z336" s="1008"/>
      <c r="AA336" s="1008" t="s">
        <v>670</v>
      </c>
      <c r="AB336" s="1008"/>
      <c r="AC336" s="1008"/>
      <c r="AD336" s="1008"/>
      <c r="AE336" s="1008"/>
      <c r="AF336" s="1008"/>
      <c r="AG336" s="1008"/>
      <c r="AH336" s="1008"/>
      <c r="AI336" s="1008"/>
    </row>
    <row r="337" spans="1:35">
      <c r="A337" s="1008">
        <v>23814</v>
      </c>
      <c r="B337" s="1008">
        <v>1480</v>
      </c>
      <c r="C337" s="1008">
        <v>7</v>
      </c>
      <c r="D337" s="1009">
        <v>12629999</v>
      </c>
      <c r="E337" s="1009">
        <v>12620750</v>
      </c>
      <c r="F337" s="1007" t="s">
        <v>4617</v>
      </c>
      <c r="G337" s="1007">
        <v>7</v>
      </c>
      <c r="H337" s="1010">
        <v>99999999</v>
      </c>
      <c r="I337" s="1009">
        <v>12620750</v>
      </c>
      <c r="J337" s="1007" t="s">
        <v>4617</v>
      </c>
      <c r="O337" s="1007" t="s">
        <v>648</v>
      </c>
      <c r="P337" s="1007" t="s">
        <v>648</v>
      </c>
      <c r="S337" s="1008" t="s">
        <v>650</v>
      </c>
      <c r="T337" s="1008" t="s">
        <v>654</v>
      </c>
      <c r="U337" s="1008" t="s">
        <v>649</v>
      </c>
      <c r="V337" s="1008" t="s">
        <v>648</v>
      </c>
      <c r="W337" s="1008" t="s">
        <v>546</v>
      </c>
      <c r="X337" s="1008" t="s">
        <v>670</v>
      </c>
      <c r="Y337" s="1008"/>
      <c r="Z337" s="1008"/>
      <c r="AA337" s="1008" t="s">
        <v>670</v>
      </c>
      <c r="AB337" s="1008"/>
      <c r="AC337" s="1008"/>
      <c r="AD337" s="1008"/>
      <c r="AE337" s="1008"/>
      <c r="AF337" s="1008"/>
      <c r="AG337" s="1008"/>
      <c r="AH337" s="1008"/>
      <c r="AI337" s="1008"/>
    </row>
    <row r="338" spans="1:35">
      <c r="A338" s="1008">
        <v>23815</v>
      </c>
      <c r="B338" s="1008">
        <v>4781</v>
      </c>
      <c r="C338" s="1008">
        <v>7</v>
      </c>
      <c r="D338" s="1009">
        <v>12629999</v>
      </c>
      <c r="E338" s="1009">
        <v>12620760</v>
      </c>
      <c r="F338" s="1007" t="s">
        <v>4616</v>
      </c>
      <c r="G338" s="1007">
        <v>7</v>
      </c>
      <c r="H338" s="1010">
        <v>99999999</v>
      </c>
      <c r="I338" s="1009">
        <v>12620760</v>
      </c>
      <c r="J338" s="1007" t="s">
        <v>4616</v>
      </c>
      <c r="O338" s="1007" t="s">
        <v>648</v>
      </c>
      <c r="P338" s="1007" t="s">
        <v>648</v>
      </c>
      <c r="S338" s="1008" t="s">
        <v>650</v>
      </c>
      <c r="T338" s="1008" t="s">
        <v>654</v>
      </c>
      <c r="U338" s="1008" t="s">
        <v>649</v>
      </c>
      <c r="V338" s="1008" t="s">
        <v>648</v>
      </c>
      <c r="W338" s="1008" t="s">
        <v>546</v>
      </c>
      <c r="X338" s="1008" t="s">
        <v>670</v>
      </c>
      <c r="Y338" s="1008"/>
      <c r="Z338" s="1008"/>
      <c r="AA338" s="1008" t="s">
        <v>670</v>
      </c>
      <c r="AB338" s="1008"/>
      <c r="AC338" s="1008"/>
      <c r="AD338" s="1008"/>
      <c r="AE338" s="1008"/>
      <c r="AF338" s="1008"/>
      <c r="AG338" s="1008"/>
      <c r="AH338" s="1008"/>
      <c r="AI338" s="1008"/>
    </row>
    <row r="339" spans="1:35">
      <c r="A339" s="1008">
        <v>23816</v>
      </c>
      <c r="C339" s="1008">
        <v>6</v>
      </c>
      <c r="D339" s="1009">
        <v>12699900</v>
      </c>
      <c r="E339" s="1009">
        <v>12629999</v>
      </c>
      <c r="F339" s="1007" t="s">
        <v>4615</v>
      </c>
      <c r="O339" s="1007" t="s">
        <v>648</v>
      </c>
      <c r="P339" s="1007" t="s">
        <v>648</v>
      </c>
      <c r="S339" s="1008" t="s">
        <v>650</v>
      </c>
      <c r="T339" s="1008" t="s">
        <v>21</v>
      </c>
      <c r="U339" s="1008" t="s">
        <v>649</v>
      </c>
      <c r="V339" s="1008" t="s">
        <v>648</v>
      </c>
      <c r="W339" s="1008" t="s">
        <v>546</v>
      </c>
      <c r="X339" s="1008"/>
      <c r="Y339" s="1008"/>
      <c r="Z339" s="1008"/>
      <c r="AA339" s="1008"/>
      <c r="AB339" s="1008"/>
      <c r="AC339" s="1008"/>
      <c r="AD339" s="1008"/>
      <c r="AE339" s="1008"/>
      <c r="AF339" s="1008"/>
      <c r="AG339" s="1008"/>
      <c r="AH339" s="1008"/>
      <c r="AI339" s="1008"/>
    </row>
    <row r="340" spans="1:35">
      <c r="A340" s="1008">
        <v>23817</v>
      </c>
      <c r="C340" s="1008">
        <v>5</v>
      </c>
      <c r="D340" s="1009">
        <v>12699999</v>
      </c>
      <c r="E340" s="1009">
        <v>12699900</v>
      </c>
      <c r="F340" s="1007" t="s">
        <v>4614</v>
      </c>
      <c r="O340" s="1007" t="s">
        <v>648</v>
      </c>
      <c r="P340" s="1007" t="s">
        <v>648</v>
      </c>
      <c r="S340" s="1008" t="s">
        <v>650</v>
      </c>
      <c r="T340" s="1008" t="s">
        <v>21</v>
      </c>
      <c r="U340" s="1008" t="s">
        <v>649</v>
      </c>
      <c r="V340" s="1008" t="s">
        <v>648</v>
      </c>
      <c r="W340" s="1008" t="s">
        <v>546</v>
      </c>
      <c r="X340" s="1008"/>
      <c r="Y340" s="1008"/>
      <c r="Z340" s="1008"/>
      <c r="AA340" s="1008"/>
      <c r="AB340" s="1008"/>
      <c r="AC340" s="1008"/>
      <c r="AD340" s="1008"/>
      <c r="AE340" s="1008"/>
      <c r="AF340" s="1008"/>
      <c r="AG340" s="1008"/>
      <c r="AH340" s="1008"/>
      <c r="AI340" s="1008"/>
    </row>
    <row r="341" spans="1:35">
      <c r="A341" s="1008">
        <v>23818</v>
      </c>
      <c r="C341" s="1008">
        <v>4</v>
      </c>
      <c r="D341" s="1009">
        <v>19999998</v>
      </c>
      <c r="E341" s="1009">
        <v>12699999</v>
      </c>
      <c r="F341" s="1007" t="s">
        <v>4613</v>
      </c>
      <c r="O341" s="1007" t="s">
        <v>648</v>
      </c>
      <c r="P341" s="1007" t="s">
        <v>648</v>
      </c>
      <c r="S341" s="1008" t="s">
        <v>650</v>
      </c>
      <c r="T341" s="1008" t="s">
        <v>21</v>
      </c>
      <c r="U341" s="1008" t="s">
        <v>649</v>
      </c>
      <c r="V341" s="1008" t="s">
        <v>648</v>
      </c>
      <c r="W341" s="1008" t="s">
        <v>546</v>
      </c>
      <c r="X341" s="1008"/>
      <c r="Y341" s="1008"/>
      <c r="Z341" s="1008"/>
      <c r="AA341" s="1008"/>
      <c r="AB341" s="1008"/>
      <c r="AC341" s="1008"/>
      <c r="AD341" s="1008"/>
      <c r="AE341" s="1008"/>
      <c r="AF341" s="1008"/>
      <c r="AG341" s="1008"/>
      <c r="AH341" s="1008"/>
      <c r="AI341" s="1008"/>
    </row>
    <row r="342" spans="1:35">
      <c r="A342" s="1008">
        <v>23819</v>
      </c>
      <c r="C342" s="1008">
        <v>4</v>
      </c>
      <c r="D342" s="1009">
        <v>13199999</v>
      </c>
      <c r="E342" s="1009">
        <v>13000000</v>
      </c>
      <c r="F342" s="1007" t="s">
        <v>4612</v>
      </c>
      <c r="O342" s="1007" t="s">
        <v>648</v>
      </c>
      <c r="P342" s="1007" t="s">
        <v>648</v>
      </c>
      <c r="S342" s="1008" t="s">
        <v>650</v>
      </c>
      <c r="T342" s="1008" t="s">
        <v>675</v>
      </c>
      <c r="U342" s="1008" t="s">
        <v>649</v>
      </c>
      <c r="V342" s="1008" t="s">
        <v>648</v>
      </c>
      <c r="W342" s="1008" t="s">
        <v>546</v>
      </c>
      <c r="X342" s="1008"/>
      <c r="Y342" s="1008"/>
      <c r="Z342" s="1008"/>
      <c r="AA342" s="1008"/>
      <c r="AB342" s="1008"/>
      <c r="AC342" s="1008"/>
      <c r="AD342" s="1008"/>
      <c r="AE342" s="1008"/>
      <c r="AF342" s="1008"/>
      <c r="AG342" s="1008"/>
      <c r="AH342" s="1008"/>
      <c r="AI342" s="1008"/>
    </row>
    <row r="343" spans="1:35">
      <c r="A343" s="1008">
        <v>23820</v>
      </c>
      <c r="C343" s="1008">
        <v>5</v>
      </c>
      <c r="D343" s="1009">
        <v>13099999</v>
      </c>
      <c r="E343" s="1009">
        <v>13001000</v>
      </c>
      <c r="F343" s="1007" t="s">
        <v>4611</v>
      </c>
      <c r="O343" s="1007" t="s">
        <v>648</v>
      </c>
      <c r="P343" s="1007" t="s">
        <v>648</v>
      </c>
      <c r="S343" s="1008" t="s">
        <v>650</v>
      </c>
      <c r="T343" s="1008" t="s">
        <v>675</v>
      </c>
      <c r="U343" s="1008" t="s">
        <v>649</v>
      </c>
      <c r="V343" s="1008" t="s">
        <v>648</v>
      </c>
      <c r="W343" s="1008" t="s">
        <v>546</v>
      </c>
      <c r="X343" s="1008"/>
      <c r="Y343" s="1008"/>
      <c r="Z343" s="1008"/>
      <c r="AA343" s="1008"/>
      <c r="AB343" s="1008"/>
      <c r="AC343" s="1008"/>
      <c r="AD343" s="1008"/>
      <c r="AE343" s="1008"/>
      <c r="AF343" s="1008"/>
      <c r="AG343" s="1008"/>
      <c r="AH343" s="1008"/>
      <c r="AI343" s="1008"/>
    </row>
    <row r="344" spans="1:35">
      <c r="A344" s="1008">
        <v>23821</v>
      </c>
      <c r="C344" s="1008">
        <v>6</v>
      </c>
      <c r="D344" s="1009">
        <v>13019999</v>
      </c>
      <c r="E344" s="1009">
        <v>13010000</v>
      </c>
      <c r="F344" s="1007" t="s">
        <v>4610</v>
      </c>
      <c r="O344" s="1007" t="s">
        <v>648</v>
      </c>
      <c r="P344" s="1007" t="s">
        <v>648</v>
      </c>
      <c r="S344" s="1008" t="s">
        <v>650</v>
      </c>
      <c r="T344" s="1008" t="s">
        <v>675</v>
      </c>
      <c r="U344" s="1008" t="s">
        <v>649</v>
      </c>
      <c r="V344" s="1008" t="s">
        <v>648</v>
      </c>
      <c r="W344" s="1008" t="s">
        <v>546</v>
      </c>
      <c r="X344" s="1008"/>
      <c r="Y344" s="1008"/>
      <c r="Z344" s="1008"/>
      <c r="AA344" s="1008"/>
      <c r="AB344" s="1008"/>
      <c r="AC344" s="1008"/>
      <c r="AD344" s="1008"/>
      <c r="AE344" s="1008"/>
      <c r="AF344" s="1008"/>
      <c r="AG344" s="1008"/>
      <c r="AH344" s="1008"/>
      <c r="AI344" s="1008"/>
    </row>
    <row r="345" spans="1:35">
      <c r="A345" s="1008">
        <v>23822</v>
      </c>
      <c r="B345" s="1008">
        <v>474</v>
      </c>
      <c r="C345" s="1008">
        <v>7</v>
      </c>
      <c r="D345" s="1009">
        <v>13019999</v>
      </c>
      <c r="E345" s="1009">
        <v>13010200</v>
      </c>
      <c r="F345" s="1007" t="s">
        <v>4609</v>
      </c>
      <c r="G345" s="1007">
        <v>8</v>
      </c>
      <c r="H345" s="1010">
        <v>99999999</v>
      </c>
      <c r="I345" s="1009">
        <v>13010200</v>
      </c>
      <c r="J345" s="1007" t="s">
        <v>4609</v>
      </c>
      <c r="O345" s="1007" t="s">
        <v>648</v>
      </c>
      <c r="P345" s="1007" t="s">
        <v>648</v>
      </c>
      <c r="S345" s="1008" t="s">
        <v>650</v>
      </c>
      <c r="T345" s="1008" t="s">
        <v>654</v>
      </c>
      <c r="U345" s="1008" t="s">
        <v>649</v>
      </c>
      <c r="V345" s="1008" t="s">
        <v>648</v>
      </c>
      <c r="W345" s="1008" t="s">
        <v>546</v>
      </c>
      <c r="X345" s="1008" t="s">
        <v>670</v>
      </c>
      <c r="Y345" s="1008" t="s">
        <v>670</v>
      </c>
      <c r="Z345" s="1008" t="s">
        <v>670</v>
      </c>
      <c r="AA345" s="1008" t="s">
        <v>670</v>
      </c>
      <c r="AB345" s="1008" t="s">
        <v>670</v>
      </c>
      <c r="AC345" s="1008" t="s">
        <v>670</v>
      </c>
      <c r="AD345" s="1008" t="s">
        <v>670</v>
      </c>
      <c r="AE345" s="1008"/>
      <c r="AF345" s="1008" t="s">
        <v>670</v>
      </c>
      <c r="AG345" s="1008"/>
      <c r="AH345" s="1008"/>
      <c r="AI345" s="1008"/>
    </row>
    <row r="346" spans="1:35">
      <c r="A346" s="1008">
        <v>23823</v>
      </c>
      <c r="B346" s="1008">
        <v>477</v>
      </c>
      <c r="C346" s="1008">
        <v>7</v>
      </c>
      <c r="D346" s="1009">
        <v>13019999</v>
      </c>
      <c r="E346" s="1009">
        <v>13010300</v>
      </c>
      <c r="F346" s="1007" t="s">
        <v>4608</v>
      </c>
      <c r="G346" s="1007">
        <v>8</v>
      </c>
      <c r="H346" s="1010">
        <v>99999999</v>
      </c>
      <c r="I346" s="1009">
        <v>13010300</v>
      </c>
      <c r="J346" s="1007" t="s">
        <v>4608</v>
      </c>
      <c r="O346" s="1007" t="s">
        <v>648</v>
      </c>
      <c r="P346" s="1007" t="s">
        <v>648</v>
      </c>
      <c r="S346" s="1008" t="s">
        <v>650</v>
      </c>
      <c r="T346" s="1008" t="s">
        <v>654</v>
      </c>
      <c r="U346" s="1008" t="s">
        <v>649</v>
      </c>
      <c r="V346" s="1008" t="s">
        <v>648</v>
      </c>
      <c r="W346" s="1008" t="s">
        <v>546</v>
      </c>
      <c r="X346" s="1008" t="s">
        <v>670</v>
      </c>
      <c r="Y346" s="1008" t="s">
        <v>670</v>
      </c>
      <c r="Z346" s="1008" t="s">
        <v>670</v>
      </c>
      <c r="AA346" s="1008" t="s">
        <v>670</v>
      </c>
      <c r="AB346" s="1008" t="s">
        <v>670</v>
      </c>
      <c r="AC346" s="1008" t="s">
        <v>670</v>
      </c>
      <c r="AD346" s="1008" t="s">
        <v>670</v>
      </c>
      <c r="AE346" s="1008"/>
      <c r="AF346" s="1008" t="s">
        <v>670</v>
      </c>
      <c r="AG346" s="1008"/>
      <c r="AH346" s="1008"/>
      <c r="AI346" s="1008"/>
    </row>
    <row r="347" spans="1:35">
      <c r="A347" s="1008">
        <v>23824</v>
      </c>
      <c r="B347" s="1008">
        <v>764</v>
      </c>
      <c r="C347" s="1008">
        <v>7</v>
      </c>
      <c r="D347" s="1009">
        <v>13019999</v>
      </c>
      <c r="E347" s="1009">
        <v>13010400</v>
      </c>
      <c r="F347" s="1007" t="s">
        <v>4607</v>
      </c>
      <c r="G347" s="1007">
        <v>8</v>
      </c>
      <c r="H347" s="1010">
        <v>99999999</v>
      </c>
      <c r="I347" s="1009">
        <v>13010400</v>
      </c>
      <c r="J347" s="1007" t="s">
        <v>4607</v>
      </c>
      <c r="O347" s="1007" t="s">
        <v>648</v>
      </c>
      <c r="P347" s="1007" t="s">
        <v>648</v>
      </c>
      <c r="S347" s="1008" t="s">
        <v>650</v>
      </c>
      <c r="T347" s="1008" t="s">
        <v>654</v>
      </c>
      <c r="U347" s="1008" t="s">
        <v>649</v>
      </c>
      <c r="V347" s="1008" t="s">
        <v>648</v>
      </c>
      <c r="W347" s="1008" t="s">
        <v>546</v>
      </c>
      <c r="X347" s="1008" t="s">
        <v>670</v>
      </c>
      <c r="Y347" s="1008" t="s">
        <v>670</v>
      </c>
      <c r="Z347" s="1008" t="s">
        <v>670</v>
      </c>
      <c r="AA347" s="1008" t="s">
        <v>670</v>
      </c>
      <c r="AB347" s="1008" t="s">
        <v>670</v>
      </c>
      <c r="AC347" s="1008" t="s">
        <v>670</v>
      </c>
      <c r="AD347" s="1008" t="s">
        <v>670</v>
      </c>
      <c r="AE347" s="1008"/>
      <c r="AF347" s="1008" t="s">
        <v>670</v>
      </c>
      <c r="AG347" s="1008"/>
      <c r="AH347" s="1008"/>
      <c r="AI347" s="1008"/>
    </row>
    <row r="348" spans="1:35">
      <c r="A348" s="1008">
        <v>23825</v>
      </c>
      <c r="B348" s="1008">
        <v>1485</v>
      </c>
      <c r="C348" s="1008">
        <v>7</v>
      </c>
      <c r="D348" s="1009">
        <v>13019999</v>
      </c>
      <c r="E348" s="1009">
        <v>13010500</v>
      </c>
      <c r="F348" s="1007" t="s">
        <v>4606</v>
      </c>
      <c r="G348" s="1007">
        <v>7</v>
      </c>
      <c r="H348" s="1010">
        <v>99999999</v>
      </c>
      <c r="I348" s="1009">
        <v>13010500</v>
      </c>
      <c r="J348" s="1007" t="s">
        <v>4606</v>
      </c>
      <c r="O348" s="1007" t="s">
        <v>648</v>
      </c>
      <c r="P348" s="1007" t="s">
        <v>648</v>
      </c>
      <c r="S348" s="1008" t="s">
        <v>650</v>
      </c>
      <c r="T348" s="1008" t="s">
        <v>654</v>
      </c>
      <c r="U348" s="1008" t="s">
        <v>649</v>
      </c>
      <c r="V348" s="1008" t="s">
        <v>648</v>
      </c>
      <c r="W348" s="1008" t="s">
        <v>546</v>
      </c>
      <c r="X348" s="1008" t="s">
        <v>670</v>
      </c>
      <c r="Y348" s="1008" t="s">
        <v>670</v>
      </c>
      <c r="Z348" s="1008" t="s">
        <v>670</v>
      </c>
      <c r="AA348" s="1008" t="s">
        <v>670</v>
      </c>
      <c r="AB348" s="1008" t="s">
        <v>670</v>
      </c>
      <c r="AC348" s="1008" t="s">
        <v>670</v>
      </c>
      <c r="AD348" s="1008" t="s">
        <v>670</v>
      </c>
      <c r="AE348" s="1008"/>
      <c r="AF348" s="1008" t="s">
        <v>670</v>
      </c>
      <c r="AG348" s="1008"/>
      <c r="AH348" s="1008"/>
      <c r="AI348" s="1008"/>
    </row>
    <row r="349" spans="1:35">
      <c r="A349" s="1008">
        <v>23827</v>
      </c>
      <c r="B349" s="1008">
        <v>1486</v>
      </c>
      <c r="C349" s="1008">
        <v>7</v>
      </c>
      <c r="D349" s="1009">
        <v>13019999</v>
      </c>
      <c r="E349" s="1009">
        <v>13010700</v>
      </c>
      <c r="F349" s="1007" t="s">
        <v>4605</v>
      </c>
      <c r="G349" s="1007">
        <v>7</v>
      </c>
      <c r="H349" s="1010">
        <v>99999999</v>
      </c>
      <c r="I349" s="1009">
        <v>13010700</v>
      </c>
      <c r="J349" s="1007" t="s">
        <v>4605</v>
      </c>
      <c r="O349" s="1007" t="s">
        <v>648</v>
      </c>
      <c r="P349" s="1007" t="s">
        <v>648</v>
      </c>
      <c r="S349" s="1008" t="s">
        <v>650</v>
      </c>
      <c r="T349" s="1008" t="s">
        <v>654</v>
      </c>
      <c r="U349" s="1008" t="s">
        <v>649</v>
      </c>
      <c r="V349" s="1008" t="s">
        <v>648</v>
      </c>
      <c r="W349" s="1008" t="s">
        <v>546</v>
      </c>
      <c r="X349" s="1008" t="s">
        <v>670</v>
      </c>
      <c r="Y349" s="1008" t="s">
        <v>670</v>
      </c>
      <c r="Z349" s="1008" t="s">
        <v>670</v>
      </c>
      <c r="AA349" s="1008" t="s">
        <v>670</v>
      </c>
      <c r="AB349" s="1008" t="s">
        <v>670</v>
      </c>
      <c r="AC349" s="1008" t="s">
        <v>670</v>
      </c>
      <c r="AD349" s="1008" t="s">
        <v>670</v>
      </c>
      <c r="AE349" s="1008"/>
      <c r="AF349" s="1008" t="s">
        <v>670</v>
      </c>
      <c r="AG349" s="1008"/>
      <c r="AH349" s="1008"/>
      <c r="AI349" s="1008"/>
    </row>
    <row r="350" spans="1:35">
      <c r="A350" s="1008">
        <v>23828</v>
      </c>
      <c r="B350" s="1008">
        <v>4787</v>
      </c>
      <c r="C350" s="1008">
        <v>7</v>
      </c>
      <c r="D350" s="1009">
        <v>13019999</v>
      </c>
      <c r="E350" s="1009">
        <v>13010800</v>
      </c>
      <c r="F350" s="1007" t="s">
        <v>4604</v>
      </c>
      <c r="G350" s="1007">
        <v>7</v>
      </c>
      <c r="H350" s="1010">
        <v>99999999</v>
      </c>
      <c r="I350" s="1009">
        <v>13010800</v>
      </c>
      <c r="J350" s="1007" t="s">
        <v>4604</v>
      </c>
      <c r="O350" s="1007" t="s">
        <v>648</v>
      </c>
      <c r="P350" s="1007" t="s">
        <v>648</v>
      </c>
      <c r="S350" s="1008" t="s">
        <v>650</v>
      </c>
      <c r="T350" s="1008" t="s">
        <v>654</v>
      </c>
      <c r="U350" s="1008" t="s">
        <v>649</v>
      </c>
      <c r="V350" s="1008" t="s">
        <v>648</v>
      </c>
      <c r="W350" s="1008" t="s">
        <v>546</v>
      </c>
      <c r="X350" s="1008" t="s">
        <v>670</v>
      </c>
      <c r="Y350" s="1008" t="s">
        <v>670</v>
      </c>
      <c r="Z350" s="1008" t="s">
        <v>670</v>
      </c>
      <c r="AA350" s="1008" t="s">
        <v>670</v>
      </c>
      <c r="AB350" s="1008" t="s">
        <v>670</v>
      </c>
      <c r="AC350" s="1008" t="s">
        <v>670</v>
      </c>
      <c r="AD350" s="1008" t="s">
        <v>670</v>
      </c>
      <c r="AE350" s="1008"/>
      <c r="AF350" s="1008" t="s">
        <v>670</v>
      </c>
      <c r="AG350" s="1008"/>
      <c r="AH350" s="1008"/>
      <c r="AI350" s="1008"/>
    </row>
    <row r="351" spans="1:35">
      <c r="A351" s="1008">
        <v>23829</v>
      </c>
      <c r="C351" s="1008">
        <v>6</v>
      </c>
      <c r="D351" s="1009">
        <v>13099999</v>
      </c>
      <c r="E351" s="1009">
        <v>13019999</v>
      </c>
      <c r="F351" s="1007" t="s">
        <v>4603</v>
      </c>
      <c r="O351" s="1007" t="s">
        <v>648</v>
      </c>
      <c r="P351" s="1007" t="s">
        <v>648</v>
      </c>
      <c r="S351" s="1008" t="s">
        <v>650</v>
      </c>
      <c r="T351" s="1008" t="s">
        <v>21</v>
      </c>
      <c r="U351" s="1008" t="s">
        <v>649</v>
      </c>
      <c r="V351" s="1008" t="s">
        <v>648</v>
      </c>
      <c r="W351" s="1008" t="s">
        <v>546</v>
      </c>
      <c r="X351" s="1008"/>
      <c r="Y351" s="1008"/>
      <c r="Z351" s="1008"/>
      <c r="AA351" s="1008"/>
      <c r="AB351" s="1008"/>
      <c r="AC351" s="1008"/>
      <c r="AD351" s="1008"/>
      <c r="AE351" s="1008"/>
      <c r="AF351" s="1008"/>
      <c r="AG351" s="1008"/>
      <c r="AH351" s="1008"/>
      <c r="AI351" s="1008"/>
    </row>
    <row r="352" spans="1:35">
      <c r="A352" s="1008">
        <v>23830</v>
      </c>
      <c r="C352" s="1008">
        <v>6</v>
      </c>
      <c r="D352" s="1009">
        <v>13029999</v>
      </c>
      <c r="E352" s="1009">
        <v>13020000</v>
      </c>
      <c r="F352" s="1007" t="s">
        <v>4602</v>
      </c>
      <c r="O352" s="1007" t="s">
        <v>648</v>
      </c>
      <c r="P352" s="1007" t="s">
        <v>648</v>
      </c>
      <c r="S352" s="1008" t="s">
        <v>650</v>
      </c>
      <c r="T352" s="1008" t="s">
        <v>675</v>
      </c>
      <c r="U352" s="1008" t="s">
        <v>649</v>
      </c>
      <c r="V352" s="1008" t="s">
        <v>648</v>
      </c>
      <c r="W352" s="1008" t="s">
        <v>546</v>
      </c>
      <c r="X352" s="1008"/>
      <c r="Y352" s="1008"/>
      <c r="Z352" s="1008"/>
      <c r="AA352" s="1008"/>
      <c r="AB352" s="1008"/>
      <c r="AC352" s="1008"/>
      <c r="AD352" s="1008"/>
      <c r="AE352" s="1008"/>
      <c r="AF352" s="1008"/>
      <c r="AG352" s="1008"/>
      <c r="AH352" s="1008"/>
      <c r="AI352" s="1008"/>
    </row>
    <row r="353" spans="1:35">
      <c r="A353" s="1008">
        <v>23831</v>
      </c>
      <c r="B353" s="1008">
        <v>476</v>
      </c>
      <c r="C353" s="1008">
        <v>7</v>
      </c>
      <c r="D353" s="1009">
        <v>13029999</v>
      </c>
      <c r="E353" s="1009">
        <v>13020100</v>
      </c>
      <c r="F353" s="1007" t="s">
        <v>4601</v>
      </c>
      <c r="G353" s="1007">
        <v>8</v>
      </c>
      <c r="H353" s="1010">
        <v>99999999</v>
      </c>
      <c r="I353" s="1009">
        <v>13020100</v>
      </c>
      <c r="J353" s="1007" t="s">
        <v>4601</v>
      </c>
      <c r="O353" s="1007" t="s">
        <v>648</v>
      </c>
      <c r="P353" s="1007" t="s">
        <v>648</v>
      </c>
      <c r="S353" s="1008" t="s">
        <v>650</v>
      </c>
      <c r="T353" s="1008" t="s">
        <v>654</v>
      </c>
      <c r="U353" s="1008" t="s">
        <v>649</v>
      </c>
      <c r="V353" s="1008" t="s">
        <v>648</v>
      </c>
      <c r="W353" s="1008" t="s">
        <v>652</v>
      </c>
      <c r="X353" s="1008" t="s">
        <v>670</v>
      </c>
      <c r="Y353" s="1008" t="s">
        <v>670</v>
      </c>
      <c r="Z353" s="1008" t="s">
        <v>670</v>
      </c>
      <c r="AA353" s="1008" t="s">
        <v>670</v>
      </c>
      <c r="AB353" s="1008" t="s">
        <v>670</v>
      </c>
      <c r="AC353" s="1008" t="s">
        <v>670</v>
      </c>
      <c r="AD353" s="1008" t="s">
        <v>670</v>
      </c>
      <c r="AE353" s="1008"/>
      <c r="AF353" s="1008" t="s">
        <v>670</v>
      </c>
      <c r="AG353" s="1008"/>
      <c r="AH353" s="1008"/>
      <c r="AI353" s="1008"/>
    </row>
    <row r="354" spans="1:35">
      <c r="A354" s="1008">
        <v>23832</v>
      </c>
      <c r="B354" s="1008">
        <v>851</v>
      </c>
      <c r="C354" s="1008">
        <v>7</v>
      </c>
      <c r="D354" s="1009">
        <v>13029999</v>
      </c>
      <c r="E354" s="1009">
        <v>13020200</v>
      </c>
      <c r="F354" s="1007" t="s">
        <v>4600</v>
      </c>
      <c r="G354" s="1007">
        <v>8</v>
      </c>
      <c r="H354" s="1010">
        <v>99999999</v>
      </c>
      <c r="I354" s="1009">
        <v>13020200</v>
      </c>
      <c r="J354" s="1007" t="s">
        <v>4600</v>
      </c>
      <c r="O354" s="1007" t="s">
        <v>648</v>
      </c>
      <c r="P354" s="1007" t="s">
        <v>648</v>
      </c>
      <c r="S354" s="1008" t="s">
        <v>650</v>
      </c>
      <c r="T354" s="1008" t="s">
        <v>654</v>
      </c>
      <c r="U354" s="1008" t="s">
        <v>649</v>
      </c>
      <c r="V354" s="1008" t="s">
        <v>648</v>
      </c>
      <c r="W354" s="1008" t="s">
        <v>546</v>
      </c>
      <c r="X354" s="1008" t="s">
        <v>670</v>
      </c>
      <c r="Y354" s="1008" t="s">
        <v>670</v>
      </c>
      <c r="Z354" s="1008" t="s">
        <v>670</v>
      </c>
      <c r="AA354" s="1008" t="s">
        <v>670</v>
      </c>
      <c r="AB354" s="1008" t="s">
        <v>670</v>
      </c>
      <c r="AC354" s="1008" t="s">
        <v>670</v>
      </c>
      <c r="AD354" s="1008" t="s">
        <v>670</v>
      </c>
      <c r="AE354" s="1008"/>
      <c r="AF354" s="1008" t="s">
        <v>670</v>
      </c>
      <c r="AG354" s="1008"/>
      <c r="AH354" s="1008"/>
      <c r="AI354" s="1008"/>
    </row>
    <row r="355" spans="1:35">
      <c r="A355" s="1008">
        <v>23833</v>
      </c>
      <c r="B355" s="1008">
        <v>1489</v>
      </c>
      <c r="C355" s="1008">
        <v>7</v>
      </c>
      <c r="D355" s="1009">
        <v>13029999</v>
      </c>
      <c r="E355" s="1009">
        <v>13020300</v>
      </c>
      <c r="F355" s="1007" t="s">
        <v>4599</v>
      </c>
      <c r="G355" s="1007">
        <v>7</v>
      </c>
      <c r="H355" s="1010">
        <v>99999999</v>
      </c>
      <c r="I355" s="1009">
        <v>13020300</v>
      </c>
      <c r="J355" s="1007" t="s">
        <v>4599</v>
      </c>
      <c r="O355" s="1007" t="s">
        <v>648</v>
      </c>
      <c r="P355" s="1007" t="s">
        <v>648</v>
      </c>
      <c r="S355" s="1008" t="s">
        <v>650</v>
      </c>
      <c r="T355" s="1008" t="s">
        <v>654</v>
      </c>
      <c r="U355" s="1008" t="s">
        <v>649</v>
      </c>
      <c r="V355" s="1008" t="s">
        <v>648</v>
      </c>
      <c r="W355" s="1008" t="s">
        <v>546</v>
      </c>
      <c r="X355" s="1008" t="s">
        <v>670</v>
      </c>
      <c r="Y355" s="1008" t="s">
        <v>670</v>
      </c>
      <c r="Z355" s="1008" t="s">
        <v>670</v>
      </c>
      <c r="AA355" s="1008" t="s">
        <v>670</v>
      </c>
      <c r="AB355" s="1008" t="s">
        <v>670</v>
      </c>
      <c r="AC355" s="1008" t="s">
        <v>670</v>
      </c>
      <c r="AD355" s="1008" t="s">
        <v>670</v>
      </c>
      <c r="AE355" s="1008"/>
      <c r="AF355" s="1008" t="s">
        <v>670</v>
      </c>
      <c r="AG355" s="1008"/>
      <c r="AH355" s="1008"/>
      <c r="AI355" s="1008"/>
    </row>
    <row r="356" spans="1:35">
      <c r="A356" s="1008">
        <v>23834</v>
      </c>
      <c r="B356" s="1008">
        <v>1490</v>
      </c>
      <c r="C356" s="1008">
        <v>7</v>
      </c>
      <c r="D356" s="1009">
        <v>13029999</v>
      </c>
      <c r="E356" s="1009">
        <v>13020400</v>
      </c>
      <c r="F356" s="1007" t="s">
        <v>4598</v>
      </c>
      <c r="G356" s="1007">
        <v>7</v>
      </c>
      <c r="H356" s="1010">
        <v>99999999</v>
      </c>
      <c r="I356" s="1009">
        <v>13020400</v>
      </c>
      <c r="J356" s="1007" t="s">
        <v>4598</v>
      </c>
      <c r="O356" s="1007" t="s">
        <v>648</v>
      </c>
      <c r="P356" s="1007" t="s">
        <v>648</v>
      </c>
      <c r="S356" s="1008" t="s">
        <v>650</v>
      </c>
      <c r="T356" s="1008" t="s">
        <v>654</v>
      </c>
      <c r="U356" s="1008" t="s">
        <v>649</v>
      </c>
      <c r="V356" s="1008" t="s">
        <v>648</v>
      </c>
      <c r="W356" s="1008" t="s">
        <v>546</v>
      </c>
      <c r="X356" s="1008" t="s">
        <v>670</v>
      </c>
      <c r="Y356" s="1008" t="s">
        <v>670</v>
      </c>
      <c r="Z356" s="1008" t="s">
        <v>670</v>
      </c>
      <c r="AA356" s="1008" t="s">
        <v>670</v>
      </c>
      <c r="AB356" s="1008" t="s">
        <v>670</v>
      </c>
      <c r="AC356" s="1008" t="s">
        <v>670</v>
      </c>
      <c r="AD356" s="1008" t="s">
        <v>670</v>
      </c>
      <c r="AE356" s="1008"/>
      <c r="AF356" s="1008" t="s">
        <v>670</v>
      </c>
      <c r="AG356" s="1008"/>
      <c r="AH356" s="1008"/>
      <c r="AI356" s="1008"/>
    </row>
    <row r="357" spans="1:35">
      <c r="A357" s="1008">
        <v>23835</v>
      </c>
      <c r="B357" s="1008">
        <v>1491</v>
      </c>
      <c r="C357" s="1008">
        <v>7</v>
      </c>
      <c r="D357" s="1009">
        <v>13029999</v>
      </c>
      <c r="E357" s="1009">
        <v>13020700</v>
      </c>
      <c r="F357" s="1007" t="s">
        <v>4597</v>
      </c>
      <c r="G357" s="1007">
        <v>7</v>
      </c>
      <c r="H357" s="1010">
        <v>99999999</v>
      </c>
      <c r="I357" s="1009">
        <v>13020700</v>
      </c>
      <c r="J357" s="1007" t="s">
        <v>4597</v>
      </c>
      <c r="O357" s="1007" t="s">
        <v>648</v>
      </c>
      <c r="P357" s="1007" t="s">
        <v>648</v>
      </c>
      <c r="S357" s="1008" t="s">
        <v>650</v>
      </c>
      <c r="T357" s="1008" t="s">
        <v>654</v>
      </c>
      <c r="U357" s="1008" t="s">
        <v>649</v>
      </c>
      <c r="V357" s="1008" t="s">
        <v>648</v>
      </c>
      <c r="W357" s="1008" t="s">
        <v>546</v>
      </c>
      <c r="X357" s="1008" t="s">
        <v>670</v>
      </c>
      <c r="Y357" s="1008" t="s">
        <v>670</v>
      </c>
      <c r="Z357" s="1008" t="s">
        <v>670</v>
      </c>
      <c r="AA357" s="1008" t="s">
        <v>670</v>
      </c>
      <c r="AB357" s="1008" t="s">
        <v>670</v>
      </c>
      <c r="AC357" s="1008" t="s">
        <v>670</v>
      </c>
      <c r="AD357" s="1008" t="s">
        <v>670</v>
      </c>
      <c r="AE357" s="1008"/>
      <c r="AF357" s="1008" t="s">
        <v>670</v>
      </c>
      <c r="AG357" s="1008"/>
      <c r="AH357" s="1008"/>
      <c r="AI357" s="1008"/>
    </row>
    <row r="358" spans="1:35">
      <c r="A358" s="1008">
        <v>23836</v>
      </c>
      <c r="B358" s="1008">
        <v>4789</v>
      </c>
      <c r="C358" s="1008">
        <v>7</v>
      </c>
      <c r="D358" s="1009">
        <v>13029999</v>
      </c>
      <c r="E358" s="1009">
        <v>13020800</v>
      </c>
      <c r="F358" s="1007" t="s">
        <v>4596</v>
      </c>
      <c r="G358" s="1007">
        <v>7</v>
      </c>
      <c r="H358" s="1010">
        <v>99999999</v>
      </c>
      <c r="I358" s="1009">
        <v>13020800</v>
      </c>
      <c r="J358" s="1007" t="s">
        <v>4596</v>
      </c>
      <c r="O358" s="1007" t="s">
        <v>648</v>
      </c>
      <c r="P358" s="1007" t="s">
        <v>648</v>
      </c>
      <c r="S358" s="1008" t="s">
        <v>650</v>
      </c>
      <c r="T358" s="1008" t="s">
        <v>654</v>
      </c>
      <c r="U358" s="1008" t="s">
        <v>649</v>
      </c>
      <c r="V358" s="1008" t="s">
        <v>648</v>
      </c>
      <c r="W358" s="1008" t="s">
        <v>546</v>
      </c>
      <c r="X358" s="1008" t="s">
        <v>670</v>
      </c>
      <c r="Y358" s="1008" t="s">
        <v>670</v>
      </c>
      <c r="Z358" s="1008" t="s">
        <v>670</v>
      </c>
      <c r="AA358" s="1008" t="s">
        <v>670</v>
      </c>
      <c r="AB358" s="1008" t="s">
        <v>670</v>
      </c>
      <c r="AC358" s="1008" t="s">
        <v>670</v>
      </c>
      <c r="AD358" s="1008" t="s">
        <v>670</v>
      </c>
      <c r="AE358" s="1008"/>
      <c r="AF358" s="1008" t="s">
        <v>670</v>
      </c>
      <c r="AG358" s="1008"/>
      <c r="AH358" s="1008"/>
      <c r="AI358" s="1008"/>
    </row>
    <row r="359" spans="1:35">
      <c r="A359" s="1008">
        <v>23837</v>
      </c>
      <c r="C359" s="1008">
        <v>6</v>
      </c>
      <c r="D359" s="1009">
        <v>13099999</v>
      </c>
      <c r="E359" s="1009">
        <v>13029999</v>
      </c>
      <c r="F359" s="1007" t="s">
        <v>4595</v>
      </c>
      <c r="O359" s="1007" t="s">
        <v>648</v>
      </c>
      <c r="P359" s="1007" t="s">
        <v>648</v>
      </c>
      <c r="S359" s="1008" t="s">
        <v>650</v>
      </c>
      <c r="T359" s="1008" t="s">
        <v>21</v>
      </c>
      <c r="U359" s="1008" t="s">
        <v>649</v>
      </c>
      <c r="V359" s="1008" t="s">
        <v>648</v>
      </c>
      <c r="W359" s="1008" t="s">
        <v>546</v>
      </c>
      <c r="X359" s="1008"/>
      <c r="Y359" s="1008"/>
      <c r="Z359" s="1008"/>
      <c r="AA359" s="1008"/>
      <c r="AB359" s="1008"/>
      <c r="AC359" s="1008"/>
      <c r="AD359" s="1008"/>
      <c r="AE359" s="1008"/>
      <c r="AF359" s="1008"/>
      <c r="AG359" s="1008"/>
      <c r="AH359" s="1008"/>
      <c r="AI359" s="1008"/>
    </row>
    <row r="360" spans="1:35">
      <c r="A360" s="1008">
        <v>23838</v>
      </c>
      <c r="C360" s="1008">
        <v>6</v>
      </c>
      <c r="D360" s="1009">
        <v>13039999</v>
      </c>
      <c r="E360" s="1009">
        <v>13030000</v>
      </c>
      <c r="F360" s="1007" t="s">
        <v>4594</v>
      </c>
      <c r="O360" s="1007" t="s">
        <v>648</v>
      </c>
      <c r="P360" s="1007" t="s">
        <v>648</v>
      </c>
      <c r="S360" s="1008" t="s">
        <v>650</v>
      </c>
      <c r="T360" s="1008" t="s">
        <v>675</v>
      </c>
      <c r="U360" s="1008" t="s">
        <v>649</v>
      </c>
      <c r="V360" s="1008" t="s">
        <v>648</v>
      </c>
      <c r="W360" s="1008" t="s">
        <v>546</v>
      </c>
      <c r="X360" s="1008"/>
      <c r="Y360" s="1008"/>
      <c r="Z360" s="1008"/>
      <c r="AA360" s="1008"/>
      <c r="AB360" s="1008"/>
      <c r="AC360" s="1008"/>
      <c r="AD360" s="1008"/>
      <c r="AE360" s="1008"/>
      <c r="AF360" s="1008"/>
      <c r="AG360" s="1008"/>
      <c r="AH360" s="1008"/>
      <c r="AI360" s="1008"/>
    </row>
    <row r="361" spans="1:35">
      <c r="A361" s="1008">
        <v>23839</v>
      </c>
      <c r="B361" s="1008">
        <v>1493</v>
      </c>
      <c r="C361" s="1008">
        <v>7</v>
      </c>
      <c r="D361" s="1009">
        <v>13039999</v>
      </c>
      <c r="E361" s="1009">
        <v>13030300</v>
      </c>
      <c r="F361" s="1007" t="s">
        <v>4593</v>
      </c>
      <c r="G361" s="1007">
        <v>7</v>
      </c>
      <c r="H361" s="1010">
        <v>99999999</v>
      </c>
      <c r="I361" s="1009">
        <v>13030300</v>
      </c>
      <c r="J361" s="1007" t="s">
        <v>4593</v>
      </c>
      <c r="O361" s="1007" t="s">
        <v>648</v>
      </c>
      <c r="P361" s="1007" t="s">
        <v>648</v>
      </c>
      <c r="S361" s="1008" t="s">
        <v>650</v>
      </c>
      <c r="T361" s="1008" t="s">
        <v>654</v>
      </c>
      <c r="U361" s="1008" t="s">
        <v>649</v>
      </c>
      <c r="V361" s="1008" t="s">
        <v>648</v>
      </c>
      <c r="W361" s="1008" t="s">
        <v>546</v>
      </c>
      <c r="X361" s="1008" t="s">
        <v>670</v>
      </c>
      <c r="Y361" s="1008" t="s">
        <v>670</v>
      </c>
      <c r="Z361" s="1008" t="s">
        <v>670</v>
      </c>
      <c r="AA361" s="1008" t="s">
        <v>670</v>
      </c>
      <c r="AB361" s="1008" t="s">
        <v>670</v>
      </c>
      <c r="AC361" s="1008" t="s">
        <v>670</v>
      </c>
      <c r="AD361" s="1008" t="s">
        <v>670</v>
      </c>
      <c r="AE361" s="1008"/>
      <c r="AF361" s="1008" t="s">
        <v>670</v>
      </c>
      <c r="AG361" s="1008"/>
      <c r="AH361" s="1008"/>
      <c r="AI361" s="1008"/>
    </row>
    <row r="362" spans="1:35">
      <c r="A362" s="1008">
        <v>23840</v>
      </c>
      <c r="B362" s="1008">
        <v>475</v>
      </c>
      <c r="C362" s="1008">
        <v>7</v>
      </c>
      <c r="D362" s="1009">
        <v>13039999</v>
      </c>
      <c r="E362" s="1009">
        <v>13030700</v>
      </c>
      <c r="F362" s="1007" t="s">
        <v>4592</v>
      </c>
      <c r="G362" s="1007">
        <v>8</v>
      </c>
      <c r="H362" s="1010">
        <v>99999999</v>
      </c>
      <c r="I362" s="1009">
        <v>13030700</v>
      </c>
      <c r="J362" s="1007" t="s">
        <v>4592</v>
      </c>
      <c r="O362" s="1007" t="s">
        <v>648</v>
      </c>
      <c r="P362" s="1007" t="s">
        <v>648</v>
      </c>
      <c r="S362" s="1008" t="s">
        <v>650</v>
      </c>
      <c r="T362" s="1008" t="s">
        <v>654</v>
      </c>
      <c r="U362" s="1008" t="s">
        <v>649</v>
      </c>
      <c r="V362" s="1008" t="s">
        <v>648</v>
      </c>
      <c r="W362" s="1008" t="s">
        <v>546</v>
      </c>
      <c r="X362" s="1008" t="s">
        <v>670</v>
      </c>
      <c r="Y362" s="1008" t="s">
        <v>670</v>
      </c>
      <c r="Z362" s="1008" t="s">
        <v>670</v>
      </c>
      <c r="AA362" s="1008" t="s">
        <v>670</v>
      </c>
      <c r="AB362" s="1008" t="s">
        <v>670</v>
      </c>
      <c r="AC362" s="1008" t="s">
        <v>670</v>
      </c>
      <c r="AD362" s="1008" t="s">
        <v>670</v>
      </c>
      <c r="AE362" s="1008"/>
      <c r="AF362" s="1008" t="s">
        <v>670</v>
      </c>
      <c r="AG362" s="1008"/>
      <c r="AH362" s="1008"/>
      <c r="AI362" s="1008"/>
    </row>
    <row r="363" spans="1:35">
      <c r="A363" s="1008">
        <v>23841</v>
      </c>
      <c r="B363" s="1008">
        <v>4791</v>
      </c>
      <c r="C363" s="1008">
        <v>7</v>
      </c>
      <c r="D363" s="1009">
        <v>13039999</v>
      </c>
      <c r="E363" s="1009">
        <v>13030800</v>
      </c>
      <c r="F363" s="1007" t="s">
        <v>4591</v>
      </c>
      <c r="G363" s="1007">
        <v>7</v>
      </c>
      <c r="H363" s="1010">
        <v>99999999</v>
      </c>
      <c r="I363" s="1009">
        <v>13030800</v>
      </c>
      <c r="J363" s="1007" t="s">
        <v>4591</v>
      </c>
      <c r="O363" s="1007" t="s">
        <v>648</v>
      </c>
      <c r="P363" s="1007" t="s">
        <v>648</v>
      </c>
      <c r="S363" s="1008" t="s">
        <v>650</v>
      </c>
      <c r="T363" s="1008" t="s">
        <v>654</v>
      </c>
      <c r="U363" s="1008" t="s">
        <v>649</v>
      </c>
      <c r="V363" s="1008" t="s">
        <v>648</v>
      </c>
      <c r="W363" s="1008" t="s">
        <v>546</v>
      </c>
      <c r="X363" s="1008" t="s">
        <v>670</v>
      </c>
      <c r="Y363" s="1008" t="s">
        <v>670</v>
      </c>
      <c r="Z363" s="1008" t="s">
        <v>670</v>
      </c>
      <c r="AA363" s="1008" t="s">
        <v>670</v>
      </c>
      <c r="AB363" s="1008" t="s">
        <v>670</v>
      </c>
      <c r="AC363" s="1008" t="s">
        <v>670</v>
      </c>
      <c r="AD363" s="1008" t="s">
        <v>670</v>
      </c>
      <c r="AE363" s="1008"/>
      <c r="AF363" s="1008" t="s">
        <v>670</v>
      </c>
      <c r="AG363" s="1008"/>
      <c r="AH363" s="1008"/>
      <c r="AI363" s="1008"/>
    </row>
    <row r="364" spans="1:35">
      <c r="A364" s="1008">
        <v>23842</v>
      </c>
      <c r="C364" s="1008">
        <v>6</v>
      </c>
      <c r="D364" s="1009">
        <v>13099999</v>
      </c>
      <c r="E364" s="1009">
        <v>13039999</v>
      </c>
      <c r="F364" s="1007" t="s">
        <v>4590</v>
      </c>
      <c r="O364" s="1007" t="s">
        <v>648</v>
      </c>
      <c r="P364" s="1007" t="s">
        <v>648</v>
      </c>
      <c r="S364" s="1008" t="s">
        <v>650</v>
      </c>
      <c r="T364" s="1008" t="s">
        <v>21</v>
      </c>
      <c r="U364" s="1008" t="s">
        <v>649</v>
      </c>
      <c r="V364" s="1008" t="s">
        <v>648</v>
      </c>
      <c r="W364" s="1008" t="s">
        <v>546</v>
      </c>
      <c r="X364" s="1008"/>
      <c r="Y364" s="1008"/>
      <c r="Z364" s="1008"/>
      <c r="AA364" s="1008"/>
      <c r="AB364" s="1008"/>
      <c r="AC364" s="1008"/>
      <c r="AD364" s="1008"/>
      <c r="AE364" s="1008"/>
      <c r="AF364" s="1008"/>
      <c r="AG364" s="1008"/>
      <c r="AH364" s="1008"/>
      <c r="AI364" s="1008"/>
    </row>
    <row r="365" spans="1:35">
      <c r="A365" s="1008">
        <v>23843</v>
      </c>
      <c r="C365" s="1008">
        <v>6</v>
      </c>
      <c r="D365" s="1009">
        <v>13049999</v>
      </c>
      <c r="E365" s="1009">
        <v>13040000</v>
      </c>
      <c r="F365" s="1007" t="s">
        <v>4589</v>
      </c>
      <c r="O365" s="1007" t="s">
        <v>648</v>
      </c>
      <c r="P365" s="1007" t="s">
        <v>648</v>
      </c>
      <c r="S365" s="1008" t="s">
        <v>650</v>
      </c>
      <c r="T365" s="1008" t="s">
        <v>675</v>
      </c>
      <c r="U365" s="1008" t="s">
        <v>649</v>
      </c>
      <c r="V365" s="1008" t="s">
        <v>648</v>
      </c>
      <c r="W365" s="1008" t="s">
        <v>546</v>
      </c>
      <c r="X365" s="1008"/>
      <c r="Y365" s="1008"/>
      <c r="Z365" s="1008"/>
      <c r="AA365" s="1008"/>
      <c r="AB365" s="1008"/>
      <c r="AC365" s="1008"/>
      <c r="AD365" s="1008"/>
      <c r="AE365" s="1008"/>
      <c r="AF365" s="1008"/>
      <c r="AG365" s="1008"/>
      <c r="AH365" s="1008"/>
      <c r="AI365" s="1008"/>
    </row>
    <row r="366" spans="1:35">
      <c r="A366" s="1008">
        <v>23844</v>
      </c>
      <c r="B366" s="1008">
        <v>479</v>
      </c>
      <c r="C366" s="1008">
        <v>7</v>
      </c>
      <c r="D366" s="1009">
        <v>13049999</v>
      </c>
      <c r="E366" s="1009">
        <v>13040300</v>
      </c>
      <c r="F366" s="1007" t="s">
        <v>4588</v>
      </c>
      <c r="G366" s="1007">
        <v>8</v>
      </c>
      <c r="H366" s="1010">
        <v>99999999</v>
      </c>
      <c r="I366" s="1009">
        <v>13040300</v>
      </c>
      <c r="J366" s="1007" t="s">
        <v>4588</v>
      </c>
      <c r="O366" s="1007" t="s">
        <v>648</v>
      </c>
      <c r="P366" s="1007" t="s">
        <v>648</v>
      </c>
      <c r="S366" s="1008" t="s">
        <v>650</v>
      </c>
      <c r="T366" s="1008" t="s">
        <v>654</v>
      </c>
      <c r="U366" s="1008" t="s">
        <v>649</v>
      </c>
      <c r="V366" s="1008" t="s">
        <v>648</v>
      </c>
      <c r="W366" s="1008" t="s">
        <v>546</v>
      </c>
      <c r="X366" s="1008" t="s">
        <v>670</v>
      </c>
      <c r="Y366" s="1008" t="s">
        <v>670</v>
      </c>
      <c r="Z366" s="1008" t="s">
        <v>670</v>
      </c>
      <c r="AA366" s="1008" t="s">
        <v>670</v>
      </c>
      <c r="AB366" s="1008" t="s">
        <v>670</v>
      </c>
      <c r="AC366" s="1008" t="s">
        <v>670</v>
      </c>
      <c r="AD366" s="1008" t="s">
        <v>670</v>
      </c>
      <c r="AE366" s="1008"/>
      <c r="AF366" s="1008" t="s">
        <v>670</v>
      </c>
      <c r="AG366" s="1008"/>
      <c r="AH366" s="1008"/>
      <c r="AI366" s="1008"/>
    </row>
    <row r="367" spans="1:35">
      <c r="A367" s="1008">
        <v>23845</v>
      </c>
      <c r="B367" s="1008">
        <v>1497</v>
      </c>
      <c r="C367" s="1008">
        <v>7</v>
      </c>
      <c r="D367" s="1009">
        <v>13049999</v>
      </c>
      <c r="E367" s="1009">
        <v>13040400</v>
      </c>
      <c r="F367" s="1007" t="s">
        <v>4587</v>
      </c>
      <c r="G367" s="1007">
        <v>7</v>
      </c>
      <c r="H367" s="1010">
        <v>99999999</v>
      </c>
      <c r="I367" s="1009">
        <v>13040400</v>
      </c>
      <c r="J367" s="1007" t="s">
        <v>4587</v>
      </c>
      <c r="O367" s="1007" t="s">
        <v>648</v>
      </c>
      <c r="P367" s="1007" t="s">
        <v>648</v>
      </c>
      <c r="S367" s="1008" t="s">
        <v>650</v>
      </c>
      <c r="T367" s="1008" t="s">
        <v>654</v>
      </c>
      <c r="U367" s="1008" t="s">
        <v>649</v>
      </c>
      <c r="V367" s="1008" t="s">
        <v>648</v>
      </c>
      <c r="W367" s="1008" t="s">
        <v>546</v>
      </c>
      <c r="X367" s="1008" t="s">
        <v>670</v>
      </c>
      <c r="Y367" s="1008" t="s">
        <v>670</v>
      </c>
      <c r="Z367" s="1008" t="s">
        <v>670</v>
      </c>
      <c r="AA367" s="1008" t="s">
        <v>670</v>
      </c>
      <c r="AB367" s="1008" t="s">
        <v>670</v>
      </c>
      <c r="AC367" s="1008" t="s">
        <v>670</v>
      </c>
      <c r="AD367" s="1008" t="s">
        <v>670</v>
      </c>
      <c r="AE367" s="1008"/>
      <c r="AF367" s="1008" t="s">
        <v>670</v>
      </c>
      <c r="AG367" s="1008"/>
      <c r="AH367" s="1008"/>
      <c r="AI367" s="1008"/>
    </row>
    <row r="368" spans="1:35">
      <c r="A368" s="1008">
        <v>23846</v>
      </c>
      <c r="B368" s="1008">
        <v>480</v>
      </c>
      <c r="C368" s="1008">
        <v>7</v>
      </c>
      <c r="D368" s="1009">
        <v>13049999</v>
      </c>
      <c r="E368" s="1009">
        <v>13040700</v>
      </c>
      <c r="F368" s="1007" t="s">
        <v>4586</v>
      </c>
      <c r="G368" s="1007">
        <v>8</v>
      </c>
      <c r="H368" s="1010">
        <v>99999999</v>
      </c>
      <c r="I368" s="1009">
        <v>13040700</v>
      </c>
      <c r="J368" s="1007" t="s">
        <v>4586</v>
      </c>
      <c r="O368" s="1007" t="s">
        <v>648</v>
      </c>
      <c r="P368" s="1007" t="s">
        <v>648</v>
      </c>
      <c r="S368" s="1008" t="s">
        <v>650</v>
      </c>
      <c r="T368" s="1008" t="s">
        <v>654</v>
      </c>
      <c r="U368" s="1008" t="s">
        <v>649</v>
      </c>
      <c r="V368" s="1008" t="s">
        <v>648</v>
      </c>
      <c r="W368" s="1008" t="s">
        <v>546</v>
      </c>
      <c r="X368" s="1008" t="s">
        <v>670</v>
      </c>
      <c r="Y368" s="1008" t="s">
        <v>670</v>
      </c>
      <c r="Z368" s="1008" t="s">
        <v>670</v>
      </c>
      <c r="AA368" s="1008" t="s">
        <v>670</v>
      </c>
      <c r="AB368" s="1008" t="s">
        <v>670</v>
      </c>
      <c r="AC368" s="1008" t="s">
        <v>670</v>
      </c>
      <c r="AD368" s="1008" t="s">
        <v>670</v>
      </c>
      <c r="AE368" s="1008"/>
      <c r="AF368" s="1008" t="s">
        <v>670</v>
      </c>
      <c r="AG368" s="1008"/>
      <c r="AH368" s="1008"/>
      <c r="AI368" s="1008"/>
    </row>
    <row r="369" spans="1:35">
      <c r="A369" s="1008">
        <v>23847</v>
      </c>
      <c r="B369" s="1008">
        <v>4793</v>
      </c>
      <c r="C369" s="1008">
        <v>7</v>
      </c>
      <c r="D369" s="1009">
        <v>13049999</v>
      </c>
      <c r="E369" s="1009">
        <v>13040800</v>
      </c>
      <c r="F369" s="1007" t="s">
        <v>4585</v>
      </c>
      <c r="G369" s="1007">
        <v>7</v>
      </c>
      <c r="H369" s="1010">
        <v>99999999</v>
      </c>
      <c r="I369" s="1009">
        <v>13040800</v>
      </c>
      <c r="J369" s="1007" t="s">
        <v>4585</v>
      </c>
      <c r="O369" s="1007" t="s">
        <v>648</v>
      </c>
      <c r="P369" s="1007" t="s">
        <v>648</v>
      </c>
      <c r="S369" s="1008" t="s">
        <v>650</v>
      </c>
      <c r="T369" s="1008" t="s">
        <v>654</v>
      </c>
      <c r="U369" s="1008" t="s">
        <v>649</v>
      </c>
      <c r="V369" s="1008" t="s">
        <v>648</v>
      </c>
      <c r="W369" s="1008" t="s">
        <v>546</v>
      </c>
      <c r="X369" s="1008" t="s">
        <v>670</v>
      </c>
      <c r="Y369" s="1008" t="s">
        <v>670</v>
      </c>
      <c r="Z369" s="1008" t="s">
        <v>670</v>
      </c>
      <c r="AA369" s="1008" t="s">
        <v>670</v>
      </c>
      <c r="AB369" s="1008" t="s">
        <v>670</v>
      </c>
      <c r="AC369" s="1008" t="s">
        <v>670</v>
      </c>
      <c r="AD369" s="1008" t="s">
        <v>670</v>
      </c>
      <c r="AE369" s="1008"/>
      <c r="AF369" s="1008" t="s">
        <v>670</v>
      </c>
      <c r="AG369" s="1008"/>
      <c r="AH369" s="1008"/>
      <c r="AI369" s="1008"/>
    </row>
    <row r="370" spans="1:35">
      <c r="A370" s="1008">
        <v>23848</v>
      </c>
      <c r="C370" s="1008">
        <v>6</v>
      </c>
      <c r="D370" s="1009">
        <v>13099999</v>
      </c>
      <c r="E370" s="1009">
        <v>13049999</v>
      </c>
      <c r="F370" s="1007" t="s">
        <v>4584</v>
      </c>
      <c r="O370" s="1007" t="s">
        <v>648</v>
      </c>
      <c r="P370" s="1007" t="s">
        <v>648</v>
      </c>
      <c r="S370" s="1008" t="s">
        <v>650</v>
      </c>
      <c r="T370" s="1008" t="s">
        <v>21</v>
      </c>
      <c r="U370" s="1008" t="s">
        <v>649</v>
      </c>
      <c r="V370" s="1008" t="s">
        <v>648</v>
      </c>
      <c r="W370" s="1008" t="s">
        <v>546</v>
      </c>
      <c r="X370" s="1008"/>
      <c r="Y370" s="1008"/>
      <c r="Z370" s="1008"/>
      <c r="AA370" s="1008"/>
      <c r="AB370" s="1008"/>
      <c r="AC370" s="1008"/>
      <c r="AD370" s="1008"/>
      <c r="AE370" s="1008"/>
      <c r="AF370" s="1008"/>
      <c r="AG370" s="1008"/>
      <c r="AH370" s="1008"/>
      <c r="AI370" s="1008"/>
    </row>
    <row r="371" spans="1:35">
      <c r="A371" s="1008">
        <v>23849</v>
      </c>
      <c r="C371" s="1008">
        <v>5</v>
      </c>
      <c r="D371" s="1009">
        <v>13199999</v>
      </c>
      <c r="E371" s="1009">
        <v>13099999</v>
      </c>
      <c r="F371" s="1007" t="s">
        <v>4583</v>
      </c>
      <c r="O371" s="1007" t="s">
        <v>648</v>
      </c>
      <c r="P371" s="1007" t="s">
        <v>648</v>
      </c>
      <c r="S371" s="1008" t="s">
        <v>650</v>
      </c>
      <c r="T371" s="1008" t="s">
        <v>21</v>
      </c>
      <c r="U371" s="1008" t="s">
        <v>649</v>
      </c>
      <c r="V371" s="1008" t="s">
        <v>648</v>
      </c>
      <c r="W371" s="1008" t="s">
        <v>546</v>
      </c>
      <c r="X371" s="1008"/>
      <c r="Y371" s="1008"/>
      <c r="Z371" s="1008"/>
      <c r="AA371" s="1008"/>
      <c r="AB371" s="1008"/>
      <c r="AC371" s="1008"/>
      <c r="AD371" s="1008"/>
      <c r="AE371" s="1008"/>
      <c r="AF371" s="1008"/>
      <c r="AG371" s="1008"/>
      <c r="AH371" s="1008"/>
      <c r="AI371" s="1008"/>
    </row>
    <row r="372" spans="1:35">
      <c r="A372" s="1008">
        <v>23850</v>
      </c>
      <c r="C372" s="1008">
        <v>5</v>
      </c>
      <c r="D372" s="1009">
        <v>13199900</v>
      </c>
      <c r="E372" s="1009">
        <v>13100000</v>
      </c>
      <c r="F372" s="1007" t="s">
        <v>4582</v>
      </c>
      <c r="O372" s="1007" t="s">
        <v>648</v>
      </c>
      <c r="P372" s="1007" t="s">
        <v>648</v>
      </c>
      <c r="S372" s="1008" t="s">
        <v>650</v>
      </c>
      <c r="T372" s="1008" t="s">
        <v>675</v>
      </c>
      <c r="U372" s="1008" t="s">
        <v>649</v>
      </c>
      <c r="V372" s="1008" t="s">
        <v>648</v>
      </c>
      <c r="W372" s="1008" t="s">
        <v>546</v>
      </c>
      <c r="X372" s="1008"/>
      <c r="Y372" s="1008"/>
      <c r="Z372" s="1008"/>
      <c r="AA372" s="1008"/>
      <c r="AB372" s="1008"/>
      <c r="AC372" s="1008"/>
      <c r="AD372" s="1008"/>
      <c r="AE372" s="1008"/>
      <c r="AF372" s="1008"/>
      <c r="AG372" s="1008"/>
      <c r="AH372" s="1008"/>
      <c r="AI372" s="1008"/>
    </row>
    <row r="373" spans="1:35">
      <c r="A373" s="1008">
        <v>23851</v>
      </c>
      <c r="C373" s="1008">
        <v>6</v>
      </c>
      <c r="D373" s="1009">
        <v>13119999</v>
      </c>
      <c r="E373" s="1009">
        <v>13110000</v>
      </c>
      <c r="F373" s="1007" t="s">
        <v>4581</v>
      </c>
      <c r="O373" s="1007" t="s">
        <v>648</v>
      </c>
      <c r="P373" s="1007" t="s">
        <v>648</v>
      </c>
      <c r="S373" s="1008" t="s">
        <v>650</v>
      </c>
      <c r="T373" s="1008" t="s">
        <v>675</v>
      </c>
      <c r="U373" s="1008" t="s">
        <v>649</v>
      </c>
      <c r="V373" s="1008" t="s">
        <v>648</v>
      </c>
      <c r="W373" s="1008" t="s">
        <v>546</v>
      </c>
      <c r="X373" s="1008"/>
      <c r="Y373" s="1008"/>
      <c r="Z373" s="1008"/>
      <c r="AA373" s="1008"/>
      <c r="AB373" s="1008"/>
      <c r="AC373" s="1008"/>
      <c r="AD373" s="1008"/>
      <c r="AE373" s="1008"/>
      <c r="AF373" s="1008"/>
      <c r="AG373" s="1008"/>
      <c r="AH373" s="1008"/>
      <c r="AI373" s="1008"/>
    </row>
    <row r="374" spans="1:35">
      <c r="A374" s="1008">
        <v>23852</v>
      </c>
      <c r="B374" s="1008">
        <v>1500</v>
      </c>
      <c r="C374" s="1008">
        <v>7</v>
      </c>
      <c r="D374" s="1009">
        <v>13119999</v>
      </c>
      <c r="E374" s="1009">
        <v>13110200</v>
      </c>
      <c r="F374" s="1007" t="s">
        <v>4580</v>
      </c>
      <c r="G374" s="1007">
        <v>7</v>
      </c>
      <c r="H374" s="1010">
        <v>99999999</v>
      </c>
      <c r="I374" s="1009">
        <v>13110200</v>
      </c>
      <c r="J374" s="1007" t="s">
        <v>4580</v>
      </c>
      <c r="O374" s="1007" t="s">
        <v>648</v>
      </c>
      <c r="P374" s="1007" t="s">
        <v>648</v>
      </c>
      <c r="S374" s="1008" t="s">
        <v>650</v>
      </c>
      <c r="T374" s="1008" t="s">
        <v>654</v>
      </c>
      <c r="U374" s="1008" t="s">
        <v>649</v>
      </c>
      <c r="V374" s="1008" t="s">
        <v>648</v>
      </c>
      <c r="W374" s="1008" t="s">
        <v>546</v>
      </c>
      <c r="X374" s="1008" t="s">
        <v>670</v>
      </c>
      <c r="Y374" s="1008" t="s">
        <v>670</v>
      </c>
      <c r="Z374" s="1008" t="s">
        <v>670</v>
      </c>
      <c r="AA374" s="1008" t="s">
        <v>670</v>
      </c>
      <c r="AB374" s="1008" t="s">
        <v>670</v>
      </c>
      <c r="AC374" s="1008" t="s">
        <v>670</v>
      </c>
      <c r="AD374" s="1008" t="s">
        <v>670</v>
      </c>
      <c r="AE374" s="1008"/>
      <c r="AF374" s="1008" t="s">
        <v>670</v>
      </c>
      <c r="AG374" s="1008"/>
      <c r="AH374" s="1008"/>
      <c r="AI374" s="1008"/>
    </row>
    <row r="375" spans="1:35">
      <c r="A375" s="1008">
        <v>23853</v>
      </c>
      <c r="B375" s="1008">
        <v>1501</v>
      </c>
      <c r="C375" s="1008">
        <v>7</v>
      </c>
      <c r="D375" s="1009">
        <v>13119999</v>
      </c>
      <c r="E375" s="1009">
        <v>13110300</v>
      </c>
      <c r="F375" s="1007" t="s">
        <v>4579</v>
      </c>
      <c r="G375" s="1007">
        <v>7</v>
      </c>
      <c r="H375" s="1010">
        <v>99999999</v>
      </c>
      <c r="I375" s="1009">
        <v>13110300</v>
      </c>
      <c r="J375" s="1007" t="s">
        <v>4579</v>
      </c>
      <c r="O375" s="1007" t="s">
        <v>648</v>
      </c>
      <c r="P375" s="1007" t="s">
        <v>648</v>
      </c>
      <c r="S375" s="1008" t="s">
        <v>650</v>
      </c>
      <c r="T375" s="1008" t="s">
        <v>654</v>
      </c>
      <c r="U375" s="1008" t="s">
        <v>649</v>
      </c>
      <c r="V375" s="1008" t="s">
        <v>648</v>
      </c>
      <c r="W375" s="1008" t="s">
        <v>546</v>
      </c>
      <c r="X375" s="1008" t="s">
        <v>670</v>
      </c>
      <c r="Y375" s="1008" t="s">
        <v>670</v>
      </c>
      <c r="Z375" s="1008" t="s">
        <v>670</v>
      </c>
      <c r="AA375" s="1008" t="s">
        <v>670</v>
      </c>
      <c r="AB375" s="1008" t="s">
        <v>670</v>
      </c>
      <c r="AC375" s="1008" t="s">
        <v>670</v>
      </c>
      <c r="AD375" s="1008" t="s">
        <v>670</v>
      </c>
      <c r="AE375" s="1008"/>
      <c r="AF375" s="1008" t="s">
        <v>670</v>
      </c>
      <c r="AG375" s="1008"/>
      <c r="AH375" s="1008"/>
      <c r="AI375" s="1008"/>
    </row>
    <row r="376" spans="1:35">
      <c r="A376" s="1008">
        <v>23854</v>
      </c>
      <c r="B376" s="1008">
        <v>1502</v>
      </c>
      <c r="C376" s="1008">
        <v>7</v>
      </c>
      <c r="D376" s="1009">
        <v>13119999</v>
      </c>
      <c r="E376" s="1009">
        <v>13110400</v>
      </c>
      <c r="F376" s="1007" t="s">
        <v>4578</v>
      </c>
      <c r="G376" s="1007">
        <v>7</v>
      </c>
      <c r="H376" s="1010">
        <v>99999999</v>
      </c>
      <c r="I376" s="1009">
        <v>13110400</v>
      </c>
      <c r="J376" s="1007" t="s">
        <v>4578</v>
      </c>
      <c r="O376" s="1007" t="s">
        <v>648</v>
      </c>
      <c r="P376" s="1007" t="s">
        <v>648</v>
      </c>
      <c r="S376" s="1008" t="s">
        <v>650</v>
      </c>
      <c r="T376" s="1008" t="s">
        <v>654</v>
      </c>
      <c r="U376" s="1008" t="s">
        <v>649</v>
      </c>
      <c r="V376" s="1008" t="s">
        <v>648</v>
      </c>
      <c r="W376" s="1008" t="s">
        <v>546</v>
      </c>
      <c r="X376" s="1008" t="s">
        <v>670</v>
      </c>
      <c r="Y376" s="1008" t="s">
        <v>670</v>
      </c>
      <c r="Z376" s="1008" t="s">
        <v>670</v>
      </c>
      <c r="AA376" s="1008" t="s">
        <v>670</v>
      </c>
      <c r="AB376" s="1008" t="s">
        <v>670</v>
      </c>
      <c r="AC376" s="1008" t="s">
        <v>670</v>
      </c>
      <c r="AD376" s="1008" t="s">
        <v>670</v>
      </c>
      <c r="AE376" s="1008"/>
      <c r="AF376" s="1008" t="s">
        <v>670</v>
      </c>
      <c r="AG376" s="1008"/>
      <c r="AH376" s="1008"/>
      <c r="AI376" s="1008"/>
    </row>
    <row r="377" spans="1:35">
      <c r="A377" s="1008">
        <v>23855</v>
      </c>
      <c r="B377" s="1008">
        <v>1503</v>
      </c>
      <c r="C377" s="1008">
        <v>7</v>
      </c>
      <c r="D377" s="1009">
        <v>13119999</v>
      </c>
      <c r="E377" s="1009">
        <v>13110500</v>
      </c>
      <c r="F377" s="1007" t="s">
        <v>4577</v>
      </c>
      <c r="G377" s="1007">
        <v>7</v>
      </c>
      <c r="H377" s="1010">
        <v>99999999</v>
      </c>
      <c r="I377" s="1009">
        <v>13110500</v>
      </c>
      <c r="J377" s="1007" t="s">
        <v>4577</v>
      </c>
      <c r="O377" s="1007" t="s">
        <v>648</v>
      </c>
      <c r="P377" s="1007" t="s">
        <v>648</v>
      </c>
      <c r="S377" s="1008" t="s">
        <v>650</v>
      </c>
      <c r="T377" s="1008" t="s">
        <v>654</v>
      </c>
      <c r="U377" s="1008" t="s">
        <v>649</v>
      </c>
      <c r="V377" s="1008" t="s">
        <v>648</v>
      </c>
      <c r="W377" s="1008" t="s">
        <v>546</v>
      </c>
      <c r="X377" s="1008" t="s">
        <v>670</v>
      </c>
      <c r="Y377" s="1008" t="s">
        <v>670</v>
      </c>
      <c r="Z377" s="1008" t="s">
        <v>670</v>
      </c>
      <c r="AA377" s="1008" t="s">
        <v>670</v>
      </c>
      <c r="AB377" s="1008" t="s">
        <v>670</v>
      </c>
      <c r="AC377" s="1008" t="s">
        <v>670</v>
      </c>
      <c r="AD377" s="1008" t="s">
        <v>670</v>
      </c>
      <c r="AE377" s="1008"/>
      <c r="AF377" s="1008" t="s">
        <v>670</v>
      </c>
      <c r="AG377" s="1008"/>
      <c r="AH377" s="1008"/>
      <c r="AI377" s="1008"/>
    </row>
    <row r="378" spans="1:35">
      <c r="A378" s="1008">
        <v>23857</v>
      </c>
      <c r="B378" s="1008">
        <v>1504</v>
      </c>
      <c r="C378" s="1008">
        <v>7</v>
      </c>
      <c r="D378" s="1009">
        <v>13119999</v>
      </c>
      <c r="E378" s="1009">
        <v>13110700</v>
      </c>
      <c r="F378" s="1007" t="s">
        <v>4576</v>
      </c>
      <c r="G378" s="1007">
        <v>7</v>
      </c>
      <c r="H378" s="1010">
        <v>99999999</v>
      </c>
      <c r="I378" s="1009">
        <v>13110700</v>
      </c>
      <c r="J378" s="1007" t="s">
        <v>4576</v>
      </c>
      <c r="O378" s="1007" t="s">
        <v>648</v>
      </c>
      <c r="P378" s="1007" t="s">
        <v>648</v>
      </c>
      <c r="S378" s="1008" t="s">
        <v>650</v>
      </c>
      <c r="T378" s="1008" t="s">
        <v>654</v>
      </c>
      <c r="U378" s="1008" t="s">
        <v>649</v>
      </c>
      <c r="V378" s="1008" t="s">
        <v>648</v>
      </c>
      <c r="W378" s="1008" t="s">
        <v>546</v>
      </c>
      <c r="X378" s="1008" t="s">
        <v>670</v>
      </c>
      <c r="Y378" s="1008" t="s">
        <v>670</v>
      </c>
      <c r="Z378" s="1008" t="s">
        <v>670</v>
      </c>
      <c r="AA378" s="1008" t="s">
        <v>670</v>
      </c>
      <c r="AB378" s="1008" t="s">
        <v>670</v>
      </c>
      <c r="AC378" s="1008" t="s">
        <v>670</v>
      </c>
      <c r="AD378" s="1008" t="s">
        <v>670</v>
      </c>
      <c r="AE378" s="1008"/>
      <c r="AF378" s="1008" t="s">
        <v>670</v>
      </c>
      <c r="AG378" s="1008"/>
      <c r="AH378" s="1008"/>
      <c r="AI378" s="1008"/>
    </row>
    <row r="379" spans="1:35">
      <c r="A379" s="1008">
        <v>23858</v>
      </c>
      <c r="B379" s="1008">
        <v>4797</v>
      </c>
      <c r="C379" s="1008">
        <v>7</v>
      </c>
      <c r="D379" s="1009">
        <v>13119999</v>
      </c>
      <c r="E379" s="1009">
        <v>13110800</v>
      </c>
      <c r="F379" s="1007" t="s">
        <v>4575</v>
      </c>
      <c r="G379" s="1007">
        <v>7</v>
      </c>
      <c r="H379" s="1010">
        <v>99999999</v>
      </c>
      <c r="I379" s="1009">
        <v>13110800</v>
      </c>
      <c r="J379" s="1007" t="s">
        <v>4575</v>
      </c>
      <c r="O379" s="1007" t="s">
        <v>648</v>
      </c>
      <c r="P379" s="1007" t="s">
        <v>648</v>
      </c>
      <c r="S379" s="1008" t="s">
        <v>650</v>
      </c>
      <c r="T379" s="1008" t="s">
        <v>654</v>
      </c>
      <c r="U379" s="1008" t="s">
        <v>649</v>
      </c>
      <c r="V379" s="1008" t="s">
        <v>648</v>
      </c>
      <c r="W379" s="1008" t="s">
        <v>546</v>
      </c>
      <c r="X379" s="1008" t="s">
        <v>670</v>
      </c>
      <c r="Y379" s="1008" t="s">
        <v>670</v>
      </c>
      <c r="Z379" s="1008" t="s">
        <v>670</v>
      </c>
      <c r="AA379" s="1008" t="s">
        <v>670</v>
      </c>
      <c r="AB379" s="1008" t="s">
        <v>670</v>
      </c>
      <c r="AC379" s="1008" t="s">
        <v>670</v>
      </c>
      <c r="AD379" s="1008" t="s">
        <v>670</v>
      </c>
      <c r="AE379" s="1008"/>
      <c r="AF379" s="1008" t="s">
        <v>670</v>
      </c>
      <c r="AG379" s="1008"/>
      <c r="AH379" s="1008"/>
      <c r="AI379" s="1008"/>
    </row>
    <row r="380" spans="1:35">
      <c r="A380" s="1008">
        <v>23859</v>
      </c>
      <c r="C380" s="1008">
        <v>6</v>
      </c>
      <c r="D380" s="1009">
        <v>13199900</v>
      </c>
      <c r="E380" s="1009">
        <v>13119999</v>
      </c>
      <c r="F380" s="1007" t="s">
        <v>4574</v>
      </c>
      <c r="O380" s="1007" t="s">
        <v>648</v>
      </c>
      <c r="P380" s="1007" t="s">
        <v>648</v>
      </c>
      <c r="S380" s="1008" t="s">
        <v>650</v>
      </c>
      <c r="T380" s="1008" t="s">
        <v>21</v>
      </c>
      <c r="U380" s="1008" t="s">
        <v>649</v>
      </c>
      <c r="V380" s="1008" t="s">
        <v>648</v>
      </c>
      <c r="W380" s="1008" t="s">
        <v>546</v>
      </c>
      <c r="X380" s="1008"/>
      <c r="Y380" s="1008"/>
      <c r="Z380" s="1008"/>
      <c r="AA380" s="1008"/>
      <c r="AB380" s="1008"/>
      <c r="AC380" s="1008"/>
      <c r="AD380" s="1008"/>
      <c r="AE380" s="1008"/>
      <c r="AF380" s="1008"/>
      <c r="AG380" s="1008"/>
      <c r="AH380" s="1008"/>
      <c r="AI380" s="1008"/>
    </row>
    <row r="381" spans="1:35">
      <c r="A381" s="1008">
        <v>23860</v>
      </c>
      <c r="C381" s="1008">
        <v>6</v>
      </c>
      <c r="D381" s="1009">
        <v>13139999</v>
      </c>
      <c r="E381" s="1009">
        <v>13130000</v>
      </c>
      <c r="F381" s="1007" t="s">
        <v>4573</v>
      </c>
      <c r="O381" s="1007" t="s">
        <v>648</v>
      </c>
      <c r="P381" s="1007" t="s">
        <v>648</v>
      </c>
      <c r="S381" s="1008" t="s">
        <v>650</v>
      </c>
      <c r="T381" s="1008" t="s">
        <v>675</v>
      </c>
      <c r="U381" s="1008" t="s">
        <v>649</v>
      </c>
      <c r="V381" s="1008" t="s">
        <v>648</v>
      </c>
      <c r="W381" s="1008" t="s">
        <v>546</v>
      </c>
      <c r="X381" s="1008"/>
      <c r="Y381" s="1008"/>
      <c r="Z381" s="1008"/>
      <c r="AA381" s="1008"/>
      <c r="AB381" s="1008"/>
      <c r="AC381" s="1008"/>
      <c r="AD381" s="1008"/>
      <c r="AE381" s="1008"/>
      <c r="AF381" s="1008"/>
      <c r="AG381" s="1008"/>
      <c r="AH381" s="1008"/>
      <c r="AI381" s="1008"/>
    </row>
    <row r="382" spans="1:35">
      <c r="A382" s="1008">
        <v>23861</v>
      </c>
      <c r="B382" s="1008">
        <v>1506</v>
      </c>
      <c r="C382" s="1008">
        <v>7</v>
      </c>
      <c r="D382" s="1009">
        <v>13139999</v>
      </c>
      <c r="E382" s="1009">
        <v>13130300</v>
      </c>
      <c r="F382" s="1007" t="s">
        <v>4572</v>
      </c>
      <c r="G382" s="1007">
        <v>7</v>
      </c>
      <c r="H382" s="1010">
        <v>99999999</v>
      </c>
      <c r="I382" s="1009">
        <v>13130300</v>
      </c>
      <c r="J382" s="1007" t="s">
        <v>4572</v>
      </c>
      <c r="O382" s="1007" t="s">
        <v>648</v>
      </c>
      <c r="P382" s="1007" t="s">
        <v>648</v>
      </c>
      <c r="S382" s="1008" t="s">
        <v>650</v>
      </c>
      <c r="T382" s="1008" t="s">
        <v>654</v>
      </c>
      <c r="U382" s="1008" t="s">
        <v>649</v>
      </c>
      <c r="V382" s="1008" t="s">
        <v>648</v>
      </c>
      <c r="W382" s="1008" t="s">
        <v>546</v>
      </c>
      <c r="X382" s="1008" t="s">
        <v>670</v>
      </c>
      <c r="Y382" s="1008" t="s">
        <v>670</v>
      </c>
      <c r="Z382" s="1008" t="s">
        <v>670</v>
      </c>
      <c r="AA382" s="1008" t="s">
        <v>670</v>
      </c>
      <c r="AB382" s="1008" t="s">
        <v>670</v>
      </c>
      <c r="AC382" s="1008" t="s">
        <v>670</v>
      </c>
      <c r="AD382" s="1008" t="s">
        <v>670</v>
      </c>
      <c r="AE382" s="1008"/>
      <c r="AF382" s="1008" t="s">
        <v>670</v>
      </c>
      <c r="AG382" s="1008"/>
      <c r="AH382" s="1008"/>
      <c r="AI382" s="1008"/>
    </row>
    <row r="383" spans="1:35">
      <c r="A383" s="1008">
        <v>23862</v>
      </c>
      <c r="B383" s="1008">
        <v>1507</v>
      </c>
      <c r="C383" s="1008">
        <v>7</v>
      </c>
      <c r="D383" s="1009">
        <v>13139999</v>
      </c>
      <c r="E383" s="1009">
        <v>13130700</v>
      </c>
      <c r="F383" s="1007" t="s">
        <v>4571</v>
      </c>
      <c r="G383" s="1007">
        <v>7</v>
      </c>
      <c r="H383" s="1010">
        <v>99999999</v>
      </c>
      <c r="I383" s="1009">
        <v>13130700</v>
      </c>
      <c r="J383" s="1007" t="s">
        <v>4571</v>
      </c>
      <c r="O383" s="1007" t="s">
        <v>648</v>
      </c>
      <c r="P383" s="1007" t="s">
        <v>648</v>
      </c>
      <c r="S383" s="1008" t="s">
        <v>650</v>
      </c>
      <c r="T383" s="1008" t="s">
        <v>654</v>
      </c>
      <c r="U383" s="1008" t="s">
        <v>649</v>
      </c>
      <c r="V383" s="1008" t="s">
        <v>648</v>
      </c>
      <c r="W383" s="1008" t="s">
        <v>546</v>
      </c>
      <c r="X383" s="1008" t="s">
        <v>670</v>
      </c>
      <c r="Y383" s="1008" t="s">
        <v>670</v>
      </c>
      <c r="Z383" s="1008" t="s">
        <v>670</v>
      </c>
      <c r="AA383" s="1008" t="s">
        <v>670</v>
      </c>
      <c r="AB383" s="1008" t="s">
        <v>670</v>
      </c>
      <c r="AC383" s="1008" t="s">
        <v>670</v>
      </c>
      <c r="AD383" s="1008" t="s">
        <v>670</v>
      </c>
      <c r="AE383" s="1008"/>
      <c r="AF383" s="1008" t="s">
        <v>670</v>
      </c>
      <c r="AG383" s="1008"/>
      <c r="AH383" s="1008"/>
      <c r="AI383" s="1008"/>
    </row>
    <row r="384" spans="1:35">
      <c r="A384" s="1008">
        <v>23863</v>
      </c>
      <c r="B384" s="1008">
        <v>4799</v>
      </c>
      <c r="C384" s="1008">
        <v>7</v>
      </c>
      <c r="D384" s="1009">
        <v>13139999</v>
      </c>
      <c r="E384" s="1009">
        <v>13130800</v>
      </c>
      <c r="F384" s="1007" t="s">
        <v>4570</v>
      </c>
      <c r="G384" s="1007">
        <v>7</v>
      </c>
      <c r="H384" s="1010">
        <v>99999999</v>
      </c>
      <c r="I384" s="1009">
        <v>13130800</v>
      </c>
      <c r="J384" s="1007" t="s">
        <v>4570</v>
      </c>
      <c r="O384" s="1007" t="s">
        <v>648</v>
      </c>
      <c r="P384" s="1007" t="s">
        <v>648</v>
      </c>
      <c r="S384" s="1008" t="s">
        <v>650</v>
      </c>
      <c r="T384" s="1008" t="s">
        <v>654</v>
      </c>
      <c r="U384" s="1008" t="s">
        <v>649</v>
      </c>
      <c r="V384" s="1008" t="s">
        <v>648</v>
      </c>
      <c r="W384" s="1008" t="s">
        <v>546</v>
      </c>
      <c r="X384" s="1008" t="s">
        <v>670</v>
      </c>
      <c r="Y384" s="1008" t="s">
        <v>670</v>
      </c>
      <c r="Z384" s="1008" t="s">
        <v>670</v>
      </c>
      <c r="AA384" s="1008" t="s">
        <v>670</v>
      </c>
      <c r="AB384" s="1008" t="s">
        <v>670</v>
      </c>
      <c r="AC384" s="1008" t="s">
        <v>670</v>
      </c>
      <c r="AD384" s="1008" t="s">
        <v>670</v>
      </c>
      <c r="AE384" s="1008"/>
      <c r="AF384" s="1008" t="s">
        <v>670</v>
      </c>
      <c r="AG384" s="1008"/>
      <c r="AH384" s="1008"/>
      <c r="AI384" s="1008"/>
    </row>
    <row r="385" spans="1:35">
      <c r="A385" s="1008">
        <v>23864</v>
      </c>
      <c r="C385" s="1008">
        <v>6</v>
      </c>
      <c r="D385" s="1009">
        <v>13199900</v>
      </c>
      <c r="E385" s="1009">
        <v>13139999</v>
      </c>
      <c r="F385" s="1007" t="s">
        <v>4569</v>
      </c>
      <c r="O385" s="1007" t="s">
        <v>648</v>
      </c>
      <c r="P385" s="1007" t="s">
        <v>648</v>
      </c>
      <c r="S385" s="1008" t="s">
        <v>650</v>
      </c>
      <c r="T385" s="1008" t="s">
        <v>21</v>
      </c>
      <c r="U385" s="1008" t="s">
        <v>649</v>
      </c>
      <c r="V385" s="1008" t="s">
        <v>648</v>
      </c>
      <c r="W385" s="1008" t="s">
        <v>546</v>
      </c>
      <c r="X385" s="1008"/>
      <c r="Y385" s="1008"/>
      <c r="Z385" s="1008"/>
      <c r="AA385" s="1008"/>
      <c r="AB385" s="1008"/>
      <c r="AC385" s="1008"/>
      <c r="AD385" s="1008"/>
      <c r="AE385" s="1008"/>
      <c r="AF385" s="1008"/>
      <c r="AG385" s="1008"/>
      <c r="AH385" s="1008"/>
      <c r="AI385" s="1008"/>
    </row>
    <row r="386" spans="1:35">
      <c r="A386" s="1008">
        <v>23865</v>
      </c>
      <c r="C386" s="1008">
        <v>6</v>
      </c>
      <c r="D386" s="1009">
        <v>13149999</v>
      </c>
      <c r="E386" s="1009">
        <v>13140000</v>
      </c>
      <c r="F386" s="1007" t="s">
        <v>4568</v>
      </c>
      <c r="O386" s="1007" t="s">
        <v>648</v>
      </c>
      <c r="P386" s="1007" t="s">
        <v>648</v>
      </c>
      <c r="S386" s="1008" t="s">
        <v>650</v>
      </c>
      <c r="T386" s="1008" t="s">
        <v>675</v>
      </c>
      <c r="U386" s="1008" t="s">
        <v>649</v>
      </c>
      <c r="V386" s="1008" t="s">
        <v>648</v>
      </c>
      <c r="W386" s="1008" t="s">
        <v>546</v>
      </c>
      <c r="X386" s="1008"/>
      <c r="Y386" s="1008"/>
      <c r="Z386" s="1008"/>
      <c r="AA386" s="1008"/>
      <c r="AB386" s="1008"/>
      <c r="AC386" s="1008"/>
      <c r="AD386" s="1008"/>
      <c r="AE386" s="1008"/>
      <c r="AF386" s="1008"/>
      <c r="AG386" s="1008"/>
      <c r="AH386" s="1008"/>
      <c r="AI386" s="1008"/>
    </row>
    <row r="387" spans="1:35">
      <c r="A387" s="1008">
        <v>23866</v>
      </c>
      <c r="B387" s="1008">
        <v>1509</v>
      </c>
      <c r="C387" s="1008">
        <v>7</v>
      </c>
      <c r="D387" s="1009">
        <v>13149999</v>
      </c>
      <c r="E387" s="1009">
        <v>13140300</v>
      </c>
      <c r="F387" s="1007" t="s">
        <v>4567</v>
      </c>
      <c r="G387" s="1007">
        <v>7</v>
      </c>
      <c r="H387" s="1010">
        <v>99999999</v>
      </c>
      <c r="I387" s="1009">
        <v>13140300</v>
      </c>
      <c r="J387" s="1007" t="s">
        <v>4567</v>
      </c>
      <c r="O387" s="1007" t="s">
        <v>648</v>
      </c>
      <c r="P387" s="1007" t="s">
        <v>648</v>
      </c>
      <c r="S387" s="1008" t="s">
        <v>650</v>
      </c>
      <c r="T387" s="1008" t="s">
        <v>654</v>
      </c>
      <c r="U387" s="1008" t="s">
        <v>649</v>
      </c>
      <c r="V387" s="1008" t="s">
        <v>648</v>
      </c>
      <c r="W387" s="1008" t="s">
        <v>546</v>
      </c>
      <c r="X387" s="1008" t="s">
        <v>670</v>
      </c>
      <c r="Y387" s="1008" t="s">
        <v>670</v>
      </c>
      <c r="Z387" s="1008" t="s">
        <v>670</v>
      </c>
      <c r="AA387" s="1008" t="s">
        <v>670</v>
      </c>
      <c r="AB387" s="1008" t="s">
        <v>670</v>
      </c>
      <c r="AC387" s="1008" t="s">
        <v>670</v>
      </c>
      <c r="AD387" s="1008" t="s">
        <v>670</v>
      </c>
      <c r="AE387" s="1008"/>
      <c r="AF387" s="1008" t="s">
        <v>670</v>
      </c>
      <c r="AG387" s="1008"/>
      <c r="AH387" s="1008"/>
      <c r="AI387" s="1008"/>
    </row>
    <row r="388" spans="1:35">
      <c r="A388" s="1008">
        <v>23867</v>
      </c>
      <c r="B388" s="1008">
        <v>1510</v>
      </c>
      <c r="C388" s="1008">
        <v>7</v>
      </c>
      <c r="D388" s="1009">
        <v>13149999</v>
      </c>
      <c r="E388" s="1009">
        <v>13140400</v>
      </c>
      <c r="F388" s="1007" t="s">
        <v>4566</v>
      </c>
      <c r="G388" s="1007">
        <v>7</v>
      </c>
      <c r="H388" s="1010">
        <v>99999999</v>
      </c>
      <c r="I388" s="1009">
        <v>13140400</v>
      </c>
      <c r="J388" s="1007" t="s">
        <v>4566</v>
      </c>
      <c r="O388" s="1007" t="s">
        <v>648</v>
      </c>
      <c r="P388" s="1007" t="s">
        <v>648</v>
      </c>
      <c r="S388" s="1008" t="s">
        <v>650</v>
      </c>
      <c r="T388" s="1008" t="s">
        <v>654</v>
      </c>
      <c r="U388" s="1008" t="s">
        <v>649</v>
      </c>
      <c r="V388" s="1008" t="s">
        <v>648</v>
      </c>
      <c r="W388" s="1008" t="s">
        <v>546</v>
      </c>
      <c r="X388" s="1008" t="s">
        <v>670</v>
      </c>
      <c r="Y388" s="1008" t="s">
        <v>670</v>
      </c>
      <c r="Z388" s="1008" t="s">
        <v>670</v>
      </c>
      <c r="AA388" s="1008" t="s">
        <v>670</v>
      </c>
      <c r="AB388" s="1008" t="s">
        <v>670</v>
      </c>
      <c r="AC388" s="1008" t="s">
        <v>670</v>
      </c>
      <c r="AD388" s="1008" t="s">
        <v>670</v>
      </c>
      <c r="AE388" s="1008"/>
      <c r="AF388" s="1008" t="s">
        <v>670</v>
      </c>
      <c r="AG388" s="1008"/>
      <c r="AH388" s="1008"/>
      <c r="AI388" s="1008"/>
    </row>
    <row r="389" spans="1:35">
      <c r="A389" s="1008">
        <v>23868</v>
      </c>
      <c r="B389" s="1008">
        <v>1511</v>
      </c>
      <c r="C389" s="1008">
        <v>7</v>
      </c>
      <c r="D389" s="1009">
        <v>13149999</v>
      </c>
      <c r="E389" s="1009">
        <v>13140700</v>
      </c>
      <c r="F389" s="1007" t="s">
        <v>4565</v>
      </c>
      <c r="G389" s="1007">
        <v>7</v>
      </c>
      <c r="H389" s="1010">
        <v>99999999</v>
      </c>
      <c r="I389" s="1009">
        <v>13140700</v>
      </c>
      <c r="J389" s="1007" t="s">
        <v>4565</v>
      </c>
      <c r="O389" s="1007" t="s">
        <v>648</v>
      </c>
      <c r="P389" s="1007" t="s">
        <v>648</v>
      </c>
      <c r="S389" s="1008" t="s">
        <v>650</v>
      </c>
      <c r="T389" s="1008" t="s">
        <v>654</v>
      </c>
      <c r="U389" s="1008" t="s">
        <v>649</v>
      </c>
      <c r="V389" s="1008" t="s">
        <v>648</v>
      </c>
      <c r="W389" s="1008" t="s">
        <v>546</v>
      </c>
      <c r="X389" s="1008" t="s">
        <v>670</v>
      </c>
      <c r="Y389" s="1008" t="s">
        <v>670</v>
      </c>
      <c r="Z389" s="1008" t="s">
        <v>670</v>
      </c>
      <c r="AA389" s="1008" t="s">
        <v>670</v>
      </c>
      <c r="AB389" s="1008" t="s">
        <v>670</v>
      </c>
      <c r="AC389" s="1008" t="s">
        <v>670</v>
      </c>
      <c r="AD389" s="1008" t="s">
        <v>670</v>
      </c>
      <c r="AE389" s="1008"/>
      <c r="AF389" s="1008" t="s">
        <v>670</v>
      </c>
      <c r="AG389" s="1008"/>
      <c r="AH389" s="1008"/>
      <c r="AI389" s="1008"/>
    </row>
    <row r="390" spans="1:35">
      <c r="A390" s="1008">
        <v>23869</v>
      </c>
      <c r="B390" s="1008">
        <v>4801</v>
      </c>
      <c r="C390" s="1008">
        <v>7</v>
      </c>
      <c r="D390" s="1009">
        <v>13149999</v>
      </c>
      <c r="E390" s="1009">
        <v>13140800</v>
      </c>
      <c r="F390" s="1007" t="s">
        <v>4564</v>
      </c>
      <c r="G390" s="1007">
        <v>7</v>
      </c>
      <c r="H390" s="1010">
        <v>99999999</v>
      </c>
      <c r="I390" s="1009">
        <v>13140800</v>
      </c>
      <c r="J390" s="1007" t="s">
        <v>4564</v>
      </c>
      <c r="O390" s="1007" t="s">
        <v>648</v>
      </c>
      <c r="P390" s="1007" t="s">
        <v>648</v>
      </c>
      <c r="S390" s="1008" t="s">
        <v>650</v>
      </c>
      <c r="T390" s="1008" t="s">
        <v>654</v>
      </c>
      <c r="U390" s="1008" t="s">
        <v>649</v>
      </c>
      <c r="V390" s="1008" t="s">
        <v>648</v>
      </c>
      <c r="W390" s="1008" t="s">
        <v>546</v>
      </c>
      <c r="X390" s="1008" t="s">
        <v>670</v>
      </c>
      <c r="Y390" s="1008" t="s">
        <v>670</v>
      </c>
      <c r="Z390" s="1008" t="s">
        <v>670</v>
      </c>
      <c r="AA390" s="1008" t="s">
        <v>670</v>
      </c>
      <c r="AB390" s="1008" t="s">
        <v>670</v>
      </c>
      <c r="AC390" s="1008" t="s">
        <v>670</v>
      </c>
      <c r="AD390" s="1008" t="s">
        <v>670</v>
      </c>
      <c r="AE390" s="1008"/>
      <c r="AF390" s="1008" t="s">
        <v>670</v>
      </c>
      <c r="AG390" s="1008"/>
      <c r="AH390" s="1008"/>
      <c r="AI390" s="1008"/>
    </row>
    <row r="391" spans="1:35">
      <c r="A391" s="1008">
        <v>23870</v>
      </c>
      <c r="C391" s="1008">
        <v>6</v>
      </c>
      <c r="D391" s="1009">
        <v>13199900</v>
      </c>
      <c r="E391" s="1009">
        <v>13149999</v>
      </c>
      <c r="F391" s="1007" t="s">
        <v>4563</v>
      </c>
      <c r="O391" s="1007" t="s">
        <v>648</v>
      </c>
      <c r="P391" s="1007" t="s">
        <v>648</v>
      </c>
      <c r="S391" s="1008" t="s">
        <v>650</v>
      </c>
      <c r="T391" s="1008" t="s">
        <v>21</v>
      </c>
      <c r="U391" s="1008" t="s">
        <v>649</v>
      </c>
      <c r="V391" s="1008" t="s">
        <v>648</v>
      </c>
      <c r="W391" s="1008" t="s">
        <v>546</v>
      </c>
      <c r="X391" s="1008"/>
      <c r="Y391" s="1008"/>
      <c r="Z391" s="1008"/>
      <c r="AA391" s="1008"/>
      <c r="AB391" s="1008"/>
      <c r="AC391" s="1008"/>
      <c r="AD391" s="1008"/>
      <c r="AE391" s="1008"/>
      <c r="AF391" s="1008"/>
      <c r="AG391" s="1008"/>
      <c r="AH391" s="1008"/>
      <c r="AI391" s="1008"/>
    </row>
    <row r="392" spans="1:35">
      <c r="A392" s="1008">
        <v>23871</v>
      </c>
      <c r="C392" s="1008">
        <v>5</v>
      </c>
      <c r="D392" s="1009">
        <v>13199999</v>
      </c>
      <c r="E392" s="1009">
        <v>13199900</v>
      </c>
      <c r="F392" s="1007" t="s">
        <v>4562</v>
      </c>
      <c r="O392" s="1007" t="s">
        <v>648</v>
      </c>
      <c r="P392" s="1007" t="s">
        <v>648</v>
      </c>
      <c r="S392" s="1008" t="s">
        <v>650</v>
      </c>
      <c r="T392" s="1008" t="s">
        <v>21</v>
      </c>
      <c r="U392" s="1008" t="s">
        <v>649</v>
      </c>
      <c r="V392" s="1008" t="s">
        <v>648</v>
      </c>
      <c r="W392" s="1008" t="s">
        <v>546</v>
      </c>
      <c r="X392" s="1008"/>
      <c r="Y392" s="1008"/>
      <c r="Z392" s="1008"/>
      <c r="AA392" s="1008"/>
      <c r="AB392" s="1008"/>
      <c r="AC392" s="1008"/>
      <c r="AD392" s="1008"/>
      <c r="AE392" s="1008"/>
      <c r="AF392" s="1008"/>
      <c r="AG392" s="1008"/>
      <c r="AH392" s="1008"/>
      <c r="AI392" s="1008"/>
    </row>
    <row r="393" spans="1:35">
      <c r="A393" s="1008">
        <v>23872</v>
      </c>
      <c r="C393" s="1008">
        <v>4</v>
      </c>
      <c r="D393" s="1009">
        <v>19999998</v>
      </c>
      <c r="E393" s="1009">
        <v>13199999</v>
      </c>
      <c r="F393" s="1007" t="s">
        <v>4561</v>
      </c>
      <c r="O393" s="1007" t="s">
        <v>648</v>
      </c>
      <c r="P393" s="1007" t="s">
        <v>648</v>
      </c>
      <c r="S393" s="1008" t="s">
        <v>650</v>
      </c>
      <c r="T393" s="1008" t="s">
        <v>21</v>
      </c>
      <c r="U393" s="1008" t="s">
        <v>649</v>
      </c>
      <c r="V393" s="1008" t="s">
        <v>648</v>
      </c>
      <c r="W393" s="1008" t="s">
        <v>546</v>
      </c>
      <c r="X393" s="1008"/>
      <c r="Y393" s="1008"/>
      <c r="Z393" s="1008"/>
      <c r="AA393" s="1008"/>
      <c r="AB393" s="1008"/>
      <c r="AC393" s="1008"/>
      <c r="AD393" s="1008"/>
      <c r="AE393" s="1008"/>
      <c r="AF393" s="1008"/>
      <c r="AG393" s="1008"/>
      <c r="AH393" s="1008"/>
      <c r="AI393" s="1008"/>
    </row>
    <row r="394" spans="1:35">
      <c r="A394" s="1008">
        <v>23873</v>
      </c>
      <c r="C394" s="1008">
        <v>4</v>
      </c>
      <c r="D394" s="1009">
        <v>13699999</v>
      </c>
      <c r="E394" s="1009">
        <v>13500000</v>
      </c>
      <c r="F394" s="1007" t="s">
        <v>4560</v>
      </c>
      <c r="O394" s="1007" t="s">
        <v>648</v>
      </c>
      <c r="P394" s="1007" t="s">
        <v>648</v>
      </c>
      <c r="S394" s="1008" t="s">
        <v>650</v>
      </c>
      <c r="T394" s="1008" t="s">
        <v>675</v>
      </c>
      <c r="U394" s="1008" t="s">
        <v>649</v>
      </c>
      <c r="V394" s="1008" t="s">
        <v>648</v>
      </c>
      <c r="W394" s="1008" t="s">
        <v>546</v>
      </c>
      <c r="X394" s="1008"/>
      <c r="Y394" s="1008"/>
      <c r="Z394" s="1008"/>
      <c r="AA394" s="1008"/>
      <c r="AB394" s="1008"/>
      <c r="AC394" s="1008"/>
      <c r="AD394" s="1008"/>
      <c r="AE394" s="1008"/>
      <c r="AF394" s="1008"/>
      <c r="AG394" s="1008"/>
      <c r="AH394" s="1008"/>
      <c r="AI394" s="1008"/>
    </row>
    <row r="395" spans="1:35">
      <c r="A395" s="1008">
        <v>23874</v>
      </c>
      <c r="C395" s="1008">
        <v>5</v>
      </c>
      <c r="D395" s="1009">
        <v>13599999</v>
      </c>
      <c r="E395" s="1009">
        <v>13501000</v>
      </c>
      <c r="F395" s="1007" t="s">
        <v>4559</v>
      </c>
      <c r="O395" s="1007" t="s">
        <v>648</v>
      </c>
      <c r="P395" s="1007" t="s">
        <v>648</v>
      </c>
      <c r="S395" s="1008" t="s">
        <v>650</v>
      </c>
      <c r="T395" s="1008" t="s">
        <v>675</v>
      </c>
      <c r="U395" s="1008" t="s">
        <v>649</v>
      </c>
      <c r="V395" s="1008" t="s">
        <v>648</v>
      </c>
      <c r="W395" s="1008" t="s">
        <v>546</v>
      </c>
      <c r="X395" s="1008"/>
      <c r="Y395" s="1008"/>
      <c r="Z395" s="1008"/>
      <c r="AA395" s="1008"/>
      <c r="AB395" s="1008"/>
      <c r="AC395" s="1008"/>
      <c r="AD395" s="1008"/>
      <c r="AE395" s="1008"/>
      <c r="AF395" s="1008"/>
      <c r="AG395" s="1008"/>
      <c r="AH395" s="1008"/>
      <c r="AI395" s="1008"/>
    </row>
    <row r="396" spans="1:35">
      <c r="A396" s="1008">
        <v>23875</v>
      </c>
      <c r="C396" s="1008">
        <v>6</v>
      </c>
      <c r="D396" s="1009">
        <v>13519999</v>
      </c>
      <c r="E396" s="1009">
        <v>13510000</v>
      </c>
      <c r="F396" s="1007" t="s">
        <v>4558</v>
      </c>
      <c r="O396" s="1007" t="s">
        <v>648</v>
      </c>
      <c r="P396" s="1007" t="s">
        <v>648</v>
      </c>
      <c r="S396" s="1008" t="s">
        <v>650</v>
      </c>
      <c r="T396" s="1008" t="s">
        <v>675</v>
      </c>
      <c r="U396" s="1008" t="s">
        <v>649</v>
      </c>
      <c r="V396" s="1008" t="s">
        <v>648</v>
      </c>
      <c r="W396" s="1008" t="s">
        <v>546</v>
      </c>
      <c r="X396" s="1008"/>
      <c r="Y396" s="1008"/>
      <c r="Z396" s="1008"/>
      <c r="AA396" s="1008"/>
      <c r="AB396" s="1008"/>
      <c r="AC396" s="1008"/>
      <c r="AD396" s="1008"/>
      <c r="AE396" s="1008"/>
      <c r="AF396" s="1008"/>
      <c r="AG396" s="1008"/>
      <c r="AH396" s="1008"/>
      <c r="AI396" s="1008"/>
    </row>
    <row r="397" spans="1:35">
      <c r="A397" s="1008">
        <v>26493</v>
      </c>
      <c r="B397" s="1008">
        <v>1513</v>
      </c>
      <c r="C397" s="1008">
        <v>7</v>
      </c>
      <c r="D397" s="1009">
        <v>13519999</v>
      </c>
      <c r="E397" s="1009">
        <v>13510200</v>
      </c>
      <c r="F397" s="1007" t="s">
        <v>4557</v>
      </c>
      <c r="G397" s="1007">
        <v>7</v>
      </c>
      <c r="H397" s="1010">
        <v>99999999</v>
      </c>
      <c r="I397" s="1009">
        <v>13510200</v>
      </c>
      <c r="J397" s="1007" t="s">
        <v>4557</v>
      </c>
      <c r="O397" s="1007" t="s">
        <v>648</v>
      </c>
      <c r="P397" s="1007" t="s">
        <v>648</v>
      </c>
      <c r="S397" s="1008" t="s">
        <v>650</v>
      </c>
      <c r="T397" s="1008" t="s">
        <v>654</v>
      </c>
      <c r="U397" s="1008" t="s">
        <v>649</v>
      </c>
      <c r="V397" s="1008" t="s">
        <v>648</v>
      </c>
      <c r="W397" s="1008" t="s">
        <v>546</v>
      </c>
      <c r="X397" s="1008" t="s">
        <v>670</v>
      </c>
      <c r="Y397" s="1008" t="s">
        <v>670</v>
      </c>
      <c r="Z397" s="1008" t="s">
        <v>670</v>
      </c>
      <c r="AA397" s="1008" t="s">
        <v>670</v>
      </c>
      <c r="AB397" s="1008" t="s">
        <v>670</v>
      </c>
      <c r="AC397" s="1008"/>
      <c r="AD397" s="1008"/>
      <c r="AE397" s="1008"/>
      <c r="AF397" s="1008" t="s">
        <v>670</v>
      </c>
      <c r="AG397" s="1008"/>
      <c r="AH397" s="1008"/>
      <c r="AI397" s="1008"/>
    </row>
    <row r="398" spans="1:35">
      <c r="A398" s="1008">
        <v>23877</v>
      </c>
      <c r="B398" s="1008">
        <v>1514</v>
      </c>
      <c r="C398" s="1008">
        <v>7</v>
      </c>
      <c r="D398" s="1009">
        <v>13519999</v>
      </c>
      <c r="E398" s="1009">
        <v>13510300</v>
      </c>
      <c r="F398" s="1007" t="s">
        <v>4556</v>
      </c>
      <c r="G398" s="1007">
        <v>7</v>
      </c>
      <c r="H398" s="1010">
        <v>99999999</v>
      </c>
      <c r="I398" s="1009">
        <v>13510300</v>
      </c>
      <c r="J398" s="1007" t="s">
        <v>4556</v>
      </c>
      <c r="O398" s="1007" t="s">
        <v>648</v>
      </c>
      <c r="P398" s="1007" t="s">
        <v>648</v>
      </c>
      <c r="S398" s="1008" t="s">
        <v>650</v>
      </c>
      <c r="T398" s="1008" t="s">
        <v>654</v>
      </c>
      <c r="U398" s="1008" t="s">
        <v>649</v>
      </c>
      <c r="V398" s="1008" t="s">
        <v>648</v>
      </c>
      <c r="W398" s="1008" t="s">
        <v>546</v>
      </c>
      <c r="X398" s="1008" t="s">
        <v>670</v>
      </c>
      <c r="Y398" s="1008" t="s">
        <v>670</v>
      </c>
      <c r="Z398" s="1008" t="s">
        <v>670</v>
      </c>
      <c r="AA398" s="1008"/>
      <c r="AB398" s="1008" t="s">
        <v>670</v>
      </c>
      <c r="AC398" s="1008"/>
      <c r="AD398" s="1008"/>
      <c r="AE398" s="1008"/>
      <c r="AF398" s="1008" t="s">
        <v>670</v>
      </c>
      <c r="AG398" s="1008"/>
      <c r="AH398" s="1008"/>
      <c r="AI398" s="1008"/>
    </row>
    <row r="399" spans="1:35">
      <c r="A399" s="1008">
        <v>23878</v>
      </c>
      <c r="B399" s="1008">
        <v>1515</v>
      </c>
      <c r="C399" s="1008">
        <v>7</v>
      </c>
      <c r="D399" s="1009">
        <v>13519999</v>
      </c>
      <c r="E399" s="1009">
        <v>13510500</v>
      </c>
      <c r="F399" s="1007" t="s">
        <v>4555</v>
      </c>
      <c r="G399" s="1007">
        <v>7</v>
      </c>
      <c r="H399" s="1010">
        <v>99999999</v>
      </c>
      <c r="I399" s="1009">
        <v>13510500</v>
      </c>
      <c r="J399" s="1007" t="s">
        <v>4555</v>
      </c>
      <c r="O399" s="1007" t="s">
        <v>648</v>
      </c>
      <c r="P399" s="1007" t="s">
        <v>648</v>
      </c>
      <c r="S399" s="1008" t="s">
        <v>650</v>
      </c>
      <c r="T399" s="1008" t="s">
        <v>654</v>
      </c>
      <c r="U399" s="1008" t="s">
        <v>649</v>
      </c>
      <c r="V399" s="1008" t="s">
        <v>648</v>
      </c>
      <c r="W399" s="1008" t="s">
        <v>546</v>
      </c>
      <c r="X399" s="1008" t="s">
        <v>670</v>
      </c>
      <c r="Y399" s="1008" t="s">
        <v>670</v>
      </c>
      <c r="Z399" s="1008" t="s">
        <v>670</v>
      </c>
      <c r="AA399" s="1008"/>
      <c r="AB399" s="1008" t="s">
        <v>670</v>
      </c>
      <c r="AC399" s="1008"/>
      <c r="AD399" s="1008"/>
      <c r="AE399" s="1008"/>
      <c r="AF399" s="1008" t="s">
        <v>670</v>
      </c>
      <c r="AG399" s="1008"/>
      <c r="AH399" s="1008"/>
      <c r="AI399" s="1008"/>
    </row>
    <row r="400" spans="1:35">
      <c r="A400" s="1008">
        <v>23879</v>
      </c>
      <c r="B400" s="1008">
        <v>4807</v>
      </c>
      <c r="C400" s="1008">
        <v>7</v>
      </c>
      <c r="D400" s="1009">
        <v>13519999</v>
      </c>
      <c r="E400" s="1009">
        <v>13510600</v>
      </c>
      <c r="F400" s="1007" t="s">
        <v>4554</v>
      </c>
      <c r="G400" s="1007">
        <v>7</v>
      </c>
      <c r="H400" s="1010">
        <v>99999999</v>
      </c>
      <c r="I400" s="1009">
        <v>13510600</v>
      </c>
      <c r="J400" s="1007" t="s">
        <v>4554</v>
      </c>
      <c r="O400" s="1007" t="s">
        <v>648</v>
      </c>
      <c r="P400" s="1007" t="s">
        <v>648</v>
      </c>
      <c r="S400" s="1008" t="s">
        <v>650</v>
      </c>
      <c r="T400" s="1008" t="s">
        <v>654</v>
      </c>
      <c r="U400" s="1008" t="s">
        <v>649</v>
      </c>
      <c r="V400" s="1008" t="s">
        <v>648</v>
      </c>
      <c r="W400" s="1008" t="s">
        <v>546</v>
      </c>
      <c r="X400" s="1008" t="s">
        <v>670</v>
      </c>
      <c r="Y400" s="1008" t="s">
        <v>670</v>
      </c>
      <c r="Z400" s="1008" t="s">
        <v>670</v>
      </c>
      <c r="AA400" s="1008"/>
      <c r="AB400" s="1008" t="s">
        <v>670</v>
      </c>
      <c r="AC400" s="1008"/>
      <c r="AD400" s="1008"/>
      <c r="AE400" s="1008"/>
      <c r="AF400" s="1008" t="s">
        <v>670</v>
      </c>
      <c r="AG400" s="1008"/>
      <c r="AH400" s="1008"/>
      <c r="AI400" s="1008"/>
    </row>
    <row r="401" spans="1:35">
      <c r="A401" s="1008">
        <v>23881</v>
      </c>
      <c r="C401" s="1008">
        <v>6</v>
      </c>
      <c r="D401" s="1009">
        <v>13599999</v>
      </c>
      <c r="E401" s="1009">
        <v>13519999</v>
      </c>
      <c r="F401" s="1007" t="s">
        <v>4553</v>
      </c>
      <c r="O401" s="1007" t="s">
        <v>648</v>
      </c>
      <c r="P401" s="1007" t="s">
        <v>648</v>
      </c>
      <c r="S401" s="1008" t="s">
        <v>650</v>
      </c>
      <c r="T401" s="1008" t="s">
        <v>21</v>
      </c>
      <c r="U401" s="1008" t="s">
        <v>649</v>
      </c>
      <c r="V401" s="1008" t="s">
        <v>648</v>
      </c>
      <c r="W401" s="1008" t="s">
        <v>546</v>
      </c>
      <c r="X401" s="1008"/>
      <c r="Y401" s="1008"/>
      <c r="Z401" s="1008"/>
      <c r="AA401" s="1008"/>
      <c r="AB401" s="1008"/>
      <c r="AC401" s="1008"/>
      <c r="AD401" s="1008"/>
      <c r="AE401" s="1008"/>
      <c r="AF401" s="1008"/>
      <c r="AG401" s="1008"/>
      <c r="AH401" s="1008"/>
      <c r="AI401" s="1008"/>
    </row>
    <row r="402" spans="1:35">
      <c r="A402" s="1008">
        <v>23882</v>
      </c>
      <c r="C402" s="1008">
        <v>6</v>
      </c>
      <c r="D402" s="1009">
        <v>13529999</v>
      </c>
      <c r="E402" s="1009">
        <v>13520000</v>
      </c>
      <c r="F402" s="1007" t="s">
        <v>4552</v>
      </c>
      <c r="O402" s="1007" t="s">
        <v>648</v>
      </c>
      <c r="P402" s="1007" t="s">
        <v>648</v>
      </c>
      <c r="S402" s="1008" t="s">
        <v>650</v>
      </c>
      <c r="T402" s="1008" t="s">
        <v>675</v>
      </c>
      <c r="U402" s="1008" t="s">
        <v>649</v>
      </c>
      <c r="V402" s="1008" t="s">
        <v>648</v>
      </c>
      <c r="W402" s="1008" t="s">
        <v>546</v>
      </c>
      <c r="X402" s="1008"/>
      <c r="Y402" s="1008"/>
      <c r="Z402" s="1008"/>
      <c r="AA402" s="1008"/>
      <c r="AB402" s="1008"/>
      <c r="AC402" s="1008"/>
      <c r="AD402" s="1008"/>
      <c r="AE402" s="1008"/>
      <c r="AF402" s="1008"/>
      <c r="AG402" s="1008"/>
      <c r="AH402" s="1008"/>
      <c r="AI402" s="1008"/>
    </row>
    <row r="403" spans="1:35">
      <c r="A403" s="1008">
        <v>23883</v>
      </c>
      <c r="B403" s="1008">
        <v>1517</v>
      </c>
      <c r="C403" s="1008">
        <v>7</v>
      </c>
      <c r="D403" s="1009">
        <v>13529999</v>
      </c>
      <c r="E403" s="1009">
        <v>13520200</v>
      </c>
      <c r="F403" s="1007" t="s">
        <v>4551</v>
      </c>
      <c r="G403" s="1007">
        <v>7</v>
      </c>
      <c r="H403" s="1010">
        <v>99999999</v>
      </c>
      <c r="I403" s="1009">
        <v>13520200</v>
      </c>
      <c r="J403" s="1007" t="s">
        <v>4551</v>
      </c>
      <c r="O403" s="1007" t="s">
        <v>648</v>
      </c>
      <c r="P403" s="1007" t="s">
        <v>648</v>
      </c>
      <c r="S403" s="1008" t="s">
        <v>650</v>
      </c>
      <c r="T403" s="1008" t="s">
        <v>654</v>
      </c>
      <c r="U403" s="1008" t="s">
        <v>649</v>
      </c>
      <c r="V403" s="1008" t="s">
        <v>648</v>
      </c>
      <c r="W403" s="1008" t="s">
        <v>546</v>
      </c>
      <c r="X403" s="1008" t="s">
        <v>670</v>
      </c>
      <c r="Y403" s="1008" t="s">
        <v>670</v>
      </c>
      <c r="Z403" s="1008" t="s">
        <v>670</v>
      </c>
      <c r="AA403" s="1008"/>
      <c r="AB403" s="1008" t="s">
        <v>670</v>
      </c>
      <c r="AC403" s="1008"/>
      <c r="AD403" s="1008"/>
      <c r="AE403" s="1008"/>
      <c r="AF403" s="1008" t="s">
        <v>670</v>
      </c>
      <c r="AG403" s="1008"/>
      <c r="AH403" s="1008"/>
      <c r="AI403" s="1008"/>
    </row>
    <row r="404" spans="1:35">
      <c r="A404" s="1008">
        <v>23884</v>
      </c>
      <c r="B404" s="1008">
        <v>1518</v>
      </c>
      <c r="C404" s="1008">
        <v>7</v>
      </c>
      <c r="D404" s="1009">
        <v>13529999</v>
      </c>
      <c r="E404" s="1009">
        <v>13520500</v>
      </c>
      <c r="F404" s="1007" t="s">
        <v>4550</v>
      </c>
      <c r="G404" s="1007">
        <v>7</v>
      </c>
      <c r="H404" s="1010">
        <v>99999999</v>
      </c>
      <c r="I404" s="1009">
        <v>13520500</v>
      </c>
      <c r="J404" s="1007" t="s">
        <v>4550</v>
      </c>
      <c r="O404" s="1007" t="s">
        <v>648</v>
      </c>
      <c r="P404" s="1007" t="s">
        <v>648</v>
      </c>
      <c r="S404" s="1008" t="s">
        <v>650</v>
      </c>
      <c r="T404" s="1008" t="s">
        <v>654</v>
      </c>
      <c r="U404" s="1008" t="s">
        <v>649</v>
      </c>
      <c r="V404" s="1008" t="s">
        <v>648</v>
      </c>
      <c r="W404" s="1008" t="s">
        <v>546</v>
      </c>
      <c r="X404" s="1008" t="s">
        <v>670</v>
      </c>
      <c r="Y404" s="1008" t="s">
        <v>670</v>
      </c>
      <c r="Z404" s="1008" t="s">
        <v>670</v>
      </c>
      <c r="AA404" s="1008"/>
      <c r="AB404" s="1008" t="s">
        <v>670</v>
      </c>
      <c r="AC404" s="1008"/>
      <c r="AD404" s="1008"/>
      <c r="AE404" s="1008"/>
      <c r="AF404" s="1008" t="s">
        <v>670</v>
      </c>
      <c r="AG404" s="1008"/>
      <c r="AH404" s="1008"/>
      <c r="AI404" s="1008"/>
    </row>
    <row r="405" spans="1:35">
      <c r="A405" s="1008">
        <v>23885</v>
      </c>
      <c r="B405" s="1008">
        <v>1519</v>
      </c>
      <c r="C405" s="1008">
        <v>7</v>
      </c>
      <c r="D405" s="1009">
        <v>13529999</v>
      </c>
      <c r="E405" s="1009">
        <v>13520600</v>
      </c>
      <c r="F405" s="1007" t="s">
        <v>4549</v>
      </c>
      <c r="G405" s="1007">
        <v>7</v>
      </c>
      <c r="H405" s="1010">
        <v>99999999</v>
      </c>
      <c r="I405" s="1009">
        <v>13520600</v>
      </c>
      <c r="J405" s="1007" t="s">
        <v>4549</v>
      </c>
      <c r="O405" s="1007" t="s">
        <v>648</v>
      </c>
      <c r="P405" s="1007" t="s">
        <v>648</v>
      </c>
      <c r="S405" s="1008" t="s">
        <v>650</v>
      </c>
      <c r="T405" s="1008" t="s">
        <v>654</v>
      </c>
      <c r="U405" s="1008" t="s">
        <v>649</v>
      </c>
      <c r="V405" s="1008" t="s">
        <v>648</v>
      </c>
      <c r="W405" s="1008" t="s">
        <v>546</v>
      </c>
      <c r="X405" s="1008" t="s">
        <v>670</v>
      </c>
      <c r="Y405" s="1008" t="s">
        <v>670</v>
      </c>
      <c r="Z405" s="1008" t="s">
        <v>670</v>
      </c>
      <c r="AA405" s="1008"/>
      <c r="AB405" s="1008" t="s">
        <v>670</v>
      </c>
      <c r="AC405" s="1008"/>
      <c r="AD405" s="1008"/>
      <c r="AE405" s="1008"/>
      <c r="AF405" s="1008" t="s">
        <v>670</v>
      </c>
      <c r="AG405" s="1008"/>
      <c r="AH405" s="1008"/>
      <c r="AI405" s="1008"/>
    </row>
    <row r="406" spans="1:35">
      <c r="A406" s="1008">
        <v>23886</v>
      </c>
      <c r="B406" s="1008">
        <v>4809</v>
      </c>
      <c r="C406" s="1008">
        <v>7</v>
      </c>
      <c r="D406" s="1009">
        <v>13529999</v>
      </c>
      <c r="E406" s="1009">
        <v>13520700</v>
      </c>
      <c r="F406" s="1007" t="s">
        <v>4548</v>
      </c>
      <c r="G406" s="1007">
        <v>7</v>
      </c>
      <c r="H406" s="1010">
        <v>99999999</v>
      </c>
      <c r="I406" s="1009">
        <v>13520700</v>
      </c>
      <c r="J406" s="1007" t="s">
        <v>4548</v>
      </c>
      <c r="O406" s="1007" t="s">
        <v>648</v>
      </c>
      <c r="P406" s="1007" t="s">
        <v>648</v>
      </c>
      <c r="S406" s="1008" t="s">
        <v>650</v>
      </c>
      <c r="T406" s="1008" t="s">
        <v>654</v>
      </c>
      <c r="U406" s="1008" t="s">
        <v>649</v>
      </c>
      <c r="V406" s="1008" t="s">
        <v>648</v>
      </c>
      <c r="W406" s="1008" t="s">
        <v>546</v>
      </c>
      <c r="X406" s="1008" t="s">
        <v>670</v>
      </c>
      <c r="Y406" s="1008" t="s">
        <v>670</v>
      </c>
      <c r="Z406" s="1008" t="s">
        <v>670</v>
      </c>
      <c r="AA406" s="1008"/>
      <c r="AB406" s="1008" t="s">
        <v>670</v>
      </c>
      <c r="AC406" s="1008"/>
      <c r="AD406" s="1008"/>
      <c r="AE406" s="1008"/>
      <c r="AF406" s="1008" t="s">
        <v>670</v>
      </c>
      <c r="AG406" s="1008"/>
      <c r="AH406" s="1008"/>
      <c r="AI406" s="1008"/>
    </row>
    <row r="407" spans="1:35">
      <c r="A407" s="1008">
        <v>23888</v>
      </c>
      <c r="C407" s="1008">
        <v>6</v>
      </c>
      <c r="D407" s="1009">
        <v>13599999</v>
      </c>
      <c r="E407" s="1009">
        <v>13529999</v>
      </c>
      <c r="F407" s="1007" t="s">
        <v>4547</v>
      </c>
      <c r="O407" s="1007" t="s">
        <v>648</v>
      </c>
      <c r="P407" s="1007" t="s">
        <v>648</v>
      </c>
      <c r="S407" s="1008" t="s">
        <v>650</v>
      </c>
      <c r="T407" s="1008" t="s">
        <v>21</v>
      </c>
      <c r="U407" s="1008" t="s">
        <v>649</v>
      </c>
      <c r="V407" s="1008" t="s">
        <v>648</v>
      </c>
      <c r="W407" s="1008" t="s">
        <v>546</v>
      </c>
      <c r="X407" s="1008"/>
      <c r="Y407" s="1008"/>
      <c r="Z407" s="1008"/>
      <c r="AA407" s="1008"/>
      <c r="AB407" s="1008"/>
      <c r="AC407" s="1008"/>
      <c r="AD407" s="1008"/>
      <c r="AE407" s="1008"/>
      <c r="AF407" s="1008"/>
      <c r="AG407" s="1008"/>
      <c r="AH407" s="1008"/>
      <c r="AI407" s="1008"/>
    </row>
    <row r="408" spans="1:35">
      <c r="A408" s="1008">
        <v>23889</v>
      </c>
      <c r="C408" s="1008">
        <v>5</v>
      </c>
      <c r="D408" s="1009">
        <v>13699999</v>
      </c>
      <c r="E408" s="1009">
        <v>13599999</v>
      </c>
      <c r="F408" s="1007" t="s">
        <v>4546</v>
      </c>
      <c r="O408" s="1007" t="s">
        <v>648</v>
      </c>
      <c r="P408" s="1007" t="s">
        <v>648</v>
      </c>
      <c r="S408" s="1008" t="s">
        <v>650</v>
      </c>
      <c r="T408" s="1008" t="s">
        <v>21</v>
      </c>
      <c r="U408" s="1008" t="s">
        <v>649</v>
      </c>
      <c r="V408" s="1008" t="s">
        <v>648</v>
      </c>
      <c r="W408" s="1008" t="s">
        <v>546</v>
      </c>
      <c r="X408" s="1008"/>
      <c r="Y408" s="1008"/>
      <c r="Z408" s="1008"/>
      <c r="AA408" s="1008"/>
      <c r="AB408" s="1008"/>
      <c r="AC408" s="1008"/>
      <c r="AD408" s="1008"/>
      <c r="AE408" s="1008"/>
      <c r="AF408" s="1008"/>
      <c r="AG408" s="1008"/>
      <c r="AH408" s="1008"/>
      <c r="AI408" s="1008"/>
    </row>
    <row r="409" spans="1:35">
      <c r="A409" s="1008">
        <v>23890</v>
      </c>
      <c r="C409" s="1008">
        <v>5</v>
      </c>
      <c r="D409" s="1009">
        <v>13699900</v>
      </c>
      <c r="E409" s="1009">
        <v>13600000</v>
      </c>
      <c r="F409" s="1007" t="s">
        <v>4545</v>
      </c>
      <c r="O409" s="1007" t="s">
        <v>648</v>
      </c>
      <c r="P409" s="1007" t="s">
        <v>648</v>
      </c>
      <c r="S409" s="1008" t="s">
        <v>650</v>
      </c>
      <c r="T409" s="1008" t="s">
        <v>675</v>
      </c>
      <c r="U409" s="1008" t="s">
        <v>649</v>
      </c>
      <c r="V409" s="1008" t="s">
        <v>648</v>
      </c>
      <c r="W409" s="1008" t="s">
        <v>546</v>
      </c>
      <c r="X409" s="1008"/>
      <c r="Y409" s="1008"/>
      <c r="Z409" s="1008"/>
      <c r="AA409" s="1008"/>
      <c r="AB409" s="1008"/>
      <c r="AC409" s="1008"/>
      <c r="AD409" s="1008"/>
      <c r="AE409" s="1008"/>
      <c r="AF409" s="1008"/>
      <c r="AG409" s="1008"/>
      <c r="AH409" s="1008"/>
      <c r="AI409" s="1008"/>
    </row>
    <row r="410" spans="1:35">
      <c r="A410" s="1008">
        <v>23891</v>
      </c>
      <c r="C410" s="1008">
        <v>6</v>
      </c>
      <c r="D410" s="1009">
        <v>13610999</v>
      </c>
      <c r="E410" s="1009">
        <v>13610000</v>
      </c>
      <c r="F410" s="1007" t="s">
        <v>4544</v>
      </c>
      <c r="O410" s="1007" t="s">
        <v>648</v>
      </c>
      <c r="P410" s="1007" t="s">
        <v>648</v>
      </c>
      <c r="S410" s="1008" t="s">
        <v>650</v>
      </c>
      <c r="T410" s="1008" t="s">
        <v>675</v>
      </c>
      <c r="U410" s="1008" t="s">
        <v>649</v>
      </c>
      <c r="V410" s="1008" t="s">
        <v>648</v>
      </c>
      <c r="W410" s="1008" t="s">
        <v>546</v>
      </c>
      <c r="X410" s="1008"/>
      <c r="Y410" s="1008"/>
      <c r="Z410" s="1008"/>
      <c r="AA410" s="1008"/>
      <c r="AB410" s="1008"/>
      <c r="AC410" s="1008"/>
      <c r="AD410" s="1008"/>
      <c r="AE410" s="1008"/>
      <c r="AF410" s="1008"/>
      <c r="AG410" s="1008"/>
      <c r="AH410" s="1008"/>
      <c r="AI410" s="1008"/>
    </row>
    <row r="411" spans="1:35">
      <c r="A411" s="1008">
        <v>26459</v>
      </c>
      <c r="B411" s="1008">
        <v>45</v>
      </c>
      <c r="C411" s="1008">
        <v>7</v>
      </c>
      <c r="D411" s="1009">
        <v>13610999</v>
      </c>
      <c r="E411" s="1009">
        <v>13610100</v>
      </c>
      <c r="F411" s="1007" t="s">
        <v>4543</v>
      </c>
      <c r="G411" s="1007">
        <v>8</v>
      </c>
      <c r="H411" s="1010">
        <v>99999999</v>
      </c>
      <c r="I411" s="1009">
        <v>13610100</v>
      </c>
      <c r="J411" s="1007" t="s">
        <v>4543</v>
      </c>
      <c r="O411" s="1007" t="s">
        <v>648</v>
      </c>
      <c r="P411" s="1007" t="s">
        <v>648</v>
      </c>
      <c r="S411" s="1008" t="s">
        <v>650</v>
      </c>
      <c r="T411" s="1008" t="s">
        <v>654</v>
      </c>
      <c r="U411" s="1008" t="s">
        <v>649</v>
      </c>
      <c r="V411" s="1008" t="s">
        <v>648</v>
      </c>
      <c r="W411" s="1008" t="s">
        <v>546</v>
      </c>
      <c r="X411" s="1008" t="s">
        <v>670</v>
      </c>
      <c r="Y411" s="1008" t="s">
        <v>670</v>
      </c>
      <c r="Z411" s="1008" t="s">
        <v>670</v>
      </c>
      <c r="AA411" s="1008" t="s">
        <v>670</v>
      </c>
      <c r="AB411" s="1008" t="s">
        <v>670</v>
      </c>
      <c r="AC411" s="1008"/>
      <c r="AD411" s="1008" t="s">
        <v>670</v>
      </c>
      <c r="AE411" s="1008"/>
      <c r="AF411" s="1008" t="s">
        <v>670</v>
      </c>
      <c r="AG411" s="1008"/>
      <c r="AH411" s="1008"/>
      <c r="AI411" s="1008"/>
    </row>
    <row r="412" spans="1:35">
      <c r="A412" s="1008">
        <v>26457</v>
      </c>
      <c r="B412" s="1008">
        <v>748</v>
      </c>
      <c r="C412" s="1008">
        <v>7</v>
      </c>
      <c r="D412" s="1009">
        <v>13610999</v>
      </c>
      <c r="E412" s="1009">
        <v>13610300</v>
      </c>
      <c r="F412" s="1007" t="s">
        <v>4542</v>
      </c>
      <c r="G412" s="1007">
        <v>8</v>
      </c>
      <c r="H412" s="1010">
        <v>99999999</v>
      </c>
      <c r="I412" s="1009">
        <v>13610300</v>
      </c>
      <c r="J412" s="1007" t="s">
        <v>4542</v>
      </c>
      <c r="O412" s="1007" t="s">
        <v>648</v>
      </c>
      <c r="P412" s="1007" t="s">
        <v>648</v>
      </c>
      <c r="S412" s="1008" t="s">
        <v>650</v>
      </c>
      <c r="T412" s="1008" t="s">
        <v>654</v>
      </c>
      <c r="U412" s="1008" t="s">
        <v>649</v>
      </c>
      <c r="V412" s="1008" t="s">
        <v>648</v>
      </c>
      <c r="W412" s="1008" t="s">
        <v>546</v>
      </c>
      <c r="X412" s="1008" t="s">
        <v>670</v>
      </c>
      <c r="Y412" s="1008" t="s">
        <v>670</v>
      </c>
      <c r="Z412" s="1008" t="s">
        <v>670</v>
      </c>
      <c r="AA412" s="1008"/>
      <c r="AB412" s="1008" t="s">
        <v>670</v>
      </c>
      <c r="AC412" s="1008"/>
      <c r="AD412" s="1008"/>
      <c r="AE412" s="1008"/>
      <c r="AF412" s="1008" t="s">
        <v>670</v>
      </c>
      <c r="AG412" s="1008"/>
      <c r="AH412" s="1008"/>
      <c r="AI412" s="1008"/>
    </row>
    <row r="413" spans="1:35">
      <c r="A413" s="1008">
        <v>26456</v>
      </c>
      <c r="B413" s="1008">
        <v>756</v>
      </c>
      <c r="C413" s="1008">
        <v>7</v>
      </c>
      <c r="D413" s="1009">
        <v>13610999</v>
      </c>
      <c r="E413" s="1009">
        <v>13610500</v>
      </c>
      <c r="F413" s="1007" t="s">
        <v>4541</v>
      </c>
      <c r="G413" s="1007">
        <v>8</v>
      </c>
      <c r="H413" s="1010">
        <v>99999999</v>
      </c>
      <c r="I413" s="1009">
        <v>13610500</v>
      </c>
      <c r="J413" s="1007" t="s">
        <v>4541</v>
      </c>
      <c r="O413" s="1007" t="s">
        <v>648</v>
      </c>
      <c r="P413" s="1007" t="s">
        <v>648</v>
      </c>
      <c r="S413" s="1008" t="s">
        <v>650</v>
      </c>
      <c r="T413" s="1008" t="s">
        <v>654</v>
      </c>
      <c r="U413" s="1008" t="s">
        <v>649</v>
      </c>
      <c r="V413" s="1008" t="s">
        <v>648</v>
      </c>
      <c r="W413" s="1008" t="s">
        <v>546</v>
      </c>
      <c r="X413" s="1008" t="s">
        <v>670</v>
      </c>
      <c r="Y413" s="1008" t="s">
        <v>670</v>
      </c>
      <c r="Z413" s="1008" t="s">
        <v>670</v>
      </c>
      <c r="AA413" s="1008" t="s">
        <v>670</v>
      </c>
      <c r="AB413" s="1008" t="s">
        <v>670</v>
      </c>
      <c r="AC413" s="1008"/>
      <c r="AD413" s="1008"/>
      <c r="AE413" s="1008"/>
      <c r="AF413" s="1008" t="s">
        <v>670</v>
      </c>
      <c r="AG413" s="1008"/>
      <c r="AH413" s="1008"/>
      <c r="AI413" s="1008"/>
    </row>
    <row r="414" spans="1:35">
      <c r="A414" s="1008">
        <v>26452</v>
      </c>
      <c r="B414" s="1008">
        <v>1524</v>
      </c>
      <c r="C414" s="1008">
        <v>7</v>
      </c>
      <c r="D414" s="1009">
        <v>13610999</v>
      </c>
      <c r="E414" s="1009">
        <v>13610600</v>
      </c>
      <c r="F414" s="1007" t="s">
        <v>4540</v>
      </c>
      <c r="G414" s="1007">
        <v>7</v>
      </c>
      <c r="H414" s="1010">
        <v>99999999</v>
      </c>
      <c r="I414" s="1009">
        <v>13610600</v>
      </c>
      <c r="J414" s="1007" t="s">
        <v>4540</v>
      </c>
      <c r="O414" s="1007" t="s">
        <v>648</v>
      </c>
      <c r="P414" s="1007" t="s">
        <v>648</v>
      </c>
      <c r="S414" s="1008" t="s">
        <v>650</v>
      </c>
      <c r="T414" s="1008" t="s">
        <v>654</v>
      </c>
      <c r="U414" s="1008" t="s">
        <v>649</v>
      </c>
      <c r="V414" s="1008" t="s">
        <v>648</v>
      </c>
      <c r="W414" s="1008" t="s">
        <v>546</v>
      </c>
      <c r="X414" s="1008" t="s">
        <v>670</v>
      </c>
      <c r="Y414" s="1008" t="s">
        <v>670</v>
      </c>
      <c r="Z414" s="1008" t="s">
        <v>670</v>
      </c>
      <c r="AA414" s="1008" t="s">
        <v>670</v>
      </c>
      <c r="AB414" s="1008" t="s">
        <v>670</v>
      </c>
      <c r="AC414" s="1008"/>
      <c r="AD414" s="1008"/>
      <c r="AE414" s="1008"/>
      <c r="AF414" s="1008" t="s">
        <v>670</v>
      </c>
      <c r="AG414" s="1008"/>
      <c r="AH414" s="1008"/>
      <c r="AI414" s="1008"/>
    </row>
    <row r="415" spans="1:35">
      <c r="A415" s="1008">
        <v>26451</v>
      </c>
      <c r="B415" s="1008">
        <v>754</v>
      </c>
      <c r="C415" s="1008">
        <v>7</v>
      </c>
      <c r="D415" s="1009">
        <v>13610999</v>
      </c>
      <c r="E415" s="1009">
        <v>13610700</v>
      </c>
      <c r="F415" s="1007" t="s">
        <v>4539</v>
      </c>
      <c r="G415" s="1007">
        <v>8</v>
      </c>
      <c r="H415" s="1010">
        <v>99999999</v>
      </c>
      <c r="I415" s="1009">
        <v>13610700</v>
      </c>
      <c r="J415" s="1007" t="s">
        <v>4539</v>
      </c>
      <c r="O415" s="1007" t="s">
        <v>648</v>
      </c>
      <c r="P415" s="1007" t="s">
        <v>648</v>
      </c>
      <c r="S415" s="1008" t="s">
        <v>650</v>
      </c>
      <c r="T415" s="1008" t="s">
        <v>654</v>
      </c>
      <c r="U415" s="1008" t="s">
        <v>649</v>
      </c>
      <c r="V415" s="1008" t="s">
        <v>648</v>
      </c>
      <c r="W415" s="1008" t="s">
        <v>546</v>
      </c>
      <c r="X415" s="1008" t="s">
        <v>670</v>
      </c>
      <c r="Y415" s="1008" t="s">
        <v>670</v>
      </c>
      <c r="Z415" s="1008" t="s">
        <v>670</v>
      </c>
      <c r="AA415" s="1008" t="s">
        <v>670</v>
      </c>
      <c r="AB415" s="1008" t="s">
        <v>670</v>
      </c>
      <c r="AC415" s="1008"/>
      <c r="AD415" s="1008"/>
      <c r="AE415" s="1008"/>
      <c r="AF415" s="1008" t="s">
        <v>670</v>
      </c>
      <c r="AG415" s="1008"/>
      <c r="AH415" s="1008"/>
      <c r="AI415" s="1008"/>
    </row>
    <row r="416" spans="1:35">
      <c r="A416" s="1008">
        <v>26450</v>
      </c>
      <c r="C416" s="1008">
        <v>6</v>
      </c>
      <c r="D416" s="1009">
        <v>13699900</v>
      </c>
      <c r="E416" s="1009">
        <v>13610999</v>
      </c>
      <c r="F416" s="1007" t="s">
        <v>4538</v>
      </c>
      <c r="O416" s="1007" t="s">
        <v>648</v>
      </c>
      <c r="P416" s="1007" t="s">
        <v>648</v>
      </c>
      <c r="S416" s="1008" t="s">
        <v>650</v>
      </c>
      <c r="T416" s="1008" t="s">
        <v>21</v>
      </c>
      <c r="U416" s="1008" t="s">
        <v>649</v>
      </c>
      <c r="V416" s="1008" t="s">
        <v>648</v>
      </c>
      <c r="W416" s="1008" t="s">
        <v>546</v>
      </c>
      <c r="X416" s="1008"/>
      <c r="Y416" s="1008"/>
      <c r="Z416" s="1008"/>
      <c r="AA416" s="1008"/>
      <c r="AB416" s="1008"/>
      <c r="AC416" s="1008"/>
      <c r="AD416" s="1008"/>
      <c r="AE416" s="1008"/>
      <c r="AF416" s="1008"/>
      <c r="AG416" s="1008"/>
      <c r="AH416" s="1008"/>
      <c r="AI416" s="1008"/>
    </row>
    <row r="417" spans="1:35">
      <c r="A417" s="1008">
        <v>23901</v>
      </c>
      <c r="C417" s="1008">
        <v>5</v>
      </c>
      <c r="D417" s="1009">
        <v>13699999</v>
      </c>
      <c r="E417" s="1009">
        <v>13699900</v>
      </c>
      <c r="F417" s="1007" t="s">
        <v>4537</v>
      </c>
      <c r="O417" s="1007" t="s">
        <v>648</v>
      </c>
      <c r="P417" s="1007" t="s">
        <v>648</v>
      </c>
      <c r="S417" s="1008" t="s">
        <v>650</v>
      </c>
      <c r="T417" s="1008" t="s">
        <v>21</v>
      </c>
      <c r="U417" s="1008" t="s">
        <v>649</v>
      </c>
      <c r="V417" s="1008" t="s">
        <v>648</v>
      </c>
      <c r="W417" s="1008" t="s">
        <v>546</v>
      </c>
      <c r="X417" s="1008"/>
      <c r="Y417" s="1008"/>
      <c r="Z417" s="1008"/>
      <c r="AA417" s="1008"/>
      <c r="AB417" s="1008"/>
      <c r="AC417" s="1008"/>
      <c r="AD417" s="1008"/>
      <c r="AE417" s="1008"/>
      <c r="AF417" s="1008"/>
      <c r="AG417" s="1008"/>
      <c r="AH417" s="1008"/>
      <c r="AI417" s="1008"/>
    </row>
    <row r="418" spans="1:35">
      <c r="A418" s="1008">
        <v>23902</v>
      </c>
      <c r="C418" s="1008">
        <v>4</v>
      </c>
      <c r="D418" s="1009">
        <v>19999998</v>
      </c>
      <c r="E418" s="1009">
        <v>13699999</v>
      </c>
      <c r="F418" s="1007" t="s">
        <v>4536</v>
      </c>
      <c r="O418" s="1007" t="s">
        <v>648</v>
      </c>
      <c r="P418" s="1007" t="s">
        <v>648</v>
      </c>
      <c r="S418" s="1008" t="s">
        <v>650</v>
      </c>
      <c r="T418" s="1008" t="s">
        <v>21</v>
      </c>
      <c r="U418" s="1008" t="s">
        <v>649</v>
      </c>
      <c r="V418" s="1008" t="s">
        <v>648</v>
      </c>
      <c r="W418" s="1008" t="s">
        <v>546</v>
      </c>
      <c r="X418" s="1008"/>
      <c r="Y418" s="1008"/>
      <c r="Z418" s="1008"/>
      <c r="AA418" s="1008"/>
      <c r="AB418" s="1008"/>
      <c r="AC418" s="1008"/>
      <c r="AD418" s="1008"/>
      <c r="AE418" s="1008"/>
      <c r="AF418" s="1008"/>
      <c r="AG418" s="1008"/>
      <c r="AH418" s="1008"/>
      <c r="AI418" s="1008"/>
    </row>
    <row r="419" spans="1:35">
      <c r="A419" s="1008">
        <v>23903</v>
      </c>
      <c r="C419" s="1008">
        <v>4</v>
      </c>
      <c r="D419" s="1009">
        <v>14099999</v>
      </c>
      <c r="E419" s="1009">
        <v>14000000</v>
      </c>
      <c r="F419" s="1007" t="s">
        <v>4535</v>
      </c>
      <c r="O419" s="1007" t="s">
        <v>648</v>
      </c>
      <c r="P419" s="1007" t="s">
        <v>648</v>
      </c>
      <c r="S419" s="1008" t="s">
        <v>650</v>
      </c>
      <c r="T419" s="1008" t="s">
        <v>675</v>
      </c>
      <c r="U419" s="1008" t="s">
        <v>649</v>
      </c>
      <c r="V419" s="1008" t="s">
        <v>648</v>
      </c>
      <c r="W419" s="1008" t="s">
        <v>546</v>
      </c>
      <c r="X419" s="1008"/>
      <c r="Y419" s="1008"/>
      <c r="Z419" s="1008"/>
      <c r="AA419" s="1008"/>
      <c r="AB419" s="1008"/>
      <c r="AC419" s="1008"/>
      <c r="AD419" s="1008"/>
      <c r="AE419" s="1008"/>
      <c r="AF419" s="1008"/>
      <c r="AG419" s="1008"/>
      <c r="AH419" s="1008"/>
      <c r="AI419" s="1008"/>
    </row>
    <row r="420" spans="1:35">
      <c r="A420" s="1008">
        <v>23904</v>
      </c>
      <c r="C420" s="1008">
        <v>5</v>
      </c>
      <c r="D420" s="1009">
        <v>14099900</v>
      </c>
      <c r="E420" s="1009">
        <v>14001000</v>
      </c>
      <c r="F420" s="1007" t="s">
        <v>4535</v>
      </c>
      <c r="O420" s="1007" t="s">
        <v>648</v>
      </c>
      <c r="P420" s="1007" t="s">
        <v>648</v>
      </c>
      <c r="S420" s="1008" t="s">
        <v>650</v>
      </c>
      <c r="T420" s="1008" t="s">
        <v>675</v>
      </c>
      <c r="U420" s="1008" t="s">
        <v>649</v>
      </c>
      <c r="V420" s="1008" t="s">
        <v>648</v>
      </c>
      <c r="W420" s="1008" t="s">
        <v>546</v>
      </c>
      <c r="X420" s="1008"/>
      <c r="Y420" s="1008"/>
      <c r="Z420" s="1008"/>
      <c r="AA420" s="1008"/>
      <c r="AB420" s="1008"/>
      <c r="AC420" s="1008"/>
      <c r="AD420" s="1008"/>
      <c r="AE420" s="1008"/>
      <c r="AF420" s="1008"/>
      <c r="AG420" s="1008"/>
      <c r="AH420" s="1008"/>
      <c r="AI420" s="1008"/>
    </row>
    <row r="421" spans="1:35">
      <c r="A421" s="1008">
        <v>23905</v>
      </c>
      <c r="C421" s="1008">
        <v>6</v>
      </c>
      <c r="D421" s="1009">
        <v>14019999</v>
      </c>
      <c r="E421" s="1009">
        <v>14010000</v>
      </c>
      <c r="F421" s="1007" t="s">
        <v>4535</v>
      </c>
      <c r="O421" s="1007" t="s">
        <v>648</v>
      </c>
      <c r="P421" s="1007" t="s">
        <v>648</v>
      </c>
      <c r="S421" s="1008" t="s">
        <v>650</v>
      </c>
      <c r="T421" s="1008" t="s">
        <v>675</v>
      </c>
      <c r="U421" s="1008" t="s">
        <v>649</v>
      </c>
      <c r="V421" s="1008" t="s">
        <v>648</v>
      </c>
      <c r="W421" s="1008" t="s">
        <v>546</v>
      </c>
      <c r="X421" s="1008"/>
      <c r="Y421" s="1008"/>
      <c r="Z421" s="1008"/>
      <c r="AA421" s="1008"/>
      <c r="AB421" s="1008"/>
      <c r="AC421" s="1008"/>
      <c r="AD421" s="1008"/>
      <c r="AE421" s="1008"/>
      <c r="AF421" s="1008"/>
      <c r="AG421" s="1008"/>
      <c r="AH421" s="1008"/>
      <c r="AI421" s="1008"/>
    </row>
    <row r="422" spans="1:35">
      <c r="A422" s="1008">
        <v>23906</v>
      </c>
      <c r="B422" s="1008">
        <v>616</v>
      </c>
      <c r="C422" s="1008">
        <v>7</v>
      </c>
      <c r="D422" s="1009">
        <v>14019999</v>
      </c>
      <c r="E422" s="1009">
        <v>14010200</v>
      </c>
      <c r="F422" s="1007" t="s">
        <v>4534</v>
      </c>
      <c r="G422" s="1007">
        <v>8</v>
      </c>
      <c r="H422" s="1010">
        <v>99999999</v>
      </c>
      <c r="I422" s="1009">
        <v>14010200</v>
      </c>
      <c r="J422" s="1007" t="s">
        <v>4533</v>
      </c>
      <c r="O422" s="1007" t="s">
        <v>648</v>
      </c>
      <c r="P422" s="1007" t="s">
        <v>648</v>
      </c>
      <c r="S422" s="1008" t="s">
        <v>650</v>
      </c>
      <c r="T422" s="1008" t="s">
        <v>654</v>
      </c>
      <c r="U422" s="1008" t="s">
        <v>649</v>
      </c>
      <c r="V422" s="1008" t="s">
        <v>648</v>
      </c>
      <c r="W422" s="1008" t="s">
        <v>546</v>
      </c>
      <c r="X422" s="1008" t="s">
        <v>670</v>
      </c>
      <c r="Y422" s="1008" t="s">
        <v>670</v>
      </c>
      <c r="Z422" s="1008" t="s">
        <v>670</v>
      </c>
      <c r="AA422" s="1008" t="s">
        <v>670</v>
      </c>
      <c r="AB422" s="1008" t="s">
        <v>670</v>
      </c>
      <c r="AC422" s="1008"/>
      <c r="AD422" s="1008"/>
      <c r="AE422" s="1008"/>
      <c r="AF422" s="1008" t="s">
        <v>670</v>
      </c>
      <c r="AG422" s="1008" t="s">
        <v>670</v>
      </c>
      <c r="AH422" s="1008"/>
      <c r="AI422" s="1008"/>
    </row>
    <row r="423" spans="1:35">
      <c r="A423" s="1008">
        <v>23907</v>
      </c>
      <c r="B423" s="1008">
        <v>617</v>
      </c>
      <c r="C423" s="1008">
        <v>7</v>
      </c>
      <c r="D423" s="1009">
        <v>14019999</v>
      </c>
      <c r="E423" s="1009">
        <v>14010300</v>
      </c>
      <c r="F423" s="1007" t="s">
        <v>4532</v>
      </c>
      <c r="G423" s="1007">
        <v>8</v>
      </c>
      <c r="H423" s="1010">
        <v>99999999</v>
      </c>
      <c r="I423" s="1009">
        <v>14010300</v>
      </c>
      <c r="J423" s="1007" t="s">
        <v>4531</v>
      </c>
      <c r="O423" s="1007" t="s">
        <v>648</v>
      </c>
      <c r="P423" s="1007" t="s">
        <v>648</v>
      </c>
      <c r="S423" s="1008" t="s">
        <v>650</v>
      </c>
      <c r="T423" s="1008" t="s">
        <v>654</v>
      </c>
      <c r="U423" s="1008" t="s">
        <v>649</v>
      </c>
      <c r="V423" s="1008" t="s">
        <v>648</v>
      </c>
      <c r="W423" s="1008" t="s">
        <v>546</v>
      </c>
      <c r="X423" s="1008" t="s">
        <v>670</v>
      </c>
      <c r="Y423" s="1008" t="s">
        <v>670</v>
      </c>
      <c r="Z423" s="1008" t="s">
        <v>670</v>
      </c>
      <c r="AA423" s="1008" t="s">
        <v>670</v>
      </c>
      <c r="AB423" s="1008" t="s">
        <v>670</v>
      </c>
      <c r="AC423" s="1008" t="s">
        <v>670</v>
      </c>
      <c r="AD423" s="1008"/>
      <c r="AE423" s="1008"/>
      <c r="AF423" s="1008" t="s">
        <v>670</v>
      </c>
      <c r="AG423" s="1008" t="s">
        <v>670</v>
      </c>
      <c r="AH423" s="1008"/>
      <c r="AI423" s="1008"/>
    </row>
    <row r="424" spans="1:35">
      <c r="A424" s="1008">
        <v>23908</v>
      </c>
      <c r="B424" s="1008">
        <v>619</v>
      </c>
      <c r="C424" s="1008">
        <v>7</v>
      </c>
      <c r="D424" s="1009">
        <v>14019999</v>
      </c>
      <c r="E424" s="1009">
        <v>14010350</v>
      </c>
      <c r="F424" s="1007" t="s">
        <v>4530</v>
      </c>
      <c r="G424" s="1007">
        <v>8</v>
      </c>
      <c r="H424" s="1010">
        <v>99999999</v>
      </c>
      <c r="I424" s="1009">
        <v>14010350</v>
      </c>
      <c r="J424" s="1007" t="s">
        <v>4529</v>
      </c>
      <c r="O424" s="1007" t="s">
        <v>648</v>
      </c>
      <c r="P424" s="1007" t="s">
        <v>648</v>
      </c>
      <c r="S424" s="1008" t="s">
        <v>650</v>
      </c>
      <c r="T424" s="1008" t="s">
        <v>654</v>
      </c>
      <c r="U424" s="1008" t="s">
        <v>649</v>
      </c>
      <c r="V424" s="1008" t="s">
        <v>648</v>
      </c>
      <c r="W424" s="1008" t="s">
        <v>546</v>
      </c>
      <c r="X424" s="1008" t="s">
        <v>670</v>
      </c>
      <c r="Y424" s="1008" t="s">
        <v>670</v>
      </c>
      <c r="Z424" s="1008" t="s">
        <v>670</v>
      </c>
      <c r="AA424" s="1008" t="s">
        <v>670</v>
      </c>
      <c r="AB424" s="1008" t="s">
        <v>670</v>
      </c>
      <c r="AC424" s="1008"/>
      <c r="AD424" s="1008"/>
      <c r="AE424" s="1008"/>
      <c r="AF424" s="1008" t="s">
        <v>670</v>
      </c>
      <c r="AG424" s="1008" t="s">
        <v>670</v>
      </c>
      <c r="AH424" s="1008"/>
      <c r="AI424" s="1008"/>
    </row>
    <row r="425" spans="1:35">
      <c r="A425" s="1008">
        <v>26535</v>
      </c>
      <c r="B425" s="1008">
        <v>5802</v>
      </c>
      <c r="C425" s="1008">
        <v>7</v>
      </c>
      <c r="D425" s="1009">
        <v>14019999</v>
      </c>
      <c r="E425" s="1009">
        <v>14010360</v>
      </c>
      <c r="F425" s="1007" t="s">
        <v>4528</v>
      </c>
      <c r="G425" s="1007" t="s">
        <v>648</v>
      </c>
      <c r="H425" s="1010">
        <v>99999999</v>
      </c>
      <c r="I425" s="1009">
        <v>14010360</v>
      </c>
      <c r="J425" s="1007" t="s">
        <v>4527</v>
      </c>
      <c r="O425" s="1007" t="s">
        <v>648</v>
      </c>
      <c r="P425" s="1007" t="s">
        <v>648</v>
      </c>
      <c r="S425" s="1008" t="s">
        <v>650</v>
      </c>
      <c r="T425" s="1008" t="s">
        <v>654</v>
      </c>
      <c r="U425" s="1008" t="s">
        <v>649</v>
      </c>
      <c r="V425" s="1008" t="s">
        <v>648</v>
      </c>
      <c r="W425" s="1008" t="s">
        <v>546</v>
      </c>
      <c r="X425" s="1008" t="s">
        <v>670</v>
      </c>
      <c r="Y425" s="1008"/>
      <c r="Z425" s="1008"/>
      <c r="AA425" s="1008"/>
      <c r="AB425" s="1008" t="s">
        <v>670</v>
      </c>
      <c r="AC425" s="1008"/>
      <c r="AD425" s="1008"/>
      <c r="AE425" s="1008"/>
      <c r="AF425" s="1008"/>
      <c r="AG425" s="1008" t="s">
        <v>670</v>
      </c>
      <c r="AH425" s="1008"/>
      <c r="AI425" s="1008"/>
    </row>
    <row r="426" spans="1:35">
      <c r="A426" s="1008">
        <v>23909</v>
      </c>
      <c r="B426" s="1008">
        <v>620</v>
      </c>
      <c r="C426" s="1008">
        <v>7</v>
      </c>
      <c r="D426" s="1009">
        <v>14019999</v>
      </c>
      <c r="E426" s="1009">
        <v>14010400</v>
      </c>
      <c r="F426" s="1007" t="s">
        <v>4526</v>
      </c>
      <c r="G426" s="1007">
        <v>8</v>
      </c>
      <c r="H426" s="1010">
        <v>99999999</v>
      </c>
      <c r="I426" s="1009">
        <v>14010400</v>
      </c>
      <c r="J426" s="1007" t="s">
        <v>4525</v>
      </c>
      <c r="O426" s="1007" t="s">
        <v>648</v>
      </c>
      <c r="P426" s="1007" t="s">
        <v>648</v>
      </c>
      <c r="S426" s="1008" t="s">
        <v>650</v>
      </c>
      <c r="T426" s="1008" t="s">
        <v>654</v>
      </c>
      <c r="U426" s="1008" t="s">
        <v>649</v>
      </c>
      <c r="V426" s="1008" t="s">
        <v>648</v>
      </c>
      <c r="W426" s="1008" t="s">
        <v>546</v>
      </c>
      <c r="X426" s="1008" t="s">
        <v>670</v>
      </c>
      <c r="Y426" s="1008" t="s">
        <v>670</v>
      </c>
      <c r="Z426" s="1008" t="s">
        <v>670</v>
      </c>
      <c r="AA426" s="1008" t="s">
        <v>670</v>
      </c>
      <c r="AB426" s="1008" t="s">
        <v>670</v>
      </c>
      <c r="AC426" s="1008"/>
      <c r="AD426" s="1008"/>
      <c r="AE426" s="1008"/>
      <c r="AF426" s="1008" t="s">
        <v>670</v>
      </c>
      <c r="AG426" s="1008" t="s">
        <v>670</v>
      </c>
      <c r="AH426" s="1008"/>
      <c r="AI426" s="1008"/>
    </row>
    <row r="427" spans="1:35">
      <c r="A427" s="1008">
        <v>26449</v>
      </c>
      <c r="B427" s="1008">
        <v>1530</v>
      </c>
      <c r="C427" s="1008">
        <v>7</v>
      </c>
      <c r="D427" s="1009">
        <v>14019999</v>
      </c>
      <c r="E427" s="1009">
        <v>14010600</v>
      </c>
      <c r="F427" s="1007" t="s">
        <v>4524</v>
      </c>
      <c r="G427" s="1007">
        <v>7</v>
      </c>
      <c r="H427" s="1010">
        <v>99999999</v>
      </c>
      <c r="I427" s="1009">
        <v>14010600</v>
      </c>
      <c r="J427" s="1007" t="s">
        <v>4523</v>
      </c>
      <c r="O427" s="1007" t="s">
        <v>648</v>
      </c>
      <c r="P427" s="1007" t="s">
        <v>648</v>
      </c>
      <c r="S427" s="1008" t="s">
        <v>650</v>
      </c>
      <c r="T427" s="1008" t="s">
        <v>654</v>
      </c>
      <c r="U427" s="1008" t="s">
        <v>649</v>
      </c>
      <c r="V427" s="1008" t="s">
        <v>648</v>
      </c>
      <c r="W427" s="1008" t="s">
        <v>546</v>
      </c>
      <c r="X427" s="1008" t="s">
        <v>670</v>
      </c>
      <c r="Y427" s="1008"/>
      <c r="Z427" s="1008"/>
      <c r="AA427" s="1008"/>
      <c r="AB427" s="1008" t="s">
        <v>670</v>
      </c>
      <c r="AC427" s="1008"/>
      <c r="AD427" s="1008"/>
      <c r="AE427" s="1008"/>
      <c r="AF427" s="1008"/>
      <c r="AG427" s="1008" t="s">
        <v>670</v>
      </c>
      <c r="AH427" s="1008"/>
      <c r="AI427" s="1008"/>
    </row>
    <row r="428" spans="1:35">
      <c r="A428" s="1008">
        <v>23910</v>
      </c>
      <c r="B428" s="1008">
        <v>618</v>
      </c>
      <c r="C428" s="1008">
        <v>7</v>
      </c>
      <c r="D428" s="1009">
        <v>14019999</v>
      </c>
      <c r="E428" s="1009">
        <v>14010700</v>
      </c>
      <c r="F428" s="1007" t="s">
        <v>4522</v>
      </c>
      <c r="G428" s="1007">
        <v>8</v>
      </c>
      <c r="H428" s="1010">
        <v>99999999</v>
      </c>
      <c r="I428" s="1009">
        <v>14010700</v>
      </c>
      <c r="J428" s="1007" t="s">
        <v>4521</v>
      </c>
      <c r="O428" s="1007" t="s">
        <v>648</v>
      </c>
      <c r="P428" s="1007" t="s">
        <v>648</v>
      </c>
      <c r="S428" s="1008" t="s">
        <v>650</v>
      </c>
      <c r="T428" s="1008" t="s">
        <v>654</v>
      </c>
      <c r="U428" s="1008" t="s">
        <v>649</v>
      </c>
      <c r="V428" s="1008" t="s">
        <v>648</v>
      </c>
      <c r="W428" s="1008" t="s">
        <v>546</v>
      </c>
      <c r="X428" s="1008" t="s">
        <v>670</v>
      </c>
      <c r="Y428" s="1008" t="s">
        <v>670</v>
      </c>
      <c r="Z428" s="1008" t="s">
        <v>670</v>
      </c>
      <c r="AA428" s="1008" t="s">
        <v>670</v>
      </c>
      <c r="AB428" s="1008" t="s">
        <v>670</v>
      </c>
      <c r="AC428" s="1008" t="s">
        <v>670</v>
      </c>
      <c r="AD428" s="1008"/>
      <c r="AE428" s="1008"/>
      <c r="AF428" s="1008" t="s">
        <v>670</v>
      </c>
      <c r="AG428" s="1008" t="s">
        <v>670</v>
      </c>
      <c r="AH428" s="1008"/>
      <c r="AI428" s="1008"/>
    </row>
    <row r="429" spans="1:35">
      <c r="A429" s="1008">
        <v>26536</v>
      </c>
      <c r="B429" s="1008">
        <v>5803</v>
      </c>
      <c r="C429" s="1008">
        <v>7</v>
      </c>
      <c r="D429" s="1009">
        <v>14019999</v>
      </c>
      <c r="E429" s="1009">
        <v>14010710</v>
      </c>
      <c r="F429" s="1007" t="s">
        <v>4520</v>
      </c>
      <c r="G429" s="1007" t="s">
        <v>648</v>
      </c>
      <c r="H429" s="1010">
        <v>99999999</v>
      </c>
      <c r="I429" s="1009">
        <v>14010710</v>
      </c>
      <c r="J429" s="1007" t="s">
        <v>4519</v>
      </c>
      <c r="O429" s="1007" t="s">
        <v>648</v>
      </c>
      <c r="P429" s="1007" t="s">
        <v>648</v>
      </c>
      <c r="S429" s="1008" t="s">
        <v>650</v>
      </c>
      <c r="T429" s="1008" t="s">
        <v>654</v>
      </c>
      <c r="U429" s="1008" t="s">
        <v>649</v>
      </c>
      <c r="V429" s="1008" t="s">
        <v>648</v>
      </c>
      <c r="W429" s="1008" t="s">
        <v>546</v>
      </c>
      <c r="X429" s="1008" t="s">
        <v>670</v>
      </c>
      <c r="Y429" s="1008"/>
      <c r="Z429" s="1008"/>
      <c r="AA429" s="1008" t="s">
        <v>670</v>
      </c>
      <c r="AB429" s="1008" t="s">
        <v>670</v>
      </c>
      <c r="AC429" s="1008"/>
      <c r="AD429" s="1008"/>
      <c r="AE429" s="1008"/>
      <c r="AF429" s="1008"/>
      <c r="AG429" s="1008" t="s">
        <v>670</v>
      </c>
      <c r="AH429" s="1008"/>
      <c r="AI429" s="1008"/>
    </row>
    <row r="430" spans="1:35">
      <c r="A430" s="1008">
        <v>23911</v>
      </c>
      <c r="B430" s="1008">
        <v>621</v>
      </c>
      <c r="C430" s="1008">
        <v>7</v>
      </c>
      <c r="D430" s="1009">
        <v>14019999</v>
      </c>
      <c r="E430" s="1009">
        <v>14010800</v>
      </c>
      <c r="F430" s="1007" t="s">
        <v>4518</v>
      </c>
      <c r="G430" s="1007">
        <v>8</v>
      </c>
      <c r="H430" s="1010">
        <v>99999999</v>
      </c>
      <c r="I430" s="1009">
        <v>14010800</v>
      </c>
      <c r="J430" s="1007" t="s">
        <v>4517</v>
      </c>
      <c r="O430" s="1007" t="s">
        <v>648</v>
      </c>
      <c r="P430" s="1007" t="s">
        <v>648</v>
      </c>
      <c r="S430" s="1008" t="s">
        <v>650</v>
      </c>
      <c r="T430" s="1008" t="s">
        <v>654</v>
      </c>
      <c r="U430" s="1008" t="s">
        <v>649</v>
      </c>
      <c r="V430" s="1008" t="s">
        <v>648</v>
      </c>
      <c r="W430" s="1008" t="s">
        <v>546</v>
      </c>
      <c r="X430" s="1008" t="s">
        <v>670</v>
      </c>
      <c r="Y430" s="1008" t="s">
        <v>670</v>
      </c>
      <c r="Z430" s="1008" t="s">
        <v>670</v>
      </c>
      <c r="AA430" s="1008" t="s">
        <v>670</v>
      </c>
      <c r="AB430" s="1008" t="s">
        <v>670</v>
      </c>
      <c r="AC430" s="1008"/>
      <c r="AD430" s="1008"/>
      <c r="AE430" s="1008"/>
      <c r="AF430" s="1008" t="s">
        <v>670</v>
      </c>
      <c r="AG430" s="1008" t="s">
        <v>670</v>
      </c>
      <c r="AH430" s="1008"/>
      <c r="AI430" s="1008"/>
    </row>
    <row r="431" spans="1:35">
      <c r="A431" s="1008">
        <v>23912</v>
      </c>
      <c r="C431" s="1008">
        <v>6</v>
      </c>
      <c r="D431" s="1009">
        <v>14099900</v>
      </c>
      <c r="E431" s="1009">
        <v>14019999</v>
      </c>
      <c r="F431" s="1007" t="s">
        <v>4511</v>
      </c>
      <c r="O431" s="1007" t="s">
        <v>648</v>
      </c>
      <c r="P431" s="1007" t="s">
        <v>648</v>
      </c>
      <c r="S431" s="1008" t="s">
        <v>650</v>
      </c>
      <c r="T431" s="1008" t="s">
        <v>21</v>
      </c>
      <c r="U431" s="1008" t="s">
        <v>649</v>
      </c>
      <c r="V431" s="1008" t="s">
        <v>648</v>
      </c>
      <c r="W431" s="1008" t="s">
        <v>546</v>
      </c>
      <c r="X431" s="1008"/>
      <c r="Y431" s="1008"/>
      <c r="Z431" s="1008"/>
      <c r="AA431" s="1008"/>
      <c r="AB431" s="1008"/>
      <c r="AC431" s="1008"/>
      <c r="AD431" s="1008"/>
      <c r="AE431" s="1008"/>
      <c r="AF431" s="1008"/>
      <c r="AG431" s="1008"/>
      <c r="AH431" s="1008"/>
      <c r="AI431" s="1008"/>
    </row>
    <row r="432" spans="1:35">
      <c r="A432" s="1008">
        <v>23913</v>
      </c>
      <c r="C432" s="1008">
        <v>6</v>
      </c>
      <c r="D432" s="1009">
        <v>14029999</v>
      </c>
      <c r="E432" s="1009">
        <v>14020000</v>
      </c>
      <c r="F432" s="1007" t="s">
        <v>4516</v>
      </c>
      <c r="O432" s="1007" t="s">
        <v>648</v>
      </c>
      <c r="P432" s="1007" t="s">
        <v>648</v>
      </c>
      <c r="S432" s="1008" t="s">
        <v>650</v>
      </c>
      <c r="T432" s="1008" t="s">
        <v>675</v>
      </c>
      <c r="U432" s="1008" t="s">
        <v>649</v>
      </c>
      <c r="V432" s="1008" t="s">
        <v>648</v>
      </c>
      <c r="W432" s="1008" t="s">
        <v>546</v>
      </c>
      <c r="X432" s="1008"/>
      <c r="Y432" s="1008"/>
      <c r="Z432" s="1008"/>
      <c r="AA432" s="1008"/>
      <c r="AB432" s="1008"/>
      <c r="AC432" s="1008"/>
      <c r="AD432" s="1008"/>
      <c r="AE432" s="1008"/>
      <c r="AF432" s="1008"/>
      <c r="AG432" s="1008"/>
      <c r="AH432" s="1008"/>
      <c r="AI432" s="1008"/>
    </row>
    <row r="433" spans="1:35">
      <c r="A433" s="1008">
        <v>23914</v>
      </c>
      <c r="B433" s="1008">
        <v>615</v>
      </c>
      <c r="C433" s="1008">
        <v>7</v>
      </c>
      <c r="D433" s="1009">
        <v>14029999</v>
      </c>
      <c r="E433" s="1009">
        <v>14020200</v>
      </c>
      <c r="F433" s="1007" t="s">
        <v>4516</v>
      </c>
      <c r="G433" s="1007">
        <v>8</v>
      </c>
      <c r="H433" s="1010">
        <v>99999999</v>
      </c>
      <c r="I433" s="1009">
        <v>14020200</v>
      </c>
      <c r="J433" s="1007" t="s">
        <v>4515</v>
      </c>
      <c r="O433" s="1007" t="s">
        <v>648</v>
      </c>
      <c r="P433" s="1007" t="s">
        <v>648</v>
      </c>
      <c r="S433" s="1008" t="s">
        <v>650</v>
      </c>
      <c r="T433" s="1008" t="s">
        <v>654</v>
      </c>
      <c r="U433" s="1008" t="s">
        <v>649</v>
      </c>
      <c r="V433" s="1008" t="s">
        <v>648</v>
      </c>
      <c r="W433" s="1008" t="s">
        <v>546</v>
      </c>
      <c r="X433" s="1008" t="s">
        <v>670</v>
      </c>
      <c r="Y433" s="1008" t="s">
        <v>670</v>
      </c>
      <c r="Z433" s="1008" t="s">
        <v>670</v>
      </c>
      <c r="AA433" s="1008" t="s">
        <v>670</v>
      </c>
      <c r="AB433" s="1008" t="s">
        <v>670</v>
      </c>
      <c r="AC433" s="1008"/>
      <c r="AD433" s="1008"/>
      <c r="AE433" s="1008"/>
      <c r="AF433" s="1008" t="s">
        <v>670</v>
      </c>
      <c r="AG433" s="1008" t="s">
        <v>670</v>
      </c>
      <c r="AH433" s="1008"/>
      <c r="AI433" s="1008"/>
    </row>
    <row r="434" spans="1:35">
      <c r="A434" s="1008">
        <v>23915</v>
      </c>
      <c r="B434" s="1008">
        <v>4821</v>
      </c>
      <c r="C434" s="1008">
        <v>7</v>
      </c>
      <c r="D434" s="1009">
        <v>14029999</v>
      </c>
      <c r="E434" s="1009">
        <v>14020700</v>
      </c>
      <c r="F434" s="1007" t="s">
        <v>4514</v>
      </c>
      <c r="G434" s="1007">
        <v>7</v>
      </c>
      <c r="H434" s="1010">
        <v>99999999</v>
      </c>
      <c r="I434" s="1009">
        <v>14020700</v>
      </c>
      <c r="J434" s="1007" t="s">
        <v>4513</v>
      </c>
      <c r="O434" s="1007" t="s">
        <v>648</v>
      </c>
      <c r="P434" s="1007" t="s">
        <v>648</v>
      </c>
      <c r="S434" s="1008" t="s">
        <v>650</v>
      </c>
      <c r="T434" s="1008" t="s">
        <v>654</v>
      </c>
      <c r="U434" s="1008" t="s">
        <v>649</v>
      </c>
      <c r="V434" s="1008" t="s">
        <v>648</v>
      </c>
      <c r="W434" s="1008" t="s">
        <v>546</v>
      </c>
      <c r="X434" s="1008" t="s">
        <v>670</v>
      </c>
      <c r="Y434" s="1008"/>
      <c r="Z434" s="1008"/>
      <c r="AA434" s="1008" t="s">
        <v>670</v>
      </c>
      <c r="AB434" s="1008" t="s">
        <v>670</v>
      </c>
      <c r="AC434" s="1008"/>
      <c r="AD434" s="1008"/>
      <c r="AE434" s="1008"/>
      <c r="AF434" s="1008"/>
      <c r="AG434" s="1008" t="s">
        <v>670</v>
      </c>
      <c r="AH434" s="1008"/>
      <c r="AI434" s="1008"/>
    </row>
    <row r="435" spans="1:35">
      <c r="A435" s="1008">
        <v>23916</v>
      </c>
      <c r="C435" s="1008">
        <v>6</v>
      </c>
      <c r="D435" s="1009">
        <v>14099900</v>
      </c>
      <c r="E435" s="1009">
        <v>14029999</v>
      </c>
      <c r="F435" s="1007" t="s">
        <v>4512</v>
      </c>
      <c r="O435" s="1007" t="s">
        <v>648</v>
      </c>
      <c r="P435" s="1007" t="s">
        <v>648</v>
      </c>
      <c r="S435" s="1008" t="s">
        <v>650</v>
      </c>
      <c r="T435" s="1008" t="s">
        <v>21</v>
      </c>
      <c r="U435" s="1008" t="s">
        <v>649</v>
      </c>
      <c r="V435" s="1008" t="s">
        <v>648</v>
      </c>
      <c r="W435" s="1008" t="s">
        <v>546</v>
      </c>
      <c r="X435" s="1008"/>
      <c r="Y435" s="1008"/>
      <c r="Z435" s="1008"/>
      <c r="AA435" s="1008"/>
      <c r="AB435" s="1008"/>
      <c r="AC435" s="1008"/>
      <c r="AD435" s="1008"/>
      <c r="AE435" s="1008"/>
      <c r="AF435" s="1008"/>
      <c r="AG435" s="1008"/>
      <c r="AH435" s="1008"/>
      <c r="AI435" s="1008"/>
    </row>
    <row r="436" spans="1:35">
      <c r="A436" s="1008">
        <v>23917</v>
      </c>
      <c r="C436" s="1008">
        <v>5</v>
      </c>
      <c r="D436" s="1009">
        <v>14099999</v>
      </c>
      <c r="E436" s="1009">
        <v>14099900</v>
      </c>
      <c r="F436" s="1007" t="s">
        <v>4511</v>
      </c>
      <c r="O436" s="1007" t="s">
        <v>648</v>
      </c>
      <c r="P436" s="1007" t="s">
        <v>648</v>
      </c>
      <c r="S436" s="1008" t="s">
        <v>650</v>
      </c>
      <c r="T436" s="1008" t="s">
        <v>21</v>
      </c>
      <c r="U436" s="1008" t="s">
        <v>649</v>
      </c>
      <c r="V436" s="1008" t="s">
        <v>648</v>
      </c>
      <c r="W436" s="1008" t="s">
        <v>546</v>
      </c>
      <c r="X436" s="1008"/>
      <c r="Y436" s="1008"/>
      <c r="Z436" s="1008"/>
      <c r="AA436" s="1008"/>
      <c r="AB436" s="1008"/>
      <c r="AC436" s="1008"/>
      <c r="AD436" s="1008"/>
      <c r="AE436" s="1008"/>
      <c r="AF436" s="1008"/>
      <c r="AG436" s="1008"/>
      <c r="AH436" s="1008"/>
      <c r="AI436" s="1008"/>
    </row>
    <row r="437" spans="1:35">
      <c r="A437" s="1008">
        <v>23918</v>
      </c>
      <c r="C437" s="1008">
        <v>4</v>
      </c>
      <c r="D437" s="1009">
        <v>19999998</v>
      </c>
      <c r="E437" s="1009">
        <v>14099999</v>
      </c>
      <c r="F437" s="1007" t="s">
        <v>4511</v>
      </c>
      <c r="O437" s="1007" t="s">
        <v>648</v>
      </c>
      <c r="P437" s="1007" t="s">
        <v>648</v>
      </c>
      <c r="S437" s="1008" t="s">
        <v>650</v>
      </c>
      <c r="T437" s="1008" t="s">
        <v>21</v>
      </c>
      <c r="U437" s="1008" t="s">
        <v>649</v>
      </c>
      <c r="V437" s="1008" t="s">
        <v>648</v>
      </c>
      <c r="W437" s="1008" t="s">
        <v>546</v>
      </c>
      <c r="X437" s="1008"/>
      <c r="Y437" s="1008"/>
      <c r="Z437" s="1008"/>
      <c r="AA437" s="1008"/>
      <c r="AB437" s="1008"/>
      <c r="AC437" s="1008"/>
      <c r="AD437" s="1008"/>
      <c r="AE437" s="1008"/>
      <c r="AF437" s="1008"/>
      <c r="AG437" s="1008"/>
      <c r="AH437" s="1008"/>
      <c r="AI437" s="1008"/>
    </row>
    <row r="438" spans="1:35">
      <c r="A438" s="1008">
        <v>23919</v>
      </c>
      <c r="C438" s="1008">
        <v>4</v>
      </c>
      <c r="D438" s="1009">
        <v>14699999</v>
      </c>
      <c r="E438" s="1009">
        <v>14500000</v>
      </c>
      <c r="F438" s="1007" t="s">
        <v>4510</v>
      </c>
      <c r="O438" s="1007" t="s">
        <v>648</v>
      </c>
      <c r="P438" s="1007" t="s">
        <v>648</v>
      </c>
      <c r="S438" s="1008" t="s">
        <v>650</v>
      </c>
      <c r="T438" s="1008" t="s">
        <v>675</v>
      </c>
      <c r="U438" s="1008" t="s">
        <v>649</v>
      </c>
      <c r="V438" s="1008" t="s">
        <v>648</v>
      </c>
      <c r="W438" s="1008" t="s">
        <v>546</v>
      </c>
      <c r="X438" s="1008"/>
      <c r="Y438" s="1008"/>
      <c r="Z438" s="1008"/>
      <c r="AA438" s="1008"/>
      <c r="AB438" s="1008"/>
      <c r="AC438" s="1008"/>
      <c r="AD438" s="1008"/>
      <c r="AE438" s="1008"/>
      <c r="AF438" s="1008"/>
      <c r="AG438" s="1008"/>
      <c r="AH438" s="1008"/>
      <c r="AI438" s="1008"/>
    </row>
    <row r="439" spans="1:35">
      <c r="A439" s="1008">
        <v>23920</v>
      </c>
      <c r="C439" s="1008">
        <v>5</v>
      </c>
      <c r="D439" s="1009">
        <v>14599999</v>
      </c>
      <c r="E439" s="1009">
        <v>14501000</v>
      </c>
      <c r="F439" s="1007" t="s">
        <v>4509</v>
      </c>
      <c r="O439" s="1007" t="s">
        <v>648</v>
      </c>
      <c r="P439" s="1007" t="s">
        <v>648</v>
      </c>
      <c r="S439" s="1008" t="s">
        <v>650</v>
      </c>
      <c r="T439" s="1008" t="s">
        <v>675</v>
      </c>
      <c r="U439" s="1008" t="s">
        <v>649</v>
      </c>
      <c r="V439" s="1008" t="s">
        <v>648</v>
      </c>
      <c r="W439" s="1008" t="s">
        <v>546</v>
      </c>
      <c r="X439" s="1008"/>
      <c r="Y439" s="1008"/>
      <c r="Z439" s="1008"/>
      <c r="AA439" s="1008"/>
      <c r="AB439" s="1008"/>
      <c r="AC439" s="1008"/>
      <c r="AD439" s="1008"/>
      <c r="AE439" s="1008"/>
      <c r="AF439" s="1008"/>
      <c r="AG439" s="1008"/>
      <c r="AH439" s="1008"/>
      <c r="AI439" s="1008"/>
    </row>
    <row r="440" spans="1:35">
      <c r="A440" s="1008">
        <v>23921</v>
      </c>
      <c r="C440" s="1008">
        <v>6</v>
      </c>
      <c r="D440" s="1009">
        <v>14519999</v>
      </c>
      <c r="E440" s="1009">
        <v>14510000</v>
      </c>
      <c r="F440" s="1007" t="s">
        <v>4508</v>
      </c>
      <c r="O440" s="1007" t="s">
        <v>648</v>
      </c>
      <c r="P440" s="1007" t="s">
        <v>648</v>
      </c>
      <c r="S440" s="1008" t="s">
        <v>650</v>
      </c>
      <c r="T440" s="1008" t="s">
        <v>675</v>
      </c>
      <c r="U440" s="1008" t="s">
        <v>649</v>
      </c>
      <c r="V440" s="1008" t="s">
        <v>648</v>
      </c>
      <c r="W440" s="1008" t="s">
        <v>546</v>
      </c>
      <c r="X440" s="1008"/>
      <c r="Y440" s="1008"/>
      <c r="Z440" s="1008"/>
      <c r="AA440" s="1008"/>
      <c r="AB440" s="1008"/>
      <c r="AC440" s="1008"/>
      <c r="AD440" s="1008"/>
      <c r="AE440" s="1008"/>
      <c r="AF440" s="1008"/>
      <c r="AG440" s="1008"/>
      <c r="AH440" s="1008"/>
      <c r="AI440" s="1008"/>
    </row>
    <row r="441" spans="1:35">
      <c r="A441" s="1008">
        <v>23922</v>
      </c>
      <c r="B441" s="1008">
        <v>624</v>
      </c>
      <c r="C441" s="1008">
        <v>7</v>
      </c>
      <c r="D441" s="1009">
        <v>14519999</v>
      </c>
      <c r="E441" s="1009">
        <v>14510200</v>
      </c>
      <c r="F441" s="1007" t="s">
        <v>4507</v>
      </c>
      <c r="G441" s="1007">
        <v>8</v>
      </c>
      <c r="H441" s="1010">
        <v>99999999</v>
      </c>
      <c r="I441" s="1009">
        <v>14510200</v>
      </c>
      <c r="J441" s="1007" t="s">
        <v>4507</v>
      </c>
      <c r="O441" s="1007" t="s">
        <v>648</v>
      </c>
      <c r="P441" s="1007" t="s">
        <v>648</v>
      </c>
      <c r="S441" s="1008" t="s">
        <v>650</v>
      </c>
      <c r="T441" s="1008" t="s">
        <v>654</v>
      </c>
      <c r="U441" s="1008" t="s">
        <v>649</v>
      </c>
      <c r="V441" s="1008" t="s">
        <v>648</v>
      </c>
      <c r="W441" s="1008" t="s">
        <v>546</v>
      </c>
      <c r="X441" s="1008" t="s">
        <v>670</v>
      </c>
      <c r="Y441" s="1008" t="s">
        <v>670</v>
      </c>
      <c r="Z441" s="1008"/>
      <c r="AA441" s="1008"/>
      <c r="AB441" s="1008"/>
      <c r="AC441" s="1008"/>
      <c r="AD441" s="1008"/>
      <c r="AE441" s="1008"/>
      <c r="AF441" s="1008" t="s">
        <v>670</v>
      </c>
      <c r="AG441" s="1008"/>
      <c r="AH441" s="1008"/>
      <c r="AI441" s="1008" t="s">
        <v>670</v>
      </c>
    </row>
    <row r="442" spans="1:35">
      <c r="A442" s="1008">
        <v>23923</v>
      </c>
      <c r="B442" s="1008">
        <v>625</v>
      </c>
      <c r="C442" s="1008">
        <v>7</v>
      </c>
      <c r="D442" s="1009">
        <v>14519999</v>
      </c>
      <c r="E442" s="1009">
        <v>14510300</v>
      </c>
      <c r="F442" s="1007" t="s">
        <v>4506</v>
      </c>
      <c r="G442" s="1007">
        <v>8</v>
      </c>
      <c r="H442" s="1010">
        <v>99999999</v>
      </c>
      <c r="I442" s="1009">
        <v>14510300</v>
      </c>
      <c r="J442" s="1007" t="s">
        <v>4506</v>
      </c>
      <c r="O442" s="1007" t="s">
        <v>648</v>
      </c>
      <c r="P442" s="1007" t="s">
        <v>648</v>
      </c>
      <c r="S442" s="1008" t="s">
        <v>650</v>
      </c>
      <c r="T442" s="1008" t="s">
        <v>654</v>
      </c>
      <c r="U442" s="1008" t="s">
        <v>649</v>
      </c>
      <c r="V442" s="1008" t="s">
        <v>648</v>
      </c>
      <c r="W442" s="1008" t="s">
        <v>546</v>
      </c>
      <c r="X442" s="1008" t="s">
        <v>670</v>
      </c>
      <c r="Y442" s="1008" t="s">
        <v>670</v>
      </c>
      <c r="Z442" s="1008"/>
      <c r="AA442" s="1008"/>
      <c r="AB442" s="1008"/>
      <c r="AC442" s="1008"/>
      <c r="AD442" s="1008"/>
      <c r="AE442" s="1008"/>
      <c r="AF442" s="1008" t="s">
        <v>670</v>
      </c>
      <c r="AG442" s="1008"/>
      <c r="AH442" s="1008"/>
      <c r="AI442" s="1008" t="s">
        <v>670</v>
      </c>
    </row>
    <row r="443" spans="1:35">
      <c r="A443" s="1008">
        <v>23924</v>
      </c>
      <c r="B443" s="1008">
        <v>627</v>
      </c>
      <c r="C443" s="1008">
        <v>7</v>
      </c>
      <c r="D443" s="1009">
        <v>14519999</v>
      </c>
      <c r="E443" s="1009">
        <v>14510350</v>
      </c>
      <c r="F443" s="1007" t="s">
        <v>4505</v>
      </c>
      <c r="G443" s="1007">
        <v>8</v>
      </c>
      <c r="H443" s="1010">
        <v>99999999</v>
      </c>
      <c r="I443" s="1009">
        <v>14510350</v>
      </c>
      <c r="J443" s="1007" t="s">
        <v>4505</v>
      </c>
      <c r="O443" s="1007" t="s">
        <v>648</v>
      </c>
      <c r="P443" s="1007" t="s">
        <v>648</v>
      </c>
      <c r="S443" s="1008" t="s">
        <v>650</v>
      </c>
      <c r="T443" s="1008" t="s">
        <v>654</v>
      </c>
      <c r="U443" s="1008" t="s">
        <v>649</v>
      </c>
      <c r="V443" s="1008" t="s">
        <v>648</v>
      </c>
      <c r="W443" s="1008" t="s">
        <v>546</v>
      </c>
      <c r="X443" s="1008" t="s">
        <v>670</v>
      </c>
      <c r="Y443" s="1008"/>
      <c r="Z443" s="1008"/>
      <c r="AA443" s="1008"/>
      <c r="AB443" s="1008"/>
      <c r="AC443" s="1008"/>
      <c r="AD443" s="1008"/>
      <c r="AE443" s="1008"/>
      <c r="AF443" s="1008"/>
      <c r="AG443" s="1008"/>
      <c r="AH443" s="1008"/>
      <c r="AI443" s="1008" t="s">
        <v>670</v>
      </c>
    </row>
    <row r="444" spans="1:35">
      <c r="A444" s="1008">
        <v>23925</v>
      </c>
      <c r="B444" s="1008">
        <v>1538</v>
      </c>
      <c r="C444" s="1008">
        <v>7</v>
      </c>
      <c r="D444" s="1009">
        <v>14519999</v>
      </c>
      <c r="E444" s="1009">
        <v>14510400</v>
      </c>
      <c r="F444" s="1007" t="s">
        <v>4504</v>
      </c>
      <c r="G444" s="1007">
        <v>7</v>
      </c>
      <c r="H444" s="1010">
        <v>99999999</v>
      </c>
      <c r="I444" s="1009">
        <v>14510400</v>
      </c>
      <c r="J444" s="1007" t="s">
        <v>4504</v>
      </c>
      <c r="O444" s="1007" t="s">
        <v>648</v>
      </c>
      <c r="P444" s="1007" t="s">
        <v>648</v>
      </c>
      <c r="S444" s="1008" t="s">
        <v>650</v>
      </c>
      <c r="T444" s="1008" t="s">
        <v>654</v>
      </c>
      <c r="U444" s="1008" t="s">
        <v>649</v>
      </c>
      <c r="V444" s="1008" t="s">
        <v>648</v>
      </c>
      <c r="W444" s="1008" t="s">
        <v>546</v>
      </c>
      <c r="X444" s="1008" t="s">
        <v>670</v>
      </c>
      <c r="Y444" s="1008"/>
      <c r="Z444" s="1008"/>
      <c r="AA444" s="1008"/>
      <c r="AB444" s="1008"/>
      <c r="AC444" s="1008"/>
      <c r="AD444" s="1008"/>
      <c r="AE444" s="1008"/>
      <c r="AF444" s="1008"/>
      <c r="AG444" s="1008"/>
      <c r="AH444" s="1008"/>
      <c r="AI444" s="1008" t="s">
        <v>670</v>
      </c>
    </row>
    <row r="445" spans="1:35">
      <c r="A445" s="1008">
        <v>23926</v>
      </c>
      <c r="B445" s="1008">
        <v>628</v>
      </c>
      <c r="C445" s="1008">
        <v>7</v>
      </c>
      <c r="D445" s="1009">
        <v>14519999</v>
      </c>
      <c r="E445" s="1009">
        <v>14510700</v>
      </c>
      <c r="F445" s="1007" t="s">
        <v>4503</v>
      </c>
      <c r="G445" s="1007">
        <v>8</v>
      </c>
      <c r="H445" s="1010">
        <v>99999999</v>
      </c>
      <c r="I445" s="1009">
        <v>14510700</v>
      </c>
      <c r="J445" s="1007" t="s">
        <v>4503</v>
      </c>
      <c r="O445" s="1007" t="s">
        <v>648</v>
      </c>
      <c r="P445" s="1007" t="s">
        <v>648</v>
      </c>
      <c r="S445" s="1008" t="s">
        <v>650</v>
      </c>
      <c r="T445" s="1008" t="s">
        <v>654</v>
      </c>
      <c r="U445" s="1008" t="s">
        <v>649</v>
      </c>
      <c r="V445" s="1008" t="s">
        <v>648</v>
      </c>
      <c r="W445" s="1008" t="s">
        <v>546</v>
      </c>
      <c r="X445" s="1008" t="s">
        <v>670</v>
      </c>
      <c r="Y445" s="1008"/>
      <c r="Z445" s="1008"/>
      <c r="AA445" s="1008"/>
      <c r="AB445" s="1008"/>
      <c r="AC445" s="1008"/>
      <c r="AD445" s="1008"/>
      <c r="AE445" s="1008"/>
      <c r="AF445" s="1008"/>
      <c r="AG445" s="1008"/>
      <c r="AH445" s="1008"/>
      <c r="AI445" s="1008" t="s">
        <v>670</v>
      </c>
    </row>
    <row r="446" spans="1:35">
      <c r="A446" s="1008">
        <v>23927</v>
      </c>
      <c r="B446" s="1008">
        <v>4827</v>
      </c>
      <c r="C446" s="1008">
        <v>7</v>
      </c>
      <c r="D446" s="1009">
        <v>14519999</v>
      </c>
      <c r="E446" s="1009">
        <v>14510800</v>
      </c>
      <c r="F446" s="1007" t="s">
        <v>4502</v>
      </c>
      <c r="G446" s="1007">
        <v>7</v>
      </c>
      <c r="H446" s="1010">
        <v>99999999</v>
      </c>
      <c r="I446" s="1009">
        <v>14510800</v>
      </c>
      <c r="J446" s="1007" t="s">
        <v>4502</v>
      </c>
      <c r="O446" s="1007" t="s">
        <v>648</v>
      </c>
      <c r="P446" s="1007" t="s">
        <v>648</v>
      </c>
      <c r="S446" s="1008" t="s">
        <v>650</v>
      </c>
      <c r="T446" s="1008" t="s">
        <v>654</v>
      </c>
      <c r="U446" s="1008" t="s">
        <v>649</v>
      </c>
      <c r="V446" s="1008" t="s">
        <v>648</v>
      </c>
      <c r="W446" s="1008" t="s">
        <v>546</v>
      </c>
      <c r="X446" s="1008" t="s">
        <v>670</v>
      </c>
      <c r="Y446" s="1008"/>
      <c r="Z446" s="1008"/>
      <c r="AA446" s="1008"/>
      <c r="AB446" s="1008"/>
      <c r="AC446" s="1008"/>
      <c r="AD446" s="1008"/>
      <c r="AE446" s="1008"/>
      <c r="AF446" s="1008"/>
      <c r="AG446" s="1008"/>
      <c r="AH446" s="1008"/>
      <c r="AI446" s="1008" t="s">
        <v>670</v>
      </c>
    </row>
    <row r="447" spans="1:35">
      <c r="A447" s="1008">
        <v>23928</v>
      </c>
      <c r="C447" s="1008">
        <v>6</v>
      </c>
      <c r="D447" s="1009">
        <v>14599999</v>
      </c>
      <c r="E447" s="1009">
        <v>14519999</v>
      </c>
      <c r="F447" s="1007" t="s">
        <v>4501</v>
      </c>
      <c r="O447" s="1007" t="s">
        <v>648</v>
      </c>
      <c r="P447" s="1007" t="s">
        <v>648</v>
      </c>
      <c r="S447" s="1008" t="s">
        <v>650</v>
      </c>
      <c r="T447" s="1008" t="s">
        <v>21</v>
      </c>
      <c r="U447" s="1008" t="s">
        <v>649</v>
      </c>
      <c r="V447" s="1008" t="s">
        <v>648</v>
      </c>
      <c r="W447" s="1008" t="s">
        <v>546</v>
      </c>
      <c r="X447" s="1008"/>
      <c r="Y447" s="1008"/>
      <c r="Z447" s="1008"/>
      <c r="AA447" s="1008"/>
      <c r="AB447" s="1008"/>
      <c r="AC447" s="1008"/>
      <c r="AD447" s="1008"/>
      <c r="AE447" s="1008"/>
      <c r="AF447" s="1008"/>
      <c r="AG447" s="1008"/>
      <c r="AH447" s="1008"/>
      <c r="AI447" s="1008"/>
    </row>
    <row r="448" spans="1:35">
      <c r="A448" s="1008">
        <v>23929</v>
      </c>
      <c r="C448" s="1008">
        <v>6</v>
      </c>
      <c r="D448" s="1009">
        <v>14529999</v>
      </c>
      <c r="E448" s="1009">
        <v>14520000</v>
      </c>
      <c r="F448" s="1007" t="s">
        <v>4500</v>
      </c>
      <c r="O448" s="1007" t="s">
        <v>648</v>
      </c>
      <c r="P448" s="1007" t="s">
        <v>648</v>
      </c>
      <c r="S448" s="1008" t="s">
        <v>650</v>
      </c>
      <c r="T448" s="1008" t="s">
        <v>675</v>
      </c>
      <c r="U448" s="1008" t="s">
        <v>649</v>
      </c>
      <c r="V448" s="1008" t="s">
        <v>648</v>
      </c>
      <c r="W448" s="1008" t="s">
        <v>546</v>
      </c>
      <c r="X448" s="1008"/>
      <c r="Y448" s="1008"/>
      <c r="Z448" s="1008"/>
      <c r="AA448" s="1008"/>
      <c r="AB448" s="1008"/>
      <c r="AC448" s="1008"/>
      <c r="AD448" s="1008"/>
      <c r="AE448" s="1008"/>
      <c r="AF448" s="1008"/>
      <c r="AG448" s="1008"/>
      <c r="AH448" s="1008"/>
      <c r="AI448" s="1008"/>
    </row>
    <row r="449" spans="1:35">
      <c r="A449" s="1008">
        <v>23930</v>
      </c>
      <c r="B449" s="1008">
        <v>623</v>
      </c>
      <c r="C449" s="1008">
        <v>7</v>
      </c>
      <c r="D449" s="1009">
        <v>14529999</v>
      </c>
      <c r="E449" s="1009">
        <v>14520200</v>
      </c>
      <c r="F449" s="1007" t="s">
        <v>4499</v>
      </c>
      <c r="G449" s="1007">
        <v>8</v>
      </c>
      <c r="H449" s="1010">
        <v>99999999</v>
      </c>
      <c r="I449" s="1009">
        <v>14520200</v>
      </c>
      <c r="J449" s="1007" t="s">
        <v>4499</v>
      </c>
      <c r="O449" s="1007" t="s">
        <v>648</v>
      </c>
      <c r="P449" s="1007" t="s">
        <v>648</v>
      </c>
      <c r="S449" s="1008" t="s">
        <v>650</v>
      </c>
      <c r="T449" s="1008" t="s">
        <v>654</v>
      </c>
      <c r="U449" s="1008" t="s">
        <v>649</v>
      </c>
      <c r="V449" s="1008" t="s">
        <v>648</v>
      </c>
      <c r="W449" s="1008" t="s">
        <v>546</v>
      </c>
      <c r="X449" s="1008" t="s">
        <v>670</v>
      </c>
      <c r="Y449" s="1008"/>
      <c r="Z449" s="1008"/>
      <c r="AA449" s="1008"/>
      <c r="AB449" s="1008"/>
      <c r="AC449" s="1008"/>
      <c r="AD449" s="1008"/>
      <c r="AE449" s="1008"/>
      <c r="AF449" s="1008"/>
      <c r="AG449" s="1008"/>
      <c r="AH449" s="1008"/>
      <c r="AI449" s="1008" t="s">
        <v>670</v>
      </c>
    </row>
    <row r="450" spans="1:35">
      <c r="A450" s="1008">
        <v>23931</v>
      </c>
      <c r="B450" s="1008">
        <v>1542</v>
      </c>
      <c r="C450" s="1008">
        <v>7</v>
      </c>
      <c r="D450" s="1009">
        <v>14529999</v>
      </c>
      <c r="E450" s="1009">
        <v>14520400</v>
      </c>
      <c r="F450" s="1007" t="s">
        <v>4498</v>
      </c>
      <c r="G450" s="1007">
        <v>7</v>
      </c>
      <c r="H450" s="1010">
        <v>99999999</v>
      </c>
      <c r="I450" s="1009">
        <v>14520400</v>
      </c>
      <c r="J450" s="1007" t="s">
        <v>4498</v>
      </c>
      <c r="O450" s="1007" t="s">
        <v>648</v>
      </c>
      <c r="P450" s="1007" t="s">
        <v>648</v>
      </c>
      <c r="S450" s="1008" t="s">
        <v>650</v>
      </c>
      <c r="T450" s="1008" t="s">
        <v>654</v>
      </c>
      <c r="U450" s="1008" t="s">
        <v>649</v>
      </c>
      <c r="V450" s="1008" t="s">
        <v>648</v>
      </c>
      <c r="W450" s="1008" t="s">
        <v>546</v>
      </c>
      <c r="X450" s="1008" t="s">
        <v>670</v>
      </c>
      <c r="Y450" s="1008"/>
      <c r="Z450" s="1008"/>
      <c r="AA450" s="1008"/>
      <c r="AB450" s="1008"/>
      <c r="AC450" s="1008"/>
      <c r="AD450" s="1008"/>
      <c r="AE450" s="1008"/>
      <c r="AF450" s="1008"/>
      <c r="AG450" s="1008"/>
      <c r="AH450" s="1008"/>
      <c r="AI450" s="1008" t="s">
        <v>670</v>
      </c>
    </row>
    <row r="451" spans="1:35">
      <c r="A451" s="1008">
        <v>23932</v>
      </c>
      <c r="B451" s="1008">
        <v>1543</v>
      </c>
      <c r="C451" s="1008">
        <v>7</v>
      </c>
      <c r="D451" s="1009">
        <v>14529999</v>
      </c>
      <c r="E451" s="1009">
        <v>14520700</v>
      </c>
      <c r="F451" s="1007" t="s">
        <v>4497</v>
      </c>
      <c r="G451" s="1007">
        <v>7</v>
      </c>
      <c r="H451" s="1010">
        <v>99999999</v>
      </c>
      <c r="I451" s="1009">
        <v>14520700</v>
      </c>
      <c r="J451" s="1007" t="s">
        <v>4497</v>
      </c>
      <c r="O451" s="1007" t="s">
        <v>648</v>
      </c>
      <c r="P451" s="1007" t="s">
        <v>648</v>
      </c>
      <c r="S451" s="1008" t="s">
        <v>650</v>
      </c>
      <c r="T451" s="1008" t="s">
        <v>654</v>
      </c>
      <c r="U451" s="1008" t="s">
        <v>649</v>
      </c>
      <c r="V451" s="1008" t="s">
        <v>648</v>
      </c>
      <c r="W451" s="1008" t="s">
        <v>546</v>
      </c>
      <c r="X451" s="1008" t="s">
        <v>670</v>
      </c>
      <c r="Y451" s="1008"/>
      <c r="Z451" s="1008"/>
      <c r="AA451" s="1008"/>
      <c r="AB451" s="1008"/>
      <c r="AC451" s="1008"/>
      <c r="AD451" s="1008"/>
      <c r="AE451" s="1008"/>
      <c r="AF451" s="1008"/>
      <c r="AG451" s="1008"/>
      <c r="AH451" s="1008"/>
      <c r="AI451" s="1008" t="s">
        <v>670</v>
      </c>
    </row>
    <row r="452" spans="1:35">
      <c r="A452" s="1008">
        <v>23933</v>
      </c>
      <c r="B452" s="1008">
        <v>4829</v>
      </c>
      <c r="C452" s="1008">
        <v>7</v>
      </c>
      <c r="D452" s="1009">
        <v>14529999</v>
      </c>
      <c r="E452" s="1009">
        <v>14520800</v>
      </c>
      <c r="F452" s="1007" t="s">
        <v>4496</v>
      </c>
      <c r="G452" s="1007">
        <v>7</v>
      </c>
      <c r="H452" s="1010">
        <v>99999999</v>
      </c>
      <c r="I452" s="1009">
        <v>14520800</v>
      </c>
      <c r="J452" s="1007" t="s">
        <v>4496</v>
      </c>
      <c r="O452" s="1007" t="s">
        <v>648</v>
      </c>
      <c r="P452" s="1007" t="s">
        <v>648</v>
      </c>
      <c r="S452" s="1008" t="s">
        <v>650</v>
      </c>
      <c r="T452" s="1008" t="s">
        <v>654</v>
      </c>
      <c r="U452" s="1008" t="s">
        <v>649</v>
      </c>
      <c r="V452" s="1008" t="s">
        <v>648</v>
      </c>
      <c r="W452" s="1008" t="s">
        <v>546</v>
      </c>
      <c r="X452" s="1008" t="s">
        <v>670</v>
      </c>
      <c r="Y452" s="1008"/>
      <c r="Z452" s="1008"/>
      <c r="AA452" s="1008"/>
      <c r="AB452" s="1008"/>
      <c r="AC452" s="1008"/>
      <c r="AD452" s="1008"/>
      <c r="AE452" s="1008"/>
      <c r="AF452" s="1008"/>
      <c r="AG452" s="1008"/>
      <c r="AH452" s="1008"/>
      <c r="AI452" s="1008" t="s">
        <v>670</v>
      </c>
    </row>
    <row r="453" spans="1:35">
      <c r="A453" s="1008">
        <v>23934</v>
      </c>
      <c r="C453" s="1008">
        <v>6</v>
      </c>
      <c r="D453" s="1009">
        <v>14599999</v>
      </c>
      <c r="E453" s="1009">
        <v>14529999</v>
      </c>
      <c r="F453" s="1007" t="s">
        <v>4495</v>
      </c>
      <c r="O453" s="1007" t="s">
        <v>648</v>
      </c>
      <c r="P453" s="1007" t="s">
        <v>648</v>
      </c>
      <c r="S453" s="1008" t="s">
        <v>650</v>
      </c>
      <c r="T453" s="1008" t="s">
        <v>21</v>
      </c>
      <c r="U453" s="1008" t="s">
        <v>649</v>
      </c>
      <c r="V453" s="1008" t="s">
        <v>648</v>
      </c>
      <c r="W453" s="1008" t="s">
        <v>546</v>
      </c>
      <c r="X453" s="1008"/>
      <c r="Y453" s="1008"/>
      <c r="Z453" s="1008"/>
      <c r="AA453" s="1008"/>
      <c r="AB453" s="1008"/>
      <c r="AC453" s="1008"/>
      <c r="AD453" s="1008"/>
      <c r="AE453" s="1008"/>
      <c r="AF453" s="1008"/>
      <c r="AG453" s="1008"/>
      <c r="AH453" s="1008"/>
      <c r="AI453" s="1008"/>
    </row>
    <row r="454" spans="1:35">
      <c r="A454" s="1008">
        <v>23935</v>
      </c>
      <c r="C454" s="1008">
        <v>5</v>
      </c>
      <c r="D454" s="1009">
        <v>14699999</v>
      </c>
      <c r="E454" s="1009">
        <v>14599999</v>
      </c>
      <c r="F454" s="1007" t="s">
        <v>4494</v>
      </c>
      <c r="O454" s="1007" t="s">
        <v>648</v>
      </c>
      <c r="P454" s="1007" t="s">
        <v>648</v>
      </c>
      <c r="S454" s="1008" t="s">
        <v>650</v>
      </c>
      <c r="T454" s="1008" t="s">
        <v>21</v>
      </c>
      <c r="U454" s="1008" t="s">
        <v>649</v>
      </c>
      <c r="V454" s="1008" t="s">
        <v>648</v>
      </c>
      <c r="W454" s="1008" t="s">
        <v>546</v>
      </c>
      <c r="X454" s="1008"/>
      <c r="Y454" s="1008"/>
      <c r="Z454" s="1008"/>
      <c r="AA454" s="1008"/>
      <c r="AB454" s="1008"/>
      <c r="AC454" s="1008"/>
      <c r="AD454" s="1008"/>
      <c r="AE454" s="1008"/>
      <c r="AF454" s="1008"/>
      <c r="AG454" s="1008"/>
      <c r="AH454" s="1008"/>
      <c r="AI454" s="1008"/>
    </row>
    <row r="455" spans="1:35">
      <c r="A455" s="1008">
        <v>23936</v>
      </c>
      <c r="C455" s="1008">
        <v>5</v>
      </c>
      <c r="D455" s="1009">
        <v>14699900</v>
      </c>
      <c r="E455" s="1009">
        <v>14600000</v>
      </c>
      <c r="F455" s="1007" t="s">
        <v>4493</v>
      </c>
      <c r="O455" s="1007" t="s">
        <v>648</v>
      </c>
      <c r="P455" s="1007" t="s">
        <v>648</v>
      </c>
      <c r="S455" s="1008" t="s">
        <v>650</v>
      </c>
      <c r="T455" s="1008" t="s">
        <v>675</v>
      </c>
      <c r="U455" s="1008" t="s">
        <v>649</v>
      </c>
      <c r="V455" s="1008" t="s">
        <v>648</v>
      </c>
      <c r="W455" s="1008" t="s">
        <v>546</v>
      </c>
      <c r="X455" s="1008"/>
      <c r="Y455" s="1008"/>
      <c r="Z455" s="1008"/>
      <c r="AA455" s="1008"/>
      <c r="AB455" s="1008"/>
      <c r="AC455" s="1008"/>
      <c r="AD455" s="1008"/>
      <c r="AE455" s="1008"/>
      <c r="AF455" s="1008"/>
      <c r="AG455" s="1008"/>
      <c r="AH455" s="1008"/>
      <c r="AI455" s="1008"/>
    </row>
    <row r="456" spans="1:35">
      <c r="A456" s="1008">
        <v>23937</v>
      </c>
      <c r="C456" s="1008">
        <v>6</v>
      </c>
      <c r="D456" s="1009">
        <v>14619999</v>
      </c>
      <c r="E456" s="1009">
        <v>14610000</v>
      </c>
      <c r="F456" s="1007" t="s">
        <v>4492</v>
      </c>
      <c r="O456" s="1007" t="s">
        <v>648</v>
      </c>
      <c r="P456" s="1007" t="s">
        <v>648</v>
      </c>
      <c r="S456" s="1008" t="s">
        <v>650</v>
      </c>
      <c r="T456" s="1008" t="s">
        <v>675</v>
      </c>
      <c r="U456" s="1008" t="s">
        <v>649</v>
      </c>
      <c r="V456" s="1008" t="s">
        <v>648</v>
      </c>
      <c r="W456" s="1008" t="s">
        <v>546</v>
      </c>
      <c r="X456" s="1008"/>
      <c r="Y456" s="1008"/>
      <c r="Z456" s="1008"/>
      <c r="AA456" s="1008"/>
      <c r="AB456" s="1008"/>
      <c r="AC456" s="1008"/>
      <c r="AD456" s="1008"/>
      <c r="AE456" s="1008"/>
      <c r="AF456" s="1008"/>
      <c r="AG456" s="1008"/>
      <c r="AH456" s="1008"/>
      <c r="AI456" s="1008"/>
    </row>
    <row r="457" spans="1:35">
      <c r="A457" s="1008">
        <v>23938</v>
      </c>
      <c r="B457" s="1008">
        <v>1545</v>
      </c>
      <c r="C457" s="1008">
        <v>7</v>
      </c>
      <c r="D457" s="1009">
        <v>14619999</v>
      </c>
      <c r="E457" s="1009">
        <v>14610400</v>
      </c>
      <c r="F457" s="1007" t="s">
        <v>4491</v>
      </c>
      <c r="G457" s="1007">
        <v>7</v>
      </c>
      <c r="H457" s="1010">
        <v>99999999</v>
      </c>
      <c r="I457" s="1009">
        <v>14610400</v>
      </c>
      <c r="J457" s="1007" t="s">
        <v>4491</v>
      </c>
      <c r="O457" s="1007" t="s">
        <v>648</v>
      </c>
      <c r="P457" s="1007" t="s">
        <v>648</v>
      </c>
      <c r="S457" s="1008" t="s">
        <v>650</v>
      </c>
      <c r="T457" s="1008" t="s">
        <v>654</v>
      </c>
      <c r="U457" s="1008" t="s">
        <v>649</v>
      </c>
      <c r="V457" s="1008" t="s">
        <v>648</v>
      </c>
      <c r="W457" s="1008" t="s">
        <v>546</v>
      </c>
      <c r="X457" s="1008" t="s">
        <v>670</v>
      </c>
      <c r="Y457" s="1008"/>
      <c r="Z457" s="1008"/>
      <c r="AA457" s="1008"/>
      <c r="AB457" s="1008"/>
      <c r="AC457" s="1008"/>
      <c r="AD457" s="1008"/>
      <c r="AE457" s="1008"/>
      <c r="AF457" s="1008"/>
      <c r="AG457" s="1008"/>
      <c r="AH457" s="1008"/>
      <c r="AI457" s="1008" t="s">
        <v>670</v>
      </c>
    </row>
    <row r="458" spans="1:35">
      <c r="A458" s="1008">
        <v>23939</v>
      </c>
      <c r="B458" s="1008">
        <v>1546</v>
      </c>
      <c r="C458" s="1008">
        <v>7</v>
      </c>
      <c r="D458" s="1009">
        <v>14619999</v>
      </c>
      <c r="E458" s="1009">
        <v>14610700</v>
      </c>
      <c r="F458" s="1007" t="s">
        <v>4490</v>
      </c>
      <c r="G458" s="1007">
        <v>7</v>
      </c>
      <c r="H458" s="1010">
        <v>99999999</v>
      </c>
      <c r="I458" s="1009">
        <v>14610700</v>
      </c>
      <c r="J458" s="1007" t="s">
        <v>4490</v>
      </c>
      <c r="O458" s="1007" t="s">
        <v>648</v>
      </c>
      <c r="P458" s="1007" t="s">
        <v>648</v>
      </c>
      <c r="S458" s="1008" t="s">
        <v>650</v>
      </c>
      <c r="T458" s="1008" t="s">
        <v>654</v>
      </c>
      <c r="U458" s="1008" t="s">
        <v>649</v>
      </c>
      <c r="V458" s="1008" t="s">
        <v>648</v>
      </c>
      <c r="W458" s="1008" t="s">
        <v>546</v>
      </c>
      <c r="X458" s="1008" t="s">
        <v>670</v>
      </c>
      <c r="Y458" s="1008"/>
      <c r="Z458" s="1008"/>
      <c r="AA458" s="1008"/>
      <c r="AB458" s="1008"/>
      <c r="AC458" s="1008"/>
      <c r="AD458" s="1008"/>
      <c r="AE458" s="1008"/>
      <c r="AF458" s="1008"/>
      <c r="AG458" s="1008"/>
      <c r="AH458" s="1008"/>
      <c r="AI458" s="1008" t="s">
        <v>670</v>
      </c>
    </row>
    <row r="459" spans="1:35">
      <c r="A459" s="1008">
        <v>23940</v>
      </c>
      <c r="B459" s="1008">
        <v>4833</v>
      </c>
      <c r="C459" s="1008">
        <v>7</v>
      </c>
      <c r="D459" s="1009">
        <v>14619999</v>
      </c>
      <c r="E459" s="1009">
        <v>14610800</v>
      </c>
      <c r="F459" s="1007" t="s">
        <v>4489</v>
      </c>
      <c r="G459" s="1007">
        <v>7</v>
      </c>
      <c r="H459" s="1010">
        <v>99999999</v>
      </c>
      <c r="I459" s="1009">
        <v>14610800</v>
      </c>
      <c r="J459" s="1007" t="s">
        <v>4489</v>
      </c>
      <c r="O459" s="1007" t="s">
        <v>648</v>
      </c>
      <c r="P459" s="1007" t="s">
        <v>648</v>
      </c>
      <c r="S459" s="1008" t="s">
        <v>650</v>
      </c>
      <c r="T459" s="1008" t="s">
        <v>654</v>
      </c>
      <c r="U459" s="1008" t="s">
        <v>649</v>
      </c>
      <c r="V459" s="1008" t="s">
        <v>648</v>
      </c>
      <c r="W459" s="1008" t="s">
        <v>546</v>
      </c>
      <c r="X459" s="1008" t="s">
        <v>670</v>
      </c>
      <c r="Y459" s="1008"/>
      <c r="Z459" s="1008"/>
      <c r="AA459" s="1008"/>
      <c r="AB459" s="1008"/>
      <c r="AC459" s="1008"/>
      <c r="AD459" s="1008"/>
      <c r="AE459" s="1008"/>
      <c r="AF459" s="1008"/>
      <c r="AG459" s="1008"/>
      <c r="AH459" s="1008"/>
      <c r="AI459" s="1008" t="s">
        <v>670</v>
      </c>
    </row>
    <row r="460" spans="1:35">
      <c r="A460" s="1008">
        <v>23941</v>
      </c>
      <c r="C460" s="1008">
        <v>6</v>
      </c>
      <c r="D460" s="1009">
        <v>14699900</v>
      </c>
      <c r="E460" s="1009">
        <v>14619999</v>
      </c>
      <c r="F460" s="1007" t="s">
        <v>4488</v>
      </c>
      <c r="O460" s="1007" t="s">
        <v>648</v>
      </c>
      <c r="P460" s="1007" t="s">
        <v>648</v>
      </c>
      <c r="S460" s="1008" t="s">
        <v>650</v>
      </c>
      <c r="T460" s="1008" t="s">
        <v>21</v>
      </c>
      <c r="U460" s="1008" t="s">
        <v>649</v>
      </c>
      <c r="V460" s="1008" t="s">
        <v>648</v>
      </c>
      <c r="W460" s="1008" t="s">
        <v>546</v>
      </c>
      <c r="X460" s="1008"/>
      <c r="Y460" s="1008"/>
      <c r="Z460" s="1008"/>
      <c r="AA460" s="1008"/>
      <c r="AB460" s="1008"/>
      <c r="AC460" s="1008"/>
      <c r="AD460" s="1008"/>
      <c r="AE460" s="1008"/>
      <c r="AF460" s="1008"/>
      <c r="AG460" s="1008"/>
      <c r="AH460" s="1008"/>
      <c r="AI460" s="1008"/>
    </row>
    <row r="461" spans="1:35">
      <c r="A461" s="1008">
        <v>23942</v>
      </c>
      <c r="C461" s="1008">
        <v>5</v>
      </c>
      <c r="D461" s="1009">
        <v>14699999</v>
      </c>
      <c r="E461" s="1009">
        <v>14699900</v>
      </c>
      <c r="F461" s="1007" t="s">
        <v>4487</v>
      </c>
      <c r="O461" s="1007" t="s">
        <v>648</v>
      </c>
      <c r="P461" s="1007" t="s">
        <v>648</v>
      </c>
      <c r="S461" s="1008" t="s">
        <v>650</v>
      </c>
      <c r="T461" s="1008" t="s">
        <v>21</v>
      </c>
      <c r="U461" s="1008" t="s">
        <v>649</v>
      </c>
      <c r="V461" s="1008" t="s">
        <v>648</v>
      </c>
      <c r="W461" s="1008" t="s">
        <v>546</v>
      </c>
      <c r="X461" s="1008"/>
      <c r="Y461" s="1008"/>
      <c r="Z461" s="1008"/>
      <c r="AA461" s="1008"/>
      <c r="AB461" s="1008"/>
      <c r="AC461" s="1008"/>
      <c r="AD461" s="1008"/>
      <c r="AE461" s="1008"/>
      <c r="AF461" s="1008"/>
      <c r="AG461" s="1008"/>
      <c r="AH461" s="1008"/>
      <c r="AI461" s="1008"/>
    </row>
    <row r="462" spans="1:35">
      <c r="A462" s="1008">
        <v>23943</v>
      </c>
      <c r="C462" s="1008">
        <v>4</v>
      </c>
      <c r="D462" s="1009">
        <v>19999998</v>
      </c>
      <c r="E462" s="1009">
        <v>14699999</v>
      </c>
      <c r="F462" s="1007" t="s">
        <v>4486</v>
      </c>
      <c r="O462" s="1007" t="s">
        <v>648</v>
      </c>
      <c r="P462" s="1007" t="s">
        <v>648</v>
      </c>
      <c r="S462" s="1008" t="s">
        <v>650</v>
      </c>
      <c r="T462" s="1008" t="s">
        <v>21</v>
      </c>
      <c r="U462" s="1008" t="s">
        <v>649</v>
      </c>
      <c r="V462" s="1008" t="s">
        <v>648</v>
      </c>
      <c r="W462" s="1008" t="s">
        <v>546</v>
      </c>
      <c r="X462" s="1008"/>
      <c r="Y462" s="1008"/>
      <c r="Z462" s="1008"/>
      <c r="AA462" s="1008"/>
      <c r="AB462" s="1008"/>
      <c r="AC462" s="1008"/>
      <c r="AD462" s="1008"/>
      <c r="AE462" s="1008"/>
      <c r="AF462" s="1008"/>
      <c r="AG462" s="1008"/>
      <c r="AH462" s="1008"/>
      <c r="AI462" s="1008"/>
    </row>
    <row r="463" spans="1:35">
      <c r="A463" s="1008">
        <v>23944</v>
      </c>
      <c r="C463" s="1008">
        <v>4</v>
      </c>
      <c r="D463" s="1009">
        <v>14799999</v>
      </c>
      <c r="E463" s="1009">
        <v>14700000</v>
      </c>
      <c r="F463" s="1007" t="s">
        <v>4485</v>
      </c>
      <c r="O463" s="1007" t="s">
        <v>648</v>
      </c>
      <c r="P463" s="1007" t="s">
        <v>648</v>
      </c>
      <c r="S463" s="1008" t="s">
        <v>650</v>
      </c>
      <c r="T463" s="1008" t="s">
        <v>675</v>
      </c>
      <c r="U463" s="1008" t="s">
        <v>649</v>
      </c>
      <c r="V463" s="1008" t="s">
        <v>648</v>
      </c>
      <c r="W463" s="1008" t="s">
        <v>546</v>
      </c>
      <c r="X463" s="1008"/>
      <c r="Y463" s="1008"/>
      <c r="Z463" s="1008"/>
      <c r="AA463" s="1008"/>
      <c r="AB463" s="1008"/>
      <c r="AC463" s="1008"/>
      <c r="AD463" s="1008"/>
      <c r="AE463" s="1008"/>
      <c r="AF463" s="1008"/>
      <c r="AG463" s="1008"/>
      <c r="AH463" s="1008"/>
      <c r="AI463" s="1008"/>
    </row>
    <row r="464" spans="1:35">
      <c r="A464" s="1008">
        <v>23945</v>
      </c>
      <c r="C464" s="1008">
        <v>5</v>
      </c>
      <c r="D464" s="1009">
        <v>14799900</v>
      </c>
      <c r="E464" s="1009">
        <v>14710000</v>
      </c>
      <c r="F464" s="1007" t="s">
        <v>4484</v>
      </c>
      <c r="O464" s="1007" t="s">
        <v>648</v>
      </c>
      <c r="P464" s="1007" t="s">
        <v>648</v>
      </c>
      <c r="S464" s="1008" t="s">
        <v>650</v>
      </c>
      <c r="T464" s="1008" t="s">
        <v>675</v>
      </c>
      <c r="U464" s="1008" t="s">
        <v>649</v>
      </c>
      <c r="V464" s="1008" t="s">
        <v>648</v>
      </c>
      <c r="W464" s="1008" t="s">
        <v>546</v>
      </c>
      <c r="X464" s="1008"/>
      <c r="Y464" s="1008"/>
      <c r="Z464" s="1008"/>
      <c r="AA464" s="1008"/>
      <c r="AB464" s="1008"/>
      <c r="AC464" s="1008"/>
      <c r="AD464" s="1008"/>
      <c r="AE464" s="1008"/>
      <c r="AF464" s="1008"/>
      <c r="AG464" s="1008"/>
      <c r="AH464" s="1008"/>
      <c r="AI464" s="1008"/>
    </row>
    <row r="465" spans="1:35">
      <c r="A465" s="1008">
        <v>23946</v>
      </c>
      <c r="C465" s="1008">
        <v>6</v>
      </c>
      <c r="D465" s="1009">
        <v>14710900</v>
      </c>
      <c r="E465" s="1009">
        <v>14710010</v>
      </c>
      <c r="F465" s="1007" t="s">
        <v>4483</v>
      </c>
      <c r="O465" s="1007" t="s">
        <v>648</v>
      </c>
      <c r="P465" s="1007" t="s">
        <v>648</v>
      </c>
      <c r="S465" s="1008" t="s">
        <v>650</v>
      </c>
      <c r="T465" s="1008" t="s">
        <v>675</v>
      </c>
      <c r="U465" s="1008" t="s">
        <v>649</v>
      </c>
      <c r="V465" s="1008" t="s">
        <v>648</v>
      </c>
      <c r="W465" s="1008" t="s">
        <v>546</v>
      </c>
      <c r="X465" s="1008"/>
      <c r="Y465" s="1008"/>
      <c r="Z465" s="1008"/>
      <c r="AA465" s="1008"/>
      <c r="AB465" s="1008"/>
      <c r="AC465" s="1008"/>
      <c r="AD465" s="1008"/>
      <c r="AE465" s="1008"/>
      <c r="AF465" s="1008"/>
      <c r="AG465" s="1008"/>
      <c r="AH465" s="1008"/>
      <c r="AI465" s="1008"/>
    </row>
    <row r="466" spans="1:35">
      <c r="A466" s="1008">
        <v>23947</v>
      </c>
      <c r="B466" s="1008">
        <v>622</v>
      </c>
      <c r="C466" s="1008">
        <v>7</v>
      </c>
      <c r="D466" s="1009">
        <v>14710900</v>
      </c>
      <c r="E466" s="1009">
        <v>14710200</v>
      </c>
      <c r="F466" s="1007" t="s">
        <v>4482</v>
      </c>
      <c r="G466" s="1007">
        <v>8</v>
      </c>
      <c r="H466" s="1010">
        <v>99999999</v>
      </c>
      <c r="I466" s="1009">
        <v>14710200</v>
      </c>
      <c r="J466" s="1007" t="s">
        <v>4482</v>
      </c>
      <c r="O466" s="1007" t="s">
        <v>648</v>
      </c>
      <c r="P466" s="1007" t="s">
        <v>648</v>
      </c>
      <c r="S466" s="1008" t="s">
        <v>650</v>
      </c>
      <c r="T466" s="1008" t="s">
        <v>654</v>
      </c>
      <c r="U466" s="1008" t="s">
        <v>649</v>
      </c>
      <c r="V466" s="1008" t="s">
        <v>648</v>
      </c>
      <c r="W466" s="1008" t="s">
        <v>546</v>
      </c>
      <c r="X466" s="1008" t="s">
        <v>670</v>
      </c>
      <c r="Y466" s="1008" t="s">
        <v>670</v>
      </c>
      <c r="Z466" s="1008" t="s">
        <v>670</v>
      </c>
      <c r="AA466" s="1008" t="s">
        <v>670</v>
      </c>
      <c r="AB466" s="1008" t="s">
        <v>670</v>
      </c>
      <c r="AC466" s="1008"/>
      <c r="AD466" s="1008"/>
      <c r="AE466" s="1008"/>
      <c r="AF466" s="1008" t="s">
        <v>670</v>
      </c>
      <c r="AG466" s="1008"/>
      <c r="AH466" s="1008"/>
      <c r="AI466" s="1008"/>
    </row>
    <row r="467" spans="1:35">
      <c r="A467" s="1008">
        <v>23948</v>
      </c>
      <c r="B467" s="1008">
        <v>1549</v>
      </c>
      <c r="C467" s="1008">
        <v>7</v>
      </c>
      <c r="D467" s="1009">
        <v>14710900</v>
      </c>
      <c r="E467" s="1009">
        <v>14710300</v>
      </c>
      <c r="F467" s="1007" t="s">
        <v>4481</v>
      </c>
      <c r="G467" s="1007">
        <v>7</v>
      </c>
      <c r="H467" s="1010">
        <v>99999999</v>
      </c>
      <c r="I467" s="1009">
        <v>14710300</v>
      </c>
      <c r="J467" s="1007" t="s">
        <v>4481</v>
      </c>
      <c r="O467" s="1007" t="s">
        <v>648</v>
      </c>
      <c r="P467" s="1007" t="s">
        <v>648</v>
      </c>
      <c r="S467" s="1008" t="s">
        <v>650</v>
      </c>
      <c r="T467" s="1008" t="s">
        <v>654</v>
      </c>
      <c r="U467" s="1008" t="s">
        <v>649</v>
      </c>
      <c r="V467" s="1008" t="s">
        <v>648</v>
      </c>
      <c r="W467" s="1008" t="s">
        <v>546</v>
      </c>
      <c r="X467" s="1008" t="s">
        <v>670</v>
      </c>
      <c r="Y467" s="1008" t="s">
        <v>670</v>
      </c>
      <c r="Z467" s="1008" t="s">
        <v>670</v>
      </c>
      <c r="AA467" s="1008" t="s">
        <v>670</v>
      </c>
      <c r="AB467" s="1008" t="s">
        <v>670</v>
      </c>
      <c r="AC467" s="1008"/>
      <c r="AD467" s="1008"/>
      <c r="AE467" s="1008"/>
      <c r="AF467" s="1008" t="s">
        <v>670</v>
      </c>
      <c r="AG467" s="1008"/>
      <c r="AH467" s="1008"/>
      <c r="AI467" s="1008"/>
    </row>
    <row r="468" spans="1:35">
      <c r="A468" s="1008">
        <v>23949</v>
      </c>
      <c r="B468" s="1008">
        <v>1550</v>
      </c>
      <c r="C468" s="1008">
        <v>7</v>
      </c>
      <c r="D468" s="1009">
        <v>14710900</v>
      </c>
      <c r="E468" s="1009">
        <v>14710400</v>
      </c>
      <c r="F468" s="1007" t="s">
        <v>4480</v>
      </c>
      <c r="G468" s="1007">
        <v>7</v>
      </c>
      <c r="H468" s="1010">
        <v>99999999</v>
      </c>
      <c r="I468" s="1009">
        <v>14710400</v>
      </c>
      <c r="J468" s="1007" t="s">
        <v>4480</v>
      </c>
      <c r="O468" s="1007" t="s">
        <v>648</v>
      </c>
      <c r="P468" s="1007" t="s">
        <v>648</v>
      </c>
      <c r="S468" s="1008" t="s">
        <v>650</v>
      </c>
      <c r="T468" s="1008" t="s">
        <v>654</v>
      </c>
      <c r="U468" s="1008" t="s">
        <v>649</v>
      </c>
      <c r="V468" s="1008" t="s">
        <v>648</v>
      </c>
      <c r="W468" s="1008" t="s">
        <v>546</v>
      </c>
      <c r="X468" s="1008" t="s">
        <v>670</v>
      </c>
      <c r="Y468" s="1008" t="s">
        <v>670</v>
      </c>
      <c r="Z468" s="1008" t="s">
        <v>670</v>
      </c>
      <c r="AA468" s="1008" t="s">
        <v>670</v>
      </c>
      <c r="AB468" s="1008" t="s">
        <v>670</v>
      </c>
      <c r="AC468" s="1008"/>
      <c r="AD468" s="1008"/>
      <c r="AE468" s="1008"/>
      <c r="AF468" s="1008" t="s">
        <v>670</v>
      </c>
      <c r="AG468" s="1008"/>
      <c r="AH468" s="1008"/>
      <c r="AI468" s="1008"/>
    </row>
    <row r="469" spans="1:35">
      <c r="A469" s="1008">
        <v>23950</v>
      </c>
      <c r="B469" s="1008">
        <v>687</v>
      </c>
      <c r="C469" s="1008">
        <v>7</v>
      </c>
      <c r="D469" s="1009">
        <v>14710900</v>
      </c>
      <c r="E469" s="1009">
        <v>14710700</v>
      </c>
      <c r="F469" s="1007" t="s">
        <v>4479</v>
      </c>
      <c r="G469" s="1007">
        <v>8</v>
      </c>
      <c r="H469" s="1010">
        <v>99999999</v>
      </c>
      <c r="I469" s="1009">
        <v>14710700</v>
      </c>
      <c r="J469" s="1007" t="s">
        <v>4479</v>
      </c>
      <c r="O469" s="1007" t="s">
        <v>648</v>
      </c>
      <c r="P469" s="1007" t="s">
        <v>648</v>
      </c>
      <c r="S469" s="1008" t="s">
        <v>650</v>
      </c>
      <c r="T469" s="1008" t="s">
        <v>654</v>
      </c>
      <c r="U469" s="1008" t="s">
        <v>649</v>
      </c>
      <c r="V469" s="1008" t="s">
        <v>648</v>
      </c>
      <c r="W469" s="1008" t="s">
        <v>546</v>
      </c>
      <c r="X469" s="1008" t="s">
        <v>670</v>
      </c>
      <c r="Y469" s="1008" t="s">
        <v>670</v>
      </c>
      <c r="Z469" s="1008" t="s">
        <v>670</v>
      </c>
      <c r="AA469" s="1008" t="s">
        <v>670</v>
      </c>
      <c r="AB469" s="1008" t="s">
        <v>670</v>
      </c>
      <c r="AC469" s="1008"/>
      <c r="AD469" s="1008"/>
      <c r="AE469" s="1008"/>
      <c r="AF469" s="1008" t="s">
        <v>670</v>
      </c>
      <c r="AG469" s="1008"/>
      <c r="AH469" s="1008"/>
      <c r="AI469" s="1008"/>
    </row>
    <row r="470" spans="1:35">
      <c r="A470" s="1008">
        <v>23951</v>
      </c>
      <c r="B470" s="1008">
        <v>4839</v>
      </c>
      <c r="C470" s="1008">
        <v>7</v>
      </c>
      <c r="D470" s="1009">
        <v>14710900</v>
      </c>
      <c r="E470" s="1009">
        <v>14710800</v>
      </c>
      <c r="F470" s="1007" t="s">
        <v>4478</v>
      </c>
      <c r="G470" s="1007">
        <v>7</v>
      </c>
      <c r="H470" s="1010">
        <v>99999999</v>
      </c>
      <c r="I470" s="1009">
        <v>14710800</v>
      </c>
      <c r="J470" s="1007" t="s">
        <v>4478</v>
      </c>
      <c r="O470" s="1007" t="s">
        <v>648</v>
      </c>
      <c r="P470" s="1007" t="s">
        <v>648</v>
      </c>
      <c r="S470" s="1008" t="s">
        <v>650</v>
      </c>
      <c r="T470" s="1008" t="s">
        <v>654</v>
      </c>
      <c r="U470" s="1008" t="s">
        <v>649</v>
      </c>
      <c r="V470" s="1008" t="s">
        <v>648</v>
      </c>
      <c r="W470" s="1008" t="s">
        <v>546</v>
      </c>
      <c r="X470" s="1008" t="s">
        <v>670</v>
      </c>
      <c r="Y470" s="1008" t="s">
        <v>670</v>
      </c>
      <c r="Z470" s="1008" t="s">
        <v>670</v>
      </c>
      <c r="AA470" s="1008" t="s">
        <v>670</v>
      </c>
      <c r="AB470" s="1008" t="s">
        <v>670</v>
      </c>
      <c r="AC470" s="1008"/>
      <c r="AD470" s="1008"/>
      <c r="AE470" s="1008"/>
      <c r="AF470" s="1008" t="s">
        <v>670</v>
      </c>
      <c r="AG470" s="1008"/>
      <c r="AH470" s="1008"/>
      <c r="AI470" s="1008"/>
    </row>
    <row r="471" spans="1:35">
      <c r="A471" s="1008">
        <v>23952</v>
      </c>
      <c r="C471" s="1008">
        <v>6</v>
      </c>
      <c r="D471" s="1009">
        <v>14799900</v>
      </c>
      <c r="E471" s="1009">
        <v>14710900</v>
      </c>
      <c r="F471" s="1007" t="s">
        <v>4477</v>
      </c>
      <c r="O471" s="1007" t="s">
        <v>648</v>
      </c>
      <c r="P471" s="1007" t="s">
        <v>648</v>
      </c>
      <c r="S471" s="1008" t="s">
        <v>650</v>
      </c>
      <c r="T471" s="1008" t="s">
        <v>21</v>
      </c>
      <c r="U471" s="1008" t="s">
        <v>649</v>
      </c>
      <c r="V471" s="1008" t="s">
        <v>648</v>
      </c>
      <c r="W471" s="1008" t="s">
        <v>546</v>
      </c>
      <c r="X471" s="1008"/>
      <c r="Y471" s="1008"/>
      <c r="Z471" s="1008"/>
      <c r="AA471" s="1008"/>
      <c r="AB471" s="1008"/>
      <c r="AC471" s="1008"/>
      <c r="AD471" s="1008"/>
      <c r="AE471" s="1008"/>
      <c r="AF471" s="1008"/>
      <c r="AG471" s="1008"/>
      <c r="AH471" s="1008"/>
      <c r="AI471" s="1008"/>
    </row>
    <row r="472" spans="1:35">
      <c r="A472" s="1008">
        <v>23953</v>
      </c>
      <c r="C472" s="1008">
        <v>5</v>
      </c>
      <c r="D472" s="1009">
        <v>14799999</v>
      </c>
      <c r="E472" s="1009">
        <v>14799900</v>
      </c>
      <c r="F472" s="1007" t="s">
        <v>4476</v>
      </c>
      <c r="O472" s="1007" t="s">
        <v>648</v>
      </c>
      <c r="P472" s="1007" t="s">
        <v>648</v>
      </c>
      <c r="S472" s="1008" t="s">
        <v>650</v>
      </c>
      <c r="T472" s="1008" t="s">
        <v>21</v>
      </c>
      <c r="U472" s="1008" t="s">
        <v>649</v>
      </c>
      <c r="V472" s="1008" t="s">
        <v>648</v>
      </c>
      <c r="W472" s="1008" t="s">
        <v>546</v>
      </c>
      <c r="X472" s="1008"/>
      <c r="Y472" s="1008"/>
      <c r="Z472" s="1008"/>
      <c r="AA472" s="1008"/>
      <c r="AB472" s="1008"/>
      <c r="AC472" s="1008"/>
      <c r="AD472" s="1008"/>
      <c r="AE472" s="1008"/>
      <c r="AF472" s="1008"/>
      <c r="AG472" s="1008"/>
      <c r="AH472" s="1008"/>
      <c r="AI472" s="1008"/>
    </row>
    <row r="473" spans="1:35">
      <c r="A473" s="1008">
        <v>23954</v>
      </c>
      <c r="C473" s="1008">
        <v>4</v>
      </c>
      <c r="D473" s="1009">
        <v>19999998</v>
      </c>
      <c r="E473" s="1009">
        <v>14799999</v>
      </c>
      <c r="F473" s="1007" t="s">
        <v>4475</v>
      </c>
      <c r="O473" s="1007" t="s">
        <v>648</v>
      </c>
      <c r="P473" s="1007" t="s">
        <v>648</v>
      </c>
      <c r="S473" s="1008" t="s">
        <v>650</v>
      </c>
      <c r="T473" s="1008" t="s">
        <v>21</v>
      </c>
      <c r="U473" s="1008" t="s">
        <v>649</v>
      </c>
      <c r="V473" s="1008" t="s">
        <v>648</v>
      </c>
      <c r="W473" s="1008" t="s">
        <v>546</v>
      </c>
      <c r="X473" s="1008"/>
      <c r="Y473" s="1008"/>
      <c r="Z473" s="1008"/>
      <c r="AA473" s="1008"/>
      <c r="AB473" s="1008"/>
      <c r="AC473" s="1008"/>
      <c r="AD473" s="1008"/>
      <c r="AE473" s="1008"/>
      <c r="AF473" s="1008"/>
      <c r="AG473" s="1008"/>
      <c r="AH473" s="1008"/>
      <c r="AI473" s="1008"/>
    </row>
    <row r="474" spans="1:35">
      <c r="A474" s="1008">
        <v>23955</v>
      </c>
      <c r="C474" s="1008">
        <v>4</v>
      </c>
      <c r="D474" s="1009">
        <v>15599999</v>
      </c>
      <c r="E474" s="1009">
        <v>15000000</v>
      </c>
      <c r="F474" s="1007" t="s">
        <v>4474</v>
      </c>
      <c r="O474" s="1007" t="s">
        <v>648</v>
      </c>
      <c r="P474" s="1007" t="s">
        <v>648</v>
      </c>
      <c r="S474" s="1008" t="s">
        <v>650</v>
      </c>
      <c r="T474" s="1008" t="s">
        <v>675</v>
      </c>
      <c r="U474" s="1008" t="s">
        <v>649</v>
      </c>
      <c r="V474" s="1008" t="s">
        <v>648</v>
      </c>
      <c r="W474" s="1008" t="s">
        <v>546</v>
      </c>
      <c r="X474" s="1008"/>
      <c r="Y474" s="1008"/>
      <c r="Z474" s="1008"/>
      <c r="AA474" s="1008"/>
      <c r="AB474" s="1008"/>
      <c r="AC474" s="1008"/>
      <c r="AD474" s="1008"/>
      <c r="AE474" s="1008"/>
      <c r="AF474" s="1008"/>
      <c r="AG474" s="1008"/>
      <c r="AH474" s="1008"/>
      <c r="AI474" s="1008"/>
    </row>
    <row r="475" spans="1:35">
      <c r="A475" s="1008">
        <v>23956</v>
      </c>
      <c r="C475" s="1008">
        <v>5</v>
      </c>
      <c r="D475" s="1009">
        <v>15499999</v>
      </c>
      <c r="E475" s="1009">
        <v>15100000</v>
      </c>
      <c r="F475" s="1007" t="s">
        <v>4473</v>
      </c>
      <c r="O475" s="1007" t="s">
        <v>648</v>
      </c>
      <c r="P475" s="1007" t="s">
        <v>648</v>
      </c>
      <c r="S475" s="1008" t="s">
        <v>650</v>
      </c>
      <c r="T475" s="1008" t="s">
        <v>675</v>
      </c>
      <c r="U475" s="1008" t="s">
        <v>649</v>
      </c>
      <c r="V475" s="1008" t="s">
        <v>648</v>
      </c>
      <c r="W475" s="1008" t="s">
        <v>546</v>
      </c>
      <c r="X475" s="1008"/>
      <c r="Y475" s="1008"/>
      <c r="Z475" s="1008"/>
      <c r="AA475" s="1008"/>
      <c r="AB475" s="1008"/>
      <c r="AC475" s="1008"/>
      <c r="AD475" s="1008"/>
      <c r="AE475" s="1008"/>
      <c r="AF475" s="1008"/>
      <c r="AG475" s="1008"/>
      <c r="AH475" s="1008"/>
      <c r="AI475" s="1008"/>
    </row>
    <row r="476" spans="1:35">
      <c r="A476" s="1008">
        <v>23957</v>
      </c>
      <c r="C476" s="1008">
        <v>6</v>
      </c>
      <c r="D476" s="1009">
        <v>15499000</v>
      </c>
      <c r="E476" s="1009">
        <v>15120000</v>
      </c>
      <c r="F476" s="1007" t="s">
        <v>4472</v>
      </c>
      <c r="O476" s="1007" t="s">
        <v>648</v>
      </c>
      <c r="P476" s="1007" t="s">
        <v>648</v>
      </c>
      <c r="S476" s="1008" t="s">
        <v>650</v>
      </c>
      <c r="T476" s="1008" t="s">
        <v>675</v>
      </c>
      <c r="U476" s="1008" t="s">
        <v>649</v>
      </c>
      <c r="V476" s="1008" t="s">
        <v>648</v>
      </c>
      <c r="W476" s="1008" t="s">
        <v>546</v>
      </c>
      <c r="X476" s="1008"/>
      <c r="Y476" s="1008"/>
      <c r="Z476" s="1008"/>
      <c r="AA476" s="1008"/>
      <c r="AB476" s="1008"/>
      <c r="AC476" s="1008"/>
      <c r="AD476" s="1008"/>
      <c r="AE476" s="1008"/>
      <c r="AF476" s="1008"/>
      <c r="AG476" s="1008"/>
      <c r="AH476" s="1008"/>
      <c r="AI476" s="1008"/>
    </row>
    <row r="477" spans="1:35">
      <c r="A477" s="1008">
        <v>26448</v>
      </c>
      <c r="B477" s="1008">
        <v>1553</v>
      </c>
      <c r="C477" s="1008">
        <v>7</v>
      </c>
      <c r="D477" s="1009">
        <v>15499000</v>
      </c>
      <c r="E477" s="1009">
        <v>15120050</v>
      </c>
      <c r="F477" s="1007" t="s">
        <v>4471</v>
      </c>
      <c r="G477" s="1007">
        <v>7</v>
      </c>
      <c r="H477" s="1010">
        <v>99999999</v>
      </c>
      <c r="I477" s="1009">
        <v>15120050</v>
      </c>
      <c r="J477" s="1007" t="s">
        <v>4471</v>
      </c>
      <c r="O477" s="1007" t="s">
        <v>648</v>
      </c>
      <c r="P477" s="1007" t="s">
        <v>648</v>
      </c>
      <c r="S477" s="1008" t="s">
        <v>650</v>
      </c>
      <c r="T477" s="1008" t="s">
        <v>654</v>
      </c>
      <c r="U477" s="1008" t="s">
        <v>649</v>
      </c>
      <c r="V477" s="1008" t="s">
        <v>648</v>
      </c>
      <c r="W477" s="1008" t="s">
        <v>546</v>
      </c>
      <c r="X477" s="1008" t="s">
        <v>670</v>
      </c>
      <c r="Y477" s="1008" t="s">
        <v>670</v>
      </c>
      <c r="Z477" s="1008" t="s">
        <v>670</v>
      </c>
      <c r="AA477" s="1008"/>
      <c r="AB477" s="1008" t="s">
        <v>670</v>
      </c>
      <c r="AC477" s="1008"/>
      <c r="AD477" s="1008"/>
      <c r="AE477" s="1008"/>
      <c r="AF477" s="1008" t="s">
        <v>670</v>
      </c>
      <c r="AG477" s="1008"/>
      <c r="AH477" s="1008"/>
      <c r="AI477" s="1008"/>
    </row>
    <row r="478" spans="1:35">
      <c r="A478" s="1008">
        <v>26643</v>
      </c>
      <c r="C478" s="1008">
        <v>7</v>
      </c>
      <c r="D478" s="1009">
        <v>15199999</v>
      </c>
      <c r="E478" s="1009">
        <v>15150000</v>
      </c>
      <c r="F478" s="1007" t="s">
        <v>4470</v>
      </c>
      <c r="O478" s="1007" t="s">
        <v>648</v>
      </c>
      <c r="P478" s="1007" t="s">
        <v>648</v>
      </c>
      <c r="S478" s="1008" t="s">
        <v>650</v>
      </c>
      <c r="T478" s="1008" t="s">
        <v>675</v>
      </c>
      <c r="U478" s="1008" t="s">
        <v>649</v>
      </c>
      <c r="V478" s="1008" t="s">
        <v>648</v>
      </c>
      <c r="W478" s="1008" t="s">
        <v>546</v>
      </c>
      <c r="X478" s="1008"/>
      <c r="Y478" s="1008"/>
      <c r="Z478" s="1008"/>
      <c r="AA478" s="1008"/>
      <c r="AB478" s="1008"/>
      <c r="AC478" s="1008"/>
      <c r="AD478" s="1008"/>
      <c r="AE478" s="1008"/>
      <c r="AF478" s="1008"/>
      <c r="AG478" s="1008"/>
      <c r="AH478" s="1008"/>
      <c r="AI478" s="1008"/>
    </row>
    <row r="479" spans="1:35">
      <c r="A479" s="1008">
        <v>26707</v>
      </c>
      <c r="C479" s="1008">
        <v>8</v>
      </c>
      <c r="D479" s="1009">
        <v>15159999</v>
      </c>
      <c r="E479" s="1009">
        <v>15155000</v>
      </c>
      <c r="F479" s="1007" t="s">
        <v>4469</v>
      </c>
      <c r="O479" s="1007" t="s">
        <v>648</v>
      </c>
      <c r="P479" s="1007" t="s">
        <v>648</v>
      </c>
      <c r="S479" s="1008" t="s">
        <v>650</v>
      </c>
      <c r="T479" s="1008" t="s">
        <v>675</v>
      </c>
      <c r="U479" s="1008" t="s">
        <v>649</v>
      </c>
      <c r="V479" s="1008" t="s">
        <v>648</v>
      </c>
      <c r="W479" s="1008" t="s">
        <v>546</v>
      </c>
      <c r="X479" s="1008"/>
      <c r="Y479" s="1008"/>
      <c r="Z479" s="1008"/>
      <c r="AA479" s="1008"/>
      <c r="AB479" s="1008"/>
      <c r="AC479" s="1008"/>
      <c r="AD479" s="1008"/>
      <c r="AE479" s="1008"/>
      <c r="AF479" s="1008"/>
      <c r="AG479" s="1008"/>
      <c r="AH479" s="1008"/>
      <c r="AI479" s="1008"/>
    </row>
    <row r="480" spans="1:35">
      <c r="A480" s="1008">
        <v>26655</v>
      </c>
      <c r="B480" s="1008">
        <v>46</v>
      </c>
      <c r="C480" s="1008">
        <v>9</v>
      </c>
      <c r="D480" s="1009">
        <v>15159999</v>
      </c>
      <c r="E480" s="1009">
        <v>15155200</v>
      </c>
      <c r="F480" s="1007" t="s">
        <v>4468</v>
      </c>
      <c r="G480" s="1007">
        <v>8</v>
      </c>
      <c r="H480" s="1010">
        <v>99999999</v>
      </c>
      <c r="I480" s="1009">
        <v>15155200</v>
      </c>
      <c r="J480" s="1007" t="s">
        <v>4468</v>
      </c>
      <c r="O480" s="1007" t="s">
        <v>648</v>
      </c>
      <c r="P480" s="1007" t="s">
        <v>648</v>
      </c>
      <c r="S480" s="1008" t="s">
        <v>650</v>
      </c>
      <c r="T480" s="1008" t="s">
        <v>654</v>
      </c>
      <c r="U480" s="1008" t="s">
        <v>649</v>
      </c>
      <c r="V480" s="1008" t="s">
        <v>648</v>
      </c>
      <c r="W480" s="1008" t="s">
        <v>546</v>
      </c>
      <c r="X480" s="1008" t="s">
        <v>670</v>
      </c>
      <c r="Y480" s="1008" t="s">
        <v>670</v>
      </c>
      <c r="Z480" s="1008" t="s">
        <v>670</v>
      </c>
      <c r="AA480" s="1008"/>
      <c r="AB480" s="1008" t="s">
        <v>670</v>
      </c>
      <c r="AC480" s="1008"/>
      <c r="AD480" s="1008"/>
      <c r="AE480" s="1008"/>
      <c r="AF480" s="1008" t="s">
        <v>670</v>
      </c>
      <c r="AG480" s="1008"/>
      <c r="AH480" s="1008"/>
      <c r="AI480" s="1008"/>
    </row>
    <row r="481" spans="1:35">
      <c r="A481" s="1008">
        <v>26708</v>
      </c>
      <c r="B481" s="1008">
        <v>47</v>
      </c>
      <c r="C481" s="1008">
        <v>9</v>
      </c>
      <c r="D481" s="1009">
        <v>15159999</v>
      </c>
      <c r="E481" s="1009">
        <v>15155201</v>
      </c>
      <c r="F481" s="1007" t="s">
        <v>4467</v>
      </c>
      <c r="G481" s="1007">
        <v>8</v>
      </c>
      <c r="H481" s="1010">
        <v>99999999</v>
      </c>
      <c r="I481" s="1009">
        <v>15155201</v>
      </c>
      <c r="J481" s="1007" t="s">
        <v>4467</v>
      </c>
      <c r="O481" s="1007" t="s">
        <v>648</v>
      </c>
      <c r="P481" s="1007" t="s">
        <v>648</v>
      </c>
      <c r="S481" s="1008" t="s">
        <v>650</v>
      </c>
      <c r="T481" s="1008" t="s">
        <v>654</v>
      </c>
      <c r="U481" s="1008" t="s">
        <v>649</v>
      </c>
      <c r="V481" s="1008" t="s">
        <v>648</v>
      </c>
      <c r="W481" s="1008" t="s">
        <v>546</v>
      </c>
      <c r="X481" s="1008" t="s">
        <v>670</v>
      </c>
      <c r="Y481" s="1008" t="s">
        <v>670</v>
      </c>
      <c r="Z481" s="1008" t="s">
        <v>670</v>
      </c>
      <c r="AA481" s="1008"/>
      <c r="AB481" s="1008" t="s">
        <v>670</v>
      </c>
      <c r="AC481" s="1008"/>
      <c r="AD481" s="1008" t="s">
        <v>670</v>
      </c>
      <c r="AE481" s="1008"/>
      <c r="AF481" s="1008" t="s">
        <v>670</v>
      </c>
      <c r="AG481" s="1008"/>
      <c r="AH481" s="1008"/>
      <c r="AI481" s="1008"/>
    </row>
    <row r="482" spans="1:35">
      <c r="A482" s="1008">
        <v>26709</v>
      </c>
      <c r="B482" s="1008">
        <v>50</v>
      </c>
      <c r="C482" s="1008">
        <v>9</v>
      </c>
      <c r="D482" s="1009">
        <v>15159999</v>
      </c>
      <c r="E482" s="1009">
        <v>15155202</v>
      </c>
      <c r="F482" s="1007" t="s">
        <v>4466</v>
      </c>
      <c r="G482" s="1007">
        <v>8</v>
      </c>
      <c r="H482" s="1010">
        <v>99999999</v>
      </c>
      <c r="I482" s="1009">
        <v>15155202</v>
      </c>
      <c r="J482" s="1007" t="s">
        <v>4466</v>
      </c>
      <c r="O482" s="1007" t="s">
        <v>648</v>
      </c>
      <c r="P482" s="1007" t="s">
        <v>648</v>
      </c>
      <c r="S482" s="1008" t="s">
        <v>650</v>
      </c>
      <c r="T482" s="1008" t="s">
        <v>654</v>
      </c>
      <c r="U482" s="1008" t="s">
        <v>649</v>
      </c>
      <c r="V482" s="1008" t="s">
        <v>648</v>
      </c>
      <c r="W482" s="1008" t="s">
        <v>546</v>
      </c>
      <c r="X482" s="1008" t="s">
        <v>670</v>
      </c>
      <c r="Y482" s="1008" t="s">
        <v>670</v>
      </c>
      <c r="Z482" s="1008" t="s">
        <v>670</v>
      </c>
      <c r="AA482" s="1008"/>
      <c r="AB482" s="1008" t="s">
        <v>670</v>
      </c>
      <c r="AC482" s="1008"/>
      <c r="AD482" s="1008"/>
      <c r="AE482" s="1008"/>
      <c r="AF482" s="1008" t="s">
        <v>670</v>
      </c>
      <c r="AG482" s="1008"/>
      <c r="AH482" s="1008"/>
      <c r="AI482" s="1008"/>
    </row>
    <row r="483" spans="1:35">
      <c r="A483" s="1008">
        <v>26710</v>
      </c>
      <c r="B483" s="1008">
        <v>51</v>
      </c>
      <c r="C483" s="1008">
        <v>9</v>
      </c>
      <c r="D483" s="1009">
        <v>15159999</v>
      </c>
      <c r="E483" s="1009">
        <v>15155203</v>
      </c>
      <c r="F483" s="1007" t="s">
        <v>4465</v>
      </c>
      <c r="G483" s="1007">
        <v>8</v>
      </c>
      <c r="H483" s="1010">
        <v>99999999</v>
      </c>
      <c r="I483" s="1009">
        <v>15155203</v>
      </c>
      <c r="J483" s="1007" t="s">
        <v>4465</v>
      </c>
      <c r="O483" s="1007" t="s">
        <v>648</v>
      </c>
      <c r="P483" s="1007" t="s">
        <v>648</v>
      </c>
      <c r="S483" s="1008" t="s">
        <v>650</v>
      </c>
      <c r="T483" s="1008" t="s">
        <v>654</v>
      </c>
      <c r="U483" s="1008" t="s">
        <v>649</v>
      </c>
      <c r="V483" s="1008" t="s">
        <v>648</v>
      </c>
      <c r="W483" s="1008" t="s">
        <v>546</v>
      </c>
      <c r="X483" s="1008" t="s">
        <v>670</v>
      </c>
      <c r="Y483" s="1008" t="s">
        <v>670</v>
      </c>
      <c r="Z483" s="1008" t="s">
        <v>670</v>
      </c>
      <c r="AA483" s="1008"/>
      <c r="AB483" s="1008" t="s">
        <v>670</v>
      </c>
      <c r="AC483" s="1008"/>
      <c r="AD483" s="1008"/>
      <c r="AE483" s="1008"/>
      <c r="AF483" s="1008" t="s">
        <v>670</v>
      </c>
      <c r="AG483" s="1008"/>
      <c r="AH483" s="1008"/>
      <c r="AI483" s="1008"/>
    </row>
    <row r="484" spans="1:35">
      <c r="A484" s="1008">
        <v>26711</v>
      </c>
      <c r="B484" s="1008">
        <v>52</v>
      </c>
      <c r="C484" s="1008">
        <v>9</v>
      </c>
      <c r="D484" s="1009">
        <v>15159999</v>
      </c>
      <c r="E484" s="1009">
        <v>15155204</v>
      </c>
      <c r="F484" s="1007" t="s">
        <v>646</v>
      </c>
      <c r="G484" s="1007">
        <v>8</v>
      </c>
      <c r="H484" s="1010">
        <v>99999999</v>
      </c>
      <c r="I484" s="1009">
        <v>15155204</v>
      </c>
      <c r="J484" s="1007" t="s">
        <v>646</v>
      </c>
      <c r="O484" s="1007" t="s">
        <v>648</v>
      </c>
      <c r="P484" s="1007" t="s">
        <v>648</v>
      </c>
      <c r="S484" s="1008" t="s">
        <v>650</v>
      </c>
      <c r="T484" s="1008" t="s">
        <v>654</v>
      </c>
      <c r="U484" s="1008" t="s">
        <v>649</v>
      </c>
      <c r="V484" s="1008" t="s">
        <v>648</v>
      </c>
      <c r="W484" s="1008" t="s">
        <v>546</v>
      </c>
      <c r="X484" s="1008" t="s">
        <v>670</v>
      </c>
      <c r="Y484" s="1008" t="s">
        <v>670</v>
      </c>
      <c r="Z484" s="1008" t="s">
        <v>670</v>
      </c>
      <c r="AA484" s="1008"/>
      <c r="AB484" s="1008" t="s">
        <v>670</v>
      </c>
      <c r="AC484" s="1008"/>
      <c r="AD484" s="1008"/>
      <c r="AE484" s="1008"/>
      <c r="AF484" s="1008" t="s">
        <v>670</v>
      </c>
      <c r="AG484" s="1008"/>
      <c r="AH484" s="1008"/>
      <c r="AI484" s="1008"/>
    </row>
    <row r="485" spans="1:35">
      <c r="A485" s="1008">
        <v>26712</v>
      </c>
      <c r="B485" s="1008">
        <v>783</v>
      </c>
      <c r="C485" s="1008">
        <v>9</v>
      </c>
      <c r="D485" s="1009">
        <v>15159999</v>
      </c>
      <c r="E485" s="1009">
        <v>15155205</v>
      </c>
      <c r="F485" s="1007" t="s">
        <v>4464</v>
      </c>
      <c r="G485" s="1007">
        <v>8</v>
      </c>
      <c r="H485" s="1010">
        <v>99999999</v>
      </c>
      <c r="I485" s="1009">
        <v>15155205</v>
      </c>
      <c r="J485" s="1007" t="s">
        <v>4464</v>
      </c>
      <c r="O485" s="1007" t="s">
        <v>648</v>
      </c>
      <c r="P485" s="1007" t="s">
        <v>648</v>
      </c>
      <c r="S485" s="1008" t="s">
        <v>650</v>
      </c>
      <c r="T485" s="1008" t="s">
        <v>654</v>
      </c>
      <c r="U485" s="1008" t="s">
        <v>649</v>
      </c>
      <c r="V485" s="1008" t="s">
        <v>648</v>
      </c>
      <c r="W485" s="1008" t="s">
        <v>546</v>
      </c>
      <c r="X485" s="1008" t="s">
        <v>670</v>
      </c>
      <c r="Y485" s="1008" t="s">
        <v>670</v>
      </c>
      <c r="Z485" s="1008" t="s">
        <v>670</v>
      </c>
      <c r="AA485" s="1008"/>
      <c r="AB485" s="1008" t="s">
        <v>670</v>
      </c>
      <c r="AC485" s="1008"/>
      <c r="AD485" s="1008"/>
      <c r="AE485" s="1008"/>
      <c r="AF485" s="1008" t="s">
        <v>670</v>
      </c>
      <c r="AG485" s="1008"/>
      <c r="AH485" s="1008"/>
      <c r="AI485" s="1008"/>
    </row>
    <row r="486" spans="1:35">
      <c r="A486" s="1008">
        <v>26713</v>
      </c>
      <c r="B486" s="1008">
        <v>53</v>
      </c>
      <c r="C486" s="1008">
        <v>9</v>
      </c>
      <c r="D486" s="1009">
        <v>15159999</v>
      </c>
      <c r="E486" s="1009">
        <v>15155206</v>
      </c>
      <c r="F486" s="1007" t="s">
        <v>4463</v>
      </c>
      <c r="G486" s="1007">
        <v>8</v>
      </c>
      <c r="H486" s="1010">
        <v>99999999</v>
      </c>
      <c r="I486" s="1009">
        <v>15155206</v>
      </c>
      <c r="J486" s="1007" t="s">
        <v>4463</v>
      </c>
      <c r="O486" s="1007" t="s">
        <v>648</v>
      </c>
      <c r="P486" s="1007" t="s">
        <v>648</v>
      </c>
      <c r="S486" s="1008" t="s">
        <v>650</v>
      </c>
      <c r="T486" s="1008" t="s">
        <v>654</v>
      </c>
      <c r="U486" s="1008" t="s">
        <v>649</v>
      </c>
      <c r="V486" s="1008" t="s">
        <v>648</v>
      </c>
      <c r="W486" s="1008" t="s">
        <v>546</v>
      </c>
      <c r="X486" s="1008" t="s">
        <v>670</v>
      </c>
      <c r="Y486" s="1008" t="s">
        <v>670</v>
      </c>
      <c r="Z486" s="1008" t="s">
        <v>670</v>
      </c>
      <c r="AA486" s="1008"/>
      <c r="AB486" s="1008" t="s">
        <v>670</v>
      </c>
      <c r="AC486" s="1008"/>
      <c r="AD486" s="1008"/>
      <c r="AE486" s="1008"/>
      <c r="AF486" s="1008" t="s">
        <v>670</v>
      </c>
      <c r="AG486" s="1008"/>
      <c r="AH486" s="1008"/>
      <c r="AI486" s="1008"/>
    </row>
    <row r="487" spans="1:35">
      <c r="A487" s="1008">
        <v>26714</v>
      </c>
      <c r="B487" s="1008">
        <v>54</v>
      </c>
      <c r="C487" s="1008">
        <v>9</v>
      </c>
      <c r="D487" s="1009">
        <v>15159999</v>
      </c>
      <c r="E487" s="1009">
        <v>15155207</v>
      </c>
      <c r="F487" s="1007" t="s">
        <v>4462</v>
      </c>
      <c r="G487" s="1007">
        <v>8</v>
      </c>
      <c r="H487" s="1010">
        <v>99999999</v>
      </c>
      <c r="I487" s="1009">
        <v>15155207</v>
      </c>
      <c r="J487" s="1007" t="s">
        <v>4462</v>
      </c>
      <c r="O487" s="1007" t="s">
        <v>648</v>
      </c>
      <c r="P487" s="1007" t="s">
        <v>648</v>
      </c>
      <c r="S487" s="1008" t="s">
        <v>650</v>
      </c>
      <c r="T487" s="1008" t="s">
        <v>654</v>
      </c>
      <c r="U487" s="1008" t="s">
        <v>649</v>
      </c>
      <c r="V487" s="1008" t="s">
        <v>648</v>
      </c>
      <c r="W487" s="1008" t="s">
        <v>546</v>
      </c>
      <c r="X487" s="1008" t="s">
        <v>670</v>
      </c>
      <c r="Y487" s="1008" t="s">
        <v>670</v>
      </c>
      <c r="Z487" s="1008" t="s">
        <v>670</v>
      </c>
      <c r="AA487" s="1008"/>
      <c r="AB487" s="1008" t="s">
        <v>670</v>
      </c>
      <c r="AC487" s="1008"/>
      <c r="AD487" s="1008"/>
      <c r="AE487" s="1008"/>
      <c r="AF487" s="1008" t="s">
        <v>670</v>
      </c>
      <c r="AG487" s="1008"/>
      <c r="AH487" s="1008"/>
      <c r="AI487" s="1008"/>
    </row>
    <row r="488" spans="1:35">
      <c r="A488" s="1008">
        <v>26715</v>
      </c>
      <c r="B488" s="1008">
        <v>55</v>
      </c>
      <c r="C488" s="1008">
        <v>9</v>
      </c>
      <c r="D488" s="1009">
        <v>15159999</v>
      </c>
      <c r="E488" s="1009">
        <v>15155208</v>
      </c>
      <c r="F488" s="1007" t="s">
        <v>4461</v>
      </c>
      <c r="G488" s="1007">
        <v>8</v>
      </c>
      <c r="H488" s="1010">
        <v>99999999</v>
      </c>
      <c r="I488" s="1009">
        <v>15155208</v>
      </c>
      <c r="J488" s="1007" t="s">
        <v>4461</v>
      </c>
      <c r="O488" s="1007" t="s">
        <v>648</v>
      </c>
      <c r="P488" s="1007" t="s">
        <v>648</v>
      </c>
      <c r="S488" s="1008" t="s">
        <v>650</v>
      </c>
      <c r="T488" s="1008" t="s">
        <v>654</v>
      </c>
      <c r="U488" s="1008" t="s">
        <v>649</v>
      </c>
      <c r="V488" s="1008" t="s">
        <v>648</v>
      </c>
      <c r="W488" s="1008" t="s">
        <v>546</v>
      </c>
      <c r="X488" s="1008" t="s">
        <v>670</v>
      </c>
      <c r="Y488" s="1008" t="s">
        <v>670</v>
      </c>
      <c r="Z488" s="1008" t="s">
        <v>670</v>
      </c>
      <c r="AA488" s="1008"/>
      <c r="AB488" s="1008" t="s">
        <v>670</v>
      </c>
      <c r="AC488" s="1008"/>
      <c r="AD488" s="1008"/>
      <c r="AE488" s="1008"/>
      <c r="AF488" s="1008" t="s">
        <v>670</v>
      </c>
      <c r="AG488" s="1008"/>
      <c r="AH488" s="1008"/>
      <c r="AI488" s="1008"/>
    </row>
    <row r="489" spans="1:35">
      <c r="A489" s="1008">
        <v>26716</v>
      </c>
      <c r="B489" s="1008">
        <v>56</v>
      </c>
      <c r="C489" s="1008">
        <v>9</v>
      </c>
      <c r="D489" s="1009">
        <v>15159999</v>
      </c>
      <c r="E489" s="1009">
        <v>15155209</v>
      </c>
      <c r="F489" s="1007" t="s">
        <v>4460</v>
      </c>
      <c r="G489" s="1007">
        <v>8</v>
      </c>
      <c r="H489" s="1010">
        <v>99999999</v>
      </c>
      <c r="I489" s="1009">
        <v>15155209</v>
      </c>
      <c r="J489" s="1007" t="s">
        <v>4460</v>
      </c>
      <c r="O489" s="1007" t="s">
        <v>648</v>
      </c>
      <c r="P489" s="1007" t="s">
        <v>648</v>
      </c>
      <c r="S489" s="1008" t="s">
        <v>650</v>
      </c>
      <c r="T489" s="1008" t="s">
        <v>654</v>
      </c>
      <c r="U489" s="1008" t="s">
        <v>649</v>
      </c>
      <c r="V489" s="1008" t="s">
        <v>648</v>
      </c>
      <c r="W489" s="1008" t="s">
        <v>546</v>
      </c>
      <c r="X489" s="1008" t="s">
        <v>670</v>
      </c>
      <c r="Y489" s="1008" t="s">
        <v>670</v>
      </c>
      <c r="Z489" s="1008" t="s">
        <v>670</v>
      </c>
      <c r="AA489" s="1008"/>
      <c r="AB489" s="1008" t="s">
        <v>670</v>
      </c>
      <c r="AC489" s="1008"/>
      <c r="AD489" s="1008"/>
      <c r="AE489" s="1008"/>
      <c r="AF489" s="1008" t="s">
        <v>670</v>
      </c>
      <c r="AG489" s="1008"/>
      <c r="AH489" s="1008"/>
      <c r="AI489" s="1008"/>
    </row>
    <row r="490" spans="1:35">
      <c r="A490" s="1008">
        <v>26717</v>
      </c>
      <c r="B490" s="1008">
        <v>1137</v>
      </c>
      <c r="C490" s="1008">
        <v>9</v>
      </c>
      <c r="D490" s="1009">
        <v>15159999</v>
      </c>
      <c r="E490" s="1009">
        <v>15155210</v>
      </c>
      <c r="F490" s="1007" t="s">
        <v>4459</v>
      </c>
      <c r="G490" s="1007">
        <v>8</v>
      </c>
      <c r="H490" s="1010">
        <v>99999999</v>
      </c>
      <c r="I490" s="1009">
        <v>15155210</v>
      </c>
      <c r="J490" s="1007" t="s">
        <v>4459</v>
      </c>
      <c r="O490" s="1007" t="s">
        <v>648</v>
      </c>
      <c r="P490" s="1007" t="s">
        <v>648</v>
      </c>
      <c r="S490" s="1008" t="s">
        <v>650</v>
      </c>
      <c r="T490" s="1008" t="s">
        <v>654</v>
      </c>
      <c r="U490" s="1008" t="s">
        <v>649</v>
      </c>
      <c r="V490" s="1008" t="s">
        <v>648</v>
      </c>
      <c r="W490" s="1008" t="s">
        <v>546</v>
      </c>
      <c r="X490" s="1008" t="s">
        <v>670</v>
      </c>
      <c r="Y490" s="1008" t="s">
        <v>670</v>
      </c>
      <c r="Z490" s="1008" t="s">
        <v>670</v>
      </c>
      <c r="AA490" s="1008"/>
      <c r="AB490" s="1008" t="s">
        <v>670</v>
      </c>
      <c r="AC490" s="1008"/>
      <c r="AD490" s="1008"/>
      <c r="AE490" s="1008"/>
      <c r="AF490" s="1008" t="s">
        <v>670</v>
      </c>
      <c r="AG490" s="1008"/>
      <c r="AH490" s="1008"/>
      <c r="AI490" s="1008"/>
    </row>
    <row r="491" spans="1:35">
      <c r="A491" s="1008">
        <v>26718</v>
      </c>
      <c r="B491" s="1008">
        <v>1143</v>
      </c>
      <c r="C491" s="1008">
        <v>9</v>
      </c>
      <c r="D491" s="1009">
        <v>15159999</v>
      </c>
      <c r="E491" s="1009">
        <v>15155211</v>
      </c>
      <c r="F491" s="1007" t="s">
        <v>4458</v>
      </c>
      <c r="G491" s="1007">
        <v>8</v>
      </c>
      <c r="H491" s="1010">
        <v>99999999</v>
      </c>
      <c r="I491" s="1009">
        <v>15155211</v>
      </c>
      <c r="J491" s="1007" t="s">
        <v>4458</v>
      </c>
      <c r="O491" s="1007" t="s">
        <v>648</v>
      </c>
      <c r="P491" s="1007" t="s">
        <v>648</v>
      </c>
      <c r="S491" s="1008" t="s">
        <v>650</v>
      </c>
      <c r="T491" s="1008" t="s">
        <v>654</v>
      </c>
      <c r="U491" s="1008" t="s">
        <v>649</v>
      </c>
      <c r="V491" s="1008" t="s">
        <v>648</v>
      </c>
      <c r="W491" s="1008" t="s">
        <v>546</v>
      </c>
      <c r="X491" s="1008" t="s">
        <v>670</v>
      </c>
      <c r="Y491" s="1008" t="s">
        <v>670</v>
      </c>
      <c r="Z491" s="1008" t="s">
        <v>670</v>
      </c>
      <c r="AA491" s="1008"/>
      <c r="AB491" s="1008" t="s">
        <v>670</v>
      </c>
      <c r="AC491" s="1008"/>
      <c r="AD491" s="1008"/>
      <c r="AE491" s="1008"/>
      <c r="AF491" s="1008" t="s">
        <v>670</v>
      </c>
      <c r="AG491" s="1008"/>
      <c r="AH491" s="1008"/>
      <c r="AI491" s="1008"/>
    </row>
    <row r="492" spans="1:35">
      <c r="A492" s="1008">
        <v>26719</v>
      </c>
      <c r="B492" s="1008">
        <v>57</v>
      </c>
      <c r="C492" s="1008">
        <v>9</v>
      </c>
      <c r="D492" s="1009">
        <v>15159999</v>
      </c>
      <c r="E492" s="1009">
        <v>15155212</v>
      </c>
      <c r="F492" s="1007" t="s">
        <v>4457</v>
      </c>
      <c r="G492" s="1007">
        <v>8</v>
      </c>
      <c r="H492" s="1010">
        <v>99999999</v>
      </c>
      <c r="I492" s="1009">
        <v>15155212</v>
      </c>
      <c r="J492" s="1007" t="s">
        <v>4457</v>
      </c>
      <c r="O492" s="1007" t="s">
        <v>648</v>
      </c>
      <c r="P492" s="1007" t="s">
        <v>648</v>
      </c>
      <c r="S492" s="1008" t="s">
        <v>650</v>
      </c>
      <c r="T492" s="1008" t="s">
        <v>654</v>
      </c>
      <c r="U492" s="1008" t="s">
        <v>649</v>
      </c>
      <c r="V492" s="1008" t="s">
        <v>648</v>
      </c>
      <c r="W492" s="1008" t="s">
        <v>546</v>
      </c>
      <c r="X492" s="1008" t="s">
        <v>670</v>
      </c>
      <c r="Y492" s="1008" t="s">
        <v>670</v>
      </c>
      <c r="Z492" s="1008" t="s">
        <v>670</v>
      </c>
      <c r="AA492" s="1008"/>
      <c r="AB492" s="1008" t="s">
        <v>670</v>
      </c>
      <c r="AC492" s="1008"/>
      <c r="AD492" s="1008"/>
      <c r="AE492" s="1008"/>
      <c r="AF492" s="1008" t="s">
        <v>670</v>
      </c>
      <c r="AG492" s="1008"/>
      <c r="AH492" s="1008"/>
      <c r="AI492" s="1008"/>
    </row>
    <row r="493" spans="1:35">
      <c r="A493" s="1008">
        <v>27668</v>
      </c>
      <c r="B493" s="1008">
        <v>6498</v>
      </c>
      <c r="C493" s="1008">
        <v>9</v>
      </c>
      <c r="D493" s="1009">
        <v>15159999</v>
      </c>
      <c r="E493" s="1009">
        <v>15155213</v>
      </c>
      <c r="F493" s="1007" t="s">
        <v>4456</v>
      </c>
      <c r="G493" s="1007">
        <v>8</v>
      </c>
      <c r="H493" s="1010">
        <v>99999999</v>
      </c>
      <c r="I493" s="1009">
        <v>15155213</v>
      </c>
      <c r="J493" s="1007" t="s">
        <v>4456</v>
      </c>
      <c r="O493" s="1007" t="s">
        <v>648</v>
      </c>
      <c r="P493" s="1007" t="s">
        <v>648</v>
      </c>
      <c r="S493" s="1008" t="s">
        <v>650</v>
      </c>
      <c r="T493" s="1008" t="s">
        <v>654</v>
      </c>
      <c r="U493" s="1008" t="s">
        <v>649</v>
      </c>
      <c r="V493" s="1008" t="s">
        <v>648</v>
      </c>
      <c r="W493" s="1008" t="s">
        <v>546</v>
      </c>
      <c r="X493" s="1008" t="s">
        <v>670</v>
      </c>
      <c r="Y493" s="1008" t="s">
        <v>670</v>
      </c>
      <c r="Z493" s="1008"/>
      <c r="AA493" s="1008"/>
      <c r="AB493" s="1008"/>
      <c r="AC493" s="1008"/>
      <c r="AD493" s="1008"/>
      <c r="AE493" s="1008"/>
      <c r="AF493" s="1008" t="s">
        <v>670</v>
      </c>
      <c r="AG493" s="1008"/>
      <c r="AH493" s="1008"/>
      <c r="AI493" s="1008"/>
    </row>
    <row r="494" spans="1:35">
      <c r="A494" s="1008">
        <v>27116</v>
      </c>
      <c r="B494" s="1008">
        <v>5949</v>
      </c>
      <c r="C494" s="1008">
        <v>9</v>
      </c>
      <c r="D494" s="1009">
        <v>15159999</v>
      </c>
      <c r="E494" s="1009">
        <v>15155500</v>
      </c>
      <c r="F494" s="1007" t="s">
        <v>4455</v>
      </c>
      <c r="G494" s="1007">
        <v>8</v>
      </c>
      <c r="H494" s="1010">
        <v>99999999</v>
      </c>
      <c r="I494" s="1009">
        <v>15155500</v>
      </c>
      <c r="J494" s="1007" t="s">
        <v>4455</v>
      </c>
      <c r="O494" s="1007" t="s">
        <v>648</v>
      </c>
      <c r="P494" s="1007" t="s">
        <v>648</v>
      </c>
      <c r="S494" s="1008" t="s">
        <v>650</v>
      </c>
      <c r="T494" s="1008" t="s">
        <v>654</v>
      </c>
      <c r="U494" s="1008" t="s">
        <v>649</v>
      </c>
      <c r="V494" s="1008" t="s">
        <v>648</v>
      </c>
      <c r="W494" s="1008" t="s">
        <v>546</v>
      </c>
      <c r="X494" s="1008" t="s">
        <v>670</v>
      </c>
      <c r="Y494" s="1008" t="s">
        <v>670</v>
      </c>
      <c r="Z494" s="1008"/>
      <c r="AA494" s="1008"/>
      <c r="AB494" s="1008"/>
      <c r="AC494" s="1008"/>
      <c r="AD494" s="1008"/>
      <c r="AE494" s="1008"/>
      <c r="AF494" s="1008" t="s">
        <v>670</v>
      </c>
      <c r="AG494" s="1008"/>
      <c r="AH494" s="1008"/>
      <c r="AI494" s="1008"/>
    </row>
    <row r="495" spans="1:35">
      <c r="A495" s="1008">
        <v>26720</v>
      </c>
      <c r="B495" s="1008">
        <v>58</v>
      </c>
      <c r="C495" s="1008">
        <v>9</v>
      </c>
      <c r="D495" s="1009">
        <v>15159999</v>
      </c>
      <c r="E495" s="1009">
        <v>15155900</v>
      </c>
      <c r="F495" s="1007" t="s">
        <v>4454</v>
      </c>
      <c r="G495" s="1007">
        <v>8</v>
      </c>
      <c r="H495" s="1010">
        <v>99999999</v>
      </c>
      <c r="I495" s="1009">
        <v>15155900</v>
      </c>
      <c r="J495" s="1007" t="s">
        <v>4454</v>
      </c>
      <c r="O495" s="1007" t="s">
        <v>648</v>
      </c>
      <c r="P495" s="1007" t="s">
        <v>648</v>
      </c>
      <c r="S495" s="1008" t="s">
        <v>650</v>
      </c>
      <c r="T495" s="1008" t="s">
        <v>654</v>
      </c>
      <c r="U495" s="1008" t="s">
        <v>649</v>
      </c>
      <c r="V495" s="1008" t="s">
        <v>648</v>
      </c>
      <c r="W495" s="1008" t="s">
        <v>546</v>
      </c>
      <c r="X495" s="1008" t="s">
        <v>670</v>
      </c>
      <c r="Y495" s="1008" t="s">
        <v>670</v>
      </c>
      <c r="Z495" s="1008" t="s">
        <v>670</v>
      </c>
      <c r="AA495" s="1008"/>
      <c r="AB495" s="1008" t="s">
        <v>670</v>
      </c>
      <c r="AC495" s="1008"/>
      <c r="AD495" s="1008"/>
      <c r="AE495" s="1008"/>
      <c r="AF495" s="1008" t="s">
        <v>670</v>
      </c>
      <c r="AG495" s="1008"/>
      <c r="AH495" s="1008"/>
      <c r="AI495" s="1008"/>
    </row>
    <row r="496" spans="1:35">
      <c r="A496" s="1008">
        <v>23958</v>
      </c>
      <c r="B496" s="1008">
        <v>1554</v>
      </c>
      <c r="C496" s="1008">
        <v>9</v>
      </c>
      <c r="D496" s="1009">
        <v>15159999</v>
      </c>
      <c r="E496" s="1009">
        <v>15159900</v>
      </c>
      <c r="F496" s="1007" t="s">
        <v>4453</v>
      </c>
      <c r="G496" s="1007">
        <v>7</v>
      </c>
      <c r="H496" s="1010">
        <v>99999999</v>
      </c>
      <c r="I496" s="1009">
        <v>15159900</v>
      </c>
      <c r="J496" s="1007" t="s">
        <v>4452</v>
      </c>
      <c r="O496" s="1007" t="s">
        <v>648</v>
      </c>
      <c r="P496" s="1007" t="s">
        <v>648</v>
      </c>
      <c r="S496" s="1008" t="s">
        <v>650</v>
      </c>
      <c r="T496" s="1008" t="s">
        <v>654</v>
      </c>
      <c r="U496" s="1008" t="s">
        <v>649</v>
      </c>
      <c r="V496" s="1008" t="s">
        <v>648</v>
      </c>
      <c r="W496" s="1008" t="s">
        <v>546</v>
      </c>
      <c r="X496" s="1008" t="s">
        <v>670</v>
      </c>
      <c r="Y496" s="1008" t="s">
        <v>670</v>
      </c>
      <c r="Z496" s="1008" t="s">
        <v>670</v>
      </c>
      <c r="AA496" s="1008"/>
      <c r="AB496" s="1008" t="s">
        <v>670</v>
      </c>
      <c r="AC496" s="1008"/>
      <c r="AD496" s="1008"/>
      <c r="AE496" s="1008"/>
      <c r="AF496" s="1008" t="s">
        <v>670</v>
      </c>
      <c r="AG496" s="1008"/>
      <c r="AH496" s="1008"/>
      <c r="AI496" s="1008"/>
    </row>
    <row r="497" spans="1:35">
      <c r="A497" s="1008">
        <v>26721</v>
      </c>
      <c r="C497" s="1008">
        <v>8</v>
      </c>
      <c r="D497" s="1009">
        <v>15199999</v>
      </c>
      <c r="E497" s="1009">
        <v>15159999</v>
      </c>
      <c r="F497" s="1007" t="s">
        <v>4451</v>
      </c>
      <c r="O497" s="1007" t="s">
        <v>648</v>
      </c>
      <c r="P497" s="1007" t="s">
        <v>648</v>
      </c>
      <c r="S497" s="1008" t="s">
        <v>650</v>
      </c>
      <c r="T497" s="1008" t="s">
        <v>21</v>
      </c>
      <c r="U497" s="1008" t="s">
        <v>649</v>
      </c>
      <c r="V497" s="1008" t="s">
        <v>648</v>
      </c>
      <c r="W497" s="1008" t="s">
        <v>546</v>
      </c>
      <c r="X497" s="1008"/>
      <c r="Y497" s="1008"/>
      <c r="Z497" s="1008"/>
      <c r="AA497" s="1008"/>
      <c r="AB497" s="1008"/>
      <c r="AC497" s="1008"/>
      <c r="AD497" s="1008"/>
      <c r="AE497" s="1008"/>
      <c r="AF497" s="1008"/>
      <c r="AG497" s="1008"/>
      <c r="AH497" s="1008"/>
      <c r="AI497" s="1008"/>
    </row>
    <row r="498" spans="1:35">
      <c r="A498" s="1008">
        <v>26644</v>
      </c>
      <c r="C498" s="1008">
        <v>7</v>
      </c>
      <c r="D498" s="1009">
        <v>15499000</v>
      </c>
      <c r="E498" s="1009">
        <v>15199999</v>
      </c>
      <c r="F498" s="1007" t="s">
        <v>4450</v>
      </c>
      <c r="O498" s="1007" t="s">
        <v>648</v>
      </c>
      <c r="P498" s="1007" t="s">
        <v>648</v>
      </c>
      <c r="S498" s="1008" t="s">
        <v>650</v>
      </c>
      <c r="T498" s="1008" t="s">
        <v>21</v>
      </c>
      <c r="U498" s="1008" t="s">
        <v>649</v>
      </c>
      <c r="V498" s="1008" t="s">
        <v>648</v>
      </c>
      <c r="W498" s="1008" t="s">
        <v>546</v>
      </c>
      <c r="X498" s="1008"/>
      <c r="Y498" s="1008"/>
      <c r="Z498" s="1008"/>
      <c r="AA498" s="1008"/>
      <c r="AB498" s="1008"/>
      <c r="AC498" s="1008"/>
      <c r="AD498" s="1008"/>
      <c r="AE498" s="1008"/>
      <c r="AF498" s="1008"/>
      <c r="AG498" s="1008"/>
      <c r="AH498" s="1008"/>
      <c r="AI498" s="1008"/>
    </row>
    <row r="499" spans="1:35">
      <c r="A499" s="1008">
        <v>26645</v>
      </c>
      <c r="C499" s="1008">
        <v>7</v>
      </c>
      <c r="D499" s="1009">
        <v>15399999</v>
      </c>
      <c r="E499" s="1009">
        <v>15200200</v>
      </c>
      <c r="F499" s="1007" t="s">
        <v>4449</v>
      </c>
      <c r="O499" s="1007" t="s">
        <v>648</v>
      </c>
      <c r="P499" s="1007" t="s">
        <v>648</v>
      </c>
      <c r="S499" s="1008" t="s">
        <v>650</v>
      </c>
      <c r="T499" s="1008" t="s">
        <v>675</v>
      </c>
      <c r="U499" s="1008" t="s">
        <v>649</v>
      </c>
      <c r="V499" s="1008" t="s">
        <v>648</v>
      </c>
      <c r="W499" s="1008" t="s">
        <v>546</v>
      </c>
      <c r="X499" s="1008"/>
      <c r="Y499" s="1008"/>
      <c r="Z499" s="1008"/>
      <c r="AA499" s="1008"/>
      <c r="AB499" s="1008"/>
      <c r="AC499" s="1008"/>
      <c r="AD499" s="1008"/>
      <c r="AE499" s="1008"/>
      <c r="AF499" s="1008"/>
      <c r="AG499" s="1008"/>
      <c r="AH499" s="1008"/>
      <c r="AI499" s="1008"/>
    </row>
    <row r="500" spans="1:35">
      <c r="A500" s="1008">
        <v>26722</v>
      </c>
      <c r="C500" s="1008">
        <v>8</v>
      </c>
      <c r="D500" s="1009">
        <v>15205999</v>
      </c>
      <c r="E500" s="1009">
        <v>15205000</v>
      </c>
      <c r="F500" s="1007" t="s">
        <v>4448</v>
      </c>
      <c r="O500" s="1007" t="s">
        <v>648</v>
      </c>
      <c r="P500" s="1007" t="s">
        <v>648</v>
      </c>
      <c r="S500" s="1008" t="s">
        <v>650</v>
      </c>
      <c r="T500" s="1008" t="s">
        <v>675</v>
      </c>
      <c r="U500" s="1008" t="s">
        <v>649</v>
      </c>
      <c r="V500" s="1008" t="s">
        <v>648</v>
      </c>
      <c r="W500" s="1008" t="s">
        <v>546</v>
      </c>
      <c r="X500" s="1008"/>
      <c r="Y500" s="1008"/>
      <c r="Z500" s="1008"/>
      <c r="AA500" s="1008"/>
      <c r="AB500" s="1008"/>
      <c r="AC500" s="1008"/>
      <c r="AD500" s="1008"/>
      <c r="AE500" s="1008"/>
      <c r="AF500" s="1008"/>
      <c r="AG500" s="1008"/>
      <c r="AH500" s="1008"/>
      <c r="AI500" s="1008"/>
    </row>
    <row r="501" spans="1:35">
      <c r="A501" s="1008">
        <v>26656</v>
      </c>
      <c r="B501" s="1008">
        <v>1271</v>
      </c>
      <c r="C501" s="1008">
        <v>9</v>
      </c>
      <c r="D501" s="1009">
        <v>15205999</v>
      </c>
      <c r="E501" s="1009">
        <v>15205200</v>
      </c>
      <c r="F501" s="1007" t="s">
        <v>4447</v>
      </c>
      <c r="G501" s="1007">
        <v>8</v>
      </c>
      <c r="H501" s="1010">
        <v>99999999</v>
      </c>
      <c r="I501" s="1009">
        <v>15205200</v>
      </c>
      <c r="J501" s="1007" t="s">
        <v>4446</v>
      </c>
      <c r="O501" s="1007" t="s">
        <v>648</v>
      </c>
      <c r="P501" s="1007" t="s">
        <v>648</v>
      </c>
      <c r="S501" s="1008" t="s">
        <v>650</v>
      </c>
      <c r="T501" s="1008" t="s">
        <v>654</v>
      </c>
      <c r="U501" s="1008" t="s">
        <v>649</v>
      </c>
      <c r="V501" s="1008" t="s">
        <v>648</v>
      </c>
      <c r="W501" s="1008" t="s">
        <v>546</v>
      </c>
      <c r="X501" s="1008" t="s">
        <v>670</v>
      </c>
      <c r="Y501" s="1008" t="s">
        <v>670</v>
      </c>
      <c r="Z501" s="1008" t="s">
        <v>670</v>
      </c>
      <c r="AA501" s="1008"/>
      <c r="AB501" s="1008" t="s">
        <v>670</v>
      </c>
      <c r="AC501" s="1008"/>
      <c r="AD501" s="1008"/>
      <c r="AE501" s="1008"/>
      <c r="AF501" s="1008" t="s">
        <v>670</v>
      </c>
      <c r="AG501" s="1008"/>
      <c r="AH501" s="1008"/>
      <c r="AI501" s="1008"/>
    </row>
    <row r="502" spans="1:35">
      <c r="A502" s="1008">
        <v>26723</v>
      </c>
      <c r="B502" s="1008">
        <v>1272</v>
      </c>
      <c r="C502" s="1008">
        <v>9</v>
      </c>
      <c r="D502" s="1009">
        <v>15205999</v>
      </c>
      <c r="E502" s="1009">
        <v>15205205</v>
      </c>
      <c r="F502" s="1007" t="s">
        <v>4445</v>
      </c>
      <c r="G502" s="1007">
        <v>8</v>
      </c>
      <c r="H502" s="1010">
        <v>99999999</v>
      </c>
      <c r="I502" s="1009">
        <v>15205205</v>
      </c>
      <c r="J502" s="1007" t="s">
        <v>4444</v>
      </c>
      <c r="O502" s="1007" t="s">
        <v>648</v>
      </c>
      <c r="P502" s="1007" t="s">
        <v>648</v>
      </c>
      <c r="S502" s="1008" t="s">
        <v>650</v>
      </c>
      <c r="T502" s="1008" t="s">
        <v>654</v>
      </c>
      <c r="U502" s="1008" t="s">
        <v>649</v>
      </c>
      <c r="V502" s="1008" t="s">
        <v>648</v>
      </c>
      <c r="W502" s="1008" t="s">
        <v>546</v>
      </c>
      <c r="X502" s="1008" t="s">
        <v>670</v>
      </c>
      <c r="Y502" s="1008" t="s">
        <v>670</v>
      </c>
      <c r="Z502" s="1008" t="s">
        <v>670</v>
      </c>
      <c r="AA502" s="1008"/>
      <c r="AB502" s="1008" t="s">
        <v>670</v>
      </c>
      <c r="AC502" s="1008"/>
      <c r="AD502" s="1008"/>
      <c r="AE502" s="1008"/>
      <c r="AF502" s="1008" t="s">
        <v>670</v>
      </c>
      <c r="AG502" s="1008"/>
      <c r="AH502" s="1008"/>
      <c r="AI502" s="1008"/>
    </row>
    <row r="503" spans="1:35">
      <c r="A503" s="1008">
        <v>26724</v>
      </c>
      <c r="B503" s="1008">
        <v>1274</v>
      </c>
      <c r="C503" s="1008">
        <v>9</v>
      </c>
      <c r="D503" s="1009">
        <v>15205999</v>
      </c>
      <c r="E503" s="1009">
        <v>15205210</v>
      </c>
      <c r="F503" s="1007" t="s">
        <v>4443</v>
      </c>
      <c r="G503" s="1007">
        <v>8</v>
      </c>
      <c r="H503" s="1010">
        <v>99999999</v>
      </c>
      <c r="I503" s="1009">
        <v>15205210</v>
      </c>
      <c r="J503" s="1007" t="s">
        <v>4442</v>
      </c>
      <c r="O503" s="1007" t="s">
        <v>648</v>
      </c>
      <c r="P503" s="1007" t="s">
        <v>648</v>
      </c>
      <c r="S503" s="1008" t="s">
        <v>650</v>
      </c>
      <c r="T503" s="1008" t="s">
        <v>654</v>
      </c>
      <c r="U503" s="1008" t="s">
        <v>649</v>
      </c>
      <c r="V503" s="1008" t="s">
        <v>648</v>
      </c>
      <c r="W503" s="1008" t="s">
        <v>546</v>
      </c>
      <c r="X503" s="1008" t="s">
        <v>670</v>
      </c>
      <c r="Y503" s="1008" t="s">
        <v>670</v>
      </c>
      <c r="Z503" s="1008" t="s">
        <v>670</v>
      </c>
      <c r="AA503" s="1008"/>
      <c r="AB503" s="1008" t="s">
        <v>670</v>
      </c>
      <c r="AC503" s="1008"/>
      <c r="AD503" s="1008"/>
      <c r="AE503" s="1008"/>
      <c r="AF503" s="1008" t="s">
        <v>670</v>
      </c>
      <c r="AG503" s="1008"/>
      <c r="AH503" s="1008"/>
      <c r="AI503" s="1008"/>
    </row>
    <row r="504" spans="1:35">
      <c r="A504" s="1008">
        <v>26725</v>
      </c>
      <c r="B504" s="1008">
        <v>61</v>
      </c>
      <c r="C504" s="1008">
        <v>9</v>
      </c>
      <c r="D504" s="1009">
        <v>15205999</v>
      </c>
      <c r="E504" s="1009">
        <v>15205215</v>
      </c>
      <c r="F504" s="1007" t="s">
        <v>4441</v>
      </c>
      <c r="G504" s="1007">
        <v>8</v>
      </c>
      <c r="H504" s="1010">
        <v>99999999</v>
      </c>
      <c r="I504" s="1009">
        <v>15205215</v>
      </c>
      <c r="J504" s="1007" t="s">
        <v>4440</v>
      </c>
      <c r="O504" s="1007" t="s">
        <v>648</v>
      </c>
      <c r="P504" s="1007" t="s">
        <v>648</v>
      </c>
      <c r="S504" s="1008" t="s">
        <v>650</v>
      </c>
      <c r="T504" s="1008" t="s">
        <v>654</v>
      </c>
      <c r="U504" s="1008" t="s">
        <v>649</v>
      </c>
      <c r="V504" s="1008" t="s">
        <v>648</v>
      </c>
      <c r="W504" s="1008" t="s">
        <v>546</v>
      </c>
      <c r="X504" s="1008" t="s">
        <v>670</v>
      </c>
      <c r="Y504" s="1008" t="s">
        <v>670</v>
      </c>
      <c r="Z504" s="1008" t="s">
        <v>670</v>
      </c>
      <c r="AA504" s="1008"/>
      <c r="AB504" s="1008" t="s">
        <v>670</v>
      </c>
      <c r="AC504" s="1008"/>
      <c r="AD504" s="1008"/>
      <c r="AE504" s="1008"/>
      <c r="AF504" s="1008" t="s">
        <v>670</v>
      </c>
      <c r="AG504" s="1008"/>
      <c r="AH504" s="1008"/>
      <c r="AI504" s="1008"/>
    </row>
    <row r="505" spans="1:35">
      <c r="A505" s="1008">
        <v>26726</v>
      </c>
      <c r="B505" s="1008">
        <v>62</v>
      </c>
      <c r="C505" s="1008">
        <v>9</v>
      </c>
      <c r="D505" s="1009">
        <v>15205999</v>
      </c>
      <c r="E505" s="1009">
        <v>15205220</v>
      </c>
      <c r="F505" s="1007" t="s">
        <v>4439</v>
      </c>
      <c r="G505" s="1007">
        <v>8</v>
      </c>
      <c r="H505" s="1010">
        <v>99999999</v>
      </c>
      <c r="I505" s="1009">
        <v>15205220</v>
      </c>
      <c r="J505" s="1007" t="s">
        <v>4438</v>
      </c>
      <c r="O505" s="1007" t="s">
        <v>648</v>
      </c>
      <c r="P505" s="1007" t="s">
        <v>648</v>
      </c>
      <c r="S505" s="1008" t="s">
        <v>650</v>
      </c>
      <c r="T505" s="1008" t="s">
        <v>654</v>
      </c>
      <c r="U505" s="1008" t="s">
        <v>649</v>
      </c>
      <c r="V505" s="1008" t="s">
        <v>648</v>
      </c>
      <c r="W505" s="1008" t="s">
        <v>546</v>
      </c>
      <c r="X505" s="1008" t="s">
        <v>670</v>
      </c>
      <c r="Y505" s="1008" t="s">
        <v>670</v>
      </c>
      <c r="Z505" s="1008" t="s">
        <v>670</v>
      </c>
      <c r="AA505" s="1008"/>
      <c r="AB505" s="1008" t="s">
        <v>670</v>
      </c>
      <c r="AC505" s="1008"/>
      <c r="AD505" s="1008"/>
      <c r="AE505" s="1008"/>
      <c r="AF505" s="1008" t="s">
        <v>670</v>
      </c>
      <c r="AG505" s="1008"/>
      <c r="AH505" s="1008"/>
      <c r="AI505" s="1008"/>
    </row>
    <row r="506" spans="1:35">
      <c r="A506" s="1008">
        <v>26727</v>
      </c>
      <c r="B506" s="1008">
        <v>63</v>
      </c>
      <c r="C506" s="1008">
        <v>9</v>
      </c>
      <c r="D506" s="1009">
        <v>15205999</v>
      </c>
      <c r="E506" s="1009">
        <v>15205225</v>
      </c>
      <c r="F506" s="1007" t="s">
        <v>4437</v>
      </c>
      <c r="G506" s="1007">
        <v>8</v>
      </c>
      <c r="H506" s="1010">
        <v>99999999</v>
      </c>
      <c r="I506" s="1009">
        <v>15205225</v>
      </c>
      <c r="J506" s="1007" t="s">
        <v>4436</v>
      </c>
      <c r="O506" s="1007" t="s">
        <v>648</v>
      </c>
      <c r="P506" s="1007" t="s">
        <v>648</v>
      </c>
      <c r="S506" s="1008" t="s">
        <v>650</v>
      </c>
      <c r="T506" s="1008" t="s">
        <v>654</v>
      </c>
      <c r="U506" s="1008" t="s">
        <v>649</v>
      </c>
      <c r="V506" s="1008" t="s">
        <v>648</v>
      </c>
      <c r="W506" s="1008" t="s">
        <v>546</v>
      </c>
      <c r="X506" s="1008" t="s">
        <v>670</v>
      </c>
      <c r="Y506" s="1008" t="s">
        <v>670</v>
      </c>
      <c r="Z506" s="1008" t="s">
        <v>670</v>
      </c>
      <c r="AA506" s="1008"/>
      <c r="AB506" s="1008" t="s">
        <v>670</v>
      </c>
      <c r="AC506" s="1008"/>
      <c r="AD506" s="1008"/>
      <c r="AE506" s="1008"/>
      <c r="AF506" s="1008" t="s">
        <v>670</v>
      </c>
      <c r="AG506" s="1008"/>
      <c r="AH506" s="1008"/>
      <c r="AI506" s="1008"/>
    </row>
    <row r="507" spans="1:35">
      <c r="A507" s="1008">
        <v>26728</v>
      </c>
      <c r="B507" s="1008">
        <v>64</v>
      </c>
      <c r="C507" s="1008">
        <v>9</v>
      </c>
      <c r="D507" s="1009">
        <v>15205999</v>
      </c>
      <c r="E507" s="1009">
        <v>15205230</v>
      </c>
      <c r="F507" s="1007" t="s">
        <v>4435</v>
      </c>
      <c r="G507" s="1007">
        <v>8</v>
      </c>
      <c r="H507" s="1010">
        <v>99999999</v>
      </c>
      <c r="I507" s="1009">
        <v>15205230</v>
      </c>
      <c r="J507" s="1007" t="s">
        <v>4434</v>
      </c>
      <c r="O507" s="1007" t="s">
        <v>648</v>
      </c>
      <c r="P507" s="1007" t="s">
        <v>648</v>
      </c>
      <c r="S507" s="1008" t="s">
        <v>650</v>
      </c>
      <c r="T507" s="1008" t="s">
        <v>654</v>
      </c>
      <c r="U507" s="1008" t="s">
        <v>649</v>
      </c>
      <c r="V507" s="1008" t="s">
        <v>648</v>
      </c>
      <c r="W507" s="1008" t="s">
        <v>546</v>
      </c>
      <c r="X507" s="1008" t="s">
        <v>670</v>
      </c>
      <c r="Y507" s="1008" t="s">
        <v>670</v>
      </c>
      <c r="Z507" s="1008" t="s">
        <v>670</v>
      </c>
      <c r="AA507" s="1008"/>
      <c r="AB507" s="1008" t="s">
        <v>670</v>
      </c>
      <c r="AC507" s="1008"/>
      <c r="AD507" s="1008"/>
      <c r="AE507" s="1008"/>
      <c r="AF507" s="1008" t="s">
        <v>670</v>
      </c>
      <c r="AG507" s="1008"/>
      <c r="AH507" s="1008"/>
      <c r="AI507" s="1008"/>
    </row>
    <row r="508" spans="1:35">
      <c r="A508" s="1008">
        <v>26729</v>
      </c>
      <c r="B508" s="1008">
        <v>65</v>
      </c>
      <c r="C508" s="1008">
        <v>9</v>
      </c>
      <c r="D508" s="1009">
        <v>15205999</v>
      </c>
      <c r="E508" s="1009">
        <v>15205235</v>
      </c>
      <c r="F508" s="1007" t="s">
        <v>4433</v>
      </c>
      <c r="G508" s="1007">
        <v>8</v>
      </c>
      <c r="H508" s="1010">
        <v>99999999</v>
      </c>
      <c r="I508" s="1009">
        <v>15205235</v>
      </c>
      <c r="J508" s="1007" t="s">
        <v>4432</v>
      </c>
      <c r="O508" s="1007" t="s">
        <v>648</v>
      </c>
      <c r="P508" s="1007" t="s">
        <v>648</v>
      </c>
      <c r="S508" s="1008" t="s">
        <v>650</v>
      </c>
      <c r="T508" s="1008" t="s">
        <v>654</v>
      </c>
      <c r="U508" s="1008" t="s">
        <v>649</v>
      </c>
      <c r="V508" s="1008" t="s">
        <v>648</v>
      </c>
      <c r="W508" s="1008" t="s">
        <v>546</v>
      </c>
      <c r="X508" s="1008" t="s">
        <v>670</v>
      </c>
      <c r="Y508" s="1008" t="s">
        <v>670</v>
      </c>
      <c r="Z508" s="1008" t="s">
        <v>670</v>
      </c>
      <c r="AA508" s="1008"/>
      <c r="AB508" s="1008" t="s">
        <v>670</v>
      </c>
      <c r="AC508" s="1008"/>
      <c r="AD508" s="1008"/>
      <c r="AE508" s="1008"/>
      <c r="AF508" s="1008" t="s">
        <v>670</v>
      </c>
      <c r="AG508" s="1008"/>
      <c r="AH508" s="1008"/>
      <c r="AI508" s="1008"/>
    </row>
    <row r="509" spans="1:35">
      <c r="A509" s="1008">
        <v>26730</v>
      </c>
      <c r="B509" s="1008">
        <v>66</v>
      </c>
      <c r="C509" s="1008">
        <v>9</v>
      </c>
      <c r="D509" s="1009">
        <v>15205999</v>
      </c>
      <c r="E509" s="1009">
        <v>15205240</v>
      </c>
      <c r="F509" s="1007" t="s">
        <v>4431</v>
      </c>
      <c r="G509" s="1007">
        <v>8</v>
      </c>
      <c r="H509" s="1010">
        <v>99999999</v>
      </c>
      <c r="I509" s="1009">
        <v>15205240</v>
      </c>
      <c r="J509" s="1007" t="s">
        <v>4430</v>
      </c>
      <c r="O509" s="1007" t="s">
        <v>648</v>
      </c>
      <c r="P509" s="1007" t="s">
        <v>648</v>
      </c>
      <c r="S509" s="1008" t="s">
        <v>650</v>
      </c>
      <c r="T509" s="1008" t="s">
        <v>654</v>
      </c>
      <c r="U509" s="1008" t="s">
        <v>649</v>
      </c>
      <c r="V509" s="1008" t="s">
        <v>648</v>
      </c>
      <c r="W509" s="1008" t="s">
        <v>546</v>
      </c>
      <c r="X509" s="1008" t="s">
        <v>670</v>
      </c>
      <c r="Y509" s="1008" t="s">
        <v>670</v>
      </c>
      <c r="Z509" s="1008" t="s">
        <v>670</v>
      </c>
      <c r="AA509" s="1008"/>
      <c r="AB509" s="1008" t="s">
        <v>670</v>
      </c>
      <c r="AC509" s="1008"/>
      <c r="AD509" s="1008"/>
      <c r="AE509" s="1008"/>
      <c r="AF509" s="1008" t="s">
        <v>670</v>
      </c>
      <c r="AG509" s="1008"/>
      <c r="AH509" s="1008"/>
      <c r="AI509" s="1008"/>
    </row>
    <row r="510" spans="1:35">
      <c r="A510" s="1008">
        <v>26731</v>
      </c>
      <c r="B510" s="1008">
        <v>76</v>
      </c>
      <c r="C510" s="1008">
        <v>9</v>
      </c>
      <c r="D510" s="1009">
        <v>15205999</v>
      </c>
      <c r="E510" s="1009">
        <v>15205900</v>
      </c>
      <c r="F510" s="1007" t="s">
        <v>4429</v>
      </c>
      <c r="G510" s="1007">
        <v>8</v>
      </c>
      <c r="H510" s="1010">
        <v>99999999</v>
      </c>
      <c r="I510" s="1009">
        <v>15205900</v>
      </c>
      <c r="J510" s="1007" t="s">
        <v>4428</v>
      </c>
      <c r="O510" s="1007" t="s">
        <v>648</v>
      </c>
      <c r="P510" s="1007" t="s">
        <v>648</v>
      </c>
      <c r="S510" s="1008" t="s">
        <v>650</v>
      </c>
      <c r="T510" s="1008" t="s">
        <v>654</v>
      </c>
      <c r="U510" s="1008" t="s">
        <v>649</v>
      </c>
      <c r="V510" s="1008" t="s">
        <v>648</v>
      </c>
      <c r="W510" s="1008" t="s">
        <v>546</v>
      </c>
      <c r="X510" s="1008" t="s">
        <v>670</v>
      </c>
      <c r="Y510" s="1008" t="s">
        <v>670</v>
      </c>
      <c r="Z510" s="1008" t="s">
        <v>670</v>
      </c>
      <c r="AA510" s="1008"/>
      <c r="AB510" s="1008" t="s">
        <v>670</v>
      </c>
      <c r="AC510" s="1008"/>
      <c r="AD510" s="1008"/>
      <c r="AE510" s="1008"/>
      <c r="AF510" s="1008" t="s">
        <v>670</v>
      </c>
      <c r="AG510" s="1008"/>
      <c r="AH510" s="1008"/>
      <c r="AI510" s="1008"/>
    </row>
    <row r="511" spans="1:35">
      <c r="A511" s="1008">
        <v>26732</v>
      </c>
      <c r="C511" s="1008">
        <v>8</v>
      </c>
      <c r="D511" s="1009">
        <v>15399999</v>
      </c>
      <c r="E511" s="1009">
        <v>15205999</v>
      </c>
      <c r="F511" s="1007" t="s">
        <v>4427</v>
      </c>
      <c r="O511" s="1007" t="s">
        <v>648</v>
      </c>
      <c r="P511" s="1007" t="s">
        <v>648</v>
      </c>
      <c r="S511" s="1008" t="s">
        <v>650</v>
      </c>
      <c r="T511" s="1008" t="s">
        <v>21</v>
      </c>
      <c r="U511" s="1008" t="s">
        <v>649</v>
      </c>
      <c r="V511" s="1008" t="s">
        <v>648</v>
      </c>
      <c r="W511" s="1008" t="s">
        <v>546</v>
      </c>
      <c r="X511" s="1008"/>
      <c r="Y511" s="1008"/>
      <c r="Z511" s="1008"/>
      <c r="AA511" s="1008"/>
      <c r="AB511" s="1008"/>
      <c r="AC511" s="1008"/>
      <c r="AD511" s="1008"/>
      <c r="AE511" s="1008"/>
      <c r="AF511" s="1008"/>
      <c r="AG511" s="1008"/>
      <c r="AH511" s="1008"/>
      <c r="AI511" s="1008"/>
    </row>
    <row r="512" spans="1:35">
      <c r="A512" s="1008">
        <v>26733</v>
      </c>
      <c r="C512" s="1008">
        <v>8</v>
      </c>
      <c r="D512" s="1009">
        <v>15210999</v>
      </c>
      <c r="E512" s="1009">
        <v>15210000</v>
      </c>
      <c r="F512" s="1007" t="s">
        <v>4426</v>
      </c>
      <c r="O512" s="1007" t="s">
        <v>648</v>
      </c>
      <c r="P512" s="1007" t="s">
        <v>648</v>
      </c>
      <c r="S512" s="1008" t="s">
        <v>650</v>
      </c>
      <c r="T512" s="1008" t="s">
        <v>675</v>
      </c>
      <c r="U512" s="1008" t="s">
        <v>649</v>
      </c>
      <c r="V512" s="1008" t="s">
        <v>648</v>
      </c>
      <c r="W512" s="1008" t="s">
        <v>546</v>
      </c>
      <c r="X512" s="1008"/>
      <c r="Y512" s="1008"/>
      <c r="Z512" s="1008"/>
      <c r="AA512" s="1008"/>
      <c r="AB512" s="1008"/>
      <c r="AC512" s="1008"/>
      <c r="AD512" s="1008"/>
      <c r="AE512" s="1008"/>
      <c r="AF512" s="1008"/>
      <c r="AG512" s="1008"/>
      <c r="AH512" s="1008"/>
      <c r="AI512" s="1008"/>
    </row>
    <row r="513" spans="1:35">
      <c r="A513" s="1008">
        <v>26657</v>
      </c>
      <c r="B513" s="1008">
        <v>67</v>
      </c>
      <c r="C513" s="1008">
        <v>9</v>
      </c>
      <c r="D513" s="1009">
        <v>15210999</v>
      </c>
      <c r="E513" s="1009">
        <v>15210200</v>
      </c>
      <c r="F513" s="1007" t="s">
        <v>4425</v>
      </c>
      <c r="G513" s="1007">
        <v>8</v>
      </c>
      <c r="H513" s="1010">
        <v>99999999</v>
      </c>
      <c r="I513" s="1009">
        <v>15210200</v>
      </c>
      <c r="J513" s="1007" t="s">
        <v>4424</v>
      </c>
      <c r="O513" s="1007" t="s">
        <v>648</v>
      </c>
      <c r="P513" s="1007" t="s">
        <v>648</v>
      </c>
      <c r="S513" s="1008" t="s">
        <v>650</v>
      </c>
      <c r="T513" s="1008" t="s">
        <v>654</v>
      </c>
      <c r="U513" s="1008" t="s">
        <v>649</v>
      </c>
      <c r="V513" s="1008" t="s">
        <v>648</v>
      </c>
      <c r="W513" s="1008" t="s">
        <v>546</v>
      </c>
      <c r="X513" s="1008" t="s">
        <v>670</v>
      </c>
      <c r="Y513" s="1008" t="s">
        <v>670</v>
      </c>
      <c r="Z513" s="1008" t="s">
        <v>670</v>
      </c>
      <c r="AA513" s="1008"/>
      <c r="AB513" s="1008" t="s">
        <v>670</v>
      </c>
      <c r="AC513" s="1008"/>
      <c r="AD513" s="1008"/>
      <c r="AE513" s="1008"/>
      <c r="AF513" s="1008" t="s">
        <v>670</v>
      </c>
      <c r="AG513" s="1008"/>
      <c r="AH513" s="1008"/>
      <c r="AI513" s="1008"/>
    </row>
    <row r="514" spans="1:35">
      <c r="A514" s="1008">
        <v>28063</v>
      </c>
      <c r="B514" s="1008">
        <v>6780</v>
      </c>
      <c r="C514" s="1008">
        <v>9</v>
      </c>
      <c r="D514" s="1009">
        <v>15210999</v>
      </c>
      <c r="E514" s="1009">
        <v>15210201</v>
      </c>
      <c r="F514" s="1007" t="s">
        <v>4423</v>
      </c>
      <c r="G514" s="1007">
        <v>8</v>
      </c>
      <c r="H514" s="1010">
        <v>99999999</v>
      </c>
      <c r="I514" s="1009">
        <v>15210201</v>
      </c>
      <c r="J514" s="1007" t="s">
        <v>4422</v>
      </c>
      <c r="O514" s="1007" t="s">
        <v>648</v>
      </c>
      <c r="P514" s="1007" t="s">
        <v>648</v>
      </c>
      <c r="S514" s="1008" t="s">
        <v>650</v>
      </c>
      <c r="T514" s="1008" t="s">
        <v>654</v>
      </c>
      <c r="U514" s="1008" t="s">
        <v>649</v>
      </c>
      <c r="V514" s="1008" t="s">
        <v>648</v>
      </c>
      <c r="W514" s="1008" t="s">
        <v>546</v>
      </c>
      <c r="X514" s="1008" t="s">
        <v>670</v>
      </c>
      <c r="Y514" s="1008" t="s">
        <v>670</v>
      </c>
      <c r="Z514" s="1008" t="s">
        <v>670</v>
      </c>
      <c r="AA514" s="1008"/>
      <c r="AB514" s="1008" t="s">
        <v>670</v>
      </c>
      <c r="AC514" s="1008"/>
      <c r="AD514" s="1008"/>
      <c r="AE514" s="1008"/>
      <c r="AF514" s="1008" t="s">
        <v>670</v>
      </c>
      <c r="AG514" s="1008"/>
      <c r="AH514" s="1008"/>
      <c r="AI514" s="1008"/>
    </row>
    <row r="515" spans="1:35">
      <c r="A515" s="1008">
        <v>26734</v>
      </c>
      <c r="B515" s="1008">
        <v>68</v>
      </c>
      <c r="C515" s="1008">
        <v>9</v>
      </c>
      <c r="D515" s="1009">
        <v>15210999</v>
      </c>
      <c r="E515" s="1009">
        <v>15210205</v>
      </c>
      <c r="F515" s="1007" t="s">
        <v>4421</v>
      </c>
      <c r="G515" s="1007">
        <v>8</v>
      </c>
      <c r="H515" s="1010">
        <v>99999999</v>
      </c>
      <c r="I515" s="1009">
        <v>15210205</v>
      </c>
      <c r="J515" s="1007" t="s">
        <v>4420</v>
      </c>
      <c r="O515" s="1007" t="s">
        <v>648</v>
      </c>
      <c r="P515" s="1007" t="s">
        <v>648</v>
      </c>
      <c r="S515" s="1008" t="s">
        <v>650</v>
      </c>
      <c r="T515" s="1008" t="s">
        <v>654</v>
      </c>
      <c r="U515" s="1008" t="s">
        <v>649</v>
      </c>
      <c r="V515" s="1008" t="s">
        <v>648</v>
      </c>
      <c r="W515" s="1008" t="s">
        <v>546</v>
      </c>
      <c r="X515" s="1008" t="s">
        <v>670</v>
      </c>
      <c r="Y515" s="1008" t="s">
        <v>670</v>
      </c>
      <c r="Z515" s="1008" t="s">
        <v>670</v>
      </c>
      <c r="AA515" s="1008"/>
      <c r="AB515" s="1008" t="s">
        <v>670</v>
      </c>
      <c r="AC515" s="1008"/>
      <c r="AD515" s="1008"/>
      <c r="AE515" s="1008"/>
      <c r="AF515" s="1008" t="s">
        <v>670</v>
      </c>
      <c r="AG515" s="1008"/>
      <c r="AH515" s="1008"/>
      <c r="AI515" s="1008"/>
    </row>
    <row r="516" spans="1:35">
      <c r="A516" s="1008">
        <v>26735</v>
      </c>
      <c r="B516" s="1008">
        <v>69</v>
      </c>
      <c r="C516" s="1008">
        <v>9</v>
      </c>
      <c r="D516" s="1009">
        <v>15210999</v>
      </c>
      <c r="E516" s="1009">
        <v>15210900</v>
      </c>
      <c r="F516" s="1007" t="s">
        <v>4419</v>
      </c>
      <c r="G516" s="1007">
        <v>8</v>
      </c>
      <c r="H516" s="1010">
        <v>99999999</v>
      </c>
      <c r="I516" s="1009">
        <v>15210900</v>
      </c>
      <c r="J516" s="1007" t="s">
        <v>4418</v>
      </c>
      <c r="O516" s="1007" t="s">
        <v>648</v>
      </c>
      <c r="P516" s="1007" t="s">
        <v>648</v>
      </c>
      <c r="S516" s="1008" t="s">
        <v>650</v>
      </c>
      <c r="T516" s="1008" t="s">
        <v>654</v>
      </c>
      <c r="U516" s="1008" t="s">
        <v>649</v>
      </c>
      <c r="V516" s="1008" t="s">
        <v>648</v>
      </c>
      <c r="W516" s="1008" t="s">
        <v>546</v>
      </c>
      <c r="X516" s="1008" t="s">
        <v>670</v>
      </c>
      <c r="Y516" s="1008" t="s">
        <v>670</v>
      </c>
      <c r="Z516" s="1008" t="s">
        <v>670</v>
      </c>
      <c r="AA516" s="1008"/>
      <c r="AB516" s="1008" t="s">
        <v>670</v>
      </c>
      <c r="AC516" s="1008"/>
      <c r="AD516" s="1008"/>
      <c r="AE516" s="1008"/>
      <c r="AF516" s="1008" t="s">
        <v>670</v>
      </c>
      <c r="AG516" s="1008"/>
      <c r="AH516" s="1008"/>
      <c r="AI516" s="1008"/>
    </row>
    <row r="517" spans="1:35">
      <c r="A517" s="1008">
        <v>26736</v>
      </c>
      <c r="C517" s="1008">
        <v>8</v>
      </c>
      <c r="D517" s="1009">
        <v>15399999</v>
      </c>
      <c r="E517" s="1009">
        <v>15210999</v>
      </c>
      <c r="F517" s="1007" t="s">
        <v>4417</v>
      </c>
      <c r="O517" s="1007" t="s">
        <v>648</v>
      </c>
      <c r="P517" s="1007" t="s">
        <v>648</v>
      </c>
      <c r="S517" s="1008" t="s">
        <v>650</v>
      </c>
      <c r="T517" s="1008" t="s">
        <v>21</v>
      </c>
      <c r="U517" s="1008" t="s">
        <v>649</v>
      </c>
      <c r="V517" s="1008" t="s">
        <v>648</v>
      </c>
      <c r="W517" s="1008" t="s">
        <v>546</v>
      </c>
      <c r="X517" s="1008"/>
      <c r="Y517" s="1008"/>
      <c r="Z517" s="1008"/>
      <c r="AA517" s="1008"/>
      <c r="AB517" s="1008"/>
      <c r="AC517" s="1008"/>
      <c r="AD517" s="1008"/>
      <c r="AE517" s="1008"/>
      <c r="AF517" s="1008"/>
      <c r="AG517" s="1008"/>
      <c r="AH517" s="1008"/>
      <c r="AI517" s="1008"/>
    </row>
    <row r="518" spans="1:35">
      <c r="A518" s="1008">
        <v>26737</v>
      </c>
      <c r="C518" s="1008">
        <v>8</v>
      </c>
      <c r="D518" s="1009">
        <v>15215999</v>
      </c>
      <c r="E518" s="1009">
        <v>15215000</v>
      </c>
      <c r="F518" s="1007" t="s">
        <v>4416</v>
      </c>
      <c r="O518" s="1007" t="s">
        <v>648</v>
      </c>
      <c r="P518" s="1007" t="s">
        <v>648</v>
      </c>
      <c r="S518" s="1008" t="s">
        <v>650</v>
      </c>
      <c r="T518" s="1008" t="s">
        <v>675</v>
      </c>
      <c r="U518" s="1008" t="s">
        <v>649</v>
      </c>
      <c r="V518" s="1008" t="s">
        <v>648</v>
      </c>
      <c r="W518" s="1008" t="s">
        <v>546</v>
      </c>
      <c r="X518" s="1008"/>
      <c r="Y518" s="1008"/>
      <c r="Z518" s="1008"/>
      <c r="AA518" s="1008"/>
      <c r="AB518" s="1008"/>
      <c r="AC518" s="1008"/>
      <c r="AD518" s="1008"/>
      <c r="AE518" s="1008"/>
      <c r="AF518" s="1008"/>
      <c r="AG518" s="1008"/>
      <c r="AH518" s="1008"/>
      <c r="AI518" s="1008"/>
    </row>
    <row r="519" spans="1:35">
      <c r="A519" s="1008">
        <v>26658</v>
      </c>
      <c r="B519" s="1008">
        <v>70</v>
      </c>
      <c r="C519" s="1008">
        <v>9</v>
      </c>
      <c r="D519" s="1009">
        <v>15215999</v>
      </c>
      <c r="E519" s="1009">
        <v>15215200</v>
      </c>
      <c r="F519" s="1007" t="s">
        <v>4415</v>
      </c>
      <c r="G519" s="1007">
        <v>8</v>
      </c>
      <c r="H519" s="1010">
        <v>99999999</v>
      </c>
      <c r="I519" s="1009">
        <v>15215200</v>
      </c>
      <c r="J519" s="1007" t="s">
        <v>4414</v>
      </c>
      <c r="O519" s="1007" t="s">
        <v>648</v>
      </c>
      <c r="P519" s="1007" t="s">
        <v>648</v>
      </c>
      <c r="S519" s="1008" t="s">
        <v>650</v>
      </c>
      <c r="T519" s="1008" t="s">
        <v>654</v>
      </c>
      <c r="U519" s="1008" t="s">
        <v>649</v>
      </c>
      <c r="V519" s="1008" t="s">
        <v>648</v>
      </c>
      <c r="W519" s="1008" t="s">
        <v>546</v>
      </c>
      <c r="X519" s="1008" t="s">
        <v>670</v>
      </c>
      <c r="Y519" s="1008" t="s">
        <v>670</v>
      </c>
      <c r="Z519" s="1008" t="s">
        <v>670</v>
      </c>
      <c r="AA519" s="1008" t="s">
        <v>670</v>
      </c>
      <c r="AB519" s="1008" t="s">
        <v>670</v>
      </c>
      <c r="AC519" s="1008"/>
      <c r="AD519" s="1008"/>
      <c r="AE519" s="1008"/>
      <c r="AF519" s="1008" t="s">
        <v>670</v>
      </c>
      <c r="AG519" s="1008"/>
      <c r="AH519" s="1008"/>
      <c r="AI519" s="1008"/>
    </row>
    <row r="520" spans="1:35">
      <c r="A520" s="1008">
        <v>26738</v>
      </c>
      <c r="B520" s="1008">
        <v>71</v>
      </c>
      <c r="C520" s="1008">
        <v>9</v>
      </c>
      <c r="D520" s="1009">
        <v>15215999</v>
      </c>
      <c r="E520" s="1009">
        <v>15215205</v>
      </c>
      <c r="F520" s="1007" t="s">
        <v>4413</v>
      </c>
      <c r="G520" s="1007">
        <v>8</v>
      </c>
      <c r="H520" s="1010">
        <v>99999999</v>
      </c>
      <c r="I520" s="1009">
        <v>15215205</v>
      </c>
      <c r="J520" s="1007" t="s">
        <v>4412</v>
      </c>
      <c r="O520" s="1007" t="s">
        <v>648</v>
      </c>
      <c r="P520" s="1007" t="s">
        <v>648</v>
      </c>
      <c r="S520" s="1008" t="s">
        <v>650</v>
      </c>
      <c r="T520" s="1008" t="s">
        <v>654</v>
      </c>
      <c r="U520" s="1008" t="s">
        <v>649</v>
      </c>
      <c r="V520" s="1008" t="s">
        <v>648</v>
      </c>
      <c r="W520" s="1008" t="s">
        <v>546</v>
      </c>
      <c r="X520" s="1008" t="s">
        <v>670</v>
      </c>
      <c r="Y520" s="1008" t="s">
        <v>670</v>
      </c>
      <c r="Z520" s="1008" t="s">
        <v>670</v>
      </c>
      <c r="AA520" s="1008"/>
      <c r="AB520" s="1008" t="s">
        <v>670</v>
      </c>
      <c r="AC520" s="1008"/>
      <c r="AD520" s="1008"/>
      <c r="AE520" s="1008"/>
      <c r="AF520" s="1008" t="s">
        <v>670</v>
      </c>
      <c r="AG520" s="1008"/>
      <c r="AH520" s="1008"/>
      <c r="AI520" s="1008"/>
    </row>
    <row r="521" spans="1:35">
      <c r="A521" s="1008">
        <v>26739</v>
      </c>
      <c r="B521" s="1008">
        <v>72</v>
      </c>
      <c r="C521" s="1008">
        <v>9</v>
      </c>
      <c r="D521" s="1009">
        <v>15215999</v>
      </c>
      <c r="E521" s="1009">
        <v>15215210</v>
      </c>
      <c r="F521" s="1007" t="s">
        <v>4411</v>
      </c>
      <c r="G521" s="1007">
        <v>8</v>
      </c>
      <c r="H521" s="1010">
        <v>99999999</v>
      </c>
      <c r="I521" s="1009">
        <v>15215210</v>
      </c>
      <c r="J521" s="1007" t="s">
        <v>4410</v>
      </c>
      <c r="O521" s="1007" t="s">
        <v>648</v>
      </c>
      <c r="P521" s="1007" t="s">
        <v>648</v>
      </c>
      <c r="S521" s="1008" t="s">
        <v>650</v>
      </c>
      <c r="T521" s="1008" t="s">
        <v>654</v>
      </c>
      <c r="U521" s="1008" t="s">
        <v>649</v>
      </c>
      <c r="V521" s="1008" t="s">
        <v>648</v>
      </c>
      <c r="W521" s="1008" t="s">
        <v>546</v>
      </c>
      <c r="X521" s="1008" t="s">
        <v>670</v>
      </c>
      <c r="Y521" s="1008" t="s">
        <v>670</v>
      </c>
      <c r="Z521" s="1008" t="s">
        <v>670</v>
      </c>
      <c r="AA521" s="1008"/>
      <c r="AB521" s="1008" t="s">
        <v>670</v>
      </c>
      <c r="AC521" s="1008"/>
      <c r="AD521" s="1008"/>
      <c r="AE521" s="1008"/>
      <c r="AF521" s="1008" t="s">
        <v>670</v>
      </c>
      <c r="AG521" s="1008"/>
      <c r="AH521" s="1008"/>
      <c r="AI521" s="1008"/>
    </row>
    <row r="522" spans="1:35">
      <c r="A522" s="1008">
        <v>26740</v>
      </c>
      <c r="B522" s="1008">
        <v>73</v>
      </c>
      <c r="C522" s="1008">
        <v>9</v>
      </c>
      <c r="D522" s="1009">
        <v>15215999</v>
      </c>
      <c r="E522" s="1009">
        <v>15215215</v>
      </c>
      <c r="F522" s="1007" t="s">
        <v>4409</v>
      </c>
      <c r="G522" s="1007">
        <v>8</v>
      </c>
      <c r="H522" s="1010">
        <v>99999999</v>
      </c>
      <c r="I522" s="1009">
        <v>15215215</v>
      </c>
      <c r="J522" s="1007" t="s">
        <v>4408</v>
      </c>
      <c r="O522" s="1007" t="s">
        <v>648</v>
      </c>
      <c r="P522" s="1007" t="s">
        <v>648</v>
      </c>
      <c r="S522" s="1008" t="s">
        <v>650</v>
      </c>
      <c r="T522" s="1008" t="s">
        <v>654</v>
      </c>
      <c r="U522" s="1008" t="s">
        <v>649</v>
      </c>
      <c r="V522" s="1008" t="s">
        <v>648</v>
      </c>
      <c r="W522" s="1008" t="s">
        <v>546</v>
      </c>
      <c r="X522" s="1008" t="s">
        <v>670</v>
      </c>
      <c r="Y522" s="1008" t="s">
        <v>670</v>
      </c>
      <c r="Z522" s="1008" t="s">
        <v>670</v>
      </c>
      <c r="AA522" s="1008"/>
      <c r="AB522" s="1008" t="s">
        <v>670</v>
      </c>
      <c r="AC522" s="1008"/>
      <c r="AD522" s="1008"/>
      <c r="AE522" s="1008"/>
      <c r="AF522" s="1008" t="s">
        <v>670</v>
      </c>
      <c r="AG522" s="1008"/>
      <c r="AH522" s="1008"/>
      <c r="AI522" s="1008"/>
    </row>
    <row r="523" spans="1:35">
      <c r="A523" s="1008">
        <v>26741</v>
      </c>
      <c r="B523" s="1008">
        <v>74</v>
      </c>
      <c r="C523" s="1008">
        <v>9</v>
      </c>
      <c r="D523" s="1009">
        <v>15215999</v>
      </c>
      <c r="E523" s="1009">
        <v>15215220</v>
      </c>
      <c r="F523" s="1007" t="s">
        <v>4407</v>
      </c>
      <c r="G523" s="1007">
        <v>8</v>
      </c>
      <c r="H523" s="1010">
        <v>99999999</v>
      </c>
      <c r="I523" s="1009">
        <v>15215220</v>
      </c>
      <c r="J523" s="1007" t="s">
        <v>4406</v>
      </c>
      <c r="O523" s="1007" t="s">
        <v>648</v>
      </c>
      <c r="P523" s="1007" t="s">
        <v>648</v>
      </c>
      <c r="S523" s="1008" t="s">
        <v>650</v>
      </c>
      <c r="T523" s="1008" t="s">
        <v>654</v>
      </c>
      <c r="U523" s="1008" t="s">
        <v>649</v>
      </c>
      <c r="V523" s="1008" t="s">
        <v>648</v>
      </c>
      <c r="W523" s="1008" t="s">
        <v>546</v>
      </c>
      <c r="X523" s="1008" t="s">
        <v>670</v>
      </c>
      <c r="Y523" s="1008" t="s">
        <v>670</v>
      </c>
      <c r="Z523" s="1008" t="s">
        <v>670</v>
      </c>
      <c r="AA523" s="1008"/>
      <c r="AB523" s="1008" t="s">
        <v>670</v>
      </c>
      <c r="AC523" s="1008"/>
      <c r="AD523" s="1008"/>
      <c r="AE523" s="1008"/>
      <c r="AF523" s="1008" t="s">
        <v>670</v>
      </c>
      <c r="AG523" s="1008"/>
      <c r="AH523" s="1008"/>
      <c r="AI523" s="1008"/>
    </row>
    <row r="524" spans="1:35">
      <c r="A524" s="1008">
        <v>26742</v>
      </c>
      <c r="B524" s="1008">
        <v>75</v>
      </c>
      <c r="C524" s="1008">
        <v>9</v>
      </c>
      <c r="D524" s="1009">
        <v>15215999</v>
      </c>
      <c r="E524" s="1009">
        <v>15215900</v>
      </c>
      <c r="F524" s="1007" t="s">
        <v>4405</v>
      </c>
      <c r="G524" s="1007">
        <v>8</v>
      </c>
      <c r="H524" s="1010">
        <v>99999999</v>
      </c>
      <c r="I524" s="1009">
        <v>15215900</v>
      </c>
      <c r="J524" s="1007" t="s">
        <v>4404</v>
      </c>
      <c r="O524" s="1007" t="s">
        <v>648</v>
      </c>
      <c r="P524" s="1007" t="s">
        <v>648</v>
      </c>
      <c r="S524" s="1008" t="s">
        <v>650</v>
      </c>
      <c r="T524" s="1008" t="s">
        <v>654</v>
      </c>
      <c r="U524" s="1008" t="s">
        <v>649</v>
      </c>
      <c r="V524" s="1008" t="s">
        <v>648</v>
      </c>
      <c r="W524" s="1008" t="s">
        <v>546</v>
      </c>
      <c r="X524" s="1008" t="s">
        <v>670</v>
      </c>
      <c r="Y524" s="1008" t="s">
        <v>670</v>
      </c>
      <c r="Z524" s="1008" t="s">
        <v>670</v>
      </c>
      <c r="AA524" s="1008"/>
      <c r="AB524" s="1008" t="s">
        <v>670</v>
      </c>
      <c r="AC524" s="1008"/>
      <c r="AD524" s="1008"/>
      <c r="AE524" s="1008"/>
      <c r="AF524" s="1008" t="s">
        <v>670</v>
      </c>
      <c r="AG524" s="1008"/>
      <c r="AH524" s="1008"/>
      <c r="AI524" s="1008"/>
    </row>
    <row r="525" spans="1:35">
      <c r="A525" s="1008">
        <v>26743</v>
      </c>
      <c r="C525" s="1008">
        <v>8</v>
      </c>
      <c r="D525" s="1009">
        <v>15399999</v>
      </c>
      <c r="E525" s="1009">
        <v>15215999</v>
      </c>
      <c r="F525" s="1007" t="s">
        <v>4403</v>
      </c>
      <c r="O525" s="1007" t="s">
        <v>648</v>
      </c>
      <c r="P525" s="1007" t="s">
        <v>648</v>
      </c>
      <c r="S525" s="1008" t="s">
        <v>650</v>
      </c>
      <c r="T525" s="1008" t="s">
        <v>21</v>
      </c>
      <c r="U525" s="1008" t="s">
        <v>649</v>
      </c>
      <c r="V525" s="1008" t="s">
        <v>648</v>
      </c>
      <c r="W525" s="1008" t="s">
        <v>546</v>
      </c>
      <c r="X525" s="1008"/>
      <c r="Y525" s="1008"/>
      <c r="Z525" s="1008"/>
      <c r="AA525" s="1008"/>
      <c r="AB525" s="1008"/>
      <c r="AC525" s="1008"/>
      <c r="AD525" s="1008"/>
      <c r="AE525" s="1008"/>
      <c r="AF525" s="1008"/>
      <c r="AG525" s="1008"/>
      <c r="AH525" s="1008"/>
      <c r="AI525" s="1008"/>
    </row>
    <row r="526" spans="1:35">
      <c r="A526" s="1008">
        <v>26659</v>
      </c>
      <c r="B526" s="1008">
        <v>796</v>
      </c>
      <c r="C526" s="1008">
        <v>8</v>
      </c>
      <c r="D526" s="1009">
        <v>15399999</v>
      </c>
      <c r="E526" s="1009">
        <v>15220200</v>
      </c>
      <c r="F526" s="1007" t="s">
        <v>4388</v>
      </c>
      <c r="G526" s="1007">
        <v>8</v>
      </c>
      <c r="H526" s="1010">
        <v>99999999</v>
      </c>
      <c r="I526" s="1009">
        <v>4111090</v>
      </c>
      <c r="J526" s="1007" t="s">
        <v>4402</v>
      </c>
      <c r="O526" s="1007" t="s">
        <v>648</v>
      </c>
      <c r="P526" s="1007" t="s">
        <v>648</v>
      </c>
      <c r="S526" s="1008" t="s">
        <v>650</v>
      </c>
      <c r="T526" s="1008" t="s">
        <v>654</v>
      </c>
      <c r="U526" s="1008" t="s">
        <v>649</v>
      </c>
      <c r="V526" s="1008" t="s">
        <v>648</v>
      </c>
      <c r="W526" s="1008" t="s">
        <v>546</v>
      </c>
      <c r="X526" s="1008" t="s">
        <v>670</v>
      </c>
      <c r="Y526" s="1008" t="s">
        <v>670</v>
      </c>
      <c r="Z526" s="1008" t="s">
        <v>670</v>
      </c>
      <c r="AA526" s="1008"/>
      <c r="AB526" s="1008" t="s">
        <v>670</v>
      </c>
      <c r="AC526" s="1008"/>
      <c r="AD526" s="1008"/>
      <c r="AE526" s="1008"/>
      <c r="AF526" s="1008" t="s">
        <v>670</v>
      </c>
      <c r="AG526" s="1008"/>
      <c r="AH526" s="1008"/>
      <c r="AI526" s="1008"/>
    </row>
    <row r="527" spans="1:35">
      <c r="A527" s="1008">
        <v>26659</v>
      </c>
      <c r="B527" s="1008">
        <v>6550</v>
      </c>
      <c r="C527" s="1008">
        <v>8</v>
      </c>
      <c r="D527" s="1009">
        <v>15399999</v>
      </c>
      <c r="E527" s="1009">
        <v>15220200</v>
      </c>
      <c r="F527" s="1007" t="s">
        <v>4388</v>
      </c>
      <c r="G527" s="1007" t="s">
        <v>648</v>
      </c>
      <c r="H527" s="1010">
        <v>99999999</v>
      </c>
      <c r="I527" s="1009">
        <v>4111095</v>
      </c>
      <c r="J527" s="1007" t="s">
        <v>4401</v>
      </c>
      <c r="O527" s="1007" t="s">
        <v>648</v>
      </c>
      <c r="P527" s="1007" t="s">
        <v>648</v>
      </c>
      <c r="S527" s="1008" t="s">
        <v>650</v>
      </c>
      <c r="T527" s="1008" t="s">
        <v>654</v>
      </c>
      <c r="U527" s="1008" t="s">
        <v>649</v>
      </c>
      <c r="V527" s="1008" t="s">
        <v>648</v>
      </c>
      <c r="W527" s="1008" t="s">
        <v>546</v>
      </c>
      <c r="X527" s="1008" t="s">
        <v>670</v>
      </c>
      <c r="Y527" s="1008" t="s">
        <v>670</v>
      </c>
      <c r="Z527" s="1008"/>
      <c r="AA527" s="1008"/>
      <c r="AB527" s="1008"/>
      <c r="AC527" s="1008"/>
      <c r="AD527" s="1008"/>
      <c r="AE527" s="1008"/>
      <c r="AF527" s="1008" t="s">
        <v>670</v>
      </c>
      <c r="AG527" s="1008"/>
      <c r="AH527" s="1008"/>
      <c r="AI527" s="1008"/>
    </row>
    <row r="528" spans="1:35">
      <c r="A528" s="1008">
        <v>26659</v>
      </c>
      <c r="B528" s="1008">
        <v>83</v>
      </c>
      <c r="C528" s="1008">
        <v>8</v>
      </c>
      <c r="D528" s="1009">
        <v>15399999</v>
      </c>
      <c r="E528" s="1009">
        <v>15220200</v>
      </c>
      <c r="F528" s="1007" t="s">
        <v>4388</v>
      </c>
      <c r="G528" s="1007">
        <v>8</v>
      </c>
      <c r="H528" s="1010">
        <v>99999999</v>
      </c>
      <c r="I528" s="1009">
        <v>4111100</v>
      </c>
      <c r="J528" s="1007" t="s">
        <v>4400</v>
      </c>
      <c r="O528" s="1007" t="s">
        <v>648</v>
      </c>
      <c r="P528" s="1007" t="s">
        <v>648</v>
      </c>
      <c r="S528" s="1008" t="s">
        <v>650</v>
      </c>
      <c r="T528" s="1008" t="s">
        <v>654</v>
      </c>
      <c r="U528" s="1008" t="s">
        <v>649</v>
      </c>
      <c r="V528" s="1008" t="s">
        <v>648</v>
      </c>
      <c r="W528" s="1008" t="s">
        <v>546</v>
      </c>
      <c r="X528" s="1008" t="s">
        <v>670</v>
      </c>
      <c r="Y528" s="1008" t="s">
        <v>670</v>
      </c>
      <c r="Z528" s="1008" t="s">
        <v>670</v>
      </c>
      <c r="AA528" s="1008"/>
      <c r="AB528" s="1008" t="s">
        <v>670</v>
      </c>
      <c r="AC528" s="1008"/>
      <c r="AD528" s="1008"/>
      <c r="AE528" s="1008"/>
      <c r="AF528" s="1008" t="s">
        <v>670</v>
      </c>
      <c r="AG528" s="1008"/>
      <c r="AH528" s="1008"/>
      <c r="AI528" s="1008"/>
    </row>
    <row r="529" spans="1:35">
      <c r="A529" s="1008">
        <v>26659</v>
      </c>
      <c r="B529" s="1008">
        <v>799</v>
      </c>
      <c r="C529" s="1008">
        <v>8</v>
      </c>
      <c r="D529" s="1009">
        <v>15399999</v>
      </c>
      <c r="E529" s="1009">
        <v>15220200</v>
      </c>
      <c r="F529" s="1007" t="s">
        <v>4388</v>
      </c>
      <c r="G529" s="1007">
        <v>8</v>
      </c>
      <c r="H529" s="1010">
        <v>99999999</v>
      </c>
      <c r="I529" s="1009">
        <v>4111400</v>
      </c>
      <c r="J529" s="1007" t="s">
        <v>4399</v>
      </c>
      <c r="O529" s="1007" t="s">
        <v>648</v>
      </c>
      <c r="P529" s="1007" t="s">
        <v>648</v>
      </c>
      <c r="S529" s="1008" t="s">
        <v>650</v>
      </c>
      <c r="T529" s="1008" t="s">
        <v>654</v>
      </c>
      <c r="U529" s="1008" t="s">
        <v>649</v>
      </c>
      <c r="V529" s="1008" t="s">
        <v>648</v>
      </c>
      <c r="W529" s="1008" t="s">
        <v>546</v>
      </c>
      <c r="X529" s="1008" t="s">
        <v>670</v>
      </c>
      <c r="Y529" s="1008" t="s">
        <v>670</v>
      </c>
      <c r="Z529" s="1008" t="s">
        <v>670</v>
      </c>
      <c r="AA529" s="1008"/>
      <c r="AB529" s="1008" t="s">
        <v>670</v>
      </c>
      <c r="AC529" s="1008"/>
      <c r="AD529" s="1008"/>
      <c r="AE529" s="1008"/>
      <c r="AF529" s="1008" t="s">
        <v>670</v>
      </c>
      <c r="AG529" s="1008"/>
      <c r="AH529" s="1008"/>
      <c r="AI529" s="1008"/>
    </row>
    <row r="530" spans="1:35">
      <c r="A530" s="1008">
        <v>26659</v>
      </c>
      <c r="B530" s="1008">
        <v>84</v>
      </c>
      <c r="C530" s="1008">
        <v>8</v>
      </c>
      <c r="D530" s="1009">
        <v>15399999</v>
      </c>
      <c r="E530" s="1009">
        <v>15220200</v>
      </c>
      <c r="F530" s="1007" t="s">
        <v>4388</v>
      </c>
      <c r="G530" s="1007">
        <v>8</v>
      </c>
      <c r="H530" s="1010">
        <v>99999999</v>
      </c>
      <c r="I530" s="1009">
        <v>4111600</v>
      </c>
      <c r="J530" s="1007" t="s">
        <v>4398</v>
      </c>
      <c r="O530" s="1007" t="s">
        <v>648</v>
      </c>
      <c r="P530" s="1007" t="s">
        <v>648</v>
      </c>
      <c r="S530" s="1008" t="s">
        <v>650</v>
      </c>
      <c r="T530" s="1008" t="s">
        <v>654</v>
      </c>
      <c r="U530" s="1008" t="s">
        <v>649</v>
      </c>
      <c r="V530" s="1008" t="s">
        <v>648</v>
      </c>
      <c r="W530" s="1008" t="s">
        <v>546</v>
      </c>
      <c r="X530" s="1008" t="s">
        <v>670</v>
      </c>
      <c r="Y530" s="1008" t="s">
        <v>670</v>
      </c>
      <c r="Z530" s="1008" t="s">
        <v>670</v>
      </c>
      <c r="AA530" s="1008"/>
      <c r="AB530" s="1008" t="s">
        <v>670</v>
      </c>
      <c r="AC530" s="1008"/>
      <c r="AD530" s="1008"/>
      <c r="AE530" s="1008"/>
      <c r="AF530" s="1008" t="s">
        <v>670</v>
      </c>
      <c r="AG530" s="1008"/>
      <c r="AH530" s="1008"/>
      <c r="AI530" s="1008"/>
    </row>
    <row r="531" spans="1:35">
      <c r="A531" s="1008">
        <v>26659</v>
      </c>
      <c r="B531" s="1008">
        <v>797</v>
      </c>
      <c r="C531" s="1008">
        <v>8</v>
      </c>
      <c r="D531" s="1009">
        <v>15399999</v>
      </c>
      <c r="E531" s="1009">
        <v>15220200</v>
      </c>
      <c r="F531" s="1007" t="s">
        <v>4388</v>
      </c>
      <c r="G531" s="1007">
        <v>8</v>
      </c>
      <c r="H531" s="1010">
        <v>99999999</v>
      </c>
      <c r="I531" s="1009">
        <v>4111610</v>
      </c>
      <c r="J531" s="1007" t="s">
        <v>4397</v>
      </c>
      <c r="O531" s="1007" t="s">
        <v>648</v>
      </c>
      <c r="P531" s="1007" t="s">
        <v>648</v>
      </c>
      <c r="S531" s="1008" t="s">
        <v>650</v>
      </c>
      <c r="T531" s="1008" t="s">
        <v>654</v>
      </c>
      <c r="U531" s="1008" t="s">
        <v>649</v>
      </c>
      <c r="V531" s="1008" t="s">
        <v>648</v>
      </c>
      <c r="W531" s="1008" t="s">
        <v>546</v>
      </c>
      <c r="X531" s="1008" t="s">
        <v>670</v>
      </c>
      <c r="Y531" s="1008" t="s">
        <v>670</v>
      </c>
      <c r="Z531" s="1008" t="s">
        <v>670</v>
      </c>
      <c r="AA531" s="1008"/>
      <c r="AB531" s="1008" t="s">
        <v>670</v>
      </c>
      <c r="AC531" s="1008"/>
      <c r="AD531" s="1008"/>
      <c r="AE531" s="1008"/>
      <c r="AF531" s="1008" t="s">
        <v>670</v>
      </c>
      <c r="AG531" s="1008"/>
      <c r="AH531" s="1008"/>
      <c r="AI531" s="1008"/>
    </row>
    <row r="532" spans="1:35">
      <c r="A532" s="1008">
        <v>26659</v>
      </c>
      <c r="B532" s="1008">
        <v>800</v>
      </c>
      <c r="C532" s="1008">
        <v>8</v>
      </c>
      <c r="D532" s="1009">
        <v>15399999</v>
      </c>
      <c r="E532" s="1009">
        <v>15220200</v>
      </c>
      <c r="F532" s="1007" t="s">
        <v>4388</v>
      </c>
      <c r="G532" s="1007">
        <v>8</v>
      </c>
      <c r="H532" s="1010">
        <v>99999999</v>
      </c>
      <c r="I532" s="1009">
        <v>4111700</v>
      </c>
      <c r="J532" s="1007" t="s">
        <v>4396</v>
      </c>
      <c r="O532" s="1007" t="s">
        <v>648</v>
      </c>
      <c r="P532" s="1007" t="s">
        <v>648</v>
      </c>
      <c r="S532" s="1008" t="s">
        <v>650</v>
      </c>
      <c r="T532" s="1008" t="s">
        <v>654</v>
      </c>
      <c r="U532" s="1008" t="s">
        <v>649</v>
      </c>
      <c r="V532" s="1008" t="s">
        <v>648</v>
      </c>
      <c r="W532" s="1008" t="s">
        <v>546</v>
      </c>
      <c r="X532" s="1008" t="s">
        <v>670</v>
      </c>
      <c r="Y532" s="1008" t="s">
        <v>670</v>
      </c>
      <c r="Z532" s="1008" t="s">
        <v>670</v>
      </c>
      <c r="AA532" s="1008"/>
      <c r="AB532" s="1008" t="s">
        <v>670</v>
      </c>
      <c r="AC532" s="1008"/>
      <c r="AD532" s="1008"/>
      <c r="AE532" s="1008"/>
      <c r="AF532" s="1008" t="s">
        <v>670</v>
      </c>
      <c r="AG532" s="1008"/>
      <c r="AH532" s="1008"/>
      <c r="AI532" s="1008"/>
    </row>
    <row r="533" spans="1:35">
      <c r="A533" s="1008">
        <v>26659</v>
      </c>
      <c r="B533" s="1008">
        <v>804</v>
      </c>
      <c r="C533" s="1008">
        <v>8</v>
      </c>
      <c r="D533" s="1009">
        <v>15399999</v>
      </c>
      <c r="E533" s="1009">
        <v>15220200</v>
      </c>
      <c r="F533" s="1007" t="s">
        <v>4388</v>
      </c>
      <c r="G533" s="1007">
        <v>8</v>
      </c>
      <c r="H533" s="1010">
        <v>99999999</v>
      </c>
      <c r="I533" s="1009">
        <v>4111710</v>
      </c>
      <c r="J533" s="1007" t="s">
        <v>4395</v>
      </c>
      <c r="O533" s="1007" t="s">
        <v>648</v>
      </c>
      <c r="P533" s="1007" t="s">
        <v>648</v>
      </c>
      <c r="S533" s="1008" t="s">
        <v>650</v>
      </c>
      <c r="T533" s="1008" t="s">
        <v>654</v>
      </c>
      <c r="U533" s="1008" t="s">
        <v>649</v>
      </c>
      <c r="V533" s="1008" t="s">
        <v>648</v>
      </c>
      <c r="W533" s="1008" t="s">
        <v>546</v>
      </c>
      <c r="X533" s="1008" t="s">
        <v>670</v>
      </c>
      <c r="Y533" s="1008" t="s">
        <v>670</v>
      </c>
      <c r="Z533" s="1008" t="s">
        <v>670</v>
      </c>
      <c r="AA533" s="1008"/>
      <c r="AB533" s="1008" t="s">
        <v>670</v>
      </c>
      <c r="AC533" s="1008"/>
      <c r="AD533" s="1008"/>
      <c r="AE533" s="1008"/>
      <c r="AF533" s="1008" t="s">
        <v>670</v>
      </c>
      <c r="AG533" s="1008"/>
      <c r="AH533" s="1008"/>
      <c r="AI533" s="1008"/>
    </row>
    <row r="534" spans="1:35">
      <c r="A534" s="1008">
        <v>26659</v>
      </c>
      <c r="B534" s="1008">
        <v>806</v>
      </c>
      <c r="C534" s="1008">
        <v>8</v>
      </c>
      <c r="D534" s="1009">
        <v>15399999</v>
      </c>
      <c r="E534" s="1009">
        <v>15220200</v>
      </c>
      <c r="F534" s="1007" t="s">
        <v>4388</v>
      </c>
      <c r="G534" s="1007">
        <v>8</v>
      </c>
      <c r="H534" s="1010">
        <v>99999999</v>
      </c>
      <c r="I534" s="1009">
        <v>4111850</v>
      </c>
      <c r="J534" s="1007" t="s">
        <v>4394</v>
      </c>
      <c r="O534" s="1007" t="s">
        <v>648</v>
      </c>
      <c r="P534" s="1007" t="s">
        <v>648</v>
      </c>
      <c r="S534" s="1008" t="s">
        <v>650</v>
      </c>
      <c r="T534" s="1008" t="s">
        <v>654</v>
      </c>
      <c r="U534" s="1008" t="s">
        <v>649</v>
      </c>
      <c r="V534" s="1008" t="s">
        <v>648</v>
      </c>
      <c r="W534" s="1008" t="s">
        <v>546</v>
      </c>
      <c r="X534" s="1008" t="s">
        <v>670</v>
      </c>
      <c r="Y534" s="1008" t="s">
        <v>670</v>
      </c>
      <c r="Z534" s="1008" t="s">
        <v>670</v>
      </c>
      <c r="AA534" s="1008"/>
      <c r="AB534" s="1008" t="s">
        <v>670</v>
      </c>
      <c r="AC534" s="1008"/>
      <c r="AD534" s="1008"/>
      <c r="AE534" s="1008"/>
      <c r="AF534" s="1008" t="s">
        <v>670</v>
      </c>
      <c r="AG534" s="1008"/>
      <c r="AH534" s="1008"/>
      <c r="AI534" s="1008"/>
    </row>
    <row r="535" spans="1:35">
      <c r="A535" s="1008">
        <v>26659</v>
      </c>
      <c r="B535" s="1008">
        <v>798</v>
      </c>
      <c r="C535" s="1008">
        <v>8</v>
      </c>
      <c r="D535" s="1009">
        <v>15399999</v>
      </c>
      <c r="E535" s="1009">
        <v>15220200</v>
      </c>
      <c r="F535" s="1007" t="s">
        <v>4388</v>
      </c>
      <c r="G535" s="1007">
        <v>8</v>
      </c>
      <c r="H535" s="1010">
        <v>99999999</v>
      </c>
      <c r="I535" s="1009">
        <v>4111880</v>
      </c>
      <c r="J535" s="1007" t="s">
        <v>4393</v>
      </c>
      <c r="O535" s="1007" t="s">
        <v>648</v>
      </c>
      <c r="P535" s="1007" t="s">
        <v>648</v>
      </c>
      <c r="S535" s="1008" t="s">
        <v>650</v>
      </c>
      <c r="T535" s="1008" t="s">
        <v>654</v>
      </c>
      <c r="U535" s="1008" t="s">
        <v>649</v>
      </c>
      <c r="V535" s="1008" t="s">
        <v>648</v>
      </c>
      <c r="W535" s="1008" t="s">
        <v>546</v>
      </c>
      <c r="X535" s="1008" t="s">
        <v>670</v>
      </c>
      <c r="Y535" s="1008" t="s">
        <v>670</v>
      </c>
      <c r="Z535" s="1008" t="s">
        <v>670</v>
      </c>
      <c r="AA535" s="1008"/>
      <c r="AB535" s="1008" t="s">
        <v>670</v>
      </c>
      <c r="AC535" s="1008"/>
      <c r="AD535" s="1008"/>
      <c r="AE535" s="1008"/>
      <c r="AF535" s="1008" t="s">
        <v>670</v>
      </c>
      <c r="AG535" s="1008"/>
      <c r="AH535" s="1008"/>
      <c r="AI535" s="1008"/>
    </row>
    <row r="536" spans="1:35">
      <c r="A536" s="1008">
        <v>26659</v>
      </c>
      <c r="B536" s="1008">
        <v>85</v>
      </c>
      <c r="C536" s="1008">
        <v>8</v>
      </c>
      <c r="D536" s="1009">
        <v>15399999</v>
      </c>
      <c r="E536" s="1009">
        <v>15220200</v>
      </c>
      <c r="F536" s="1007" t="s">
        <v>4388</v>
      </c>
      <c r="G536" s="1007">
        <v>8</v>
      </c>
      <c r="H536" s="1010">
        <v>99999999</v>
      </c>
      <c r="I536" s="1009">
        <v>4111890</v>
      </c>
      <c r="J536" s="1007" t="s">
        <v>4392</v>
      </c>
      <c r="O536" s="1007" t="s">
        <v>648</v>
      </c>
      <c r="P536" s="1007" t="s">
        <v>648</v>
      </c>
      <c r="S536" s="1008" t="s">
        <v>650</v>
      </c>
      <c r="T536" s="1008" t="s">
        <v>654</v>
      </c>
      <c r="U536" s="1008" t="s">
        <v>649</v>
      </c>
      <c r="V536" s="1008" t="s">
        <v>648</v>
      </c>
      <c r="W536" s="1008" t="s">
        <v>546</v>
      </c>
      <c r="X536" s="1008" t="s">
        <v>670</v>
      </c>
      <c r="Y536" s="1008" t="s">
        <v>670</v>
      </c>
      <c r="Z536" s="1008" t="s">
        <v>670</v>
      </c>
      <c r="AA536" s="1008"/>
      <c r="AB536" s="1008" t="s">
        <v>670</v>
      </c>
      <c r="AC536" s="1008"/>
      <c r="AD536" s="1008"/>
      <c r="AE536" s="1008"/>
      <c r="AF536" s="1008" t="s">
        <v>670</v>
      </c>
      <c r="AG536" s="1008"/>
      <c r="AH536" s="1008"/>
      <c r="AI536" s="1008"/>
    </row>
    <row r="537" spans="1:35">
      <c r="A537" s="1008">
        <v>26659</v>
      </c>
      <c r="B537" s="1008">
        <v>86</v>
      </c>
      <c r="C537" s="1008">
        <v>8</v>
      </c>
      <c r="D537" s="1009">
        <v>15399999</v>
      </c>
      <c r="E537" s="1009">
        <v>15220200</v>
      </c>
      <c r="F537" s="1007" t="s">
        <v>4388</v>
      </c>
      <c r="G537" s="1007">
        <v>8</v>
      </c>
      <c r="H537" s="1010">
        <v>99999999</v>
      </c>
      <c r="I537" s="1009">
        <v>4111950</v>
      </c>
      <c r="J537" s="1007" t="s">
        <v>4391</v>
      </c>
      <c r="O537" s="1007" t="s">
        <v>648</v>
      </c>
      <c r="P537" s="1007" t="s">
        <v>648</v>
      </c>
      <c r="S537" s="1008" t="s">
        <v>650</v>
      </c>
      <c r="T537" s="1008" t="s">
        <v>654</v>
      </c>
      <c r="U537" s="1008" t="s">
        <v>649</v>
      </c>
      <c r="V537" s="1008" t="s">
        <v>648</v>
      </c>
      <c r="W537" s="1008" t="s">
        <v>546</v>
      </c>
      <c r="X537" s="1008" t="s">
        <v>670</v>
      </c>
      <c r="Y537" s="1008" t="s">
        <v>670</v>
      </c>
      <c r="Z537" s="1008" t="s">
        <v>670</v>
      </c>
      <c r="AA537" s="1008"/>
      <c r="AB537" s="1008" t="s">
        <v>670</v>
      </c>
      <c r="AC537" s="1008"/>
      <c r="AD537" s="1008"/>
      <c r="AE537" s="1008"/>
      <c r="AF537" s="1008" t="s">
        <v>670</v>
      </c>
      <c r="AG537" s="1008"/>
      <c r="AH537" s="1008"/>
      <c r="AI537" s="1008"/>
    </row>
    <row r="538" spans="1:35">
      <c r="A538" s="1008">
        <v>26659</v>
      </c>
      <c r="B538" s="1008">
        <v>6628</v>
      </c>
      <c r="C538" s="1008">
        <v>8</v>
      </c>
      <c r="D538" s="1009">
        <v>15399999</v>
      </c>
      <c r="E538" s="1009">
        <v>15220200</v>
      </c>
      <c r="F538" s="1007" t="s">
        <v>4388</v>
      </c>
      <c r="G538" s="1007">
        <v>8</v>
      </c>
      <c r="H538" s="1010">
        <v>99999999</v>
      </c>
      <c r="I538" s="1009">
        <v>4111980</v>
      </c>
      <c r="J538" s="1007" t="s">
        <v>4390</v>
      </c>
      <c r="O538" s="1007" t="s">
        <v>648</v>
      </c>
      <c r="P538" s="1007" t="s">
        <v>648</v>
      </c>
      <c r="S538" s="1008" t="s">
        <v>650</v>
      </c>
      <c r="T538" s="1008" t="s">
        <v>654</v>
      </c>
      <c r="U538" s="1008" t="s">
        <v>649</v>
      </c>
      <c r="V538" s="1008" t="s">
        <v>648</v>
      </c>
      <c r="W538" s="1008" t="s">
        <v>546</v>
      </c>
      <c r="X538" s="1008" t="s">
        <v>670</v>
      </c>
      <c r="Y538" s="1008" t="s">
        <v>670</v>
      </c>
      <c r="Z538" s="1008" t="s">
        <v>670</v>
      </c>
      <c r="AA538" s="1008"/>
      <c r="AB538" s="1008" t="s">
        <v>670</v>
      </c>
      <c r="AC538" s="1008"/>
      <c r="AD538" s="1008"/>
      <c r="AE538" s="1008"/>
      <c r="AF538" s="1008" t="s">
        <v>670</v>
      </c>
      <c r="AG538" s="1008"/>
      <c r="AH538" s="1008"/>
      <c r="AI538" s="1008"/>
    </row>
    <row r="539" spans="1:35">
      <c r="A539" s="1008">
        <v>26659</v>
      </c>
      <c r="B539" s="1008">
        <v>278</v>
      </c>
      <c r="C539" s="1008">
        <v>8</v>
      </c>
      <c r="D539" s="1009">
        <v>15399999</v>
      </c>
      <c r="E539" s="1009">
        <v>15220200</v>
      </c>
      <c r="F539" s="1007" t="s">
        <v>4388</v>
      </c>
      <c r="G539" s="1007">
        <v>8</v>
      </c>
      <c r="H539" s="1010">
        <v>99999999</v>
      </c>
      <c r="I539" s="1009">
        <v>5114100</v>
      </c>
      <c r="J539" s="1007" t="s">
        <v>4389</v>
      </c>
      <c r="O539" s="1007" t="s">
        <v>648</v>
      </c>
      <c r="P539" s="1007" t="s">
        <v>648</v>
      </c>
      <c r="S539" s="1008" t="s">
        <v>650</v>
      </c>
      <c r="T539" s="1008" t="s">
        <v>654</v>
      </c>
      <c r="U539" s="1008" t="s">
        <v>649</v>
      </c>
      <c r="V539" s="1008" t="s">
        <v>648</v>
      </c>
      <c r="W539" s="1008" t="s">
        <v>546</v>
      </c>
      <c r="X539" s="1008" t="s">
        <v>670</v>
      </c>
      <c r="Y539" s="1008" t="s">
        <v>670</v>
      </c>
      <c r="Z539" s="1008" t="s">
        <v>670</v>
      </c>
      <c r="AA539" s="1008"/>
      <c r="AB539" s="1008" t="s">
        <v>670</v>
      </c>
      <c r="AC539" s="1008"/>
      <c r="AD539" s="1008"/>
      <c r="AE539" s="1008"/>
      <c r="AF539" s="1008" t="s">
        <v>670</v>
      </c>
      <c r="AG539" s="1008"/>
      <c r="AH539" s="1008"/>
      <c r="AI539" s="1008"/>
    </row>
    <row r="540" spans="1:35">
      <c r="A540" s="1008">
        <v>26659</v>
      </c>
      <c r="B540" s="1008">
        <v>795</v>
      </c>
      <c r="C540" s="1008">
        <v>8</v>
      </c>
      <c r="D540" s="1009">
        <v>15399999</v>
      </c>
      <c r="E540" s="1009">
        <v>15220200</v>
      </c>
      <c r="F540" s="1007" t="s">
        <v>4388</v>
      </c>
      <c r="G540" s="1007">
        <v>8</v>
      </c>
      <c r="H540" s="1010">
        <v>99999999</v>
      </c>
      <c r="I540" s="1009">
        <v>15220200</v>
      </c>
      <c r="J540" s="1007" t="s">
        <v>4387</v>
      </c>
      <c r="O540" s="1007" t="s">
        <v>648</v>
      </c>
      <c r="P540" s="1007" t="s">
        <v>648</v>
      </c>
      <c r="S540" s="1008" t="s">
        <v>650</v>
      </c>
      <c r="T540" s="1008" t="s">
        <v>654</v>
      </c>
      <c r="U540" s="1008" t="s">
        <v>649</v>
      </c>
      <c r="V540" s="1008" t="s">
        <v>648</v>
      </c>
      <c r="W540" s="1008" t="s">
        <v>546</v>
      </c>
      <c r="X540" s="1008" t="s">
        <v>670</v>
      </c>
      <c r="Y540" s="1008" t="s">
        <v>670</v>
      </c>
      <c r="Z540" s="1008" t="s">
        <v>670</v>
      </c>
      <c r="AA540" s="1008"/>
      <c r="AB540" s="1008" t="s">
        <v>670</v>
      </c>
      <c r="AC540" s="1008"/>
      <c r="AD540" s="1008"/>
      <c r="AE540" s="1008"/>
      <c r="AF540" s="1008" t="s">
        <v>670</v>
      </c>
      <c r="AG540" s="1008"/>
      <c r="AH540" s="1008"/>
      <c r="AI540" s="1008"/>
    </row>
    <row r="541" spans="1:35">
      <c r="A541" s="1008">
        <v>27736</v>
      </c>
      <c r="B541" s="1008">
        <v>6556</v>
      </c>
      <c r="C541" s="1008">
        <v>8</v>
      </c>
      <c r="D541" s="1009">
        <v>15399999</v>
      </c>
      <c r="E541" s="1009">
        <v>15225100</v>
      </c>
      <c r="F541" s="1007" t="s">
        <v>4386</v>
      </c>
      <c r="G541" s="1007" t="s">
        <v>648</v>
      </c>
      <c r="H541" s="1010">
        <v>99999999</v>
      </c>
      <c r="I541" s="1009">
        <v>15225100</v>
      </c>
      <c r="J541" s="1007" t="s">
        <v>4385</v>
      </c>
      <c r="O541" s="1007" t="s">
        <v>648</v>
      </c>
      <c r="P541" s="1007" t="s">
        <v>648</v>
      </c>
      <c r="S541" s="1008" t="s">
        <v>650</v>
      </c>
      <c r="T541" s="1008" t="s">
        <v>654</v>
      </c>
      <c r="U541" s="1008" t="s">
        <v>649</v>
      </c>
      <c r="V541" s="1008" t="s">
        <v>648</v>
      </c>
      <c r="W541" s="1008" t="s">
        <v>546</v>
      </c>
      <c r="X541" s="1008" t="s">
        <v>670</v>
      </c>
      <c r="Y541" s="1008" t="s">
        <v>670</v>
      </c>
      <c r="Z541" s="1008" t="s">
        <v>670</v>
      </c>
      <c r="AA541" s="1008"/>
      <c r="AB541" s="1008"/>
      <c r="AC541" s="1008"/>
      <c r="AD541" s="1008"/>
      <c r="AE541" s="1008"/>
      <c r="AF541" s="1008" t="s">
        <v>670</v>
      </c>
      <c r="AG541" s="1008"/>
      <c r="AH541" s="1008"/>
      <c r="AI541" s="1008"/>
    </row>
    <row r="542" spans="1:35">
      <c r="A542" s="1008">
        <v>26660</v>
      </c>
      <c r="B542" s="1008">
        <v>106</v>
      </c>
      <c r="C542" s="1008">
        <v>8</v>
      </c>
      <c r="D542" s="1009">
        <v>15399999</v>
      </c>
      <c r="E542" s="1009">
        <v>15225200</v>
      </c>
      <c r="F542" s="1007" t="s">
        <v>4384</v>
      </c>
      <c r="G542" s="1007">
        <v>8</v>
      </c>
      <c r="H542" s="1010">
        <v>99999999</v>
      </c>
      <c r="I542" s="1009">
        <v>15225200</v>
      </c>
      <c r="J542" s="1007" t="s">
        <v>4383</v>
      </c>
      <c r="O542" s="1007" t="s">
        <v>648</v>
      </c>
      <c r="P542" s="1007" t="s">
        <v>648</v>
      </c>
      <c r="S542" s="1008" t="s">
        <v>650</v>
      </c>
      <c r="T542" s="1008" t="s">
        <v>654</v>
      </c>
      <c r="U542" s="1008" t="s">
        <v>649</v>
      </c>
      <c r="V542" s="1008" t="s">
        <v>648</v>
      </c>
      <c r="W542" s="1008" t="s">
        <v>546</v>
      </c>
      <c r="X542" s="1008" t="s">
        <v>670</v>
      </c>
      <c r="Y542" s="1008" t="s">
        <v>670</v>
      </c>
      <c r="Z542" s="1008" t="s">
        <v>670</v>
      </c>
      <c r="AA542" s="1008"/>
      <c r="AB542" s="1008" t="s">
        <v>670</v>
      </c>
      <c r="AC542" s="1008" t="s">
        <v>670</v>
      </c>
      <c r="AD542" s="1008"/>
      <c r="AE542" s="1008"/>
      <c r="AF542" s="1008" t="s">
        <v>670</v>
      </c>
      <c r="AG542" s="1008"/>
      <c r="AH542" s="1008"/>
      <c r="AI542" s="1008"/>
    </row>
    <row r="543" spans="1:35">
      <c r="A543" s="1008">
        <v>27765</v>
      </c>
      <c r="C543" s="1008">
        <v>9</v>
      </c>
      <c r="D543" s="1009">
        <v>15227999</v>
      </c>
      <c r="E543" s="1009">
        <v>15227000</v>
      </c>
      <c r="F543" s="1007" t="s">
        <v>4382</v>
      </c>
      <c r="O543" s="1007" t="s">
        <v>648</v>
      </c>
      <c r="P543" s="1007" t="s">
        <v>648</v>
      </c>
      <c r="S543" s="1008" t="s">
        <v>650</v>
      </c>
      <c r="T543" s="1008" t="s">
        <v>675</v>
      </c>
      <c r="U543" s="1008" t="s">
        <v>649</v>
      </c>
      <c r="V543" s="1008" t="s">
        <v>648</v>
      </c>
      <c r="W543" s="1008" t="s">
        <v>546</v>
      </c>
      <c r="X543" s="1008"/>
      <c r="Y543" s="1008"/>
      <c r="Z543" s="1008"/>
      <c r="AA543" s="1008"/>
      <c r="AB543" s="1008"/>
      <c r="AC543" s="1008"/>
      <c r="AD543" s="1008"/>
      <c r="AE543" s="1008"/>
      <c r="AF543" s="1008"/>
      <c r="AG543" s="1008"/>
      <c r="AH543" s="1008"/>
      <c r="AI543" s="1008"/>
    </row>
    <row r="544" spans="1:35">
      <c r="A544" s="1008">
        <v>27767</v>
      </c>
      <c r="C544" s="1008">
        <v>9</v>
      </c>
      <c r="D544" s="1009">
        <v>15227299</v>
      </c>
      <c r="E544" s="1009">
        <v>15227210</v>
      </c>
      <c r="F544" s="1007" t="s">
        <v>4381</v>
      </c>
      <c r="O544" s="1007" t="s">
        <v>648</v>
      </c>
      <c r="P544" s="1007" t="s">
        <v>648</v>
      </c>
      <c r="S544" s="1008" t="s">
        <v>650</v>
      </c>
      <c r="T544" s="1008" t="s">
        <v>675</v>
      </c>
      <c r="U544" s="1008" t="s">
        <v>649</v>
      </c>
      <c r="V544" s="1008" t="s">
        <v>648</v>
      </c>
      <c r="W544" s="1008" t="s">
        <v>546</v>
      </c>
      <c r="X544" s="1008"/>
      <c r="Y544" s="1008"/>
      <c r="Z544" s="1008"/>
      <c r="AA544" s="1008"/>
      <c r="AB544" s="1008"/>
      <c r="AC544" s="1008"/>
      <c r="AD544" s="1008"/>
      <c r="AE544" s="1008"/>
      <c r="AF544" s="1008"/>
      <c r="AG544" s="1008"/>
      <c r="AH544" s="1008"/>
      <c r="AI544" s="1008"/>
    </row>
    <row r="545" spans="1:35">
      <c r="A545" s="1008">
        <v>27768</v>
      </c>
      <c r="B545" s="1008">
        <v>6574</v>
      </c>
      <c r="C545" s="1008">
        <v>10</v>
      </c>
      <c r="D545" s="1009">
        <v>15235999</v>
      </c>
      <c r="E545" s="1009">
        <v>15227212</v>
      </c>
      <c r="F545" s="1007" t="s">
        <v>4380</v>
      </c>
      <c r="G545" s="1007">
        <v>8</v>
      </c>
      <c r="H545" s="1010">
        <v>99999999</v>
      </c>
      <c r="I545" s="1009">
        <v>15227212</v>
      </c>
      <c r="J545" s="1007" t="s">
        <v>4380</v>
      </c>
      <c r="O545" s="1007" t="s">
        <v>648</v>
      </c>
      <c r="P545" s="1007" t="s">
        <v>648</v>
      </c>
      <c r="S545" s="1008" t="s">
        <v>650</v>
      </c>
      <c r="T545" s="1008" t="s">
        <v>654</v>
      </c>
      <c r="U545" s="1008" t="s">
        <v>649</v>
      </c>
      <c r="V545" s="1008" t="s">
        <v>648</v>
      </c>
      <c r="W545" s="1008" t="s">
        <v>546</v>
      </c>
      <c r="X545" s="1008" t="s">
        <v>670</v>
      </c>
      <c r="Y545" s="1008" t="s">
        <v>670</v>
      </c>
      <c r="Z545" s="1008"/>
      <c r="AA545" s="1008"/>
      <c r="AB545" s="1008" t="s">
        <v>670</v>
      </c>
      <c r="AC545" s="1008"/>
      <c r="AD545" s="1008"/>
      <c r="AE545" s="1008"/>
      <c r="AF545" s="1008" t="s">
        <v>670</v>
      </c>
      <c r="AG545" s="1008"/>
      <c r="AH545" s="1008"/>
      <c r="AI545" s="1008"/>
    </row>
    <row r="546" spans="1:35">
      <c r="A546" s="1008">
        <v>27770</v>
      </c>
      <c r="B546" s="1008">
        <v>6575</v>
      </c>
      <c r="C546" s="1008">
        <v>10</v>
      </c>
      <c r="D546" s="1009">
        <v>15235999</v>
      </c>
      <c r="E546" s="1009">
        <v>15227214</v>
      </c>
      <c r="F546" s="1007" t="s">
        <v>4379</v>
      </c>
      <c r="G546" s="1007">
        <v>8</v>
      </c>
      <c r="H546" s="1010">
        <v>99999999</v>
      </c>
      <c r="I546" s="1009">
        <v>15227214</v>
      </c>
      <c r="J546" s="1007" t="s">
        <v>4379</v>
      </c>
      <c r="O546" s="1007" t="s">
        <v>648</v>
      </c>
      <c r="P546" s="1007" t="s">
        <v>648</v>
      </c>
      <c r="S546" s="1008" t="s">
        <v>650</v>
      </c>
      <c r="T546" s="1008" t="s">
        <v>654</v>
      </c>
      <c r="U546" s="1008" t="s">
        <v>649</v>
      </c>
      <c r="V546" s="1008" t="s">
        <v>648</v>
      </c>
      <c r="W546" s="1008" t="s">
        <v>546</v>
      </c>
      <c r="X546" s="1008" t="s">
        <v>670</v>
      </c>
      <c r="Y546" s="1008" t="s">
        <v>670</v>
      </c>
      <c r="Z546" s="1008"/>
      <c r="AA546" s="1008"/>
      <c r="AB546" s="1008"/>
      <c r="AC546" s="1008"/>
      <c r="AD546" s="1008"/>
      <c r="AE546" s="1008"/>
      <c r="AF546" s="1008" t="s">
        <v>670</v>
      </c>
      <c r="AG546" s="1008"/>
      <c r="AH546" s="1008"/>
      <c r="AI546" s="1008"/>
    </row>
    <row r="547" spans="1:35">
      <c r="A547" s="1008">
        <v>27771</v>
      </c>
      <c r="B547" s="1008">
        <v>6576</v>
      </c>
      <c r="C547" s="1008">
        <v>10</v>
      </c>
      <c r="D547" s="1009">
        <v>15235999</v>
      </c>
      <c r="E547" s="1009">
        <v>15227216</v>
      </c>
      <c r="F547" s="1007" t="s">
        <v>4378</v>
      </c>
      <c r="G547" s="1007">
        <v>8</v>
      </c>
      <c r="H547" s="1010">
        <v>99999999</v>
      </c>
      <c r="I547" s="1009">
        <v>15227216</v>
      </c>
      <c r="J547" s="1007" t="s">
        <v>4378</v>
      </c>
      <c r="O547" s="1007" t="s">
        <v>648</v>
      </c>
      <c r="P547" s="1007" t="s">
        <v>648</v>
      </c>
      <c r="S547" s="1008" t="s">
        <v>650</v>
      </c>
      <c r="T547" s="1008" t="s">
        <v>654</v>
      </c>
      <c r="U547" s="1008" t="s">
        <v>649</v>
      </c>
      <c r="V547" s="1008" t="s">
        <v>648</v>
      </c>
      <c r="W547" s="1008" t="s">
        <v>546</v>
      </c>
      <c r="X547" s="1008" t="s">
        <v>670</v>
      </c>
      <c r="Y547" s="1008" t="s">
        <v>670</v>
      </c>
      <c r="Z547" s="1008"/>
      <c r="AA547" s="1008"/>
      <c r="AB547" s="1008"/>
      <c r="AC547" s="1008"/>
      <c r="AD547" s="1008"/>
      <c r="AE547" s="1008"/>
      <c r="AF547" s="1008" t="s">
        <v>670</v>
      </c>
      <c r="AG547" s="1008"/>
      <c r="AH547" s="1008"/>
      <c r="AI547" s="1008"/>
    </row>
    <row r="548" spans="1:35">
      <c r="A548" s="1008">
        <v>27772</v>
      </c>
      <c r="B548" s="1008">
        <v>6577</v>
      </c>
      <c r="C548" s="1008">
        <v>10</v>
      </c>
      <c r="D548" s="1009">
        <v>15235999</v>
      </c>
      <c r="E548" s="1009">
        <v>15227218</v>
      </c>
      <c r="F548" s="1007" t="s">
        <v>4377</v>
      </c>
      <c r="G548" s="1007">
        <v>8</v>
      </c>
      <c r="H548" s="1010">
        <v>99999999</v>
      </c>
      <c r="I548" s="1009">
        <v>15227218</v>
      </c>
      <c r="J548" s="1007" t="s">
        <v>4377</v>
      </c>
      <c r="O548" s="1007" t="s">
        <v>648</v>
      </c>
      <c r="P548" s="1007" t="s">
        <v>648</v>
      </c>
      <c r="S548" s="1008" t="s">
        <v>650</v>
      </c>
      <c r="T548" s="1008" t="s">
        <v>654</v>
      </c>
      <c r="U548" s="1008" t="s">
        <v>649</v>
      </c>
      <c r="V548" s="1008" t="s">
        <v>648</v>
      </c>
      <c r="W548" s="1008" t="s">
        <v>546</v>
      </c>
      <c r="X548" s="1008" t="s">
        <v>670</v>
      </c>
      <c r="Y548" s="1008" t="s">
        <v>670</v>
      </c>
      <c r="Z548" s="1008"/>
      <c r="AA548" s="1008"/>
      <c r="AB548" s="1008"/>
      <c r="AC548" s="1008"/>
      <c r="AD548" s="1008"/>
      <c r="AE548" s="1008"/>
      <c r="AF548" s="1008" t="s">
        <v>670</v>
      </c>
      <c r="AG548" s="1008"/>
      <c r="AH548" s="1008"/>
      <c r="AI548" s="1008"/>
    </row>
    <row r="549" spans="1:35">
      <c r="A549" s="1008">
        <v>27773</v>
      </c>
      <c r="B549" s="1008">
        <v>6578</v>
      </c>
      <c r="C549" s="1008">
        <v>10</v>
      </c>
      <c r="D549" s="1009">
        <v>15235999</v>
      </c>
      <c r="E549" s="1009">
        <v>15227220</v>
      </c>
      <c r="F549" s="1007" t="s">
        <v>4376</v>
      </c>
      <c r="G549" s="1007">
        <v>8</v>
      </c>
      <c r="H549" s="1010">
        <v>99999999</v>
      </c>
      <c r="I549" s="1009">
        <v>15227220</v>
      </c>
      <c r="J549" s="1007" t="s">
        <v>4376</v>
      </c>
      <c r="O549" s="1007" t="s">
        <v>648</v>
      </c>
      <c r="P549" s="1007" t="s">
        <v>648</v>
      </c>
      <c r="S549" s="1008" t="s">
        <v>650</v>
      </c>
      <c r="T549" s="1008" t="s">
        <v>654</v>
      </c>
      <c r="U549" s="1008" t="s">
        <v>649</v>
      </c>
      <c r="V549" s="1008" t="s">
        <v>648</v>
      </c>
      <c r="W549" s="1008" t="s">
        <v>546</v>
      </c>
      <c r="X549" s="1008" t="s">
        <v>670</v>
      </c>
      <c r="Y549" s="1008" t="s">
        <v>670</v>
      </c>
      <c r="Z549" s="1008"/>
      <c r="AA549" s="1008"/>
      <c r="AB549" s="1008"/>
      <c r="AC549" s="1008"/>
      <c r="AD549" s="1008"/>
      <c r="AE549" s="1008"/>
      <c r="AF549" s="1008" t="s">
        <v>670</v>
      </c>
      <c r="AG549" s="1008"/>
      <c r="AH549" s="1008"/>
      <c r="AI549" s="1008"/>
    </row>
    <row r="550" spans="1:35">
      <c r="A550" s="1008">
        <v>27774</v>
      </c>
      <c r="B550" s="1008">
        <v>6579</v>
      </c>
      <c r="C550" s="1008">
        <v>10</v>
      </c>
      <c r="D550" s="1009">
        <v>15235999</v>
      </c>
      <c r="E550" s="1009">
        <v>15227222</v>
      </c>
      <c r="F550" s="1007" t="s">
        <v>4375</v>
      </c>
      <c r="G550" s="1007">
        <v>8</v>
      </c>
      <c r="H550" s="1010">
        <v>99999999</v>
      </c>
      <c r="I550" s="1009">
        <v>15227222</v>
      </c>
      <c r="J550" s="1007" t="s">
        <v>4375</v>
      </c>
      <c r="O550" s="1007" t="s">
        <v>648</v>
      </c>
      <c r="P550" s="1007" t="s">
        <v>648</v>
      </c>
      <c r="S550" s="1008" t="s">
        <v>650</v>
      </c>
      <c r="T550" s="1008" t="s">
        <v>654</v>
      </c>
      <c r="U550" s="1008" t="s">
        <v>649</v>
      </c>
      <c r="V550" s="1008" t="s">
        <v>648</v>
      </c>
      <c r="W550" s="1008" t="s">
        <v>546</v>
      </c>
      <c r="X550" s="1008" t="s">
        <v>670</v>
      </c>
      <c r="Y550" s="1008" t="s">
        <v>670</v>
      </c>
      <c r="Z550" s="1008"/>
      <c r="AA550" s="1008"/>
      <c r="AB550" s="1008"/>
      <c r="AC550" s="1008"/>
      <c r="AD550" s="1008"/>
      <c r="AE550" s="1008"/>
      <c r="AF550" s="1008" t="s">
        <v>670</v>
      </c>
      <c r="AG550" s="1008"/>
      <c r="AH550" s="1008"/>
      <c r="AI550" s="1008"/>
    </row>
    <row r="551" spans="1:35">
      <c r="A551" s="1008">
        <v>27775</v>
      </c>
      <c r="B551" s="1008">
        <v>6580</v>
      </c>
      <c r="C551" s="1008">
        <v>10</v>
      </c>
      <c r="D551" s="1009">
        <v>15235999</v>
      </c>
      <c r="E551" s="1009">
        <v>15227224</v>
      </c>
      <c r="F551" s="1007" t="s">
        <v>4374</v>
      </c>
      <c r="G551" s="1007">
        <v>8</v>
      </c>
      <c r="H551" s="1010">
        <v>99999999</v>
      </c>
      <c r="I551" s="1009">
        <v>15227224</v>
      </c>
      <c r="J551" s="1007" t="s">
        <v>4374</v>
      </c>
      <c r="O551" s="1007" t="s">
        <v>648</v>
      </c>
      <c r="P551" s="1007" t="s">
        <v>648</v>
      </c>
      <c r="S551" s="1008" t="s">
        <v>650</v>
      </c>
      <c r="T551" s="1008" t="s">
        <v>654</v>
      </c>
      <c r="U551" s="1008" t="s">
        <v>649</v>
      </c>
      <c r="V551" s="1008" t="s">
        <v>648</v>
      </c>
      <c r="W551" s="1008" t="s">
        <v>546</v>
      </c>
      <c r="X551" s="1008" t="s">
        <v>670</v>
      </c>
      <c r="Y551" s="1008" t="s">
        <v>670</v>
      </c>
      <c r="Z551" s="1008"/>
      <c r="AA551" s="1008"/>
      <c r="AB551" s="1008"/>
      <c r="AC551" s="1008"/>
      <c r="AD551" s="1008"/>
      <c r="AE551" s="1008"/>
      <c r="AF551" s="1008" t="s">
        <v>670</v>
      </c>
      <c r="AG551" s="1008"/>
      <c r="AH551" s="1008"/>
      <c r="AI551" s="1008"/>
    </row>
    <row r="552" spans="1:35">
      <c r="A552" s="1008">
        <v>27776</v>
      </c>
      <c r="B552" s="1008">
        <v>6581</v>
      </c>
      <c r="C552" s="1008">
        <v>10</v>
      </c>
      <c r="D552" s="1009">
        <v>15235999</v>
      </c>
      <c r="E552" s="1009">
        <v>15227226</v>
      </c>
      <c r="F552" s="1007" t="s">
        <v>4373</v>
      </c>
      <c r="G552" s="1007">
        <v>8</v>
      </c>
      <c r="H552" s="1010">
        <v>99999999</v>
      </c>
      <c r="I552" s="1009">
        <v>15227226</v>
      </c>
      <c r="J552" s="1007" t="s">
        <v>4373</v>
      </c>
      <c r="O552" s="1007" t="s">
        <v>648</v>
      </c>
      <c r="P552" s="1007" t="s">
        <v>648</v>
      </c>
      <c r="S552" s="1008" t="s">
        <v>650</v>
      </c>
      <c r="T552" s="1008" t="s">
        <v>654</v>
      </c>
      <c r="U552" s="1008" t="s">
        <v>649</v>
      </c>
      <c r="V552" s="1008" t="s">
        <v>648</v>
      </c>
      <c r="W552" s="1008" t="s">
        <v>546</v>
      </c>
      <c r="X552" s="1008" t="s">
        <v>670</v>
      </c>
      <c r="Y552" s="1008" t="s">
        <v>670</v>
      </c>
      <c r="Z552" s="1008"/>
      <c r="AA552" s="1008"/>
      <c r="AB552" s="1008"/>
      <c r="AC552" s="1008"/>
      <c r="AD552" s="1008"/>
      <c r="AE552" s="1008"/>
      <c r="AF552" s="1008" t="s">
        <v>670</v>
      </c>
      <c r="AG552" s="1008"/>
      <c r="AH552" s="1008"/>
      <c r="AI552" s="1008"/>
    </row>
    <row r="553" spans="1:35">
      <c r="A553" s="1008">
        <v>27777</v>
      </c>
      <c r="B553" s="1008">
        <v>6582</v>
      </c>
      <c r="C553" s="1008">
        <v>10</v>
      </c>
      <c r="D553" s="1009">
        <v>15235999</v>
      </c>
      <c r="E553" s="1009">
        <v>15227228</v>
      </c>
      <c r="F553" s="1007" t="s">
        <v>4372</v>
      </c>
      <c r="G553" s="1007">
        <v>8</v>
      </c>
      <c r="H553" s="1010">
        <v>99999999</v>
      </c>
      <c r="I553" s="1009">
        <v>15227228</v>
      </c>
      <c r="J553" s="1007" t="s">
        <v>4372</v>
      </c>
      <c r="O553" s="1007" t="s">
        <v>648</v>
      </c>
      <c r="P553" s="1007" t="s">
        <v>648</v>
      </c>
      <c r="S553" s="1008" t="s">
        <v>650</v>
      </c>
      <c r="T553" s="1008" t="s">
        <v>654</v>
      </c>
      <c r="U553" s="1008" t="s">
        <v>649</v>
      </c>
      <c r="V553" s="1008" t="s">
        <v>648</v>
      </c>
      <c r="W553" s="1008" t="s">
        <v>546</v>
      </c>
      <c r="X553" s="1008" t="s">
        <v>670</v>
      </c>
      <c r="Y553" s="1008" t="s">
        <v>670</v>
      </c>
      <c r="Z553" s="1008"/>
      <c r="AA553" s="1008"/>
      <c r="AB553" s="1008"/>
      <c r="AC553" s="1008"/>
      <c r="AD553" s="1008"/>
      <c r="AE553" s="1008"/>
      <c r="AF553" s="1008" t="s">
        <v>670</v>
      </c>
      <c r="AG553" s="1008"/>
      <c r="AH553" s="1008"/>
      <c r="AI553" s="1008"/>
    </row>
    <row r="554" spans="1:35">
      <c r="A554" s="1008">
        <v>27778</v>
      </c>
      <c r="B554" s="1008">
        <v>6583</v>
      </c>
      <c r="C554" s="1008">
        <v>10</v>
      </c>
      <c r="D554" s="1009">
        <v>15235999</v>
      </c>
      <c r="E554" s="1009">
        <v>15227230</v>
      </c>
      <c r="F554" s="1007" t="s">
        <v>4371</v>
      </c>
      <c r="G554" s="1007">
        <v>8</v>
      </c>
      <c r="H554" s="1010">
        <v>99999999</v>
      </c>
      <c r="I554" s="1009">
        <v>15227230</v>
      </c>
      <c r="J554" s="1007" t="s">
        <v>4371</v>
      </c>
      <c r="O554" s="1007" t="s">
        <v>648</v>
      </c>
      <c r="P554" s="1007" t="s">
        <v>648</v>
      </c>
      <c r="S554" s="1008" t="s">
        <v>650</v>
      </c>
      <c r="T554" s="1008" t="s">
        <v>654</v>
      </c>
      <c r="U554" s="1008" t="s">
        <v>649</v>
      </c>
      <c r="V554" s="1008" t="s">
        <v>648</v>
      </c>
      <c r="W554" s="1008" t="s">
        <v>546</v>
      </c>
      <c r="X554" s="1008" t="s">
        <v>670</v>
      </c>
      <c r="Y554" s="1008" t="s">
        <v>670</v>
      </c>
      <c r="Z554" s="1008"/>
      <c r="AA554" s="1008"/>
      <c r="AB554" s="1008"/>
      <c r="AC554" s="1008"/>
      <c r="AD554" s="1008"/>
      <c r="AE554" s="1008"/>
      <c r="AF554" s="1008" t="s">
        <v>670</v>
      </c>
      <c r="AG554" s="1008"/>
      <c r="AH554" s="1008"/>
      <c r="AI554" s="1008"/>
    </row>
    <row r="555" spans="1:35">
      <c r="A555" s="1008">
        <v>27779</v>
      </c>
      <c r="B555" s="1008">
        <v>6584</v>
      </c>
      <c r="C555" s="1008">
        <v>10</v>
      </c>
      <c r="D555" s="1009">
        <v>15235999</v>
      </c>
      <c r="E555" s="1009">
        <v>15227232</v>
      </c>
      <c r="F555" s="1007" t="s">
        <v>4370</v>
      </c>
      <c r="G555" s="1007">
        <v>8</v>
      </c>
      <c r="H555" s="1010">
        <v>99999999</v>
      </c>
      <c r="I555" s="1009">
        <v>15227232</v>
      </c>
      <c r="J555" s="1007" t="s">
        <v>4370</v>
      </c>
      <c r="O555" s="1007" t="s">
        <v>648</v>
      </c>
      <c r="P555" s="1007" t="s">
        <v>648</v>
      </c>
      <c r="S555" s="1008" t="s">
        <v>650</v>
      </c>
      <c r="T555" s="1008" t="s">
        <v>654</v>
      </c>
      <c r="U555" s="1008" t="s">
        <v>649</v>
      </c>
      <c r="V555" s="1008" t="s">
        <v>648</v>
      </c>
      <c r="W555" s="1008" t="s">
        <v>546</v>
      </c>
      <c r="X555" s="1008" t="s">
        <v>670</v>
      </c>
      <c r="Y555" s="1008" t="s">
        <v>670</v>
      </c>
      <c r="Z555" s="1008"/>
      <c r="AA555" s="1008"/>
      <c r="AB555" s="1008"/>
      <c r="AC555" s="1008"/>
      <c r="AD555" s="1008"/>
      <c r="AE555" s="1008"/>
      <c r="AF555" s="1008" t="s">
        <v>670</v>
      </c>
      <c r="AG555" s="1008"/>
      <c r="AH555" s="1008"/>
      <c r="AI555" s="1008"/>
    </row>
    <row r="556" spans="1:35">
      <c r="A556" s="1008">
        <v>27780</v>
      </c>
      <c r="B556" s="1008">
        <v>6585</v>
      </c>
      <c r="C556" s="1008">
        <v>10</v>
      </c>
      <c r="D556" s="1009">
        <v>15235999</v>
      </c>
      <c r="E556" s="1009">
        <v>15227234</v>
      </c>
      <c r="F556" s="1007" t="s">
        <v>4369</v>
      </c>
      <c r="G556" s="1007">
        <v>8</v>
      </c>
      <c r="H556" s="1010">
        <v>99999999</v>
      </c>
      <c r="I556" s="1009">
        <v>15227234</v>
      </c>
      <c r="J556" s="1007" t="s">
        <v>4369</v>
      </c>
      <c r="O556" s="1007" t="s">
        <v>648</v>
      </c>
      <c r="P556" s="1007" t="s">
        <v>648</v>
      </c>
      <c r="S556" s="1008" t="s">
        <v>650</v>
      </c>
      <c r="T556" s="1008" t="s">
        <v>654</v>
      </c>
      <c r="U556" s="1008" t="s">
        <v>649</v>
      </c>
      <c r="V556" s="1008" t="s">
        <v>648</v>
      </c>
      <c r="W556" s="1008" t="s">
        <v>546</v>
      </c>
      <c r="X556" s="1008" t="s">
        <v>670</v>
      </c>
      <c r="Y556" s="1008" t="s">
        <v>670</v>
      </c>
      <c r="Z556" s="1008"/>
      <c r="AA556" s="1008"/>
      <c r="AB556" s="1008"/>
      <c r="AC556" s="1008"/>
      <c r="AD556" s="1008"/>
      <c r="AE556" s="1008"/>
      <c r="AF556" s="1008" t="s">
        <v>670</v>
      </c>
      <c r="AG556" s="1008"/>
      <c r="AH556" s="1008"/>
      <c r="AI556" s="1008"/>
    </row>
    <row r="557" spans="1:35">
      <c r="A557" s="1008">
        <v>27769</v>
      </c>
      <c r="C557" s="1008">
        <v>9</v>
      </c>
      <c r="D557" s="1009">
        <v>15227999</v>
      </c>
      <c r="E557" s="1009">
        <v>15227299</v>
      </c>
      <c r="F557" s="1007" t="s">
        <v>4368</v>
      </c>
      <c r="O557" s="1007" t="s">
        <v>648</v>
      </c>
      <c r="P557" s="1007" t="s">
        <v>648</v>
      </c>
      <c r="S557" s="1008" t="s">
        <v>650</v>
      </c>
      <c r="T557" s="1008" t="s">
        <v>21</v>
      </c>
      <c r="U557" s="1008" t="s">
        <v>649</v>
      </c>
      <c r="V557" s="1008" t="s">
        <v>648</v>
      </c>
      <c r="W557" s="1008" t="s">
        <v>546</v>
      </c>
      <c r="X557" s="1008"/>
      <c r="Y557" s="1008"/>
      <c r="Z557" s="1008"/>
      <c r="AA557" s="1008"/>
      <c r="AB557" s="1008"/>
      <c r="AC557" s="1008"/>
      <c r="AD557" s="1008"/>
      <c r="AE557" s="1008"/>
      <c r="AF557" s="1008"/>
      <c r="AG557" s="1008"/>
      <c r="AH557" s="1008"/>
      <c r="AI557" s="1008"/>
    </row>
    <row r="558" spans="1:35">
      <c r="A558" s="1008">
        <v>27766</v>
      </c>
      <c r="C558" s="1008">
        <v>9</v>
      </c>
      <c r="D558" s="1009">
        <v>15230999</v>
      </c>
      <c r="E558" s="1009">
        <v>15227999</v>
      </c>
      <c r="F558" s="1007" t="s">
        <v>4367</v>
      </c>
      <c r="O558" s="1007" t="s">
        <v>648</v>
      </c>
      <c r="P558" s="1007" t="s">
        <v>648</v>
      </c>
      <c r="S558" s="1008" t="s">
        <v>650</v>
      </c>
      <c r="T558" s="1008" t="s">
        <v>21</v>
      </c>
      <c r="U558" s="1008" t="s">
        <v>649</v>
      </c>
      <c r="V558" s="1008" t="s">
        <v>648</v>
      </c>
      <c r="W558" s="1008" t="s">
        <v>546</v>
      </c>
      <c r="X558" s="1008"/>
      <c r="Y558" s="1008"/>
      <c r="Z558" s="1008"/>
      <c r="AA558" s="1008"/>
      <c r="AB558" s="1008"/>
      <c r="AC558" s="1008"/>
      <c r="AD558" s="1008"/>
      <c r="AE558" s="1008"/>
      <c r="AF558" s="1008"/>
      <c r="AG558" s="1008"/>
      <c r="AH558" s="1008"/>
      <c r="AI558" s="1008"/>
    </row>
    <row r="559" spans="1:35">
      <c r="A559" s="1008">
        <v>26744</v>
      </c>
      <c r="C559" s="1008">
        <v>9</v>
      </c>
      <c r="D559" s="1009">
        <v>15230999</v>
      </c>
      <c r="E559" s="1009">
        <v>15230000</v>
      </c>
      <c r="F559" s="1007" t="s">
        <v>4366</v>
      </c>
      <c r="O559" s="1007" t="s">
        <v>648</v>
      </c>
      <c r="P559" s="1007" t="s">
        <v>648</v>
      </c>
      <c r="S559" s="1008" t="s">
        <v>650</v>
      </c>
      <c r="T559" s="1008" t="s">
        <v>675</v>
      </c>
      <c r="U559" s="1008" t="s">
        <v>649</v>
      </c>
      <c r="V559" s="1008" t="s">
        <v>648</v>
      </c>
      <c r="W559" s="1008" t="s">
        <v>546</v>
      </c>
      <c r="X559" s="1008"/>
      <c r="Y559" s="1008"/>
      <c r="Z559" s="1008"/>
      <c r="AA559" s="1008"/>
      <c r="AB559" s="1008"/>
      <c r="AC559" s="1008"/>
      <c r="AD559" s="1008"/>
      <c r="AE559" s="1008"/>
      <c r="AF559" s="1008"/>
      <c r="AG559" s="1008"/>
      <c r="AH559" s="1008"/>
      <c r="AI559" s="1008"/>
    </row>
    <row r="560" spans="1:35">
      <c r="A560" s="1008">
        <v>27131</v>
      </c>
      <c r="C560" s="1008">
        <v>9</v>
      </c>
      <c r="D560" s="1009">
        <v>15230039</v>
      </c>
      <c r="E560" s="1009">
        <v>15230020</v>
      </c>
      <c r="F560" s="1007" t="s">
        <v>4365</v>
      </c>
      <c r="O560" s="1007" t="s">
        <v>648</v>
      </c>
      <c r="P560" s="1007" t="s">
        <v>648</v>
      </c>
      <c r="S560" s="1008" t="s">
        <v>650</v>
      </c>
      <c r="T560" s="1008" t="s">
        <v>675</v>
      </c>
      <c r="U560" s="1008" t="s">
        <v>649</v>
      </c>
      <c r="V560" s="1008" t="s">
        <v>648</v>
      </c>
      <c r="W560" s="1008" t="s">
        <v>546</v>
      </c>
      <c r="X560" s="1008"/>
      <c r="Y560" s="1008"/>
      <c r="Z560" s="1008"/>
      <c r="AA560" s="1008"/>
      <c r="AB560" s="1008"/>
      <c r="AC560" s="1008"/>
      <c r="AD560" s="1008"/>
      <c r="AE560" s="1008"/>
      <c r="AF560" s="1008"/>
      <c r="AG560" s="1008"/>
      <c r="AH560" s="1008"/>
      <c r="AI560" s="1008"/>
    </row>
    <row r="561" spans="1:35">
      <c r="A561" s="1008">
        <v>26661</v>
      </c>
      <c r="B561" s="1008">
        <v>109</v>
      </c>
      <c r="C561" s="1008">
        <v>10</v>
      </c>
      <c r="D561" s="1009">
        <v>15230039</v>
      </c>
      <c r="E561" s="1009">
        <v>15230021</v>
      </c>
      <c r="F561" s="1007" t="s">
        <v>4364</v>
      </c>
      <c r="G561" s="1007">
        <v>8</v>
      </c>
      <c r="H561" s="1010">
        <v>99999999</v>
      </c>
      <c r="I561" s="1009">
        <v>15230021</v>
      </c>
      <c r="J561" s="1007" t="s">
        <v>4364</v>
      </c>
      <c r="O561" s="1007" t="s">
        <v>648</v>
      </c>
      <c r="P561" s="1007" t="s">
        <v>648</v>
      </c>
      <c r="S561" s="1008" t="s">
        <v>650</v>
      </c>
      <c r="T561" s="1008" t="s">
        <v>654</v>
      </c>
      <c r="U561" s="1008" t="s">
        <v>649</v>
      </c>
      <c r="V561" s="1008" t="s">
        <v>648</v>
      </c>
      <c r="W561" s="1008" t="s">
        <v>546</v>
      </c>
      <c r="X561" s="1008" t="s">
        <v>670</v>
      </c>
      <c r="Y561" s="1008" t="s">
        <v>670</v>
      </c>
      <c r="Z561" s="1008" t="s">
        <v>670</v>
      </c>
      <c r="AA561" s="1008"/>
      <c r="AB561" s="1008" t="s">
        <v>670</v>
      </c>
      <c r="AC561" s="1008"/>
      <c r="AD561" s="1008"/>
      <c r="AE561" s="1008"/>
      <c r="AF561" s="1008" t="s">
        <v>670</v>
      </c>
      <c r="AG561" s="1008"/>
      <c r="AH561" s="1008"/>
      <c r="AI561" s="1008"/>
    </row>
    <row r="562" spans="1:35">
      <c r="A562" s="1008">
        <v>27132</v>
      </c>
      <c r="B562" s="1008">
        <v>6100</v>
      </c>
      <c r="C562" s="1008">
        <v>10</v>
      </c>
      <c r="D562" s="1009">
        <v>15230039</v>
      </c>
      <c r="E562" s="1009">
        <v>15230022</v>
      </c>
      <c r="F562" s="1007" t="s">
        <v>4363</v>
      </c>
      <c r="G562" s="1007" t="s">
        <v>648</v>
      </c>
      <c r="H562" s="1010">
        <v>99999999</v>
      </c>
      <c r="I562" s="1009">
        <v>15230022</v>
      </c>
      <c r="J562" s="1007" t="s">
        <v>4363</v>
      </c>
      <c r="O562" s="1007" t="s">
        <v>648</v>
      </c>
      <c r="P562" s="1007" t="s">
        <v>648</v>
      </c>
      <c r="S562" s="1008" t="s">
        <v>650</v>
      </c>
      <c r="T562" s="1008" t="s">
        <v>654</v>
      </c>
      <c r="U562" s="1008" t="s">
        <v>649</v>
      </c>
      <c r="V562" s="1008" t="s">
        <v>648</v>
      </c>
      <c r="W562" s="1008" t="s">
        <v>546</v>
      </c>
      <c r="X562" s="1008" t="s">
        <v>670</v>
      </c>
      <c r="Y562" s="1008" t="s">
        <v>670</v>
      </c>
      <c r="Z562" s="1008" t="s">
        <v>670</v>
      </c>
      <c r="AA562" s="1008"/>
      <c r="AB562" s="1008" t="s">
        <v>670</v>
      </c>
      <c r="AC562" s="1008"/>
      <c r="AD562" s="1008"/>
      <c r="AE562" s="1008"/>
      <c r="AF562" s="1008" t="s">
        <v>670</v>
      </c>
      <c r="AG562" s="1008"/>
      <c r="AH562" s="1008"/>
      <c r="AI562" s="1008"/>
    </row>
    <row r="563" spans="1:35">
      <c r="A563" s="1008">
        <v>27133</v>
      </c>
      <c r="B563" s="1008">
        <v>6101</v>
      </c>
      <c r="C563" s="1008">
        <v>10</v>
      </c>
      <c r="D563" s="1009">
        <v>15230039</v>
      </c>
      <c r="E563" s="1009">
        <v>15230023</v>
      </c>
      <c r="F563" s="1007" t="s">
        <v>4362</v>
      </c>
      <c r="G563" s="1007" t="s">
        <v>648</v>
      </c>
      <c r="H563" s="1010">
        <v>99999999</v>
      </c>
      <c r="I563" s="1009">
        <v>15230023</v>
      </c>
      <c r="J563" s="1007" t="s">
        <v>4362</v>
      </c>
      <c r="O563" s="1007" t="s">
        <v>648</v>
      </c>
      <c r="P563" s="1007" t="s">
        <v>648</v>
      </c>
      <c r="S563" s="1008" t="s">
        <v>650</v>
      </c>
      <c r="T563" s="1008" t="s">
        <v>654</v>
      </c>
      <c r="U563" s="1008" t="s">
        <v>649</v>
      </c>
      <c r="V563" s="1008" t="s">
        <v>648</v>
      </c>
      <c r="W563" s="1008" t="s">
        <v>546</v>
      </c>
      <c r="X563" s="1008" t="s">
        <v>670</v>
      </c>
      <c r="Y563" s="1008" t="s">
        <v>670</v>
      </c>
      <c r="Z563" s="1008" t="s">
        <v>670</v>
      </c>
      <c r="AA563" s="1008"/>
      <c r="AB563" s="1008" t="s">
        <v>670</v>
      </c>
      <c r="AC563" s="1008"/>
      <c r="AD563" s="1008"/>
      <c r="AE563" s="1008"/>
      <c r="AF563" s="1008" t="s">
        <v>670</v>
      </c>
      <c r="AG563" s="1008"/>
      <c r="AH563" s="1008"/>
      <c r="AI563" s="1008"/>
    </row>
    <row r="564" spans="1:35">
      <c r="A564" s="1008">
        <v>27134</v>
      </c>
      <c r="B564" s="1008">
        <v>6102</v>
      </c>
      <c r="C564" s="1008">
        <v>10</v>
      </c>
      <c r="D564" s="1009">
        <v>15230039</v>
      </c>
      <c r="E564" s="1009">
        <v>15230024</v>
      </c>
      <c r="F564" s="1007" t="s">
        <v>4361</v>
      </c>
      <c r="G564" s="1007" t="s">
        <v>648</v>
      </c>
      <c r="H564" s="1010">
        <v>99999999</v>
      </c>
      <c r="I564" s="1009">
        <v>15230024</v>
      </c>
      <c r="J564" s="1007" t="s">
        <v>4361</v>
      </c>
      <c r="O564" s="1007" t="s">
        <v>648</v>
      </c>
      <c r="P564" s="1007" t="s">
        <v>648</v>
      </c>
      <c r="S564" s="1008" t="s">
        <v>650</v>
      </c>
      <c r="T564" s="1008" t="s">
        <v>654</v>
      </c>
      <c r="U564" s="1008" t="s">
        <v>649</v>
      </c>
      <c r="V564" s="1008" t="s">
        <v>648</v>
      </c>
      <c r="W564" s="1008" t="s">
        <v>546</v>
      </c>
      <c r="X564" s="1008" t="s">
        <v>670</v>
      </c>
      <c r="Y564" s="1008" t="s">
        <v>670</v>
      </c>
      <c r="Z564" s="1008" t="s">
        <v>670</v>
      </c>
      <c r="AA564" s="1008"/>
      <c r="AB564" s="1008" t="s">
        <v>670</v>
      </c>
      <c r="AC564" s="1008"/>
      <c r="AD564" s="1008"/>
      <c r="AE564" s="1008"/>
      <c r="AF564" s="1008" t="s">
        <v>670</v>
      </c>
      <c r="AG564" s="1008"/>
      <c r="AH564" s="1008"/>
      <c r="AI564" s="1008"/>
    </row>
    <row r="565" spans="1:35">
      <c r="A565" s="1008">
        <v>27135</v>
      </c>
      <c r="B565" s="1008">
        <v>6103</v>
      </c>
      <c r="C565" s="1008">
        <v>10</v>
      </c>
      <c r="D565" s="1009">
        <v>15230039</v>
      </c>
      <c r="E565" s="1009">
        <v>15230025</v>
      </c>
      <c r="F565" s="1007" t="s">
        <v>4360</v>
      </c>
      <c r="G565" s="1007" t="s">
        <v>648</v>
      </c>
      <c r="H565" s="1010">
        <v>99999999</v>
      </c>
      <c r="I565" s="1009">
        <v>15230025</v>
      </c>
      <c r="J565" s="1007" t="s">
        <v>4360</v>
      </c>
      <c r="O565" s="1007" t="s">
        <v>648</v>
      </c>
      <c r="P565" s="1007" t="s">
        <v>648</v>
      </c>
      <c r="S565" s="1008" t="s">
        <v>650</v>
      </c>
      <c r="T565" s="1008" t="s">
        <v>654</v>
      </c>
      <c r="U565" s="1008" t="s">
        <v>649</v>
      </c>
      <c r="V565" s="1008" t="s">
        <v>648</v>
      </c>
      <c r="W565" s="1008" t="s">
        <v>546</v>
      </c>
      <c r="X565" s="1008" t="s">
        <v>670</v>
      </c>
      <c r="Y565" s="1008" t="s">
        <v>670</v>
      </c>
      <c r="Z565" s="1008" t="s">
        <v>670</v>
      </c>
      <c r="AA565" s="1008"/>
      <c r="AB565" s="1008" t="s">
        <v>670</v>
      </c>
      <c r="AC565" s="1008"/>
      <c r="AD565" s="1008"/>
      <c r="AE565" s="1008"/>
      <c r="AF565" s="1008" t="s">
        <v>670</v>
      </c>
      <c r="AG565" s="1008"/>
      <c r="AH565" s="1008"/>
      <c r="AI565" s="1008"/>
    </row>
    <row r="566" spans="1:35">
      <c r="A566" s="1008">
        <v>27136</v>
      </c>
      <c r="B566" s="1008">
        <v>6104</v>
      </c>
      <c r="C566" s="1008">
        <v>10</v>
      </c>
      <c r="D566" s="1009">
        <v>15230039</v>
      </c>
      <c r="E566" s="1009">
        <v>15230026</v>
      </c>
      <c r="F566" s="1007" t="s">
        <v>4359</v>
      </c>
      <c r="G566" s="1007" t="s">
        <v>648</v>
      </c>
      <c r="H566" s="1010">
        <v>99999999</v>
      </c>
      <c r="I566" s="1009">
        <v>15230026</v>
      </c>
      <c r="J566" s="1007" t="s">
        <v>4359</v>
      </c>
      <c r="O566" s="1007" t="s">
        <v>648</v>
      </c>
      <c r="P566" s="1007" t="s">
        <v>648</v>
      </c>
      <c r="S566" s="1008" t="s">
        <v>650</v>
      </c>
      <c r="T566" s="1008" t="s">
        <v>654</v>
      </c>
      <c r="U566" s="1008" t="s">
        <v>649</v>
      </c>
      <c r="V566" s="1008" t="s">
        <v>648</v>
      </c>
      <c r="W566" s="1008" t="s">
        <v>546</v>
      </c>
      <c r="X566" s="1008" t="s">
        <v>670</v>
      </c>
      <c r="Y566" s="1008" t="s">
        <v>670</v>
      </c>
      <c r="Z566" s="1008" t="s">
        <v>670</v>
      </c>
      <c r="AA566" s="1008"/>
      <c r="AB566" s="1008" t="s">
        <v>670</v>
      </c>
      <c r="AC566" s="1008"/>
      <c r="AD566" s="1008"/>
      <c r="AE566" s="1008"/>
      <c r="AF566" s="1008" t="s">
        <v>670</v>
      </c>
      <c r="AG566" s="1008"/>
      <c r="AH566" s="1008"/>
      <c r="AI566" s="1008"/>
    </row>
    <row r="567" spans="1:35">
      <c r="A567" s="1008">
        <v>27137</v>
      </c>
      <c r="B567" s="1008">
        <v>6105</v>
      </c>
      <c r="C567" s="1008">
        <v>10</v>
      </c>
      <c r="D567" s="1009">
        <v>15230039</v>
      </c>
      <c r="E567" s="1009">
        <v>15230027</v>
      </c>
      <c r="F567" s="1007" t="s">
        <v>4358</v>
      </c>
      <c r="G567" s="1007" t="s">
        <v>648</v>
      </c>
      <c r="H567" s="1010">
        <v>99999999</v>
      </c>
      <c r="I567" s="1009">
        <v>15230027</v>
      </c>
      <c r="J567" s="1007" t="s">
        <v>4358</v>
      </c>
      <c r="O567" s="1007" t="s">
        <v>648</v>
      </c>
      <c r="P567" s="1007" t="s">
        <v>648</v>
      </c>
      <c r="S567" s="1008" t="s">
        <v>650</v>
      </c>
      <c r="T567" s="1008" t="s">
        <v>654</v>
      </c>
      <c r="U567" s="1008" t="s">
        <v>649</v>
      </c>
      <c r="V567" s="1008" t="s">
        <v>648</v>
      </c>
      <c r="W567" s="1008" t="s">
        <v>546</v>
      </c>
      <c r="X567" s="1008" t="s">
        <v>670</v>
      </c>
      <c r="Y567" s="1008" t="s">
        <v>670</v>
      </c>
      <c r="Z567" s="1008" t="s">
        <v>670</v>
      </c>
      <c r="AA567" s="1008"/>
      <c r="AB567" s="1008" t="s">
        <v>670</v>
      </c>
      <c r="AC567" s="1008"/>
      <c r="AD567" s="1008"/>
      <c r="AE567" s="1008"/>
      <c r="AF567" s="1008" t="s">
        <v>670</v>
      </c>
      <c r="AG567" s="1008"/>
      <c r="AH567" s="1008"/>
      <c r="AI567" s="1008"/>
    </row>
    <row r="568" spans="1:35">
      <c r="A568" s="1008">
        <v>27138</v>
      </c>
      <c r="B568" s="1008">
        <v>6106</v>
      </c>
      <c r="C568" s="1008">
        <v>10</v>
      </c>
      <c r="D568" s="1009">
        <v>15230039</v>
      </c>
      <c r="E568" s="1009">
        <v>15230028</v>
      </c>
      <c r="F568" s="1007" t="s">
        <v>4357</v>
      </c>
      <c r="G568" s="1007" t="s">
        <v>648</v>
      </c>
      <c r="H568" s="1010">
        <v>99999999</v>
      </c>
      <c r="I568" s="1009">
        <v>15230028</v>
      </c>
      <c r="J568" s="1007" t="s">
        <v>4357</v>
      </c>
      <c r="O568" s="1007" t="s">
        <v>648</v>
      </c>
      <c r="P568" s="1007" t="s">
        <v>648</v>
      </c>
      <c r="S568" s="1008" t="s">
        <v>650</v>
      </c>
      <c r="T568" s="1008" t="s">
        <v>654</v>
      </c>
      <c r="U568" s="1008" t="s">
        <v>649</v>
      </c>
      <c r="V568" s="1008" t="s">
        <v>648</v>
      </c>
      <c r="W568" s="1008" t="s">
        <v>546</v>
      </c>
      <c r="X568" s="1008" t="s">
        <v>670</v>
      </c>
      <c r="Y568" s="1008" t="s">
        <v>670</v>
      </c>
      <c r="Z568" s="1008" t="s">
        <v>670</v>
      </c>
      <c r="AA568" s="1008"/>
      <c r="AB568" s="1008" t="s">
        <v>670</v>
      </c>
      <c r="AC568" s="1008"/>
      <c r="AD568" s="1008"/>
      <c r="AE568" s="1008"/>
      <c r="AF568" s="1008" t="s">
        <v>670</v>
      </c>
      <c r="AG568" s="1008"/>
      <c r="AH568" s="1008"/>
      <c r="AI568" s="1008"/>
    </row>
    <row r="569" spans="1:35">
      <c r="A569" s="1008">
        <v>27139</v>
      </c>
      <c r="B569" s="1008">
        <v>6107</v>
      </c>
      <c r="C569" s="1008">
        <v>10</v>
      </c>
      <c r="D569" s="1009">
        <v>15230039</v>
      </c>
      <c r="E569" s="1009">
        <v>15230029</v>
      </c>
      <c r="F569" s="1007" t="s">
        <v>4356</v>
      </c>
      <c r="G569" s="1007" t="s">
        <v>648</v>
      </c>
      <c r="H569" s="1010">
        <v>99999999</v>
      </c>
      <c r="I569" s="1009">
        <v>15230029</v>
      </c>
      <c r="J569" s="1007" t="s">
        <v>4356</v>
      </c>
      <c r="O569" s="1007" t="s">
        <v>648</v>
      </c>
      <c r="P569" s="1007" t="s">
        <v>648</v>
      </c>
      <c r="S569" s="1008" t="s">
        <v>650</v>
      </c>
      <c r="T569" s="1008" t="s">
        <v>654</v>
      </c>
      <c r="U569" s="1008" t="s">
        <v>649</v>
      </c>
      <c r="V569" s="1008" t="s">
        <v>648</v>
      </c>
      <c r="W569" s="1008" t="s">
        <v>546</v>
      </c>
      <c r="X569" s="1008" t="s">
        <v>670</v>
      </c>
      <c r="Y569" s="1008" t="s">
        <v>670</v>
      </c>
      <c r="Z569" s="1008" t="s">
        <v>670</v>
      </c>
      <c r="AA569" s="1008"/>
      <c r="AB569" s="1008" t="s">
        <v>670</v>
      </c>
      <c r="AC569" s="1008"/>
      <c r="AD569" s="1008"/>
      <c r="AE569" s="1008"/>
      <c r="AF569" s="1008" t="s">
        <v>670</v>
      </c>
      <c r="AG569" s="1008"/>
      <c r="AH569" s="1008"/>
      <c r="AI569" s="1008"/>
    </row>
    <row r="570" spans="1:35">
      <c r="A570" s="1008">
        <v>27140</v>
      </c>
      <c r="B570" s="1008">
        <v>6108</v>
      </c>
      <c r="C570" s="1008">
        <v>10</v>
      </c>
      <c r="D570" s="1009">
        <v>15230039</v>
      </c>
      <c r="E570" s="1009">
        <v>15230030</v>
      </c>
      <c r="F570" s="1007" t="s">
        <v>4355</v>
      </c>
      <c r="G570" s="1007" t="s">
        <v>648</v>
      </c>
      <c r="H570" s="1010">
        <v>99999999</v>
      </c>
      <c r="I570" s="1009">
        <v>15230030</v>
      </c>
      <c r="J570" s="1007" t="s">
        <v>4355</v>
      </c>
      <c r="O570" s="1007" t="s">
        <v>648</v>
      </c>
      <c r="P570" s="1007" t="s">
        <v>648</v>
      </c>
      <c r="S570" s="1008" t="s">
        <v>650</v>
      </c>
      <c r="T570" s="1008" t="s">
        <v>654</v>
      </c>
      <c r="U570" s="1008" t="s">
        <v>649</v>
      </c>
      <c r="V570" s="1008" t="s">
        <v>648</v>
      </c>
      <c r="W570" s="1008" t="s">
        <v>546</v>
      </c>
      <c r="X570" s="1008" t="s">
        <v>670</v>
      </c>
      <c r="Y570" s="1008" t="s">
        <v>670</v>
      </c>
      <c r="Z570" s="1008" t="s">
        <v>670</v>
      </c>
      <c r="AA570" s="1008"/>
      <c r="AB570" s="1008" t="s">
        <v>670</v>
      </c>
      <c r="AC570" s="1008"/>
      <c r="AD570" s="1008"/>
      <c r="AE570" s="1008"/>
      <c r="AF570" s="1008" t="s">
        <v>670</v>
      </c>
      <c r="AG570" s="1008"/>
      <c r="AH570" s="1008"/>
      <c r="AI570" s="1008"/>
    </row>
    <row r="571" spans="1:35">
      <c r="A571" s="1008">
        <v>27141</v>
      </c>
      <c r="B571" s="1008">
        <v>6109</v>
      </c>
      <c r="C571" s="1008">
        <v>10</v>
      </c>
      <c r="D571" s="1009">
        <v>15230039</v>
      </c>
      <c r="E571" s="1009">
        <v>15230031</v>
      </c>
      <c r="F571" s="1007" t="s">
        <v>4354</v>
      </c>
      <c r="G571" s="1007" t="s">
        <v>648</v>
      </c>
      <c r="H571" s="1010">
        <v>99999999</v>
      </c>
      <c r="I571" s="1009">
        <v>15230031</v>
      </c>
      <c r="J571" s="1007" t="s">
        <v>4354</v>
      </c>
      <c r="O571" s="1007" t="s">
        <v>648</v>
      </c>
      <c r="P571" s="1007" t="s">
        <v>648</v>
      </c>
      <c r="S571" s="1008" t="s">
        <v>650</v>
      </c>
      <c r="T571" s="1008" t="s">
        <v>654</v>
      </c>
      <c r="U571" s="1008" t="s">
        <v>649</v>
      </c>
      <c r="V571" s="1008" t="s">
        <v>648</v>
      </c>
      <c r="W571" s="1008" t="s">
        <v>546</v>
      </c>
      <c r="X571" s="1008" t="s">
        <v>670</v>
      </c>
      <c r="Y571" s="1008" t="s">
        <v>670</v>
      </c>
      <c r="Z571" s="1008" t="s">
        <v>670</v>
      </c>
      <c r="AA571" s="1008"/>
      <c r="AB571" s="1008" t="s">
        <v>670</v>
      </c>
      <c r="AC571" s="1008"/>
      <c r="AD571" s="1008"/>
      <c r="AE571" s="1008"/>
      <c r="AF571" s="1008" t="s">
        <v>670</v>
      </c>
      <c r="AG571" s="1008"/>
      <c r="AH571" s="1008"/>
      <c r="AI571" s="1008"/>
    </row>
    <row r="572" spans="1:35">
      <c r="A572" s="1008">
        <v>27142</v>
      </c>
      <c r="B572" s="1008">
        <v>6110</v>
      </c>
      <c r="C572" s="1008">
        <v>10</v>
      </c>
      <c r="D572" s="1009">
        <v>15230039</v>
      </c>
      <c r="E572" s="1009">
        <v>15230032</v>
      </c>
      <c r="F572" s="1007" t="s">
        <v>4353</v>
      </c>
      <c r="G572" s="1007" t="s">
        <v>648</v>
      </c>
      <c r="H572" s="1010">
        <v>99999999</v>
      </c>
      <c r="I572" s="1009">
        <v>15230032</v>
      </c>
      <c r="J572" s="1007" t="s">
        <v>4353</v>
      </c>
      <c r="O572" s="1007" t="s">
        <v>648</v>
      </c>
      <c r="P572" s="1007" t="s">
        <v>648</v>
      </c>
      <c r="S572" s="1008" t="s">
        <v>650</v>
      </c>
      <c r="T572" s="1008" t="s">
        <v>654</v>
      </c>
      <c r="U572" s="1008" t="s">
        <v>649</v>
      </c>
      <c r="V572" s="1008" t="s">
        <v>648</v>
      </c>
      <c r="W572" s="1008" t="s">
        <v>546</v>
      </c>
      <c r="X572" s="1008" t="s">
        <v>670</v>
      </c>
      <c r="Y572" s="1008" t="s">
        <v>670</v>
      </c>
      <c r="Z572" s="1008" t="s">
        <v>670</v>
      </c>
      <c r="AA572" s="1008"/>
      <c r="AB572" s="1008" t="s">
        <v>670</v>
      </c>
      <c r="AC572" s="1008"/>
      <c r="AD572" s="1008"/>
      <c r="AE572" s="1008"/>
      <c r="AF572" s="1008" t="s">
        <v>670</v>
      </c>
      <c r="AG572" s="1008"/>
      <c r="AH572" s="1008"/>
      <c r="AI572" s="1008"/>
    </row>
    <row r="573" spans="1:35">
      <c r="A573" s="1008">
        <v>27143</v>
      </c>
      <c r="B573" s="1008">
        <v>6111</v>
      </c>
      <c r="C573" s="1008">
        <v>10</v>
      </c>
      <c r="D573" s="1009">
        <v>15230039</v>
      </c>
      <c r="E573" s="1009">
        <v>15230033</v>
      </c>
      <c r="F573" s="1007" t="s">
        <v>4352</v>
      </c>
      <c r="G573" s="1007" t="s">
        <v>648</v>
      </c>
      <c r="H573" s="1010">
        <v>99999999</v>
      </c>
      <c r="I573" s="1009">
        <v>15230033</v>
      </c>
      <c r="J573" s="1007" t="s">
        <v>4352</v>
      </c>
      <c r="O573" s="1007" t="s">
        <v>648</v>
      </c>
      <c r="P573" s="1007" t="s">
        <v>648</v>
      </c>
      <c r="S573" s="1008" t="s">
        <v>650</v>
      </c>
      <c r="T573" s="1008" t="s">
        <v>654</v>
      </c>
      <c r="U573" s="1008" t="s">
        <v>649</v>
      </c>
      <c r="V573" s="1008" t="s">
        <v>648</v>
      </c>
      <c r="W573" s="1008" t="s">
        <v>546</v>
      </c>
      <c r="X573" s="1008" t="s">
        <v>670</v>
      </c>
      <c r="Y573" s="1008" t="s">
        <v>670</v>
      </c>
      <c r="Z573" s="1008" t="s">
        <v>670</v>
      </c>
      <c r="AA573" s="1008"/>
      <c r="AB573" s="1008" t="s">
        <v>670</v>
      </c>
      <c r="AC573" s="1008"/>
      <c r="AD573" s="1008"/>
      <c r="AE573" s="1008"/>
      <c r="AF573" s="1008" t="s">
        <v>670</v>
      </c>
      <c r="AG573" s="1008"/>
      <c r="AH573" s="1008"/>
      <c r="AI573" s="1008"/>
    </row>
    <row r="574" spans="1:35">
      <c r="A574" s="1008">
        <v>27144</v>
      </c>
      <c r="C574" s="1008">
        <v>9</v>
      </c>
      <c r="D574" s="1009">
        <v>15230999</v>
      </c>
      <c r="E574" s="1009">
        <v>15230039</v>
      </c>
      <c r="F574" s="1007" t="s">
        <v>4351</v>
      </c>
      <c r="O574" s="1007" t="s">
        <v>648</v>
      </c>
      <c r="P574" s="1007" t="s">
        <v>648</v>
      </c>
      <c r="S574" s="1008" t="s">
        <v>650</v>
      </c>
      <c r="T574" s="1008" t="s">
        <v>21</v>
      </c>
      <c r="U574" s="1008" t="s">
        <v>649</v>
      </c>
      <c r="V574" s="1008" t="s">
        <v>648</v>
      </c>
      <c r="W574" s="1008" t="s">
        <v>546</v>
      </c>
      <c r="X574" s="1008"/>
      <c r="Y574" s="1008"/>
      <c r="Z574" s="1008"/>
      <c r="AA574" s="1008"/>
      <c r="AB574" s="1008"/>
      <c r="AC574" s="1008"/>
      <c r="AD574" s="1008"/>
      <c r="AE574" s="1008"/>
      <c r="AF574" s="1008"/>
      <c r="AG574" s="1008"/>
      <c r="AH574" s="1008"/>
      <c r="AI574" s="1008"/>
    </row>
    <row r="575" spans="1:35">
      <c r="A575" s="1008">
        <v>27145</v>
      </c>
      <c r="C575" s="1008">
        <v>9</v>
      </c>
      <c r="D575" s="1009">
        <v>15230059</v>
      </c>
      <c r="E575" s="1009">
        <v>15230040</v>
      </c>
      <c r="F575" s="1007" t="s">
        <v>4350</v>
      </c>
      <c r="O575" s="1007" t="s">
        <v>648</v>
      </c>
      <c r="P575" s="1007" t="s">
        <v>648</v>
      </c>
      <c r="S575" s="1008" t="s">
        <v>650</v>
      </c>
      <c r="T575" s="1008" t="s">
        <v>675</v>
      </c>
      <c r="U575" s="1008" t="s">
        <v>649</v>
      </c>
      <c r="V575" s="1008" t="s">
        <v>648</v>
      </c>
      <c r="W575" s="1008" t="s">
        <v>546</v>
      </c>
      <c r="X575" s="1008"/>
      <c r="Y575" s="1008"/>
      <c r="Z575" s="1008"/>
      <c r="AA575" s="1008"/>
      <c r="AB575" s="1008"/>
      <c r="AC575" s="1008"/>
      <c r="AD575" s="1008"/>
      <c r="AE575" s="1008"/>
      <c r="AF575" s="1008"/>
      <c r="AG575" s="1008"/>
      <c r="AH575" s="1008"/>
      <c r="AI575" s="1008"/>
    </row>
    <row r="576" spans="1:35">
      <c r="A576" s="1008">
        <v>27146</v>
      </c>
      <c r="B576" s="1008">
        <v>6112</v>
      </c>
      <c r="C576" s="1008">
        <v>10</v>
      </c>
      <c r="D576" s="1009">
        <v>15230059</v>
      </c>
      <c r="E576" s="1009">
        <v>15230041</v>
      </c>
      <c r="F576" s="1007" t="s">
        <v>4349</v>
      </c>
      <c r="G576" s="1007" t="s">
        <v>648</v>
      </c>
      <c r="H576" s="1010">
        <v>99999999</v>
      </c>
      <c r="I576" s="1009">
        <v>15230041</v>
      </c>
      <c r="J576" s="1007" t="s">
        <v>4349</v>
      </c>
      <c r="O576" s="1007" t="s">
        <v>648</v>
      </c>
      <c r="P576" s="1007" t="s">
        <v>648</v>
      </c>
      <c r="S576" s="1008" t="s">
        <v>650</v>
      </c>
      <c r="T576" s="1008" t="s">
        <v>654</v>
      </c>
      <c r="U576" s="1008" t="s">
        <v>649</v>
      </c>
      <c r="V576" s="1008" t="s">
        <v>648</v>
      </c>
      <c r="W576" s="1008" t="s">
        <v>546</v>
      </c>
      <c r="X576" s="1008" t="s">
        <v>670</v>
      </c>
      <c r="Y576" s="1008" t="s">
        <v>670</v>
      </c>
      <c r="Z576" s="1008" t="s">
        <v>670</v>
      </c>
      <c r="AA576" s="1008"/>
      <c r="AB576" s="1008" t="s">
        <v>670</v>
      </c>
      <c r="AC576" s="1008"/>
      <c r="AD576" s="1008"/>
      <c r="AE576" s="1008"/>
      <c r="AF576" s="1008" t="s">
        <v>670</v>
      </c>
      <c r="AG576" s="1008"/>
      <c r="AH576" s="1008"/>
      <c r="AI576" s="1008"/>
    </row>
    <row r="577" spans="1:35">
      <c r="A577" s="1008">
        <v>27147</v>
      </c>
      <c r="B577" s="1008">
        <v>6113</v>
      </c>
      <c r="C577" s="1008">
        <v>10</v>
      </c>
      <c r="D577" s="1009">
        <v>15230059</v>
      </c>
      <c r="E577" s="1009">
        <v>15230042</v>
      </c>
      <c r="F577" s="1007" t="s">
        <v>4348</v>
      </c>
      <c r="G577" s="1007" t="s">
        <v>648</v>
      </c>
      <c r="H577" s="1010">
        <v>99999999</v>
      </c>
      <c r="I577" s="1009">
        <v>15230042</v>
      </c>
      <c r="J577" s="1007" t="s">
        <v>4348</v>
      </c>
      <c r="O577" s="1007" t="s">
        <v>648</v>
      </c>
      <c r="P577" s="1007" t="s">
        <v>648</v>
      </c>
      <c r="S577" s="1008" t="s">
        <v>650</v>
      </c>
      <c r="T577" s="1008" t="s">
        <v>654</v>
      </c>
      <c r="U577" s="1008" t="s">
        <v>649</v>
      </c>
      <c r="V577" s="1008" t="s">
        <v>648</v>
      </c>
      <c r="W577" s="1008" t="s">
        <v>546</v>
      </c>
      <c r="X577" s="1008" t="s">
        <v>670</v>
      </c>
      <c r="Y577" s="1008" t="s">
        <v>670</v>
      </c>
      <c r="Z577" s="1008" t="s">
        <v>670</v>
      </c>
      <c r="AA577" s="1008"/>
      <c r="AB577" s="1008" t="s">
        <v>670</v>
      </c>
      <c r="AC577" s="1008"/>
      <c r="AD577" s="1008"/>
      <c r="AE577" s="1008"/>
      <c r="AF577" s="1008" t="s">
        <v>670</v>
      </c>
      <c r="AG577" s="1008"/>
      <c r="AH577" s="1008"/>
      <c r="AI577" s="1008"/>
    </row>
    <row r="578" spans="1:35">
      <c r="A578" s="1008">
        <v>27148</v>
      </c>
      <c r="B578" s="1008">
        <v>6114</v>
      </c>
      <c r="C578" s="1008">
        <v>10</v>
      </c>
      <c r="D578" s="1009">
        <v>15230059</v>
      </c>
      <c r="E578" s="1009">
        <v>15230043</v>
      </c>
      <c r="F578" s="1007" t="s">
        <v>4347</v>
      </c>
      <c r="G578" s="1007" t="s">
        <v>648</v>
      </c>
      <c r="H578" s="1010">
        <v>99999999</v>
      </c>
      <c r="I578" s="1009">
        <v>15230043</v>
      </c>
      <c r="J578" s="1007" t="s">
        <v>4347</v>
      </c>
      <c r="O578" s="1007" t="s">
        <v>648</v>
      </c>
      <c r="P578" s="1007" t="s">
        <v>648</v>
      </c>
      <c r="S578" s="1008" t="s">
        <v>650</v>
      </c>
      <c r="T578" s="1008" t="s">
        <v>654</v>
      </c>
      <c r="U578" s="1008" t="s">
        <v>649</v>
      </c>
      <c r="V578" s="1008" t="s">
        <v>648</v>
      </c>
      <c r="W578" s="1008" t="s">
        <v>546</v>
      </c>
      <c r="X578" s="1008" t="s">
        <v>670</v>
      </c>
      <c r="Y578" s="1008" t="s">
        <v>670</v>
      </c>
      <c r="Z578" s="1008" t="s">
        <v>670</v>
      </c>
      <c r="AA578" s="1008"/>
      <c r="AB578" s="1008" t="s">
        <v>670</v>
      </c>
      <c r="AC578" s="1008"/>
      <c r="AD578" s="1008"/>
      <c r="AE578" s="1008"/>
      <c r="AF578" s="1008" t="s">
        <v>670</v>
      </c>
      <c r="AG578" s="1008"/>
      <c r="AH578" s="1008"/>
      <c r="AI578" s="1008"/>
    </row>
    <row r="579" spans="1:35">
      <c r="A579" s="1008">
        <v>27149</v>
      </c>
      <c r="B579" s="1008">
        <v>6115</v>
      </c>
      <c r="C579" s="1008">
        <v>10</v>
      </c>
      <c r="D579" s="1009">
        <v>15230059</v>
      </c>
      <c r="E579" s="1009">
        <v>15230044</v>
      </c>
      <c r="F579" s="1007" t="s">
        <v>4346</v>
      </c>
      <c r="G579" s="1007" t="s">
        <v>648</v>
      </c>
      <c r="H579" s="1010">
        <v>99999999</v>
      </c>
      <c r="I579" s="1009">
        <v>15230044</v>
      </c>
      <c r="J579" s="1007" t="s">
        <v>4346</v>
      </c>
      <c r="O579" s="1007" t="s">
        <v>648</v>
      </c>
      <c r="P579" s="1007" t="s">
        <v>648</v>
      </c>
      <c r="S579" s="1008" t="s">
        <v>650</v>
      </c>
      <c r="T579" s="1008" t="s">
        <v>654</v>
      </c>
      <c r="U579" s="1008" t="s">
        <v>649</v>
      </c>
      <c r="V579" s="1008" t="s">
        <v>648</v>
      </c>
      <c r="W579" s="1008" t="s">
        <v>546</v>
      </c>
      <c r="X579" s="1008" t="s">
        <v>670</v>
      </c>
      <c r="Y579" s="1008" t="s">
        <v>670</v>
      </c>
      <c r="Z579" s="1008" t="s">
        <v>670</v>
      </c>
      <c r="AA579" s="1008"/>
      <c r="AB579" s="1008" t="s">
        <v>670</v>
      </c>
      <c r="AC579" s="1008"/>
      <c r="AD579" s="1008"/>
      <c r="AE579" s="1008"/>
      <c r="AF579" s="1008" t="s">
        <v>670</v>
      </c>
      <c r="AG579" s="1008"/>
      <c r="AH579" s="1008"/>
      <c r="AI579" s="1008"/>
    </row>
    <row r="580" spans="1:35" hidden="1">
      <c r="A580" s="1008">
        <v>27150</v>
      </c>
      <c r="C580" s="1008">
        <v>9</v>
      </c>
      <c r="D580" s="1009">
        <v>15230999</v>
      </c>
      <c r="E580" s="1009">
        <v>15230059</v>
      </c>
      <c r="F580" s="1007" t="s">
        <v>4345</v>
      </c>
      <c r="O580" s="1007" t="s">
        <v>648</v>
      </c>
      <c r="P580" s="1007" t="s">
        <v>648</v>
      </c>
      <c r="S580" s="1008" t="s">
        <v>650</v>
      </c>
      <c r="T580" s="1008" t="s">
        <v>21</v>
      </c>
      <c r="U580" s="1008" t="s">
        <v>649</v>
      </c>
      <c r="V580" s="1008" t="s">
        <v>648</v>
      </c>
      <c r="W580" s="1008" t="s">
        <v>546</v>
      </c>
      <c r="X580" s="1008"/>
      <c r="Y580" s="1008"/>
      <c r="Z580" s="1008"/>
      <c r="AA580" s="1008"/>
      <c r="AB580" s="1008"/>
      <c r="AC580" s="1008"/>
      <c r="AD580" s="1008"/>
      <c r="AE580" s="1008"/>
      <c r="AF580" s="1008"/>
      <c r="AG580" s="1008"/>
      <c r="AH580" s="1008"/>
      <c r="AI580" s="1008"/>
    </row>
    <row r="581" spans="1:35" hidden="1">
      <c r="A581" s="1008">
        <v>27151</v>
      </c>
      <c r="C581" s="1008">
        <v>9</v>
      </c>
      <c r="D581" s="1009">
        <v>15230079</v>
      </c>
      <c r="E581" s="1009">
        <v>15230060</v>
      </c>
      <c r="F581" s="1007" t="s">
        <v>4344</v>
      </c>
      <c r="O581" s="1007" t="s">
        <v>648</v>
      </c>
      <c r="P581" s="1007" t="s">
        <v>648</v>
      </c>
      <c r="S581" s="1008" t="s">
        <v>650</v>
      </c>
      <c r="T581" s="1008" t="s">
        <v>675</v>
      </c>
      <c r="U581" s="1008" t="s">
        <v>649</v>
      </c>
      <c r="V581" s="1008" t="s">
        <v>648</v>
      </c>
      <c r="W581" s="1008" t="s">
        <v>546</v>
      </c>
      <c r="X581" s="1008"/>
      <c r="Y581" s="1008"/>
      <c r="Z581" s="1008"/>
      <c r="AA581" s="1008"/>
      <c r="AB581" s="1008"/>
      <c r="AC581" s="1008"/>
      <c r="AD581" s="1008"/>
      <c r="AE581" s="1008"/>
      <c r="AF581" s="1008"/>
      <c r="AG581" s="1008"/>
      <c r="AH581" s="1008"/>
      <c r="AI581" s="1008"/>
    </row>
    <row r="582" spans="1:35">
      <c r="A582" s="1008">
        <v>26756</v>
      </c>
      <c r="B582" s="1008">
        <v>123</v>
      </c>
      <c r="C582" s="1008">
        <v>10</v>
      </c>
      <c r="D582" s="1009">
        <v>15230079</v>
      </c>
      <c r="E582" s="1009">
        <v>15230061</v>
      </c>
      <c r="F582" s="1007" t="s">
        <v>4343</v>
      </c>
      <c r="G582" s="1007">
        <v>8</v>
      </c>
      <c r="H582" s="1010">
        <v>99999999</v>
      </c>
      <c r="I582" s="1009">
        <v>15230061</v>
      </c>
      <c r="J582" s="1007" t="s">
        <v>4343</v>
      </c>
      <c r="O582" s="1007" t="s">
        <v>648</v>
      </c>
      <c r="P582" s="1007" t="s">
        <v>648</v>
      </c>
      <c r="S582" s="1008" t="s">
        <v>650</v>
      </c>
      <c r="T582" s="1008" t="s">
        <v>654</v>
      </c>
      <c r="U582" s="1008" t="s">
        <v>649</v>
      </c>
      <c r="V582" s="1008" t="s">
        <v>648</v>
      </c>
      <c r="W582" s="1008" t="s">
        <v>546</v>
      </c>
      <c r="X582" s="1008" t="s">
        <v>670</v>
      </c>
      <c r="Y582" s="1008" t="s">
        <v>670</v>
      </c>
      <c r="Z582" s="1008" t="s">
        <v>670</v>
      </c>
      <c r="AA582" s="1008"/>
      <c r="AB582" s="1008" t="s">
        <v>670</v>
      </c>
      <c r="AC582" s="1008"/>
      <c r="AD582" s="1008"/>
      <c r="AE582" s="1008"/>
      <c r="AF582" s="1008" t="s">
        <v>670</v>
      </c>
      <c r="AG582" s="1008"/>
      <c r="AH582" s="1008"/>
      <c r="AI582" s="1008"/>
    </row>
    <row r="583" spans="1:35">
      <c r="A583" s="1008">
        <v>26748</v>
      </c>
      <c r="B583" s="1008">
        <v>113</v>
      </c>
      <c r="C583" s="1008">
        <v>10</v>
      </c>
      <c r="D583" s="1009">
        <v>15230079</v>
      </c>
      <c r="E583" s="1009">
        <v>15230062</v>
      </c>
      <c r="F583" s="1007" t="s">
        <v>4342</v>
      </c>
      <c r="G583" s="1007">
        <v>8</v>
      </c>
      <c r="H583" s="1010">
        <v>99999999</v>
      </c>
      <c r="I583" s="1009">
        <v>15230062</v>
      </c>
      <c r="J583" s="1007" t="s">
        <v>4342</v>
      </c>
      <c r="O583" s="1007" t="s">
        <v>648</v>
      </c>
      <c r="P583" s="1007" t="s">
        <v>648</v>
      </c>
      <c r="S583" s="1008" t="s">
        <v>650</v>
      </c>
      <c r="T583" s="1008" t="s">
        <v>654</v>
      </c>
      <c r="U583" s="1008" t="s">
        <v>649</v>
      </c>
      <c r="V583" s="1008" t="s">
        <v>648</v>
      </c>
      <c r="W583" s="1008" t="s">
        <v>546</v>
      </c>
      <c r="X583" s="1008" t="s">
        <v>670</v>
      </c>
      <c r="Y583" s="1008" t="s">
        <v>670</v>
      </c>
      <c r="Z583" s="1008" t="s">
        <v>670</v>
      </c>
      <c r="AA583" s="1008"/>
      <c r="AB583" s="1008" t="s">
        <v>670</v>
      </c>
      <c r="AC583" s="1008"/>
      <c r="AD583" s="1008"/>
      <c r="AE583" s="1008"/>
      <c r="AF583" s="1008" t="s">
        <v>670</v>
      </c>
      <c r="AG583" s="1008"/>
      <c r="AH583" s="1008"/>
      <c r="AI583" s="1008"/>
    </row>
    <row r="584" spans="1:35">
      <c r="A584" s="1008">
        <v>27152</v>
      </c>
      <c r="B584" s="1008">
        <v>6116</v>
      </c>
      <c r="C584" s="1008">
        <v>10</v>
      </c>
      <c r="D584" s="1009">
        <v>15230079</v>
      </c>
      <c r="E584" s="1009">
        <v>15230063</v>
      </c>
      <c r="F584" s="1007" t="s">
        <v>4341</v>
      </c>
      <c r="G584" s="1007" t="s">
        <v>648</v>
      </c>
      <c r="H584" s="1010">
        <v>99999999</v>
      </c>
      <c r="I584" s="1009">
        <v>15230063</v>
      </c>
      <c r="J584" s="1007" t="s">
        <v>4341</v>
      </c>
      <c r="O584" s="1007" t="s">
        <v>648</v>
      </c>
      <c r="P584" s="1007" t="s">
        <v>648</v>
      </c>
      <c r="S584" s="1008" t="s">
        <v>650</v>
      </c>
      <c r="T584" s="1008" t="s">
        <v>654</v>
      </c>
      <c r="U584" s="1008" t="s">
        <v>649</v>
      </c>
      <c r="V584" s="1008" t="s">
        <v>648</v>
      </c>
      <c r="W584" s="1008" t="s">
        <v>546</v>
      </c>
      <c r="X584" s="1008" t="s">
        <v>670</v>
      </c>
      <c r="Y584" s="1008" t="s">
        <v>670</v>
      </c>
      <c r="Z584" s="1008" t="s">
        <v>670</v>
      </c>
      <c r="AA584" s="1008"/>
      <c r="AB584" s="1008" t="s">
        <v>670</v>
      </c>
      <c r="AC584" s="1008"/>
      <c r="AD584" s="1008"/>
      <c r="AE584" s="1008"/>
      <c r="AF584" s="1008" t="s">
        <v>670</v>
      </c>
      <c r="AG584" s="1008"/>
      <c r="AH584" s="1008"/>
      <c r="AI584" s="1008"/>
    </row>
    <row r="585" spans="1:35">
      <c r="A585" s="1008">
        <v>27153</v>
      </c>
      <c r="B585" s="1008">
        <v>6117</v>
      </c>
      <c r="C585" s="1008">
        <v>10</v>
      </c>
      <c r="D585" s="1009">
        <v>15230079</v>
      </c>
      <c r="E585" s="1009">
        <v>15230064</v>
      </c>
      <c r="F585" s="1007" t="s">
        <v>4340</v>
      </c>
      <c r="G585" s="1007" t="s">
        <v>648</v>
      </c>
      <c r="H585" s="1010">
        <v>99999999</v>
      </c>
      <c r="I585" s="1009">
        <v>15230064</v>
      </c>
      <c r="J585" s="1007" t="s">
        <v>4340</v>
      </c>
      <c r="O585" s="1007" t="s">
        <v>648</v>
      </c>
      <c r="P585" s="1007" t="s">
        <v>648</v>
      </c>
      <c r="S585" s="1008" t="s">
        <v>650</v>
      </c>
      <c r="T585" s="1008" t="s">
        <v>654</v>
      </c>
      <c r="U585" s="1008" t="s">
        <v>649</v>
      </c>
      <c r="V585" s="1008" t="s">
        <v>648</v>
      </c>
      <c r="W585" s="1008" t="s">
        <v>546</v>
      </c>
      <c r="X585" s="1008" t="s">
        <v>670</v>
      </c>
      <c r="Y585" s="1008" t="s">
        <v>670</v>
      </c>
      <c r="Z585" s="1008" t="s">
        <v>670</v>
      </c>
      <c r="AA585" s="1008"/>
      <c r="AB585" s="1008" t="s">
        <v>670</v>
      </c>
      <c r="AC585" s="1008"/>
      <c r="AD585" s="1008"/>
      <c r="AE585" s="1008"/>
      <c r="AF585" s="1008" t="s">
        <v>670</v>
      </c>
      <c r="AG585" s="1008"/>
      <c r="AH585" s="1008"/>
      <c r="AI585" s="1008"/>
    </row>
    <row r="586" spans="1:35" hidden="1">
      <c r="A586" s="1008">
        <v>27154</v>
      </c>
      <c r="C586" s="1008">
        <v>9</v>
      </c>
      <c r="D586" s="1009">
        <v>15230999</v>
      </c>
      <c r="E586" s="1009">
        <v>15230079</v>
      </c>
      <c r="F586" s="1007" t="s">
        <v>4339</v>
      </c>
      <c r="O586" s="1007" t="s">
        <v>648</v>
      </c>
      <c r="P586" s="1007" t="s">
        <v>648</v>
      </c>
      <c r="S586" s="1008" t="s">
        <v>650</v>
      </c>
      <c r="T586" s="1008" t="s">
        <v>21</v>
      </c>
      <c r="U586" s="1008" t="s">
        <v>649</v>
      </c>
      <c r="V586" s="1008" t="s">
        <v>648</v>
      </c>
      <c r="W586" s="1008" t="s">
        <v>546</v>
      </c>
      <c r="X586" s="1008"/>
      <c r="Y586" s="1008"/>
      <c r="Z586" s="1008"/>
      <c r="AA586" s="1008"/>
      <c r="AB586" s="1008"/>
      <c r="AC586" s="1008"/>
      <c r="AD586" s="1008"/>
      <c r="AE586" s="1008"/>
      <c r="AF586" s="1008"/>
      <c r="AG586" s="1008"/>
      <c r="AH586" s="1008"/>
      <c r="AI586" s="1008"/>
    </row>
    <row r="587" spans="1:35" hidden="1">
      <c r="A587" s="1008">
        <v>27155</v>
      </c>
      <c r="C587" s="1008">
        <v>9</v>
      </c>
      <c r="D587" s="1009">
        <v>15230099</v>
      </c>
      <c r="E587" s="1009">
        <v>15230080</v>
      </c>
      <c r="F587" s="1007" t="s">
        <v>4338</v>
      </c>
      <c r="O587" s="1007" t="s">
        <v>648</v>
      </c>
      <c r="P587" s="1007" t="s">
        <v>648</v>
      </c>
      <c r="S587" s="1008" t="s">
        <v>650</v>
      </c>
      <c r="T587" s="1008" t="s">
        <v>675</v>
      </c>
      <c r="U587" s="1008" t="s">
        <v>649</v>
      </c>
      <c r="V587" s="1008" t="s">
        <v>648</v>
      </c>
      <c r="W587" s="1008" t="s">
        <v>546</v>
      </c>
      <c r="X587" s="1008"/>
      <c r="Y587" s="1008"/>
      <c r="Z587" s="1008"/>
      <c r="AA587" s="1008"/>
      <c r="AB587" s="1008"/>
      <c r="AC587" s="1008"/>
      <c r="AD587" s="1008"/>
      <c r="AE587" s="1008"/>
      <c r="AF587" s="1008"/>
      <c r="AG587" s="1008"/>
      <c r="AH587" s="1008"/>
      <c r="AI587" s="1008"/>
    </row>
    <row r="588" spans="1:35">
      <c r="A588" s="1008">
        <v>26745</v>
      </c>
      <c r="B588" s="1008">
        <v>110</v>
      </c>
      <c r="C588" s="1008">
        <v>10</v>
      </c>
      <c r="D588" s="1009">
        <v>15230099</v>
      </c>
      <c r="E588" s="1009">
        <v>15230081</v>
      </c>
      <c r="F588" s="1007" t="s">
        <v>4337</v>
      </c>
      <c r="G588" s="1007">
        <v>8</v>
      </c>
      <c r="H588" s="1010">
        <v>99999999</v>
      </c>
      <c r="I588" s="1009">
        <v>15230081</v>
      </c>
      <c r="J588" s="1007" t="s">
        <v>4337</v>
      </c>
      <c r="O588" s="1007" t="s">
        <v>648</v>
      </c>
      <c r="P588" s="1007" t="s">
        <v>648</v>
      </c>
      <c r="S588" s="1008" t="s">
        <v>650</v>
      </c>
      <c r="T588" s="1008" t="s">
        <v>654</v>
      </c>
      <c r="U588" s="1008" t="s">
        <v>649</v>
      </c>
      <c r="V588" s="1008" t="s">
        <v>648</v>
      </c>
      <c r="W588" s="1008" t="s">
        <v>546</v>
      </c>
      <c r="X588" s="1008" t="s">
        <v>670</v>
      </c>
      <c r="Y588" s="1008" t="s">
        <v>670</v>
      </c>
      <c r="Z588" s="1008" t="s">
        <v>670</v>
      </c>
      <c r="AA588" s="1008"/>
      <c r="AB588" s="1008" t="s">
        <v>670</v>
      </c>
      <c r="AC588" s="1008"/>
      <c r="AD588" s="1008"/>
      <c r="AE588" s="1008"/>
      <c r="AF588" s="1008" t="s">
        <v>670</v>
      </c>
      <c r="AG588" s="1008"/>
      <c r="AH588" s="1008"/>
      <c r="AI588" s="1008"/>
    </row>
    <row r="589" spans="1:35">
      <c r="A589" s="1008">
        <v>27156</v>
      </c>
      <c r="B589" s="1008">
        <v>6118</v>
      </c>
      <c r="C589" s="1008">
        <v>10</v>
      </c>
      <c r="D589" s="1009">
        <v>15230099</v>
      </c>
      <c r="E589" s="1009">
        <v>15230082</v>
      </c>
      <c r="F589" s="1007" t="s">
        <v>4336</v>
      </c>
      <c r="G589" s="1007" t="s">
        <v>648</v>
      </c>
      <c r="H589" s="1010">
        <v>99999999</v>
      </c>
      <c r="I589" s="1009">
        <v>15230082</v>
      </c>
      <c r="J589" s="1007" t="s">
        <v>4336</v>
      </c>
      <c r="O589" s="1007" t="s">
        <v>648</v>
      </c>
      <c r="P589" s="1007" t="s">
        <v>648</v>
      </c>
      <c r="S589" s="1008" t="s">
        <v>650</v>
      </c>
      <c r="T589" s="1008" t="s">
        <v>654</v>
      </c>
      <c r="U589" s="1008" t="s">
        <v>649</v>
      </c>
      <c r="V589" s="1008" t="s">
        <v>648</v>
      </c>
      <c r="W589" s="1008" t="s">
        <v>546</v>
      </c>
      <c r="X589" s="1008" t="s">
        <v>670</v>
      </c>
      <c r="Y589" s="1008" t="s">
        <v>670</v>
      </c>
      <c r="Z589" s="1008" t="s">
        <v>670</v>
      </c>
      <c r="AA589" s="1008"/>
      <c r="AB589" s="1008" t="s">
        <v>670</v>
      </c>
      <c r="AC589" s="1008"/>
      <c r="AD589" s="1008"/>
      <c r="AE589" s="1008"/>
      <c r="AF589" s="1008" t="s">
        <v>670</v>
      </c>
      <c r="AG589" s="1008"/>
      <c r="AH589" s="1008"/>
      <c r="AI589" s="1008"/>
    </row>
    <row r="590" spans="1:35">
      <c r="A590" s="1008">
        <v>27157</v>
      </c>
      <c r="B590" s="1008">
        <v>6119</v>
      </c>
      <c r="C590" s="1008">
        <v>10</v>
      </c>
      <c r="D590" s="1009">
        <v>15230099</v>
      </c>
      <c r="E590" s="1009">
        <v>15230083</v>
      </c>
      <c r="F590" s="1007" t="s">
        <v>4335</v>
      </c>
      <c r="G590" s="1007" t="s">
        <v>648</v>
      </c>
      <c r="H590" s="1010">
        <v>99999999</v>
      </c>
      <c r="I590" s="1009">
        <v>15230083</v>
      </c>
      <c r="J590" s="1007" t="s">
        <v>4335</v>
      </c>
      <c r="O590" s="1007" t="s">
        <v>648</v>
      </c>
      <c r="P590" s="1007" t="s">
        <v>648</v>
      </c>
      <c r="S590" s="1008" t="s">
        <v>650</v>
      </c>
      <c r="T590" s="1008" t="s">
        <v>654</v>
      </c>
      <c r="U590" s="1008" t="s">
        <v>649</v>
      </c>
      <c r="V590" s="1008" t="s">
        <v>648</v>
      </c>
      <c r="W590" s="1008" t="s">
        <v>546</v>
      </c>
      <c r="X590" s="1008" t="s">
        <v>670</v>
      </c>
      <c r="Y590" s="1008" t="s">
        <v>670</v>
      </c>
      <c r="Z590" s="1008" t="s">
        <v>670</v>
      </c>
      <c r="AA590" s="1008"/>
      <c r="AB590" s="1008" t="s">
        <v>670</v>
      </c>
      <c r="AC590" s="1008"/>
      <c r="AD590" s="1008"/>
      <c r="AE590" s="1008"/>
      <c r="AF590" s="1008" t="s">
        <v>670</v>
      </c>
      <c r="AG590" s="1008"/>
      <c r="AH590" s="1008"/>
      <c r="AI590" s="1008"/>
    </row>
    <row r="591" spans="1:35" hidden="1">
      <c r="A591" s="1008">
        <v>27158</v>
      </c>
      <c r="C591" s="1008">
        <v>9</v>
      </c>
      <c r="D591" s="1009">
        <v>15230999</v>
      </c>
      <c r="E591" s="1009">
        <v>15230099</v>
      </c>
      <c r="F591" s="1007" t="s">
        <v>4334</v>
      </c>
      <c r="O591" s="1007" t="s">
        <v>648</v>
      </c>
      <c r="P591" s="1007" t="s">
        <v>648</v>
      </c>
      <c r="S591" s="1008" t="s">
        <v>650</v>
      </c>
      <c r="T591" s="1008" t="s">
        <v>21</v>
      </c>
      <c r="U591" s="1008" t="s">
        <v>649</v>
      </c>
      <c r="V591" s="1008" t="s">
        <v>648</v>
      </c>
      <c r="W591" s="1008" t="s">
        <v>546</v>
      </c>
      <c r="X591" s="1008"/>
      <c r="Y591" s="1008"/>
      <c r="Z591" s="1008"/>
      <c r="AA591" s="1008"/>
      <c r="AB591" s="1008"/>
      <c r="AC591" s="1008"/>
      <c r="AD591" s="1008"/>
      <c r="AE591" s="1008"/>
      <c r="AF591" s="1008"/>
      <c r="AG591" s="1008"/>
      <c r="AH591" s="1008"/>
      <c r="AI591" s="1008"/>
    </row>
    <row r="592" spans="1:35" hidden="1">
      <c r="A592" s="1008">
        <v>27159</v>
      </c>
      <c r="C592" s="1008">
        <v>9</v>
      </c>
      <c r="D592" s="1009">
        <v>15230119</v>
      </c>
      <c r="E592" s="1009">
        <v>15230100</v>
      </c>
      <c r="F592" s="1007" t="s">
        <v>4333</v>
      </c>
      <c r="O592" s="1007" t="s">
        <v>648</v>
      </c>
      <c r="P592" s="1007" t="s">
        <v>648</v>
      </c>
      <c r="S592" s="1008" t="s">
        <v>650</v>
      </c>
      <c r="T592" s="1008" t="s">
        <v>675</v>
      </c>
      <c r="U592" s="1008" t="s">
        <v>649</v>
      </c>
      <c r="V592" s="1008" t="s">
        <v>648</v>
      </c>
      <c r="W592" s="1008" t="s">
        <v>546</v>
      </c>
      <c r="X592" s="1008"/>
      <c r="Y592" s="1008"/>
      <c r="Z592" s="1008"/>
      <c r="AA592" s="1008"/>
      <c r="AB592" s="1008"/>
      <c r="AC592" s="1008"/>
      <c r="AD592" s="1008"/>
      <c r="AE592" s="1008"/>
      <c r="AF592" s="1008"/>
      <c r="AG592" s="1008"/>
      <c r="AH592" s="1008"/>
      <c r="AI592" s="1008"/>
    </row>
    <row r="593" spans="1:35">
      <c r="A593" s="1008">
        <v>26746</v>
      </c>
      <c r="B593" s="1008">
        <v>111</v>
      </c>
      <c r="C593" s="1008">
        <v>10</v>
      </c>
      <c r="D593" s="1009">
        <v>15230119</v>
      </c>
      <c r="E593" s="1009">
        <v>15230101</v>
      </c>
      <c r="F593" s="1007" t="s">
        <v>4332</v>
      </c>
      <c r="G593" s="1007">
        <v>8</v>
      </c>
      <c r="H593" s="1010">
        <v>99999999</v>
      </c>
      <c r="I593" s="1009">
        <v>15230101</v>
      </c>
      <c r="J593" s="1007" t="s">
        <v>4332</v>
      </c>
      <c r="O593" s="1007" t="s">
        <v>648</v>
      </c>
      <c r="P593" s="1007" t="s">
        <v>648</v>
      </c>
      <c r="S593" s="1008" t="s">
        <v>650</v>
      </c>
      <c r="T593" s="1008" t="s">
        <v>654</v>
      </c>
      <c r="U593" s="1008" t="s">
        <v>649</v>
      </c>
      <c r="V593" s="1008" t="s">
        <v>648</v>
      </c>
      <c r="W593" s="1008" t="s">
        <v>546</v>
      </c>
      <c r="X593" s="1008" t="s">
        <v>670</v>
      </c>
      <c r="Y593" s="1008" t="s">
        <v>670</v>
      </c>
      <c r="Z593" s="1008" t="s">
        <v>670</v>
      </c>
      <c r="AA593" s="1008"/>
      <c r="AB593" s="1008" t="s">
        <v>670</v>
      </c>
      <c r="AC593" s="1008"/>
      <c r="AD593" s="1008"/>
      <c r="AE593" s="1008"/>
      <c r="AF593" s="1008" t="s">
        <v>670</v>
      </c>
      <c r="AG593" s="1008"/>
      <c r="AH593" s="1008"/>
      <c r="AI593" s="1008"/>
    </row>
    <row r="594" spans="1:35">
      <c r="A594" s="1008">
        <v>27160</v>
      </c>
      <c r="B594" s="1008">
        <v>6120</v>
      </c>
      <c r="C594" s="1008">
        <v>10</v>
      </c>
      <c r="D594" s="1009">
        <v>15230119</v>
      </c>
      <c r="E594" s="1009">
        <v>15230102</v>
      </c>
      <c r="F594" s="1007" t="s">
        <v>4331</v>
      </c>
      <c r="G594" s="1007" t="s">
        <v>648</v>
      </c>
      <c r="H594" s="1010">
        <v>99999999</v>
      </c>
      <c r="I594" s="1009">
        <v>15230102</v>
      </c>
      <c r="J594" s="1007" t="s">
        <v>4331</v>
      </c>
      <c r="O594" s="1007" t="s">
        <v>648</v>
      </c>
      <c r="P594" s="1007" t="s">
        <v>648</v>
      </c>
      <c r="S594" s="1008" t="s">
        <v>650</v>
      </c>
      <c r="T594" s="1008" t="s">
        <v>654</v>
      </c>
      <c r="U594" s="1008" t="s">
        <v>649</v>
      </c>
      <c r="V594" s="1008" t="s">
        <v>648</v>
      </c>
      <c r="W594" s="1008" t="s">
        <v>546</v>
      </c>
      <c r="X594" s="1008" t="s">
        <v>670</v>
      </c>
      <c r="Y594" s="1008" t="s">
        <v>670</v>
      </c>
      <c r="Z594" s="1008" t="s">
        <v>670</v>
      </c>
      <c r="AA594" s="1008"/>
      <c r="AB594" s="1008" t="s">
        <v>670</v>
      </c>
      <c r="AC594" s="1008"/>
      <c r="AD594" s="1008"/>
      <c r="AE594" s="1008"/>
      <c r="AF594" s="1008" t="s">
        <v>670</v>
      </c>
      <c r="AG594" s="1008"/>
      <c r="AH594" s="1008"/>
      <c r="AI594" s="1008"/>
    </row>
    <row r="595" spans="1:35">
      <c r="A595" s="1008">
        <v>27162</v>
      </c>
      <c r="B595" s="1008">
        <v>6122</v>
      </c>
      <c r="C595" s="1008">
        <v>10</v>
      </c>
      <c r="D595" s="1009">
        <v>15230119</v>
      </c>
      <c r="E595" s="1009">
        <v>15230103</v>
      </c>
      <c r="F595" s="1007" t="s">
        <v>4330</v>
      </c>
      <c r="G595" s="1007" t="s">
        <v>648</v>
      </c>
      <c r="H595" s="1010">
        <v>99999999</v>
      </c>
      <c r="I595" s="1009">
        <v>15230103</v>
      </c>
      <c r="J595" s="1007" t="s">
        <v>4330</v>
      </c>
      <c r="O595" s="1007" t="s">
        <v>648</v>
      </c>
      <c r="P595" s="1007" t="s">
        <v>648</v>
      </c>
      <c r="S595" s="1008" t="s">
        <v>650</v>
      </c>
      <c r="T595" s="1008" t="s">
        <v>654</v>
      </c>
      <c r="U595" s="1008" t="s">
        <v>649</v>
      </c>
      <c r="V595" s="1008" t="s">
        <v>648</v>
      </c>
      <c r="W595" s="1008" t="s">
        <v>546</v>
      </c>
      <c r="X595" s="1008" t="s">
        <v>670</v>
      </c>
      <c r="Y595" s="1008" t="s">
        <v>670</v>
      </c>
      <c r="Z595" s="1008" t="s">
        <v>670</v>
      </c>
      <c r="AA595" s="1008"/>
      <c r="AB595" s="1008" t="s">
        <v>670</v>
      </c>
      <c r="AC595" s="1008"/>
      <c r="AD595" s="1008"/>
      <c r="AE595" s="1008"/>
      <c r="AF595" s="1008" t="s">
        <v>670</v>
      </c>
      <c r="AG595" s="1008"/>
      <c r="AH595" s="1008"/>
      <c r="AI595" s="1008"/>
    </row>
    <row r="596" spans="1:35">
      <c r="A596" s="1008">
        <v>27161</v>
      </c>
      <c r="B596" s="1008">
        <v>6121</v>
      </c>
      <c r="C596" s="1008">
        <v>10</v>
      </c>
      <c r="D596" s="1009">
        <v>15230119</v>
      </c>
      <c r="E596" s="1009">
        <v>15230104</v>
      </c>
      <c r="F596" s="1007" t="s">
        <v>4329</v>
      </c>
      <c r="G596" s="1007" t="s">
        <v>648</v>
      </c>
      <c r="H596" s="1010">
        <v>99999999</v>
      </c>
      <c r="I596" s="1009">
        <v>15230104</v>
      </c>
      <c r="J596" s="1007" t="s">
        <v>4329</v>
      </c>
      <c r="O596" s="1007" t="s">
        <v>648</v>
      </c>
      <c r="P596" s="1007" t="s">
        <v>648</v>
      </c>
      <c r="S596" s="1008" t="s">
        <v>650</v>
      </c>
      <c r="T596" s="1008" t="s">
        <v>654</v>
      </c>
      <c r="U596" s="1008" t="s">
        <v>649</v>
      </c>
      <c r="V596" s="1008" t="s">
        <v>648</v>
      </c>
      <c r="W596" s="1008" t="s">
        <v>546</v>
      </c>
      <c r="X596" s="1008" t="s">
        <v>670</v>
      </c>
      <c r="Y596" s="1008" t="s">
        <v>670</v>
      </c>
      <c r="Z596" s="1008" t="s">
        <v>670</v>
      </c>
      <c r="AA596" s="1008"/>
      <c r="AB596" s="1008" t="s">
        <v>670</v>
      </c>
      <c r="AC596" s="1008"/>
      <c r="AD596" s="1008"/>
      <c r="AE596" s="1008"/>
      <c r="AF596" s="1008" t="s">
        <v>670</v>
      </c>
      <c r="AG596" s="1008"/>
      <c r="AH596" s="1008"/>
      <c r="AI596" s="1008"/>
    </row>
    <row r="597" spans="1:35">
      <c r="A597" s="1008">
        <v>27163</v>
      </c>
      <c r="B597" s="1008">
        <v>6123</v>
      </c>
      <c r="C597" s="1008">
        <v>10</v>
      </c>
      <c r="D597" s="1009">
        <v>15230119</v>
      </c>
      <c r="E597" s="1009">
        <v>15230105</v>
      </c>
      <c r="F597" s="1007" t="s">
        <v>4328</v>
      </c>
      <c r="G597" s="1007" t="s">
        <v>648</v>
      </c>
      <c r="H597" s="1010">
        <v>99999999</v>
      </c>
      <c r="I597" s="1009">
        <v>15230105</v>
      </c>
      <c r="J597" s="1007" t="s">
        <v>4328</v>
      </c>
      <c r="O597" s="1007" t="s">
        <v>648</v>
      </c>
      <c r="P597" s="1007" t="s">
        <v>648</v>
      </c>
      <c r="S597" s="1008" t="s">
        <v>650</v>
      </c>
      <c r="T597" s="1008" t="s">
        <v>654</v>
      </c>
      <c r="U597" s="1008" t="s">
        <v>649</v>
      </c>
      <c r="V597" s="1008" t="s">
        <v>648</v>
      </c>
      <c r="W597" s="1008" t="s">
        <v>546</v>
      </c>
      <c r="X597" s="1008" t="s">
        <v>670</v>
      </c>
      <c r="Y597" s="1008" t="s">
        <v>670</v>
      </c>
      <c r="Z597" s="1008" t="s">
        <v>670</v>
      </c>
      <c r="AA597" s="1008"/>
      <c r="AB597" s="1008" t="s">
        <v>670</v>
      </c>
      <c r="AC597" s="1008"/>
      <c r="AD597" s="1008"/>
      <c r="AE597" s="1008"/>
      <c r="AF597" s="1008" t="s">
        <v>670</v>
      </c>
      <c r="AG597" s="1008"/>
      <c r="AH597" s="1008"/>
      <c r="AI597" s="1008"/>
    </row>
    <row r="598" spans="1:35" hidden="1">
      <c r="A598" s="1008">
        <v>27164</v>
      </c>
      <c r="C598" s="1008">
        <v>9</v>
      </c>
      <c r="D598" s="1009">
        <v>15230999</v>
      </c>
      <c r="E598" s="1009">
        <v>15230119</v>
      </c>
      <c r="F598" s="1007" t="s">
        <v>4327</v>
      </c>
      <c r="O598" s="1007" t="s">
        <v>648</v>
      </c>
      <c r="P598" s="1007" t="s">
        <v>648</v>
      </c>
      <c r="S598" s="1008" t="s">
        <v>650</v>
      </c>
      <c r="T598" s="1008" t="s">
        <v>21</v>
      </c>
      <c r="U598" s="1008" t="s">
        <v>649</v>
      </c>
      <c r="V598" s="1008" t="s">
        <v>648</v>
      </c>
      <c r="W598" s="1008" t="s">
        <v>546</v>
      </c>
      <c r="X598" s="1008"/>
      <c r="Y598" s="1008"/>
      <c r="Z598" s="1008"/>
      <c r="AA598" s="1008"/>
      <c r="AB598" s="1008"/>
      <c r="AC598" s="1008"/>
      <c r="AD598" s="1008"/>
      <c r="AE598" s="1008"/>
      <c r="AF598" s="1008"/>
      <c r="AG598" s="1008"/>
      <c r="AH598" s="1008"/>
      <c r="AI598" s="1008"/>
    </row>
    <row r="599" spans="1:35" hidden="1">
      <c r="A599" s="1008">
        <v>27165</v>
      </c>
      <c r="C599" s="1008">
        <v>9</v>
      </c>
      <c r="D599" s="1009">
        <v>15230139</v>
      </c>
      <c r="E599" s="1009">
        <v>15230120</v>
      </c>
      <c r="F599" s="1007" t="s">
        <v>4326</v>
      </c>
      <c r="O599" s="1007" t="s">
        <v>648</v>
      </c>
      <c r="P599" s="1007" t="s">
        <v>648</v>
      </c>
      <c r="S599" s="1008" t="s">
        <v>650</v>
      </c>
      <c r="T599" s="1008" t="s">
        <v>675</v>
      </c>
      <c r="U599" s="1008" t="s">
        <v>649</v>
      </c>
      <c r="V599" s="1008" t="s">
        <v>648</v>
      </c>
      <c r="W599" s="1008" t="s">
        <v>546</v>
      </c>
      <c r="X599" s="1008"/>
      <c r="Y599" s="1008"/>
      <c r="Z599" s="1008"/>
      <c r="AA599" s="1008"/>
      <c r="AB599" s="1008"/>
      <c r="AC599" s="1008"/>
      <c r="AD599" s="1008"/>
      <c r="AE599" s="1008"/>
      <c r="AF599" s="1008"/>
      <c r="AG599" s="1008"/>
      <c r="AH599" s="1008"/>
      <c r="AI599" s="1008"/>
    </row>
    <row r="600" spans="1:35">
      <c r="A600" s="1008">
        <v>26747</v>
      </c>
      <c r="B600" s="1008">
        <v>112</v>
      </c>
      <c r="C600" s="1008">
        <v>10</v>
      </c>
      <c r="D600" s="1009">
        <v>15230139</v>
      </c>
      <c r="E600" s="1009">
        <v>15230121</v>
      </c>
      <c r="F600" s="1007" t="s">
        <v>4325</v>
      </c>
      <c r="G600" s="1007">
        <v>8</v>
      </c>
      <c r="H600" s="1010">
        <v>99999999</v>
      </c>
      <c r="I600" s="1009">
        <v>15230121</v>
      </c>
      <c r="J600" s="1007" t="s">
        <v>4325</v>
      </c>
      <c r="O600" s="1007" t="s">
        <v>648</v>
      </c>
      <c r="P600" s="1007" t="s">
        <v>648</v>
      </c>
      <c r="S600" s="1008" t="s">
        <v>650</v>
      </c>
      <c r="T600" s="1008" t="s">
        <v>654</v>
      </c>
      <c r="U600" s="1008" t="s">
        <v>649</v>
      </c>
      <c r="V600" s="1008" t="s">
        <v>648</v>
      </c>
      <c r="W600" s="1008" t="s">
        <v>546</v>
      </c>
      <c r="X600" s="1008" t="s">
        <v>670</v>
      </c>
      <c r="Y600" s="1008" t="s">
        <v>670</v>
      </c>
      <c r="Z600" s="1008" t="s">
        <v>670</v>
      </c>
      <c r="AA600" s="1008"/>
      <c r="AB600" s="1008" t="s">
        <v>670</v>
      </c>
      <c r="AC600" s="1008"/>
      <c r="AD600" s="1008"/>
      <c r="AE600" s="1008"/>
      <c r="AF600" s="1008" t="s">
        <v>670</v>
      </c>
      <c r="AG600" s="1008"/>
      <c r="AH600" s="1008"/>
      <c r="AI600" s="1008"/>
    </row>
    <row r="601" spans="1:35">
      <c r="A601" s="1008">
        <v>27166</v>
      </c>
      <c r="B601" s="1008">
        <v>6124</v>
      </c>
      <c r="C601" s="1008">
        <v>10</v>
      </c>
      <c r="D601" s="1009">
        <v>15230139</v>
      </c>
      <c r="E601" s="1009">
        <v>15230122</v>
      </c>
      <c r="F601" s="1007" t="s">
        <v>4324</v>
      </c>
      <c r="G601" s="1007" t="s">
        <v>648</v>
      </c>
      <c r="H601" s="1010">
        <v>99999999</v>
      </c>
      <c r="I601" s="1009">
        <v>15230122</v>
      </c>
      <c r="J601" s="1007" t="s">
        <v>4324</v>
      </c>
      <c r="O601" s="1007" t="s">
        <v>648</v>
      </c>
      <c r="P601" s="1007" t="s">
        <v>648</v>
      </c>
      <c r="S601" s="1008" t="s">
        <v>650</v>
      </c>
      <c r="T601" s="1008" t="s">
        <v>654</v>
      </c>
      <c r="U601" s="1008" t="s">
        <v>649</v>
      </c>
      <c r="V601" s="1008" t="s">
        <v>648</v>
      </c>
      <c r="W601" s="1008" t="s">
        <v>546</v>
      </c>
      <c r="X601" s="1008" t="s">
        <v>670</v>
      </c>
      <c r="Y601" s="1008" t="s">
        <v>670</v>
      </c>
      <c r="Z601" s="1008" t="s">
        <v>670</v>
      </c>
      <c r="AA601" s="1008"/>
      <c r="AB601" s="1008" t="s">
        <v>670</v>
      </c>
      <c r="AC601" s="1008"/>
      <c r="AD601" s="1008"/>
      <c r="AE601" s="1008"/>
      <c r="AF601" s="1008" t="s">
        <v>670</v>
      </c>
      <c r="AG601" s="1008"/>
      <c r="AH601" s="1008"/>
      <c r="AI601" s="1008"/>
    </row>
    <row r="602" spans="1:35">
      <c r="A602" s="1008">
        <v>27167</v>
      </c>
      <c r="B602" s="1008">
        <v>6125</v>
      </c>
      <c r="C602" s="1008">
        <v>10</v>
      </c>
      <c r="D602" s="1009">
        <v>15230139</v>
      </c>
      <c r="E602" s="1009">
        <v>15230123</v>
      </c>
      <c r="F602" s="1007" t="s">
        <v>4323</v>
      </c>
      <c r="G602" s="1007" t="s">
        <v>648</v>
      </c>
      <c r="H602" s="1010">
        <v>99999999</v>
      </c>
      <c r="I602" s="1009">
        <v>15230123</v>
      </c>
      <c r="J602" s="1007" t="s">
        <v>4323</v>
      </c>
      <c r="O602" s="1007" t="s">
        <v>648</v>
      </c>
      <c r="P602" s="1007" t="s">
        <v>648</v>
      </c>
      <c r="S602" s="1008" t="s">
        <v>650</v>
      </c>
      <c r="T602" s="1008" t="s">
        <v>654</v>
      </c>
      <c r="U602" s="1008" t="s">
        <v>649</v>
      </c>
      <c r="V602" s="1008" t="s">
        <v>648</v>
      </c>
      <c r="W602" s="1008" t="s">
        <v>546</v>
      </c>
      <c r="X602" s="1008" t="s">
        <v>670</v>
      </c>
      <c r="Y602" s="1008" t="s">
        <v>670</v>
      </c>
      <c r="Z602" s="1008" t="s">
        <v>670</v>
      </c>
      <c r="AA602" s="1008"/>
      <c r="AB602" s="1008" t="s">
        <v>670</v>
      </c>
      <c r="AC602" s="1008"/>
      <c r="AD602" s="1008"/>
      <c r="AE602" s="1008"/>
      <c r="AF602" s="1008" t="s">
        <v>670</v>
      </c>
      <c r="AG602" s="1008"/>
      <c r="AH602" s="1008"/>
      <c r="AI602" s="1008"/>
    </row>
    <row r="603" spans="1:35">
      <c r="A603" s="1008">
        <v>27168</v>
      </c>
      <c r="B603" s="1008">
        <v>6126</v>
      </c>
      <c r="C603" s="1008">
        <v>10</v>
      </c>
      <c r="D603" s="1009">
        <v>15230139</v>
      </c>
      <c r="E603" s="1009">
        <v>15230124</v>
      </c>
      <c r="F603" s="1007" t="s">
        <v>4322</v>
      </c>
      <c r="G603" s="1007" t="s">
        <v>648</v>
      </c>
      <c r="H603" s="1010">
        <v>99999999</v>
      </c>
      <c r="I603" s="1009">
        <v>15230124</v>
      </c>
      <c r="J603" s="1007" t="s">
        <v>4322</v>
      </c>
      <c r="O603" s="1007" t="s">
        <v>648</v>
      </c>
      <c r="P603" s="1007" t="s">
        <v>648</v>
      </c>
      <c r="S603" s="1008" t="s">
        <v>650</v>
      </c>
      <c r="T603" s="1008" t="s">
        <v>654</v>
      </c>
      <c r="U603" s="1008" t="s">
        <v>649</v>
      </c>
      <c r="V603" s="1008" t="s">
        <v>648</v>
      </c>
      <c r="W603" s="1008" t="s">
        <v>546</v>
      </c>
      <c r="X603" s="1008" t="s">
        <v>670</v>
      </c>
      <c r="Y603" s="1008" t="s">
        <v>670</v>
      </c>
      <c r="Z603" s="1008" t="s">
        <v>670</v>
      </c>
      <c r="AA603" s="1008"/>
      <c r="AB603" s="1008" t="s">
        <v>670</v>
      </c>
      <c r="AC603" s="1008"/>
      <c r="AD603" s="1008"/>
      <c r="AE603" s="1008"/>
      <c r="AF603" s="1008" t="s">
        <v>670</v>
      </c>
      <c r="AG603" s="1008"/>
      <c r="AH603" s="1008"/>
      <c r="AI603" s="1008"/>
    </row>
    <row r="604" spans="1:35">
      <c r="A604" s="1008">
        <v>27169</v>
      </c>
      <c r="B604" s="1008">
        <v>6127</v>
      </c>
      <c r="C604" s="1008">
        <v>10</v>
      </c>
      <c r="D604" s="1009">
        <v>15230139</v>
      </c>
      <c r="E604" s="1009">
        <v>15230125</v>
      </c>
      <c r="F604" s="1007" t="s">
        <v>4321</v>
      </c>
      <c r="G604" s="1007" t="s">
        <v>648</v>
      </c>
      <c r="H604" s="1010">
        <v>99999999</v>
      </c>
      <c r="I604" s="1009">
        <v>15230125</v>
      </c>
      <c r="J604" s="1007" t="s">
        <v>4321</v>
      </c>
      <c r="O604" s="1007" t="s">
        <v>648</v>
      </c>
      <c r="P604" s="1007" t="s">
        <v>648</v>
      </c>
      <c r="S604" s="1008" t="s">
        <v>650</v>
      </c>
      <c r="T604" s="1008" t="s">
        <v>654</v>
      </c>
      <c r="U604" s="1008" t="s">
        <v>649</v>
      </c>
      <c r="V604" s="1008" t="s">
        <v>648</v>
      </c>
      <c r="W604" s="1008" t="s">
        <v>546</v>
      </c>
      <c r="X604" s="1008" t="s">
        <v>670</v>
      </c>
      <c r="Y604" s="1008" t="s">
        <v>670</v>
      </c>
      <c r="Z604" s="1008" t="s">
        <v>670</v>
      </c>
      <c r="AA604" s="1008"/>
      <c r="AB604" s="1008" t="s">
        <v>670</v>
      </c>
      <c r="AC604" s="1008"/>
      <c r="AD604" s="1008"/>
      <c r="AE604" s="1008"/>
      <c r="AF604" s="1008" t="s">
        <v>670</v>
      </c>
      <c r="AG604" s="1008"/>
      <c r="AH604" s="1008"/>
      <c r="AI604" s="1008"/>
    </row>
    <row r="605" spans="1:35">
      <c r="A605" s="1008">
        <v>27170</v>
      </c>
      <c r="B605" s="1008">
        <v>6128</v>
      </c>
      <c r="C605" s="1008">
        <v>10</v>
      </c>
      <c r="D605" s="1009">
        <v>15230139</v>
      </c>
      <c r="E605" s="1009">
        <v>15230126</v>
      </c>
      <c r="F605" s="1007" t="s">
        <v>4320</v>
      </c>
      <c r="G605" s="1007" t="s">
        <v>648</v>
      </c>
      <c r="H605" s="1010">
        <v>99999999</v>
      </c>
      <c r="I605" s="1009">
        <v>15230126</v>
      </c>
      <c r="J605" s="1007" t="s">
        <v>4320</v>
      </c>
      <c r="O605" s="1007" t="s">
        <v>648</v>
      </c>
      <c r="P605" s="1007" t="s">
        <v>648</v>
      </c>
      <c r="S605" s="1008" t="s">
        <v>650</v>
      </c>
      <c r="T605" s="1008" t="s">
        <v>654</v>
      </c>
      <c r="U605" s="1008" t="s">
        <v>649</v>
      </c>
      <c r="V605" s="1008" t="s">
        <v>648</v>
      </c>
      <c r="W605" s="1008" t="s">
        <v>546</v>
      </c>
      <c r="X605" s="1008" t="s">
        <v>670</v>
      </c>
      <c r="Y605" s="1008" t="s">
        <v>670</v>
      </c>
      <c r="Z605" s="1008" t="s">
        <v>670</v>
      </c>
      <c r="AA605" s="1008"/>
      <c r="AB605" s="1008" t="s">
        <v>670</v>
      </c>
      <c r="AC605" s="1008"/>
      <c r="AD605" s="1008"/>
      <c r="AE605" s="1008"/>
      <c r="AF605" s="1008" t="s">
        <v>670</v>
      </c>
      <c r="AG605" s="1008"/>
      <c r="AH605" s="1008"/>
      <c r="AI605" s="1008"/>
    </row>
    <row r="606" spans="1:35">
      <c r="A606" s="1008">
        <v>27171</v>
      </c>
      <c r="B606" s="1008">
        <v>6129</v>
      </c>
      <c r="C606" s="1008">
        <v>10</v>
      </c>
      <c r="D606" s="1009">
        <v>15230139</v>
      </c>
      <c r="E606" s="1009">
        <v>15230127</v>
      </c>
      <c r="F606" s="1007" t="s">
        <v>4319</v>
      </c>
      <c r="G606" s="1007" t="s">
        <v>648</v>
      </c>
      <c r="H606" s="1010">
        <v>99999999</v>
      </c>
      <c r="I606" s="1009">
        <v>15230127</v>
      </c>
      <c r="J606" s="1007" t="s">
        <v>4319</v>
      </c>
      <c r="O606" s="1007" t="s">
        <v>648</v>
      </c>
      <c r="P606" s="1007" t="s">
        <v>648</v>
      </c>
      <c r="S606" s="1008" t="s">
        <v>650</v>
      </c>
      <c r="T606" s="1008" t="s">
        <v>654</v>
      </c>
      <c r="U606" s="1008" t="s">
        <v>649</v>
      </c>
      <c r="V606" s="1008" t="s">
        <v>648</v>
      </c>
      <c r="W606" s="1008" t="s">
        <v>546</v>
      </c>
      <c r="X606" s="1008" t="s">
        <v>670</v>
      </c>
      <c r="Y606" s="1008" t="s">
        <v>670</v>
      </c>
      <c r="Z606" s="1008" t="s">
        <v>670</v>
      </c>
      <c r="AA606" s="1008"/>
      <c r="AB606" s="1008" t="s">
        <v>670</v>
      </c>
      <c r="AC606" s="1008"/>
      <c r="AD606" s="1008"/>
      <c r="AE606" s="1008"/>
      <c r="AF606" s="1008" t="s">
        <v>670</v>
      </c>
      <c r="AG606" s="1008"/>
      <c r="AH606" s="1008"/>
      <c r="AI606" s="1008"/>
    </row>
    <row r="607" spans="1:35" hidden="1">
      <c r="A607" s="1008">
        <v>27172</v>
      </c>
      <c r="C607" s="1008">
        <v>9</v>
      </c>
      <c r="D607" s="1009">
        <v>15230999</v>
      </c>
      <c r="E607" s="1009">
        <v>15230139</v>
      </c>
      <c r="F607" s="1007" t="s">
        <v>4318</v>
      </c>
      <c r="O607" s="1007" t="s">
        <v>648</v>
      </c>
      <c r="P607" s="1007" t="s">
        <v>648</v>
      </c>
      <c r="S607" s="1008" t="s">
        <v>650</v>
      </c>
      <c r="T607" s="1008" t="s">
        <v>21</v>
      </c>
      <c r="U607" s="1008" t="s">
        <v>649</v>
      </c>
      <c r="V607" s="1008" t="s">
        <v>648</v>
      </c>
      <c r="W607" s="1008" t="s">
        <v>546</v>
      </c>
      <c r="X607" s="1008"/>
      <c r="Y607" s="1008"/>
      <c r="Z607" s="1008"/>
      <c r="AA607" s="1008"/>
      <c r="AB607" s="1008"/>
      <c r="AC607" s="1008"/>
      <c r="AD607" s="1008"/>
      <c r="AE607" s="1008"/>
      <c r="AF607" s="1008"/>
      <c r="AG607" s="1008"/>
      <c r="AH607" s="1008"/>
      <c r="AI607" s="1008"/>
    </row>
    <row r="608" spans="1:35" hidden="1">
      <c r="A608" s="1008">
        <v>27173</v>
      </c>
      <c r="C608" s="1008">
        <v>9</v>
      </c>
      <c r="D608" s="1009">
        <v>15230159</v>
      </c>
      <c r="E608" s="1009">
        <v>15230140</v>
      </c>
      <c r="F608" s="1007" t="s">
        <v>4317</v>
      </c>
      <c r="O608" s="1007" t="s">
        <v>648</v>
      </c>
      <c r="P608" s="1007" t="s">
        <v>648</v>
      </c>
      <c r="S608" s="1008" t="s">
        <v>650</v>
      </c>
      <c r="T608" s="1008" t="s">
        <v>675</v>
      </c>
      <c r="U608" s="1008" t="s">
        <v>649</v>
      </c>
      <c r="V608" s="1008" t="s">
        <v>648</v>
      </c>
      <c r="W608" s="1008" t="s">
        <v>546</v>
      </c>
      <c r="X608" s="1008"/>
      <c r="Y608" s="1008"/>
      <c r="Z608" s="1008"/>
      <c r="AA608" s="1008"/>
      <c r="AB608" s="1008"/>
      <c r="AC608" s="1008"/>
      <c r="AD608" s="1008"/>
      <c r="AE608" s="1008"/>
      <c r="AF608" s="1008"/>
      <c r="AG608" s="1008"/>
      <c r="AH608" s="1008"/>
      <c r="AI608" s="1008"/>
    </row>
    <row r="609" spans="1:35">
      <c r="A609" s="1008">
        <v>26751</v>
      </c>
      <c r="B609" s="1008">
        <v>117</v>
      </c>
      <c r="C609" s="1008">
        <v>10</v>
      </c>
      <c r="D609" s="1009">
        <v>15230159</v>
      </c>
      <c r="E609" s="1009">
        <v>15230141</v>
      </c>
      <c r="F609" s="1007" t="s">
        <v>4316</v>
      </c>
      <c r="G609" s="1007">
        <v>8</v>
      </c>
      <c r="H609" s="1010">
        <v>99999999</v>
      </c>
      <c r="I609" s="1009">
        <v>15230141</v>
      </c>
      <c r="J609" s="1007" t="s">
        <v>4316</v>
      </c>
      <c r="O609" s="1007" t="s">
        <v>648</v>
      </c>
      <c r="P609" s="1007" t="s">
        <v>648</v>
      </c>
      <c r="S609" s="1008" t="s">
        <v>650</v>
      </c>
      <c r="T609" s="1008" t="s">
        <v>654</v>
      </c>
      <c r="U609" s="1008" t="s">
        <v>649</v>
      </c>
      <c r="V609" s="1008" t="s">
        <v>648</v>
      </c>
      <c r="W609" s="1008" t="s">
        <v>546</v>
      </c>
      <c r="X609" s="1008" t="s">
        <v>670</v>
      </c>
      <c r="Y609" s="1008" t="s">
        <v>670</v>
      </c>
      <c r="Z609" s="1008" t="s">
        <v>670</v>
      </c>
      <c r="AA609" s="1008"/>
      <c r="AB609" s="1008" t="s">
        <v>670</v>
      </c>
      <c r="AC609" s="1008"/>
      <c r="AD609" s="1008"/>
      <c r="AE609" s="1008"/>
      <c r="AF609" s="1008" t="s">
        <v>670</v>
      </c>
      <c r="AG609" s="1008"/>
      <c r="AH609" s="1008"/>
      <c r="AI609" s="1008"/>
    </row>
    <row r="610" spans="1:35">
      <c r="A610" s="1008">
        <v>27174</v>
      </c>
      <c r="B610" s="1008">
        <v>6130</v>
      </c>
      <c r="C610" s="1008">
        <v>10</v>
      </c>
      <c r="D610" s="1009">
        <v>15230159</v>
      </c>
      <c r="E610" s="1009">
        <v>15230142</v>
      </c>
      <c r="F610" s="1007" t="s">
        <v>4315</v>
      </c>
      <c r="G610" s="1007" t="s">
        <v>648</v>
      </c>
      <c r="H610" s="1010">
        <v>99999999</v>
      </c>
      <c r="I610" s="1009">
        <v>15230142</v>
      </c>
      <c r="J610" s="1007" t="s">
        <v>4315</v>
      </c>
      <c r="O610" s="1007" t="s">
        <v>648</v>
      </c>
      <c r="P610" s="1007" t="s">
        <v>648</v>
      </c>
      <c r="S610" s="1008" t="s">
        <v>650</v>
      </c>
      <c r="T610" s="1008" t="s">
        <v>654</v>
      </c>
      <c r="U610" s="1008" t="s">
        <v>649</v>
      </c>
      <c r="V610" s="1008" t="s">
        <v>648</v>
      </c>
      <c r="W610" s="1008" t="s">
        <v>546</v>
      </c>
      <c r="X610" s="1008" t="s">
        <v>670</v>
      </c>
      <c r="Y610" s="1008" t="s">
        <v>670</v>
      </c>
      <c r="Z610" s="1008" t="s">
        <v>670</v>
      </c>
      <c r="AA610" s="1008"/>
      <c r="AB610" s="1008" t="s">
        <v>670</v>
      </c>
      <c r="AC610" s="1008"/>
      <c r="AD610" s="1008"/>
      <c r="AE610" s="1008"/>
      <c r="AF610" s="1008" t="s">
        <v>670</v>
      </c>
      <c r="AG610" s="1008"/>
      <c r="AH610" s="1008"/>
      <c r="AI610" s="1008"/>
    </row>
    <row r="611" spans="1:35">
      <c r="A611" s="1008">
        <v>27175</v>
      </c>
      <c r="B611" s="1008">
        <v>6131</v>
      </c>
      <c r="C611" s="1008">
        <v>10</v>
      </c>
      <c r="D611" s="1009">
        <v>15230159</v>
      </c>
      <c r="E611" s="1009">
        <v>15230143</v>
      </c>
      <c r="F611" s="1007" t="s">
        <v>4314</v>
      </c>
      <c r="G611" s="1007" t="s">
        <v>648</v>
      </c>
      <c r="H611" s="1010">
        <v>99999999</v>
      </c>
      <c r="I611" s="1009">
        <v>15230143</v>
      </c>
      <c r="J611" s="1007" t="s">
        <v>4314</v>
      </c>
      <c r="O611" s="1007" t="s">
        <v>648</v>
      </c>
      <c r="P611" s="1007" t="s">
        <v>648</v>
      </c>
      <c r="S611" s="1008" t="s">
        <v>650</v>
      </c>
      <c r="T611" s="1008" t="s">
        <v>654</v>
      </c>
      <c r="U611" s="1008" t="s">
        <v>649</v>
      </c>
      <c r="V611" s="1008" t="s">
        <v>648</v>
      </c>
      <c r="W611" s="1008" t="s">
        <v>546</v>
      </c>
      <c r="X611" s="1008" t="s">
        <v>670</v>
      </c>
      <c r="Y611" s="1008" t="s">
        <v>670</v>
      </c>
      <c r="Z611" s="1008" t="s">
        <v>670</v>
      </c>
      <c r="AA611" s="1008"/>
      <c r="AB611" s="1008" t="s">
        <v>670</v>
      </c>
      <c r="AC611" s="1008"/>
      <c r="AD611" s="1008"/>
      <c r="AE611" s="1008"/>
      <c r="AF611" s="1008" t="s">
        <v>670</v>
      </c>
      <c r="AG611" s="1008"/>
      <c r="AH611" s="1008"/>
      <c r="AI611" s="1008"/>
    </row>
    <row r="612" spans="1:35">
      <c r="A612" s="1008">
        <v>27176</v>
      </c>
      <c r="B612" s="1008">
        <v>6132</v>
      </c>
      <c r="C612" s="1008">
        <v>10</v>
      </c>
      <c r="D612" s="1009">
        <v>15230159</v>
      </c>
      <c r="E612" s="1009">
        <v>15230144</v>
      </c>
      <c r="F612" s="1007" t="s">
        <v>4313</v>
      </c>
      <c r="G612" s="1007" t="s">
        <v>648</v>
      </c>
      <c r="H612" s="1010">
        <v>99999999</v>
      </c>
      <c r="I612" s="1009">
        <v>15230144</v>
      </c>
      <c r="J612" s="1007" t="s">
        <v>4313</v>
      </c>
      <c r="O612" s="1007" t="s">
        <v>648</v>
      </c>
      <c r="P612" s="1007" t="s">
        <v>648</v>
      </c>
      <c r="S612" s="1008" t="s">
        <v>650</v>
      </c>
      <c r="T612" s="1008" t="s">
        <v>654</v>
      </c>
      <c r="U612" s="1008" t="s">
        <v>649</v>
      </c>
      <c r="V612" s="1008" t="s">
        <v>648</v>
      </c>
      <c r="W612" s="1008" t="s">
        <v>546</v>
      </c>
      <c r="X612" s="1008" t="s">
        <v>670</v>
      </c>
      <c r="Y612" s="1008" t="s">
        <v>670</v>
      </c>
      <c r="Z612" s="1008" t="s">
        <v>670</v>
      </c>
      <c r="AA612" s="1008"/>
      <c r="AB612" s="1008" t="s">
        <v>670</v>
      </c>
      <c r="AC612" s="1008"/>
      <c r="AD612" s="1008"/>
      <c r="AE612" s="1008"/>
      <c r="AF612" s="1008" t="s">
        <v>670</v>
      </c>
      <c r="AG612" s="1008"/>
      <c r="AH612" s="1008"/>
      <c r="AI612" s="1008"/>
    </row>
    <row r="613" spans="1:35" hidden="1">
      <c r="A613" s="1008">
        <v>27177</v>
      </c>
      <c r="C613" s="1008">
        <v>9</v>
      </c>
      <c r="D613" s="1009">
        <v>15230999</v>
      </c>
      <c r="E613" s="1009">
        <v>15230159</v>
      </c>
      <c r="F613" s="1007" t="s">
        <v>4312</v>
      </c>
      <c r="O613" s="1007" t="s">
        <v>648</v>
      </c>
      <c r="P613" s="1007" t="s">
        <v>648</v>
      </c>
      <c r="S613" s="1008" t="s">
        <v>650</v>
      </c>
      <c r="T613" s="1008" t="s">
        <v>21</v>
      </c>
      <c r="U613" s="1008" t="s">
        <v>649</v>
      </c>
      <c r="V613" s="1008" t="s">
        <v>648</v>
      </c>
      <c r="W613" s="1008" t="s">
        <v>546</v>
      </c>
      <c r="X613" s="1008"/>
      <c r="Y613" s="1008"/>
      <c r="Z613" s="1008"/>
      <c r="AA613" s="1008"/>
      <c r="AB613" s="1008"/>
      <c r="AC613" s="1008"/>
      <c r="AD613" s="1008"/>
      <c r="AE613" s="1008"/>
      <c r="AF613" s="1008"/>
      <c r="AG613" s="1008"/>
      <c r="AH613" s="1008"/>
      <c r="AI613" s="1008"/>
    </row>
    <row r="614" spans="1:35" hidden="1">
      <c r="A614" s="1008">
        <v>27178</v>
      </c>
      <c r="C614" s="1008">
        <v>9</v>
      </c>
      <c r="D614" s="1009">
        <v>15230199</v>
      </c>
      <c r="E614" s="1009">
        <v>15230160</v>
      </c>
      <c r="F614" s="1007" t="s">
        <v>4311</v>
      </c>
      <c r="O614" s="1007" t="s">
        <v>648</v>
      </c>
      <c r="P614" s="1007" t="s">
        <v>648</v>
      </c>
      <c r="S614" s="1008" t="s">
        <v>650</v>
      </c>
      <c r="T614" s="1008" t="s">
        <v>675</v>
      </c>
      <c r="U614" s="1008" t="s">
        <v>649</v>
      </c>
      <c r="V614" s="1008" t="s">
        <v>648</v>
      </c>
      <c r="W614" s="1008" t="s">
        <v>546</v>
      </c>
      <c r="X614" s="1008"/>
      <c r="Y614" s="1008"/>
      <c r="Z614" s="1008"/>
      <c r="AA614" s="1008"/>
      <c r="AB614" s="1008"/>
      <c r="AC614" s="1008"/>
      <c r="AD614" s="1008"/>
      <c r="AE614" s="1008"/>
      <c r="AF614" s="1008"/>
      <c r="AG614" s="1008"/>
      <c r="AH614" s="1008"/>
      <c r="AI614" s="1008"/>
    </row>
    <row r="615" spans="1:35">
      <c r="A615" s="1008">
        <v>26754</v>
      </c>
      <c r="B615" s="1008">
        <v>120</v>
      </c>
      <c r="C615" s="1008">
        <v>10</v>
      </c>
      <c r="D615" s="1009">
        <v>15230199</v>
      </c>
      <c r="E615" s="1009">
        <v>15230161</v>
      </c>
      <c r="F615" s="1007" t="s">
        <v>4310</v>
      </c>
      <c r="G615" s="1007">
        <v>8</v>
      </c>
      <c r="H615" s="1010">
        <v>99999999</v>
      </c>
      <c r="I615" s="1009">
        <v>15230161</v>
      </c>
      <c r="J615" s="1007" t="s">
        <v>4310</v>
      </c>
      <c r="O615" s="1007" t="s">
        <v>648</v>
      </c>
      <c r="P615" s="1007" t="s">
        <v>648</v>
      </c>
      <c r="S615" s="1008" t="s">
        <v>650</v>
      </c>
      <c r="T615" s="1008" t="s">
        <v>654</v>
      </c>
      <c r="U615" s="1008" t="s">
        <v>649</v>
      </c>
      <c r="V615" s="1008" t="s">
        <v>648</v>
      </c>
      <c r="W615" s="1008" t="s">
        <v>546</v>
      </c>
      <c r="X615" s="1008" t="s">
        <v>670</v>
      </c>
      <c r="Y615" s="1008" t="s">
        <v>670</v>
      </c>
      <c r="Z615" s="1008" t="s">
        <v>670</v>
      </c>
      <c r="AA615" s="1008"/>
      <c r="AB615" s="1008" t="s">
        <v>670</v>
      </c>
      <c r="AC615" s="1008"/>
      <c r="AD615" s="1008"/>
      <c r="AE615" s="1008"/>
      <c r="AF615" s="1008" t="s">
        <v>670</v>
      </c>
      <c r="AG615" s="1008"/>
      <c r="AH615" s="1008"/>
      <c r="AI615" s="1008"/>
    </row>
    <row r="616" spans="1:35">
      <c r="A616" s="1008">
        <v>27179</v>
      </c>
      <c r="B616" s="1008">
        <v>6133</v>
      </c>
      <c r="C616" s="1008">
        <v>10</v>
      </c>
      <c r="D616" s="1009">
        <v>15230199</v>
      </c>
      <c r="E616" s="1009">
        <v>15230162</v>
      </c>
      <c r="F616" s="1007" t="s">
        <v>4309</v>
      </c>
      <c r="G616" s="1007" t="s">
        <v>648</v>
      </c>
      <c r="H616" s="1010">
        <v>99999999</v>
      </c>
      <c r="I616" s="1009">
        <v>15230162</v>
      </c>
      <c r="J616" s="1007" t="s">
        <v>4309</v>
      </c>
      <c r="O616" s="1007" t="s">
        <v>648</v>
      </c>
      <c r="P616" s="1007" t="s">
        <v>648</v>
      </c>
      <c r="S616" s="1008" t="s">
        <v>650</v>
      </c>
      <c r="T616" s="1008" t="s">
        <v>654</v>
      </c>
      <c r="U616" s="1008" t="s">
        <v>649</v>
      </c>
      <c r="V616" s="1008" t="s">
        <v>648</v>
      </c>
      <c r="W616" s="1008" t="s">
        <v>546</v>
      </c>
      <c r="X616" s="1008" t="s">
        <v>670</v>
      </c>
      <c r="Y616" s="1008" t="s">
        <v>670</v>
      </c>
      <c r="Z616" s="1008" t="s">
        <v>670</v>
      </c>
      <c r="AA616" s="1008"/>
      <c r="AB616" s="1008" t="s">
        <v>670</v>
      </c>
      <c r="AC616" s="1008"/>
      <c r="AD616" s="1008"/>
      <c r="AE616" s="1008"/>
      <c r="AF616" s="1008" t="s">
        <v>670</v>
      </c>
      <c r="AG616" s="1008"/>
      <c r="AH616" s="1008"/>
      <c r="AI616" s="1008"/>
    </row>
    <row r="617" spans="1:35">
      <c r="A617" s="1008">
        <v>27180</v>
      </c>
      <c r="B617" s="1008">
        <v>6134</v>
      </c>
      <c r="C617" s="1008">
        <v>10</v>
      </c>
      <c r="D617" s="1009">
        <v>15230199</v>
      </c>
      <c r="E617" s="1009">
        <v>15230163</v>
      </c>
      <c r="F617" s="1007" t="s">
        <v>4308</v>
      </c>
      <c r="G617" s="1007" t="s">
        <v>648</v>
      </c>
      <c r="H617" s="1010">
        <v>99999999</v>
      </c>
      <c r="I617" s="1009">
        <v>15230163</v>
      </c>
      <c r="J617" s="1007" t="s">
        <v>4308</v>
      </c>
      <c r="O617" s="1007" t="s">
        <v>648</v>
      </c>
      <c r="P617" s="1007" t="s">
        <v>648</v>
      </c>
      <c r="S617" s="1008" t="s">
        <v>650</v>
      </c>
      <c r="T617" s="1008" t="s">
        <v>654</v>
      </c>
      <c r="U617" s="1008" t="s">
        <v>649</v>
      </c>
      <c r="V617" s="1008" t="s">
        <v>648</v>
      </c>
      <c r="W617" s="1008" t="s">
        <v>546</v>
      </c>
      <c r="X617" s="1008" t="s">
        <v>670</v>
      </c>
      <c r="Y617" s="1008" t="s">
        <v>670</v>
      </c>
      <c r="Z617" s="1008" t="s">
        <v>670</v>
      </c>
      <c r="AA617" s="1008"/>
      <c r="AB617" s="1008" t="s">
        <v>670</v>
      </c>
      <c r="AC617" s="1008"/>
      <c r="AD617" s="1008"/>
      <c r="AE617" s="1008"/>
      <c r="AF617" s="1008" t="s">
        <v>670</v>
      </c>
      <c r="AG617" s="1008"/>
      <c r="AH617" s="1008"/>
      <c r="AI617" s="1008"/>
    </row>
    <row r="618" spans="1:35">
      <c r="A618" s="1008">
        <v>27181</v>
      </c>
      <c r="B618" s="1008">
        <v>6135</v>
      </c>
      <c r="C618" s="1008">
        <v>10</v>
      </c>
      <c r="D618" s="1009">
        <v>15230199</v>
      </c>
      <c r="E618" s="1009">
        <v>15230164</v>
      </c>
      <c r="F618" s="1007" t="s">
        <v>4307</v>
      </c>
      <c r="G618" s="1007" t="s">
        <v>648</v>
      </c>
      <c r="H618" s="1010">
        <v>99999999</v>
      </c>
      <c r="I618" s="1009">
        <v>15230164</v>
      </c>
      <c r="J618" s="1007" t="s">
        <v>4307</v>
      </c>
      <c r="O618" s="1007" t="s">
        <v>648</v>
      </c>
      <c r="P618" s="1007" t="s">
        <v>648</v>
      </c>
      <c r="S618" s="1008" t="s">
        <v>650</v>
      </c>
      <c r="T618" s="1008" t="s">
        <v>654</v>
      </c>
      <c r="U618" s="1008" t="s">
        <v>649</v>
      </c>
      <c r="V618" s="1008" t="s">
        <v>648</v>
      </c>
      <c r="W618" s="1008" t="s">
        <v>546</v>
      </c>
      <c r="X618" s="1008" t="s">
        <v>670</v>
      </c>
      <c r="Y618" s="1008" t="s">
        <v>670</v>
      </c>
      <c r="Z618" s="1008" t="s">
        <v>670</v>
      </c>
      <c r="AA618" s="1008"/>
      <c r="AB618" s="1008" t="s">
        <v>670</v>
      </c>
      <c r="AC618" s="1008"/>
      <c r="AD618" s="1008"/>
      <c r="AE618" s="1008"/>
      <c r="AF618" s="1008" t="s">
        <v>670</v>
      </c>
      <c r="AG618" s="1008"/>
      <c r="AH618" s="1008"/>
      <c r="AI618" s="1008"/>
    </row>
    <row r="619" spans="1:35">
      <c r="A619" s="1008">
        <v>27182</v>
      </c>
      <c r="B619" s="1008">
        <v>6136</v>
      </c>
      <c r="C619" s="1008">
        <v>10</v>
      </c>
      <c r="D619" s="1009">
        <v>15230199</v>
      </c>
      <c r="E619" s="1009">
        <v>15230165</v>
      </c>
      <c r="F619" s="1007" t="s">
        <v>4306</v>
      </c>
      <c r="G619" s="1007" t="s">
        <v>648</v>
      </c>
      <c r="H619" s="1010">
        <v>99999999</v>
      </c>
      <c r="I619" s="1009">
        <v>15230165</v>
      </c>
      <c r="J619" s="1007" t="s">
        <v>4306</v>
      </c>
      <c r="O619" s="1007" t="s">
        <v>648</v>
      </c>
      <c r="P619" s="1007" t="s">
        <v>648</v>
      </c>
      <c r="S619" s="1008" t="s">
        <v>650</v>
      </c>
      <c r="T619" s="1008" t="s">
        <v>654</v>
      </c>
      <c r="U619" s="1008" t="s">
        <v>649</v>
      </c>
      <c r="V619" s="1008" t="s">
        <v>648</v>
      </c>
      <c r="W619" s="1008" t="s">
        <v>546</v>
      </c>
      <c r="X619" s="1008" t="s">
        <v>670</v>
      </c>
      <c r="Y619" s="1008" t="s">
        <v>670</v>
      </c>
      <c r="Z619" s="1008" t="s">
        <v>670</v>
      </c>
      <c r="AA619" s="1008"/>
      <c r="AB619" s="1008" t="s">
        <v>670</v>
      </c>
      <c r="AC619" s="1008"/>
      <c r="AD619" s="1008"/>
      <c r="AE619" s="1008"/>
      <c r="AF619" s="1008" t="s">
        <v>670</v>
      </c>
      <c r="AG619" s="1008"/>
      <c r="AH619" s="1008"/>
      <c r="AI619" s="1008"/>
    </row>
    <row r="620" spans="1:35">
      <c r="A620" s="1008">
        <v>27183</v>
      </c>
      <c r="B620" s="1008">
        <v>6137</v>
      </c>
      <c r="C620" s="1008">
        <v>10</v>
      </c>
      <c r="D620" s="1009">
        <v>15230199</v>
      </c>
      <c r="E620" s="1009">
        <v>15230166</v>
      </c>
      <c r="F620" s="1007" t="s">
        <v>4305</v>
      </c>
      <c r="G620" s="1007" t="s">
        <v>648</v>
      </c>
      <c r="H620" s="1010">
        <v>99999999</v>
      </c>
      <c r="I620" s="1009">
        <v>15230166</v>
      </c>
      <c r="J620" s="1007" t="s">
        <v>4305</v>
      </c>
      <c r="O620" s="1007" t="s">
        <v>648</v>
      </c>
      <c r="P620" s="1007" t="s">
        <v>648</v>
      </c>
      <c r="S620" s="1008" t="s">
        <v>650</v>
      </c>
      <c r="T620" s="1008" t="s">
        <v>654</v>
      </c>
      <c r="U620" s="1008" t="s">
        <v>649</v>
      </c>
      <c r="V620" s="1008" t="s">
        <v>648</v>
      </c>
      <c r="W620" s="1008" t="s">
        <v>546</v>
      </c>
      <c r="X620" s="1008" t="s">
        <v>670</v>
      </c>
      <c r="Y620" s="1008" t="s">
        <v>670</v>
      </c>
      <c r="Z620" s="1008" t="s">
        <v>670</v>
      </c>
      <c r="AA620" s="1008"/>
      <c r="AB620" s="1008" t="s">
        <v>670</v>
      </c>
      <c r="AC620" s="1008"/>
      <c r="AD620" s="1008"/>
      <c r="AE620" s="1008"/>
      <c r="AF620" s="1008" t="s">
        <v>670</v>
      </c>
      <c r="AG620" s="1008"/>
      <c r="AH620" s="1008"/>
      <c r="AI620" s="1008"/>
    </row>
    <row r="621" spans="1:35">
      <c r="A621" s="1008">
        <v>27184</v>
      </c>
      <c r="B621" s="1008">
        <v>6138</v>
      </c>
      <c r="C621" s="1008">
        <v>10</v>
      </c>
      <c r="D621" s="1009">
        <v>15230199</v>
      </c>
      <c r="E621" s="1009">
        <v>15230167</v>
      </c>
      <c r="F621" s="1007" t="s">
        <v>4304</v>
      </c>
      <c r="G621" s="1007" t="s">
        <v>648</v>
      </c>
      <c r="H621" s="1010">
        <v>99999999</v>
      </c>
      <c r="I621" s="1009">
        <v>15230167</v>
      </c>
      <c r="J621" s="1007" t="s">
        <v>4304</v>
      </c>
      <c r="O621" s="1007" t="s">
        <v>648</v>
      </c>
      <c r="P621" s="1007" t="s">
        <v>648</v>
      </c>
      <c r="S621" s="1008" t="s">
        <v>650</v>
      </c>
      <c r="T621" s="1008" t="s">
        <v>654</v>
      </c>
      <c r="U621" s="1008" t="s">
        <v>649</v>
      </c>
      <c r="V621" s="1008" t="s">
        <v>648</v>
      </c>
      <c r="W621" s="1008" t="s">
        <v>546</v>
      </c>
      <c r="X621" s="1008" t="s">
        <v>670</v>
      </c>
      <c r="Y621" s="1008" t="s">
        <v>670</v>
      </c>
      <c r="Z621" s="1008" t="s">
        <v>670</v>
      </c>
      <c r="AA621" s="1008"/>
      <c r="AB621" s="1008" t="s">
        <v>670</v>
      </c>
      <c r="AC621" s="1008"/>
      <c r="AD621" s="1008"/>
      <c r="AE621" s="1008"/>
      <c r="AF621" s="1008" t="s">
        <v>670</v>
      </c>
      <c r="AG621" s="1008"/>
      <c r="AH621" s="1008"/>
      <c r="AI621" s="1008"/>
    </row>
    <row r="622" spans="1:35">
      <c r="A622" s="1008">
        <v>27185</v>
      </c>
      <c r="B622" s="1008">
        <v>6139</v>
      </c>
      <c r="C622" s="1008">
        <v>10</v>
      </c>
      <c r="D622" s="1009">
        <v>15230199</v>
      </c>
      <c r="E622" s="1009">
        <v>15230168</v>
      </c>
      <c r="F622" s="1007" t="s">
        <v>4303</v>
      </c>
      <c r="G622" s="1007" t="s">
        <v>648</v>
      </c>
      <c r="H622" s="1010">
        <v>99999999</v>
      </c>
      <c r="I622" s="1009">
        <v>15230168</v>
      </c>
      <c r="J622" s="1007" t="s">
        <v>4303</v>
      </c>
      <c r="O622" s="1007" t="s">
        <v>648</v>
      </c>
      <c r="P622" s="1007" t="s">
        <v>648</v>
      </c>
      <c r="S622" s="1008" t="s">
        <v>650</v>
      </c>
      <c r="T622" s="1008" t="s">
        <v>654</v>
      </c>
      <c r="U622" s="1008" t="s">
        <v>649</v>
      </c>
      <c r="V622" s="1008" t="s">
        <v>648</v>
      </c>
      <c r="W622" s="1008" t="s">
        <v>546</v>
      </c>
      <c r="X622" s="1008" t="s">
        <v>670</v>
      </c>
      <c r="Y622" s="1008" t="s">
        <v>670</v>
      </c>
      <c r="Z622" s="1008" t="s">
        <v>670</v>
      </c>
      <c r="AA622" s="1008"/>
      <c r="AB622" s="1008" t="s">
        <v>670</v>
      </c>
      <c r="AC622" s="1008"/>
      <c r="AD622" s="1008"/>
      <c r="AE622" s="1008"/>
      <c r="AF622" s="1008" t="s">
        <v>670</v>
      </c>
      <c r="AG622" s="1008"/>
      <c r="AH622" s="1008"/>
      <c r="AI622" s="1008"/>
    </row>
    <row r="623" spans="1:35">
      <c r="A623" s="1008">
        <v>27186</v>
      </c>
      <c r="B623" s="1008">
        <v>6140</v>
      </c>
      <c r="C623" s="1008">
        <v>10</v>
      </c>
      <c r="D623" s="1009">
        <v>15230199</v>
      </c>
      <c r="E623" s="1009">
        <v>15230169</v>
      </c>
      <c r="F623" s="1007" t="s">
        <v>4302</v>
      </c>
      <c r="G623" s="1007" t="s">
        <v>648</v>
      </c>
      <c r="H623" s="1010">
        <v>99999999</v>
      </c>
      <c r="I623" s="1009">
        <v>15230169</v>
      </c>
      <c r="J623" s="1007" t="s">
        <v>4302</v>
      </c>
      <c r="O623" s="1007" t="s">
        <v>648</v>
      </c>
      <c r="P623" s="1007" t="s">
        <v>648</v>
      </c>
      <c r="S623" s="1008" t="s">
        <v>650</v>
      </c>
      <c r="T623" s="1008" t="s">
        <v>654</v>
      </c>
      <c r="U623" s="1008" t="s">
        <v>649</v>
      </c>
      <c r="V623" s="1008" t="s">
        <v>648</v>
      </c>
      <c r="W623" s="1008" t="s">
        <v>546</v>
      </c>
      <c r="X623" s="1008" t="s">
        <v>670</v>
      </c>
      <c r="Y623" s="1008" t="s">
        <v>670</v>
      </c>
      <c r="Z623" s="1008" t="s">
        <v>670</v>
      </c>
      <c r="AA623" s="1008"/>
      <c r="AB623" s="1008" t="s">
        <v>670</v>
      </c>
      <c r="AC623" s="1008"/>
      <c r="AD623" s="1008"/>
      <c r="AE623" s="1008"/>
      <c r="AF623" s="1008" t="s">
        <v>670</v>
      </c>
      <c r="AG623" s="1008"/>
      <c r="AH623" s="1008"/>
      <c r="AI623" s="1008"/>
    </row>
    <row r="624" spans="1:35">
      <c r="A624" s="1008">
        <v>27187</v>
      </c>
      <c r="B624" s="1008">
        <v>6141</v>
      </c>
      <c r="C624" s="1008">
        <v>10</v>
      </c>
      <c r="D624" s="1009">
        <v>15230199</v>
      </c>
      <c r="E624" s="1009">
        <v>15230170</v>
      </c>
      <c r="F624" s="1007" t="s">
        <v>4301</v>
      </c>
      <c r="G624" s="1007" t="s">
        <v>648</v>
      </c>
      <c r="H624" s="1010">
        <v>99999999</v>
      </c>
      <c r="I624" s="1009">
        <v>15230170</v>
      </c>
      <c r="J624" s="1007" t="s">
        <v>4301</v>
      </c>
      <c r="O624" s="1007" t="s">
        <v>648</v>
      </c>
      <c r="P624" s="1007" t="s">
        <v>648</v>
      </c>
      <c r="S624" s="1008" t="s">
        <v>650</v>
      </c>
      <c r="T624" s="1008" t="s">
        <v>654</v>
      </c>
      <c r="U624" s="1008" t="s">
        <v>649</v>
      </c>
      <c r="V624" s="1008" t="s">
        <v>648</v>
      </c>
      <c r="W624" s="1008" t="s">
        <v>546</v>
      </c>
      <c r="X624" s="1008" t="s">
        <v>670</v>
      </c>
      <c r="Y624" s="1008" t="s">
        <v>670</v>
      </c>
      <c r="Z624" s="1008" t="s">
        <v>670</v>
      </c>
      <c r="AA624" s="1008"/>
      <c r="AB624" s="1008" t="s">
        <v>670</v>
      </c>
      <c r="AC624" s="1008"/>
      <c r="AD624" s="1008"/>
      <c r="AE624" s="1008"/>
      <c r="AF624" s="1008" t="s">
        <v>670</v>
      </c>
      <c r="AG624" s="1008"/>
      <c r="AH624" s="1008"/>
      <c r="AI624" s="1008"/>
    </row>
    <row r="625" spans="1:35">
      <c r="A625" s="1008">
        <v>27188</v>
      </c>
      <c r="B625" s="1008">
        <v>6142</v>
      </c>
      <c r="C625" s="1008">
        <v>10</v>
      </c>
      <c r="D625" s="1009">
        <v>15230199</v>
      </c>
      <c r="E625" s="1009">
        <v>15230171</v>
      </c>
      <c r="F625" s="1007" t="s">
        <v>4300</v>
      </c>
      <c r="G625" s="1007" t="s">
        <v>648</v>
      </c>
      <c r="H625" s="1010">
        <v>99999999</v>
      </c>
      <c r="I625" s="1009">
        <v>15230171</v>
      </c>
      <c r="J625" s="1007" t="s">
        <v>4300</v>
      </c>
      <c r="O625" s="1007" t="s">
        <v>648</v>
      </c>
      <c r="P625" s="1007" t="s">
        <v>648</v>
      </c>
      <c r="S625" s="1008" t="s">
        <v>650</v>
      </c>
      <c r="T625" s="1008" t="s">
        <v>654</v>
      </c>
      <c r="U625" s="1008" t="s">
        <v>649</v>
      </c>
      <c r="V625" s="1008" t="s">
        <v>648</v>
      </c>
      <c r="W625" s="1008" t="s">
        <v>546</v>
      </c>
      <c r="X625" s="1008" t="s">
        <v>670</v>
      </c>
      <c r="Y625" s="1008" t="s">
        <v>670</v>
      </c>
      <c r="Z625" s="1008" t="s">
        <v>670</v>
      </c>
      <c r="AA625" s="1008"/>
      <c r="AB625" s="1008" t="s">
        <v>670</v>
      </c>
      <c r="AC625" s="1008"/>
      <c r="AD625" s="1008"/>
      <c r="AE625" s="1008"/>
      <c r="AF625" s="1008" t="s">
        <v>670</v>
      </c>
      <c r="AG625" s="1008"/>
      <c r="AH625" s="1008"/>
      <c r="AI625" s="1008"/>
    </row>
    <row r="626" spans="1:35">
      <c r="A626" s="1008">
        <v>27189</v>
      </c>
      <c r="B626" s="1008">
        <v>6143</v>
      </c>
      <c r="C626" s="1008">
        <v>10</v>
      </c>
      <c r="D626" s="1009">
        <v>15230199</v>
      </c>
      <c r="E626" s="1009">
        <v>15230172</v>
      </c>
      <c r="F626" s="1007" t="s">
        <v>4299</v>
      </c>
      <c r="G626" s="1007" t="s">
        <v>648</v>
      </c>
      <c r="H626" s="1010">
        <v>99999999</v>
      </c>
      <c r="I626" s="1009">
        <v>15230172</v>
      </c>
      <c r="J626" s="1007" t="s">
        <v>4299</v>
      </c>
      <c r="O626" s="1007" t="s">
        <v>648</v>
      </c>
      <c r="P626" s="1007" t="s">
        <v>648</v>
      </c>
      <c r="S626" s="1008" t="s">
        <v>650</v>
      </c>
      <c r="T626" s="1008" t="s">
        <v>654</v>
      </c>
      <c r="U626" s="1008" t="s">
        <v>649</v>
      </c>
      <c r="V626" s="1008" t="s">
        <v>648</v>
      </c>
      <c r="W626" s="1008" t="s">
        <v>546</v>
      </c>
      <c r="X626" s="1008" t="s">
        <v>670</v>
      </c>
      <c r="Y626" s="1008" t="s">
        <v>670</v>
      </c>
      <c r="Z626" s="1008" t="s">
        <v>670</v>
      </c>
      <c r="AA626" s="1008"/>
      <c r="AB626" s="1008" t="s">
        <v>670</v>
      </c>
      <c r="AC626" s="1008"/>
      <c r="AD626" s="1008"/>
      <c r="AE626" s="1008"/>
      <c r="AF626" s="1008" t="s">
        <v>670</v>
      </c>
      <c r="AG626" s="1008"/>
      <c r="AH626" s="1008"/>
      <c r="AI626" s="1008"/>
    </row>
    <row r="627" spans="1:35">
      <c r="A627" s="1008">
        <v>27190</v>
      </c>
      <c r="B627" s="1008">
        <v>6144</v>
      </c>
      <c r="C627" s="1008">
        <v>10</v>
      </c>
      <c r="D627" s="1009">
        <v>15230199</v>
      </c>
      <c r="E627" s="1009">
        <v>15230173</v>
      </c>
      <c r="F627" s="1007" t="s">
        <v>4298</v>
      </c>
      <c r="G627" s="1007" t="s">
        <v>648</v>
      </c>
      <c r="H627" s="1010">
        <v>99999999</v>
      </c>
      <c r="I627" s="1009">
        <v>15230173</v>
      </c>
      <c r="J627" s="1007" t="s">
        <v>4298</v>
      </c>
      <c r="O627" s="1007" t="s">
        <v>648</v>
      </c>
      <c r="P627" s="1007" t="s">
        <v>648</v>
      </c>
      <c r="S627" s="1008" t="s">
        <v>650</v>
      </c>
      <c r="T627" s="1008" t="s">
        <v>654</v>
      </c>
      <c r="U627" s="1008" t="s">
        <v>649</v>
      </c>
      <c r="V627" s="1008" t="s">
        <v>648</v>
      </c>
      <c r="W627" s="1008" t="s">
        <v>546</v>
      </c>
      <c r="X627" s="1008" t="s">
        <v>670</v>
      </c>
      <c r="Y627" s="1008" t="s">
        <v>670</v>
      </c>
      <c r="Z627" s="1008" t="s">
        <v>670</v>
      </c>
      <c r="AA627" s="1008"/>
      <c r="AB627" s="1008" t="s">
        <v>670</v>
      </c>
      <c r="AC627" s="1008"/>
      <c r="AD627" s="1008"/>
      <c r="AE627" s="1008"/>
      <c r="AF627" s="1008" t="s">
        <v>670</v>
      </c>
      <c r="AG627" s="1008"/>
      <c r="AH627" s="1008"/>
      <c r="AI627" s="1008"/>
    </row>
    <row r="628" spans="1:35">
      <c r="A628" s="1008">
        <v>27191</v>
      </c>
      <c r="B628" s="1008">
        <v>6145</v>
      </c>
      <c r="C628" s="1008">
        <v>10</v>
      </c>
      <c r="D628" s="1009">
        <v>15230199</v>
      </c>
      <c r="E628" s="1009">
        <v>15230174</v>
      </c>
      <c r="F628" s="1007" t="s">
        <v>4297</v>
      </c>
      <c r="G628" s="1007" t="s">
        <v>648</v>
      </c>
      <c r="H628" s="1010">
        <v>99999999</v>
      </c>
      <c r="I628" s="1009">
        <v>15230174</v>
      </c>
      <c r="J628" s="1007" t="s">
        <v>4297</v>
      </c>
      <c r="O628" s="1007" t="s">
        <v>648</v>
      </c>
      <c r="P628" s="1007" t="s">
        <v>648</v>
      </c>
      <c r="S628" s="1008" t="s">
        <v>650</v>
      </c>
      <c r="T628" s="1008" t="s">
        <v>654</v>
      </c>
      <c r="U628" s="1008" t="s">
        <v>649</v>
      </c>
      <c r="V628" s="1008" t="s">
        <v>648</v>
      </c>
      <c r="W628" s="1008" t="s">
        <v>546</v>
      </c>
      <c r="X628" s="1008" t="s">
        <v>670</v>
      </c>
      <c r="Y628" s="1008" t="s">
        <v>670</v>
      </c>
      <c r="Z628" s="1008" t="s">
        <v>670</v>
      </c>
      <c r="AA628" s="1008"/>
      <c r="AB628" s="1008" t="s">
        <v>670</v>
      </c>
      <c r="AC628" s="1008"/>
      <c r="AD628" s="1008"/>
      <c r="AE628" s="1008"/>
      <c r="AF628" s="1008" t="s">
        <v>670</v>
      </c>
      <c r="AG628" s="1008"/>
      <c r="AH628" s="1008"/>
      <c r="AI628" s="1008"/>
    </row>
    <row r="629" spans="1:35">
      <c r="A629" s="1008">
        <v>27192</v>
      </c>
      <c r="B629" s="1008">
        <v>6146</v>
      </c>
      <c r="C629" s="1008">
        <v>10</v>
      </c>
      <c r="D629" s="1009">
        <v>15230199</v>
      </c>
      <c r="E629" s="1009">
        <v>15230175</v>
      </c>
      <c r="F629" s="1007" t="s">
        <v>4296</v>
      </c>
      <c r="G629" s="1007" t="s">
        <v>648</v>
      </c>
      <c r="H629" s="1010">
        <v>99999999</v>
      </c>
      <c r="I629" s="1009">
        <v>15230175</v>
      </c>
      <c r="J629" s="1007" t="s">
        <v>4296</v>
      </c>
      <c r="O629" s="1007" t="s">
        <v>648</v>
      </c>
      <c r="P629" s="1007" t="s">
        <v>648</v>
      </c>
      <c r="S629" s="1008" t="s">
        <v>650</v>
      </c>
      <c r="T629" s="1008" t="s">
        <v>654</v>
      </c>
      <c r="U629" s="1008" t="s">
        <v>649</v>
      </c>
      <c r="V629" s="1008" t="s">
        <v>648</v>
      </c>
      <c r="W629" s="1008" t="s">
        <v>546</v>
      </c>
      <c r="X629" s="1008" t="s">
        <v>670</v>
      </c>
      <c r="Y629" s="1008" t="s">
        <v>670</v>
      </c>
      <c r="Z629" s="1008" t="s">
        <v>670</v>
      </c>
      <c r="AA629" s="1008"/>
      <c r="AB629" s="1008" t="s">
        <v>670</v>
      </c>
      <c r="AC629" s="1008"/>
      <c r="AD629" s="1008"/>
      <c r="AE629" s="1008"/>
      <c r="AF629" s="1008" t="s">
        <v>670</v>
      </c>
      <c r="AG629" s="1008"/>
      <c r="AH629" s="1008"/>
      <c r="AI629" s="1008"/>
    </row>
    <row r="630" spans="1:35">
      <c r="A630" s="1008">
        <v>27193</v>
      </c>
      <c r="B630" s="1008">
        <v>6147</v>
      </c>
      <c r="C630" s="1008">
        <v>10</v>
      </c>
      <c r="D630" s="1009">
        <v>15230199</v>
      </c>
      <c r="E630" s="1009">
        <v>15230176</v>
      </c>
      <c r="F630" s="1007" t="s">
        <v>4295</v>
      </c>
      <c r="G630" s="1007" t="s">
        <v>648</v>
      </c>
      <c r="H630" s="1010">
        <v>99999999</v>
      </c>
      <c r="I630" s="1009">
        <v>15230176</v>
      </c>
      <c r="J630" s="1007" t="s">
        <v>4295</v>
      </c>
      <c r="O630" s="1007" t="s">
        <v>648</v>
      </c>
      <c r="P630" s="1007" t="s">
        <v>648</v>
      </c>
      <c r="S630" s="1008" t="s">
        <v>650</v>
      </c>
      <c r="T630" s="1008" t="s">
        <v>654</v>
      </c>
      <c r="U630" s="1008" t="s">
        <v>649</v>
      </c>
      <c r="V630" s="1008" t="s">
        <v>648</v>
      </c>
      <c r="W630" s="1008" t="s">
        <v>546</v>
      </c>
      <c r="X630" s="1008" t="s">
        <v>670</v>
      </c>
      <c r="Y630" s="1008" t="s">
        <v>670</v>
      </c>
      <c r="Z630" s="1008" t="s">
        <v>670</v>
      </c>
      <c r="AA630" s="1008"/>
      <c r="AB630" s="1008" t="s">
        <v>670</v>
      </c>
      <c r="AC630" s="1008"/>
      <c r="AD630" s="1008"/>
      <c r="AE630" s="1008"/>
      <c r="AF630" s="1008" t="s">
        <v>670</v>
      </c>
      <c r="AG630" s="1008"/>
      <c r="AH630" s="1008"/>
      <c r="AI630" s="1008"/>
    </row>
    <row r="631" spans="1:35">
      <c r="A631" s="1008">
        <v>27194</v>
      </c>
      <c r="B631" s="1008">
        <v>6148</v>
      </c>
      <c r="C631" s="1008">
        <v>10</v>
      </c>
      <c r="D631" s="1009">
        <v>15230199</v>
      </c>
      <c r="E631" s="1009">
        <v>15230177</v>
      </c>
      <c r="F631" s="1007" t="s">
        <v>4294</v>
      </c>
      <c r="G631" s="1007" t="s">
        <v>648</v>
      </c>
      <c r="H631" s="1010">
        <v>99999999</v>
      </c>
      <c r="I631" s="1009">
        <v>15230177</v>
      </c>
      <c r="J631" s="1007" t="s">
        <v>4294</v>
      </c>
      <c r="O631" s="1007" t="s">
        <v>648</v>
      </c>
      <c r="P631" s="1007" t="s">
        <v>648</v>
      </c>
      <c r="S631" s="1008" t="s">
        <v>650</v>
      </c>
      <c r="T631" s="1008" t="s">
        <v>654</v>
      </c>
      <c r="U631" s="1008" t="s">
        <v>649</v>
      </c>
      <c r="V631" s="1008" t="s">
        <v>648</v>
      </c>
      <c r="W631" s="1008" t="s">
        <v>546</v>
      </c>
      <c r="X631" s="1008" t="s">
        <v>670</v>
      </c>
      <c r="Y631" s="1008" t="s">
        <v>670</v>
      </c>
      <c r="Z631" s="1008" t="s">
        <v>670</v>
      </c>
      <c r="AA631" s="1008"/>
      <c r="AB631" s="1008" t="s">
        <v>670</v>
      </c>
      <c r="AC631" s="1008"/>
      <c r="AD631" s="1008"/>
      <c r="AE631" s="1008"/>
      <c r="AF631" s="1008" t="s">
        <v>670</v>
      </c>
      <c r="AG631" s="1008"/>
      <c r="AH631" s="1008"/>
      <c r="AI631" s="1008"/>
    </row>
    <row r="632" spans="1:35">
      <c r="A632" s="1008">
        <v>27195</v>
      </c>
      <c r="B632" s="1008">
        <v>6149</v>
      </c>
      <c r="C632" s="1008">
        <v>10</v>
      </c>
      <c r="D632" s="1009">
        <v>15230199</v>
      </c>
      <c r="E632" s="1009">
        <v>15230178</v>
      </c>
      <c r="F632" s="1007" t="s">
        <v>4293</v>
      </c>
      <c r="G632" s="1007" t="s">
        <v>648</v>
      </c>
      <c r="H632" s="1010">
        <v>99999999</v>
      </c>
      <c r="I632" s="1009">
        <v>15230178</v>
      </c>
      <c r="J632" s="1007" t="s">
        <v>4293</v>
      </c>
      <c r="O632" s="1007" t="s">
        <v>648</v>
      </c>
      <c r="P632" s="1007" t="s">
        <v>648</v>
      </c>
      <c r="S632" s="1008" t="s">
        <v>650</v>
      </c>
      <c r="T632" s="1008" t="s">
        <v>654</v>
      </c>
      <c r="U632" s="1008" t="s">
        <v>649</v>
      </c>
      <c r="V632" s="1008" t="s">
        <v>648</v>
      </c>
      <c r="W632" s="1008" t="s">
        <v>546</v>
      </c>
      <c r="X632" s="1008" t="s">
        <v>670</v>
      </c>
      <c r="Y632" s="1008" t="s">
        <v>670</v>
      </c>
      <c r="Z632" s="1008" t="s">
        <v>670</v>
      </c>
      <c r="AA632" s="1008"/>
      <c r="AB632" s="1008" t="s">
        <v>670</v>
      </c>
      <c r="AC632" s="1008"/>
      <c r="AD632" s="1008"/>
      <c r="AE632" s="1008"/>
      <c r="AF632" s="1008" t="s">
        <v>670</v>
      </c>
      <c r="AG632" s="1008"/>
      <c r="AH632" s="1008"/>
      <c r="AI632" s="1008"/>
    </row>
    <row r="633" spans="1:35">
      <c r="A633" s="1008">
        <v>27196</v>
      </c>
      <c r="B633" s="1008">
        <v>6150</v>
      </c>
      <c r="C633" s="1008">
        <v>10</v>
      </c>
      <c r="D633" s="1009">
        <v>15230199</v>
      </c>
      <c r="E633" s="1009">
        <v>15230179</v>
      </c>
      <c r="F633" s="1007" t="s">
        <v>4292</v>
      </c>
      <c r="G633" s="1007" t="s">
        <v>648</v>
      </c>
      <c r="H633" s="1010">
        <v>99999999</v>
      </c>
      <c r="I633" s="1009">
        <v>15230179</v>
      </c>
      <c r="J633" s="1007" t="s">
        <v>4292</v>
      </c>
      <c r="O633" s="1007" t="s">
        <v>648</v>
      </c>
      <c r="P633" s="1007" t="s">
        <v>648</v>
      </c>
      <c r="S633" s="1008" t="s">
        <v>650</v>
      </c>
      <c r="T633" s="1008" t="s">
        <v>654</v>
      </c>
      <c r="U633" s="1008" t="s">
        <v>649</v>
      </c>
      <c r="V633" s="1008" t="s">
        <v>648</v>
      </c>
      <c r="W633" s="1008" t="s">
        <v>546</v>
      </c>
      <c r="X633" s="1008" t="s">
        <v>670</v>
      </c>
      <c r="Y633" s="1008" t="s">
        <v>670</v>
      </c>
      <c r="Z633" s="1008" t="s">
        <v>670</v>
      </c>
      <c r="AA633" s="1008"/>
      <c r="AB633" s="1008" t="s">
        <v>670</v>
      </c>
      <c r="AC633" s="1008"/>
      <c r="AD633" s="1008"/>
      <c r="AE633" s="1008"/>
      <c r="AF633" s="1008" t="s">
        <v>670</v>
      </c>
      <c r="AG633" s="1008"/>
      <c r="AH633" s="1008"/>
      <c r="AI633" s="1008"/>
    </row>
    <row r="634" spans="1:35" hidden="1">
      <c r="A634" s="1008">
        <v>27197</v>
      </c>
      <c r="C634" s="1008">
        <v>9</v>
      </c>
      <c r="D634" s="1009">
        <v>15230999</v>
      </c>
      <c r="E634" s="1009">
        <v>15230199</v>
      </c>
      <c r="F634" s="1007" t="s">
        <v>4291</v>
      </c>
      <c r="O634" s="1007" t="s">
        <v>648</v>
      </c>
      <c r="P634" s="1007" t="s">
        <v>648</v>
      </c>
      <c r="S634" s="1008" t="s">
        <v>650</v>
      </c>
      <c r="T634" s="1008" t="s">
        <v>21</v>
      </c>
      <c r="U634" s="1008" t="s">
        <v>649</v>
      </c>
      <c r="V634" s="1008" t="s">
        <v>648</v>
      </c>
      <c r="W634" s="1008" t="s">
        <v>546</v>
      </c>
      <c r="X634" s="1008"/>
      <c r="Y634" s="1008"/>
      <c r="Z634" s="1008"/>
      <c r="AA634" s="1008"/>
      <c r="AB634" s="1008"/>
      <c r="AC634" s="1008"/>
      <c r="AD634" s="1008"/>
      <c r="AE634" s="1008"/>
      <c r="AF634" s="1008"/>
      <c r="AG634" s="1008"/>
      <c r="AH634" s="1008"/>
      <c r="AI634" s="1008"/>
    </row>
    <row r="635" spans="1:35" hidden="1">
      <c r="A635" s="1008">
        <v>27198</v>
      </c>
      <c r="C635" s="1008">
        <v>9</v>
      </c>
      <c r="D635" s="1009">
        <v>15230210</v>
      </c>
      <c r="E635" s="1009">
        <v>15230200</v>
      </c>
      <c r="F635" s="1007" t="s">
        <v>4290</v>
      </c>
      <c r="O635" s="1007" t="s">
        <v>648</v>
      </c>
      <c r="P635" s="1007" t="s">
        <v>648</v>
      </c>
      <c r="S635" s="1008" t="s">
        <v>650</v>
      </c>
      <c r="T635" s="1008" t="s">
        <v>675</v>
      </c>
      <c r="U635" s="1008" t="s">
        <v>649</v>
      </c>
      <c r="V635" s="1008" t="s">
        <v>648</v>
      </c>
      <c r="W635" s="1008" t="s">
        <v>546</v>
      </c>
      <c r="X635" s="1008"/>
      <c r="Y635" s="1008"/>
      <c r="Z635" s="1008"/>
      <c r="AA635" s="1008"/>
      <c r="AB635" s="1008"/>
      <c r="AC635" s="1008"/>
      <c r="AD635" s="1008"/>
      <c r="AE635" s="1008"/>
      <c r="AF635" s="1008"/>
      <c r="AG635" s="1008"/>
      <c r="AH635" s="1008"/>
      <c r="AI635" s="1008"/>
    </row>
    <row r="636" spans="1:35">
      <c r="A636" s="1008">
        <v>27199</v>
      </c>
      <c r="B636" s="1008">
        <v>6151</v>
      </c>
      <c r="C636" s="1008">
        <v>10</v>
      </c>
      <c r="D636" s="1009">
        <v>15230210</v>
      </c>
      <c r="E636" s="1009">
        <v>15230201</v>
      </c>
      <c r="F636" s="1007" t="s">
        <v>4289</v>
      </c>
      <c r="G636" s="1007" t="s">
        <v>648</v>
      </c>
      <c r="H636" s="1010">
        <v>99999999</v>
      </c>
      <c r="I636" s="1009">
        <v>15230201</v>
      </c>
      <c r="J636" s="1007" t="s">
        <v>4289</v>
      </c>
      <c r="O636" s="1007" t="s">
        <v>648</v>
      </c>
      <c r="P636" s="1007" t="s">
        <v>648</v>
      </c>
      <c r="S636" s="1008" t="s">
        <v>650</v>
      </c>
      <c r="T636" s="1008" t="s">
        <v>654</v>
      </c>
      <c r="U636" s="1008" t="s">
        <v>649</v>
      </c>
      <c r="V636" s="1008" t="s">
        <v>648</v>
      </c>
      <c r="W636" s="1008" t="s">
        <v>546</v>
      </c>
      <c r="X636" s="1008" t="s">
        <v>670</v>
      </c>
      <c r="Y636" s="1008" t="s">
        <v>670</v>
      </c>
      <c r="Z636" s="1008" t="s">
        <v>670</v>
      </c>
      <c r="AA636" s="1008"/>
      <c r="AB636" s="1008" t="s">
        <v>670</v>
      </c>
      <c r="AC636" s="1008"/>
      <c r="AD636" s="1008"/>
      <c r="AE636" s="1008"/>
      <c r="AF636" s="1008" t="s">
        <v>670</v>
      </c>
      <c r="AG636" s="1008"/>
      <c r="AH636" s="1008"/>
      <c r="AI636" s="1008"/>
    </row>
    <row r="637" spans="1:35">
      <c r="A637" s="1008">
        <v>27200</v>
      </c>
      <c r="B637" s="1008">
        <v>6152</v>
      </c>
      <c r="C637" s="1008">
        <v>10</v>
      </c>
      <c r="D637" s="1009">
        <v>15230210</v>
      </c>
      <c r="E637" s="1009">
        <v>15230202</v>
      </c>
      <c r="F637" s="1007" t="s">
        <v>4288</v>
      </c>
      <c r="G637" s="1007" t="s">
        <v>648</v>
      </c>
      <c r="H637" s="1010">
        <v>99999999</v>
      </c>
      <c r="I637" s="1009">
        <v>15230202</v>
      </c>
      <c r="J637" s="1007" t="s">
        <v>4288</v>
      </c>
      <c r="O637" s="1007" t="s">
        <v>648</v>
      </c>
      <c r="P637" s="1007" t="s">
        <v>648</v>
      </c>
      <c r="S637" s="1008" t="s">
        <v>650</v>
      </c>
      <c r="T637" s="1008" t="s">
        <v>654</v>
      </c>
      <c r="U637" s="1008" t="s">
        <v>649</v>
      </c>
      <c r="V637" s="1008" t="s">
        <v>648</v>
      </c>
      <c r="W637" s="1008" t="s">
        <v>546</v>
      </c>
      <c r="X637" s="1008" t="s">
        <v>670</v>
      </c>
      <c r="Y637" s="1008" t="s">
        <v>670</v>
      </c>
      <c r="Z637" s="1008" t="s">
        <v>670</v>
      </c>
      <c r="AA637" s="1008"/>
      <c r="AB637" s="1008" t="s">
        <v>670</v>
      </c>
      <c r="AC637" s="1008"/>
      <c r="AD637" s="1008"/>
      <c r="AE637" s="1008"/>
      <c r="AF637" s="1008" t="s">
        <v>670</v>
      </c>
      <c r="AG637" s="1008"/>
      <c r="AH637" s="1008"/>
      <c r="AI637" s="1008"/>
    </row>
    <row r="638" spans="1:35">
      <c r="A638" s="1008">
        <v>27201</v>
      </c>
      <c r="B638" s="1008">
        <v>6153</v>
      </c>
      <c r="C638" s="1008">
        <v>10</v>
      </c>
      <c r="D638" s="1009">
        <v>15230210</v>
      </c>
      <c r="E638" s="1009">
        <v>15230203</v>
      </c>
      <c r="F638" s="1007" t="s">
        <v>4287</v>
      </c>
      <c r="G638" s="1007" t="s">
        <v>648</v>
      </c>
      <c r="H638" s="1010">
        <v>99999999</v>
      </c>
      <c r="I638" s="1009">
        <v>15230203</v>
      </c>
      <c r="J638" s="1007" t="s">
        <v>4287</v>
      </c>
      <c r="O638" s="1007" t="s">
        <v>648</v>
      </c>
      <c r="P638" s="1007" t="s">
        <v>648</v>
      </c>
      <c r="S638" s="1008" t="s">
        <v>650</v>
      </c>
      <c r="T638" s="1008" t="s">
        <v>654</v>
      </c>
      <c r="U638" s="1008" t="s">
        <v>649</v>
      </c>
      <c r="V638" s="1008" t="s">
        <v>648</v>
      </c>
      <c r="W638" s="1008" t="s">
        <v>546</v>
      </c>
      <c r="X638" s="1008" t="s">
        <v>670</v>
      </c>
      <c r="Y638" s="1008" t="s">
        <v>670</v>
      </c>
      <c r="Z638" s="1008" t="s">
        <v>670</v>
      </c>
      <c r="AA638" s="1008"/>
      <c r="AB638" s="1008" t="s">
        <v>670</v>
      </c>
      <c r="AC638" s="1008"/>
      <c r="AD638" s="1008"/>
      <c r="AE638" s="1008"/>
      <c r="AF638" s="1008" t="s">
        <v>670</v>
      </c>
      <c r="AG638" s="1008"/>
      <c r="AH638" s="1008"/>
      <c r="AI638" s="1008"/>
    </row>
    <row r="639" spans="1:35">
      <c r="A639" s="1008">
        <v>27202</v>
      </c>
      <c r="B639" s="1008">
        <v>6154</v>
      </c>
      <c r="C639" s="1008">
        <v>10</v>
      </c>
      <c r="D639" s="1009">
        <v>15230210</v>
      </c>
      <c r="E639" s="1009">
        <v>15230204</v>
      </c>
      <c r="F639" s="1007" t="s">
        <v>4286</v>
      </c>
      <c r="G639" s="1007" t="s">
        <v>648</v>
      </c>
      <c r="H639" s="1010">
        <v>99999999</v>
      </c>
      <c r="I639" s="1009">
        <v>15230204</v>
      </c>
      <c r="J639" s="1007" t="s">
        <v>4286</v>
      </c>
      <c r="O639" s="1007" t="s">
        <v>648</v>
      </c>
      <c r="P639" s="1007" t="s">
        <v>648</v>
      </c>
      <c r="S639" s="1008" t="s">
        <v>650</v>
      </c>
      <c r="T639" s="1008" t="s">
        <v>654</v>
      </c>
      <c r="U639" s="1008" t="s">
        <v>649</v>
      </c>
      <c r="V639" s="1008" t="s">
        <v>648</v>
      </c>
      <c r="W639" s="1008" t="s">
        <v>546</v>
      </c>
      <c r="X639" s="1008" t="s">
        <v>670</v>
      </c>
      <c r="Y639" s="1008" t="s">
        <v>670</v>
      </c>
      <c r="Z639" s="1008" t="s">
        <v>670</v>
      </c>
      <c r="AA639" s="1008"/>
      <c r="AB639" s="1008" t="s">
        <v>670</v>
      </c>
      <c r="AC639" s="1008"/>
      <c r="AD639" s="1008"/>
      <c r="AE639" s="1008"/>
      <c r="AF639" s="1008" t="s">
        <v>670</v>
      </c>
      <c r="AG639" s="1008"/>
      <c r="AH639" s="1008"/>
      <c r="AI639" s="1008"/>
    </row>
    <row r="640" spans="1:35">
      <c r="A640" s="1008">
        <v>27598</v>
      </c>
      <c r="B640" s="1008">
        <v>6440</v>
      </c>
      <c r="C640" s="1008">
        <v>10</v>
      </c>
      <c r="D640" s="1009">
        <v>15230210</v>
      </c>
      <c r="E640" s="1009">
        <v>15230205</v>
      </c>
      <c r="F640" s="1007" t="s">
        <v>4285</v>
      </c>
      <c r="G640" s="1007" t="s">
        <v>648</v>
      </c>
      <c r="H640" s="1010">
        <v>99999999</v>
      </c>
      <c r="I640" s="1009">
        <v>15230205</v>
      </c>
      <c r="J640" s="1007" t="s">
        <v>4285</v>
      </c>
      <c r="O640" s="1007" t="s">
        <v>648</v>
      </c>
      <c r="P640" s="1007" t="s">
        <v>648</v>
      </c>
      <c r="S640" s="1008" t="s">
        <v>650</v>
      </c>
      <c r="T640" s="1008" t="s">
        <v>654</v>
      </c>
      <c r="U640" s="1008" t="s">
        <v>649</v>
      </c>
      <c r="V640" s="1008" t="s">
        <v>648</v>
      </c>
      <c r="W640" s="1008" t="s">
        <v>546</v>
      </c>
      <c r="X640" s="1008" t="s">
        <v>670</v>
      </c>
      <c r="Y640" s="1008" t="s">
        <v>670</v>
      </c>
      <c r="Z640" s="1008" t="s">
        <v>670</v>
      </c>
      <c r="AA640" s="1008"/>
      <c r="AB640" s="1008" t="s">
        <v>670</v>
      </c>
      <c r="AC640" s="1008"/>
      <c r="AD640" s="1008"/>
      <c r="AE640" s="1008"/>
      <c r="AF640" s="1008" t="s">
        <v>670</v>
      </c>
      <c r="AG640" s="1008"/>
      <c r="AH640" s="1008"/>
      <c r="AI640" s="1008"/>
    </row>
    <row r="641" spans="1:35" hidden="1">
      <c r="A641" s="1008">
        <v>27203</v>
      </c>
      <c r="C641" s="1008">
        <v>9</v>
      </c>
      <c r="D641" s="1009">
        <v>15230999</v>
      </c>
      <c r="E641" s="1009">
        <v>15230210</v>
      </c>
      <c r="F641" s="1007" t="s">
        <v>4284</v>
      </c>
      <c r="O641" s="1007" t="s">
        <v>648</v>
      </c>
      <c r="P641" s="1007" t="s">
        <v>648</v>
      </c>
      <c r="S641" s="1008" t="s">
        <v>650</v>
      </c>
      <c r="T641" s="1008" t="s">
        <v>21</v>
      </c>
      <c r="U641" s="1008" t="s">
        <v>649</v>
      </c>
      <c r="V641" s="1008" t="s">
        <v>648</v>
      </c>
      <c r="W641" s="1008" t="s">
        <v>546</v>
      </c>
      <c r="X641" s="1008"/>
      <c r="Y641" s="1008"/>
      <c r="Z641" s="1008"/>
      <c r="AA641" s="1008"/>
      <c r="AB641" s="1008"/>
      <c r="AC641" s="1008"/>
      <c r="AD641" s="1008"/>
      <c r="AE641" s="1008"/>
      <c r="AF641" s="1008"/>
      <c r="AG641" s="1008"/>
      <c r="AH641" s="1008"/>
      <c r="AI641" s="1008"/>
    </row>
    <row r="642" spans="1:35" hidden="1">
      <c r="A642" s="1008">
        <v>27600</v>
      </c>
      <c r="C642" s="1008">
        <v>9</v>
      </c>
      <c r="D642" s="1009">
        <v>15230219</v>
      </c>
      <c r="E642" s="1009">
        <v>15230211</v>
      </c>
      <c r="F642" s="1007" t="s">
        <v>4283</v>
      </c>
      <c r="O642" s="1007" t="s">
        <v>648</v>
      </c>
      <c r="P642" s="1007" t="s">
        <v>648</v>
      </c>
      <c r="S642" s="1008" t="s">
        <v>650</v>
      </c>
      <c r="T642" s="1008" t="s">
        <v>675</v>
      </c>
      <c r="U642" s="1008" t="s">
        <v>649</v>
      </c>
      <c r="V642" s="1008" t="s">
        <v>648</v>
      </c>
      <c r="W642" s="1008" t="s">
        <v>546</v>
      </c>
      <c r="X642" s="1008"/>
      <c r="Y642" s="1008"/>
      <c r="Z642" s="1008"/>
      <c r="AA642" s="1008"/>
      <c r="AB642" s="1008"/>
      <c r="AC642" s="1008"/>
      <c r="AD642" s="1008"/>
      <c r="AE642" s="1008"/>
      <c r="AF642" s="1008"/>
      <c r="AG642" s="1008"/>
      <c r="AH642" s="1008"/>
      <c r="AI642" s="1008"/>
    </row>
    <row r="643" spans="1:35">
      <c r="A643" s="1008">
        <v>27601</v>
      </c>
      <c r="B643" s="1008">
        <v>6441</v>
      </c>
      <c r="C643" s="1008">
        <v>10</v>
      </c>
      <c r="D643" s="1009">
        <v>15230219</v>
      </c>
      <c r="E643" s="1009">
        <v>15230212</v>
      </c>
      <c r="F643" s="1007" t="s">
        <v>4282</v>
      </c>
      <c r="G643" s="1007" t="s">
        <v>648</v>
      </c>
      <c r="H643" s="1010">
        <v>99999999</v>
      </c>
      <c r="I643" s="1009">
        <v>15230212</v>
      </c>
      <c r="J643" s="1007" t="s">
        <v>4281</v>
      </c>
      <c r="O643" s="1007" t="s">
        <v>648</v>
      </c>
      <c r="P643" s="1007" t="s">
        <v>648</v>
      </c>
      <c r="S643" s="1008" t="s">
        <v>650</v>
      </c>
      <c r="T643" s="1008" t="s">
        <v>654</v>
      </c>
      <c r="U643" s="1008" t="s">
        <v>649</v>
      </c>
      <c r="V643" s="1008" t="s">
        <v>648</v>
      </c>
      <c r="W643" s="1008" t="s">
        <v>546</v>
      </c>
      <c r="X643" s="1008" t="s">
        <v>670</v>
      </c>
      <c r="Y643" s="1008" t="s">
        <v>670</v>
      </c>
      <c r="Z643" s="1008" t="s">
        <v>670</v>
      </c>
      <c r="AA643" s="1008"/>
      <c r="AB643" s="1008" t="s">
        <v>670</v>
      </c>
      <c r="AC643" s="1008"/>
      <c r="AD643" s="1008"/>
      <c r="AE643" s="1008"/>
      <c r="AF643" s="1008" t="s">
        <v>670</v>
      </c>
      <c r="AG643" s="1008"/>
      <c r="AH643" s="1008"/>
      <c r="AI643" s="1008"/>
    </row>
    <row r="644" spans="1:35">
      <c r="A644" s="1008">
        <v>27602</v>
      </c>
      <c r="B644" s="1008">
        <v>6442</v>
      </c>
      <c r="C644" s="1008">
        <v>10</v>
      </c>
      <c r="D644" s="1009">
        <v>15230219</v>
      </c>
      <c r="E644" s="1009">
        <v>15230213</v>
      </c>
      <c r="F644" s="1007" t="s">
        <v>4280</v>
      </c>
      <c r="G644" s="1007" t="s">
        <v>648</v>
      </c>
      <c r="H644" s="1010">
        <v>99999999</v>
      </c>
      <c r="I644" s="1009">
        <v>15230213</v>
      </c>
      <c r="J644" s="1007" t="s">
        <v>4279</v>
      </c>
      <c r="O644" s="1007" t="s">
        <v>648</v>
      </c>
      <c r="P644" s="1007" t="s">
        <v>648</v>
      </c>
      <c r="S644" s="1008" t="s">
        <v>650</v>
      </c>
      <c r="T644" s="1008" t="s">
        <v>654</v>
      </c>
      <c r="U644" s="1008" t="s">
        <v>649</v>
      </c>
      <c r="V644" s="1008" t="s">
        <v>648</v>
      </c>
      <c r="W644" s="1008" t="s">
        <v>546</v>
      </c>
      <c r="X644" s="1008" t="s">
        <v>670</v>
      </c>
      <c r="Y644" s="1008" t="s">
        <v>670</v>
      </c>
      <c r="Z644" s="1008" t="s">
        <v>670</v>
      </c>
      <c r="AA644" s="1008"/>
      <c r="AB644" s="1008" t="s">
        <v>670</v>
      </c>
      <c r="AC644" s="1008"/>
      <c r="AD644" s="1008"/>
      <c r="AE644" s="1008"/>
      <c r="AF644" s="1008" t="s">
        <v>670</v>
      </c>
      <c r="AG644" s="1008"/>
      <c r="AH644" s="1008"/>
      <c r="AI644" s="1008"/>
    </row>
    <row r="645" spans="1:35" hidden="1">
      <c r="A645" s="1008">
        <v>27599</v>
      </c>
      <c r="C645" s="1008">
        <v>9</v>
      </c>
      <c r="D645" s="1009">
        <v>15230999</v>
      </c>
      <c r="E645" s="1009">
        <v>15230219</v>
      </c>
      <c r="F645" s="1007" t="s">
        <v>4278</v>
      </c>
      <c r="O645" s="1007" t="s">
        <v>648</v>
      </c>
      <c r="P645" s="1007" t="s">
        <v>648</v>
      </c>
      <c r="S645" s="1008" t="s">
        <v>650</v>
      </c>
      <c r="T645" s="1008" t="s">
        <v>21</v>
      </c>
      <c r="U645" s="1008" t="s">
        <v>649</v>
      </c>
      <c r="V645" s="1008" t="s">
        <v>648</v>
      </c>
      <c r="W645" s="1008" t="s">
        <v>546</v>
      </c>
      <c r="X645" s="1008"/>
      <c r="Y645" s="1008"/>
      <c r="Z645" s="1008"/>
      <c r="AA645" s="1008"/>
      <c r="AB645" s="1008"/>
      <c r="AC645" s="1008"/>
      <c r="AD645" s="1008"/>
      <c r="AE645" s="1008"/>
      <c r="AF645" s="1008"/>
      <c r="AG645" s="1008"/>
      <c r="AH645" s="1008"/>
      <c r="AI645" s="1008"/>
    </row>
    <row r="646" spans="1:35" hidden="1">
      <c r="A646" s="1008">
        <v>27204</v>
      </c>
      <c r="C646" s="1008">
        <v>9</v>
      </c>
      <c r="D646" s="1009">
        <v>15230239</v>
      </c>
      <c r="E646" s="1009">
        <v>15230220</v>
      </c>
      <c r="F646" s="1007" t="s">
        <v>4277</v>
      </c>
      <c r="O646" s="1007" t="s">
        <v>648</v>
      </c>
      <c r="P646" s="1007" t="s">
        <v>648</v>
      </c>
      <c r="S646" s="1008" t="s">
        <v>650</v>
      </c>
      <c r="T646" s="1008" t="s">
        <v>675</v>
      </c>
      <c r="U646" s="1008" t="s">
        <v>649</v>
      </c>
      <c r="V646" s="1008" t="s">
        <v>648</v>
      </c>
      <c r="W646" s="1008" t="s">
        <v>546</v>
      </c>
      <c r="X646" s="1008"/>
      <c r="Y646" s="1008"/>
      <c r="Z646" s="1008"/>
      <c r="AA646" s="1008"/>
      <c r="AB646" s="1008"/>
      <c r="AC646" s="1008"/>
      <c r="AD646" s="1008"/>
      <c r="AE646" s="1008"/>
      <c r="AF646" s="1008"/>
      <c r="AG646" s="1008"/>
      <c r="AH646" s="1008"/>
      <c r="AI646" s="1008"/>
    </row>
    <row r="647" spans="1:35">
      <c r="A647" s="1008">
        <v>27205</v>
      </c>
      <c r="B647" s="1008">
        <v>6155</v>
      </c>
      <c r="C647" s="1008">
        <v>10</v>
      </c>
      <c r="D647" s="1009">
        <v>15230239</v>
      </c>
      <c r="E647" s="1009">
        <v>15230221</v>
      </c>
      <c r="F647" s="1007" t="s">
        <v>4276</v>
      </c>
      <c r="G647" s="1007" t="s">
        <v>648</v>
      </c>
      <c r="H647" s="1010">
        <v>99999999</v>
      </c>
      <c r="I647" s="1009">
        <v>15230221</v>
      </c>
      <c r="J647" s="1007" t="s">
        <v>4276</v>
      </c>
      <c r="O647" s="1007" t="s">
        <v>648</v>
      </c>
      <c r="P647" s="1007" t="s">
        <v>648</v>
      </c>
      <c r="S647" s="1008" t="s">
        <v>650</v>
      </c>
      <c r="T647" s="1008" t="s">
        <v>654</v>
      </c>
      <c r="U647" s="1008" t="s">
        <v>649</v>
      </c>
      <c r="V647" s="1008" t="s">
        <v>648</v>
      </c>
      <c r="W647" s="1008" t="s">
        <v>546</v>
      </c>
      <c r="X647" s="1008" t="s">
        <v>670</v>
      </c>
      <c r="Y647" s="1008" t="s">
        <v>670</v>
      </c>
      <c r="Z647" s="1008" t="s">
        <v>670</v>
      </c>
      <c r="AA647" s="1008"/>
      <c r="AB647" s="1008" t="s">
        <v>670</v>
      </c>
      <c r="AC647" s="1008"/>
      <c r="AD647" s="1008"/>
      <c r="AE647" s="1008"/>
      <c r="AF647" s="1008" t="s">
        <v>670</v>
      </c>
      <c r="AG647" s="1008"/>
      <c r="AH647" s="1008"/>
      <c r="AI647" s="1008"/>
    </row>
    <row r="648" spans="1:35">
      <c r="A648" s="1008">
        <v>27206</v>
      </c>
      <c r="B648" s="1008">
        <v>6156</v>
      </c>
      <c r="C648" s="1008">
        <v>10</v>
      </c>
      <c r="D648" s="1009">
        <v>15230239</v>
      </c>
      <c r="E648" s="1009">
        <v>15230222</v>
      </c>
      <c r="F648" s="1007" t="s">
        <v>4275</v>
      </c>
      <c r="G648" s="1007" t="s">
        <v>648</v>
      </c>
      <c r="H648" s="1010">
        <v>99999999</v>
      </c>
      <c r="I648" s="1009">
        <v>15230222</v>
      </c>
      <c r="J648" s="1007" t="s">
        <v>4275</v>
      </c>
      <c r="O648" s="1007" t="s">
        <v>648</v>
      </c>
      <c r="P648" s="1007" t="s">
        <v>648</v>
      </c>
      <c r="S648" s="1008" t="s">
        <v>650</v>
      </c>
      <c r="T648" s="1008" t="s">
        <v>654</v>
      </c>
      <c r="U648" s="1008" t="s">
        <v>649</v>
      </c>
      <c r="V648" s="1008" t="s">
        <v>648</v>
      </c>
      <c r="W648" s="1008" t="s">
        <v>546</v>
      </c>
      <c r="X648" s="1008" t="s">
        <v>670</v>
      </c>
      <c r="Y648" s="1008" t="s">
        <v>670</v>
      </c>
      <c r="Z648" s="1008" t="s">
        <v>670</v>
      </c>
      <c r="AA648" s="1008"/>
      <c r="AB648" s="1008" t="s">
        <v>670</v>
      </c>
      <c r="AC648" s="1008"/>
      <c r="AD648" s="1008"/>
      <c r="AE648" s="1008"/>
      <c r="AF648" s="1008" t="s">
        <v>670</v>
      </c>
      <c r="AG648" s="1008"/>
      <c r="AH648" s="1008"/>
      <c r="AI648" s="1008"/>
    </row>
    <row r="649" spans="1:35">
      <c r="A649" s="1008">
        <v>27207</v>
      </c>
      <c r="B649" s="1008">
        <v>6157</v>
      </c>
      <c r="C649" s="1008">
        <v>10</v>
      </c>
      <c r="D649" s="1009">
        <v>15230239</v>
      </c>
      <c r="E649" s="1009">
        <v>15230223</v>
      </c>
      <c r="F649" s="1007" t="s">
        <v>4274</v>
      </c>
      <c r="G649" s="1007" t="s">
        <v>648</v>
      </c>
      <c r="H649" s="1010">
        <v>99999999</v>
      </c>
      <c r="I649" s="1009">
        <v>15230223</v>
      </c>
      <c r="J649" s="1007" t="s">
        <v>4274</v>
      </c>
      <c r="O649" s="1007" t="s">
        <v>648</v>
      </c>
      <c r="P649" s="1007" t="s">
        <v>648</v>
      </c>
      <c r="S649" s="1008" t="s">
        <v>650</v>
      </c>
      <c r="T649" s="1008" t="s">
        <v>654</v>
      </c>
      <c r="U649" s="1008" t="s">
        <v>649</v>
      </c>
      <c r="V649" s="1008" t="s">
        <v>648</v>
      </c>
      <c r="W649" s="1008" t="s">
        <v>546</v>
      </c>
      <c r="X649" s="1008" t="s">
        <v>670</v>
      </c>
      <c r="Y649" s="1008" t="s">
        <v>670</v>
      </c>
      <c r="Z649" s="1008" t="s">
        <v>670</v>
      </c>
      <c r="AA649" s="1008"/>
      <c r="AB649" s="1008" t="s">
        <v>670</v>
      </c>
      <c r="AC649" s="1008"/>
      <c r="AD649" s="1008"/>
      <c r="AE649" s="1008"/>
      <c r="AF649" s="1008" t="s">
        <v>670</v>
      </c>
      <c r="AG649" s="1008"/>
      <c r="AH649" s="1008"/>
      <c r="AI649" s="1008"/>
    </row>
    <row r="650" spans="1:35">
      <c r="A650" s="1008">
        <v>27208</v>
      </c>
      <c r="B650" s="1008">
        <v>6158</v>
      </c>
      <c r="C650" s="1008">
        <v>10</v>
      </c>
      <c r="D650" s="1009">
        <v>15230239</v>
      </c>
      <c r="E650" s="1009">
        <v>15230224</v>
      </c>
      <c r="F650" s="1007" t="s">
        <v>4273</v>
      </c>
      <c r="G650" s="1007" t="s">
        <v>648</v>
      </c>
      <c r="H650" s="1010">
        <v>99999999</v>
      </c>
      <c r="I650" s="1009">
        <v>15230224</v>
      </c>
      <c r="J650" s="1007" t="s">
        <v>4273</v>
      </c>
      <c r="O650" s="1007" t="s">
        <v>648</v>
      </c>
      <c r="P650" s="1007" t="s">
        <v>648</v>
      </c>
      <c r="S650" s="1008" t="s">
        <v>650</v>
      </c>
      <c r="T650" s="1008" t="s">
        <v>654</v>
      </c>
      <c r="U650" s="1008" t="s">
        <v>649</v>
      </c>
      <c r="V650" s="1008" t="s">
        <v>648</v>
      </c>
      <c r="W650" s="1008" t="s">
        <v>546</v>
      </c>
      <c r="X650" s="1008" t="s">
        <v>670</v>
      </c>
      <c r="Y650" s="1008" t="s">
        <v>670</v>
      </c>
      <c r="Z650" s="1008" t="s">
        <v>670</v>
      </c>
      <c r="AA650" s="1008"/>
      <c r="AB650" s="1008" t="s">
        <v>670</v>
      </c>
      <c r="AC650" s="1008"/>
      <c r="AD650" s="1008"/>
      <c r="AE650" s="1008"/>
      <c r="AF650" s="1008" t="s">
        <v>670</v>
      </c>
      <c r="AG650" s="1008"/>
      <c r="AH650" s="1008"/>
      <c r="AI650" s="1008"/>
    </row>
    <row r="651" spans="1:35">
      <c r="A651" s="1008">
        <v>27209</v>
      </c>
      <c r="B651" s="1008">
        <v>6159</v>
      </c>
      <c r="C651" s="1008">
        <v>10</v>
      </c>
      <c r="D651" s="1009">
        <v>15230239</v>
      </c>
      <c r="E651" s="1009">
        <v>15230225</v>
      </c>
      <c r="F651" s="1007" t="s">
        <v>4272</v>
      </c>
      <c r="G651" s="1007" t="s">
        <v>648</v>
      </c>
      <c r="H651" s="1010">
        <v>99999999</v>
      </c>
      <c r="I651" s="1009">
        <v>15230225</v>
      </c>
      <c r="J651" s="1007" t="s">
        <v>4272</v>
      </c>
      <c r="O651" s="1007" t="s">
        <v>648</v>
      </c>
      <c r="P651" s="1007" t="s">
        <v>648</v>
      </c>
      <c r="S651" s="1008" t="s">
        <v>650</v>
      </c>
      <c r="T651" s="1008" t="s">
        <v>654</v>
      </c>
      <c r="U651" s="1008" t="s">
        <v>649</v>
      </c>
      <c r="V651" s="1008" t="s">
        <v>648</v>
      </c>
      <c r="W651" s="1008" t="s">
        <v>546</v>
      </c>
      <c r="X651" s="1008" t="s">
        <v>670</v>
      </c>
      <c r="Y651" s="1008" t="s">
        <v>670</v>
      </c>
      <c r="Z651" s="1008" t="s">
        <v>670</v>
      </c>
      <c r="AA651" s="1008"/>
      <c r="AB651" s="1008" t="s">
        <v>670</v>
      </c>
      <c r="AC651" s="1008"/>
      <c r="AD651" s="1008"/>
      <c r="AE651" s="1008"/>
      <c r="AF651" s="1008" t="s">
        <v>670</v>
      </c>
      <c r="AG651" s="1008"/>
      <c r="AH651" s="1008"/>
      <c r="AI651" s="1008"/>
    </row>
    <row r="652" spans="1:35">
      <c r="A652" s="1008">
        <v>26755</v>
      </c>
      <c r="B652" s="1008">
        <v>122</v>
      </c>
      <c r="C652" s="1008">
        <v>10</v>
      </c>
      <c r="D652" s="1009">
        <v>15230239</v>
      </c>
      <c r="E652" s="1009">
        <v>15230226</v>
      </c>
      <c r="F652" s="1007" t="s">
        <v>4271</v>
      </c>
      <c r="G652" s="1007">
        <v>8</v>
      </c>
      <c r="H652" s="1010">
        <v>99999999</v>
      </c>
      <c r="I652" s="1009">
        <v>15230226</v>
      </c>
      <c r="J652" s="1007" t="s">
        <v>4271</v>
      </c>
      <c r="O652" s="1007" t="s">
        <v>648</v>
      </c>
      <c r="P652" s="1007" t="s">
        <v>648</v>
      </c>
      <c r="S652" s="1008" t="s">
        <v>650</v>
      </c>
      <c r="T652" s="1008" t="s">
        <v>654</v>
      </c>
      <c r="U652" s="1008" t="s">
        <v>649</v>
      </c>
      <c r="V652" s="1008" t="s">
        <v>648</v>
      </c>
      <c r="W652" s="1008" t="s">
        <v>546</v>
      </c>
      <c r="X652" s="1008" t="s">
        <v>670</v>
      </c>
      <c r="Y652" s="1008" t="s">
        <v>670</v>
      </c>
      <c r="Z652" s="1008" t="s">
        <v>670</v>
      </c>
      <c r="AA652" s="1008"/>
      <c r="AB652" s="1008" t="s">
        <v>670</v>
      </c>
      <c r="AC652" s="1008"/>
      <c r="AD652" s="1008"/>
      <c r="AE652" s="1008"/>
      <c r="AF652" s="1008" t="s">
        <v>670</v>
      </c>
      <c r="AG652" s="1008"/>
      <c r="AH652" s="1008"/>
      <c r="AI652" s="1008"/>
    </row>
    <row r="653" spans="1:35">
      <c r="A653" s="1008">
        <v>26764</v>
      </c>
      <c r="B653" s="1008">
        <v>131</v>
      </c>
      <c r="C653" s="1008">
        <v>10</v>
      </c>
      <c r="D653" s="1009">
        <v>15230239</v>
      </c>
      <c r="E653" s="1009">
        <v>15230227</v>
      </c>
      <c r="F653" s="1007" t="s">
        <v>4270</v>
      </c>
      <c r="G653" s="1007">
        <v>8</v>
      </c>
      <c r="H653" s="1010">
        <v>99999999</v>
      </c>
      <c r="I653" s="1009">
        <v>15230227</v>
      </c>
      <c r="J653" s="1007" t="s">
        <v>4270</v>
      </c>
      <c r="O653" s="1007" t="s">
        <v>648</v>
      </c>
      <c r="P653" s="1007" t="s">
        <v>648</v>
      </c>
      <c r="S653" s="1008" t="s">
        <v>650</v>
      </c>
      <c r="T653" s="1008" t="s">
        <v>654</v>
      </c>
      <c r="U653" s="1008" t="s">
        <v>649</v>
      </c>
      <c r="V653" s="1008" t="s">
        <v>648</v>
      </c>
      <c r="W653" s="1008" t="s">
        <v>546</v>
      </c>
      <c r="X653" s="1008" t="s">
        <v>670</v>
      </c>
      <c r="Y653" s="1008" t="s">
        <v>670</v>
      </c>
      <c r="Z653" s="1008" t="s">
        <v>670</v>
      </c>
      <c r="AA653" s="1008"/>
      <c r="AB653" s="1008" t="s">
        <v>670</v>
      </c>
      <c r="AC653" s="1008"/>
      <c r="AD653" s="1008"/>
      <c r="AE653" s="1008"/>
      <c r="AF653" s="1008" t="s">
        <v>670</v>
      </c>
      <c r="AG653" s="1008"/>
      <c r="AH653" s="1008"/>
      <c r="AI653" s="1008"/>
    </row>
    <row r="654" spans="1:35">
      <c r="A654" s="1008">
        <v>26765</v>
      </c>
      <c r="B654" s="1008">
        <v>132</v>
      </c>
      <c r="C654" s="1008">
        <v>10</v>
      </c>
      <c r="D654" s="1009">
        <v>15230239</v>
      </c>
      <c r="E654" s="1009">
        <v>15230228</v>
      </c>
      <c r="F654" s="1007" t="s">
        <v>4269</v>
      </c>
      <c r="G654" s="1007">
        <v>8</v>
      </c>
      <c r="H654" s="1010">
        <v>99999999</v>
      </c>
      <c r="I654" s="1009">
        <v>15230228</v>
      </c>
      <c r="J654" s="1007" t="s">
        <v>4269</v>
      </c>
      <c r="O654" s="1007" t="s">
        <v>648</v>
      </c>
      <c r="P654" s="1007" t="s">
        <v>648</v>
      </c>
      <c r="S654" s="1008" t="s">
        <v>650</v>
      </c>
      <c r="T654" s="1008" t="s">
        <v>654</v>
      </c>
      <c r="U654" s="1008" t="s">
        <v>649</v>
      </c>
      <c r="V654" s="1008" t="s">
        <v>648</v>
      </c>
      <c r="W654" s="1008" t="s">
        <v>546</v>
      </c>
      <c r="X654" s="1008" t="s">
        <v>670</v>
      </c>
      <c r="Y654" s="1008" t="s">
        <v>670</v>
      </c>
      <c r="Z654" s="1008" t="s">
        <v>670</v>
      </c>
      <c r="AA654" s="1008"/>
      <c r="AB654" s="1008" t="s">
        <v>670</v>
      </c>
      <c r="AC654" s="1008"/>
      <c r="AD654" s="1008"/>
      <c r="AE654" s="1008"/>
      <c r="AF654" s="1008" t="s">
        <v>670</v>
      </c>
      <c r="AG654" s="1008"/>
      <c r="AH654" s="1008"/>
      <c r="AI654" s="1008"/>
    </row>
    <row r="655" spans="1:35">
      <c r="A655" s="1008">
        <v>28064</v>
      </c>
      <c r="B655" s="1008">
        <v>6781</v>
      </c>
      <c r="C655" s="1008">
        <v>10</v>
      </c>
      <c r="D655" s="1009">
        <v>15230239</v>
      </c>
      <c r="E655" s="1009">
        <v>15230229</v>
      </c>
      <c r="F655" s="1007" t="s">
        <v>4268</v>
      </c>
      <c r="G655" s="1007">
        <v>8</v>
      </c>
      <c r="H655" s="1010">
        <v>99999999</v>
      </c>
      <c r="I655" s="1009">
        <v>15230229</v>
      </c>
      <c r="J655" s="1007" t="s">
        <v>4268</v>
      </c>
      <c r="O655" s="1007" t="s">
        <v>648</v>
      </c>
      <c r="P655" s="1007" t="s">
        <v>648</v>
      </c>
      <c r="S655" s="1008" t="s">
        <v>650</v>
      </c>
      <c r="T655" s="1008" t="s">
        <v>654</v>
      </c>
      <c r="U655" s="1008" t="s">
        <v>649</v>
      </c>
      <c r="V655" s="1008" t="s">
        <v>648</v>
      </c>
      <c r="W655" s="1008" t="s">
        <v>546</v>
      </c>
      <c r="X655" s="1008" t="s">
        <v>670</v>
      </c>
      <c r="Y655" s="1008" t="s">
        <v>670</v>
      </c>
      <c r="Z655" s="1008" t="s">
        <v>670</v>
      </c>
      <c r="AA655" s="1008"/>
      <c r="AB655" s="1008" t="s">
        <v>670</v>
      </c>
      <c r="AC655" s="1008"/>
      <c r="AD655" s="1008"/>
      <c r="AE655" s="1008"/>
      <c r="AF655" s="1008" t="s">
        <v>670</v>
      </c>
      <c r="AG655" s="1008"/>
      <c r="AH655" s="1008"/>
      <c r="AI655" s="1008"/>
    </row>
    <row r="656" spans="1:35" hidden="1">
      <c r="A656" s="1008">
        <v>27210</v>
      </c>
      <c r="C656" s="1008">
        <v>9</v>
      </c>
      <c r="D656" s="1009">
        <v>15230999</v>
      </c>
      <c r="E656" s="1009">
        <v>15230239</v>
      </c>
      <c r="F656" s="1007" t="s">
        <v>4267</v>
      </c>
      <c r="O656" s="1007" t="s">
        <v>648</v>
      </c>
      <c r="P656" s="1007" t="s">
        <v>648</v>
      </c>
      <c r="S656" s="1008" t="s">
        <v>650</v>
      </c>
      <c r="T656" s="1008" t="s">
        <v>21</v>
      </c>
      <c r="U656" s="1008" t="s">
        <v>649</v>
      </c>
      <c r="V656" s="1008" t="s">
        <v>648</v>
      </c>
      <c r="W656" s="1008" t="s">
        <v>546</v>
      </c>
      <c r="X656" s="1008"/>
      <c r="Y656" s="1008"/>
      <c r="Z656" s="1008"/>
      <c r="AA656" s="1008"/>
      <c r="AB656" s="1008"/>
      <c r="AC656" s="1008"/>
      <c r="AD656" s="1008"/>
      <c r="AE656" s="1008"/>
      <c r="AF656" s="1008"/>
      <c r="AG656" s="1008"/>
      <c r="AH656" s="1008"/>
      <c r="AI656" s="1008"/>
    </row>
    <row r="657" spans="1:35" hidden="1">
      <c r="A657" s="1008">
        <v>27211</v>
      </c>
      <c r="C657" s="1008">
        <v>9</v>
      </c>
      <c r="D657" s="1009">
        <v>15230259</v>
      </c>
      <c r="E657" s="1009">
        <v>15230240</v>
      </c>
      <c r="F657" s="1007" t="s">
        <v>4266</v>
      </c>
      <c r="O657" s="1007" t="s">
        <v>648</v>
      </c>
      <c r="P657" s="1007" t="s">
        <v>648</v>
      </c>
      <c r="S657" s="1008" t="s">
        <v>650</v>
      </c>
      <c r="T657" s="1008" t="s">
        <v>675</v>
      </c>
      <c r="U657" s="1008" t="s">
        <v>649</v>
      </c>
      <c r="V657" s="1008" t="s">
        <v>648</v>
      </c>
      <c r="W657" s="1008" t="s">
        <v>546</v>
      </c>
      <c r="X657" s="1008"/>
      <c r="Y657" s="1008"/>
      <c r="Z657" s="1008"/>
      <c r="AA657" s="1008"/>
      <c r="AB657" s="1008"/>
      <c r="AC657" s="1008"/>
      <c r="AD657" s="1008"/>
      <c r="AE657" s="1008"/>
      <c r="AF657" s="1008"/>
      <c r="AG657" s="1008"/>
      <c r="AH657" s="1008"/>
      <c r="AI657" s="1008"/>
    </row>
    <row r="658" spans="1:35">
      <c r="A658" s="1008">
        <v>26757</v>
      </c>
      <c r="B658" s="1008">
        <v>124</v>
      </c>
      <c r="C658" s="1008">
        <v>10</v>
      </c>
      <c r="D658" s="1009">
        <v>15230259</v>
      </c>
      <c r="E658" s="1009">
        <v>15230241</v>
      </c>
      <c r="F658" s="1007" t="s">
        <v>4265</v>
      </c>
      <c r="G658" s="1007">
        <v>8</v>
      </c>
      <c r="H658" s="1010">
        <v>99999999</v>
      </c>
      <c r="I658" s="1009">
        <v>15230241</v>
      </c>
      <c r="J658" s="1007" t="s">
        <v>4265</v>
      </c>
      <c r="O658" s="1007" t="s">
        <v>648</v>
      </c>
      <c r="P658" s="1007" t="s">
        <v>648</v>
      </c>
      <c r="S658" s="1008" t="s">
        <v>650</v>
      </c>
      <c r="T658" s="1008" t="s">
        <v>654</v>
      </c>
      <c r="U658" s="1008" t="s">
        <v>649</v>
      </c>
      <c r="V658" s="1008" t="s">
        <v>648</v>
      </c>
      <c r="W658" s="1008" t="s">
        <v>546</v>
      </c>
      <c r="X658" s="1008" t="s">
        <v>670</v>
      </c>
      <c r="Y658" s="1008" t="s">
        <v>670</v>
      </c>
      <c r="Z658" s="1008" t="s">
        <v>670</v>
      </c>
      <c r="AA658" s="1008"/>
      <c r="AB658" s="1008" t="s">
        <v>670</v>
      </c>
      <c r="AC658" s="1008"/>
      <c r="AD658" s="1008"/>
      <c r="AE658" s="1008"/>
      <c r="AF658" s="1008" t="s">
        <v>670</v>
      </c>
      <c r="AG658" s="1008"/>
      <c r="AH658" s="1008"/>
      <c r="AI658" s="1008"/>
    </row>
    <row r="659" spans="1:35">
      <c r="A659" s="1008">
        <v>27212</v>
      </c>
      <c r="B659" s="1008">
        <v>6160</v>
      </c>
      <c r="C659" s="1008">
        <v>10</v>
      </c>
      <c r="D659" s="1009">
        <v>15230259</v>
      </c>
      <c r="E659" s="1009">
        <v>15230242</v>
      </c>
      <c r="F659" s="1007" t="s">
        <v>4264</v>
      </c>
      <c r="G659" s="1007" t="s">
        <v>648</v>
      </c>
      <c r="H659" s="1010">
        <v>99999999</v>
      </c>
      <c r="I659" s="1009">
        <v>15230242</v>
      </c>
      <c r="J659" s="1007" t="s">
        <v>4264</v>
      </c>
      <c r="O659" s="1007" t="s">
        <v>648</v>
      </c>
      <c r="P659" s="1007" t="s">
        <v>648</v>
      </c>
      <c r="S659" s="1008" t="s">
        <v>650</v>
      </c>
      <c r="T659" s="1008" t="s">
        <v>654</v>
      </c>
      <c r="U659" s="1008" t="s">
        <v>649</v>
      </c>
      <c r="V659" s="1008" t="s">
        <v>648</v>
      </c>
      <c r="W659" s="1008" t="s">
        <v>546</v>
      </c>
      <c r="X659" s="1008" t="s">
        <v>670</v>
      </c>
      <c r="Y659" s="1008" t="s">
        <v>670</v>
      </c>
      <c r="Z659" s="1008" t="s">
        <v>670</v>
      </c>
      <c r="AA659" s="1008"/>
      <c r="AB659" s="1008" t="s">
        <v>670</v>
      </c>
      <c r="AC659" s="1008"/>
      <c r="AD659" s="1008"/>
      <c r="AE659" s="1008"/>
      <c r="AF659" s="1008" t="s">
        <v>670</v>
      </c>
      <c r="AG659" s="1008"/>
      <c r="AH659" s="1008"/>
      <c r="AI659" s="1008"/>
    </row>
    <row r="660" spans="1:35">
      <c r="A660" s="1008">
        <v>27213</v>
      </c>
      <c r="B660" s="1008">
        <v>6161</v>
      </c>
      <c r="C660" s="1008">
        <v>10</v>
      </c>
      <c r="D660" s="1009">
        <v>15230259</v>
      </c>
      <c r="E660" s="1009">
        <v>15230243</v>
      </c>
      <c r="F660" s="1007" t="s">
        <v>4263</v>
      </c>
      <c r="G660" s="1007" t="s">
        <v>648</v>
      </c>
      <c r="H660" s="1010">
        <v>99999999</v>
      </c>
      <c r="I660" s="1009">
        <v>15230243</v>
      </c>
      <c r="J660" s="1007" t="s">
        <v>4263</v>
      </c>
      <c r="O660" s="1007" t="s">
        <v>648</v>
      </c>
      <c r="P660" s="1007" t="s">
        <v>648</v>
      </c>
      <c r="S660" s="1008" t="s">
        <v>650</v>
      </c>
      <c r="T660" s="1008" t="s">
        <v>654</v>
      </c>
      <c r="U660" s="1008" t="s">
        <v>649</v>
      </c>
      <c r="V660" s="1008" t="s">
        <v>648</v>
      </c>
      <c r="W660" s="1008" t="s">
        <v>546</v>
      </c>
      <c r="X660" s="1008" t="s">
        <v>670</v>
      </c>
      <c r="Y660" s="1008" t="s">
        <v>670</v>
      </c>
      <c r="Z660" s="1008" t="s">
        <v>670</v>
      </c>
      <c r="AA660" s="1008"/>
      <c r="AB660" s="1008" t="s">
        <v>670</v>
      </c>
      <c r="AC660" s="1008"/>
      <c r="AD660" s="1008"/>
      <c r="AE660" s="1008"/>
      <c r="AF660" s="1008" t="s">
        <v>670</v>
      </c>
      <c r="AG660" s="1008"/>
      <c r="AH660" s="1008"/>
      <c r="AI660" s="1008"/>
    </row>
    <row r="661" spans="1:35">
      <c r="A661" s="1008">
        <v>27214</v>
      </c>
      <c r="B661" s="1008">
        <v>6162</v>
      </c>
      <c r="C661" s="1008">
        <v>10</v>
      </c>
      <c r="D661" s="1009">
        <v>15230259</v>
      </c>
      <c r="E661" s="1009">
        <v>15230244</v>
      </c>
      <c r="F661" s="1007" t="s">
        <v>4262</v>
      </c>
      <c r="G661" s="1007" t="s">
        <v>648</v>
      </c>
      <c r="H661" s="1010">
        <v>99999999</v>
      </c>
      <c r="I661" s="1009">
        <v>15230244</v>
      </c>
      <c r="J661" s="1007" t="s">
        <v>4262</v>
      </c>
      <c r="O661" s="1007" t="s">
        <v>648</v>
      </c>
      <c r="P661" s="1007" t="s">
        <v>648</v>
      </c>
      <c r="S661" s="1008" t="s">
        <v>650</v>
      </c>
      <c r="T661" s="1008" t="s">
        <v>654</v>
      </c>
      <c r="U661" s="1008" t="s">
        <v>649</v>
      </c>
      <c r="V661" s="1008" t="s">
        <v>648</v>
      </c>
      <c r="W661" s="1008" t="s">
        <v>546</v>
      </c>
      <c r="X661" s="1008" t="s">
        <v>670</v>
      </c>
      <c r="Y661" s="1008" t="s">
        <v>670</v>
      </c>
      <c r="Z661" s="1008" t="s">
        <v>670</v>
      </c>
      <c r="AA661" s="1008"/>
      <c r="AB661" s="1008" t="s">
        <v>670</v>
      </c>
      <c r="AC661" s="1008"/>
      <c r="AD661" s="1008"/>
      <c r="AE661" s="1008"/>
      <c r="AF661" s="1008" t="s">
        <v>670</v>
      </c>
      <c r="AG661" s="1008"/>
      <c r="AH661" s="1008"/>
      <c r="AI661" s="1008"/>
    </row>
    <row r="662" spans="1:35">
      <c r="A662" s="1008">
        <v>26763</v>
      </c>
      <c r="B662" s="1008">
        <v>130</v>
      </c>
      <c r="C662" s="1008">
        <v>10</v>
      </c>
      <c r="D662" s="1009">
        <v>15230259</v>
      </c>
      <c r="E662" s="1009">
        <v>15230245</v>
      </c>
      <c r="F662" s="1007" t="s">
        <v>4261</v>
      </c>
      <c r="G662" s="1007">
        <v>8</v>
      </c>
      <c r="H662" s="1010">
        <v>99999999</v>
      </c>
      <c r="I662" s="1009">
        <v>15230245</v>
      </c>
      <c r="J662" s="1007" t="s">
        <v>4261</v>
      </c>
      <c r="O662" s="1007" t="s">
        <v>648</v>
      </c>
      <c r="P662" s="1007" t="s">
        <v>648</v>
      </c>
      <c r="S662" s="1008" t="s">
        <v>650</v>
      </c>
      <c r="T662" s="1008" t="s">
        <v>654</v>
      </c>
      <c r="U662" s="1008" t="s">
        <v>649</v>
      </c>
      <c r="V662" s="1008" t="s">
        <v>648</v>
      </c>
      <c r="W662" s="1008" t="s">
        <v>546</v>
      </c>
      <c r="X662" s="1008" t="s">
        <v>670</v>
      </c>
      <c r="Y662" s="1008" t="s">
        <v>670</v>
      </c>
      <c r="Z662" s="1008" t="s">
        <v>670</v>
      </c>
      <c r="AA662" s="1008"/>
      <c r="AB662" s="1008" t="s">
        <v>670</v>
      </c>
      <c r="AC662" s="1008"/>
      <c r="AD662" s="1008"/>
      <c r="AE662" s="1008"/>
      <c r="AF662" s="1008" t="s">
        <v>670</v>
      </c>
      <c r="AG662" s="1008"/>
      <c r="AH662" s="1008"/>
      <c r="AI662" s="1008"/>
    </row>
    <row r="663" spans="1:35" hidden="1">
      <c r="A663" s="1008">
        <v>27215</v>
      </c>
      <c r="C663" s="1008">
        <v>9</v>
      </c>
      <c r="D663" s="1009">
        <v>15230999</v>
      </c>
      <c r="E663" s="1009">
        <v>15230259</v>
      </c>
      <c r="F663" s="1007" t="s">
        <v>4260</v>
      </c>
      <c r="O663" s="1007" t="s">
        <v>648</v>
      </c>
      <c r="P663" s="1007" t="s">
        <v>648</v>
      </c>
      <c r="S663" s="1008" t="s">
        <v>650</v>
      </c>
      <c r="T663" s="1008" t="s">
        <v>21</v>
      </c>
      <c r="U663" s="1008" t="s">
        <v>649</v>
      </c>
      <c r="V663" s="1008" t="s">
        <v>648</v>
      </c>
      <c r="W663" s="1008" t="s">
        <v>546</v>
      </c>
      <c r="X663" s="1008"/>
      <c r="Y663" s="1008"/>
      <c r="Z663" s="1008"/>
      <c r="AA663" s="1008"/>
      <c r="AB663" s="1008"/>
      <c r="AC663" s="1008"/>
      <c r="AD663" s="1008"/>
      <c r="AE663" s="1008"/>
      <c r="AF663" s="1008"/>
      <c r="AG663" s="1008"/>
      <c r="AH663" s="1008"/>
      <c r="AI663" s="1008"/>
    </row>
    <row r="664" spans="1:35" hidden="1">
      <c r="A664" s="1008">
        <v>27216</v>
      </c>
      <c r="C664" s="1008">
        <v>9</v>
      </c>
      <c r="D664" s="1009">
        <v>15230279</v>
      </c>
      <c r="E664" s="1009">
        <v>15230260</v>
      </c>
      <c r="F664" s="1007" t="s">
        <v>4259</v>
      </c>
      <c r="O664" s="1007" t="s">
        <v>648</v>
      </c>
      <c r="P664" s="1007" t="s">
        <v>648</v>
      </c>
      <c r="S664" s="1008" t="s">
        <v>650</v>
      </c>
      <c r="T664" s="1008" t="s">
        <v>675</v>
      </c>
      <c r="U664" s="1008" t="s">
        <v>649</v>
      </c>
      <c r="V664" s="1008" t="s">
        <v>648</v>
      </c>
      <c r="W664" s="1008" t="s">
        <v>546</v>
      </c>
      <c r="X664" s="1008"/>
      <c r="Y664" s="1008"/>
      <c r="Z664" s="1008"/>
      <c r="AA664" s="1008"/>
      <c r="AB664" s="1008"/>
      <c r="AC664" s="1008"/>
      <c r="AD664" s="1008"/>
      <c r="AE664" s="1008"/>
      <c r="AF664" s="1008"/>
      <c r="AG664" s="1008"/>
      <c r="AH664" s="1008"/>
      <c r="AI664" s="1008"/>
    </row>
    <row r="665" spans="1:35">
      <c r="A665" s="1008">
        <v>27217</v>
      </c>
      <c r="B665" s="1008">
        <v>6163</v>
      </c>
      <c r="C665" s="1008">
        <v>10</v>
      </c>
      <c r="D665" s="1009">
        <v>15230279</v>
      </c>
      <c r="E665" s="1009">
        <v>15230261</v>
      </c>
      <c r="F665" s="1007" t="s">
        <v>4258</v>
      </c>
      <c r="G665" s="1007" t="s">
        <v>648</v>
      </c>
      <c r="H665" s="1010">
        <v>99999999</v>
      </c>
      <c r="I665" s="1009">
        <v>15230261</v>
      </c>
      <c r="J665" s="1007" t="s">
        <v>4258</v>
      </c>
      <c r="O665" s="1007" t="s">
        <v>648</v>
      </c>
      <c r="P665" s="1007" t="s">
        <v>648</v>
      </c>
      <c r="S665" s="1008" t="s">
        <v>650</v>
      </c>
      <c r="T665" s="1008" t="s">
        <v>654</v>
      </c>
      <c r="U665" s="1008" t="s">
        <v>649</v>
      </c>
      <c r="V665" s="1008" t="s">
        <v>648</v>
      </c>
      <c r="W665" s="1008" t="s">
        <v>546</v>
      </c>
      <c r="X665" s="1008" t="s">
        <v>670</v>
      </c>
      <c r="Y665" s="1008" t="s">
        <v>670</v>
      </c>
      <c r="Z665" s="1008" t="s">
        <v>670</v>
      </c>
      <c r="AA665" s="1008"/>
      <c r="AB665" s="1008" t="s">
        <v>670</v>
      </c>
      <c r="AC665" s="1008"/>
      <c r="AD665" s="1008"/>
      <c r="AE665" s="1008"/>
      <c r="AF665" s="1008" t="s">
        <v>670</v>
      </c>
      <c r="AG665" s="1008"/>
      <c r="AH665" s="1008"/>
      <c r="AI665" s="1008"/>
    </row>
    <row r="666" spans="1:35">
      <c r="A666" s="1008">
        <v>27218</v>
      </c>
      <c r="B666" s="1008">
        <v>6164</v>
      </c>
      <c r="C666" s="1008">
        <v>10</v>
      </c>
      <c r="D666" s="1009">
        <v>15230279</v>
      </c>
      <c r="E666" s="1009">
        <v>15230262</v>
      </c>
      <c r="F666" s="1007" t="s">
        <v>4257</v>
      </c>
      <c r="G666" s="1007" t="s">
        <v>648</v>
      </c>
      <c r="H666" s="1010">
        <v>99999999</v>
      </c>
      <c r="I666" s="1009">
        <v>15230262</v>
      </c>
      <c r="J666" s="1007" t="s">
        <v>4257</v>
      </c>
      <c r="O666" s="1007" t="s">
        <v>648</v>
      </c>
      <c r="P666" s="1007" t="s">
        <v>648</v>
      </c>
      <c r="S666" s="1008" t="s">
        <v>650</v>
      </c>
      <c r="T666" s="1008" t="s">
        <v>654</v>
      </c>
      <c r="U666" s="1008" t="s">
        <v>649</v>
      </c>
      <c r="V666" s="1008" t="s">
        <v>648</v>
      </c>
      <c r="W666" s="1008" t="s">
        <v>546</v>
      </c>
      <c r="X666" s="1008" t="s">
        <v>670</v>
      </c>
      <c r="Y666" s="1008" t="s">
        <v>670</v>
      </c>
      <c r="Z666" s="1008" t="s">
        <v>670</v>
      </c>
      <c r="AA666" s="1008"/>
      <c r="AB666" s="1008" t="s">
        <v>670</v>
      </c>
      <c r="AC666" s="1008"/>
      <c r="AD666" s="1008"/>
      <c r="AE666" s="1008"/>
      <c r="AF666" s="1008" t="s">
        <v>670</v>
      </c>
      <c r="AG666" s="1008"/>
      <c r="AH666" s="1008"/>
      <c r="AI666" s="1008"/>
    </row>
    <row r="667" spans="1:35">
      <c r="A667" s="1008">
        <v>27219</v>
      </c>
      <c r="B667" s="1008">
        <v>6165</v>
      </c>
      <c r="C667" s="1008">
        <v>10</v>
      </c>
      <c r="D667" s="1009">
        <v>15230279</v>
      </c>
      <c r="E667" s="1009">
        <v>15230263</v>
      </c>
      <c r="F667" s="1007" t="s">
        <v>4256</v>
      </c>
      <c r="G667" s="1007" t="s">
        <v>648</v>
      </c>
      <c r="H667" s="1010">
        <v>99999999</v>
      </c>
      <c r="I667" s="1009">
        <v>15230263</v>
      </c>
      <c r="J667" s="1007" t="s">
        <v>4256</v>
      </c>
      <c r="O667" s="1007" t="s">
        <v>648</v>
      </c>
      <c r="P667" s="1007" t="s">
        <v>648</v>
      </c>
      <c r="S667" s="1008" t="s">
        <v>650</v>
      </c>
      <c r="T667" s="1008" t="s">
        <v>654</v>
      </c>
      <c r="U667" s="1008" t="s">
        <v>649</v>
      </c>
      <c r="V667" s="1008" t="s">
        <v>648</v>
      </c>
      <c r="W667" s="1008" t="s">
        <v>546</v>
      </c>
      <c r="X667" s="1008" t="s">
        <v>670</v>
      </c>
      <c r="Y667" s="1008" t="s">
        <v>670</v>
      </c>
      <c r="Z667" s="1008" t="s">
        <v>670</v>
      </c>
      <c r="AA667" s="1008"/>
      <c r="AB667" s="1008" t="s">
        <v>670</v>
      </c>
      <c r="AC667" s="1008"/>
      <c r="AD667" s="1008"/>
      <c r="AE667" s="1008"/>
      <c r="AF667" s="1008" t="s">
        <v>670</v>
      </c>
      <c r="AG667" s="1008"/>
      <c r="AH667" s="1008"/>
      <c r="AI667" s="1008"/>
    </row>
    <row r="668" spans="1:35">
      <c r="A668" s="1008">
        <v>27220</v>
      </c>
      <c r="B668" s="1008">
        <v>6166</v>
      </c>
      <c r="C668" s="1008">
        <v>10</v>
      </c>
      <c r="D668" s="1009">
        <v>15230279</v>
      </c>
      <c r="E668" s="1009">
        <v>15230264</v>
      </c>
      <c r="F668" s="1007" t="s">
        <v>4255</v>
      </c>
      <c r="G668" s="1007" t="s">
        <v>648</v>
      </c>
      <c r="H668" s="1010">
        <v>99999999</v>
      </c>
      <c r="I668" s="1009">
        <v>15230264</v>
      </c>
      <c r="J668" s="1007" t="s">
        <v>4255</v>
      </c>
      <c r="O668" s="1007" t="s">
        <v>648</v>
      </c>
      <c r="P668" s="1007" t="s">
        <v>648</v>
      </c>
      <c r="S668" s="1008" t="s">
        <v>650</v>
      </c>
      <c r="T668" s="1008" t="s">
        <v>654</v>
      </c>
      <c r="U668" s="1008" t="s">
        <v>649</v>
      </c>
      <c r="V668" s="1008" t="s">
        <v>648</v>
      </c>
      <c r="W668" s="1008" t="s">
        <v>546</v>
      </c>
      <c r="X668" s="1008" t="s">
        <v>670</v>
      </c>
      <c r="Y668" s="1008" t="s">
        <v>670</v>
      </c>
      <c r="Z668" s="1008" t="s">
        <v>670</v>
      </c>
      <c r="AA668" s="1008"/>
      <c r="AB668" s="1008" t="s">
        <v>670</v>
      </c>
      <c r="AC668" s="1008"/>
      <c r="AD668" s="1008"/>
      <c r="AE668" s="1008"/>
      <c r="AF668" s="1008" t="s">
        <v>670</v>
      </c>
      <c r="AG668" s="1008"/>
      <c r="AH668" s="1008"/>
      <c r="AI668" s="1008"/>
    </row>
    <row r="669" spans="1:35">
      <c r="A669" s="1008">
        <v>27221</v>
      </c>
      <c r="B669" s="1008">
        <v>6167</v>
      </c>
      <c r="C669" s="1008">
        <v>10</v>
      </c>
      <c r="D669" s="1009">
        <v>15230279</v>
      </c>
      <c r="E669" s="1009">
        <v>15230265</v>
      </c>
      <c r="F669" s="1007" t="s">
        <v>4254</v>
      </c>
      <c r="G669" s="1007" t="s">
        <v>648</v>
      </c>
      <c r="H669" s="1010">
        <v>99999999</v>
      </c>
      <c r="I669" s="1009">
        <v>15230265</v>
      </c>
      <c r="J669" s="1007" t="s">
        <v>4254</v>
      </c>
      <c r="O669" s="1007" t="s">
        <v>648</v>
      </c>
      <c r="P669" s="1007" t="s">
        <v>648</v>
      </c>
      <c r="S669" s="1008" t="s">
        <v>650</v>
      </c>
      <c r="T669" s="1008" t="s">
        <v>654</v>
      </c>
      <c r="U669" s="1008" t="s">
        <v>649</v>
      </c>
      <c r="V669" s="1008" t="s">
        <v>648</v>
      </c>
      <c r="W669" s="1008" t="s">
        <v>546</v>
      </c>
      <c r="X669" s="1008" t="s">
        <v>670</v>
      </c>
      <c r="Y669" s="1008" t="s">
        <v>670</v>
      </c>
      <c r="Z669" s="1008" t="s">
        <v>670</v>
      </c>
      <c r="AA669" s="1008"/>
      <c r="AB669" s="1008" t="s">
        <v>670</v>
      </c>
      <c r="AC669" s="1008"/>
      <c r="AD669" s="1008"/>
      <c r="AE669" s="1008"/>
      <c r="AF669" s="1008" t="s">
        <v>670</v>
      </c>
      <c r="AG669" s="1008"/>
      <c r="AH669" s="1008"/>
      <c r="AI669" s="1008"/>
    </row>
    <row r="670" spans="1:35">
      <c r="A670" s="1008">
        <v>27222</v>
      </c>
      <c r="B670" s="1008">
        <v>6168</v>
      </c>
      <c r="C670" s="1008">
        <v>10</v>
      </c>
      <c r="D670" s="1009">
        <v>15230279</v>
      </c>
      <c r="E670" s="1009">
        <v>15230266</v>
      </c>
      <c r="F670" s="1007" t="s">
        <v>4253</v>
      </c>
      <c r="G670" s="1007" t="s">
        <v>648</v>
      </c>
      <c r="H670" s="1010">
        <v>99999999</v>
      </c>
      <c r="I670" s="1009">
        <v>15230266</v>
      </c>
      <c r="J670" s="1007" t="s">
        <v>4253</v>
      </c>
      <c r="O670" s="1007" t="s">
        <v>648</v>
      </c>
      <c r="P670" s="1007" t="s">
        <v>648</v>
      </c>
      <c r="S670" s="1008" t="s">
        <v>650</v>
      </c>
      <c r="T670" s="1008" t="s">
        <v>654</v>
      </c>
      <c r="U670" s="1008" t="s">
        <v>649</v>
      </c>
      <c r="V670" s="1008" t="s">
        <v>648</v>
      </c>
      <c r="W670" s="1008" t="s">
        <v>546</v>
      </c>
      <c r="X670" s="1008" t="s">
        <v>670</v>
      </c>
      <c r="Y670" s="1008" t="s">
        <v>670</v>
      </c>
      <c r="Z670" s="1008" t="s">
        <v>670</v>
      </c>
      <c r="AA670" s="1008"/>
      <c r="AB670" s="1008" t="s">
        <v>670</v>
      </c>
      <c r="AC670" s="1008"/>
      <c r="AD670" s="1008"/>
      <c r="AE670" s="1008"/>
      <c r="AF670" s="1008" t="s">
        <v>670</v>
      </c>
      <c r="AG670" s="1008"/>
      <c r="AH670" s="1008"/>
      <c r="AI670" s="1008"/>
    </row>
    <row r="671" spans="1:35">
      <c r="A671" s="1008">
        <v>27223</v>
      </c>
      <c r="B671" s="1008">
        <v>6169</v>
      </c>
      <c r="C671" s="1008">
        <v>10</v>
      </c>
      <c r="D671" s="1009">
        <v>15230279</v>
      </c>
      <c r="E671" s="1009">
        <v>15230267</v>
      </c>
      <c r="F671" s="1007" t="s">
        <v>4252</v>
      </c>
      <c r="G671" s="1007" t="s">
        <v>648</v>
      </c>
      <c r="H671" s="1010">
        <v>99999999</v>
      </c>
      <c r="I671" s="1009">
        <v>15230267</v>
      </c>
      <c r="J671" s="1007" t="s">
        <v>4252</v>
      </c>
      <c r="O671" s="1007" t="s">
        <v>648</v>
      </c>
      <c r="P671" s="1007" t="s">
        <v>648</v>
      </c>
      <c r="S671" s="1008" t="s">
        <v>650</v>
      </c>
      <c r="T671" s="1008" t="s">
        <v>654</v>
      </c>
      <c r="U671" s="1008" t="s">
        <v>649</v>
      </c>
      <c r="V671" s="1008" t="s">
        <v>648</v>
      </c>
      <c r="W671" s="1008" t="s">
        <v>546</v>
      </c>
      <c r="X671" s="1008" t="s">
        <v>670</v>
      </c>
      <c r="Y671" s="1008" t="s">
        <v>670</v>
      </c>
      <c r="Z671" s="1008" t="s">
        <v>670</v>
      </c>
      <c r="AA671" s="1008"/>
      <c r="AB671" s="1008" t="s">
        <v>670</v>
      </c>
      <c r="AC671" s="1008"/>
      <c r="AD671" s="1008"/>
      <c r="AE671" s="1008"/>
      <c r="AF671" s="1008" t="s">
        <v>670</v>
      </c>
      <c r="AG671" s="1008"/>
      <c r="AH671" s="1008"/>
      <c r="AI671" s="1008"/>
    </row>
    <row r="672" spans="1:35">
      <c r="A672" s="1008">
        <v>27224</v>
      </c>
      <c r="B672" s="1008">
        <v>6170</v>
      </c>
      <c r="C672" s="1008">
        <v>10</v>
      </c>
      <c r="D672" s="1009">
        <v>15230279</v>
      </c>
      <c r="E672" s="1009">
        <v>15230268</v>
      </c>
      <c r="F672" s="1007" t="s">
        <v>4251</v>
      </c>
      <c r="G672" s="1007" t="s">
        <v>648</v>
      </c>
      <c r="H672" s="1010">
        <v>99999999</v>
      </c>
      <c r="I672" s="1009">
        <v>15230268</v>
      </c>
      <c r="J672" s="1007" t="s">
        <v>4251</v>
      </c>
      <c r="O672" s="1007" t="s">
        <v>648</v>
      </c>
      <c r="P672" s="1007" t="s">
        <v>648</v>
      </c>
      <c r="S672" s="1008" t="s">
        <v>650</v>
      </c>
      <c r="T672" s="1008" t="s">
        <v>654</v>
      </c>
      <c r="U672" s="1008" t="s">
        <v>649</v>
      </c>
      <c r="V672" s="1008" t="s">
        <v>648</v>
      </c>
      <c r="W672" s="1008" t="s">
        <v>546</v>
      </c>
      <c r="X672" s="1008" t="s">
        <v>670</v>
      </c>
      <c r="Y672" s="1008" t="s">
        <v>670</v>
      </c>
      <c r="Z672" s="1008" t="s">
        <v>670</v>
      </c>
      <c r="AA672" s="1008"/>
      <c r="AB672" s="1008" t="s">
        <v>670</v>
      </c>
      <c r="AC672" s="1008"/>
      <c r="AD672" s="1008"/>
      <c r="AE672" s="1008"/>
      <c r="AF672" s="1008" t="s">
        <v>670</v>
      </c>
      <c r="AG672" s="1008"/>
      <c r="AH672" s="1008"/>
      <c r="AI672" s="1008"/>
    </row>
    <row r="673" spans="1:35" hidden="1">
      <c r="A673" s="1008">
        <v>27225</v>
      </c>
      <c r="C673" s="1008">
        <v>9</v>
      </c>
      <c r="D673" s="1009">
        <v>15230999</v>
      </c>
      <c r="E673" s="1009">
        <v>15230279</v>
      </c>
      <c r="F673" s="1007" t="s">
        <v>4250</v>
      </c>
      <c r="O673" s="1007" t="s">
        <v>648</v>
      </c>
      <c r="P673" s="1007" t="s">
        <v>648</v>
      </c>
      <c r="S673" s="1008" t="s">
        <v>650</v>
      </c>
      <c r="T673" s="1008" t="s">
        <v>21</v>
      </c>
      <c r="U673" s="1008" t="s">
        <v>649</v>
      </c>
      <c r="V673" s="1008" t="s">
        <v>648</v>
      </c>
      <c r="W673" s="1008" t="s">
        <v>546</v>
      </c>
      <c r="X673" s="1008"/>
      <c r="Y673" s="1008"/>
      <c r="Z673" s="1008"/>
      <c r="AA673" s="1008"/>
      <c r="AB673" s="1008"/>
      <c r="AC673" s="1008"/>
      <c r="AD673" s="1008"/>
      <c r="AE673" s="1008"/>
      <c r="AF673" s="1008"/>
      <c r="AG673" s="1008"/>
      <c r="AH673" s="1008"/>
      <c r="AI673" s="1008"/>
    </row>
    <row r="674" spans="1:35" hidden="1">
      <c r="A674" s="1008">
        <v>27226</v>
      </c>
      <c r="C674" s="1008">
        <v>9</v>
      </c>
      <c r="D674" s="1009">
        <v>15230299</v>
      </c>
      <c r="E674" s="1009">
        <v>15230280</v>
      </c>
      <c r="F674" s="1007" t="s">
        <v>4249</v>
      </c>
      <c r="O674" s="1007" t="s">
        <v>648</v>
      </c>
      <c r="P674" s="1007" t="s">
        <v>648</v>
      </c>
      <c r="S674" s="1008" t="s">
        <v>650</v>
      </c>
      <c r="T674" s="1008" t="s">
        <v>675</v>
      </c>
      <c r="U674" s="1008" t="s">
        <v>649</v>
      </c>
      <c r="V674" s="1008" t="s">
        <v>648</v>
      </c>
      <c r="W674" s="1008" t="s">
        <v>546</v>
      </c>
      <c r="X674" s="1008"/>
      <c r="Y674" s="1008"/>
      <c r="Z674" s="1008"/>
      <c r="AA674" s="1008"/>
      <c r="AB674" s="1008"/>
      <c r="AC674" s="1008"/>
      <c r="AD674" s="1008"/>
      <c r="AE674" s="1008"/>
      <c r="AF674" s="1008"/>
      <c r="AG674" s="1008"/>
      <c r="AH674" s="1008"/>
      <c r="AI674" s="1008"/>
    </row>
    <row r="675" spans="1:35">
      <c r="A675" s="1008">
        <v>27227</v>
      </c>
      <c r="B675" s="1008">
        <v>6171</v>
      </c>
      <c r="C675" s="1008">
        <v>10</v>
      </c>
      <c r="D675" s="1009">
        <v>15230299</v>
      </c>
      <c r="E675" s="1009">
        <v>15230281</v>
      </c>
      <c r="F675" s="1007" t="s">
        <v>4248</v>
      </c>
      <c r="G675" s="1007" t="s">
        <v>648</v>
      </c>
      <c r="H675" s="1010">
        <v>99999999</v>
      </c>
      <c r="I675" s="1009">
        <v>15230281</v>
      </c>
      <c r="J675" s="1007" t="s">
        <v>4248</v>
      </c>
      <c r="O675" s="1007" t="s">
        <v>648</v>
      </c>
      <c r="P675" s="1007" t="s">
        <v>648</v>
      </c>
      <c r="S675" s="1008" t="s">
        <v>650</v>
      </c>
      <c r="T675" s="1008" t="s">
        <v>654</v>
      </c>
      <c r="U675" s="1008" t="s">
        <v>649</v>
      </c>
      <c r="V675" s="1008" t="s">
        <v>648</v>
      </c>
      <c r="W675" s="1008" t="s">
        <v>546</v>
      </c>
      <c r="X675" s="1008" t="s">
        <v>670</v>
      </c>
      <c r="Y675" s="1008" t="s">
        <v>670</v>
      </c>
      <c r="Z675" s="1008" t="s">
        <v>670</v>
      </c>
      <c r="AA675" s="1008"/>
      <c r="AB675" s="1008" t="s">
        <v>670</v>
      </c>
      <c r="AC675" s="1008"/>
      <c r="AD675" s="1008"/>
      <c r="AE675" s="1008"/>
      <c r="AF675" s="1008" t="s">
        <v>670</v>
      </c>
      <c r="AG675" s="1008"/>
      <c r="AH675" s="1008"/>
      <c r="AI675" s="1008"/>
    </row>
    <row r="676" spans="1:35">
      <c r="A676" s="1008">
        <v>27228</v>
      </c>
      <c r="B676" s="1008">
        <v>6172</v>
      </c>
      <c r="C676" s="1008">
        <v>10</v>
      </c>
      <c r="D676" s="1009">
        <v>15230299</v>
      </c>
      <c r="E676" s="1009">
        <v>15230282</v>
      </c>
      <c r="F676" s="1007" t="s">
        <v>4247</v>
      </c>
      <c r="G676" s="1007" t="s">
        <v>648</v>
      </c>
      <c r="H676" s="1010">
        <v>99999999</v>
      </c>
      <c r="I676" s="1009">
        <v>15230282</v>
      </c>
      <c r="J676" s="1007" t="s">
        <v>4247</v>
      </c>
      <c r="O676" s="1007" t="s">
        <v>648</v>
      </c>
      <c r="P676" s="1007" t="s">
        <v>648</v>
      </c>
      <c r="S676" s="1008" t="s">
        <v>650</v>
      </c>
      <c r="T676" s="1008" t="s">
        <v>654</v>
      </c>
      <c r="U676" s="1008" t="s">
        <v>649</v>
      </c>
      <c r="V676" s="1008" t="s">
        <v>648</v>
      </c>
      <c r="W676" s="1008" t="s">
        <v>546</v>
      </c>
      <c r="X676" s="1008" t="s">
        <v>670</v>
      </c>
      <c r="Y676" s="1008" t="s">
        <v>670</v>
      </c>
      <c r="Z676" s="1008" t="s">
        <v>670</v>
      </c>
      <c r="AA676" s="1008"/>
      <c r="AB676" s="1008" t="s">
        <v>670</v>
      </c>
      <c r="AC676" s="1008"/>
      <c r="AD676" s="1008"/>
      <c r="AE676" s="1008"/>
      <c r="AF676" s="1008" t="s">
        <v>670</v>
      </c>
      <c r="AG676" s="1008"/>
      <c r="AH676" s="1008"/>
      <c r="AI676" s="1008"/>
    </row>
    <row r="677" spans="1:35">
      <c r="A677" s="1008">
        <v>27229</v>
      </c>
      <c r="B677" s="1008">
        <v>6173</v>
      </c>
      <c r="C677" s="1008">
        <v>10</v>
      </c>
      <c r="D677" s="1009">
        <v>15230299</v>
      </c>
      <c r="E677" s="1009">
        <v>15230283</v>
      </c>
      <c r="F677" s="1007" t="s">
        <v>4246</v>
      </c>
      <c r="G677" s="1007" t="s">
        <v>648</v>
      </c>
      <c r="H677" s="1010">
        <v>99999999</v>
      </c>
      <c r="I677" s="1009">
        <v>15230283</v>
      </c>
      <c r="J677" s="1007" t="s">
        <v>4246</v>
      </c>
      <c r="O677" s="1007" t="s">
        <v>648</v>
      </c>
      <c r="P677" s="1007" t="s">
        <v>648</v>
      </c>
      <c r="S677" s="1008" t="s">
        <v>650</v>
      </c>
      <c r="T677" s="1008" t="s">
        <v>654</v>
      </c>
      <c r="U677" s="1008" t="s">
        <v>649</v>
      </c>
      <c r="V677" s="1008" t="s">
        <v>648</v>
      </c>
      <c r="W677" s="1008" t="s">
        <v>546</v>
      </c>
      <c r="X677" s="1008" t="s">
        <v>670</v>
      </c>
      <c r="Y677" s="1008" t="s">
        <v>670</v>
      </c>
      <c r="Z677" s="1008" t="s">
        <v>670</v>
      </c>
      <c r="AA677" s="1008"/>
      <c r="AB677" s="1008" t="s">
        <v>670</v>
      </c>
      <c r="AC677" s="1008"/>
      <c r="AD677" s="1008"/>
      <c r="AE677" s="1008"/>
      <c r="AF677" s="1008" t="s">
        <v>670</v>
      </c>
      <c r="AG677" s="1008"/>
      <c r="AH677" s="1008"/>
      <c r="AI677" s="1008"/>
    </row>
    <row r="678" spans="1:35">
      <c r="A678" s="1008">
        <v>27230</v>
      </c>
      <c r="B678" s="1008">
        <v>6174</v>
      </c>
      <c r="C678" s="1008">
        <v>10</v>
      </c>
      <c r="D678" s="1009">
        <v>15230299</v>
      </c>
      <c r="E678" s="1009">
        <v>15230284</v>
      </c>
      <c r="F678" s="1007" t="s">
        <v>4245</v>
      </c>
      <c r="G678" s="1007" t="s">
        <v>648</v>
      </c>
      <c r="H678" s="1010">
        <v>99999999</v>
      </c>
      <c r="I678" s="1009">
        <v>15230284</v>
      </c>
      <c r="J678" s="1007" t="s">
        <v>4245</v>
      </c>
      <c r="O678" s="1007" t="s">
        <v>648</v>
      </c>
      <c r="P678" s="1007" t="s">
        <v>648</v>
      </c>
      <c r="S678" s="1008" t="s">
        <v>650</v>
      </c>
      <c r="T678" s="1008" t="s">
        <v>654</v>
      </c>
      <c r="U678" s="1008" t="s">
        <v>649</v>
      </c>
      <c r="V678" s="1008" t="s">
        <v>648</v>
      </c>
      <c r="W678" s="1008" t="s">
        <v>546</v>
      </c>
      <c r="X678" s="1008" t="s">
        <v>670</v>
      </c>
      <c r="Y678" s="1008" t="s">
        <v>670</v>
      </c>
      <c r="Z678" s="1008" t="s">
        <v>670</v>
      </c>
      <c r="AA678" s="1008"/>
      <c r="AB678" s="1008" t="s">
        <v>670</v>
      </c>
      <c r="AC678" s="1008"/>
      <c r="AD678" s="1008"/>
      <c r="AE678" s="1008"/>
      <c r="AF678" s="1008" t="s">
        <v>670</v>
      </c>
      <c r="AG678" s="1008"/>
      <c r="AH678" s="1008"/>
      <c r="AI678" s="1008"/>
    </row>
    <row r="679" spans="1:35">
      <c r="A679" s="1008">
        <v>27231</v>
      </c>
      <c r="B679" s="1008">
        <v>6175</v>
      </c>
      <c r="C679" s="1008">
        <v>10</v>
      </c>
      <c r="D679" s="1009">
        <v>15230299</v>
      </c>
      <c r="E679" s="1009">
        <v>15230285</v>
      </c>
      <c r="F679" s="1007" t="s">
        <v>4244</v>
      </c>
      <c r="G679" s="1007" t="s">
        <v>648</v>
      </c>
      <c r="H679" s="1010">
        <v>99999999</v>
      </c>
      <c r="I679" s="1009">
        <v>15230285</v>
      </c>
      <c r="J679" s="1007" t="s">
        <v>4244</v>
      </c>
      <c r="O679" s="1007" t="s">
        <v>648</v>
      </c>
      <c r="P679" s="1007" t="s">
        <v>648</v>
      </c>
      <c r="S679" s="1008" t="s">
        <v>650</v>
      </c>
      <c r="T679" s="1008" t="s">
        <v>654</v>
      </c>
      <c r="U679" s="1008" t="s">
        <v>649</v>
      </c>
      <c r="V679" s="1008" t="s">
        <v>648</v>
      </c>
      <c r="W679" s="1008" t="s">
        <v>546</v>
      </c>
      <c r="X679" s="1008" t="s">
        <v>670</v>
      </c>
      <c r="Y679" s="1008" t="s">
        <v>670</v>
      </c>
      <c r="Z679" s="1008" t="s">
        <v>670</v>
      </c>
      <c r="AA679" s="1008"/>
      <c r="AB679" s="1008" t="s">
        <v>670</v>
      </c>
      <c r="AC679" s="1008"/>
      <c r="AD679" s="1008"/>
      <c r="AE679" s="1008"/>
      <c r="AF679" s="1008" t="s">
        <v>670</v>
      </c>
      <c r="AG679" s="1008"/>
      <c r="AH679" s="1008"/>
      <c r="AI679" s="1008"/>
    </row>
    <row r="680" spans="1:35" hidden="1">
      <c r="A680" s="1008">
        <v>27232</v>
      </c>
      <c r="C680" s="1008">
        <v>9</v>
      </c>
      <c r="D680" s="1009">
        <v>15230999</v>
      </c>
      <c r="E680" s="1009">
        <v>15230299</v>
      </c>
      <c r="F680" s="1007" t="s">
        <v>4243</v>
      </c>
      <c r="O680" s="1007" t="s">
        <v>648</v>
      </c>
      <c r="P680" s="1007" t="s">
        <v>648</v>
      </c>
      <c r="S680" s="1008" t="s">
        <v>650</v>
      </c>
      <c r="T680" s="1008" t="s">
        <v>21</v>
      </c>
      <c r="U680" s="1008" t="s">
        <v>649</v>
      </c>
      <c r="V680" s="1008" t="s">
        <v>648</v>
      </c>
      <c r="W680" s="1008" t="s">
        <v>546</v>
      </c>
      <c r="X680" s="1008"/>
      <c r="Y680" s="1008"/>
      <c r="Z680" s="1008"/>
      <c r="AA680" s="1008"/>
      <c r="AB680" s="1008"/>
      <c r="AC680" s="1008"/>
      <c r="AD680" s="1008"/>
      <c r="AE680" s="1008"/>
      <c r="AF680" s="1008"/>
      <c r="AG680" s="1008"/>
      <c r="AH680" s="1008"/>
      <c r="AI680" s="1008"/>
    </row>
    <row r="681" spans="1:35" hidden="1">
      <c r="A681" s="1008">
        <v>27233</v>
      </c>
      <c r="C681" s="1008">
        <v>9</v>
      </c>
      <c r="D681" s="1009">
        <v>15230319</v>
      </c>
      <c r="E681" s="1009">
        <v>15230300</v>
      </c>
      <c r="F681" s="1007" t="s">
        <v>4242</v>
      </c>
      <c r="O681" s="1007" t="s">
        <v>648</v>
      </c>
      <c r="P681" s="1007" t="s">
        <v>648</v>
      </c>
      <c r="S681" s="1008" t="s">
        <v>650</v>
      </c>
      <c r="T681" s="1008" t="s">
        <v>675</v>
      </c>
      <c r="U681" s="1008" t="s">
        <v>649</v>
      </c>
      <c r="V681" s="1008" t="s">
        <v>648</v>
      </c>
      <c r="W681" s="1008" t="s">
        <v>546</v>
      </c>
      <c r="X681" s="1008"/>
      <c r="Y681" s="1008"/>
      <c r="Z681" s="1008"/>
      <c r="AA681" s="1008"/>
      <c r="AB681" s="1008"/>
      <c r="AC681" s="1008"/>
      <c r="AD681" s="1008"/>
      <c r="AE681" s="1008"/>
      <c r="AF681" s="1008"/>
      <c r="AG681" s="1008"/>
      <c r="AH681" s="1008"/>
      <c r="AI681" s="1008"/>
    </row>
    <row r="682" spans="1:35">
      <c r="A682" s="1008">
        <v>27234</v>
      </c>
      <c r="B682" s="1008">
        <v>6176</v>
      </c>
      <c r="C682" s="1008">
        <v>10</v>
      </c>
      <c r="D682" s="1009">
        <v>15230319</v>
      </c>
      <c r="E682" s="1009">
        <v>15230301</v>
      </c>
      <c r="F682" s="1007" t="s">
        <v>4241</v>
      </c>
      <c r="G682" s="1007" t="s">
        <v>648</v>
      </c>
      <c r="H682" s="1010">
        <v>99999999</v>
      </c>
      <c r="I682" s="1009">
        <v>15230301</v>
      </c>
      <c r="J682" s="1007" t="s">
        <v>4241</v>
      </c>
      <c r="O682" s="1007" t="s">
        <v>648</v>
      </c>
      <c r="P682" s="1007" t="s">
        <v>648</v>
      </c>
      <c r="S682" s="1008" t="s">
        <v>650</v>
      </c>
      <c r="T682" s="1008" t="s">
        <v>654</v>
      </c>
      <c r="U682" s="1008" t="s">
        <v>649</v>
      </c>
      <c r="V682" s="1008" t="s">
        <v>648</v>
      </c>
      <c r="W682" s="1008" t="s">
        <v>546</v>
      </c>
      <c r="X682" s="1008" t="s">
        <v>670</v>
      </c>
      <c r="Y682" s="1008" t="s">
        <v>670</v>
      </c>
      <c r="Z682" s="1008" t="s">
        <v>670</v>
      </c>
      <c r="AA682" s="1008"/>
      <c r="AB682" s="1008" t="s">
        <v>670</v>
      </c>
      <c r="AC682" s="1008"/>
      <c r="AD682" s="1008"/>
      <c r="AE682" s="1008"/>
      <c r="AF682" s="1008" t="s">
        <v>670</v>
      </c>
      <c r="AG682" s="1008"/>
      <c r="AH682" s="1008"/>
      <c r="AI682" s="1008"/>
    </row>
    <row r="683" spans="1:35">
      <c r="A683" s="1008">
        <v>27235</v>
      </c>
      <c r="B683" s="1008">
        <v>6177</v>
      </c>
      <c r="C683" s="1008">
        <v>10</v>
      </c>
      <c r="D683" s="1009">
        <v>15230319</v>
      </c>
      <c r="E683" s="1009">
        <v>15230302</v>
      </c>
      <c r="F683" s="1007" t="s">
        <v>4240</v>
      </c>
      <c r="G683" s="1007" t="s">
        <v>648</v>
      </c>
      <c r="H683" s="1010">
        <v>99999999</v>
      </c>
      <c r="I683" s="1009">
        <v>15230302</v>
      </c>
      <c r="J683" s="1007" t="s">
        <v>4240</v>
      </c>
      <c r="O683" s="1007" t="s">
        <v>648</v>
      </c>
      <c r="P683" s="1007" t="s">
        <v>648</v>
      </c>
      <c r="S683" s="1008" t="s">
        <v>650</v>
      </c>
      <c r="T683" s="1008" t="s">
        <v>654</v>
      </c>
      <c r="U683" s="1008" t="s">
        <v>649</v>
      </c>
      <c r="V683" s="1008" t="s">
        <v>648</v>
      </c>
      <c r="W683" s="1008" t="s">
        <v>546</v>
      </c>
      <c r="X683" s="1008" t="s">
        <v>670</v>
      </c>
      <c r="Y683" s="1008" t="s">
        <v>670</v>
      </c>
      <c r="Z683" s="1008" t="s">
        <v>670</v>
      </c>
      <c r="AA683" s="1008"/>
      <c r="AB683" s="1008" t="s">
        <v>670</v>
      </c>
      <c r="AC683" s="1008"/>
      <c r="AD683" s="1008"/>
      <c r="AE683" s="1008"/>
      <c r="AF683" s="1008" t="s">
        <v>670</v>
      </c>
      <c r="AG683" s="1008"/>
      <c r="AH683" s="1008"/>
      <c r="AI683" s="1008"/>
    </row>
    <row r="684" spans="1:35">
      <c r="A684" s="1008">
        <v>27236</v>
      </c>
      <c r="B684" s="1008">
        <v>6178</v>
      </c>
      <c r="C684" s="1008">
        <v>10</v>
      </c>
      <c r="D684" s="1009">
        <v>15230319</v>
      </c>
      <c r="E684" s="1009">
        <v>15230303</v>
      </c>
      <c r="F684" s="1007" t="s">
        <v>4239</v>
      </c>
      <c r="G684" s="1007" t="s">
        <v>648</v>
      </c>
      <c r="H684" s="1010">
        <v>99999999</v>
      </c>
      <c r="I684" s="1009">
        <v>15230303</v>
      </c>
      <c r="J684" s="1007" t="s">
        <v>4239</v>
      </c>
      <c r="O684" s="1007" t="s">
        <v>648</v>
      </c>
      <c r="P684" s="1007" t="s">
        <v>648</v>
      </c>
      <c r="S684" s="1008" t="s">
        <v>650</v>
      </c>
      <c r="T684" s="1008" t="s">
        <v>654</v>
      </c>
      <c r="U684" s="1008" t="s">
        <v>649</v>
      </c>
      <c r="V684" s="1008" t="s">
        <v>648</v>
      </c>
      <c r="W684" s="1008" t="s">
        <v>546</v>
      </c>
      <c r="X684" s="1008" t="s">
        <v>670</v>
      </c>
      <c r="Y684" s="1008" t="s">
        <v>670</v>
      </c>
      <c r="Z684" s="1008" t="s">
        <v>670</v>
      </c>
      <c r="AA684" s="1008"/>
      <c r="AB684" s="1008" t="s">
        <v>670</v>
      </c>
      <c r="AC684" s="1008"/>
      <c r="AD684" s="1008"/>
      <c r="AE684" s="1008"/>
      <c r="AF684" s="1008" t="s">
        <v>670</v>
      </c>
      <c r="AG684" s="1008"/>
      <c r="AH684" s="1008"/>
      <c r="AI684" s="1008"/>
    </row>
    <row r="685" spans="1:35" hidden="1">
      <c r="A685" s="1008">
        <v>27237</v>
      </c>
      <c r="C685" s="1008">
        <v>9</v>
      </c>
      <c r="D685" s="1009">
        <v>15230999</v>
      </c>
      <c r="E685" s="1009">
        <v>15230319</v>
      </c>
      <c r="F685" s="1007" t="s">
        <v>4238</v>
      </c>
      <c r="O685" s="1007" t="s">
        <v>648</v>
      </c>
      <c r="P685" s="1007" t="s">
        <v>648</v>
      </c>
      <c r="S685" s="1008" t="s">
        <v>650</v>
      </c>
      <c r="T685" s="1008" t="s">
        <v>21</v>
      </c>
      <c r="U685" s="1008" t="s">
        <v>649</v>
      </c>
      <c r="V685" s="1008" t="s">
        <v>648</v>
      </c>
      <c r="W685" s="1008" t="s">
        <v>546</v>
      </c>
      <c r="X685" s="1008"/>
      <c r="Y685" s="1008"/>
      <c r="Z685" s="1008"/>
      <c r="AA685" s="1008"/>
      <c r="AB685" s="1008"/>
      <c r="AC685" s="1008"/>
      <c r="AD685" s="1008"/>
      <c r="AE685" s="1008"/>
      <c r="AF685" s="1008"/>
      <c r="AG685" s="1008"/>
      <c r="AH685" s="1008"/>
      <c r="AI685" s="1008"/>
    </row>
    <row r="686" spans="1:35" hidden="1">
      <c r="A686" s="1008">
        <v>27238</v>
      </c>
      <c r="C686" s="1008">
        <v>9</v>
      </c>
      <c r="D686" s="1009">
        <v>15230339</v>
      </c>
      <c r="E686" s="1009">
        <v>15230320</v>
      </c>
      <c r="F686" s="1007" t="s">
        <v>4237</v>
      </c>
      <c r="O686" s="1007" t="s">
        <v>648</v>
      </c>
      <c r="P686" s="1007" t="s">
        <v>648</v>
      </c>
      <c r="S686" s="1008" t="s">
        <v>650</v>
      </c>
      <c r="T686" s="1008" t="s">
        <v>675</v>
      </c>
      <c r="U686" s="1008" t="s">
        <v>649</v>
      </c>
      <c r="V686" s="1008" t="s">
        <v>648</v>
      </c>
      <c r="W686" s="1008" t="s">
        <v>546</v>
      </c>
      <c r="X686" s="1008"/>
      <c r="Y686" s="1008"/>
      <c r="Z686" s="1008"/>
      <c r="AA686" s="1008"/>
      <c r="AB686" s="1008"/>
      <c r="AC686" s="1008"/>
      <c r="AD686" s="1008"/>
      <c r="AE686" s="1008"/>
      <c r="AF686" s="1008"/>
      <c r="AG686" s="1008"/>
      <c r="AH686" s="1008"/>
      <c r="AI686" s="1008"/>
    </row>
    <row r="687" spans="1:35">
      <c r="A687" s="1008">
        <v>27239</v>
      </c>
      <c r="B687" s="1008">
        <v>6179</v>
      </c>
      <c r="C687" s="1008">
        <v>10</v>
      </c>
      <c r="D687" s="1009">
        <v>15230339</v>
      </c>
      <c r="E687" s="1009">
        <v>15230321</v>
      </c>
      <c r="F687" s="1007" t="s">
        <v>4236</v>
      </c>
      <c r="G687" s="1007" t="s">
        <v>648</v>
      </c>
      <c r="H687" s="1010">
        <v>99999999</v>
      </c>
      <c r="I687" s="1009">
        <v>15230321</v>
      </c>
      <c r="J687" s="1007" t="s">
        <v>4236</v>
      </c>
      <c r="O687" s="1007" t="s">
        <v>648</v>
      </c>
      <c r="P687" s="1007" t="s">
        <v>648</v>
      </c>
      <c r="S687" s="1008" t="s">
        <v>650</v>
      </c>
      <c r="T687" s="1008" t="s">
        <v>654</v>
      </c>
      <c r="U687" s="1008" t="s">
        <v>649</v>
      </c>
      <c r="V687" s="1008" t="s">
        <v>648</v>
      </c>
      <c r="W687" s="1008" t="s">
        <v>546</v>
      </c>
      <c r="X687" s="1008" t="s">
        <v>670</v>
      </c>
      <c r="Y687" s="1008" t="s">
        <v>670</v>
      </c>
      <c r="Z687" s="1008" t="s">
        <v>670</v>
      </c>
      <c r="AA687" s="1008"/>
      <c r="AB687" s="1008" t="s">
        <v>670</v>
      </c>
      <c r="AC687" s="1008"/>
      <c r="AD687" s="1008"/>
      <c r="AE687" s="1008"/>
      <c r="AF687" s="1008" t="s">
        <v>670</v>
      </c>
      <c r="AG687" s="1008"/>
      <c r="AH687" s="1008"/>
      <c r="AI687" s="1008"/>
    </row>
    <row r="688" spans="1:35">
      <c r="A688" s="1008">
        <v>27240</v>
      </c>
      <c r="B688" s="1008">
        <v>6180</v>
      </c>
      <c r="C688" s="1008">
        <v>10</v>
      </c>
      <c r="D688" s="1009">
        <v>15230339</v>
      </c>
      <c r="E688" s="1009">
        <v>15230322</v>
      </c>
      <c r="F688" s="1007" t="s">
        <v>4235</v>
      </c>
      <c r="G688" s="1007" t="s">
        <v>648</v>
      </c>
      <c r="H688" s="1010">
        <v>99999999</v>
      </c>
      <c r="I688" s="1009">
        <v>15230322</v>
      </c>
      <c r="J688" s="1007" t="s">
        <v>4235</v>
      </c>
      <c r="O688" s="1007" t="s">
        <v>648</v>
      </c>
      <c r="P688" s="1007" t="s">
        <v>648</v>
      </c>
      <c r="S688" s="1008" t="s">
        <v>650</v>
      </c>
      <c r="T688" s="1008" t="s">
        <v>654</v>
      </c>
      <c r="U688" s="1008" t="s">
        <v>649</v>
      </c>
      <c r="V688" s="1008" t="s">
        <v>648</v>
      </c>
      <c r="W688" s="1008" t="s">
        <v>546</v>
      </c>
      <c r="X688" s="1008" t="s">
        <v>670</v>
      </c>
      <c r="Y688" s="1008" t="s">
        <v>670</v>
      </c>
      <c r="Z688" s="1008" t="s">
        <v>670</v>
      </c>
      <c r="AA688" s="1008"/>
      <c r="AB688" s="1008" t="s">
        <v>670</v>
      </c>
      <c r="AC688" s="1008"/>
      <c r="AD688" s="1008"/>
      <c r="AE688" s="1008"/>
      <c r="AF688" s="1008" t="s">
        <v>670</v>
      </c>
      <c r="AG688" s="1008"/>
      <c r="AH688" s="1008"/>
      <c r="AI688" s="1008"/>
    </row>
    <row r="689" spans="1:35">
      <c r="A689" s="1008">
        <v>27241</v>
      </c>
      <c r="B689" s="1008">
        <v>6181</v>
      </c>
      <c r="C689" s="1008">
        <v>10</v>
      </c>
      <c r="D689" s="1009">
        <v>15230339</v>
      </c>
      <c r="E689" s="1009">
        <v>15230323</v>
      </c>
      <c r="F689" s="1007" t="s">
        <v>4234</v>
      </c>
      <c r="G689" s="1007" t="s">
        <v>648</v>
      </c>
      <c r="H689" s="1010">
        <v>99999999</v>
      </c>
      <c r="I689" s="1009">
        <v>15230323</v>
      </c>
      <c r="J689" s="1007" t="s">
        <v>4234</v>
      </c>
      <c r="O689" s="1007" t="s">
        <v>648</v>
      </c>
      <c r="P689" s="1007" t="s">
        <v>648</v>
      </c>
      <c r="S689" s="1008" t="s">
        <v>650</v>
      </c>
      <c r="T689" s="1008" t="s">
        <v>654</v>
      </c>
      <c r="U689" s="1008" t="s">
        <v>649</v>
      </c>
      <c r="V689" s="1008" t="s">
        <v>648</v>
      </c>
      <c r="W689" s="1008" t="s">
        <v>546</v>
      </c>
      <c r="X689" s="1008" t="s">
        <v>670</v>
      </c>
      <c r="Y689" s="1008" t="s">
        <v>670</v>
      </c>
      <c r="Z689" s="1008" t="s">
        <v>670</v>
      </c>
      <c r="AA689" s="1008"/>
      <c r="AB689" s="1008" t="s">
        <v>670</v>
      </c>
      <c r="AC689" s="1008"/>
      <c r="AD689" s="1008"/>
      <c r="AE689" s="1008"/>
      <c r="AF689" s="1008" t="s">
        <v>670</v>
      </c>
      <c r="AG689" s="1008"/>
      <c r="AH689" s="1008"/>
      <c r="AI689" s="1008"/>
    </row>
    <row r="690" spans="1:35" hidden="1">
      <c r="A690" s="1008">
        <v>27242</v>
      </c>
      <c r="C690" s="1008">
        <v>9</v>
      </c>
      <c r="D690" s="1009">
        <v>15230999</v>
      </c>
      <c r="E690" s="1009">
        <v>15230339</v>
      </c>
      <c r="F690" s="1007" t="s">
        <v>4233</v>
      </c>
      <c r="O690" s="1007" t="s">
        <v>648</v>
      </c>
      <c r="P690" s="1007" t="s">
        <v>648</v>
      </c>
      <c r="S690" s="1008" t="s">
        <v>650</v>
      </c>
      <c r="T690" s="1008" t="s">
        <v>21</v>
      </c>
      <c r="U690" s="1008" t="s">
        <v>649</v>
      </c>
      <c r="V690" s="1008" t="s">
        <v>648</v>
      </c>
      <c r="W690" s="1008" t="s">
        <v>546</v>
      </c>
      <c r="X690" s="1008"/>
      <c r="Y690" s="1008"/>
      <c r="Z690" s="1008"/>
      <c r="AA690" s="1008"/>
      <c r="AB690" s="1008"/>
      <c r="AC690" s="1008"/>
      <c r="AD690" s="1008"/>
      <c r="AE690" s="1008"/>
      <c r="AF690" s="1008"/>
      <c r="AG690" s="1008"/>
      <c r="AH690" s="1008"/>
      <c r="AI690" s="1008"/>
    </row>
    <row r="691" spans="1:35" hidden="1">
      <c r="A691" s="1008">
        <v>27243</v>
      </c>
      <c r="C691" s="1008">
        <v>9</v>
      </c>
      <c r="D691" s="1009">
        <v>15230359</v>
      </c>
      <c r="E691" s="1009">
        <v>15230340</v>
      </c>
      <c r="F691" s="1007" t="s">
        <v>4232</v>
      </c>
      <c r="O691" s="1007" t="s">
        <v>648</v>
      </c>
      <c r="P691" s="1007" t="s">
        <v>648</v>
      </c>
      <c r="S691" s="1008" t="s">
        <v>650</v>
      </c>
      <c r="T691" s="1008" t="s">
        <v>675</v>
      </c>
      <c r="U691" s="1008" t="s">
        <v>649</v>
      </c>
      <c r="V691" s="1008" t="s">
        <v>648</v>
      </c>
      <c r="W691" s="1008" t="s">
        <v>546</v>
      </c>
      <c r="X691" s="1008"/>
      <c r="Y691" s="1008"/>
      <c r="Z691" s="1008"/>
      <c r="AA691" s="1008"/>
      <c r="AB691" s="1008"/>
      <c r="AC691" s="1008"/>
      <c r="AD691" s="1008"/>
      <c r="AE691" s="1008"/>
      <c r="AF691" s="1008"/>
      <c r="AG691" s="1008"/>
      <c r="AH691" s="1008"/>
      <c r="AI691" s="1008"/>
    </row>
    <row r="692" spans="1:35">
      <c r="A692" s="1008">
        <v>27244</v>
      </c>
      <c r="B692" s="1008">
        <v>6182</v>
      </c>
      <c r="C692" s="1008">
        <v>10</v>
      </c>
      <c r="D692" s="1009">
        <v>15230359</v>
      </c>
      <c r="E692" s="1009">
        <v>15230341</v>
      </c>
      <c r="F692" s="1007" t="s">
        <v>4231</v>
      </c>
      <c r="G692" s="1007" t="s">
        <v>648</v>
      </c>
      <c r="H692" s="1010">
        <v>99999999</v>
      </c>
      <c r="I692" s="1009">
        <v>15230341</v>
      </c>
      <c r="J692" s="1007" t="s">
        <v>4231</v>
      </c>
      <c r="O692" s="1007" t="s">
        <v>648</v>
      </c>
      <c r="P692" s="1007" t="s">
        <v>648</v>
      </c>
      <c r="S692" s="1008" t="s">
        <v>650</v>
      </c>
      <c r="T692" s="1008" t="s">
        <v>654</v>
      </c>
      <c r="U692" s="1008" t="s">
        <v>649</v>
      </c>
      <c r="V692" s="1008" t="s">
        <v>648</v>
      </c>
      <c r="W692" s="1008" t="s">
        <v>546</v>
      </c>
      <c r="X692" s="1008" t="s">
        <v>670</v>
      </c>
      <c r="Y692" s="1008" t="s">
        <v>670</v>
      </c>
      <c r="Z692" s="1008" t="s">
        <v>670</v>
      </c>
      <c r="AA692" s="1008"/>
      <c r="AB692" s="1008" t="s">
        <v>670</v>
      </c>
      <c r="AC692" s="1008"/>
      <c r="AD692" s="1008"/>
      <c r="AE692" s="1008"/>
      <c r="AF692" s="1008" t="s">
        <v>670</v>
      </c>
      <c r="AG692" s="1008"/>
      <c r="AH692" s="1008"/>
      <c r="AI692" s="1008"/>
    </row>
    <row r="693" spans="1:35">
      <c r="A693" s="1008">
        <v>27245</v>
      </c>
      <c r="B693" s="1008">
        <v>6183</v>
      </c>
      <c r="C693" s="1008">
        <v>10</v>
      </c>
      <c r="D693" s="1009">
        <v>15230359</v>
      </c>
      <c r="E693" s="1009">
        <v>15230342</v>
      </c>
      <c r="F693" s="1007" t="s">
        <v>4230</v>
      </c>
      <c r="G693" s="1007" t="s">
        <v>648</v>
      </c>
      <c r="H693" s="1010">
        <v>99999999</v>
      </c>
      <c r="I693" s="1009">
        <v>15230342</v>
      </c>
      <c r="J693" s="1007" t="s">
        <v>4230</v>
      </c>
      <c r="O693" s="1007" t="s">
        <v>648</v>
      </c>
      <c r="P693" s="1007" t="s">
        <v>648</v>
      </c>
      <c r="S693" s="1008" t="s">
        <v>650</v>
      </c>
      <c r="T693" s="1008" t="s">
        <v>654</v>
      </c>
      <c r="U693" s="1008" t="s">
        <v>649</v>
      </c>
      <c r="V693" s="1008" t="s">
        <v>648</v>
      </c>
      <c r="W693" s="1008" t="s">
        <v>546</v>
      </c>
      <c r="X693" s="1008" t="s">
        <v>670</v>
      </c>
      <c r="Y693" s="1008" t="s">
        <v>670</v>
      </c>
      <c r="Z693" s="1008" t="s">
        <v>670</v>
      </c>
      <c r="AA693" s="1008"/>
      <c r="AB693" s="1008" t="s">
        <v>670</v>
      </c>
      <c r="AC693" s="1008"/>
      <c r="AD693" s="1008"/>
      <c r="AE693" s="1008"/>
      <c r="AF693" s="1008" t="s">
        <v>670</v>
      </c>
      <c r="AG693" s="1008"/>
      <c r="AH693" s="1008"/>
      <c r="AI693" s="1008"/>
    </row>
    <row r="694" spans="1:35">
      <c r="A694" s="1008">
        <v>27246</v>
      </c>
      <c r="B694" s="1008">
        <v>6184</v>
      </c>
      <c r="C694" s="1008">
        <v>10</v>
      </c>
      <c r="D694" s="1009">
        <v>15230359</v>
      </c>
      <c r="E694" s="1009">
        <v>15230343</v>
      </c>
      <c r="F694" s="1007" t="s">
        <v>4229</v>
      </c>
      <c r="G694" s="1007" t="s">
        <v>648</v>
      </c>
      <c r="H694" s="1010">
        <v>99999999</v>
      </c>
      <c r="I694" s="1009">
        <v>15230343</v>
      </c>
      <c r="J694" s="1007" t="s">
        <v>4229</v>
      </c>
      <c r="O694" s="1007" t="s">
        <v>648</v>
      </c>
      <c r="P694" s="1007" t="s">
        <v>648</v>
      </c>
      <c r="S694" s="1008" t="s">
        <v>650</v>
      </c>
      <c r="T694" s="1008" t="s">
        <v>654</v>
      </c>
      <c r="U694" s="1008" t="s">
        <v>649</v>
      </c>
      <c r="V694" s="1008" t="s">
        <v>648</v>
      </c>
      <c r="W694" s="1008" t="s">
        <v>546</v>
      </c>
      <c r="X694" s="1008" t="s">
        <v>670</v>
      </c>
      <c r="Y694" s="1008" t="s">
        <v>670</v>
      </c>
      <c r="Z694" s="1008" t="s">
        <v>670</v>
      </c>
      <c r="AA694" s="1008"/>
      <c r="AB694" s="1008" t="s">
        <v>670</v>
      </c>
      <c r="AC694" s="1008"/>
      <c r="AD694" s="1008"/>
      <c r="AE694" s="1008"/>
      <c r="AF694" s="1008" t="s">
        <v>670</v>
      </c>
      <c r="AG694" s="1008"/>
      <c r="AH694" s="1008"/>
      <c r="AI694" s="1008"/>
    </row>
    <row r="695" spans="1:35">
      <c r="A695" s="1008">
        <v>27247</v>
      </c>
      <c r="B695" s="1008">
        <v>6185</v>
      </c>
      <c r="C695" s="1008">
        <v>10</v>
      </c>
      <c r="D695" s="1009">
        <v>15230359</v>
      </c>
      <c r="E695" s="1009">
        <v>15230344</v>
      </c>
      <c r="F695" s="1007" t="s">
        <v>4228</v>
      </c>
      <c r="G695" s="1007" t="s">
        <v>648</v>
      </c>
      <c r="H695" s="1010">
        <v>99999999</v>
      </c>
      <c r="I695" s="1009">
        <v>15230344</v>
      </c>
      <c r="J695" s="1007" t="s">
        <v>4228</v>
      </c>
      <c r="O695" s="1007" t="s">
        <v>648</v>
      </c>
      <c r="P695" s="1007" t="s">
        <v>648</v>
      </c>
      <c r="S695" s="1008" t="s">
        <v>650</v>
      </c>
      <c r="T695" s="1008" t="s">
        <v>654</v>
      </c>
      <c r="U695" s="1008" t="s">
        <v>649</v>
      </c>
      <c r="V695" s="1008" t="s">
        <v>648</v>
      </c>
      <c r="W695" s="1008" t="s">
        <v>546</v>
      </c>
      <c r="X695" s="1008" t="s">
        <v>670</v>
      </c>
      <c r="Y695" s="1008" t="s">
        <v>670</v>
      </c>
      <c r="Z695" s="1008" t="s">
        <v>670</v>
      </c>
      <c r="AA695" s="1008"/>
      <c r="AB695" s="1008" t="s">
        <v>670</v>
      </c>
      <c r="AC695" s="1008"/>
      <c r="AD695" s="1008"/>
      <c r="AE695" s="1008"/>
      <c r="AF695" s="1008" t="s">
        <v>670</v>
      </c>
      <c r="AG695" s="1008"/>
      <c r="AH695" s="1008"/>
      <c r="AI695" s="1008"/>
    </row>
    <row r="696" spans="1:35" hidden="1">
      <c r="A696" s="1008">
        <v>27248</v>
      </c>
      <c r="C696" s="1008">
        <v>9</v>
      </c>
      <c r="D696" s="1009">
        <v>15230999</v>
      </c>
      <c r="E696" s="1009">
        <v>15230359</v>
      </c>
      <c r="F696" s="1007" t="s">
        <v>4227</v>
      </c>
      <c r="O696" s="1007" t="s">
        <v>648</v>
      </c>
      <c r="P696" s="1007" t="s">
        <v>648</v>
      </c>
      <c r="S696" s="1008" t="s">
        <v>650</v>
      </c>
      <c r="T696" s="1008" t="s">
        <v>21</v>
      </c>
      <c r="U696" s="1008" t="s">
        <v>649</v>
      </c>
      <c r="V696" s="1008" t="s">
        <v>648</v>
      </c>
      <c r="W696" s="1008" t="s">
        <v>546</v>
      </c>
      <c r="X696" s="1008"/>
      <c r="Y696" s="1008"/>
      <c r="Z696" s="1008"/>
      <c r="AA696" s="1008"/>
      <c r="AB696" s="1008"/>
      <c r="AC696" s="1008"/>
      <c r="AD696" s="1008"/>
      <c r="AE696" s="1008"/>
      <c r="AF696" s="1008"/>
      <c r="AG696" s="1008"/>
      <c r="AH696" s="1008"/>
      <c r="AI696" s="1008"/>
    </row>
    <row r="697" spans="1:35" hidden="1">
      <c r="A697" s="1008">
        <v>27249</v>
      </c>
      <c r="C697" s="1008">
        <v>9</v>
      </c>
      <c r="D697" s="1009">
        <v>15230379</v>
      </c>
      <c r="E697" s="1009">
        <v>15230360</v>
      </c>
      <c r="F697" s="1007" t="s">
        <v>4226</v>
      </c>
      <c r="O697" s="1007" t="s">
        <v>648</v>
      </c>
      <c r="P697" s="1007" t="s">
        <v>648</v>
      </c>
      <c r="S697" s="1008" t="s">
        <v>650</v>
      </c>
      <c r="T697" s="1008" t="s">
        <v>675</v>
      </c>
      <c r="U697" s="1008" t="s">
        <v>649</v>
      </c>
      <c r="V697" s="1008" t="s">
        <v>648</v>
      </c>
      <c r="W697" s="1008" t="s">
        <v>546</v>
      </c>
      <c r="X697" s="1008"/>
      <c r="Y697" s="1008"/>
      <c r="Z697" s="1008"/>
      <c r="AA697" s="1008"/>
      <c r="AB697" s="1008"/>
      <c r="AC697" s="1008"/>
      <c r="AD697" s="1008"/>
      <c r="AE697" s="1008"/>
      <c r="AF697" s="1008"/>
      <c r="AG697" s="1008"/>
      <c r="AH697" s="1008"/>
      <c r="AI697" s="1008"/>
    </row>
    <row r="698" spans="1:35">
      <c r="A698" s="1008">
        <v>26758</v>
      </c>
      <c r="B698" s="1008">
        <v>125</v>
      </c>
      <c r="C698" s="1008">
        <v>10</v>
      </c>
      <c r="D698" s="1009">
        <v>15230379</v>
      </c>
      <c r="E698" s="1009">
        <v>15230361</v>
      </c>
      <c r="F698" s="1007" t="s">
        <v>4225</v>
      </c>
      <c r="G698" s="1007">
        <v>8</v>
      </c>
      <c r="H698" s="1010">
        <v>99999999</v>
      </c>
      <c r="I698" s="1009">
        <v>15230361</v>
      </c>
      <c r="J698" s="1007" t="s">
        <v>4225</v>
      </c>
      <c r="O698" s="1007" t="s">
        <v>648</v>
      </c>
      <c r="P698" s="1007" t="s">
        <v>648</v>
      </c>
      <c r="S698" s="1008" t="s">
        <v>650</v>
      </c>
      <c r="T698" s="1008" t="s">
        <v>654</v>
      </c>
      <c r="U698" s="1008" t="s">
        <v>649</v>
      </c>
      <c r="V698" s="1008" t="s">
        <v>648</v>
      </c>
      <c r="W698" s="1008" t="s">
        <v>546</v>
      </c>
      <c r="X698" s="1008" t="s">
        <v>670</v>
      </c>
      <c r="Y698" s="1008" t="s">
        <v>670</v>
      </c>
      <c r="Z698" s="1008" t="s">
        <v>670</v>
      </c>
      <c r="AA698" s="1008"/>
      <c r="AB698" s="1008" t="s">
        <v>670</v>
      </c>
      <c r="AC698" s="1008"/>
      <c r="AD698" s="1008"/>
      <c r="AE698" s="1008"/>
      <c r="AF698" s="1008" t="s">
        <v>670</v>
      </c>
      <c r="AG698" s="1008"/>
      <c r="AH698" s="1008"/>
      <c r="AI698" s="1008"/>
    </row>
    <row r="699" spans="1:35">
      <c r="A699" s="1008">
        <v>26767</v>
      </c>
      <c r="B699" s="1008">
        <v>134</v>
      </c>
      <c r="C699" s="1008">
        <v>10</v>
      </c>
      <c r="D699" s="1009">
        <v>15230379</v>
      </c>
      <c r="E699" s="1009">
        <v>15230362</v>
      </c>
      <c r="F699" s="1007" t="s">
        <v>4224</v>
      </c>
      <c r="G699" s="1007">
        <v>8</v>
      </c>
      <c r="H699" s="1010">
        <v>99999999</v>
      </c>
      <c r="I699" s="1009">
        <v>15230362</v>
      </c>
      <c r="J699" s="1007" t="s">
        <v>4224</v>
      </c>
      <c r="O699" s="1007" t="s">
        <v>648</v>
      </c>
      <c r="P699" s="1007" t="s">
        <v>648</v>
      </c>
      <c r="S699" s="1008" t="s">
        <v>650</v>
      </c>
      <c r="T699" s="1008" t="s">
        <v>654</v>
      </c>
      <c r="U699" s="1008" t="s">
        <v>649</v>
      </c>
      <c r="V699" s="1008" t="s">
        <v>648</v>
      </c>
      <c r="W699" s="1008" t="s">
        <v>546</v>
      </c>
      <c r="X699" s="1008" t="s">
        <v>670</v>
      </c>
      <c r="Y699" s="1008" t="s">
        <v>670</v>
      </c>
      <c r="Z699" s="1008" t="s">
        <v>670</v>
      </c>
      <c r="AA699" s="1008"/>
      <c r="AB699" s="1008" t="s">
        <v>670</v>
      </c>
      <c r="AC699" s="1008"/>
      <c r="AD699" s="1008"/>
      <c r="AE699" s="1008"/>
      <c r="AF699" s="1008" t="s">
        <v>670</v>
      </c>
      <c r="AG699" s="1008"/>
      <c r="AH699" s="1008"/>
      <c r="AI699" s="1008"/>
    </row>
    <row r="700" spans="1:35" hidden="1">
      <c r="A700" s="1008">
        <v>27250</v>
      </c>
      <c r="C700" s="1008">
        <v>9</v>
      </c>
      <c r="D700" s="1009">
        <v>15230999</v>
      </c>
      <c r="E700" s="1009">
        <v>15230379</v>
      </c>
      <c r="F700" s="1007" t="s">
        <v>4223</v>
      </c>
      <c r="O700" s="1007" t="s">
        <v>648</v>
      </c>
      <c r="P700" s="1007" t="s">
        <v>648</v>
      </c>
      <c r="S700" s="1008" t="s">
        <v>650</v>
      </c>
      <c r="T700" s="1008" t="s">
        <v>21</v>
      </c>
      <c r="U700" s="1008" t="s">
        <v>649</v>
      </c>
      <c r="V700" s="1008" t="s">
        <v>648</v>
      </c>
      <c r="W700" s="1008" t="s">
        <v>546</v>
      </c>
      <c r="X700" s="1008"/>
      <c r="Y700" s="1008"/>
      <c r="Z700" s="1008"/>
      <c r="AA700" s="1008"/>
      <c r="AB700" s="1008"/>
      <c r="AC700" s="1008"/>
      <c r="AD700" s="1008"/>
      <c r="AE700" s="1008"/>
      <c r="AF700" s="1008"/>
      <c r="AG700" s="1008"/>
      <c r="AH700" s="1008"/>
      <c r="AI700" s="1008"/>
    </row>
    <row r="701" spans="1:35" hidden="1">
      <c r="A701" s="1008">
        <v>27251</v>
      </c>
      <c r="C701" s="1008">
        <v>9</v>
      </c>
      <c r="D701" s="1009">
        <v>15230399</v>
      </c>
      <c r="E701" s="1009">
        <v>15230380</v>
      </c>
      <c r="F701" s="1007" t="s">
        <v>4222</v>
      </c>
      <c r="O701" s="1007" t="s">
        <v>648</v>
      </c>
      <c r="P701" s="1007" t="s">
        <v>648</v>
      </c>
      <c r="S701" s="1008" t="s">
        <v>650</v>
      </c>
      <c r="T701" s="1008" t="s">
        <v>675</v>
      </c>
      <c r="U701" s="1008" t="s">
        <v>649</v>
      </c>
      <c r="V701" s="1008" t="s">
        <v>648</v>
      </c>
      <c r="W701" s="1008" t="s">
        <v>546</v>
      </c>
      <c r="X701" s="1008"/>
      <c r="Y701" s="1008"/>
      <c r="Z701" s="1008"/>
      <c r="AA701" s="1008"/>
      <c r="AB701" s="1008"/>
      <c r="AC701" s="1008"/>
      <c r="AD701" s="1008"/>
      <c r="AE701" s="1008"/>
      <c r="AF701" s="1008"/>
      <c r="AG701" s="1008"/>
      <c r="AH701" s="1008"/>
      <c r="AI701" s="1008"/>
    </row>
    <row r="702" spans="1:35">
      <c r="A702" s="1008">
        <v>27252</v>
      </c>
      <c r="B702" s="1008">
        <v>6186</v>
      </c>
      <c r="C702" s="1008">
        <v>10</v>
      </c>
      <c r="D702" s="1009">
        <v>15230399</v>
      </c>
      <c r="E702" s="1009">
        <v>15230381</v>
      </c>
      <c r="F702" s="1007" t="s">
        <v>4221</v>
      </c>
      <c r="G702" s="1007" t="s">
        <v>648</v>
      </c>
      <c r="H702" s="1010">
        <v>99999999</v>
      </c>
      <c r="I702" s="1009">
        <v>15230381</v>
      </c>
      <c r="J702" s="1007" t="s">
        <v>4221</v>
      </c>
      <c r="O702" s="1007" t="s">
        <v>648</v>
      </c>
      <c r="P702" s="1007" t="s">
        <v>648</v>
      </c>
      <c r="S702" s="1008" t="s">
        <v>650</v>
      </c>
      <c r="T702" s="1008" t="s">
        <v>654</v>
      </c>
      <c r="U702" s="1008" t="s">
        <v>649</v>
      </c>
      <c r="V702" s="1008" t="s">
        <v>648</v>
      </c>
      <c r="W702" s="1008" t="s">
        <v>546</v>
      </c>
      <c r="X702" s="1008" t="s">
        <v>670</v>
      </c>
      <c r="Y702" s="1008" t="s">
        <v>670</v>
      </c>
      <c r="Z702" s="1008" t="s">
        <v>670</v>
      </c>
      <c r="AA702" s="1008"/>
      <c r="AB702" s="1008" t="s">
        <v>670</v>
      </c>
      <c r="AC702" s="1008"/>
      <c r="AD702" s="1008"/>
      <c r="AE702" s="1008"/>
      <c r="AF702" s="1008" t="s">
        <v>670</v>
      </c>
      <c r="AG702" s="1008"/>
      <c r="AH702" s="1008"/>
      <c r="AI702" s="1008"/>
    </row>
    <row r="703" spans="1:35">
      <c r="A703" s="1008">
        <v>26759</v>
      </c>
      <c r="B703" s="1008">
        <v>126</v>
      </c>
      <c r="C703" s="1008">
        <v>10</v>
      </c>
      <c r="D703" s="1009">
        <v>15230399</v>
      </c>
      <c r="E703" s="1009">
        <v>15230382</v>
      </c>
      <c r="F703" s="1007" t="s">
        <v>4220</v>
      </c>
      <c r="G703" s="1007">
        <v>8</v>
      </c>
      <c r="H703" s="1010">
        <v>99999999</v>
      </c>
      <c r="I703" s="1009">
        <v>15230382</v>
      </c>
      <c r="J703" s="1007" t="s">
        <v>4220</v>
      </c>
      <c r="O703" s="1007" t="s">
        <v>648</v>
      </c>
      <c r="P703" s="1007" t="s">
        <v>648</v>
      </c>
      <c r="S703" s="1008" t="s">
        <v>650</v>
      </c>
      <c r="T703" s="1008" t="s">
        <v>654</v>
      </c>
      <c r="U703" s="1008" t="s">
        <v>649</v>
      </c>
      <c r="V703" s="1008" t="s">
        <v>648</v>
      </c>
      <c r="W703" s="1008" t="s">
        <v>546</v>
      </c>
      <c r="X703" s="1008" t="s">
        <v>670</v>
      </c>
      <c r="Y703" s="1008" t="s">
        <v>670</v>
      </c>
      <c r="Z703" s="1008" t="s">
        <v>670</v>
      </c>
      <c r="AA703" s="1008"/>
      <c r="AB703" s="1008" t="s">
        <v>670</v>
      </c>
      <c r="AC703" s="1008"/>
      <c r="AD703" s="1008"/>
      <c r="AE703" s="1008"/>
      <c r="AF703" s="1008" t="s">
        <v>670</v>
      </c>
      <c r="AG703" s="1008"/>
      <c r="AH703" s="1008"/>
      <c r="AI703" s="1008"/>
    </row>
    <row r="704" spans="1:35">
      <c r="A704" s="1008">
        <v>26760</v>
      </c>
      <c r="B704" s="1008">
        <v>127</v>
      </c>
      <c r="C704" s="1008">
        <v>10</v>
      </c>
      <c r="D704" s="1009">
        <v>15230399</v>
      </c>
      <c r="E704" s="1009">
        <v>15230383</v>
      </c>
      <c r="F704" s="1007" t="s">
        <v>4219</v>
      </c>
      <c r="G704" s="1007">
        <v>8</v>
      </c>
      <c r="H704" s="1010">
        <v>99999999</v>
      </c>
      <c r="I704" s="1009">
        <v>15230383</v>
      </c>
      <c r="J704" s="1007" t="s">
        <v>4219</v>
      </c>
      <c r="O704" s="1007" t="s">
        <v>648</v>
      </c>
      <c r="P704" s="1007" t="s">
        <v>648</v>
      </c>
      <c r="S704" s="1008" t="s">
        <v>650</v>
      </c>
      <c r="T704" s="1008" t="s">
        <v>654</v>
      </c>
      <c r="U704" s="1008" t="s">
        <v>649</v>
      </c>
      <c r="V704" s="1008" t="s">
        <v>648</v>
      </c>
      <c r="W704" s="1008" t="s">
        <v>546</v>
      </c>
      <c r="X704" s="1008" t="s">
        <v>670</v>
      </c>
      <c r="Y704" s="1008" t="s">
        <v>670</v>
      </c>
      <c r="Z704" s="1008" t="s">
        <v>670</v>
      </c>
      <c r="AA704" s="1008"/>
      <c r="AB704" s="1008" t="s">
        <v>670</v>
      </c>
      <c r="AC704" s="1008"/>
      <c r="AD704" s="1008"/>
      <c r="AE704" s="1008"/>
      <c r="AF704" s="1008" t="s">
        <v>670</v>
      </c>
      <c r="AG704" s="1008"/>
      <c r="AH704" s="1008"/>
      <c r="AI704" s="1008"/>
    </row>
    <row r="705" spans="1:35">
      <c r="A705" s="1008">
        <v>27253</v>
      </c>
      <c r="B705" s="1008">
        <v>6187</v>
      </c>
      <c r="C705" s="1008">
        <v>10</v>
      </c>
      <c r="D705" s="1009">
        <v>15230399</v>
      </c>
      <c r="E705" s="1009">
        <v>15230384</v>
      </c>
      <c r="F705" s="1007" t="s">
        <v>4218</v>
      </c>
      <c r="G705" s="1007" t="s">
        <v>648</v>
      </c>
      <c r="H705" s="1010">
        <v>99999999</v>
      </c>
      <c r="I705" s="1009">
        <v>15230384</v>
      </c>
      <c r="J705" s="1007" t="s">
        <v>4218</v>
      </c>
      <c r="O705" s="1007" t="s">
        <v>648</v>
      </c>
      <c r="P705" s="1007" t="s">
        <v>648</v>
      </c>
      <c r="S705" s="1008" t="s">
        <v>650</v>
      </c>
      <c r="T705" s="1008" t="s">
        <v>654</v>
      </c>
      <c r="U705" s="1008" t="s">
        <v>649</v>
      </c>
      <c r="V705" s="1008" t="s">
        <v>648</v>
      </c>
      <c r="W705" s="1008" t="s">
        <v>546</v>
      </c>
      <c r="X705" s="1008" t="s">
        <v>670</v>
      </c>
      <c r="Y705" s="1008" t="s">
        <v>670</v>
      </c>
      <c r="Z705" s="1008" t="s">
        <v>670</v>
      </c>
      <c r="AA705" s="1008"/>
      <c r="AB705" s="1008" t="s">
        <v>670</v>
      </c>
      <c r="AC705" s="1008"/>
      <c r="AD705" s="1008"/>
      <c r="AE705" s="1008"/>
      <c r="AF705" s="1008" t="s">
        <v>670</v>
      </c>
      <c r="AG705" s="1008"/>
      <c r="AH705" s="1008"/>
      <c r="AI705" s="1008"/>
    </row>
    <row r="706" spans="1:35">
      <c r="A706" s="1008">
        <v>26761</v>
      </c>
      <c r="B706" s="1008">
        <v>128</v>
      </c>
      <c r="C706" s="1008">
        <v>10</v>
      </c>
      <c r="D706" s="1009">
        <v>15230399</v>
      </c>
      <c r="E706" s="1009">
        <v>15230385</v>
      </c>
      <c r="F706" s="1007" t="s">
        <v>4217</v>
      </c>
      <c r="G706" s="1007">
        <v>8</v>
      </c>
      <c r="H706" s="1010">
        <v>99999999</v>
      </c>
      <c r="I706" s="1009">
        <v>15230385</v>
      </c>
      <c r="J706" s="1007" t="s">
        <v>4217</v>
      </c>
      <c r="O706" s="1007" t="s">
        <v>648</v>
      </c>
      <c r="P706" s="1007" t="s">
        <v>648</v>
      </c>
      <c r="S706" s="1008" t="s">
        <v>650</v>
      </c>
      <c r="T706" s="1008" t="s">
        <v>654</v>
      </c>
      <c r="U706" s="1008" t="s">
        <v>649</v>
      </c>
      <c r="V706" s="1008" t="s">
        <v>648</v>
      </c>
      <c r="W706" s="1008" t="s">
        <v>546</v>
      </c>
      <c r="X706" s="1008" t="s">
        <v>670</v>
      </c>
      <c r="Y706" s="1008" t="s">
        <v>670</v>
      </c>
      <c r="Z706" s="1008" t="s">
        <v>670</v>
      </c>
      <c r="AA706" s="1008"/>
      <c r="AB706" s="1008" t="s">
        <v>670</v>
      </c>
      <c r="AC706" s="1008"/>
      <c r="AD706" s="1008"/>
      <c r="AE706" s="1008"/>
      <c r="AF706" s="1008" t="s">
        <v>670</v>
      </c>
      <c r="AG706" s="1008"/>
      <c r="AH706" s="1008"/>
      <c r="AI706" s="1008"/>
    </row>
    <row r="707" spans="1:35">
      <c r="A707" s="1008">
        <v>27254</v>
      </c>
      <c r="B707" s="1008">
        <v>6188</v>
      </c>
      <c r="C707" s="1008">
        <v>10</v>
      </c>
      <c r="D707" s="1009">
        <v>15230399</v>
      </c>
      <c r="E707" s="1009">
        <v>15230386</v>
      </c>
      <c r="F707" s="1007" t="s">
        <v>4216</v>
      </c>
      <c r="G707" s="1007" t="s">
        <v>648</v>
      </c>
      <c r="H707" s="1010">
        <v>99999999</v>
      </c>
      <c r="I707" s="1009">
        <v>15230386</v>
      </c>
      <c r="J707" s="1007" t="s">
        <v>4216</v>
      </c>
      <c r="O707" s="1007" t="s">
        <v>648</v>
      </c>
      <c r="P707" s="1007" t="s">
        <v>648</v>
      </c>
      <c r="S707" s="1008" t="s">
        <v>650</v>
      </c>
      <c r="T707" s="1008" t="s">
        <v>654</v>
      </c>
      <c r="U707" s="1008" t="s">
        <v>649</v>
      </c>
      <c r="V707" s="1008" t="s">
        <v>648</v>
      </c>
      <c r="W707" s="1008" t="s">
        <v>546</v>
      </c>
      <c r="X707" s="1008" t="s">
        <v>670</v>
      </c>
      <c r="Y707" s="1008" t="s">
        <v>670</v>
      </c>
      <c r="Z707" s="1008" t="s">
        <v>670</v>
      </c>
      <c r="AA707" s="1008"/>
      <c r="AB707" s="1008" t="s">
        <v>670</v>
      </c>
      <c r="AC707" s="1008"/>
      <c r="AD707" s="1008"/>
      <c r="AE707" s="1008"/>
      <c r="AF707" s="1008" t="s">
        <v>670</v>
      </c>
      <c r="AG707" s="1008"/>
      <c r="AH707" s="1008"/>
      <c r="AI707" s="1008"/>
    </row>
    <row r="708" spans="1:35">
      <c r="A708" s="1008">
        <v>27255</v>
      </c>
      <c r="B708" s="1008">
        <v>6189</v>
      </c>
      <c r="C708" s="1008">
        <v>10</v>
      </c>
      <c r="D708" s="1009">
        <v>15230399</v>
      </c>
      <c r="E708" s="1009">
        <v>15230387</v>
      </c>
      <c r="F708" s="1007" t="s">
        <v>4215</v>
      </c>
      <c r="G708" s="1007" t="s">
        <v>648</v>
      </c>
      <c r="H708" s="1010">
        <v>99999999</v>
      </c>
      <c r="I708" s="1009">
        <v>15230387</v>
      </c>
      <c r="J708" s="1007" t="s">
        <v>4215</v>
      </c>
      <c r="O708" s="1007" t="s">
        <v>648</v>
      </c>
      <c r="P708" s="1007" t="s">
        <v>648</v>
      </c>
      <c r="S708" s="1008" t="s">
        <v>650</v>
      </c>
      <c r="T708" s="1008" t="s">
        <v>654</v>
      </c>
      <c r="U708" s="1008" t="s">
        <v>649</v>
      </c>
      <c r="V708" s="1008" t="s">
        <v>648</v>
      </c>
      <c r="W708" s="1008" t="s">
        <v>546</v>
      </c>
      <c r="X708" s="1008" t="s">
        <v>670</v>
      </c>
      <c r="Y708" s="1008" t="s">
        <v>670</v>
      </c>
      <c r="Z708" s="1008" t="s">
        <v>670</v>
      </c>
      <c r="AA708" s="1008"/>
      <c r="AB708" s="1008" t="s">
        <v>670</v>
      </c>
      <c r="AC708" s="1008"/>
      <c r="AD708" s="1008"/>
      <c r="AE708" s="1008"/>
      <c r="AF708" s="1008" t="s">
        <v>670</v>
      </c>
      <c r="AG708" s="1008"/>
      <c r="AH708" s="1008"/>
      <c r="AI708" s="1008"/>
    </row>
    <row r="709" spans="1:35">
      <c r="A709" s="1008">
        <v>27256</v>
      </c>
      <c r="C709" s="1008">
        <v>9</v>
      </c>
      <c r="D709" s="1009">
        <v>15230999</v>
      </c>
      <c r="E709" s="1009">
        <v>15230399</v>
      </c>
      <c r="F709" s="1007" t="s">
        <v>4214</v>
      </c>
      <c r="O709" s="1007" t="s">
        <v>648</v>
      </c>
      <c r="P709" s="1007" t="s">
        <v>648</v>
      </c>
      <c r="S709" s="1008" t="s">
        <v>650</v>
      </c>
      <c r="T709" s="1008" t="s">
        <v>21</v>
      </c>
      <c r="U709" s="1008" t="s">
        <v>649</v>
      </c>
      <c r="V709" s="1008" t="s">
        <v>648</v>
      </c>
      <c r="W709" s="1008" t="s">
        <v>546</v>
      </c>
      <c r="X709" s="1008"/>
      <c r="Y709" s="1008"/>
      <c r="Z709" s="1008"/>
      <c r="AA709" s="1008"/>
      <c r="AB709" s="1008"/>
      <c r="AC709" s="1008"/>
      <c r="AD709" s="1008"/>
      <c r="AE709" s="1008"/>
      <c r="AF709" s="1008"/>
      <c r="AG709" s="1008"/>
      <c r="AH709" s="1008"/>
      <c r="AI709" s="1008"/>
    </row>
    <row r="710" spans="1:35">
      <c r="A710" s="1008">
        <v>27257</v>
      </c>
      <c r="C710" s="1008">
        <v>9</v>
      </c>
      <c r="D710" s="1009">
        <v>15230419</v>
      </c>
      <c r="E710" s="1009">
        <v>15230400</v>
      </c>
      <c r="F710" s="1007" t="s">
        <v>4213</v>
      </c>
      <c r="O710" s="1007" t="s">
        <v>648</v>
      </c>
      <c r="P710" s="1007" t="s">
        <v>648</v>
      </c>
      <c r="S710" s="1008" t="s">
        <v>650</v>
      </c>
      <c r="T710" s="1008" t="s">
        <v>675</v>
      </c>
      <c r="U710" s="1008" t="s">
        <v>649</v>
      </c>
      <c r="V710" s="1008" t="s">
        <v>648</v>
      </c>
      <c r="W710" s="1008" t="s">
        <v>546</v>
      </c>
      <c r="X710" s="1008"/>
      <c r="Y710" s="1008"/>
      <c r="Z710" s="1008"/>
      <c r="AA710" s="1008"/>
      <c r="AB710" s="1008"/>
      <c r="AC710" s="1008"/>
      <c r="AD710" s="1008"/>
      <c r="AE710" s="1008"/>
      <c r="AF710" s="1008"/>
      <c r="AG710" s="1008"/>
      <c r="AH710" s="1008"/>
      <c r="AI710" s="1008"/>
    </row>
    <row r="711" spans="1:35">
      <c r="A711" s="1008">
        <v>27258</v>
      </c>
      <c r="B711" s="1008">
        <v>6190</v>
      </c>
      <c r="C711" s="1008">
        <v>10</v>
      </c>
      <c r="D711" s="1009">
        <v>15230419</v>
      </c>
      <c r="E711" s="1009">
        <v>15230401</v>
      </c>
      <c r="F711" s="1007" t="s">
        <v>4212</v>
      </c>
      <c r="G711" s="1007" t="s">
        <v>648</v>
      </c>
      <c r="H711" s="1010">
        <v>99999999</v>
      </c>
      <c r="I711" s="1009">
        <v>15230401</v>
      </c>
      <c r="J711" s="1007" t="s">
        <v>4212</v>
      </c>
      <c r="O711" s="1007" t="s">
        <v>648</v>
      </c>
      <c r="P711" s="1007" t="s">
        <v>648</v>
      </c>
      <c r="S711" s="1008" t="s">
        <v>650</v>
      </c>
      <c r="T711" s="1008" t="s">
        <v>654</v>
      </c>
      <c r="U711" s="1008" t="s">
        <v>649</v>
      </c>
      <c r="V711" s="1008" t="s">
        <v>648</v>
      </c>
      <c r="W711" s="1008" t="s">
        <v>546</v>
      </c>
      <c r="X711" s="1008" t="s">
        <v>670</v>
      </c>
      <c r="Y711" s="1008" t="s">
        <v>670</v>
      </c>
      <c r="Z711" s="1008" t="s">
        <v>670</v>
      </c>
      <c r="AA711" s="1008"/>
      <c r="AB711" s="1008" t="s">
        <v>670</v>
      </c>
      <c r="AC711" s="1008"/>
      <c r="AD711" s="1008"/>
      <c r="AE711" s="1008"/>
      <c r="AF711" s="1008" t="s">
        <v>670</v>
      </c>
      <c r="AG711" s="1008"/>
      <c r="AH711" s="1008"/>
      <c r="AI711" s="1008"/>
    </row>
    <row r="712" spans="1:35">
      <c r="A712" s="1008">
        <v>27259</v>
      </c>
      <c r="B712" s="1008">
        <v>6191</v>
      </c>
      <c r="C712" s="1008">
        <v>10</v>
      </c>
      <c r="D712" s="1009">
        <v>15230419</v>
      </c>
      <c r="E712" s="1009">
        <v>15230402</v>
      </c>
      <c r="F712" s="1007" t="s">
        <v>4211</v>
      </c>
      <c r="G712" s="1007" t="s">
        <v>648</v>
      </c>
      <c r="H712" s="1010">
        <v>99999999</v>
      </c>
      <c r="I712" s="1009">
        <v>15230402</v>
      </c>
      <c r="J712" s="1007" t="s">
        <v>4211</v>
      </c>
      <c r="O712" s="1007" t="s">
        <v>648</v>
      </c>
      <c r="P712" s="1007" t="s">
        <v>648</v>
      </c>
      <c r="S712" s="1008" t="s">
        <v>650</v>
      </c>
      <c r="T712" s="1008" t="s">
        <v>654</v>
      </c>
      <c r="U712" s="1008" t="s">
        <v>649</v>
      </c>
      <c r="V712" s="1008" t="s">
        <v>648</v>
      </c>
      <c r="W712" s="1008" t="s">
        <v>546</v>
      </c>
      <c r="X712" s="1008" t="s">
        <v>670</v>
      </c>
      <c r="Y712" s="1008" t="s">
        <v>670</v>
      </c>
      <c r="Z712" s="1008" t="s">
        <v>670</v>
      </c>
      <c r="AA712" s="1008"/>
      <c r="AB712" s="1008" t="s">
        <v>670</v>
      </c>
      <c r="AC712" s="1008"/>
      <c r="AD712" s="1008"/>
      <c r="AE712" s="1008"/>
      <c r="AF712" s="1008" t="s">
        <v>670</v>
      </c>
      <c r="AG712" s="1008"/>
      <c r="AH712" s="1008"/>
      <c r="AI712" s="1008"/>
    </row>
    <row r="713" spans="1:35">
      <c r="A713" s="1008">
        <v>27260</v>
      </c>
      <c r="B713" s="1008">
        <v>6192</v>
      </c>
      <c r="C713" s="1008">
        <v>10</v>
      </c>
      <c r="D713" s="1009">
        <v>15230419</v>
      </c>
      <c r="E713" s="1009">
        <v>15230403</v>
      </c>
      <c r="F713" s="1007" t="s">
        <v>4210</v>
      </c>
      <c r="G713" s="1007" t="s">
        <v>648</v>
      </c>
      <c r="H713" s="1010">
        <v>99999999</v>
      </c>
      <c r="I713" s="1009">
        <v>15230403</v>
      </c>
      <c r="J713" s="1007" t="s">
        <v>4210</v>
      </c>
      <c r="O713" s="1007" t="s">
        <v>648</v>
      </c>
      <c r="P713" s="1007" t="s">
        <v>648</v>
      </c>
      <c r="S713" s="1008" t="s">
        <v>650</v>
      </c>
      <c r="T713" s="1008" t="s">
        <v>654</v>
      </c>
      <c r="U713" s="1008" t="s">
        <v>649</v>
      </c>
      <c r="V713" s="1008" t="s">
        <v>648</v>
      </c>
      <c r="W713" s="1008" t="s">
        <v>546</v>
      </c>
      <c r="X713" s="1008" t="s">
        <v>670</v>
      </c>
      <c r="Y713" s="1008" t="s">
        <v>670</v>
      </c>
      <c r="Z713" s="1008" t="s">
        <v>670</v>
      </c>
      <c r="AA713" s="1008"/>
      <c r="AB713" s="1008" t="s">
        <v>670</v>
      </c>
      <c r="AC713" s="1008"/>
      <c r="AD713" s="1008"/>
      <c r="AE713" s="1008"/>
      <c r="AF713" s="1008" t="s">
        <v>670</v>
      </c>
      <c r="AG713" s="1008"/>
      <c r="AH713" s="1008"/>
      <c r="AI713" s="1008"/>
    </row>
    <row r="714" spans="1:35">
      <c r="A714" s="1008">
        <v>27261</v>
      </c>
      <c r="B714" s="1008">
        <v>6193</v>
      </c>
      <c r="C714" s="1008">
        <v>10</v>
      </c>
      <c r="D714" s="1009">
        <v>15230419</v>
      </c>
      <c r="E714" s="1009">
        <v>15230404</v>
      </c>
      <c r="F714" s="1007" t="s">
        <v>4209</v>
      </c>
      <c r="G714" s="1007" t="s">
        <v>648</v>
      </c>
      <c r="H714" s="1010">
        <v>99999999</v>
      </c>
      <c r="I714" s="1009">
        <v>15230404</v>
      </c>
      <c r="J714" s="1007" t="s">
        <v>4209</v>
      </c>
      <c r="O714" s="1007" t="s">
        <v>648</v>
      </c>
      <c r="P714" s="1007" t="s">
        <v>648</v>
      </c>
      <c r="S714" s="1008" t="s">
        <v>650</v>
      </c>
      <c r="T714" s="1008" t="s">
        <v>654</v>
      </c>
      <c r="U714" s="1008" t="s">
        <v>649</v>
      </c>
      <c r="V714" s="1008" t="s">
        <v>648</v>
      </c>
      <c r="W714" s="1008" t="s">
        <v>546</v>
      </c>
      <c r="X714" s="1008" t="s">
        <v>670</v>
      </c>
      <c r="Y714" s="1008" t="s">
        <v>670</v>
      </c>
      <c r="Z714" s="1008" t="s">
        <v>670</v>
      </c>
      <c r="AA714" s="1008"/>
      <c r="AB714" s="1008" t="s">
        <v>670</v>
      </c>
      <c r="AC714" s="1008"/>
      <c r="AD714" s="1008"/>
      <c r="AE714" s="1008"/>
      <c r="AF714" s="1008" t="s">
        <v>670</v>
      </c>
      <c r="AG714" s="1008"/>
      <c r="AH714" s="1008"/>
      <c r="AI714" s="1008"/>
    </row>
    <row r="715" spans="1:35">
      <c r="A715" s="1008">
        <v>27262</v>
      </c>
      <c r="B715" s="1008">
        <v>6194</v>
      </c>
      <c r="C715" s="1008">
        <v>10</v>
      </c>
      <c r="D715" s="1009">
        <v>15230419</v>
      </c>
      <c r="E715" s="1009">
        <v>15230405</v>
      </c>
      <c r="F715" s="1007" t="s">
        <v>4208</v>
      </c>
      <c r="G715" s="1007" t="s">
        <v>648</v>
      </c>
      <c r="H715" s="1010">
        <v>99999999</v>
      </c>
      <c r="I715" s="1009">
        <v>15230405</v>
      </c>
      <c r="J715" s="1007" t="s">
        <v>4208</v>
      </c>
      <c r="O715" s="1007" t="s">
        <v>648</v>
      </c>
      <c r="P715" s="1007" t="s">
        <v>648</v>
      </c>
      <c r="S715" s="1008" t="s">
        <v>650</v>
      </c>
      <c r="T715" s="1008" t="s">
        <v>654</v>
      </c>
      <c r="U715" s="1008" t="s">
        <v>649</v>
      </c>
      <c r="V715" s="1008" t="s">
        <v>648</v>
      </c>
      <c r="W715" s="1008" t="s">
        <v>546</v>
      </c>
      <c r="X715" s="1008" t="s">
        <v>670</v>
      </c>
      <c r="Y715" s="1008" t="s">
        <v>670</v>
      </c>
      <c r="Z715" s="1008" t="s">
        <v>670</v>
      </c>
      <c r="AA715" s="1008"/>
      <c r="AB715" s="1008" t="s">
        <v>670</v>
      </c>
      <c r="AC715" s="1008"/>
      <c r="AD715" s="1008"/>
      <c r="AE715" s="1008"/>
      <c r="AF715" s="1008" t="s">
        <v>670</v>
      </c>
      <c r="AG715" s="1008"/>
      <c r="AH715" s="1008"/>
      <c r="AI715" s="1008"/>
    </row>
    <row r="716" spans="1:35">
      <c r="A716" s="1008">
        <v>27263</v>
      </c>
      <c r="B716" s="1008">
        <v>6195</v>
      </c>
      <c r="C716" s="1008">
        <v>10</v>
      </c>
      <c r="D716" s="1009">
        <v>15230419</v>
      </c>
      <c r="E716" s="1009">
        <v>15230406</v>
      </c>
      <c r="F716" s="1007" t="s">
        <v>4207</v>
      </c>
      <c r="G716" s="1007" t="s">
        <v>648</v>
      </c>
      <c r="H716" s="1010">
        <v>99999999</v>
      </c>
      <c r="I716" s="1009">
        <v>15230406</v>
      </c>
      <c r="J716" s="1007" t="s">
        <v>4207</v>
      </c>
      <c r="O716" s="1007" t="s">
        <v>648</v>
      </c>
      <c r="P716" s="1007" t="s">
        <v>648</v>
      </c>
      <c r="S716" s="1008" t="s">
        <v>650</v>
      </c>
      <c r="T716" s="1008" t="s">
        <v>654</v>
      </c>
      <c r="U716" s="1008" t="s">
        <v>649</v>
      </c>
      <c r="V716" s="1008" t="s">
        <v>648</v>
      </c>
      <c r="W716" s="1008" t="s">
        <v>546</v>
      </c>
      <c r="X716" s="1008" t="s">
        <v>670</v>
      </c>
      <c r="Y716" s="1008" t="s">
        <v>670</v>
      </c>
      <c r="Z716" s="1008" t="s">
        <v>670</v>
      </c>
      <c r="AA716" s="1008"/>
      <c r="AB716" s="1008" t="s">
        <v>670</v>
      </c>
      <c r="AC716" s="1008"/>
      <c r="AD716" s="1008"/>
      <c r="AE716" s="1008"/>
      <c r="AF716" s="1008" t="s">
        <v>670</v>
      </c>
      <c r="AG716" s="1008"/>
      <c r="AH716" s="1008"/>
      <c r="AI716" s="1008"/>
    </row>
    <row r="717" spans="1:35">
      <c r="A717" s="1008">
        <v>27264</v>
      </c>
      <c r="C717" s="1008">
        <v>9</v>
      </c>
      <c r="D717" s="1009">
        <v>15230999</v>
      </c>
      <c r="E717" s="1009">
        <v>15230419</v>
      </c>
      <c r="F717" s="1007" t="s">
        <v>4206</v>
      </c>
      <c r="O717" s="1007" t="s">
        <v>648</v>
      </c>
      <c r="P717" s="1007" t="s">
        <v>648</v>
      </c>
      <c r="S717" s="1008" t="s">
        <v>650</v>
      </c>
      <c r="T717" s="1008" t="s">
        <v>21</v>
      </c>
      <c r="U717" s="1008" t="s">
        <v>649</v>
      </c>
      <c r="V717" s="1008" t="s">
        <v>648</v>
      </c>
      <c r="W717" s="1008" t="s">
        <v>546</v>
      </c>
      <c r="X717" s="1008"/>
      <c r="Y717" s="1008"/>
      <c r="Z717" s="1008"/>
      <c r="AA717" s="1008"/>
      <c r="AB717" s="1008"/>
      <c r="AC717" s="1008"/>
      <c r="AD717" s="1008"/>
      <c r="AE717" s="1008"/>
      <c r="AF717" s="1008"/>
      <c r="AG717" s="1008"/>
      <c r="AH717" s="1008"/>
      <c r="AI717" s="1008"/>
    </row>
    <row r="718" spans="1:35">
      <c r="A718" s="1008">
        <v>27265</v>
      </c>
      <c r="C718" s="1008">
        <v>9</v>
      </c>
      <c r="D718" s="1009">
        <v>15230439</v>
      </c>
      <c r="E718" s="1009">
        <v>15230420</v>
      </c>
      <c r="F718" s="1007" t="s">
        <v>4205</v>
      </c>
      <c r="O718" s="1007" t="s">
        <v>648</v>
      </c>
      <c r="P718" s="1007" t="s">
        <v>648</v>
      </c>
      <c r="S718" s="1008" t="s">
        <v>650</v>
      </c>
      <c r="T718" s="1008" t="s">
        <v>675</v>
      </c>
      <c r="U718" s="1008" t="s">
        <v>649</v>
      </c>
      <c r="V718" s="1008" t="s">
        <v>648</v>
      </c>
      <c r="W718" s="1008" t="s">
        <v>546</v>
      </c>
      <c r="X718" s="1008"/>
      <c r="Y718" s="1008"/>
      <c r="Z718" s="1008"/>
      <c r="AA718" s="1008"/>
      <c r="AB718" s="1008"/>
      <c r="AC718" s="1008"/>
      <c r="AD718" s="1008"/>
      <c r="AE718" s="1008"/>
      <c r="AF718" s="1008"/>
      <c r="AG718" s="1008"/>
      <c r="AH718" s="1008"/>
      <c r="AI718" s="1008"/>
    </row>
    <row r="719" spans="1:35">
      <c r="A719" s="1008">
        <v>27266</v>
      </c>
      <c r="B719" s="1008">
        <v>6196</v>
      </c>
      <c r="C719" s="1008">
        <v>10</v>
      </c>
      <c r="D719" s="1009">
        <v>15230439</v>
      </c>
      <c r="E719" s="1009">
        <v>15230421</v>
      </c>
      <c r="F719" s="1007" t="s">
        <v>4204</v>
      </c>
      <c r="G719" s="1007" t="s">
        <v>648</v>
      </c>
      <c r="H719" s="1010">
        <v>99999999</v>
      </c>
      <c r="I719" s="1009">
        <v>15230421</v>
      </c>
      <c r="J719" s="1007" t="s">
        <v>4204</v>
      </c>
      <c r="O719" s="1007" t="s">
        <v>648</v>
      </c>
      <c r="P719" s="1007" t="s">
        <v>648</v>
      </c>
      <c r="S719" s="1008" t="s">
        <v>650</v>
      </c>
      <c r="T719" s="1008" t="s">
        <v>654</v>
      </c>
      <c r="U719" s="1008" t="s">
        <v>649</v>
      </c>
      <c r="V719" s="1008" t="s">
        <v>648</v>
      </c>
      <c r="W719" s="1008" t="s">
        <v>546</v>
      </c>
      <c r="X719" s="1008" t="s">
        <v>670</v>
      </c>
      <c r="Y719" s="1008" t="s">
        <v>670</v>
      </c>
      <c r="Z719" s="1008" t="s">
        <v>670</v>
      </c>
      <c r="AA719" s="1008"/>
      <c r="AB719" s="1008" t="s">
        <v>670</v>
      </c>
      <c r="AC719" s="1008"/>
      <c r="AD719" s="1008"/>
      <c r="AE719" s="1008"/>
      <c r="AF719" s="1008" t="s">
        <v>670</v>
      </c>
      <c r="AG719" s="1008"/>
      <c r="AH719" s="1008"/>
      <c r="AI719" s="1008"/>
    </row>
    <row r="720" spans="1:35">
      <c r="A720" s="1008">
        <v>27267</v>
      </c>
      <c r="B720" s="1008">
        <v>6197</v>
      </c>
      <c r="C720" s="1008">
        <v>10</v>
      </c>
      <c r="D720" s="1009">
        <v>15230439</v>
      </c>
      <c r="E720" s="1009">
        <v>15230422</v>
      </c>
      <c r="F720" s="1007" t="s">
        <v>4203</v>
      </c>
      <c r="G720" s="1007" t="s">
        <v>648</v>
      </c>
      <c r="H720" s="1010">
        <v>99999999</v>
      </c>
      <c r="I720" s="1009">
        <v>15230422</v>
      </c>
      <c r="J720" s="1007" t="s">
        <v>4203</v>
      </c>
      <c r="O720" s="1007" t="s">
        <v>648</v>
      </c>
      <c r="P720" s="1007" t="s">
        <v>648</v>
      </c>
      <c r="S720" s="1008" t="s">
        <v>650</v>
      </c>
      <c r="T720" s="1008" t="s">
        <v>654</v>
      </c>
      <c r="U720" s="1008" t="s">
        <v>649</v>
      </c>
      <c r="V720" s="1008" t="s">
        <v>648</v>
      </c>
      <c r="W720" s="1008" t="s">
        <v>546</v>
      </c>
      <c r="X720" s="1008" t="s">
        <v>670</v>
      </c>
      <c r="Y720" s="1008" t="s">
        <v>670</v>
      </c>
      <c r="Z720" s="1008" t="s">
        <v>670</v>
      </c>
      <c r="AA720" s="1008"/>
      <c r="AB720" s="1008" t="s">
        <v>670</v>
      </c>
      <c r="AC720" s="1008"/>
      <c r="AD720" s="1008"/>
      <c r="AE720" s="1008"/>
      <c r="AF720" s="1008" t="s">
        <v>670</v>
      </c>
      <c r="AG720" s="1008"/>
      <c r="AH720" s="1008"/>
      <c r="AI720" s="1008"/>
    </row>
    <row r="721" spans="1:35">
      <c r="A721" s="1008">
        <v>26771</v>
      </c>
      <c r="B721" s="1008">
        <v>138</v>
      </c>
      <c r="C721" s="1008">
        <v>10</v>
      </c>
      <c r="D721" s="1009">
        <v>15230439</v>
      </c>
      <c r="E721" s="1009">
        <v>15230423</v>
      </c>
      <c r="F721" s="1007" t="s">
        <v>4202</v>
      </c>
      <c r="G721" s="1007">
        <v>8</v>
      </c>
      <c r="H721" s="1010">
        <v>99999999</v>
      </c>
      <c r="I721" s="1009">
        <v>15230423</v>
      </c>
      <c r="J721" s="1007" t="s">
        <v>4202</v>
      </c>
      <c r="O721" s="1007" t="s">
        <v>648</v>
      </c>
      <c r="P721" s="1007" t="s">
        <v>648</v>
      </c>
      <c r="S721" s="1008" t="s">
        <v>650</v>
      </c>
      <c r="T721" s="1008" t="s">
        <v>654</v>
      </c>
      <c r="U721" s="1008" t="s">
        <v>649</v>
      </c>
      <c r="V721" s="1008" t="s">
        <v>648</v>
      </c>
      <c r="W721" s="1008" t="s">
        <v>546</v>
      </c>
      <c r="X721" s="1008" t="s">
        <v>670</v>
      </c>
      <c r="Y721" s="1008" t="s">
        <v>670</v>
      </c>
      <c r="Z721" s="1008" t="s">
        <v>670</v>
      </c>
      <c r="AA721" s="1008"/>
      <c r="AB721" s="1008" t="s">
        <v>670</v>
      </c>
      <c r="AC721" s="1008"/>
      <c r="AD721" s="1008"/>
      <c r="AE721" s="1008"/>
      <c r="AF721" s="1008" t="s">
        <v>670</v>
      </c>
      <c r="AG721" s="1008"/>
      <c r="AH721" s="1008"/>
      <c r="AI721" s="1008"/>
    </row>
    <row r="722" spans="1:35">
      <c r="A722" s="1008">
        <v>26772</v>
      </c>
      <c r="B722" s="1008">
        <v>139</v>
      </c>
      <c r="C722" s="1008">
        <v>10</v>
      </c>
      <c r="D722" s="1009">
        <v>15230439</v>
      </c>
      <c r="E722" s="1009">
        <v>15230424</v>
      </c>
      <c r="F722" s="1007" t="s">
        <v>4201</v>
      </c>
      <c r="G722" s="1007">
        <v>8</v>
      </c>
      <c r="H722" s="1010">
        <v>99999999</v>
      </c>
      <c r="I722" s="1009">
        <v>15230424</v>
      </c>
      <c r="J722" s="1007" t="s">
        <v>4201</v>
      </c>
      <c r="O722" s="1007" t="s">
        <v>648</v>
      </c>
      <c r="P722" s="1007" t="s">
        <v>648</v>
      </c>
      <c r="S722" s="1008" t="s">
        <v>650</v>
      </c>
      <c r="T722" s="1008" t="s">
        <v>654</v>
      </c>
      <c r="U722" s="1008" t="s">
        <v>649</v>
      </c>
      <c r="V722" s="1008" t="s">
        <v>648</v>
      </c>
      <c r="W722" s="1008" t="s">
        <v>546</v>
      </c>
      <c r="X722" s="1008" t="s">
        <v>670</v>
      </c>
      <c r="Y722" s="1008" t="s">
        <v>670</v>
      </c>
      <c r="Z722" s="1008" t="s">
        <v>670</v>
      </c>
      <c r="AA722" s="1008"/>
      <c r="AB722" s="1008" t="s">
        <v>670</v>
      </c>
      <c r="AC722" s="1008"/>
      <c r="AD722" s="1008"/>
      <c r="AE722" s="1008"/>
      <c r="AF722" s="1008" t="s">
        <v>670</v>
      </c>
      <c r="AG722" s="1008"/>
      <c r="AH722" s="1008"/>
      <c r="AI722" s="1008"/>
    </row>
    <row r="723" spans="1:35">
      <c r="A723" s="1008">
        <v>27268</v>
      </c>
      <c r="C723" s="1008">
        <v>9</v>
      </c>
      <c r="D723" s="1009">
        <v>15230999</v>
      </c>
      <c r="E723" s="1009">
        <v>15230439</v>
      </c>
      <c r="F723" s="1007" t="s">
        <v>4200</v>
      </c>
      <c r="O723" s="1007" t="s">
        <v>648</v>
      </c>
      <c r="P723" s="1007" t="s">
        <v>648</v>
      </c>
      <c r="S723" s="1008" t="s">
        <v>650</v>
      </c>
      <c r="T723" s="1008" t="s">
        <v>21</v>
      </c>
      <c r="U723" s="1008" t="s">
        <v>649</v>
      </c>
      <c r="V723" s="1008" t="s">
        <v>648</v>
      </c>
      <c r="W723" s="1008" t="s">
        <v>546</v>
      </c>
      <c r="X723" s="1008"/>
      <c r="Y723" s="1008"/>
      <c r="Z723" s="1008"/>
      <c r="AA723" s="1008"/>
      <c r="AB723" s="1008"/>
      <c r="AC723" s="1008"/>
      <c r="AD723" s="1008"/>
      <c r="AE723" s="1008"/>
      <c r="AF723" s="1008"/>
      <c r="AG723" s="1008"/>
      <c r="AH723" s="1008"/>
      <c r="AI723" s="1008"/>
    </row>
    <row r="724" spans="1:35">
      <c r="A724" s="1008">
        <v>27269</v>
      </c>
      <c r="C724" s="1008">
        <v>9</v>
      </c>
      <c r="D724" s="1009">
        <v>15230459</v>
      </c>
      <c r="E724" s="1009">
        <v>15230440</v>
      </c>
      <c r="F724" s="1007" t="s">
        <v>4199</v>
      </c>
      <c r="O724" s="1007" t="s">
        <v>648</v>
      </c>
      <c r="P724" s="1007" t="s">
        <v>648</v>
      </c>
      <c r="S724" s="1008" t="s">
        <v>650</v>
      </c>
      <c r="T724" s="1008" t="s">
        <v>675</v>
      </c>
      <c r="U724" s="1008" t="s">
        <v>649</v>
      </c>
      <c r="V724" s="1008" t="s">
        <v>648</v>
      </c>
      <c r="W724" s="1008" t="s">
        <v>546</v>
      </c>
      <c r="X724" s="1008"/>
      <c r="Y724" s="1008"/>
      <c r="Z724" s="1008"/>
      <c r="AA724" s="1008"/>
      <c r="AB724" s="1008"/>
      <c r="AC724" s="1008"/>
      <c r="AD724" s="1008"/>
      <c r="AE724" s="1008"/>
      <c r="AF724" s="1008"/>
      <c r="AG724" s="1008"/>
      <c r="AH724" s="1008"/>
      <c r="AI724" s="1008"/>
    </row>
    <row r="725" spans="1:35">
      <c r="A725" s="1008">
        <v>26762</v>
      </c>
      <c r="B725" s="1008">
        <v>129</v>
      </c>
      <c r="C725" s="1008">
        <v>10</v>
      </c>
      <c r="D725" s="1009">
        <v>15230459</v>
      </c>
      <c r="E725" s="1009">
        <v>15230441</v>
      </c>
      <c r="F725" s="1007" t="s">
        <v>4198</v>
      </c>
      <c r="G725" s="1007">
        <v>8</v>
      </c>
      <c r="H725" s="1010">
        <v>99999999</v>
      </c>
      <c r="I725" s="1009">
        <v>15230441</v>
      </c>
      <c r="J725" s="1007" t="s">
        <v>4198</v>
      </c>
      <c r="O725" s="1007" t="s">
        <v>648</v>
      </c>
      <c r="P725" s="1007" t="s">
        <v>648</v>
      </c>
      <c r="S725" s="1008" t="s">
        <v>650</v>
      </c>
      <c r="T725" s="1008" t="s">
        <v>654</v>
      </c>
      <c r="U725" s="1008" t="s">
        <v>649</v>
      </c>
      <c r="V725" s="1008" t="s">
        <v>648</v>
      </c>
      <c r="W725" s="1008" t="s">
        <v>546</v>
      </c>
      <c r="X725" s="1008" t="s">
        <v>670</v>
      </c>
      <c r="Y725" s="1008" t="s">
        <v>670</v>
      </c>
      <c r="Z725" s="1008" t="s">
        <v>670</v>
      </c>
      <c r="AA725" s="1008"/>
      <c r="AB725" s="1008" t="s">
        <v>670</v>
      </c>
      <c r="AC725" s="1008"/>
      <c r="AD725" s="1008"/>
      <c r="AE725" s="1008"/>
      <c r="AF725" s="1008" t="s">
        <v>670</v>
      </c>
      <c r="AG725" s="1008"/>
      <c r="AH725" s="1008"/>
      <c r="AI725" s="1008"/>
    </row>
    <row r="726" spans="1:35">
      <c r="A726" s="1008">
        <v>27270</v>
      </c>
      <c r="B726" s="1008">
        <v>6198</v>
      </c>
      <c r="C726" s="1008">
        <v>10</v>
      </c>
      <c r="D726" s="1009">
        <v>15230459</v>
      </c>
      <c r="E726" s="1009">
        <v>15230442</v>
      </c>
      <c r="F726" s="1007" t="s">
        <v>4197</v>
      </c>
      <c r="G726" s="1007" t="s">
        <v>648</v>
      </c>
      <c r="H726" s="1010">
        <v>99999999</v>
      </c>
      <c r="I726" s="1009">
        <v>15230442</v>
      </c>
      <c r="J726" s="1007" t="s">
        <v>4197</v>
      </c>
      <c r="O726" s="1007" t="s">
        <v>648</v>
      </c>
      <c r="P726" s="1007" t="s">
        <v>648</v>
      </c>
      <c r="S726" s="1008" t="s">
        <v>650</v>
      </c>
      <c r="T726" s="1008" t="s">
        <v>654</v>
      </c>
      <c r="U726" s="1008" t="s">
        <v>649</v>
      </c>
      <c r="V726" s="1008" t="s">
        <v>648</v>
      </c>
      <c r="W726" s="1008" t="s">
        <v>546</v>
      </c>
      <c r="X726" s="1008" t="s">
        <v>670</v>
      </c>
      <c r="Y726" s="1008" t="s">
        <v>670</v>
      </c>
      <c r="Z726" s="1008" t="s">
        <v>670</v>
      </c>
      <c r="AA726" s="1008"/>
      <c r="AB726" s="1008" t="s">
        <v>670</v>
      </c>
      <c r="AC726" s="1008"/>
      <c r="AD726" s="1008"/>
      <c r="AE726" s="1008"/>
      <c r="AF726" s="1008" t="s">
        <v>670</v>
      </c>
      <c r="AG726" s="1008"/>
      <c r="AH726" s="1008"/>
      <c r="AI726" s="1008"/>
    </row>
    <row r="727" spans="1:35">
      <c r="A727" s="1008">
        <v>27271</v>
      </c>
      <c r="B727" s="1008">
        <v>6199</v>
      </c>
      <c r="C727" s="1008">
        <v>10</v>
      </c>
      <c r="D727" s="1009">
        <v>15230459</v>
      </c>
      <c r="E727" s="1009">
        <v>15230443</v>
      </c>
      <c r="F727" s="1007" t="s">
        <v>4196</v>
      </c>
      <c r="G727" s="1007" t="s">
        <v>648</v>
      </c>
      <c r="H727" s="1010">
        <v>99999999</v>
      </c>
      <c r="I727" s="1009">
        <v>15230443</v>
      </c>
      <c r="J727" s="1007" t="s">
        <v>4196</v>
      </c>
      <c r="O727" s="1007" t="s">
        <v>648</v>
      </c>
      <c r="P727" s="1007" t="s">
        <v>648</v>
      </c>
      <c r="S727" s="1008" t="s">
        <v>650</v>
      </c>
      <c r="T727" s="1008" t="s">
        <v>654</v>
      </c>
      <c r="U727" s="1008" t="s">
        <v>649</v>
      </c>
      <c r="V727" s="1008" t="s">
        <v>648</v>
      </c>
      <c r="W727" s="1008" t="s">
        <v>546</v>
      </c>
      <c r="X727" s="1008" t="s">
        <v>670</v>
      </c>
      <c r="Y727" s="1008" t="s">
        <v>670</v>
      </c>
      <c r="Z727" s="1008" t="s">
        <v>670</v>
      </c>
      <c r="AA727" s="1008"/>
      <c r="AB727" s="1008" t="s">
        <v>670</v>
      </c>
      <c r="AC727" s="1008"/>
      <c r="AD727" s="1008"/>
      <c r="AE727" s="1008"/>
      <c r="AF727" s="1008" t="s">
        <v>670</v>
      </c>
      <c r="AG727" s="1008"/>
      <c r="AH727" s="1008"/>
      <c r="AI727" s="1008"/>
    </row>
    <row r="728" spans="1:35" ht="19.5" customHeight="1">
      <c r="A728" s="1008">
        <v>27272</v>
      </c>
      <c r="C728" s="1008">
        <v>9</v>
      </c>
      <c r="D728" s="1009">
        <v>15230999</v>
      </c>
      <c r="E728" s="1009">
        <v>15230459</v>
      </c>
      <c r="F728" s="1007" t="s">
        <v>4195</v>
      </c>
      <c r="O728" s="1007" t="s">
        <v>648</v>
      </c>
      <c r="P728" s="1007" t="s">
        <v>648</v>
      </c>
      <c r="S728" s="1008" t="s">
        <v>650</v>
      </c>
      <c r="T728" s="1008" t="s">
        <v>21</v>
      </c>
      <c r="U728" s="1008" t="s">
        <v>649</v>
      </c>
      <c r="V728" s="1008" t="s">
        <v>648</v>
      </c>
      <c r="W728" s="1008" t="s">
        <v>546</v>
      </c>
      <c r="X728" s="1008"/>
      <c r="Y728" s="1008"/>
      <c r="Z728" s="1008"/>
      <c r="AA728" s="1008"/>
      <c r="AB728" s="1008"/>
      <c r="AC728" s="1008"/>
      <c r="AD728" s="1008"/>
      <c r="AE728" s="1008"/>
      <c r="AF728" s="1008"/>
      <c r="AG728" s="1008"/>
      <c r="AH728" s="1008"/>
      <c r="AI728" s="1008"/>
    </row>
    <row r="729" spans="1:35">
      <c r="A729" s="1008">
        <v>27273</v>
      </c>
      <c r="C729" s="1008">
        <v>9</v>
      </c>
      <c r="D729" s="1009">
        <v>15230479</v>
      </c>
      <c r="E729" s="1009">
        <v>15230460</v>
      </c>
      <c r="F729" s="1007" t="s">
        <v>4194</v>
      </c>
      <c r="O729" s="1007" t="s">
        <v>648</v>
      </c>
      <c r="P729" s="1007" t="s">
        <v>648</v>
      </c>
      <c r="S729" s="1008" t="s">
        <v>650</v>
      </c>
      <c r="T729" s="1008" t="s">
        <v>675</v>
      </c>
      <c r="U729" s="1008" t="s">
        <v>649</v>
      </c>
      <c r="V729" s="1008" t="s">
        <v>648</v>
      </c>
      <c r="W729" s="1008" t="s">
        <v>546</v>
      </c>
      <c r="X729" s="1008"/>
      <c r="Y729" s="1008"/>
      <c r="Z729" s="1008"/>
      <c r="AA729" s="1008"/>
      <c r="AB729" s="1008"/>
      <c r="AC729" s="1008"/>
      <c r="AD729" s="1008"/>
      <c r="AE729" s="1008"/>
      <c r="AF729" s="1008"/>
      <c r="AG729" s="1008"/>
      <c r="AH729" s="1008"/>
      <c r="AI729" s="1008"/>
    </row>
    <row r="730" spans="1:35">
      <c r="A730" s="1008">
        <v>26769</v>
      </c>
      <c r="B730" s="1008">
        <v>136</v>
      </c>
      <c r="C730" s="1008">
        <v>10</v>
      </c>
      <c r="D730" s="1009">
        <v>15230479</v>
      </c>
      <c r="E730" s="1009">
        <v>15230461</v>
      </c>
      <c r="F730" s="1007" t="s">
        <v>4193</v>
      </c>
      <c r="G730" s="1007">
        <v>8</v>
      </c>
      <c r="H730" s="1010">
        <v>99999999</v>
      </c>
      <c r="I730" s="1009">
        <v>15230461</v>
      </c>
      <c r="J730" s="1007" t="s">
        <v>4193</v>
      </c>
      <c r="O730" s="1007" t="s">
        <v>648</v>
      </c>
      <c r="P730" s="1007" t="s">
        <v>648</v>
      </c>
      <c r="S730" s="1008" t="s">
        <v>650</v>
      </c>
      <c r="T730" s="1008" t="s">
        <v>654</v>
      </c>
      <c r="U730" s="1008" t="s">
        <v>649</v>
      </c>
      <c r="V730" s="1008" t="s">
        <v>648</v>
      </c>
      <c r="W730" s="1008" t="s">
        <v>546</v>
      </c>
      <c r="X730" s="1008" t="s">
        <v>670</v>
      </c>
      <c r="Y730" s="1008" t="s">
        <v>670</v>
      </c>
      <c r="Z730" s="1008" t="s">
        <v>670</v>
      </c>
      <c r="AA730" s="1008"/>
      <c r="AB730" s="1008" t="s">
        <v>670</v>
      </c>
      <c r="AC730" s="1008"/>
      <c r="AD730" s="1008"/>
      <c r="AE730" s="1008"/>
      <c r="AF730" s="1008" t="s">
        <v>670</v>
      </c>
      <c r="AG730" s="1008"/>
      <c r="AH730" s="1008"/>
      <c r="AI730" s="1008"/>
    </row>
    <row r="731" spans="1:35">
      <c r="A731" s="1008">
        <v>27274</v>
      </c>
      <c r="B731" s="1008">
        <v>6200</v>
      </c>
      <c r="C731" s="1008">
        <v>10</v>
      </c>
      <c r="D731" s="1009">
        <v>15230479</v>
      </c>
      <c r="E731" s="1009">
        <v>15230462</v>
      </c>
      <c r="F731" s="1007" t="s">
        <v>4192</v>
      </c>
      <c r="G731" s="1007" t="s">
        <v>648</v>
      </c>
      <c r="H731" s="1010">
        <v>99999999</v>
      </c>
      <c r="I731" s="1009">
        <v>15230462</v>
      </c>
      <c r="J731" s="1007" t="s">
        <v>4192</v>
      </c>
      <c r="O731" s="1007" t="s">
        <v>648</v>
      </c>
      <c r="P731" s="1007" t="s">
        <v>648</v>
      </c>
      <c r="S731" s="1008" t="s">
        <v>650</v>
      </c>
      <c r="T731" s="1008" t="s">
        <v>654</v>
      </c>
      <c r="U731" s="1008" t="s">
        <v>649</v>
      </c>
      <c r="V731" s="1008" t="s">
        <v>648</v>
      </c>
      <c r="W731" s="1008" t="s">
        <v>546</v>
      </c>
      <c r="X731" s="1008" t="s">
        <v>670</v>
      </c>
      <c r="Y731" s="1008" t="s">
        <v>670</v>
      </c>
      <c r="Z731" s="1008" t="s">
        <v>670</v>
      </c>
      <c r="AA731" s="1008"/>
      <c r="AB731" s="1008" t="s">
        <v>670</v>
      </c>
      <c r="AC731" s="1008"/>
      <c r="AD731" s="1008"/>
      <c r="AE731" s="1008"/>
      <c r="AF731" s="1008" t="s">
        <v>670</v>
      </c>
      <c r="AG731" s="1008"/>
      <c r="AH731" s="1008"/>
      <c r="AI731" s="1008"/>
    </row>
    <row r="732" spans="1:35">
      <c r="A732" s="1008">
        <v>27275</v>
      </c>
      <c r="B732" s="1008">
        <v>6201</v>
      </c>
      <c r="C732" s="1008">
        <v>10</v>
      </c>
      <c r="D732" s="1009">
        <v>15230479</v>
      </c>
      <c r="E732" s="1009">
        <v>15230463</v>
      </c>
      <c r="F732" s="1007" t="s">
        <v>4191</v>
      </c>
      <c r="G732" s="1007" t="s">
        <v>648</v>
      </c>
      <c r="H732" s="1010">
        <v>99999999</v>
      </c>
      <c r="I732" s="1009">
        <v>15230463</v>
      </c>
      <c r="J732" s="1007" t="s">
        <v>4191</v>
      </c>
      <c r="O732" s="1007" t="s">
        <v>648</v>
      </c>
      <c r="P732" s="1007" t="s">
        <v>648</v>
      </c>
      <c r="S732" s="1008" t="s">
        <v>650</v>
      </c>
      <c r="T732" s="1008" t="s">
        <v>654</v>
      </c>
      <c r="U732" s="1008" t="s">
        <v>649</v>
      </c>
      <c r="V732" s="1008" t="s">
        <v>648</v>
      </c>
      <c r="W732" s="1008" t="s">
        <v>546</v>
      </c>
      <c r="X732" s="1008" t="s">
        <v>670</v>
      </c>
      <c r="Y732" s="1008" t="s">
        <v>670</v>
      </c>
      <c r="Z732" s="1008" t="s">
        <v>670</v>
      </c>
      <c r="AA732" s="1008"/>
      <c r="AB732" s="1008" t="s">
        <v>670</v>
      </c>
      <c r="AC732" s="1008"/>
      <c r="AD732" s="1008"/>
      <c r="AE732" s="1008"/>
      <c r="AF732" s="1008" t="s">
        <v>670</v>
      </c>
      <c r="AG732" s="1008"/>
      <c r="AH732" s="1008"/>
      <c r="AI732" s="1008"/>
    </row>
    <row r="733" spans="1:35">
      <c r="A733" s="1008">
        <v>27276</v>
      </c>
      <c r="B733" s="1008">
        <v>6202</v>
      </c>
      <c r="C733" s="1008">
        <v>10</v>
      </c>
      <c r="D733" s="1009">
        <v>15230479</v>
      </c>
      <c r="E733" s="1009">
        <v>15230464</v>
      </c>
      <c r="F733" s="1007" t="s">
        <v>4190</v>
      </c>
      <c r="G733" s="1007" t="s">
        <v>648</v>
      </c>
      <c r="H733" s="1010">
        <v>99999999</v>
      </c>
      <c r="I733" s="1009">
        <v>15230464</v>
      </c>
      <c r="J733" s="1007" t="s">
        <v>4190</v>
      </c>
      <c r="O733" s="1007" t="s">
        <v>648</v>
      </c>
      <c r="P733" s="1007" t="s">
        <v>648</v>
      </c>
      <c r="S733" s="1008" t="s">
        <v>650</v>
      </c>
      <c r="T733" s="1008" t="s">
        <v>654</v>
      </c>
      <c r="U733" s="1008" t="s">
        <v>649</v>
      </c>
      <c r="V733" s="1008" t="s">
        <v>648</v>
      </c>
      <c r="W733" s="1008" t="s">
        <v>546</v>
      </c>
      <c r="X733" s="1008" t="s">
        <v>670</v>
      </c>
      <c r="Y733" s="1008" t="s">
        <v>670</v>
      </c>
      <c r="Z733" s="1008" t="s">
        <v>670</v>
      </c>
      <c r="AA733" s="1008"/>
      <c r="AB733" s="1008" t="s">
        <v>670</v>
      </c>
      <c r="AC733" s="1008"/>
      <c r="AD733" s="1008"/>
      <c r="AE733" s="1008"/>
      <c r="AF733" s="1008" t="s">
        <v>670</v>
      </c>
      <c r="AG733" s="1008"/>
      <c r="AH733" s="1008"/>
      <c r="AI733" s="1008"/>
    </row>
    <row r="734" spans="1:35">
      <c r="A734" s="1008">
        <v>27277</v>
      </c>
      <c r="C734" s="1008">
        <v>9</v>
      </c>
      <c r="D734" s="1009">
        <v>15230999</v>
      </c>
      <c r="E734" s="1009">
        <v>15230479</v>
      </c>
      <c r="F734" s="1007" t="s">
        <v>4189</v>
      </c>
      <c r="O734" s="1007" t="s">
        <v>648</v>
      </c>
      <c r="P734" s="1007" t="s">
        <v>648</v>
      </c>
      <c r="S734" s="1008" t="s">
        <v>650</v>
      </c>
      <c r="T734" s="1008" t="s">
        <v>21</v>
      </c>
      <c r="U734" s="1008" t="s">
        <v>649</v>
      </c>
      <c r="V734" s="1008" t="s">
        <v>648</v>
      </c>
      <c r="W734" s="1008" t="s">
        <v>546</v>
      </c>
      <c r="X734" s="1008"/>
      <c r="Y734" s="1008"/>
      <c r="Z734" s="1008"/>
      <c r="AA734" s="1008"/>
      <c r="AB734" s="1008"/>
      <c r="AC734" s="1008"/>
      <c r="AD734" s="1008"/>
      <c r="AE734" s="1008"/>
      <c r="AF734" s="1008"/>
      <c r="AG734" s="1008"/>
      <c r="AH734" s="1008"/>
      <c r="AI734" s="1008"/>
    </row>
    <row r="735" spans="1:35">
      <c r="A735" s="1008">
        <v>27278</v>
      </c>
      <c r="C735" s="1008">
        <v>9</v>
      </c>
      <c r="D735" s="1009">
        <v>15230499</v>
      </c>
      <c r="E735" s="1009">
        <v>15230480</v>
      </c>
      <c r="F735" s="1007" t="s">
        <v>4188</v>
      </c>
      <c r="O735" s="1007" t="s">
        <v>648</v>
      </c>
      <c r="P735" s="1007" t="s">
        <v>648</v>
      </c>
      <c r="S735" s="1008" t="s">
        <v>650</v>
      </c>
      <c r="T735" s="1008" t="s">
        <v>675</v>
      </c>
      <c r="U735" s="1008" t="s">
        <v>649</v>
      </c>
      <c r="V735" s="1008" t="s">
        <v>648</v>
      </c>
      <c r="W735" s="1008" t="s">
        <v>546</v>
      </c>
      <c r="X735" s="1008"/>
      <c r="Y735" s="1008"/>
      <c r="Z735" s="1008"/>
      <c r="AA735" s="1008"/>
      <c r="AB735" s="1008"/>
      <c r="AC735" s="1008"/>
      <c r="AD735" s="1008"/>
      <c r="AE735" s="1008"/>
      <c r="AF735" s="1008"/>
      <c r="AG735" s="1008"/>
      <c r="AH735" s="1008"/>
      <c r="AI735" s="1008"/>
    </row>
    <row r="736" spans="1:35">
      <c r="A736" s="1008">
        <v>27279</v>
      </c>
      <c r="B736" s="1008">
        <v>6203</v>
      </c>
      <c r="C736" s="1008">
        <v>10</v>
      </c>
      <c r="D736" s="1009">
        <v>15230499</v>
      </c>
      <c r="E736" s="1009">
        <v>15230481</v>
      </c>
      <c r="F736" s="1007" t="s">
        <v>4187</v>
      </c>
      <c r="G736" s="1007" t="s">
        <v>648</v>
      </c>
      <c r="H736" s="1010">
        <v>99999999</v>
      </c>
      <c r="I736" s="1009">
        <v>15230481</v>
      </c>
      <c r="J736" s="1007" t="s">
        <v>4187</v>
      </c>
      <c r="O736" s="1007" t="s">
        <v>648</v>
      </c>
      <c r="P736" s="1007" t="s">
        <v>648</v>
      </c>
      <c r="S736" s="1008" t="s">
        <v>650</v>
      </c>
      <c r="T736" s="1008" t="s">
        <v>654</v>
      </c>
      <c r="U736" s="1008" t="s">
        <v>649</v>
      </c>
      <c r="V736" s="1008" t="s">
        <v>648</v>
      </c>
      <c r="W736" s="1008" t="s">
        <v>546</v>
      </c>
      <c r="X736" s="1008" t="s">
        <v>670</v>
      </c>
      <c r="Y736" s="1008" t="s">
        <v>670</v>
      </c>
      <c r="Z736" s="1008" t="s">
        <v>670</v>
      </c>
      <c r="AA736" s="1008"/>
      <c r="AB736" s="1008" t="s">
        <v>670</v>
      </c>
      <c r="AC736" s="1008"/>
      <c r="AD736" s="1008"/>
      <c r="AE736" s="1008"/>
      <c r="AF736" s="1008" t="s">
        <v>670</v>
      </c>
      <c r="AG736" s="1008"/>
      <c r="AH736" s="1008"/>
      <c r="AI736" s="1008"/>
    </row>
    <row r="737" spans="1:35">
      <c r="A737" s="1008">
        <v>27280</v>
      </c>
      <c r="B737" s="1008">
        <v>6204</v>
      </c>
      <c r="C737" s="1008">
        <v>10</v>
      </c>
      <c r="D737" s="1009">
        <v>15230499</v>
      </c>
      <c r="E737" s="1009">
        <v>15230482</v>
      </c>
      <c r="F737" s="1007" t="s">
        <v>4186</v>
      </c>
      <c r="G737" s="1007" t="s">
        <v>648</v>
      </c>
      <c r="H737" s="1010">
        <v>99999999</v>
      </c>
      <c r="I737" s="1009">
        <v>15230482</v>
      </c>
      <c r="J737" s="1007" t="s">
        <v>4186</v>
      </c>
      <c r="O737" s="1007" t="s">
        <v>648</v>
      </c>
      <c r="P737" s="1007" t="s">
        <v>648</v>
      </c>
      <c r="S737" s="1008" t="s">
        <v>650</v>
      </c>
      <c r="T737" s="1008" t="s">
        <v>654</v>
      </c>
      <c r="U737" s="1008" t="s">
        <v>649</v>
      </c>
      <c r="V737" s="1008" t="s">
        <v>648</v>
      </c>
      <c r="W737" s="1008" t="s">
        <v>546</v>
      </c>
      <c r="X737" s="1008" t="s">
        <v>670</v>
      </c>
      <c r="Y737" s="1008" t="s">
        <v>670</v>
      </c>
      <c r="Z737" s="1008" t="s">
        <v>670</v>
      </c>
      <c r="AA737" s="1008"/>
      <c r="AB737" s="1008" t="s">
        <v>670</v>
      </c>
      <c r="AC737" s="1008"/>
      <c r="AD737" s="1008"/>
      <c r="AE737" s="1008"/>
      <c r="AF737" s="1008" t="s">
        <v>670</v>
      </c>
      <c r="AG737" s="1008"/>
      <c r="AH737" s="1008"/>
      <c r="AI737" s="1008"/>
    </row>
    <row r="738" spans="1:35">
      <c r="A738" s="1008">
        <v>27281</v>
      </c>
      <c r="B738" s="1008">
        <v>6205</v>
      </c>
      <c r="C738" s="1008">
        <v>10</v>
      </c>
      <c r="D738" s="1009">
        <v>15230499</v>
      </c>
      <c r="E738" s="1009">
        <v>15230483</v>
      </c>
      <c r="F738" s="1007" t="s">
        <v>4185</v>
      </c>
      <c r="G738" s="1007" t="s">
        <v>648</v>
      </c>
      <c r="H738" s="1010">
        <v>99999999</v>
      </c>
      <c r="I738" s="1009">
        <v>15230483</v>
      </c>
      <c r="J738" s="1007" t="s">
        <v>4185</v>
      </c>
      <c r="O738" s="1007" t="s">
        <v>648</v>
      </c>
      <c r="P738" s="1007" t="s">
        <v>648</v>
      </c>
      <c r="S738" s="1008" t="s">
        <v>650</v>
      </c>
      <c r="T738" s="1008" t="s">
        <v>654</v>
      </c>
      <c r="U738" s="1008" t="s">
        <v>649</v>
      </c>
      <c r="V738" s="1008" t="s">
        <v>648</v>
      </c>
      <c r="W738" s="1008" t="s">
        <v>546</v>
      </c>
      <c r="X738" s="1008" t="s">
        <v>670</v>
      </c>
      <c r="Y738" s="1008" t="s">
        <v>670</v>
      </c>
      <c r="Z738" s="1008" t="s">
        <v>670</v>
      </c>
      <c r="AA738" s="1008"/>
      <c r="AB738" s="1008" t="s">
        <v>670</v>
      </c>
      <c r="AC738" s="1008"/>
      <c r="AD738" s="1008"/>
      <c r="AE738" s="1008"/>
      <c r="AF738" s="1008" t="s">
        <v>670</v>
      </c>
      <c r="AG738" s="1008"/>
      <c r="AH738" s="1008"/>
      <c r="AI738" s="1008"/>
    </row>
    <row r="739" spans="1:35">
      <c r="A739" s="1008">
        <v>27282</v>
      </c>
      <c r="B739" s="1008">
        <v>6206</v>
      </c>
      <c r="C739" s="1008">
        <v>10</v>
      </c>
      <c r="D739" s="1009">
        <v>15230499</v>
      </c>
      <c r="E739" s="1009">
        <v>15230484</v>
      </c>
      <c r="F739" s="1007" t="s">
        <v>4184</v>
      </c>
      <c r="G739" s="1007" t="s">
        <v>648</v>
      </c>
      <c r="H739" s="1010">
        <v>99999999</v>
      </c>
      <c r="I739" s="1009">
        <v>15230484</v>
      </c>
      <c r="J739" s="1007" t="s">
        <v>4184</v>
      </c>
      <c r="O739" s="1007" t="s">
        <v>648</v>
      </c>
      <c r="P739" s="1007" t="s">
        <v>648</v>
      </c>
      <c r="S739" s="1008" t="s">
        <v>650</v>
      </c>
      <c r="T739" s="1008" t="s">
        <v>654</v>
      </c>
      <c r="U739" s="1008" t="s">
        <v>649</v>
      </c>
      <c r="V739" s="1008" t="s">
        <v>648</v>
      </c>
      <c r="W739" s="1008" t="s">
        <v>546</v>
      </c>
      <c r="X739" s="1008" t="s">
        <v>670</v>
      </c>
      <c r="Y739" s="1008" t="s">
        <v>670</v>
      </c>
      <c r="Z739" s="1008" t="s">
        <v>670</v>
      </c>
      <c r="AA739" s="1008"/>
      <c r="AB739" s="1008" t="s">
        <v>670</v>
      </c>
      <c r="AC739" s="1008"/>
      <c r="AD739" s="1008"/>
      <c r="AE739" s="1008"/>
      <c r="AF739" s="1008" t="s">
        <v>670</v>
      </c>
      <c r="AG739" s="1008"/>
      <c r="AH739" s="1008"/>
      <c r="AI739" s="1008"/>
    </row>
    <row r="740" spans="1:35">
      <c r="A740" s="1008">
        <v>27283</v>
      </c>
      <c r="B740" s="1008">
        <v>6207</v>
      </c>
      <c r="C740" s="1008">
        <v>10</v>
      </c>
      <c r="D740" s="1009">
        <v>15230499</v>
      </c>
      <c r="E740" s="1009">
        <v>15230485</v>
      </c>
      <c r="F740" s="1007" t="s">
        <v>4183</v>
      </c>
      <c r="G740" s="1007" t="s">
        <v>648</v>
      </c>
      <c r="H740" s="1010">
        <v>99999999</v>
      </c>
      <c r="I740" s="1009">
        <v>15230485</v>
      </c>
      <c r="J740" s="1007" t="s">
        <v>4183</v>
      </c>
      <c r="O740" s="1007" t="s">
        <v>648</v>
      </c>
      <c r="P740" s="1007" t="s">
        <v>648</v>
      </c>
      <c r="S740" s="1008" t="s">
        <v>650</v>
      </c>
      <c r="T740" s="1008" t="s">
        <v>654</v>
      </c>
      <c r="U740" s="1008" t="s">
        <v>649</v>
      </c>
      <c r="V740" s="1008" t="s">
        <v>648</v>
      </c>
      <c r="W740" s="1008" t="s">
        <v>546</v>
      </c>
      <c r="X740" s="1008" t="s">
        <v>670</v>
      </c>
      <c r="Y740" s="1008" t="s">
        <v>670</v>
      </c>
      <c r="Z740" s="1008" t="s">
        <v>670</v>
      </c>
      <c r="AA740" s="1008"/>
      <c r="AB740" s="1008" t="s">
        <v>670</v>
      </c>
      <c r="AC740" s="1008"/>
      <c r="AD740" s="1008"/>
      <c r="AE740" s="1008"/>
      <c r="AF740" s="1008" t="s">
        <v>670</v>
      </c>
      <c r="AG740" s="1008"/>
      <c r="AH740" s="1008"/>
      <c r="AI740" s="1008"/>
    </row>
    <row r="741" spans="1:35">
      <c r="A741" s="1008">
        <v>27284</v>
      </c>
      <c r="B741" s="1008">
        <v>6208</v>
      </c>
      <c r="C741" s="1008">
        <v>10</v>
      </c>
      <c r="D741" s="1009">
        <v>15230499</v>
      </c>
      <c r="E741" s="1009">
        <v>15230486</v>
      </c>
      <c r="F741" s="1007" t="s">
        <v>4182</v>
      </c>
      <c r="G741" s="1007" t="s">
        <v>648</v>
      </c>
      <c r="H741" s="1010">
        <v>99999999</v>
      </c>
      <c r="I741" s="1009">
        <v>15230486</v>
      </c>
      <c r="J741" s="1007" t="s">
        <v>4182</v>
      </c>
      <c r="O741" s="1007" t="s">
        <v>648</v>
      </c>
      <c r="P741" s="1007" t="s">
        <v>648</v>
      </c>
      <c r="S741" s="1008" t="s">
        <v>650</v>
      </c>
      <c r="T741" s="1008" t="s">
        <v>654</v>
      </c>
      <c r="U741" s="1008" t="s">
        <v>649</v>
      </c>
      <c r="V741" s="1008" t="s">
        <v>648</v>
      </c>
      <c r="W741" s="1008" t="s">
        <v>546</v>
      </c>
      <c r="X741" s="1008" t="s">
        <v>670</v>
      </c>
      <c r="Y741" s="1008" t="s">
        <v>670</v>
      </c>
      <c r="Z741" s="1008" t="s">
        <v>670</v>
      </c>
      <c r="AA741" s="1008"/>
      <c r="AB741" s="1008" t="s">
        <v>670</v>
      </c>
      <c r="AC741" s="1008"/>
      <c r="AD741" s="1008"/>
      <c r="AE741" s="1008"/>
      <c r="AF741" s="1008" t="s">
        <v>670</v>
      </c>
      <c r="AG741" s="1008"/>
      <c r="AH741" s="1008"/>
      <c r="AI741" s="1008"/>
    </row>
    <row r="742" spans="1:35">
      <c r="A742" s="1008">
        <v>27285</v>
      </c>
      <c r="C742" s="1008">
        <v>9</v>
      </c>
      <c r="D742" s="1009">
        <v>15230999</v>
      </c>
      <c r="E742" s="1009">
        <v>15230499</v>
      </c>
      <c r="F742" s="1007" t="s">
        <v>4181</v>
      </c>
      <c r="O742" s="1007" t="s">
        <v>648</v>
      </c>
      <c r="P742" s="1007" t="s">
        <v>648</v>
      </c>
      <c r="S742" s="1008" t="s">
        <v>650</v>
      </c>
      <c r="T742" s="1008" t="s">
        <v>21</v>
      </c>
      <c r="U742" s="1008" t="s">
        <v>649</v>
      </c>
      <c r="V742" s="1008" t="s">
        <v>648</v>
      </c>
      <c r="W742" s="1008" t="s">
        <v>546</v>
      </c>
      <c r="X742" s="1008"/>
      <c r="Y742" s="1008"/>
      <c r="Z742" s="1008"/>
      <c r="AA742" s="1008"/>
      <c r="AB742" s="1008"/>
      <c r="AC742" s="1008"/>
      <c r="AD742" s="1008"/>
      <c r="AE742" s="1008"/>
      <c r="AF742" s="1008"/>
      <c r="AG742" s="1008"/>
      <c r="AH742" s="1008"/>
      <c r="AI742" s="1008"/>
    </row>
    <row r="743" spans="1:35">
      <c r="A743" s="1008">
        <v>27286</v>
      </c>
      <c r="C743" s="1008">
        <v>9</v>
      </c>
      <c r="D743" s="1009">
        <v>15230519</v>
      </c>
      <c r="E743" s="1009">
        <v>15230500</v>
      </c>
      <c r="F743" s="1007" t="s">
        <v>4180</v>
      </c>
      <c r="O743" s="1007" t="s">
        <v>648</v>
      </c>
      <c r="P743" s="1007" t="s">
        <v>648</v>
      </c>
      <c r="S743" s="1008" t="s">
        <v>650</v>
      </c>
      <c r="T743" s="1008" t="s">
        <v>675</v>
      </c>
      <c r="U743" s="1008" t="s">
        <v>649</v>
      </c>
      <c r="V743" s="1008" t="s">
        <v>648</v>
      </c>
      <c r="W743" s="1008" t="s">
        <v>546</v>
      </c>
      <c r="X743" s="1008"/>
      <c r="Y743" s="1008"/>
      <c r="Z743" s="1008"/>
      <c r="AA743" s="1008"/>
      <c r="AB743" s="1008"/>
      <c r="AC743" s="1008"/>
      <c r="AD743" s="1008"/>
      <c r="AE743" s="1008"/>
      <c r="AF743" s="1008"/>
      <c r="AG743" s="1008"/>
      <c r="AH743" s="1008"/>
      <c r="AI743" s="1008"/>
    </row>
    <row r="744" spans="1:35">
      <c r="A744" s="1008">
        <v>27287</v>
      </c>
      <c r="B744" s="1008">
        <v>6209</v>
      </c>
      <c r="C744" s="1008">
        <v>10</v>
      </c>
      <c r="D744" s="1009">
        <v>15230519</v>
      </c>
      <c r="E744" s="1009">
        <v>15230501</v>
      </c>
      <c r="F744" s="1007" t="s">
        <v>4179</v>
      </c>
      <c r="G744" s="1007" t="s">
        <v>648</v>
      </c>
      <c r="H744" s="1010">
        <v>99999999</v>
      </c>
      <c r="I744" s="1009">
        <v>15230501</v>
      </c>
      <c r="J744" s="1007" t="s">
        <v>4179</v>
      </c>
      <c r="O744" s="1007" t="s">
        <v>648</v>
      </c>
      <c r="P744" s="1007" t="s">
        <v>648</v>
      </c>
      <c r="S744" s="1008" t="s">
        <v>650</v>
      </c>
      <c r="T744" s="1008" t="s">
        <v>654</v>
      </c>
      <c r="U744" s="1008" t="s">
        <v>649</v>
      </c>
      <c r="V744" s="1008" t="s">
        <v>648</v>
      </c>
      <c r="W744" s="1008" t="s">
        <v>546</v>
      </c>
      <c r="X744" s="1008" t="s">
        <v>670</v>
      </c>
      <c r="Y744" s="1008" t="s">
        <v>670</v>
      </c>
      <c r="Z744" s="1008" t="s">
        <v>670</v>
      </c>
      <c r="AA744" s="1008"/>
      <c r="AB744" s="1008" t="s">
        <v>670</v>
      </c>
      <c r="AC744" s="1008"/>
      <c r="AD744" s="1008"/>
      <c r="AE744" s="1008"/>
      <c r="AF744" s="1008" t="s">
        <v>670</v>
      </c>
      <c r="AG744" s="1008"/>
      <c r="AH744" s="1008"/>
      <c r="AI744" s="1008"/>
    </row>
    <row r="745" spans="1:35">
      <c r="A745" s="1008">
        <v>27288</v>
      </c>
      <c r="B745" s="1008">
        <v>6210</v>
      </c>
      <c r="C745" s="1008">
        <v>10</v>
      </c>
      <c r="D745" s="1009">
        <v>15230519</v>
      </c>
      <c r="E745" s="1009">
        <v>15230502</v>
      </c>
      <c r="F745" s="1007" t="s">
        <v>4178</v>
      </c>
      <c r="G745" s="1007" t="s">
        <v>648</v>
      </c>
      <c r="H745" s="1010">
        <v>99999999</v>
      </c>
      <c r="I745" s="1009">
        <v>15230502</v>
      </c>
      <c r="J745" s="1007" t="s">
        <v>4178</v>
      </c>
      <c r="O745" s="1007" t="s">
        <v>648</v>
      </c>
      <c r="P745" s="1007" t="s">
        <v>648</v>
      </c>
      <c r="S745" s="1008" t="s">
        <v>650</v>
      </c>
      <c r="T745" s="1008" t="s">
        <v>654</v>
      </c>
      <c r="U745" s="1008" t="s">
        <v>649</v>
      </c>
      <c r="V745" s="1008" t="s">
        <v>648</v>
      </c>
      <c r="W745" s="1008" t="s">
        <v>546</v>
      </c>
      <c r="X745" s="1008" t="s">
        <v>670</v>
      </c>
      <c r="Y745" s="1008" t="s">
        <v>670</v>
      </c>
      <c r="Z745" s="1008" t="s">
        <v>670</v>
      </c>
      <c r="AA745" s="1008"/>
      <c r="AB745" s="1008" t="s">
        <v>670</v>
      </c>
      <c r="AC745" s="1008"/>
      <c r="AD745" s="1008"/>
      <c r="AE745" s="1008"/>
      <c r="AF745" s="1008" t="s">
        <v>670</v>
      </c>
      <c r="AG745" s="1008"/>
      <c r="AH745" s="1008"/>
      <c r="AI745" s="1008"/>
    </row>
    <row r="746" spans="1:35">
      <c r="A746" s="1008">
        <v>27289</v>
      </c>
      <c r="B746" s="1008">
        <v>6211</v>
      </c>
      <c r="C746" s="1008">
        <v>10</v>
      </c>
      <c r="D746" s="1009">
        <v>15230519</v>
      </c>
      <c r="E746" s="1009">
        <v>15230503</v>
      </c>
      <c r="F746" s="1007" t="s">
        <v>4177</v>
      </c>
      <c r="G746" s="1007" t="s">
        <v>648</v>
      </c>
      <c r="H746" s="1010">
        <v>99999999</v>
      </c>
      <c r="I746" s="1009">
        <v>15230503</v>
      </c>
      <c r="J746" s="1007" t="s">
        <v>4177</v>
      </c>
      <c r="O746" s="1007" t="s">
        <v>648</v>
      </c>
      <c r="P746" s="1007" t="s">
        <v>648</v>
      </c>
      <c r="S746" s="1008" t="s">
        <v>650</v>
      </c>
      <c r="T746" s="1008" t="s">
        <v>654</v>
      </c>
      <c r="U746" s="1008" t="s">
        <v>649</v>
      </c>
      <c r="V746" s="1008" t="s">
        <v>648</v>
      </c>
      <c r="W746" s="1008" t="s">
        <v>546</v>
      </c>
      <c r="X746" s="1008" t="s">
        <v>670</v>
      </c>
      <c r="Y746" s="1008" t="s">
        <v>670</v>
      </c>
      <c r="Z746" s="1008" t="s">
        <v>670</v>
      </c>
      <c r="AA746" s="1008"/>
      <c r="AB746" s="1008" t="s">
        <v>670</v>
      </c>
      <c r="AC746" s="1008"/>
      <c r="AD746" s="1008"/>
      <c r="AE746" s="1008"/>
      <c r="AF746" s="1008" t="s">
        <v>670</v>
      </c>
      <c r="AG746" s="1008"/>
      <c r="AH746" s="1008"/>
      <c r="AI746" s="1008"/>
    </row>
    <row r="747" spans="1:35">
      <c r="A747" s="1008">
        <v>27290</v>
      </c>
      <c r="B747" s="1008">
        <v>6212</v>
      </c>
      <c r="C747" s="1008">
        <v>10</v>
      </c>
      <c r="D747" s="1009">
        <v>15230519</v>
      </c>
      <c r="E747" s="1009">
        <v>15230504</v>
      </c>
      <c r="F747" s="1007" t="s">
        <v>4176</v>
      </c>
      <c r="G747" s="1007" t="s">
        <v>648</v>
      </c>
      <c r="H747" s="1010">
        <v>99999999</v>
      </c>
      <c r="I747" s="1009">
        <v>15230504</v>
      </c>
      <c r="J747" s="1007" t="s">
        <v>4176</v>
      </c>
      <c r="O747" s="1007" t="s">
        <v>648</v>
      </c>
      <c r="P747" s="1007" t="s">
        <v>648</v>
      </c>
      <c r="S747" s="1008" t="s">
        <v>650</v>
      </c>
      <c r="T747" s="1008" t="s">
        <v>654</v>
      </c>
      <c r="U747" s="1008" t="s">
        <v>649</v>
      </c>
      <c r="V747" s="1008" t="s">
        <v>648</v>
      </c>
      <c r="W747" s="1008" t="s">
        <v>546</v>
      </c>
      <c r="X747" s="1008" t="s">
        <v>670</v>
      </c>
      <c r="Y747" s="1008" t="s">
        <v>670</v>
      </c>
      <c r="Z747" s="1008" t="s">
        <v>670</v>
      </c>
      <c r="AA747" s="1008"/>
      <c r="AB747" s="1008" t="s">
        <v>670</v>
      </c>
      <c r="AC747" s="1008"/>
      <c r="AD747" s="1008"/>
      <c r="AE747" s="1008"/>
      <c r="AF747" s="1008" t="s">
        <v>670</v>
      </c>
      <c r="AG747" s="1008"/>
      <c r="AH747" s="1008"/>
      <c r="AI747" s="1008"/>
    </row>
    <row r="748" spans="1:35">
      <c r="A748" s="1008">
        <v>27291</v>
      </c>
      <c r="B748" s="1008">
        <v>6213</v>
      </c>
      <c r="C748" s="1008">
        <v>10</v>
      </c>
      <c r="D748" s="1009">
        <v>15230519</v>
      </c>
      <c r="E748" s="1009">
        <v>15230505</v>
      </c>
      <c r="F748" s="1007" t="s">
        <v>4175</v>
      </c>
      <c r="G748" s="1007" t="s">
        <v>648</v>
      </c>
      <c r="H748" s="1010">
        <v>99999999</v>
      </c>
      <c r="I748" s="1009">
        <v>15230505</v>
      </c>
      <c r="J748" s="1007" t="s">
        <v>4175</v>
      </c>
      <c r="O748" s="1007" t="s">
        <v>648</v>
      </c>
      <c r="P748" s="1007" t="s">
        <v>648</v>
      </c>
      <c r="S748" s="1008" t="s">
        <v>650</v>
      </c>
      <c r="T748" s="1008" t="s">
        <v>654</v>
      </c>
      <c r="U748" s="1008" t="s">
        <v>649</v>
      </c>
      <c r="V748" s="1008" t="s">
        <v>648</v>
      </c>
      <c r="W748" s="1008" t="s">
        <v>546</v>
      </c>
      <c r="X748" s="1008" t="s">
        <v>670</v>
      </c>
      <c r="Y748" s="1008" t="s">
        <v>670</v>
      </c>
      <c r="Z748" s="1008" t="s">
        <v>670</v>
      </c>
      <c r="AA748" s="1008"/>
      <c r="AB748" s="1008" t="s">
        <v>670</v>
      </c>
      <c r="AC748" s="1008"/>
      <c r="AD748" s="1008"/>
      <c r="AE748" s="1008"/>
      <c r="AF748" s="1008" t="s">
        <v>670</v>
      </c>
      <c r="AG748" s="1008"/>
      <c r="AH748" s="1008"/>
      <c r="AI748" s="1008"/>
    </row>
    <row r="749" spans="1:35">
      <c r="A749" s="1008">
        <v>27292</v>
      </c>
      <c r="B749" s="1008">
        <v>6214</v>
      </c>
      <c r="C749" s="1008">
        <v>10</v>
      </c>
      <c r="D749" s="1009">
        <v>15230519</v>
      </c>
      <c r="E749" s="1009">
        <v>15230506</v>
      </c>
      <c r="F749" s="1007" t="s">
        <v>4174</v>
      </c>
      <c r="G749" s="1007" t="s">
        <v>648</v>
      </c>
      <c r="H749" s="1010">
        <v>99999999</v>
      </c>
      <c r="I749" s="1009">
        <v>15230506</v>
      </c>
      <c r="J749" s="1007" t="s">
        <v>4174</v>
      </c>
      <c r="O749" s="1007" t="s">
        <v>648</v>
      </c>
      <c r="P749" s="1007" t="s">
        <v>648</v>
      </c>
      <c r="S749" s="1008" t="s">
        <v>650</v>
      </c>
      <c r="T749" s="1008" t="s">
        <v>654</v>
      </c>
      <c r="U749" s="1008" t="s">
        <v>649</v>
      </c>
      <c r="V749" s="1008" t="s">
        <v>648</v>
      </c>
      <c r="W749" s="1008" t="s">
        <v>546</v>
      </c>
      <c r="X749" s="1008" t="s">
        <v>670</v>
      </c>
      <c r="Y749" s="1008" t="s">
        <v>670</v>
      </c>
      <c r="Z749" s="1008" t="s">
        <v>670</v>
      </c>
      <c r="AA749" s="1008"/>
      <c r="AB749" s="1008" t="s">
        <v>670</v>
      </c>
      <c r="AC749" s="1008"/>
      <c r="AD749" s="1008"/>
      <c r="AE749" s="1008"/>
      <c r="AF749" s="1008" t="s">
        <v>670</v>
      </c>
      <c r="AG749" s="1008"/>
      <c r="AH749" s="1008"/>
      <c r="AI749" s="1008"/>
    </row>
    <row r="750" spans="1:35">
      <c r="A750" s="1008">
        <v>27293</v>
      </c>
      <c r="C750" s="1008">
        <v>9</v>
      </c>
      <c r="D750" s="1009">
        <v>15230999</v>
      </c>
      <c r="E750" s="1009">
        <v>15230519</v>
      </c>
      <c r="F750" s="1007" t="s">
        <v>4173</v>
      </c>
      <c r="O750" s="1007" t="s">
        <v>648</v>
      </c>
      <c r="P750" s="1007" t="s">
        <v>648</v>
      </c>
      <c r="S750" s="1008" t="s">
        <v>650</v>
      </c>
      <c r="T750" s="1008" t="s">
        <v>21</v>
      </c>
      <c r="U750" s="1008" t="s">
        <v>649</v>
      </c>
      <c r="V750" s="1008" t="s">
        <v>648</v>
      </c>
      <c r="W750" s="1008" t="s">
        <v>546</v>
      </c>
      <c r="X750" s="1008"/>
      <c r="Y750" s="1008"/>
      <c r="Z750" s="1008"/>
      <c r="AA750" s="1008"/>
      <c r="AB750" s="1008"/>
      <c r="AC750" s="1008"/>
      <c r="AD750" s="1008"/>
      <c r="AE750" s="1008"/>
      <c r="AF750" s="1008"/>
      <c r="AG750" s="1008"/>
      <c r="AH750" s="1008"/>
      <c r="AI750" s="1008"/>
    </row>
    <row r="751" spans="1:35">
      <c r="A751" s="1008">
        <v>27294</v>
      </c>
      <c r="C751" s="1008">
        <v>9</v>
      </c>
      <c r="D751" s="1009">
        <v>15230539</v>
      </c>
      <c r="E751" s="1009">
        <v>15230520</v>
      </c>
      <c r="F751" s="1007" t="s">
        <v>4172</v>
      </c>
      <c r="O751" s="1007" t="s">
        <v>648</v>
      </c>
      <c r="P751" s="1007" t="s">
        <v>648</v>
      </c>
      <c r="S751" s="1008" t="s">
        <v>650</v>
      </c>
      <c r="T751" s="1008" t="s">
        <v>675</v>
      </c>
      <c r="U751" s="1008" t="s">
        <v>649</v>
      </c>
      <c r="V751" s="1008" t="s">
        <v>648</v>
      </c>
      <c r="W751" s="1008" t="s">
        <v>546</v>
      </c>
      <c r="X751" s="1008"/>
      <c r="Y751" s="1008"/>
      <c r="Z751" s="1008"/>
      <c r="AA751" s="1008"/>
      <c r="AB751" s="1008"/>
      <c r="AC751" s="1008"/>
      <c r="AD751" s="1008"/>
      <c r="AE751" s="1008"/>
      <c r="AF751" s="1008"/>
      <c r="AG751" s="1008"/>
      <c r="AH751" s="1008"/>
      <c r="AI751" s="1008"/>
    </row>
    <row r="752" spans="1:35">
      <c r="A752" s="1008">
        <v>27295</v>
      </c>
      <c r="B752" s="1008">
        <v>6215</v>
      </c>
      <c r="C752" s="1008">
        <v>10</v>
      </c>
      <c r="D752" s="1009">
        <v>15230539</v>
      </c>
      <c r="E752" s="1009">
        <v>15230521</v>
      </c>
      <c r="F752" s="1007" t="s">
        <v>4171</v>
      </c>
      <c r="G752" s="1007" t="s">
        <v>648</v>
      </c>
      <c r="H752" s="1010">
        <v>99999999</v>
      </c>
      <c r="I752" s="1009">
        <v>15230521</v>
      </c>
      <c r="J752" s="1007" t="s">
        <v>4171</v>
      </c>
      <c r="O752" s="1007" t="s">
        <v>648</v>
      </c>
      <c r="P752" s="1007" t="s">
        <v>648</v>
      </c>
      <c r="S752" s="1008" t="s">
        <v>650</v>
      </c>
      <c r="T752" s="1008" t="s">
        <v>654</v>
      </c>
      <c r="U752" s="1008" t="s">
        <v>649</v>
      </c>
      <c r="V752" s="1008" t="s">
        <v>648</v>
      </c>
      <c r="W752" s="1008" t="s">
        <v>546</v>
      </c>
      <c r="X752" s="1008" t="s">
        <v>670</v>
      </c>
      <c r="Y752" s="1008" t="s">
        <v>670</v>
      </c>
      <c r="Z752" s="1008" t="s">
        <v>670</v>
      </c>
      <c r="AA752" s="1008"/>
      <c r="AB752" s="1008" t="s">
        <v>670</v>
      </c>
      <c r="AC752" s="1008"/>
      <c r="AD752" s="1008"/>
      <c r="AE752" s="1008"/>
      <c r="AF752" s="1008" t="s">
        <v>670</v>
      </c>
      <c r="AG752" s="1008"/>
      <c r="AH752" s="1008"/>
      <c r="AI752" s="1008"/>
    </row>
    <row r="753" spans="1:35">
      <c r="A753" s="1008">
        <v>27296</v>
      </c>
      <c r="B753" s="1008">
        <v>6216</v>
      </c>
      <c r="C753" s="1008">
        <v>10</v>
      </c>
      <c r="D753" s="1009">
        <v>15230539</v>
      </c>
      <c r="E753" s="1009">
        <v>15230522</v>
      </c>
      <c r="F753" s="1007" t="s">
        <v>4170</v>
      </c>
      <c r="G753" s="1007" t="s">
        <v>648</v>
      </c>
      <c r="H753" s="1010">
        <v>99999999</v>
      </c>
      <c r="I753" s="1009">
        <v>15230522</v>
      </c>
      <c r="J753" s="1007" t="s">
        <v>4170</v>
      </c>
      <c r="O753" s="1007" t="s">
        <v>648</v>
      </c>
      <c r="P753" s="1007" t="s">
        <v>648</v>
      </c>
      <c r="S753" s="1008" t="s">
        <v>650</v>
      </c>
      <c r="T753" s="1008" t="s">
        <v>654</v>
      </c>
      <c r="U753" s="1008" t="s">
        <v>649</v>
      </c>
      <c r="V753" s="1008" t="s">
        <v>648</v>
      </c>
      <c r="W753" s="1008" t="s">
        <v>546</v>
      </c>
      <c r="X753" s="1008" t="s">
        <v>670</v>
      </c>
      <c r="Y753" s="1008" t="s">
        <v>670</v>
      </c>
      <c r="Z753" s="1008" t="s">
        <v>670</v>
      </c>
      <c r="AA753" s="1008"/>
      <c r="AB753" s="1008" t="s">
        <v>670</v>
      </c>
      <c r="AC753" s="1008"/>
      <c r="AD753" s="1008"/>
      <c r="AE753" s="1008"/>
      <c r="AF753" s="1008" t="s">
        <v>670</v>
      </c>
      <c r="AG753" s="1008"/>
      <c r="AH753" s="1008"/>
      <c r="AI753" s="1008"/>
    </row>
    <row r="754" spans="1:35">
      <c r="A754" s="1008">
        <v>27297</v>
      </c>
      <c r="B754" s="1008">
        <v>6217</v>
      </c>
      <c r="C754" s="1008">
        <v>10</v>
      </c>
      <c r="D754" s="1009">
        <v>15230539</v>
      </c>
      <c r="E754" s="1009">
        <v>15230523</v>
      </c>
      <c r="F754" s="1007" t="s">
        <v>4169</v>
      </c>
      <c r="G754" s="1007" t="s">
        <v>648</v>
      </c>
      <c r="H754" s="1010">
        <v>99999999</v>
      </c>
      <c r="I754" s="1009">
        <v>15230523</v>
      </c>
      <c r="J754" s="1007" t="s">
        <v>4169</v>
      </c>
      <c r="O754" s="1007" t="s">
        <v>648</v>
      </c>
      <c r="P754" s="1007" t="s">
        <v>648</v>
      </c>
      <c r="S754" s="1008" t="s">
        <v>650</v>
      </c>
      <c r="T754" s="1008" t="s">
        <v>654</v>
      </c>
      <c r="U754" s="1008" t="s">
        <v>649</v>
      </c>
      <c r="V754" s="1008" t="s">
        <v>648</v>
      </c>
      <c r="W754" s="1008" t="s">
        <v>546</v>
      </c>
      <c r="X754" s="1008" t="s">
        <v>670</v>
      </c>
      <c r="Y754" s="1008" t="s">
        <v>670</v>
      </c>
      <c r="Z754" s="1008" t="s">
        <v>670</v>
      </c>
      <c r="AA754" s="1008"/>
      <c r="AB754" s="1008" t="s">
        <v>670</v>
      </c>
      <c r="AC754" s="1008"/>
      <c r="AD754" s="1008"/>
      <c r="AE754" s="1008"/>
      <c r="AF754" s="1008" t="s">
        <v>670</v>
      </c>
      <c r="AG754" s="1008"/>
      <c r="AH754" s="1008"/>
      <c r="AI754" s="1008"/>
    </row>
    <row r="755" spans="1:35">
      <c r="A755" s="1008">
        <v>27298</v>
      </c>
      <c r="B755" s="1008">
        <v>6218</v>
      </c>
      <c r="C755" s="1008">
        <v>10</v>
      </c>
      <c r="D755" s="1009">
        <v>15230539</v>
      </c>
      <c r="E755" s="1009">
        <v>15230524</v>
      </c>
      <c r="F755" s="1007" t="s">
        <v>4168</v>
      </c>
      <c r="G755" s="1007" t="s">
        <v>648</v>
      </c>
      <c r="H755" s="1010">
        <v>99999999</v>
      </c>
      <c r="I755" s="1009">
        <v>15230524</v>
      </c>
      <c r="J755" s="1007" t="s">
        <v>4168</v>
      </c>
      <c r="O755" s="1007" t="s">
        <v>648</v>
      </c>
      <c r="P755" s="1007" t="s">
        <v>648</v>
      </c>
      <c r="S755" s="1008" t="s">
        <v>650</v>
      </c>
      <c r="T755" s="1008" t="s">
        <v>654</v>
      </c>
      <c r="U755" s="1008" t="s">
        <v>649</v>
      </c>
      <c r="V755" s="1008" t="s">
        <v>648</v>
      </c>
      <c r="W755" s="1008" t="s">
        <v>546</v>
      </c>
      <c r="X755" s="1008" t="s">
        <v>670</v>
      </c>
      <c r="Y755" s="1008" t="s">
        <v>670</v>
      </c>
      <c r="Z755" s="1008" t="s">
        <v>670</v>
      </c>
      <c r="AA755" s="1008"/>
      <c r="AB755" s="1008" t="s">
        <v>670</v>
      </c>
      <c r="AC755" s="1008"/>
      <c r="AD755" s="1008"/>
      <c r="AE755" s="1008"/>
      <c r="AF755" s="1008" t="s">
        <v>670</v>
      </c>
      <c r="AG755" s="1008"/>
      <c r="AH755" s="1008"/>
      <c r="AI755" s="1008"/>
    </row>
    <row r="756" spans="1:35">
      <c r="A756" s="1008">
        <v>27299</v>
      </c>
      <c r="B756" s="1008">
        <v>6219</v>
      </c>
      <c r="C756" s="1008">
        <v>10</v>
      </c>
      <c r="D756" s="1009">
        <v>15230539</v>
      </c>
      <c r="E756" s="1009">
        <v>15230525</v>
      </c>
      <c r="F756" s="1007" t="s">
        <v>4167</v>
      </c>
      <c r="G756" s="1007" t="s">
        <v>648</v>
      </c>
      <c r="H756" s="1010">
        <v>99999999</v>
      </c>
      <c r="I756" s="1009">
        <v>15230525</v>
      </c>
      <c r="J756" s="1007" t="s">
        <v>4167</v>
      </c>
      <c r="O756" s="1007" t="s">
        <v>648</v>
      </c>
      <c r="P756" s="1007" t="s">
        <v>648</v>
      </c>
      <c r="S756" s="1008" t="s">
        <v>650</v>
      </c>
      <c r="T756" s="1008" t="s">
        <v>654</v>
      </c>
      <c r="U756" s="1008" t="s">
        <v>649</v>
      </c>
      <c r="V756" s="1008" t="s">
        <v>648</v>
      </c>
      <c r="W756" s="1008" t="s">
        <v>546</v>
      </c>
      <c r="X756" s="1008" t="s">
        <v>670</v>
      </c>
      <c r="Y756" s="1008" t="s">
        <v>670</v>
      </c>
      <c r="Z756" s="1008" t="s">
        <v>670</v>
      </c>
      <c r="AA756" s="1008"/>
      <c r="AB756" s="1008" t="s">
        <v>670</v>
      </c>
      <c r="AC756" s="1008"/>
      <c r="AD756" s="1008"/>
      <c r="AE756" s="1008"/>
      <c r="AF756" s="1008" t="s">
        <v>670</v>
      </c>
      <c r="AG756" s="1008"/>
      <c r="AH756" s="1008"/>
      <c r="AI756" s="1008"/>
    </row>
    <row r="757" spans="1:35">
      <c r="A757" s="1008">
        <v>27300</v>
      </c>
      <c r="B757" s="1008">
        <v>6220</v>
      </c>
      <c r="C757" s="1008">
        <v>10</v>
      </c>
      <c r="D757" s="1009">
        <v>15230539</v>
      </c>
      <c r="E757" s="1009">
        <v>15230526</v>
      </c>
      <c r="F757" s="1007" t="s">
        <v>4166</v>
      </c>
      <c r="G757" s="1007" t="s">
        <v>648</v>
      </c>
      <c r="H757" s="1010">
        <v>99999999</v>
      </c>
      <c r="I757" s="1009">
        <v>15230526</v>
      </c>
      <c r="J757" s="1007" t="s">
        <v>4166</v>
      </c>
      <c r="O757" s="1007" t="s">
        <v>648</v>
      </c>
      <c r="P757" s="1007" t="s">
        <v>648</v>
      </c>
      <c r="S757" s="1008" t="s">
        <v>650</v>
      </c>
      <c r="T757" s="1008" t="s">
        <v>654</v>
      </c>
      <c r="U757" s="1008" t="s">
        <v>649</v>
      </c>
      <c r="V757" s="1008" t="s">
        <v>648</v>
      </c>
      <c r="W757" s="1008" t="s">
        <v>546</v>
      </c>
      <c r="X757" s="1008" t="s">
        <v>670</v>
      </c>
      <c r="Y757" s="1008" t="s">
        <v>670</v>
      </c>
      <c r="Z757" s="1008" t="s">
        <v>670</v>
      </c>
      <c r="AA757" s="1008"/>
      <c r="AB757" s="1008" t="s">
        <v>670</v>
      </c>
      <c r="AC757" s="1008"/>
      <c r="AD757" s="1008"/>
      <c r="AE757" s="1008"/>
      <c r="AF757" s="1008" t="s">
        <v>670</v>
      </c>
      <c r="AG757" s="1008"/>
      <c r="AH757" s="1008"/>
      <c r="AI757" s="1008"/>
    </row>
    <row r="758" spans="1:35">
      <c r="A758" s="1008">
        <v>27301</v>
      </c>
      <c r="C758" s="1008">
        <v>9</v>
      </c>
      <c r="D758" s="1009">
        <v>15230999</v>
      </c>
      <c r="E758" s="1009">
        <v>15230539</v>
      </c>
      <c r="F758" s="1007" t="s">
        <v>4165</v>
      </c>
      <c r="O758" s="1007" t="s">
        <v>648</v>
      </c>
      <c r="P758" s="1007" t="s">
        <v>648</v>
      </c>
      <c r="S758" s="1008" t="s">
        <v>650</v>
      </c>
      <c r="T758" s="1008" t="s">
        <v>21</v>
      </c>
      <c r="U758" s="1008" t="s">
        <v>649</v>
      </c>
      <c r="V758" s="1008" t="s">
        <v>648</v>
      </c>
      <c r="W758" s="1008" t="s">
        <v>546</v>
      </c>
      <c r="X758" s="1008"/>
      <c r="Y758" s="1008"/>
      <c r="Z758" s="1008"/>
      <c r="AA758" s="1008"/>
      <c r="AB758" s="1008"/>
      <c r="AC758" s="1008"/>
      <c r="AD758" s="1008"/>
      <c r="AE758" s="1008"/>
      <c r="AF758" s="1008"/>
      <c r="AG758" s="1008"/>
      <c r="AH758" s="1008"/>
      <c r="AI758" s="1008"/>
    </row>
    <row r="759" spans="1:35">
      <c r="A759" s="1008">
        <v>27302</v>
      </c>
      <c r="C759" s="1008">
        <v>9</v>
      </c>
      <c r="D759" s="1009">
        <v>15230559</v>
      </c>
      <c r="E759" s="1009">
        <v>15230540</v>
      </c>
      <c r="F759" s="1007" t="s">
        <v>4164</v>
      </c>
      <c r="O759" s="1007" t="s">
        <v>648</v>
      </c>
      <c r="P759" s="1007" t="s">
        <v>648</v>
      </c>
      <c r="S759" s="1008" t="s">
        <v>650</v>
      </c>
      <c r="T759" s="1008" t="s">
        <v>675</v>
      </c>
      <c r="U759" s="1008" t="s">
        <v>649</v>
      </c>
      <c r="V759" s="1008" t="s">
        <v>648</v>
      </c>
      <c r="W759" s="1008" t="s">
        <v>546</v>
      </c>
      <c r="X759" s="1008"/>
      <c r="Y759" s="1008"/>
      <c r="Z759" s="1008"/>
      <c r="AA759" s="1008"/>
      <c r="AB759" s="1008"/>
      <c r="AC759" s="1008"/>
      <c r="AD759" s="1008"/>
      <c r="AE759" s="1008"/>
      <c r="AF759" s="1008"/>
      <c r="AG759" s="1008"/>
      <c r="AH759" s="1008"/>
      <c r="AI759" s="1008"/>
    </row>
    <row r="760" spans="1:35">
      <c r="A760" s="1008">
        <v>27303</v>
      </c>
      <c r="B760" s="1008">
        <v>6221</v>
      </c>
      <c r="C760" s="1008">
        <v>10</v>
      </c>
      <c r="D760" s="1009">
        <v>15230559</v>
      </c>
      <c r="E760" s="1009">
        <v>15230541</v>
      </c>
      <c r="F760" s="1007" t="s">
        <v>4163</v>
      </c>
      <c r="G760" s="1007" t="s">
        <v>648</v>
      </c>
      <c r="H760" s="1010">
        <v>99999999</v>
      </c>
      <c r="I760" s="1009">
        <v>15230541</v>
      </c>
      <c r="J760" s="1007" t="s">
        <v>4163</v>
      </c>
      <c r="O760" s="1007" t="s">
        <v>648</v>
      </c>
      <c r="P760" s="1007" t="s">
        <v>648</v>
      </c>
      <c r="S760" s="1008" t="s">
        <v>650</v>
      </c>
      <c r="T760" s="1008" t="s">
        <v>654</v>
      </c>
      <c r="U760" s="1008" t="s">
        <v>649</v>
      </c>
      <c r="V760" s="1008" t="s">
        <v>648</v>
      </c>
      <c r="W760" s="1008" t="s">
        <v>546</v>
      </c>
      <c r="X760" s="1008" t="s">
        <v>670</v>
      </c>
      <c r="Y760" s="1008" t="s">
        <v>670</v>
      </c>
      <c r="Z760" s="1008" t="s">
        <v>670</v>
      </c>
      <c r="AA760" s="1008"/>
      <c r="AB760" s="1008" t="s">
        <v>670</v>
      </c>
      <c r="AC760" s="1008"/>
      <c r="AD760" s="1008"/>
      <c r="AE760" s="1008"/>
      <c r="AF760" s="1008" t="s">
        <v>670</v>
      </c>
      <c r="AG760" s="1008"/>
      <c r="AH760" s="1008"/>
      <c r="AI760" s="1008"/>
    </row>
    <row r="761" spans="1:35">
      <c r="A761" s="1008">
        <v>27304</v>
      </c>
      <c r="B761" s="1008">
        <v>6222</v>
      </c>
      <c r="C761" s="1008">
        <v>10</v>
      </c>
      <c r="D761" s="1009">
        <v>15230559</v>
      </c>
      <c r="E761" s="1009">
        <v>15230542</v>
      </c>
      <c r="F761" s="1007" t="s">
        <v>4162</v>
      </c>
      <c r="G761" s="1007" t="s">
        <v>648</v>
      </c>
      <c r="H761" s="1010">
        <v>99999999</v>
      </c>
      <c r="I761" s="1009">
        <v>15230542</v>
      </c>
      <c r="J761" s="1007" t="s">
        <v>4162</v>
      </c>
      <c r="O761" s="1007" t="s">
        <v>648</v>
      </c>
      <c r="P761" s="1007" t="s">
        <v>648</v>
      </c>
      <c r="S761" s="1008" t="s">
        <v>650</v>
      </c>
      <c r="T761" s="1008" t="s">
        <v>654</v>
      </c>
      <c r="U761" s="1008" t="s">
        <v>649</v>
      </c>
      <c r="V761" s="1008" t="s">
        <v>648</v>
      </c>
      <c r="W761" s="1008" t="s">
        <v>546</v>
      </c>
      <c r="X761" s="1008" t="s">
        <v>670</v>
      </c>
      <c r="Y761" s="1008" t="s">
        <v>670</v>
      </c>
      <c r="Z761" s="1008" t="s">
        <v>670</v>
      </c>
      <c r="AA761" s="1008"/>
      <c r="AB761" s="1008" t="s">
        <v>670</v>
      </c>
      <c r="AC761" s="1008"/>
      <c r="AD761" s="1008"/>
      <c r="AE761" s="1008"/>
      <c r="AF761" s="1008" t="s">
        <v>670</v>
      </c>
      <c r="AG761" s="1008"/>
      <c r="AH761" s="1008"/>
      <c r="AI761" s="1008"/>
    </row>
    <row r="762" spans="1:35">
      <c r="A762" s="1008">
        <v>27305</v>
      </c>
      <c r="B762" s="1008">
        <v>6223</v>
      </c>
      <c r="C762" s="1008">
        <v>10</v>
      </c>
      <c r="D762" s="1009">
        <v>15230559</v>
      </c>
      <c r="E762" s="1009">
        <v>15230543</v>
      </c>
      <c r="F762" s="1007" t="s">
        <v>4161</v>
      </c>
      <c r="G762" s="1007" t="s">
        <v>648</v>
      </c>
      <c r="H762" s="1010">
        <v>99999999</v>
      </c>
      <c r="I762" s="1009">
        <v>15230543</v>
      </c>
      <c r="J762" s="1007" t="s">
        <v>4161</v>
      </c>
      <c r="O762" s="1007" t="s">
        <v>648</v>
      </c>
      <c r="P762" s="1007" t="s">
        <v>648</v>
      </c>
      <c r="S762" s="1008" t="s">
        <v>650</v>
      </c>
      <c r="T762" s="1008" t="s">
        <v>654</v>
      </c>
      <c r="U762" s="1008" t="s">
        <v>649</v>
      </c>
      <c r="V762" s="1008" t="s">
        <v>648</v>
      </c>
      <c r="W762" s="1008" t="s">
        <v>546</v>
      </c>
      <c r="X762" s="1008" t="s">
        <v>670</v>
      </c>
      <c r="Y762" s="1008" t="s">
        <v>670</v>
      </c>
      <c r="Z762" s="1008" t="s">
        <v>670</v>
      </c>
      <c r="AA762" s="1008"/>
      <c r="AB762" s="1008" t="s">
        <v>670</v>
      </c>
      <c r="AC762" s="1008"/>
      <c r="AD762" s="1008"/>
      <c r="AE762" s="1008"/>
      <c r="AF762" s="1008" t="s">
        <v>670</v>
      </c>
      <c r="AG762" s="1008"/>
      <c r="AH762" s="1008"/>
      <c r="AI762" s="1008"/>
    </row>
    <row r="763" spans="1:35">
      <c r="A763" s="1008">
        <v>27306</v>
      </c>
      <c r="B763" s="1008">
        <v>6224</v>
      </c>
      <c r="C763" s="1008">
        <v>10</v>
      </c>
      <c r="D763" s="1009">
        <v>15230559</v>
      </c>
      <c r="E763" s="1009">
        <v>15230544</v>
      </c>
      <c r="F763" s="1007" t="s">
        <v>4160</v>
      </c>
      <c r="G763" s="1007" t="s">
        <v>648</v>
      </c>
      <c r="H763" s="1010">
        <v>99999999</v>
      </c>
      <c r="I763" s="1009">
        <v>15230544</v>
      </c>
      <c r="J763" s="1007" t="s">
        <v>4160</v>
      </c>
      <c r="O763" s="1007" t="s">
        <v>648</v>
      </c>
      <c r="P763" s="1007" t="s">
        <v>648</v>
      </c>
      <c r="S763" s="1008" t="s">
        <v>650</v>
      </c>
      <c r="T763" s="1008" t="s">
        <v>654</v>
      </c>
      <c r="U763" s="1008" t="s">
        <v>649</v>
      </c>
      <c r="V763" s="1008" t="s">
        <v>648</v>
      </c>
      <c r="W763" s="1008" t="s">
        <v>546</v>
      </c>
      <c r="X763" s="1008" t="s">
        <v>670</v>
      </c>
      <c r="Y763" s="1008" t="s">
        <v>670</v>
      </c>
      <c r="Z763" s="1008" t="s">
        <v>670</v>
      </c>
      <c r="AA763" s="1008"/>
      <c r="AB763" s="1008" t="s">
        <v>670</v>
      </c>
      <c r="AC763" s="1008"/>
      <c r="AD763" s="1008"/>
      <c r="AE763" s="1008"/>
      <c r="AF763" s="1008" t="s">
        <v>670</v>
      </c>
      <c r="AG763" s="1008"/>
      <c r="AH763" s="1008"/>
      <c r="AI763" s="1008"/>
    </row>
    <row r="764" spans="1:35">
      <c r="A764" s="1008">
        <v>27307</v>
      </c>
      <c r="B764" s="1008">
        <v>6225</v>
      </c>
      <c r="C764" s="1008">
        <v>10</v>
      </c>
      <c r="D764" s="1009">
        <v>15230559</v>
      </c>
      <c r="E764" s="1009">
        <v>15230545</v>
      </c>
      <c r="F764" s="1007" t="s">
        <v>4159</v>
      </c>
      <c r="G764" s="1007" t="s">
        <v>648</v>
      </c>
      <c r="H764" s="1010">
        <v>99999999</v>
      </c>
      <c r="I764" s="1009">
        <v>15230545</v>
      </c>
      <c r="J764" s="1007" t="s">
        <v>4159</v>
      </c>
      <c r="O764" s="1007" t="s">
        <v>648</v>
      </c>
      <c r="P764" s="1007" t="s">
        <v>648</v>
      </c>
      <c r="S764" s="1008" t="s">
        <v>650</v>
      </c>
      <c r="T764" s="1008" t="s">
        <v>654</v>
      </c>
      <c r="U764" s="1008" t="s">
        <v>649</v>
      </c>
      <c r="V764" s="1008" t="s">
        <v>648</v>
      </c>
      <c r="W764" s="1008" t="s">
        <v>546</v>
      </c>
      <c r="X764" s="1008" t="s">
        <v>670</v>
      </c>
      <c r="Y764" s="1008" t="s">
        <v>670</v>
      </c>
      <c r="Z764" s="1008" t="s">
        <v>670</v>
      </c>
      <c r="AA764" s="1008"/>
      <c r="AB764" s="1008" t="s">
        <v>670</v>
      </c>
      <c r="AC764" s="1008"/>
      <c r="AD764" s="1008"/>
      <c r="AE764" s="1008"/>
      <c r="AF764" s="1008" t="s">
        <v>670</v>
      </c>
      <c r="AG764" s="1008"/>
      <c r="AH764" s="1008"/>
      <c r="AI764" s="1008"/>
    </row>
    <row r="765" spans="1:35">
      <c r="A765" s="1008">
        <v>27308</v>
      </c>
      <c r="B765" s="1008">
        <v>6226</v>
      </c>
      <c r="C765" s="1008">
        <v>10</v>
      </c>
      <c r="D765" s="1009">
        <v>15230559</v>
      </c>
      <c r="E765" s="1009">
        <v>15230546</v>
      </c>
      <c r="F765" s="1007" t="s">
        <v>4158</v>
      </c>
      <c r="G765" s="1007" t="s">
        <v>648</v>
      </c>
      <c r="H765" s="1010">
        <v>99999999</v>
      </c>
      <c r="I765" s="1009">
        <v>15230546</v>
      </c>
      <c r="J765" s="1007" t="s">
        <v>4158</v>
      </c>
      <c r="O765" s="1007" t="s">
        <v>648</v>
      </c>
      <c r="P765" s="1007" t="s">
        <v>648</v>
      </c>
      <c r="S765" s="1008" t="s">
        <v>650</v>
      </c>
      <c r="T765" s="1008" t="s">
        <v>654</v>
      </c>
      <c r="U765" s="1008" t="s">
        <v>649</v>
      </c>
      <c r="V765" s="1008" t="s">
        <v>648</v>
      </c>
      <c r="W765" s="1008" t="s">
        <v>546</v>
      </c>
      <c r="X765" s="1008" t="s">
        <v>670</v>
      </c>
      <c r="Y765" s="1008" t="s">
        <v>670</v>
      </c>
      <c r="Z765" s="1008" t="s">
        <v>670</v>
      </c>
      <c r="AA765" s="1008"/>
      <c r="AB765" s="1008" t="s">
        <v>670</v>
      </c>
      <c r="AC765" s="1008"/>
      <c r="AD765" s="1008"/>
      <c r="AE765" s="1008"/>
      <c r="AF765" s="1008" t="s">
        <v>670</v>
      </c>
      <c r="AG765" s="1008"/>
      <c r="AH765" s="1008"/>
      <c r="AI765" s="1008"/>
    </row>
    <row r="766" spans="1:35">
      <c r="A766" s="1008">
        <v>27309</v>
      </c>
      <c r="C766" s="1008">
        <v>9</v>
      </c>
      <c r="D766" s="1009">
        <v>15230999</v>
      </c>
      <c r="E766" s="1009">
        <v>15230559</v>
      </c>
      <c r="F766" s="1007" t="s">
        <v>4157</v>
      </c>
      <c r="O766" s="1007" t="s">
        <v>648</v>
      </c>
      <c r="P766" s="1007" t="s">
        <v>648</v>
      </c>
      <c r="S766" s="1008" t="s">
        <v>650</v>
      </c>
      <c r="T766" s="1008" t="s">
        <v>21</v>
      </c>
      <c r="U766" s="1008" t="s">
        <v>649</v>
      </c>
      <c r="V766" s="1008" t="s">
        <v>648</v>
      </c>
      <c r="W766" s="1008" t="s">
        <v>546</v>
      </c>
      <c r="X766" s="1008"/>
      <c r="Y766" s="1008"/>
      <c r="Z766" s="1008"/>
      <c r="AA766" s="1008"/>
      <c r="AB766" s="1008"/>
      <c r="AC766" s="1008"/>
      <c r="AD766" s="1008"/>
      <c r="AE766" s="1008"/>
      <c r="AF766" s="1008"/>
      <c r="AG766" s="1008"/>
      <c r="AH766" s="1008"/>
      <c r="AI766" s="1008"/>
    </row>
    <row r="767" spans="1:35">
      <c r="A767" s="1008">
        <v>27310</v>
      </c>
      <c r="C767" s="1008">
        <v>9</v>
      </c>
      <c r="D767" s="1009">
        <v>15230599</v>
      </c>
      <c r="E767" s="1009">
        <v>15230560</v>
      </c>
      <c r="F767" s="1007" t="s">
        <v>4156</v>
      </c>
      <c r="O767" s="1007" t="s">
        <v>648</v>
      </c>
      <c r="P767" s="1007" t="s">
        <v>648</v>
      </c>
      <c r="S767" s="1008" t="s">
        <v>650</v>
      </c>
      <c r="T767" s="1008" t="s">
        <v>675</v>
      </c>
      <c r="U767" s="1008" t="s">
        <v>649</v>
      </c>
      <c r="V767" s="1008" t="s">
        <v>648</v>
      </c>
      <c r="W767" s="1008" t="s">
        <v>546</v>
      </c>
      <c r="X767" s="1008"/>
      <c r="Y767" s="1008"/>
      <c r="Z767" s="1008"/>
      <c r="AA767" s="1008"/>
      <c r="AB767" s="1008"/>
      <c r="AC767" s="1008"/>
      <c r="AD767" s="1008"/>
      <c r="AE767" s="1008"/>
      <c r="AF767" s="1008"/>
      <c r="AG767" s="1008"/>
      <c r="AH767" s="1008"/>
      <c r="AI767" s="1008"/>
    </row>
    <row r="768" spans="1:35">
      <c r="A768" s="1008">
        <v>27311</v>
      </c>
      <c r="B768" s="1008">
        <v>6227</v>
      </c>
      <c r="C768" s="1008">
        <v>10</v>
      </c>
      <c r="D768" s="1009">
        <v>15230599</v>
      </c>
      <c r="E768" s="1009">
        <v>15230561</v>
      </c>
      <c r="F768" s="1007" t="s">
        <v>4155</v>
      </c>
      <c r="G768" s="1007" t="s">
        <v>648</v>
      </c>
      <c r="H768" s="1010">
        <v>99999999</v>
      </c>
      <c r="I768" s="1009">
        <v>15230561</v>
      </c>
      <c r="J768" s="1007" t="s">
        <v>4155</v>
      </c>
      <c r="O768" s="1007" t="s">
        <v>648</v>
      </c>
      <c r="P768" s="1007" t="s">
        <v>648</v>
      </c>
      <c r="S768" s="1008" t="s">
        <v>650</v>
      </c>
      <c r="T768" s="1008" t="s">
        <v>654</v>
      </c>
      <c r="U768" s="1008" t="s">
        <v>649</v>
      </c>
      <c r="V768" s="1008" t="s">
        <v>648</v>
      </c>
      <c r="W768" s="1008" t="s">
        <v>546</v>
      </c>
      <c r="X768" s="1008" t="s">
        <v>670</v>
      </c>
      <c r="Y768" s="1008" t="s">
        <v>670</v>
      </c>
      <c r="Z768" s="1008" t="s">
        <v>670</v>
      </c>
      <c r="AA768" s="1008"/>
      <c r="AB768" s="1008" t="s">
        <v>670</v>
      </c>
      <c r="AC768" s="1008"/>
      <c r="AD768" s="1008"/>
      <c r="AE768" s="1008"/>
      <c r="AF768" s="1008" t="s">
        <v>670</v>
      </c>
      <c r="AG768" s="1008"/>
      <c r="AH768" s="1008"/>
      <c r="AI768" s="1008"/>
    </row>
    <row r="769" spans="1:35">
      <c r="A769" s="1008">
        <v>27312</v>
      </c>
      <c r="B769" s="1008">
        <v>6228</v>
      </c>
      <c r="C769" s="1008">
        <v>10</v>
      </c>
      <c r="D769" s="1009">
        <v>15230599</v>
      </c>
      <c r="E769" s="1009">
        <v>15230562</v>
      </c>
      <c r="F769" s="1007" t="s">
        <v>4154</v>
      </c>
      <c r="G769" s="1007" t="s">
        <v>648</v>
      </c>
      <c r="H769" s="1010">
        <v>99999999</v>
      </c>
      <c r="I769" s="1009">
        <v>15230562</v>
      </c>
      <c r="J769" s="1007" t="s">
        <v>4154</v>
      </c>
      <c r="O769" s="1007" t="s">
        <v>648</v>
      </c>
      <c r="P769" s="1007" t="s">
        <v>648</v>
      </c>
      <c r="S769" s="1008" t="s">
        <v>650</v>
      </c>
      <c r="T769" s="1008" t="s">
        <v>654</v>
      </c>
      <c r="U769" s="1008" t="s">
        <v>649</v>
      </c>
      <c r="V769" s="1008" t="s">
        <v>648</v>
      </c>
      <c r="W769" s="1008" t="s">
        <v>546</v>
      </c>
      <c r="X769" s="1008" t="s">
        <v>670</v>
      </c>
      <c r="Y769" s="1008" t="s">
        <v>670</v>
      </c>
      <c r="Z769" s="1008" t="s">
        <v>670</v>
      </c>
      <c r="AA769" s="1008"/>
      <c r="AB769" s="1008" t="s">
        <v>670</v>
      </c>
      <c r="AC769" s="1008"/>
      <c r="AD769" s="1008"/>
      <c r="AE769" s="1008"/>
      <c r="AF769" s="1008" t="s">
        <v>670</v>
      </c>
      <c r="AG769" s="1008"/>
      <c r="AH769" s="1008"/>
      <c r="AI769" s="1008"/>
    </row>
    <row r="770" spans="1:35">
      <c r="A770" s="1008">
        <v>27313</v>
      </c>
      <c r="B770" s="1008">
        <v>6229</v>
      </c>
      <c r="C770" s="1008">
        <v>10</v>
      </c>
      <c r="D770" s="1009">
        <v>15230599</v>
      </c>
      <c r="E770" s="1009">
        <v>15230563</v>
      </c>
      <c r="F770" s="1007" t="s">
        <v>4153</v>
      </c>
      <c r="G770" s="1007" t="s">
        <v>648</v>
      </c>
      <c r="H770" s="1010">
        <v>99999999</v>
      </c>
      <c r="I770" s="1009">
        <v>15230563</v>
      </c>
      <c r="J770" s="1007" t="s">
        <v>4153</v>
      </c>
      <c r="O770" s="1007" t="s">
        <v>648</v>
      </c>
      <c r="P770" s="1007" t="s">
        <v>648</v>
      </c>
      <c r="S770" s="1008" t="s">
        <v>650</v>
      </c>
      <c r="T770" s="1008" t="s">
        <v>654</v>
      </c>
      <c r="U770" s="1008" t="s">
        <v>649</v>
      </c>
      <c r="V770" s="1008" t="s">
        <v>648</v>
      </c>
      <c r="W770" s="1008" t="s">
        <v>546</v>
      </c>
      <c r="X770" s="1008" t="s">
        <v>670</v>
      </c>
      <c r="Y770" s="1008" t="s">
        <v>670</v>
      </c>
      <c r="Z770" s="1008" t="s">
        <v>670</v>
      </c>
      <c r="AA770" s="1008"/>
      <c r="AB770" s="1008" t="s">
        <v>670</v>
      </c>
      <c r="AC770" s="1008"/>
      <c r="AD770" s="1008"/>
      <c r="AE770" s="1008"/>
      <c r="AF770" s="1008" t="s">
        <v>670</v>
      </c>
      <c r="AG770" s="1008"/>
      <c r="AH770" s="1008"/>
      <c r="AI770" s="1008"/>
    </row>
    <row r="771" spans="1:35">
      <c r="A771" s="1008">
        <v>27314</v>
      </c>
      <c r="B771" s="1008">
        <v>6230</v>
      </c>
      <c r="C771" s="1008">
        <v>10</v>
      </c>
      <c r="D771" s="1009">
        <v>15230599</v>
      </c>
      <c r="E771" s="1009">
        <v>15230564</v>
      </c>
      <c r="F771" s="1007" t="s">
        <v>4152</v>
      </c>
      <c r="G771" s="1007" t="s">
        <v>648</v>
      </c>
      <c r="H771" s="1010">
        <v>99999999</v>
      </c>
      <c r="I771" s="1009">
        <v>15230564</v>
      </c>
      <c r="J771" s="1007" t="s">
        <v>4152</v>
      </c>
      <c r="O771" s="1007" t="s">
        <v>648</v>
      </c>
      <c r="P771" s="1007" t="s">
        <v>648</v>
      </c>
      <c r="S771" s="1008" t="s">
        <v>650</v>
      </c>
      <c r="T771" s="1008" t="s">
        <v>654</v>
      </c>
      <c r="U771" s="1008" t="s">
        <v>649</v>
      </c>
      <c r="V771" s="1008" t="s">
        <v>648</v>
      </c>
      <c r="W771" s="1008" t="s">
        <v>546</v>
      </c>
      <c r="X771" s="1008" t="s">
        <v>670</v>
      </c>
      <c r="Y771" s="1008" t="s">
        <v>670</v>
      </c>
      <c r="Z771" s="1008" t="s">
        <v>670</v>
      </c>
      <c r="AA771" s="1008"/>
      <c r="AB771" s="1008" t="s">
        <v>670</v>
      </c>
      <c r="AC771" s="1008"/>
      <c r="AD771" s="1008"/>
      <c r="AE771" s="1008"/>
      <c r="AF771" s="1008" t="s">
        <v>670</v>
      </c>
      <c r="AG771" s="1008"/>
      <c r="AH771" s="1008"/>
      <c r="AI771" s="1008"/>
    </row>
    <row r="772" spans="1:35">
      <c r="A772" s="1008">
        <v>27315</v>
      </c>
      <c r="B772" s="1008">
        <v>6231</v>
      </c>
      <c r="C772" s="1008">
        <v>10</v>
      </c>
      <c r="D772" s="1009">
        <v>15230599</v>
      </c>
      <c r="E772" s="1009">
        <v>15230565</v>
      </c>
      <c r="F772" s="1007" t="s">
        <v>4151</v>
      </c>
      <c r="G772" s="1007" t="s">
        <v>648</v>
      </c>
      <c r="H772" s="1010">
        <v>99999999</v>
      </c>
      <c r="I772" s="1009">
        <v>15230565</v>
      </c>
      <c r="J772" s="1007" t="s">
        <v>4151</v>
      </c>
      <c r="O772" s="1007" t="s">
        <v>648</v>
      </c>
      <c r="P772" s="1007" t="s">
        <v>648</v>
      </c>
      <c r="S772" s="1008" t="s">
        <v>650</v>
      </c>
      <c r="T772" s="1008" t="s">
        <v>654</v>
      </c>
      <c r="U772" s="1008" t="s">
        <v>649</v>
      </c>
      <c r="V772" s="1008" t="s">
        <v>648</v>
      </c>
      <c r="W772" s="1008" t="s">
        <v>546</v>
      </c>
      <c r="X772" s="1008" t="s">
        <v>670</v>
      </c>
      <c r="Y772" s="1008" t="s">
        <v>670</v>
      </c>
      <c r="Z772" s="1008" t="s">
        <v>670</v>
      </c>
      <c r="AA772" s="1008"/>
      <c r="AB772" s="1008" t="s">
        <v>670</v>
      </c>
      <c r="AC772" s="1008"/>
      <c r="AD772" s="1008"/>
      <c r="AE772" s="1008"/>
      <c r="AF772" s="1008" t="s">
        <v>670</v>
      </c>
      <c r="AG772" s="1008"/>
      <c r="AH772" s="1008"/>
      <c r="AI772" s="1008"/>
    </row>
    <row r="773" spans="1:35">
      <c r="A773" s="1008">
        <v>27316</v>
      </c>
      <c r="B773" s="1008">
        <v>6232</v>
      </c>
      <c r="C773" s="1008">
        <v>10</v>
      </c>
      <c r="D773" s="1009">
        <v>15230599</v>
      </c>
      <c r="E773" s="1009">
        <v>15230566</v>
      </c>
      <c r="F773" s="1007" t="s">
        <v>4150</v>
      </c>
      <c r="G773" s="1007" t="s">
        <v>648</v>
      </c>
      <c r="H773" s="1010">
        <v>99999999</v>
      </c>
      <c r="I773" s="1009">
        <v>15230566</v>
      </c>
      <c r="J773" s="1007" t="s">
        <v>4150</v>
      </c>
      <c r="O773" s="1007" t="s">
        <v>648</v>
      </c>
      <c r="P773" s="1007" t="s">
        <v>648</v>
      </c>
      <c r="S773" s="1008" t="s">
        <v>650</v>
      </c>
      <c r="T773" s="1008" t="s">
        <v>654</v>
      </c>
      <c r="U773" s="1008" t="s">
        <v>649</v>
      </c>
      <c r="V773" s="1008" t="s">
        <v>648</v>
      </c>
      <c r="W773" s="1008" t="s">
        <v>546</v>
      </c>
      <c r="X773" s="1008" t="s">
        <v>670</v>
      </c>
      <c r="Y773" s="1008" t="s">
        <v>670</v>
      </c>
      <c r="Z773" s="1008" t="s">
        <v>670</v>
      </c>
      <c r="AA773" s="1008"/>
      <c r="AB773" s="1008" t="s">
        <v>670</v>
      </c>
      <c r="AC773" s="1008"/>
      <c r="AD773" s="1008"/>
      <c r="AE773" s="1008"/>
      <c r="AF773" s="1008" t="s">
        <v>670</v>
      </c>
      <c r="AG773" s="1008"/>
      <c r="AH773" s="1008"/>
      <c r="AI773" s="1008"/>
    </row>
    <row r="774" spans="1:35">
      <c r="A774" s="1008">
        <v>27317</v>
      </c>
      <c r="B774" s="1008">
        <v>6233</v>
      </c>
      <c r="C774" s="1008">
        <v>10</v>
      </c>
      <c r="D774" s="1009">
        <v>15230599</v>
      </c>
      <c r="E774" s="1009">
        <v>15230570</v>
      </c>
      <c r="F774" s="1007" t="s">
        <v>4149</v>
      </c>
      <c r="G774" s="1007" t="s">
        <v>648</v>
      </c>
      <c r="H774" s="1010">
        <v>99999999</v>
      </c>
      <c r="I774" s="1009">
        <v>15230570</v>
      </c>
      <c r="J774" s="1007" t="s">
        <v>4149</v>
      </c>
      <c r="O774" s="1007" t="s">
        <v>648</v>
      </c>
      <c r="P774" s="1007" t="s">
        <v>648</v>
      </c>
      <c r="S774" s="1008" t="s">
        <v>650</v>
      </c>
      <c r="T774" s="1008" t="s">
        <v>654</v>
      </c>
      <c r="U774" s="1008" t="s">
        <v>649</v>
      </c>
      <c r="V774" s="1008" t="s">
        <v>648</v>
      </c>
      <c r="W774" s="1008" t="s">
        <v>546</v>
      </c>
      <c r="X774" s="1008" t="s">
        <v>670</v>
      </c>
      <c r="Y774" s="1008" t="s">
        <v>670</v>
      </c>
      <c r="Z774" s="1008" t="s">
        <v>670</v>
      </c>
      <c r="AA774" s="1008"/>
      <c r="AB774" s="1008" t="s">
        <v>670</v>
      </c>
      <c r="AC774" s="1008"/>
      <c r="AD774" s="1008"/>
      <c r="AE774" s="1008"/>
      <c r="AF774" s="1008" t="s">
        <v>670</v>
      </c>
      <c r="AG774" s="1008"/>
      <c r="AH774" s="1008"/>
      <c r="AI774" s="1008"/>
    </row>
    <row r="775" spans="1:35">
      <c r="A775" s="1008">
        <v>27318</v>
      </c>
      <c r="C775" s="1008">
        <v>9</v>
      </c>
      <c r="D775" s="1009">
        <v>15230999</v>
      </c>
      <c r="E775" s="1009">
        <v>15230599</v>
      </c>
      <c r="F775" s="1007" t="s">
        <v>4148</v>
      </c>
      <c r="O775" s="1007" t="s">
        <v>648</v>
      </c>
      <c r="P775" s="1007" t="s">
        <v>648</v>
      </c>
      <c r="S775" s="1008" t="s">
        <v>650</v>
      </c>
      <c r="T775" s="1008" t="s">
        <v>21</v>
      </c>
      <c r="U775" s="1008" t="s">
        <v>649</v>
      </c>
      <c r="V775" s="1008" t="s">
        <v>648</v>
      </c>
      <c r="W775" s="1008" t="s">
        <v>546</v>
      </c>
      <c r="X775" s="1008"/>
      <c r="Y775" s="1008"/>
      <c r="Z775" s="1008"/>
      <c r="AA775" s="1008"/>
      <c r="AB775" s="1008"/>
      <c r="AC775" s="1008"/>
      <c r="AD775" s="1008"/>
      <c r="AE775" s="1008"/>
      <c r="AF775" s="1008"/>
      <c r="AG775" s="1008"/>
      <c r="AH775" s="1008"/>
      <c r="AI775" s="1008"/>
    </row>
    <row r="776" spans="1:35">
      <c r="A776" s="1008">
        <v>27319</v>
      </c>
      <c r="C776" s="1008">
        <v>9</v>
      </c>
      <c r="D776" s="1009">
        <v>15230649</v>
      </c>
      <c r="E776" s="1009">
        <v>15230600</v>
      </c>
      <c r="F776" s="1007" t="s">
        <v>4147</v>
      </c>
      <c r="O776" s="1007" t="s">
        <v>648</v>
      </c>
      <c r="P776" s="1007" t="s">
        <v>648</v>
      </c>
      <c r="S776" s="1008" t="s">
        <v>650</v>
      </c>
      <c r="T776" s="1008" t="s">
        <v>675</v>
      </c>
      <c r="U776" s="1008" t="s">
        <v>649</v>
      </c>
      <c r="V776" s="1008" t="s">
        <v>648</v>
      </c>
      <c r="W776" s="1008" t="s">
        <v>546</v>
      </c>
      <c r="X776" s="1008"/>
      <c r="Y776" s="1008"/>
      <c r="Z776" s="1008"/>
      <c r="AA776" s="1008"/>
      <c r="AB776" s="1008"/>
      <c r="AC776" s="1008"/>
      <c r="AD776" s="1008"/>
      <c r="AE776" s="1008"/>
      <c r="AF776" s="1008"/>
      <c r="AG776" s="1008"/>
      <c r="AH776" s="1008"/>
      <c r="AI776" s="1008"/>
    </row>
    <row r="777" spans="1:35">
      <c r="A777" s="1008">
        <v>26770</v>
      </c>
      <c r="B777" s="1008">
        <v>114</v>
      </c>
      <c r="C777" s="1008">
        <v>10</v>
      </c>
      <c r="D777" s="1009">
        <v>15230649</v>
      </c>
      <c r="E777" s="1009">
        <v>15230601</v>
      </c>
      <c r="F777" s="1007" t="s">
        <v>4144</v>
      </c>
      <c r="G777" s="1007">
        <v>8</v>
      </c>
      <c r="H777" s="1010">
        <v>99999999</v>
      </c>
      <c r="I777" s="1009">
        <v>4114110</v>
      </c>
      <c r="J777" s="1007" t="s">
        <v>4146</v>
      </c>
      <c r="O777" s="1007" t="s">
        <v>648</v>
      </c>
      <c r="P777" s="1007" t="s">
        <v>648</v>
      </c>
      <c r="S777" s="1008" t="s">
        <v>650</v>
      </c>
      <c r="T777" s="1008" t="s">
        <v>654</v>
      </c>
      <c r="U777" s="1008" t="s">
        <v>649</v>
      </c>
      <c r="V777" s="1008" t="s">
        <v>648</v>
      </c>
      <c r="W777" s="1008" t="s">
        <v>546</v>
      </c>
      <c r="X777" s="1008"/>
      <c r="Y777" s="1008"/>
      <c r="Z777" s="1008"/>
      <c r="AA777" s="1008"/>
      <c r="AB777" s="1008"/>
      <c r="AC777" s="1008"/>
      <c r="AD777" s="1008"/>
      <c r="AE777" s="1008"/>
      <c r="AF777" s="1008"/>
      <c r="AG777" s="1008"/>
      <c r="AH777" s="1008"/>
      <c r="AI777" s="1008"/>
    </row>
    <row r="778" spans="1:35">
      <c r="A778" s="1008">
        <v>26770</v>
      </c>
      <c r="B778" s="1008">
        <v>121</v>
      </c>
      <c r="C778" s="1008">
        <v>10</v>
      </c>
      <c r="D778" s="1009">
        <v>15230649</v>
      </c>
      <c r="E778" s="1009">
        <v>15230601</v>
      </c>
      <c r="F778" s="1007" t="s">
        <v>4144</v>
      </c>
      <c r="G778" s="1007">
        <v>8</v>
      </c>
      <c r="H778" s="1010">
        <v>99999999</v>
      </c>
      <c r="I778" s="1009">
        <v>4114180</v>
      </c>
      <c r="J778" s="1007" t="s">
        <v>4145</v>
      </c>
      <c r="O778" s="1007" t="s">
        <v>648</v>
      </c>
      <c r="P778" s="1007" t="s">
        <v>648</v>
      </c>
      <c r="S778" s="1008" t="s">
        <v>650</v>
      </c>
      <c r="T778" s="1008" t="s">
        <v>654</v>
      </c>
      <c r="U778" s="1008" t="s">
        <v>649</v>
      </c>
      <c r="V778" s="1008" t="s">
        <v>648</v>
      </c>
      <c r="W778" s="1008" t="s">
        <v>546</v>
      </c>
      <c r="X778" s="1008"/>
      <c r="Y778" s="1008"/>
      <c r="Z778" s="1008"/>
      <c r="AA778" s="1008"/>
      <c r="AB778" s="1008"/>
      <c r="AC778" s="1008"/>
      <c r="AD778" s="1008"/>
      <c r="AE778" s="1008"/>
      <c r="AF778" s="1008"/>
      <c r="AG778" s="1008"/>
      <c r="AH778" s="1008"/>
      <c r="AI778" s="1008"/>
    </row>
    <row r="779" spans="1:35">
      <c r="A779" s="1008">
        <v>26770</v>
      </c>
      <c r="B779" s="1008">
        <v>137</v>
      </c>
      <c r="C779" s="1008">
        <v>10</v>
      </c>
      <c r="D779" s="1009">
        <v>15230649</v>
      </c>
      <c r="E779" s="1009">
        <v>15230601</v>
      </c>
      <c r="F779" s="1007" t="s">
        <v>4144</v>
      </c>
      <c r="G779" s="1007">
        <v>8</v>
      </c>
      <c r="H779" s="1010">
        <v>99999999</v>
      </c>
      <c r="I779" s="1009">
        <v>15230601</v>
      </c>
      <c r="J779" s="1007" t="s">
        <v>4144</v>
      </c>
      <c r="O779" s="1007" t="s">
        <v>648</v>
      </c>
      <c r="P779" s="1007" t="s">
        <v>648</v>
      </c>
      <c r="S779" s="1008" t="s">
        <v>650</v>
      </c>
      <c r="T779" s="1008" t="s">
        <v>654</v>
      </c>
      <c r="U779" s="1008" t="s">
        <v>649</v>
      </c>
      <c r="V779" s="1008" t="s">
        <v>648</v>
      </c>
      <c r="W779" s="1008" t="s">
        <v>546</v>
      </c>
      <c r="X779" s="1008" t="s">
        <v>670</v>
      </c>
      <c r="Y779" s="1008" t="s">
        <v>670</v>
      </c>
      <c r="Z779" s="1008" t="s">
        <v>670</v>
      </c>
      <c r="AA779" s="1008"/>
      <c r="AB779" s="1008" t="s">
        <v>670</v>
      </c>
      <c r="AC779" s="1008"/>
      <c r="AD779" s="1008" t="s">
        <v>670</v>
      </c>
      <c r="AE779" s="1008"/>
      <c r="AF779" s="1008" t="s">
        <v>670</v>
      </c>
      <c r="AG779" s="1008"/>
      <c r="AH779" s="1008"/>
      <c r="AI779" s="1008"/>
    </row>
    <row r="780" spans="1:35">
      <c r="A780" s="1008">
        <v>27320</v>
      </c>
      <c r="B780" s="1008">
        <v>6234</v>
      </c>
      <c r="C780" s="1008">
        <v>10</v>
      </c>
      <c r="D780" s="1009">
        <v>15230649</v>
      </c>
      <c r="E780" s="1009">
        <v>15230602</v>
      </c>
      <c r="F780" s="1007" t="s">
        <v>4143</v>
      </c>
      <c r="G780" s="1007" t="s">
        <v>648</v>
      </c>
      <c r="H780" s="1010">
        <v>99999999</v>
      </c>
      <c r="I780" s="1009">
        <v>15230602</v>
      </c>
      <c r="J780" s="1007" t="s">
        <v>4143</v>
      </c>
      <c r="O780" s="1007" t="s">
        <v>648</v>
      </c>
      <c r="P780" s="1007" t="s">
        <v>648</v>
      </c>
      <c r="S780" s="1008" t="s">
        <v>650</v>
      </c>
      <c r="T780" s="1008" t="s">
        <v>654</v>
      </c>
      <c r="U780" s="1008" t="s">
        <v>649</v>
      </c>
      <c r="V780" s="1008" t="s">
        <v>648</v>
      </c>
      <c r="W780" s="1008" t="s">
        <v>546</v>
      </c>
      <c r="X780" s="1008" t="s">
        <v>670</v>
      </c>
      <c r="Y780" s="1008" t="s">
        <v>670</v>
      </c>
      <c r="Z780" s="1008" t="s">
        <v>670</v>
      </c>
      <c r="AA780" s="1008"/>
      <c r="AB780" s="1008" t="s">
        <v>670</v>
      </c>
      <c r="AC780" s="1008"/>
      <c r="AD780" s="1008"/>
      <c r="AE780" s="1008"/>
      <c r="AF780" s="1008" t="s">
        <v>670</v>
      </c>
      <c r="AG780" s="1008"/>
      <c r="AH780" s="1008"/>
      <c r="AI780" s="1008"/>
    </row>
    <row r="781" spans="1:35">
      <c r="A781" s="1008">
        <v>27321</v>
      </c>
      <c r="B781" s="1008">
        <v>6235</v>
      </c>
      <c r="C781" s="1008">
        <v>10</v>
      </c>
      <c r="D781" s="1009">
        <v>15230649</v>
      </c>
      <c r="E781" s="1009">
        <v>15230603</v>
      </c>
      <c r="F781" s="1007" t="s">
        <v>4142</v>
      </c>
      <c r="G781" s="1007" t="s">
        <v>648</v>
      </c>
      <c r="H781" s="1010">
        <v>99999999</v>
      </c>
      <c r="I781" s="1009">
        <v>15230603</v>
      </c>
      <c r="J781" s="1007" t="s">
        <v>4142</v>
      </c>
      <c r="O781" s="1007" t="s">
        <v>648</v>
      </c>
      <c r="P781" s="1007" t="s">
        <v>648</v>
      </c>
      <c r="S781" s="1008" t="s">
        <v>650</v>
      </c>
      <c r="T781" s="1008" t="s">
        <v>654</v>
      </c>
      <c r="U781" s="1008" t="s">
        <v>649</v>
      </c>
      <c r="V781" s="1008" t="s">
        <v>648</v>
      </c>
      <c r="W781" s="1008" t="s">
        <v>546</v>
      </c>
      <c r="X781" s="1008" t="s">
        <v>670</v>
      </c>
      <c r="Y781" s="1008" t="s">
        <v>670</v>
      </c>
      <c r="Z781" s="1008" t="s">
        <v>670</v>
      </c>
      <c r="AA781" s="1008"/>
      <c r="AB781" s="1008" t="s">
        <v>670</v>
      </c>
      <c r="AC781" s="1008"/>
      <c r="AD781" s="1008"/>
      <c r="AE781" s="1008"/>
      <c r="AF781" s="1008" t="s">
        <v>670</v>
      </c>
      <c r="AG781" s="1008"/>
      <c r="AH781" s="1008"/>
      <c r="AI781" s="1008"/>
    </row>
    <row r="782" spans="1:35">
      <c r="A782" s="1008">
        <v>27322</v>
      </c>
      <c r="B782" s="1008">
        <v>6236</v>
      </c>
      <c r="C782" s="1008">
        <v>10</v>
      </c>
      <c r="D782" s="1009">
        <v>15230649</v>
      </c>
      <c r="E782" s="1009">
        <v>15230604</v>
      </c>
      <c r="F782" s="1007" t="s">
        <v>4141</v>
      </c>
      <c r="G782" s="1007" t="s">
        <v>648</v>
      </c>
      <c r="H782" s="1010">
        <v>99999999</v>
      </c>
      <c r="I782" s="1009">
        <v>15230604</v>
      </c>
      <c r="J782" s="1007" t="s">
        <v>4141</v>
      </c>
      <c r="O782" s="1007" t="s">
        <v>648</v>
      </c>
      <c r="P782" s="1007" t="s">
        <v>648</v>
      </c>
      <c r="S782" s="1008" t="s">
        <v>650</v>
      </c>
      <c r="T782" s="1008" t="s">
        <v>654</v>
      </c>
      <c r="U782" s="1008" t="s">
        <v>649</v>
      </c>
      <c r="V782" s="1008" t="s">
        <v>648</v>
      </c>
      <c r="W782" s="1008" t="s">
        <v>546</v>
      </c>
      <c r="X782" s="1008" t="s">
        <v>670</v>
      </c>
      <c r="Y782" s="1008" t="s">
        <v>670</v>
      </c>
      <c r="Z782" s="1008" t="s">
        <v>670</v>
      </c>
      <c r="AA782" s="1008"/>
      <c r="AB782" s="1008" t="s">
        <v>670</v>
      </c>
      <c r="AC782" s="1008"/>
      <c r="AD782" s="1008"/>
      <c r="AE782" s="1008"/>
      <c r="AF782" s="1008" t="s">
        <v>670</v>
      </c>
      <c r="AG782" s="1008"/>
      <c r="AH782" s="1008"/>
      <c r="AI782" s="1008"/>
    </row>
    <row r="783" spans="1:35">
      <c r="A783" s="1008">
        <v>27323</v>
      </c>
      <c r="B783" s="1008">
        <v>6237</v>
      </c>
      <c r="C783" s="1008">
        <v>10</v>
      </c>
      <c r="D783" s="1009">
        <v>15230649</v>
      </c>
      <c r="E783" s="1009">
        <v>15230605</v>
      </c>
      <c r="F783" s="1007" t="s">
        <v>4140</v>
      </c>
      <c r="G783" s="1007" t="s">
        <v>648</v>
      </c>
      <c r="H783" s="1010">
        <v>99999999</v>
      </c>
      <c r="I783" s="1009">
        <v>15230605</v>
      </c>
      <c r="J783" s="1007" t="s">
        <v>4140</v>
      </c>
      <c r="O783" s="1007" t="s">
        <v>648</v>
      </c>
      <c r="P783" s="1007" t="s">
        <v>648</v>
      </c>
      <c r="S783" s="1008" t="s">
        <v>650</v>
      </c>
      <c r="T783" s="1008" t="s">
        <v>654</v>
      </c>
      <c r="U783" s="1008" t="s">
        <v>649</v>
      </c>
      <c r="V783" s="1008" t="s">
        <v>648</v>
      </c>
      <c r="W783" s="1008" t="s">
        <v>546</v>
      </c>
      <c r="X783" s="1008" t="s">
        <v>670</v>
      </c>
      <c r="Y783" s="1008" t="s">
        <v>670</v>
      </c>
      <c r="Z783" s="1008" t="s">
        <v>670</v>
      </c>
      <c r="AA783" s="1008"/>
      <c r="AB783" s="1008" t="s">
        <v>670</v>
      </c>
      <c r="AC783" s="1008"/>
      <c r="AD783" s="1008"/>
      <c r="AE783" s="1008"/>
      <c r="AF783" s="1008" t="s">
        <v>670</v>
      </c>
      <c r="AG783" s="1008"/>
      <c r="AH783" s="1008"/>
      <c r="AI783" s="1008"/>
    </row>
    <row r="784" spans="1:35">
      <c r="A784" s="1008">
        <v>27324</v>
      </c>
      <c r="B784" s="1008">
        <v>6238</v>
      </c>
      <c r="C784" s="1008">
        <v>10</v>
      </c>
      <c r="D784" s="1009">
        <v>15230649</v>
      </c>
      <c r="E784" s="1009">
        <v>15230606</v>
      </c>
      <c r="F784" s="1007" t="s">
        <v>4139</v>
      </c>
      <c r="G784" s="1007" t="s">
        <v>648</v>
      </c>
      <c r="H784" s="1010">
        <v>99999999</v>
      </c>
      <c r="I784" s="1009">
        <v>15230606</v>
      </c>
      <c r="J784" s="1007" t="s">
        <v>4139</v>
      </c>
      <c r="O784" s="1007" t="s">
        <v>648</v>
      </c>
      <c r="P784" s="1007" t="s">
        <v>648</v>
      </c>
      <c r="S784" s="1008" t="s">
        <v>650</v>
      </c>
      <c r="T784" s="1008" t="s">
        <v>654</v>
      </c>
      <c r="U784" s="1008" t="s">
        <v>649</v>
      </c>
      <c r="V784" s="1008" t="s">
        <v>648</v>
      </c>
      <c r="W784" s="1008" t="s">
        <v>546</v>
      </c>
      <c r="X784" s="1008" t="s">
        <v>670</v>
      </c>
      <c r="Y784" s="1008" t="s">
        <v>670</v>
      </c>
      <c r="Z784" s="1008" t="s">
        <v>670</v>
      </c>
      <c r="AA784" s="1008"/>
      <c r="AB784" s="1008" t="s">
        <v>670</v>
      </c>
      <c r="AC784" s="1008"/>
      <c r="AD784" s="1008"/>
      <c r="AE784" s="1008"/>
      <c r="AF784" s="1008" t="s">
        <v>670</v>
      </c>
      <c r="AG784" s="1008"/>
      <c r="AH784" s="1008"/>
      <c r="AI784" s="1008"/>
    </row>
    <row r="785" spans="1:35">
      <c r="A785" s="1008">
        <v>27325</v>
      </c>
      <c r="B785" s="1008">
        <v>6239</v>
      </c>
      <c r="C785" s="1008">
        <v>10</v>
      </c>
      <c r="D785" s="1009">
        <v>15230649</v>
      </c>
      <c r="E785" s="1009">
        <v>15230607</v>
      </c>
      <c r="F785" s="1007" t="s">
        <v>4138</v>
      </c>
      <c r="G785" s="1007" t="s">
        <v>648</v>
      </c>
      <c r="H785" s="1010">
        <v>99999999</v>
      </c>
      <c r="I785" s="1009">
        <v>15230607</v>
      </c>
      <c r="J785" s="1007" t="s">
        <v>4138</v>
      </c>
      <c r="O785" s="1007" t="s">
        <v>648</v>
      </c>
      <c r="P785" s="1007" t="s">
        <v>648</v>
      </c>
      <c r="S785" s="1008" t="s">
        <v>650</v>
      </c>
      <c r="T785" s="1008" t="s">
        <v>654</v>
      </c>
      <c r="U785" s="1008" t="s">
        <v>649</v>
      </c>
      <c r="V785" s="1008" t="s">
        <v>648</v>
      </c>
      <c r="W785" s="1008" t="s">
        <v>546</v>
      </c>
      <c r="X785" s="1008" t="s">
        <v>670</v>
      </c>
      <c r="Y785" s="1008" t="s">
        <v>670</v>
      </c>
      <c r="Z785" s="1008" t="s">
        <v>670</v>
      </c>
      <c r="AA785" s="1008"/>
      <c r="AB785" s="1008" t="s">
        <v>670</v>
      </c>
      <c r="AC785" s="1008"/>
      <c r="AD785" s="1008"/>
      <c r="AE785" s="1008"/>
      <c r="AF785" s="1008" t="s">
        <v>670</v>
      </c>
      <c r="AG785" s="1008"/>
      <c r="AH785" s="1008"/>
      <c r="AI785" s="1008"/>
    </row>
    <row r="786" spans="1:35">
      <c r="A786" s="1008">
        <v>27667</v>
      </c>
      <c r="B786" s="1008">
        <v>6497</v>
      </c>
      <c r="C786" s="1008">
        <v>10</v>
      </c>
      <c r="D786" s="1009">
        <v>15230649</v>
      </c>
      <c r="E786" s="1009">
        <v>15230608</v>
      </c>
      <c r="F786" s="1007" t="s">
        <v>4137</v>
      </c>
      <c r="G786" s="1007">
        <v>8</v>
      </c>
      <c r="H786" s="1010">
        <v>99999999</v>
      </c>
      <c r="I786" s="1009">
        <v>15230608</v>
      </c>
      <c r="J786" s="1007" t="s">
        <v>4137</v>
      </c>
      <c r="O786" s="1007" t="s">
        <v>648</v>
      </c>
      <c r="P786" s="1007" t="s">
        <v>648</v>
      </c>
      <c r="S786" s="1008" t="s">
        <v>650</v>
      </c>
      <c r="T786" s="1008" t="s">
        <v>654</v>
      </c>
      <c r="U786" s="1008" t="s">
        <v>649</v>
      </c>
      <c r="V786" s="1008" t="s">
        <v>648</v>
      </c>
      <c r="W786" s="1008" t="s">
        <v>546</v>
      </c>
      <c r="X786" s="1008" t="s">
        <v>670</v>
      </c>
      <c r="Y786" s="1008" t="s">
        <v>670</v>
      </c>
      <c r="Z786" s="1008" t="s">
        <v>670</v>
      </c>
      <c r="AA786" s="1008"/>
      <c r="AB786" s="1008"/>
      <c r="AC786" s="1008"/>
      <c r="AD786" s="1008"/>
      <c r="AE786" s="1008"/>
      <c r="AF786" s="1008" t="s">
        <v>670</v>
      </c>
      <c r="AG786" s="1008"/>
      <c r="AH786" s="1008"/>
      <c r="AI786" s="1008"/>
    </row>
    <row r="787" spans="1:35">
      <c r="A787" s="1008">
        <v>27326</v>
      </c>
      <c r="C787" s="1008">
        <v>9</v>
      </c>
      <c r="D787" s="1009">
        <v>15230999</v>
      </c>
      <c r="E787" s="1009">
        <v>15230649</v>
      </c>
      <c r="F787" s="1007" t="s">
        <v>4136</v>
      </c>
      <c r="O787" s="1007" t="s">
        <v>648</v>
      </c>
      <c r="P787" s="1007" t="s">
        <v>648</v>
      </c>
      <c r="S787" s="1008" t="s">
        <v>650</v>
      </c>
      <c r="T787" s="1008" t="s">
        <v>21</v>
      </c>
      <c r="U787" s="1008" t="s">
        <v>649</v>
      </c>
      <c r="V787" s="1008" t="s">
        <v>648</v>
      </c>
      <c r="W787" s="1008" t="s">
        <v>546</v>
      </c>
      <c r="X787" s="1008"/>
      <c r="Y787" s="1008"/>
      <c r="Z787" s="1008"/>
      <c r="AA787" s="1008"/>
      <c r="AB787" s="1008"/>
      <c r="AC787" s="1008"/>
      <c r="AD787" s="1008"/>
      <c r="AE787" s="1008"/>
      <c r="AF787" s="1008"/>
      <c r="AG787" s="1008"/>
      <c r="AH787" s="1008"/>
      <c r="AI787" s="1008"/>
    </row>
    <row r="788" spans="1:35">
      <c r="A788" s="1008">
        <v>26752</v>
      </c>
      <c r="B788" s="1008">
        <v>118</v>
      </c>
      <c r="C788" s="1008">
        <v>9</v>
      </c>
      <c r="D788" s="1009">
        <v>15230999</v>
      </c>
      <c r="E788" s="1009">
        <v>15230650</v>
      </c>
      <c r="F788" s="1007" t="s">
        <v>4135</v>
      </c>
      <c r="G788" s="1007">
        <v>8</v>
      </c>
      <c r="H788" s="1010">
        <v>99999999</v>
      </c>
      <c r="I788" s="1009">
        <v>15230650</v>
      </c>
      <c r="J788" s="1007" t="s">
        <v>4134</v>
      </c>
      <c r="O788" s="1007" t="s">
        <v>648</v>
      </c>
      <c r="P788" s="1007" t="s">
        <v>648</v>
      </c>
      <c r="S788" s="1008" t="s">
        <v>650</v>
      </c>
      <c r="T788" s="1008" t="s">
        <v>654</v>
      </c>
      <c r="U788" s="1008" t="s">
        <v>649</v>
      </c>
      <c r="V788" s="1008" t="s">
        <v>648</v>
      </c>
      <c r="W788" s="1008" t="s">
        <v>546</v>
      </c>
      <c r="X788" s="1008" t="s">
        <v>670</v>
      </c>
      <c r="Y788" s="1008" t="s">
        <v>670</v>
      </c>
      <c r="Z788" s="1008" t="s">
        <v>670</v>
      </c>
      <c r="AA788" s="1008"/>
      <c r="AB788" s="1008" t="s">
        <v>670</v>
      </c>
      <c r="AC788" s="1008"/>
      <c r="AD788" s="1008"/>
      <c r="AE788" s="1008"/>
      <c r="AF788" s="1008" t="s">
        <v>670</v>
      </c>
      <c r="AG788" s="1008"/>
      <c r="AH788" s="1008"/>
      <c r="AI788" s="1008"/>
    </row>
    <row r="789" spans="1:35">
      <c r="A789" s="1008">
        <v>26753</v>
      </c>
      <c r="B789" s="1008">
        <v>119</v>
      </c>
      <c r="C789" s="1008">
        <v>9</v>
      </c>
      <c r="D789" s="1009">
        <v>15230999</v>
      </c>
      <c r="E789" s="1009">
        <v>15230651</v>
      </c>
      <c r="F789" s="1007" t="s">
        <v>4133</v>
      </c>
      <c r="G789" s="1007">
        <v>8</v>
      </c>
      <c r="H789" s="1010">
        <v>99999999</v>
      </c>
      <c r="I789" s="1009">
        <v>15230651</v>
      </c>
      <c r="J789" s="1007" t="s">
        <v>4132</v>
      </c>
      <c r="O789" s="1007" t="s">
        <v>648</v>
      </c>
      <c r="P789" s="1007" t="s">
        <v>648</v>
      </c>
      <c r="S789" s="1008" t="s">
        <v>650</v>
      </c>
      <c r="T789" s="1008" t="s">
        <v>654</v>
      </c>
      <c r="U789" s="1008" t="s">
        <v>649</v>
      </c>
      <c r="V789" s="1008" t="s">
        <v>648</v>
      </c>
      <c r="W789" s="1008" t="s">
        <v>546</v>
      </c>
      <c r="X789" s="1008" t="s">
        <v>670</v>
      </c>
      <c r="Y789" s="1008" t="s">
        <v>670</v>
      </c>
      <c r="Z789" s="1008" t="s">
        <v>670</v>
      </c>
      <c r="AA789" s="1008"/>
      <c r="AB789" s="1008" t="s">
        <v>670</v>
      </c>
      <c r="AC789" s="1008"/>
      <c r="AD789" s="1008"/>
      <c r="AE789" s="1008"/>
      <c r="AF789" s="1008" t="s">
        <v>670</v>
      </c>
      <c r="AG789" s="1008"/>
      <c r="AH789" s="1008"/>
      <c r="AI789" s="1008"/>
    </row>
    <row r="790" spans="1:35">
      <c r="A790" s="1008">
        <v>26749</v>
      </c>
      <c r="B790" s="1008">
        <v>115</v>
      </c>
      <c r="C790" s="1008">
        <v>9</v>
      </c>
      <c r="D790" s="1009">
        <v>15230999</v>
      </c>
      <c r="E790" s="1009">
        <v>15230652</v>
      </c>
      <c r="F790" s="1007" t="s">
        <v>4131</v>
      </c>
      <c r="G790" s="1007">
        <v>8</v>
      </c>
      <c r="H790" s="1010">
        <v>99999999</v>
      </c>
      <c r="I790" s="1009">
        <v>15230652</v>
      </c>
      <c r="J790" s="1007" t="s">
        <v>4130</v>
      </c>
      <c r="O790" s="1007" t="s">
        <v>648</v>
      </c>
      <c r="P790" s="1007" t="s">
        <v>648</v>
      </c>
      <c r="S790" s="1008" t="s">
        <v>650</v>
      </c>
      <c r="T790" s="1008" t="s">
        <v>654</v>
      </c>
      <c r="U790" s="1008" t="s">
        <v>649</v>
      </c>
      <c r="V790" s="1008" t="s">
        <v>648</v>
      </c>
      <c r="W790" s="1008" t="s">
        <v>546</v>
      </c>
      <c r="X790" s="1008" t="s">
        <v>670</v>
      </c>
      <c r="Y790" s="1008" t="s">
        <v>670</v>
      </c>
      <c r="Z790" s="1008" t="s">
        <v>670</v>
      </c>
      <c r="AA790" s="1008"/>
      <c r="AB790" s="1008" t="s">
        <v>670</v>
      </c>
      <c r="AC790" s="1008"/>
      <c r="AD790" s="1008"/>
      <c r="AE790" s="1008"/>
      <c r="AF790" s="1008" t="s">
        <v>670</v>
      </c>
      <c r="AG790" s="1008"/>
      <c r="AH790" s="1008"/>
      <c r="AI790" s="1008"/>
    </row>
    <row r="791" spans="1:35">
      <c r="A791" s="1008">
        <v>26750</v>
      </c>
      <c r="B791" s="1008">
        <v>116</v>
      </c>
      <c r="C791" s="1008">
        <v>9</v>
      </c>
      <c r="D791" s="1009">
        <v>15230999</v>
      </c>
      <c r="E791" s="1009">
        <v>15230653</v>
      </c>
      <c r="F791" s="1007" t="s">
        <v>4129</v>
      </c>
      <c r="G791" s="1007">
        <v>8</v>
      </c>
      <c r="H791" s="1010">
        <v>99999999</v>
      </c>
      <c r="I791" s="1009">
        <v>15230653</v>
      </c>
      <c r="J791" s="1007" t="s">
        <v>4128</v>
      </c>
      <c r="O791" s="1007" t="s">
        <v>648</v>
      </c>
      <c r="P791" s="1007" t="s">
        <v>648</v>
      </c>
      <c r="S791" s="1008" t="s">
        <v>650</v>
      </c>
      <c r="T791" s="1008" t="s">
        <v>654</v>
      </c>
      <c r="U791" s="1008" t="s">
        <v>649</v>
      </c>
      <c r="V791" s="1008" t="s">
        <v>648</v>
      </c>
      <c r="W791" s="1008" t="s">
        <v>546</v>
      </c>
      <c r="X791" s="1008" t="s">
        <v>670</v>
      </c>
      <c r="Y791" s="1008" t="s">
        <v>670</v>
      </c>
      <c r="Z791" s="1008" t="s">
        <v>670</v>
      </c>
      <c r="AA791" s="1008"/>
      <c r="AB791" s="1008" t="s">
        <v>670</v>
      </c>
      <c r="AC791" s="1008"/>
      <c r="AD791" s="1008"/>
      <c r="AE791" s="1008"/>
      <c r="AF791" s="1008" t="s">
        <v>670</v>
      </c>
      <c r="AG791" s="1008"/>
      <c r="AH791" s="1008"/>
      <c r="AI791" s="1008"/>
    </row>
    <row r="792" spans="1:35">
      <c r="A792" s="1008">
        <v>26766</v>
      </c>
      <c r="B792" s="1008">
        <v>133</v>
      </c>
      <c r="C792" s="1008">
        <v>9</v>
      </c>
      <c r="D792" s="1009">
        <v>15230999</v>
      </c>
      <c r="E792" s="1009">
        <v>15230654</v>
      </c>
      <c r="F792" s="1007" t="s">
        <v>4127</v>
      </c>
      <c r="G792" s="1007">
        <v>8</v>
      </c>
      <c r="H792" s="1010">
        <v>99999999</v>
      </c>
      <c r="I792" s="1009">
        <v>15230654</v>
      </c>
      <c r="J792" s="1007" t="s">
        <v>4126</v>
      </c>
      <c r="O792" s="1007" t="s">
        <v>648</v>
      </c>
      <c r="P792" s="1007" t="s">
        <v>648</v>
      </c>
      <c r="S792" s="1008" t="s">
        <v>650</v>
      </c>
      <c r="T792" s="1008" t="s">
        <v>654</v>
      </c>
      <c r="U792" s="1008" t="s">
        <v>649</v>
      </c>
      <c r="V792" s="1008" t="s">
        <v>648</v>
      </c>
      <c r="W792" s="1008" t="s">
        <v>546</v>
      </c>
      <c r="X792" s="1008" t="s">
        <v>670</v>
      </c>
      <c r="Y792" s="1008" t="s">
        <v>670</v>
      </c>
      <c r="Z792" s="1008" t="s">
        <v>670</v>
      </c>
      <c r="AA792" s="1008"/>
      <c r="AB792" s="1008" t="s">
        <v>670</v>
      </c>
      <c r="AC792" s="1008"/>
      <c r="AD792" s="1008"/>
      <c r="AE792" s="1008"/>
      <c r="AF792" s="1008" t="s">
        <v>670</v>
      </c>
      <c r="AG792" s="1008"/>
      <c r="AH792" s="1008"/>
      <c r="AI792" s="1008"/>
    </row>
    <row r="793" spans="1:35">
      <c r="A793" s="1008">
        <v>26768</v>
      </c>
      <c r="B793" s="1008">
        <v>135</v>
      </c>
      <c r="C793" s="1008">
        <v>9</v>
      </c>
      <c r="D793" s="1009">
        <v>15230999</v>
      </c>
      <c r="E793" s="1009">
        <v>15230655</v>
      </c>
      <c r="F793" s="1007" t="s">
        <v>4125</v>
      </c>
      <c r="G793" s="1007">
        <v>8</v>
      </c>
      <c r="H793" s="1010">
        <v>99999999</v>
      </c>
      <c r="I793" s="1009">
        <v>15230655</v>
      </c>
      <c r="J793" s="1007" t="s">
        <v>4124</v>
      </c>
      <c r="O793" s="1007" t="s">
        <v>648</v>
      </c>
      <c r="P793" s="1007" t="s">
        <v>648</v>
      </c>
      <c r="S793" s="1008" t="s">
        <v>650</v>
      </c>
      <c r="T793" s="1008" t="s">
        <v>654</v>
      </c>
      <c r="U793" s="1008" t="s">
        <v>649</v>
      </c>
      <c r="V793" s="1008" t="s">
        <v>648</v>
      </c>
      <c r="W793" s="1008" t="s">
        <v>546</v>
      </c>
      <c r="X793" s="1008" t="s">
        <v>670</v>
      </c>
      <c r="Y793" s="1008" t="s">
        <v>670</v>
      </c>
      <c r="Z793" s="1008" t="s">
        <v>670</v>
      </c>
      <c r="AA793" s="1008"/>
      <c r="AB793" s="1008" t="s">
        <v>670</v>
      </c>
      <c r="AC793" s="1008"/>
      <c r="AD793" s="1008"/>
      <c r="AE793" s="1008"/>
      <c r="AF793" s="1008" t="s">
        <v>670</v>
      </c>
      <c r="AG793" s="1008"/>
      <c r="AH793" s="1008"/>
      <c r="AI793" s="1008"/>
    </row>
    <row r="794" spans="1:35">
      <c r="A794" s="1008">
        <v>26773</v>
      </c>
      <c r="B794" s="1008">
        <v>140</v>
      </c>
      <c r="C794" s="1008">
        <v>9</v>
      </c>
      <c r="D794" s="1009">
        <v>15230999</v>
      </c>
      <c r="E794" s="1009">
        <v>15230656</v>
      </c>
      <c r="F794" s="1007" t="s">
        <v>4123</v>
      </c>
      <c r="G794" s="1007">
        <v>8</v>
      </c>
      <c r="H794" s="1010">
        <v>99999999</v>
      </c>
      <c r="I794" s="1009">
        <v>15230656</v>
      </c>
      <c r="J794" s="1007" t="s">
        <v>4122</v>
      </c>
      <c r="O794" s="1007" t="s">
        <v>648</v>
      </c>
      <c r="P794" s="1007" t="s">
        <v>648</v>
      </c>
      <c r="S794" s="1008" t="s">
        <v>650</v>
      </c>
      <c r="T794" s="1008" t="s">
        <v>654</v>
      </c>
      <c r="U794" s="1008" t="s">
        <v>649</v>
      </c>
      <c r="V794" s="1008" t="s">
        <v>648</v>
      </c>
      <c r="W794" s="1008" t="s">
        <v>546</v>
      </c>
      <c r="X794" s="1008" t="s">
        <v>670</v>
      </c>
      <c r="Y794" s="1008" t="s">
        <v>670</v>
      </c>
      <c r="Z794" s="1008" t="s">
        <v>670</v>
      </c>
      <c r="AA794" s="1008"/>
      <c r="AB794" s="1008" t="s">
        <v>670</v>
      </c>
      <c r="AC794" s="1008"/>
      <c r="AD794" s="1008"/>
      <c r="AE794" s="1008"/>
      <c r="AF794" s="1008" t="s">
        <v>670</v>
      </c>
      <c r="AG794" s="1008"/>
      <c r="AH794" s="1008"/>
      <c r="AI794" s="1008"/>
    </row>
    <row r="795" spans="1:35">
      <c r="A795" s="1008">
        <v>27564</v>
      </c>
      <c r="B795" s="1008">
        <v>6414</v>
      </c>
      <c r="C795" s="1008">
        <v>9</v>
      </c>
      <c r="D795" s="1009">
        <v>15230999</v>
      </c>
      <c r="E795" s="1009">
        <v>15230657</v>
      </c>
      <c r="F795" s="1007" t="s">
        <v>4121</v>
      </c>
      <c r="G795" s="1007">
        <v>8</v>
      </c>
      <c r="H795" s="1010">
        <v>99999999</v>
      </c>
      <c r="I795" s="1009">
        <v>15230657</v>
      </c>
      <c r="J795" s="1007" t="s">
        <v>4120</v>
      </c>
      <c r="O795" s="1007" t="s">
        <v>648</v>
      </c>
      <c r="P795" s="1007" t="s">
        <v>648</v>
      </c>
      <c r="S795" s="1008" t="s">
        <v>650</v>
      </c>
      <c r="T795" s="1008" t="s">
        <v>654</v>
      </c>
      <c r="U795" s="1008" t="s">
        <v>649</v>
      </c>
      <c r="V795" s="1008" t="s">
        <v>648</v>
      </c>
      <c r="W795" s="1008" t="s">
        <v>546</v>
      </c>
      <c r="X795" s="1008" t="s">
        <v>670</v>
      </c>
      <c r="Y795" s="1008" t="s">
        <v>670</v>
      </c>
      <c r="Z795" s="1008" t="s">
        <v>670</v>
      </c>
      <c r="AA795" s="1008"/>
      <c r="AB795" s="1008" t="s">
        <v>670</v>
      </c>
      <c r="AC795" s="1008"/>
      <c r="AD795" s="1008"/>
      <c r="AE795" s="1008"/>
      <c r="AF795" s="1008" t="s">
        <v>670</v>
      </c>
      <c r="AG795" s="1008"/>
      <c r="AH795" s="1008"/>
      <c r="AI795" s="1008"/>
    </row>
    <row r="796" spans="1:35">
      <c r="A796" s="1008">
        <v>27816</v>
      </c>
      <c r="B796" s="1008">
        <v>6627</v>
      </c>
      <c r="C796" s="1008">
        <v>9</v>
      </c>
      <c r="D796" s="1009">
        <v>15230999</v>
      </c>
      <c r="E796" s="1009">
        <v>15230658</v>
      </c>
      <c r="F796" s="1007" t="s">
        <v>4119</v>
      </c>
      <c r="G796" s="1007">
        <v>8</v>
      </c>
      <c r="H796" s="1010">
        <v>99999999</v>
      </c>
      <c r="I796" s="1009">
        <v>15230658</v>
      </c>
      <c r="J796" s="1007" t="s">
        <v>4119</v>
      </c>
      <c r="O796" s="1007" t="s">
        <v>648</v>
      </c>
      <c r="P796" s="1007" t="s">
        <v>648</v>
      </c>
      <c r="S796" s="1008" t="s">
        <v>650</v>
      </c>
      <c r="T796" s="1008" t="s">
        <v>654</v>
      </c>
      <c r="U796" s="1008" t="s">
        <v>649</v>
      </c>
      <c r="V796" s="1008" t="s">
        <v>648</v>
      </c>
      <c r="W796" s="1008" t="s">
        <v>546</v>
      </c>
      <c r="X796" s="1008" t="s">
        <v>670</v>
      </c>
      <c r="Y796" s="1008" t="s">
        <v>670</v>
      </c>
      <c r="Z796" s="1008" t="s">
        <v>670</v>
      </c>
      <c r="AA796" s="1008"/>
      <c r="AB796" s="1008" t="s">
        <v>670</v>
      </c>
      <c r="AC796" s="1008"/>
      <c r="AD796" s="1008"/>
      <c r="AE796" s="1008"/>
      <c r="AF796" s="1008" t="s">
        <v>670</v>
      </c>
      <c r="AG796" s="1008"/>
      <c r="AH796" s="1008"/>
      <c r="AI796" s="1008"/>
    </row>
    <row r="797" spans="1:35">
      <c r="A797" s="1008">
        <v>27742</v>
      </c>
      <c r="C797" s="1008">
        <v>9</v>
      </c>
      <c r="D797" s="1009">
        <v>15230679</v>
      </c>
      <c r="E797" s="1009">
        <v>15230670</v>
      </c>
      <c r="F797" s="1007" t="s">
        <v>4118</v>
      </c>
      <c r="O797" s="1007" t="s">
        <v>648</v>
      </c>
      <c r="P797" s="1007" t="s">
        <v>648</v>
      </c>
      <c r="S797" s="1008" t="s">
        <v>650</v>
      </c>
      <c r="T797" s="1008" t="s">
        <v>675</v>
      </c>
      <c r="U797" s="1008" t="s">
        <v>649</v>
      </c>
      <c r="V797" s="1008" t="s">
        <v>648</v>
      </c>
      <c r="W797" s="1008" t="s">
        <v>546</v>
      </c>
      <c r="X797" s="1008"/>
      <c r="Y797" s="1008"/>
      <c r="Z797" s="1008"/>
      <c r="AA797" s="1008"/>
      <c r="AB797" s="1008"/>
      <c r="AC797" s="1008"/>
      <c r="AD797" s="1008"/>
      <c r="AE797" s="1008"/>
      <c r="AF797" s="1008"/>
      <c r="AG797" s="1008"/>
      <c r="AH797" s="1008"/>
      <c r="AI797" s="1008"/>
    </row>
    <row r="798" spans="1:35">
      <c r="A798" s="1008">
        <v>27741</v>
      </c>
      <c r="B798" s="1008">
        <v>6559</v>
      </c>
      <c r="C798" s="1008">
        <v>10</v>
      </c>
      <c r="D798" s="1009">
        <v>15230679</v>
      </c>
      <c r="E798" s="1009">
        <v>15230671</v>
      </c>
      <c r="F798" s="1007" t="s">
        <v>4117</v>
      </c>
      <c r="G798" s="1007">
        <v>8</v>
      </c>
      <c r="H798" s="1010">
        <v>99999999</v>
      </c>
      <c r="I798" s="1009">
        <v>15230671</v>
      </c>
      <c r="J798" s="1007" t="s">
        <v>4116</v>
      </c>
      <c r="O798" s="1007" t="s">
        <v>648</v>
      </c>
      <c r="P798" s="1007" t="s">
        <v>648</v>
      </c>
      <c r="S798" s="1008" t="s">
        <v>650</v>
      </c>
      <c r="T798" s="1008" t="s">
        <v>654</v>
      </c>
      <c r="U798" s="1008" t="s">
        <v>649</v>
      </c>
      <c r="V798" s="1008" t="s">
        <v>648</v>
      </c>
      <c r="W798" s="1008" t="s">
        <v>546</v>
      </c>
      <c r="X798" s="1008" t="s">
        <v>670</v>
      </c>
      <c r="Y798" s="1008" t="s">
        <v>670</v>
      </c>
      <c r="Z798" s="1008" t="s">
        <v>670</v>
      </c>
      <c r="AA798" s="1008"/>
      <c r="AB798" s="1008" t="s">
        <v>670</v>
      </c>
      <c r="AC798" s="1008"/>
      <c r="AD798" s="1008"/>
      <c r="AE798" s="1008"/>
      <c r="AF798" s="1008" t="s">
        <v>670</v>
      </c>
      <c r="AG798" s="1008"/>
      <c r="AH798" s="1008"/>
      <c r="AI798" s="1008"/>
    </row>
    <row r="799" spans="1:35">
      <c r="A799" s="1008">
        <v>27745</v>
      </c>
      <c r="B799" s="1008">
        <v>6561</v>
      </c>
      <c r="C799" s="1008">
        <v>10</v>
      </c>
      <c r="D799" s="1009">
        <v>15230679</v>
      </c>
      <c r="E799" s="1009">
        <v>15230672</v>
      </c>
      <c r="F799" s="1007" t="s">
        <v>4115</v>
      </c>
      <c r="G799" s="1007">
        <v>8</v>
      </c>
      <c r="H799" s="1010">
        <v>99999999</v>
      </c>
      <c r="I799" s="1009">
        <v>15230672</v>
      </c>
      <c r="J799" s="1007" t="s">
        <v>4114</v>
      </c>
      <c r="O799" s="1007" t="s">
        <v>648</v>
      </c>
      <c r="P799" s="1007" t="s">
        <v>648</v>
      </c>
      <c r="S799" s="1008" t="s">
        <v>650</v>
      </c>
      <c r="T799" s="1008" t="s">
        <v>654</v>
      </c>
      <c r="U799" s="1008" t="s">
        <v>649</v>
      </c>
      <c r="V799" s="1008" t="s">
        <v>648</v>
      </c>
      <c r="W799" s="1008" t="s">
        <v>546</v>
      </c>
      <c r="X799" s="1008" t="s">
        <v>670</v>
      </c>
      <c r="Y799" s="1008" t="s">
        <v>670</v>
      </c>
      <c r="Z799" s="1008" t="s">
        <v>670</v>
      </c>
      <c r="AA799" s="1008"/>
      <c r="AB799" s="1008" t="s">
        <v>670</v>
      </c>
      <c r="AC799" s="1008"/>
      <c r="AD799" s="1008"/>
      <c r="AE799" s="1008"/>
      <c r="AF799" s="1008" t="s">
        <v>670</v>
      </c>
      <c r="AG799" s="1008"/>
      <c r="AH799" s="1008"/>
      <c r="AI799" s="1008"/>
    </row>
    <row r="800" spans="1:35">
      <c r="A800" s="1008">
        <v>27744</v>
      </c>
      <c r="B800" s="1008">
        <v>6613</v>
      </c>
      <c r="C800" s="1008">
        <v>10</v>
      </c>
      <c r="D800" s="1009">
        <v>15230679</v>
      </c>
      <c r="E800" s="1009">
        <v>15230677</v>
      </c>
      <c r="F800" s="1007" t="s">
        <v>4113</v>
      </c>
      <c r="G800" s="1007">
        <v>8</v>
      </c>
      <c r="H800" s="1010">
        <v>99999999</v>
      </c>
      <c r="I800" s="1009">
        <v>15230677</v>
      </c>
      <c r="J800" s="1007" t="s">
        <v>4112</v>
      </c>
      <c r="O800" s="1007" t="s">
        <v>648</v>
      </c>
      <c r="P800" s="1007" t="s">
        <v>648</v>
      </c>
      <c r="S800" s="1008" t="s">
        <v>650</v>
      </c>
      <c r="T800" s="1008" t="s">
        <v>654</v>
      </c>
      <c r="U800" s="1008" t="s">
        <v>649</v>
      </c>
      <c r="V800" s="1008" t="s">
        <v>648</v>
      </c>
      <c r="W800" s="1008" t="s">
        <v>546</v>
      </c>
      <c r="X800" s="1008" t="s">
        <v>670</v>
      </c>
      <c r="Y800" s="1008" t="s">
        <v>670</v>
      </c>
      <c r="Z800" s="1008" t="s">
        <v>670</v>
      </c>
      <c r="AA800" s="1008"/>
      <c r="AB800" s="1008" t="s">
        <v>670</v>
      </c>
      <c r="AC800" s="1008"/>
      <c r="AD800" s="1008"/>
      <c r="AE800" s="1008"/>
      <c r="AF800" s="1008" t="s">
        <v>670</v>
      </c>
      <c r="AG800" s="1008"/>
      <c r="AH800" s="1008"/>
      <c r="AI800" s="1008"/>
    </row>
    <row r="801" spans="1:35">
      <c r="A801" s="1008">
        <v>27746</v>
      </c>
      <c r="B801" s="1008">
        <v>6562</v>
      </c>
      <c r="C801" s="1008">
        <v>10</v>
      </c>
      <c r="D801" s="1009">
        <v>15230679</v>
      </c>
      <c r="E801" s="1009">
        <v>15230678</v>
      </c>
      <c r="F801" s="1007" t="s">
        <v>4111</v>
      </c>
      <c r="G801" s="1007">
        <v>8</v>
      </c>
      <c r="H801" s="1010">
        <v>99999999</v>
      </c>
      <c r="I801" s="1009">
        <v>15230678</v>
      </c>
      <c r="J801" s="1007" t="s">
        <v>4110</v>
      </c>
      <c r="O801" s="1007" t="s">
        <v>648</v>
      </c>
      <c r="P801" s="1007" t="s">
        <v>648</v>
      </c>
      <c r="S801" s="1008" t="s">
        <v>650</v>
      </c>
      <c r="T801" s="1008" t="s">
        <v>654</v>
      </c>
      <c r="U801" s="1008" t="s">
        <v>649</v>
      </c>
      <c r="V801" s="1008" t="s">
        <v>648</v>
      </c>
      <c r="W801" s="1008" t="s">
        <v>546</v>
      </c>
      <c r="X801" s="1008" t="s">
        <v>670</v>
      </c>
      <c r="Y801" s="1008" t="s">
        <v>670</v>
      </c>
      <c r="Z801" s="1008" t="s">
        <v>670</v>
      </c>
      <c r="AA801" s="1008"/>
      <c r="AB801" s="1008" t="s">
        <v>670</v>
      </c>
      <c r="AC801" s="1008"/>
      <c r="AD801" s="1008"/>
      <c r="AE801" s="1008"/>
      <c r="AF801" s="1008" t="s">
        <v>670</v>
      </c>
      <c r="AG801" s="1008"/>
      <c r="AH801" s="1008"/>
      <c r="AI801" s="1008"/>
    </row>
    <row r="802" spans="1:35">
      <c r="A802" s="1008">
        <v>27743</v>
      </c>
      <c r="C802" s="1008">
        <v>9</v>
      </c>
      <c r="D802" s="1009">
        <v>15230999</v>
      </c>
      <c r="E802" s="1009">
        <v>15230679</v>
      </c>
      <c r="F802" s="1007" t="s">
        <v>4109</v>
      </c>
      <c r="O802" s="1007" t="s">
        <v>648</v>
      </c>
      <c r="P802" s="1007" t="s">
        <v>648</v>
      </c>
      <c r="S802" s="1008" t="s">
        <v>650</v>
      </c>
      <c r="T802" s="1008" t="s">
        <v>21</v>
      </c>
      <c r="U802" s="1008" t="s">
        <v>649</v>
      </c>
      <c r="V802" s="1008" t="s">
        <v>648</v>
      </c>
      <c r="W802" s="1008" t="s">
        <v>546</v>
      </c>
      <c r="X802" s="1008"/>
      <c r="Y802" s="1008"/>
      <c r="Z802" s="1008"/>
      <c r="AA802" s="1008"/>
      <c r="AB802" s="1008"/>
      <c r="AC802" s="1008"/>
      <c r="AD802" s="1008"/>
      <c r="AE802" s="1008"/>
      <c r="AF802" s="1008"/>
      <c r="AG802" s="1008"/>
      <c r="AH802" s="1008"/>
      <c r="AI802" s="1008"/>
    </row>
    <row r="803" spans="1:35">
      <c r="A803" s="1008">
        <v>26774</v>
      </c>
      <c r="B803" s="1008">
        <v>326</v>
      </c>
      <c r="C803" s="1008">
        <v>9</v>
      </c>
      <c r="D803" s="1009">
        <v>15230999</v>
      </c>
      <c r="E803" s="1009">
        <v>15230690</v>
      </c>
      <c r="F803" s="1007" t="s">
        <v>4107</v>
      </c>
      <c r="G803" s="1007">
        <v>8</v>
      </c>
      <c r="H803" s="1010">
        <v>99999999</v>
      </c>
      <c r="I803" s="1009">
        <v>4227100</v>
      </c>
      <c r="J803" s="1007" t="s">
        <v>4108</v>
      </c>
      <c r="O803" s="1007" t="s">
        <v>648</v>
      </c>
      <c r="P803" s="1007" t="s">
        <v>648</v>
      </c>
      <c r="S803" s="1008" t="s">
        <v>650</v>
      </c>
      <c r="T803" s="1008" t="s">
        <v>654</v>
      </c>
      <c r="U803" s="1008" t="s">
        <v>649</v>
      </c>
      <c r="V803" s="1008" t="s">
        <v>648</v>
      </c>
      <c r="W803" s="1008" t="s">
        <v>546</v>
      </c>
      <c r="X803" s="1008" t="s">
        <v>670</v>
      </c>
      <c r="Y803" s="1008" t="s">
        <v>670</v>
      </c>
      <c r="Z803" s="1008" t="s">
        <v>670</v>
      </c>
      <c r="AA803" s="1008"/>
      <c r="AB803" s="1008" t="s">
        <v>670</v>
      </c>
      <c r="AC803" s="1008"/>
      <c r="AD803" s="1008"/>
      <c r="AE803" s="1008"/>
      <c r="AF803" s="1008" t="s">
        <v>670</v>
      </c>
      <c r="AG803" s="1008"/>
      <c r="AH803" s="1008"/>
      <c r="AI803" s="1008"/>
    </row>
    <row r="804" spans="1:35">
      <c r="A804" s="1008">
        <v>26774</v>
      </c>
      <c r="B804" s="1008">
        <v>144</v>
      </c>
      <c r="C804" s="1008">
        <v>9</v>
      </c>
      <c r="D804" s="1009">
        <v>15230999</v>
      </c>
      <c r="E804" s="1009">
        <v>15230690</v>
      </c>
      <c r="F804" s="1007" t="s">
        <v>4107</v>
      </c>
      <c r="G804" s="1007">
        <v>8</v>
      </c>
      <c r="H804" s="1010">
        <v>99999999</v>
      </c>
      <c r="I804" s="1009">
        <v>15230690</v>
      </c>
      <c r="J804" s="1007" t="s">
        <v>4106</v>
      </c>
      <c r="O804" s="1007" t="s">
        <v>648</v>
      </c>
      <c r="P804" s="1007" t="s">
        <v>648</v>
      </c>
      <c r="S804" s="1008" t="s">
        <v>650</v>
      </c>
      <c r="T804" s="1008" t="s">
        <v>654</v>
      </c>
      <c r="U804" s="1008" t="s">
        <v>649</v>
      </c>
      <c r="V804" s="1008" t="s">
        <v>648</v>
      </c>
      <c r="W804" s="1008" t="s">
        <v>546</v>
      </c>
      <c r="X804" s="1008" t="s">
        <v>670</v>
      </c>
      <c r="Y804" s="1008" t="s">
        <v>670</v>
      </c>
      <c r="Z804" s="1008" t="s">
        <v>670</v>
      </c>
      <c r="AA804" s="1008"/>
      <c r="AB804" s="1008" t="s">
        <v>670</v>
      </c>
      <c r="AC804" s="1008"/>
      <c r="AD804" s="1008" t="s">
        <v>670</v>
      </c>
      <c r="AE804" s="1008"/>
      <c r="AF804" s="1008" t="s">
        <v>670</v>
      </c>
      <c r="AG804" s="1008"/>
      <c r="AH804" s="1008"/>
      <c r="AI804" s="1008"/>
    </row>
    <row r="805" spans="1:35">
      <c r="A805" s="1008">
        <v>26690</v>
      </c>
      <c r="B805" s="1008">
        <v>5886</v>
      </c>
      <c r="C805" s="1008">
        <v>9</v>
      </c>
      <c r="D805" s="1009">
        <v>15230999</v>
      </c>
      <c r="E805" s="1009">
        <v>15230700</v>
      </c>
      <c r="F805" s="1007" t="s">
        <v>4105</v>
      </c>
      <c r="G805" s="1007">
        <v>8</v>
      </c>
      <c r="H805" s="1010">
        <v>99999999</v>
      </c>
      <c r="I805" s="1009">
        <v>15230700</v>
      </c>
      <c r="J805" s="1007" t="s">
        <v>4104</v>
      </c>
      <c r="O805" s="1007" t="s">
        <v>648</v>
      </c>
      <c r="P805" s="1007" t="s">
        <v>648</v>
      </c>
      <c r="S805" s="1008" t="s">
        <v>650</v>
      </c>
      <c r="T805" s="1008" t="s">
        <v>654</v>
      </c>
      <c r="U805" s="1008" t="s">
        <v>649</v>
      </c>
      <c r="V805" s="1008" t="s">
        <v>648</v>
      </c>
      <c r="W805" s="1008" t="s">
        <v>546</v>
      </c>
      <c r="X805" s="1008" t="s">
        <v>670</v>
      </c>
      <c r="Y805" s="1008" t="s">
        <v>670</v>
      </c>
      <c r="Z805" s="1008" t="s">
        <v>670</v>
      </c>
      <c r="AA805" s="1008"/>
      <c r="AB805" s="1008" t="s">
        <v>670</v>
      </c>
      <c r="AC805" s="1008"/>
      <c r="AD805" s="1008"/>
      <c r="AE805" s="1008"/>
      <c r="AF805" s="1008" t="s">
        <v>670</v>
      </c>
      <c r="AG805" s="1008"/>
      <c r="AH805" s="1008"/>
      <c r="AI805" s="1008"/>
    </row>
    <row r="806" spans="1:35">
      <c r="A806" s="1008">
        <v>26775</v>
      </c>
      <c r="B806" s="1008">
        <v>145</v>
      </c>
      <c r="C806" s="1008">
        <v>9</v>
      </c>
      <c r="D806" s="1009">
        <v>15230999</v>
      </c>
      <c r="E806" s="1009">
        <v>15230900</v>
      </c>
      <c r="F806" s="1007" t="s">
        <v>4103</v>
      </c>
      <c r="G806" s="1007">
        <v>8</v>
      </c>
      <c r="H806" s="1010">
        <v>99999999</v>
      </c>
      <c r="I806" s="1009">
        <v>15230900</v>
      </c>
      <c r="J806" s="1007" t="s">
        <v>4102</v>
      </c>
      <c r="O806" s="1007" t="s">
        <v>648</v>
      </c>
      <c r="P806" s="1007" t="s">
        <v>648</v>
      </c>
      <c r="S806" s="1008" t="s">
        <v>650</v>
      </c>
      <c r="T806" s="1008" t="s">
        <v>654</v>
      </c>
      <c r="U806" s="1008" t="s">
        <v>649</v>
      </c>
      <c r="V806" s="1008" t="s">
        <v>648</v>
      </c>
      <c r="W806" s="1008" t="s">
        <v>546</v>
      </c>
      <c r="X806" s="1008" t="s">
        <v>670</v>
      </c>
      <c r="Y806" s="1008" t="s">
        <v>670</v>
      </c>
      <c r="Z806" s="1008" t="s">
        <v>670</v>
      </c>
      <c r="AA806" s="1008"/>
      <c r="AB806" s="1008" t="s">
        <v>670</v>
      </c>
      <c r="AC806" s="1008"/>
      <c r="AD806" s="1008"/>
      <c r="AE806" s="1008"/>
      <c r="AF806" s="1008" t="s">
        <v>670</v>
      </c>
      <c r="AG806" s="1008"/>
      <c r="AH806" s="1008"/>
      <c r="AI806" s="1008"/>
    </row>
    <row r="807" spans="1:35">
      <c r="A807" s="1008">
        <v>26776</v>
      </c>
      <c r="C807" s="1008">
        <v>8</v>
      </c>
      <c r="D807" s="1009">
        <v>15399999</v>
      </c>
      <c r="E807" s="1009">
        <v>15230999</v>
      </c>
      <c r="F807" s="1007" t="s">
        <v>4101</v>
      </c>
      <c r="O807" s="1007" t="s">
        <v>648</v>
      </c>
      <c r="P807" s="1007" t="s">
        <v>648</v>
      </c>
      <c r="S807" s="1008" t="s">
        <v>650</v>
      </c>
      <c r="T807" s="1008" t="s">
        <v>21</v>
      </c>
      <c r="U807" s="1008" t="s">
        <v>649</v>
      </c>
      <c r="V807" s="1008" t="s">
        <v>648</v>
      </c>
      <c r="W807" s="1008" t="s">
        <v>546</v>
      </c>
      <c r="X807" s="1008"/>
      <c r="Y807" s="1008"/>
      <c r="Z807" s="1008"/>
      <c r="AA807" s="1008"/>
      <c r="AB807" s="1008"/>
      <c r="AC807" s="1008"/>
      <c r="AD807" s="1008"/>
      <c r="AE807" s="1008"/>
      <c r="AF807" s="1008"/>
      <c r="AG807" s="1008"/>
      <c r="AH807" s="1008"/>
      <c r="AI807" s="1008"/>
    </row>
    <row r="808" spans="1:35">
      <c r="A808" s="1008">
        <v>26777</v>
      </c>
      <c r="C808" s="1008">
        <v>8</v>
      </c>
      <c r="D808" s="1009">
        <v>15231999</v>
      </c>
      <c r="E808" s="1009">
        <v>15231000</v>
      </c>
      <c r="F808" s="1007" t="s">
        <v>4100</v>
      </c>
      <c r="O808" s="1007" t="s">
        <v>648</v>
      </c>
      <c r="P808" s="1007" t="s">
        <v>648</v>
      </c>
      <c r="S808" s="1008" t="s">
        <v>650</v>
      </c>
      <c r="T808" s="1008" t="s">
        <v>675</v>
      </c>
      <c r="U808" s="1008" t="s">
        <v>649</v>
      </c>
      <c r="V808" s="1008" t="s">
        <v>648</v>
      </c>
      <c r="W808" s="1008" t="s">
        <v>546</v>
      </c>
      <c r="X808" s="1008"/>
      <c r="Y808" s="1008"/>
      <c r="Z808" s="1008"/>
      <c r="AA808" s="1008"/>
      <c r="AB808" s="1008"/>
      <c r="AC808" s="1008"/>
      <c r="AD808" s="1008"/>
      <c r="AE808" s="1008"/>
      <c r="AF808" s="1008"/>
      <c r="AG808" s="1008"/>
      <c r="AH808" s="1008"/>
      <c r="AI808" s="1008"/>
    </row>
    <row r="809" spans="1:35">
      <c r="A809" s="1008">
        <v>26778</v>
      </c>
      <c r="B809" s="1008">
        <v>141</v>
      </c>
      <c r="C809" s="1008">
        <v>9</v>
      </c>
      <c r="D809" s="1009">
        <v>15231999</v>
      </c>
      <c r="E809" s="1009">
        <v>15231200</v>
      </c>
      <c r="F809" s="1007" t="s">
        <v>4099</v>
      </c>
      <c r="G809" s="1007">
        <v>8</v>
      </c>
      <c r="H809" s="1010">
        <v>99999999</v>
      </c>
      <c r="I809" s="1009">
        <v>15231200</v>
      </c>
      <c r="J809" s="1007" t="s">
        <v>4098</v>
      </c>
      <c r="O809" s="1007" t="s">
        <v>648</v>
      </c>
      <c r="P809" s="1007" t="s">
        <v>648</v>
      </c>
      <c r="S809" s="1008" t="s">
        <v>650</v>
      </c>
      <c r="T809" s="1008" t="s">
        <v>654</v>
      </c>
      <c r="U809" s="1008" t="s">
        <v>649</v>
      </c>
      <c r="V809" s="1008" t="s">
        <v>648</v>
      </c>
      <c r="W809" s="1008" t="s">
        <v>546</v>
      </c>
      <c r="X809" s="1008" t="s">
        <v>670</v>
      </c>
      <c r="Y809" s="1008" t="s">
        <v>670</v>
      </c>
      <c r="Z809" s="1008" t="s">
        <v>670</v>
      </c>
      <c r="AA809" s="1008"/>
      <c r="AB809" s="1008" t="s">
        <v>670</v>
      </c>
      <c r="AC809" s="1008"/>
      <c r="AD809" s="1008"/>
      <c r="AE809" s="1008"/>
      <c r="AF809" s="1008" t="s">
        <v>670</v>
      </c>
      <c r="AG809" s="1008"/>
      <c r="AH809" s="1008"/>
      <c r="AI809" s="1008"/>
    </row>
    <row r="810" spans="1:35">
      <c r="A810" s="1008">
        <v>26779</v>
      </c>
      <c r="B810" s="1008">
        <v>142</v>
      </c>
      <c r="C810" s="1008">
        <v>9</v>
      </c>
      <c r="D810" s="1009">
        <v>15231999</v>
      </c>
      <c r="E810" s="1009">
        <v>15231205</v>
      </c>
      <c r="F810" s="1007" t="s">
        <v>4097</v>
      </c>
      <c r="G810" s="1007">
        <v>8</v>
      </c>
      <c r="H810" s="1010">
        <v>99999999</v>
      </c>
      <c r="I810" s="1009">
        <v>15231205</v>
      </c>
      <c r="J810" s="1007" t="s">
        <v>4096</v>
      </c>
      <c r="O810" s="1007" t="s">
        <v>648</v>
      </c>
      <c r="P810" s="1007" t="s">
        <v>648</v>
      </c>
      <c r="S810" s="1008" t="s">
        <v>650</v>
      </c>
      <c r="T810" s="1008" t="s">
        <v>654</v>
      </c>
      <c r="U810" s="1008" t="s">
        <v>649</v>
      </c>
      <c r="V810" s="1008" t="s">
        <v>648</v>
      </c>
      <c r="W810" s="1008" t="s">
        <v>546</v>
      </c>
      <c r="X810" s="1008" t="s">
        <v>670</v>
      </c>
      <c r="Y810" s="1008" t="s">
        <v>670</v>
      </c>
      <c r="Z810" s="1008" t="s">
        <v>670</v>
      </c>
      <c r="AA810" s="1008"/>
      <c r="AB810" s="1008" t="s">
        <v>670</v>
      </c>
      <c r="AC810" s="1008"/>
      <c r="AD810" s="1008"/>
      <c r="AE810" s="1008"/>
      <c r="AF810" s="1008" t="s">
        <v>670</v>
      </c>
      <c r="AG810" s="1008"/>
      <c r="AH810" s="1008"/>
      <c r="AI810" s="1008"/>
    </row>
    <row r="811" spans="1:35">
      <c r="A811" s="1008">
        <v>26780</v>
      </c>
      <c r="B811" s="1008">
        <v>143</v>
      </c>
      <c r="C811" s="1008">
        <v>9</v>
      </c>
      <c r="D811" s="1009">
        <v>15231999</v>
      </c>
      <c r="E811" s="1009">
        <v>15231210</v>
      </c>
      <c r="F811" s="1007" t="s">
        <v>4095</v>
      </c>
      <c r="G811" s="1007">
        <v>8</v>
      </c>
      <c r="H811" s="1010">
        <v>99999999</v>
      </c>
      <c r="I811" s="1009">
        <v>15231210</v>
      </c>
      <c r="J811" s="1007" t="s">
        <v>4094</v>
      </c>
      <c r="O811" s="1007" t="s">
        <v>648</v>
      </c>
      <c r="P811" s="1007" t="s">
        <v>648</v>
      </c>
      <c r="S811" s="1008" t="s">
        <v>650</v>
      </c>
      <c r="T811" s="1008" t="s">
        <v>654</v>
      </c>
      <c r="U811" s="1008" t="s">
        <v>649</v>
      </c>
      <c r="V811" s="1008" t="s">
        <v>648</v>
      </c>
      <c r="W811" s="1008" t="s">
        <v>546</v>
      </c>
      <c r="X811" s="1008" t="s">
        <v>670</v>
      </c>
      <c r="Y811" s="1008" t="s">
        <v>670</v>
      </c>
      <c r="Z811" s="1008" t="s">
        <v>670</v>
      </c>
      <c r="AA811" s="1008"/>
      <c r="AB811" s="1008" t="s">
        <v>670</v>
      </c>
      <c r="AC811" s="1008"/>
      <c r="AD811" s="1008"/>
      <c r="AE811" s="1008"/>
      <c r="AF811" s="1008" t="s">
        <v>670</v>
      </c>
      <c r="AG811" s="1008"/>
      <c r="AH811" s="1008"/>
      <c r="AI811" s="1008"/>
    </row>
    <row r="812" spans="1:35">
      <c r="A812" s="1008">
        <v>26781</v>
      </c>
      <c r="C812" s="1008">
        <v>8</v>
      </c>
      <c r="D812" s="1009">
        <v>15399999</v>
      </c>
      <c r="E812" s="1009">
        <v>15231999</v>
      </c>
      <c r="F812" s="1007" t="s">
        <v>4093</v>
      </c>
      <c r="O812" s="1007" t="s">
        <v>648</v>
      </c>
      <c r="P812" s="1007" t="s">
        <v>648</v>
      </c>
      <c r="S812" s="1008" t="s">
        <v>650</v>
      </c>
      <c r="T812" s="1008" t="s">
        <v>21</v>
      </c>
      <c r="U812" s="1008" t="s">
        <v>649</v>
      </c>
      <c r="V812" s="1008" t="s">
        <v>648</v>
      </c>
      <c r="W812" s="1008" t="s">
        <v>546</v>
      </c>
      <c r="X812" s="1008"/>
      <c r="Y812" s="1008"/>
      <c r="Z812" s="1008"/>
      <c r="AA812" s="1008"/>
      <c r="AB812" s="1008"/>
      <c r="AC812" s="1008"/>
      <c r="AD812" s="1008"/>
      <c r="AE812" s="1008"/>
      <c r="AF812" s="1008"/>
      <c r="AG812" s="1008"/>
      <c r="AH812" s="1008"/>
      <c r="AI812" s="1008"/>
    </row>
    <row r="813" spans="1:35">
      <c r="A813" s="1008">
        <v>27728</v>
      </c>
      <c r="C813" s="1008">
        <v>8</v>
      </c>
      <c r="D813" s="1009">
        <v>15232999</v>
      </c>
      <c r="E813" s="1009">
        <v>15232000</v>
      </c>
      <c r="F813" s="1007" t="s">
        <v>4092</v>
      </c>
      <c r="O813" s="1007" t="s">
        <v>648</v>
      </c>
      <c r="P813" s="1007" t="s">
        <v>648</v>
      </c>
      <c r="S813" s="1008" t="s">
        <v>650</v>
      </c>
      <c r="T813" s="1008" t="s">
        <v>675</v>
      </c>
      <c r="U813" s="1008" t="s">
        <v>649</v>
      </c>
      <c r="V813" s="1008" t="s">
        <v>648</v>
      </c>
      <c r="W813" s="1008" t="s">
        <v>546</v>
      </c>
      <c r="X813" s="1008"/>
      <c r="Y813" s="1008"/>
      <c r="Z813" s="1008"/>
      <c r="AA813" s="1008"/>
      <c r="AB813" s="1008"/>
      <c r="AC813" s="1008"/>
      <c r="AD813" s="1008"/>
      <c r="AE813" s="1008"/>
      <c r="AF813" s="1008"/>
      <c r="AG813" s="1008"/>
      <c r="AH813" s="1008"/>
      <c r="AI813" s="1008"/>
    </row>
    <row r="814" spans="1:35">
      <c r="A814" s="1008">
        <v>27730</v>
      </c>
      <c r="B814" s="1008">
        <v>6547</v>
      </c>
      <c r="C814" s="1008">
        <v>9</v>
      </c>
      <c r="D814" s="1009">
        <v>15232999</v>
      </c>
      <c r="E814" s="1009">
        <v>15232810</v>
      </c>
      <c r="F814" s="1007" t="s">
        <v>4091</v>
      </c>
      <c r="G814" s="1007" t="s">
        <v>648</v>
      </c>
      <c r="H814" s="1010">
        <v>99999999</v>
      </c>
      <c r="I814" s="1009">
        <v>15232810</v>
      </c>
      <c r="J814" s="1007" t="s">
        <v>4090</v>
      </c>
      <c r="O814" s="1007" t="s">
        <v>648</v>
      </c>
      <c r="P814" s="1007" t="s">
        <v>648</v>
      </c>
      <c r="S814" s="1008" t="s">
        <v>650</v>
      </c>
      <c r="T814" s="1008" t="s">
        <v>654</v>
      </c>
      <c r="U814" s="1008" t="s">
        <v>649</v>
      </c>
      <c r="V814" s="1008" t="s">
        <v>648</v>
      </c>
      <c r="W814" s="1008" t="s">
        <v>546</v>
      </c>
      <c r="X814" s="1008" t="s">
        <v>670</v>
      </c>
      <c r="Y814" s="1008"/>
      <c r="Z814" s="1008" t="s">
        <v>670</v>
      </c>
      <c r="AA814" s="1008"/>
      <c r="AB814" s="1008"/>
      <c r="AC814" s="1008"/>
      <c r="AD814" s="1008"/>
      <c r="AE814" s="1008"/>
      <c r="AF814" s="1008"/>
      <c r="AG814" s="1008"/>
      <c r="AH814" s="1008"/>
      <c r="AI814" s="1008"/>
    </row>
    <row r="815" spans="1:35">
      <c r="A815" s="1008">
        <v>27729</v>
      </c>
      <c r="C815" s="1008">
        <v>8</v>
      </c>
      <c r="D815" s="1009">
        <v>15399999</v>
      </c>
      <c r="E815" s="1009">
        <v>15232999</v>
      </c>
      <c r="F815" s="1007" t="s">
        <v>4089</v>
      </c>
      <c r="O815" s="1007" t="s">
        <v>648</v>
      </c>
      <c r="P815" s="1007" t="s">
        <v>648</v>
      </c>
      <c r="S815" s="1008" t="s">
        <v>650</v>
      </c>
      <c r="T815" s="1008" t="s">
        <v>21</v>
      </c>
      <c r="U815" s="1008" t="s">
        <v>649</v>
      </c>
      <c r="V815" s="1008" t="s">
        <v>648</v>
      </c>
      <c r="W815" s="1008" t="s">
        <v>546</v>
      </c>
      <c r="X815" s="1008"/>
      <c r="Y815" s="1008"/>
      <c r="Z815" s="1008"/>
      <c r="AA815" s="1008"/>
      <c r="AB815" s="1008"/>
      <c r="AC815" s="1008"/>
      <c r="AD815" s="1008"/>
      <c r="AE815" s="1008"/>
      <c r="AF815" s="1008"/>
      <c r="AG815" s="1008"/>
      <c r="AH815" s="1008"/>
      <c r="AI815" s="1008"/>
    </row>
    <row r="816" spans="1:35">
      <c r="A816" s="1008">
        <v>26782</v>
      </c>
      <c r="C816" s="1008">
        <v>8</v>
      </c>
      <c r="D816" s="1009">
        <v>15239999</v>
      </c>
      <c r="E816" s="1009">
        <v>15235000</v>
      </c>
      <c r="F816" s="1007" t="s">
        <v>4088</v>
      </c>
      <c r="O816" s="1007" t="s">
        <v>648</v>
      </c>
      <c r="P816" s="1007" t="s">
        <v>648</v>
      </c>
      <c r="S816" s="1008" t="s">
        <v>650</v>
      </c>
      <c r="T816" s="1008" t="s">
        <v>675</v>
      </c>
      <c r="U816" s="1008" t="s">
        <v>649</v>
      </c>
      <c r="V816" s="1008" t="s">
        <v>648</v>
      </c>
      <c r="W816" s="1008" t="s">
        <v>546</v>
      </c>
      <c r="X816" s="1008"/>
      <c r="Y816" s="1008"/>
      <c r="Z816" s="1008"/>
      <c r="AA816" s="1008"/>
      <c r="AB816" s="1008"/>
      <c r="AC816" s="1008"/>
      <c r="AD816" s="1008"/>
      <c r="AE816" s="1008"/>
      <c r="AF816" s="1008"/>
      <c r="AG816" s="1008"/>
      <c r="AH816" s="1008"/>
      <c r="AI816" s="1008"/>
    </row>
    <row r="817" spans="1:35">
      <c r="A817" s="1008">
        <v>26783</v>
      </c>
      <c r="C817" s="1008">
        <v>9</v>
      </c>
      <c r="D817" s="1009">
        <v>15235999</v>
      </c>
      <c r="E817" s="1009">
        <v>15235200</v>
      </c>
      <c r="F817" s="1007" t="s">
        <v>4087</v>
      </c>
      <c r="O817" s="1007" t="s">
        <v>648</v>
      </c>
      <c r="P817" s="1007" t="s">
        <v>648</v>
      </c>
      <c r="S817" s="1008" t="s">
        <v>650</v>
      </c>
      <c r="T817" s="1008" t="s">
        <v>675</v>
      </c>
      <c r="U817" s="1008" t="s">
        <v>649</v>
      </c>
      <c r="V817" s="1008" t="s">
        <v>648</v>
      </c>
      <c r="W817" s="1008" t="s">
        <v>546</v>
      </c>
      <c r="X817" s="1008"/>
      <c r="Y817" s="1008"/>
      <c r="Z817" s="1008"/>
      <c r="AA817" s="1008"/>
      <c r="AB817" s="1008"/>
      <c r="AC817" s="1008"/>
      <c r="AD817" s="1008"/>
      <c r="AE817" s="1008"/>
      <c r="AF817" s="1008"/>
      <c r="AG817" s="1008"/>
      <c r="AH817" s="1008"/>
      <c r="AI817" s="1008"/>
    </row>
    <row r="818" spans="1:35">
      <c r="A818" s="1008">
        <v>26662</v>
      </c>
      <c r="B818" s="1008">
        <v>153</v>
      </c>
      <c r="C818" s="1008">
        <v>10</v>
      </c>
      <c r="D818" s="1009">
        <v>15235999</v>
      </c>
      <c r="E818" s="1009">
        <v>15235201</v>
      </c>
      <c r="F818" s="1007" t="s">
        <v>4086</v>
      </c>
      <c r="G818" s="1007">
        <v>8</v>
      </c>
      <c r="H818" s="1010">
        <v>99999999</v>
      </c>
      <c r="I818" s="1009">
        <v>15235201</v>
      </c>
      <c r="J818" s="1007" t="s">
        <v>4085</v>
      </c>
      <c r="O818" s="1007" t="s">
        <v>648</v>
      </c>
      <c r="P818" s="1007" t="s">
        <v>648</v>
      </c>
      <c r="S818" s="1008" t="s">
        <v>650</v>
      </c>
      <c r="T818" s="1008" t="s">
        <v>654</v>
      </c>
      <c r="U818" s="1008" t="s">
        <v>649</v>
      </c>
      <c r="V818" s="1008" t="s">
        <v>648</v>
      </c>
      <c r="W818" s="1008" t="s">
        <v>546</v>
      </c>
      <c r="X818" s="1008" t="s">
        <v>670</v>
      </c>
      <c r="Y818" s="1008" t="s">
        <v>670</v>
      </c>
      <c r="Z818" s="1008" t="s">
        <v>670</v>
      </c>
      <c r="AA818" s="1008"/>
      <c r="AB818" s="1008" t="s">
        <v>670</v>
      </c>
      <c r="AC818" s="1008"/>
      <c r="AD818" s="1008"/>
      <c r="AE818" s="1008"/>
      <c r="AF818" s="1008" t="s">
        <v>670</v>
      </c>
      <c r="AG818" s="1008"/>
      <c r="AH818" s="1008"/>
      <c r="AI818" s="1008"/>
    </row>
    <row r="819" spans="1:35">
      <c r="A819" s="1008">
        <v>26784</v>
      </c>
      <c r="B819" s="1008">
        <v>154</v>
      </c>
      <c r="C819" s="1008">
        <v>10</v>
      </c>
      <c r="D819" s="1009">
        <v>15235999</v>
      </c>
      <c r="E819" s="1009">
        <v>15235202</v>
      </c>
      <c r="F819" s="1007" t="s">
        <v>4084</v>
      </c>
      <c r="G819" s="1007">
        <v>8</v>
      </c>
      <c r="H819" s="1010">
        <v>99999999</v>
      </c>
      <c r="I819" s="1009">
        <v>15235202</v>
      </c>
      <c r="J819" s="1007" t="s">
        <v>4083</v>
      </c>
      <c r="O819" s="1007" t="s">
        <v>648</v>
      </c>
      <c r="P819" s="1007" t="s">
        <v>648</v>
      </c>
      <c r="S819" s="1008" t="s">
        <v>650</v>
      </c>
      <c r="T819" s="1008" t="s">
        <v>654</v>
      </c>
      <c r="U819" s="1008" t="s">
        <v>649</v>
      </c>
      <c r="V819" s="1008" t="s">
        <v>648</v>
      </c>
      <c r="W819" s="1008" t="s">
        <v>546</v>
      </c>
      <c r="X819" s="1008" t="s">
        <v>670</v>
      </c>
      <c r="Y819" s="1008" t="s">
        <v>670</v>
      </c>
      <c r="Z819" s="1008" t="s">
        <v>670</v>
      </c>
      <c r="AA819" s="1008"/>
      <c r="AB819" s="1008" t="s">
        <v>670</v>
      </c>
      <c r="AC819" s="1008"/>
      <c r="AD819" s="1008"/>
      <c r="AE819" s="1008"/>
      <c r="AF819" s="1008" t="s">
        <v>670</v>
      </c>
      <c r="AG819" s="1008"/>
      <c r="AH819" s="1008"/>
      <c r="AI819" s="1008"/>
    </row>
    <row r="820" spans="1:35">
      <c r="A820" s="1008">
        <v>26785</v>
      </c>
      <c r="B820" s="1008">
        <v>155</v>
      </c>
      <c r="C820" s="1008">
        <v>10</v>
      </c>
      <c r="D820" s="1009">
        <v>15235999</v>
      </c>
      <c r="E820" s="1009">
        <v>15235203</v>
      </c>
      <c r="F820" s="1007" t="s">
        <v>4082</v>
      </c>
      <c r="G820" s="1007">
        <v>8</v>
      </c>
      <c r="H820" s="1010">
        <v>99999999</v>
      </c>
      <c r="I820" s="1009">
        <v>15235203</v>
      </c>
      <c r="J820" s="1007" t="s">
        <v>4081</v>
      </c>
      <c r="O820" s="1007" t="s">
        <v>648</v>
      </c>
      <c r="P820" s="1007" t="s">
        <v>648</v>
      </c>
      <c r="S820" s="1008" t="s">
        <v>650</v>
      </c>
      <c r="T820" s="1008" t="s">
        <v>654</v>
      </c>
      <c r="U820" s="1008" t="s">
        <v>649</v>
      </c>
      <c r="V820" s="1008" t="s">
        <v>648</v>
      </c>
      <c r="W820" s="1008" t="s">
        <v>546</v>
      </c>
      <c r="X820" s="1008" t="s">
        <v>670</v>
      </c>
      <c r="Y820" s="1008" t="s">
        <v>670</v>
      </c>
      <c r="Z820" s="1008" t="s">
        <v>670</v>
      </c>
      <c r="AA820" s="1008"/>
      <c r="AB820" s="1008" t="s">
        <v>670</v>
      </c>
      <c r="AC820" s="1008"/>
      <c r="AD820" s="1008"/>
      <c r="AE820" s="1008"/>
      <c r="AF820" s="1008" t="s">
        <v>670</v>
      </c>
      <c r="AG820" s="1008"/>
      <c r="AH820" s="1008"/>
      <c r="AI820" s="1008"/>
    </row>
    <row r="821" spans="1:35">
      <c r="A821" s="1008">
        <v>26786</v>
      </c>
      <c r="B821" s="1008">
        <v>156</v>
      </c>
      <c r="C821" s="1008">
        <v>10</v>
      </c>
      <c r="D821" s="1009">
        <v>15235999</v>
      </c>
      <c r="E821" s="1009">
        <v>15235204</v>
      </c>
      <c r="F821" s="1007" t="s">
        <v>4080</v>
      </c>
      <c r="G821" s="1007">
        <v>8</v>
      </c>
      <c r="H821" s="1010">
        <v>99999999</v>
      </c>
      <c r="I821" s="1009">
        <v>15235204</v>
      </c>
      <c r="J821" s="1007" t="s">
        <v>4079</v>
      </c>
      <c r="O821" s="1007" t="s">
        <v>648</v>
      </c>
      <c r="P821" s="1007" t="s">
        <v>648</v>
      </c>
      <c r="S821" s="1008" t="s">
        <v>650</v>
      </c>
      <c r="T821" s="1008" t="s">
        <v>654</v>
      </c>
      <c r="U821" s="1008" t="s">
        <v>649</v>
      </c>
      <c r="V821" s="1008" t="s">
        <v>648</v>
      </c>
      <c r="W821" s="1008" t="s">
        <v>546</v>
      </c>
      <c r="X821" s="1008" t="s">
        <v>670</v>
      </c>
      <c r="Y821" s="1008" t="s">
        <v>670</v>
      </c>
      <c r="Z821" s="1008" t="s">
        <v>670</v>
      </c>
      <c r="AA821" s="1008"/>
      <c r="AB821" s="1008" t="s">
        <v>670</v>
      </c>
      <c r="AC821" s="1008"/>
      <c r="AD821" s="1008"/>
      <c r="AE821" s="1008"/>
      <c r="AF821" s="1008" t="s">
        <v>670</v>
      </c>
      <c r="AG821" s="1008"/>
      <c r="AH821" s="1008"/>
      <c r="AI821" s="1008"/>
    </row>
    <row r="822" spans="1:35">
      <c r="A822" s="1008">
        <v>26787</v>
      </c>
      <c r="B822" s="1008">
        <v>157</v>
      </c>
      <c r="C822" s="1008">
        <v>10</v>
      </c>
      <c r="D822" s="1009">
        <v>15235999</v>
      </c>
      <c r="E822" s="1009">
        <v>15235205</v>
      </c>
      <c r="F822" s="1007" t="s">
        <v>4078</v>
      </c>
      <c r="G822" s="1007">
        <v>8</v>
      </c>
      <c r="H822" s="1010">
        <v>99999999</v>
      </c>
      <c r="I822" s="1009">
        <v>15235205</v>
      </c>
      <c r="J822" s="1007" t="s">
        <v>4077</v>
      </c>
      <c r="O822" s="1007" t="s">
        <v>648</v>
      </c>
      <c r="P822" s="1007" t="s">
        <v>648</v>
      </c>
      <c r="S822" s="1008" t="s">
        <v>650</v>
      </c>
      <c r="T822" s="1008" t="s">
        <v>654</v>
      </c>
      <c r="U822" s="1008" t="s">
        <v>649</v>
      </c>
      <c r="V822" s="1008" t="s">
        <v>648</v>
      </c>
      <c r="W822" s="1008" t="s">
        <v>546</v>
      </c>
      <c r="X822" s="1008" t="s">
        <v>670</v>
      </c>
      <c r="Y822" s="1008" t="s">
        <v>670</v>
      </c>
      <c r="Z822" s="1008" t="s">
        <v>670</v>
      </c>
      <c r="AA822" s="1008"/>
      <c r="AB822" s="1008" t="s">
        <v>670</v>
      </c>
      <c r="AC822" s="1008"/>
      <c r="AD822" s="1008"/>
      <c r="AE822" s="1008"/>
      <c r="AF822" s="1008" t="s">
        <v>670</v>
      </c>
      <c r="AG822" s="1008"/>
      <c r="AH822" s="1008"/>
      <c r="AI822" s="1008"/>
    </row>
    <row r="823" spans="1:35">
      <c r="A823" s="1008">
        <v>26788</v>
      </c>
      <c r="C823" s="1008">
        <v>9</v>
      </c>
      <c r="D823" s="1009">
        <v>15239999</v>
      </c>
      <c r="E823" s="1009">
        <v>15235999</v>
      </c>
      <c r="F823" s="1007" t="s">
        <v>4076</v>
      </c>
      <c r="O823" s="1007" t="s">
        <v>648</v>
      </c>
      <c r="P823" s="1007" t="s">
        <v>648</v>
      </c>
      <c r="S823" s="1008" t="s">
        <v>650</v>
      </c>
      <c r="T823" s="1008" t="s">
        <v>21</v>
      </c>
      <c r="U823" s="1008" t="s">
        <v>649</v>
      </c>
      <c r="V823" s="1008" t="s">
        <v>648</v>
      </c>
      <c r="W823" s="1008" t="s">
        <v>546</v>
      </c>
      <c r="X823" s="1008"/>
      <c r="Y823" s="1008"/>
      <c r="Z823" s="1008"/>
      <c r="AA823" s="1008"/>
      <c r="AB823" s="1008"/>
      <c r="AC823" s="1008"/>
      <c r="AD823" s="1008"/>
      <c r="AE823" s="1008"/>
      <c r="AF823" s="1008"/>
      <c r="AG823" s="1008"/>
      <c r="AH823" s="1008"/>
      <c r="AI823" s="1008"/>
    </row>
    <row r="824" spans="1:35">
      <c r="A824" s="1008">
        <v>26789</v>
      </c>
      <c r="C824" s="1008">
        <v>9</v>
      </c>
      <c r="D824" s="1009">
        <v>15237999</v>
      </c>
      <c r="E824" s="1009">
        <v>15237200</v>
      </c>
      <c r="F824" s="1007" t="s">
        <v>4075</v>
      </c>
      <c r="O824" s="1007" t="s">
        <v>648</v>
      </c>
      <c r="P824" s="1007" t="s">
        <v>648</v>
      </c>
      <c r="S824" s="1008" t="s">
        <v>650</v>
      </c>
      <c r="T824" s="1008" t="s">
        <v>675</v>
      </c>
      <c r="U824" s="1008" t="s">
        <v>649</v>
      </c>
      <c r="V824" s="1008" t="s">
        <v>648</v>
      </c>
      <c r="W824" s="1008" t="s">
        <v>546</v>
      </c>
      <c r="X824" s="1008"/>
      <c r="Y824" s="1008"/>
      <c r="Z824" s="1008"/>
      <c r="AA824" s="1008"/>
      <c r="AB824" s="1008"/>
      <c r="AC824" s="1008"/>
      <c r="AD824" s="1008"/>
      <c r="AE824" s="1008"/>
      <c r="AF824" s="1008"/>
      <c r="AG824" s="1008"/>
      <c r="AH824" s="1008"/>
      <c r="AI824" s="1008"/>
    </row>
    <row r="825" spans="1:35">
      <c r="A825" s="1008">
        <v>26663</v>
      </c>
      <c r="B825" s="1008">
        <v>161</v>
      </c>
      <c r="C825" s="1008">
        <v>10</v>
      </c>
      <c r="D825" s="1009">
        <v>15237999</v>
      </c>
      <c r="E825" s="1009">
        <v>15237201</v>
      </c>
      <c r="F825" s="1007" t="s">
        <v>4074</v>
      </c>
      <c r="G825" s="1007">
        <v>8</v>
      </c>
      <c r="H825" s="1010">
        <v>99999999</v>
      </c>
      <c r="I825" s="1009">
        <v>15237201</v>
      </c>
      <c r="J825" s="1007" t="s">
        <v>4073</v>
      </c>
      <c r="O825" s="1007" t="s">
        <v>648</v>
      </c>
      <c r="P825" s="1007" t="s">
        <v>648</v>
      </c>
      <c r="S825" s="1008" t="s">
        <v>650</v>
      </c>
      <c r="T825" s="1008" t="s">
        <v>654</v>
      </c>
      <c r="U825" s="1008" t="s">
        <v>649</v>
      </c>
      <c r="V825" s="1008" t="s">
        <v>648</v>
      </c>
      <c r="W825" s="1008" t="s">
        <v>546</v>
      </c>
      <c r="X825" s="1008" t="s">
        <v>670</v>
      </c>
      <c r="Y825" s="1008" t="s">
        <v>670</v>
      </c>
      <c r="Z825" s="1008" t="s">
        <v>670</v>
      </c>
      <c r="AA825" s="1008"/>
      <c r="AB825" s="1008" t="s">
        <v>670</v>
      </c>
      <c r="AC825" s="1008"/>
      <c r="AD825" s="1008"/>
      <c r="AE825" s="1008"/>
      <c r="AF825" s="1008" t="s">
        <v>670</v>
      </c>
      <c r="AG825" s="1008"/>
      <c r="AH825" s="1008"/>
      <c r="AI825" s="1008"/>
    </row>
    <row r="826" spans="1:35">
      <c r="A826" s="1008">
        <v>26790</v>
      </c>
      <c r="B826" s="1008">
        <v>162</v>
      </c>
      <c r="C826" s="1008">
        <v>10</v>
      </c>
      <c r="D826" s="1009">
        <v>15237999</v>
      </c>
      <c r="E826" s="1009">
        <v>15237202</v>
      </c>
      <c r="F826" s="1007" t="s">
        <v>4072</v>
      </c>
      <c r="G826" s="1007">
        <v>8</v>
      </c>
      <c r="H826" s="1010">
        <v>99999999</v>
      </c>
      <c r="I826" s="1009">
        <v>15237202</v>
      </c>
      <c r="J826" s="1007" t="s">
        <v>4071</v>
      </c>
      <c r="O826" s="1007" t="s">
        <v>648</v>
      </c>
      <c r="P826" s="1007" t="s">
        <v>648</v>
      </c>
      <c r="S826" s="1008" t="s">
        <v>650</v>
      </c>
      <c r="T826" s="1008" t="s">
        <v>654</v>
      </c>
      <c r="U826" s="1008" t="s">
        <v>649</v>
      </c>
      <c r="V826" s="1008" t="s">
        <v>648</v>
      </c>
      <c r="W826" s="1008" t="s">
        <v>546</v>
      </c>
      <c r="X826" s="1008" t="s">
        <v>670</v>
      </c>
      <c r="Y826" s="1008" t="s">
        <v>670</v>
      </c>
      <c r="Z826" s="1008" t="s">
        <v>670</v>
      </c>
      <c r="AA826" s="1008"/>
      <c r="AB826" s="1008" t="s">
        <v>670</v>
      </c>
      <c r="AC826" s="1008"/>
      <c r="AD826" s="1008"/>
      <c r="AE826" s="1008"/>
      <c r="AF826" s="1008" t="s">
        <v>670</v>
      </c>
      <c r="AG826" s="1008"/>
      <c r="AH826" s="1008"/>
      <c r="AI826" s="1008"/>
    </row>
    <row r="827" spans="1:35">
      <c r="A827" s="1008">
        <v>26791</v>
      </c>
      <c r="C827" s="1008">
        <v>9</v>
      </c>
      <c r="D827" s="1009">
        <v>15239999</v>
      </c>
      <c r="E827" s="1009">
        <v>15237999</v>
      </c>
      <c r="F827" s="1007" t="s">
        <v>4070</v>
      </c>
      <c r="O827" s="1007" t="s">
        <v>648</v>
      </c>
      <c r="P827" s="1007" t="s">
        <v>648</v>
      </c>
      <c r="S827" s="1008" t="s">
        <v>650</v>
      </c>
      <c r="T827" s="1008" t="s">
        <v>21</v>
      </c>
      <c r="U827" s="1008" t="s">
        <v>649</v>
      </c>
      <c r="V827" s="1008" t="s">
        <v>648</v>
      </c>
      <c r="W827" s="1008" t="s">
        <v>546</v>
      </c>
      <c r="X827" s="1008"/>
      <c r="Y827" s="1008"/>
      <c r="Z827" s="1008"/>
      <c r="AA827" s="1008"/>
      <c r="AB827" s="1008"/>
      <c r="AC827" s="1008"/>
      <c r="AD827" s="1008"/>
      <c r="AE827" s="1008"/>
      <c r="AF827" s="1008"/>
      <c r="AG827" s="1008"/>
      <c r="AH827" s="1008"/>
      <c r="AI827" s="1008"/>
    </row>
    <row r="828" spans="1:35">
      <c r="A828" s="1008">
        <v>26792</v>
      </c>
      <c r="B828" s="1008">
        <v>158</v>
      </c>
      <c r="C828" s="1008">
        <v>10</v>
      </c>
      <c r="D828" s="1009">
        <v>15239999</v>
      </c>
      <c r="E828" s="1009">
        <v>15239900</v>
      </c>
      <c r="F828" s="1007" t="s">
        <v>4069</v>
      </c>
      <c r="G828" s="1007">
        <v>8</v>
      </c>
      <c r="H828" s="1010">
        <v>99999999</v>
      </c>
      <c r="I828" s="1009">
        <v>15239900</v>
      </c>
      <c r="J828" s="1007" t="s">
        <v>4068</v>
      </c>
      <c r="O828" s="1007" t="s">
        <v>648</v>
      </c>
      <c r="P828" s="1007" t="s">
        <v>648</v>
      </c>
      <c r="S828" s="1008" t="s">
        <v>650</v>
      </c>
      <c r="T828" s="1008" t="s">
        <v>654</v>
      </c>
      <c r="U828" s="1008" t="s">
        <v>649</v>
      </c>
      <c r="V828" s="1008" t="s">
        <v>648</v>
      </c>
      <c r="W828" s="1008" t="s">
        <v>546</v>
      </c>
      <c r="X828" s="1008" t="s">
        <v>670</v>
      </c>
      <c r="Y828" s="1008" t="s">
        <v>670</v>
      </c>
      <c r="Z828" s="1008" t="s">
        <v>670</v>
      </c>
      <c r="AA828" s="1008"/>
      <c r="AB828" s="1008" t="s">
        <v>670</v>
      </c>
      <c r="AC828" s="1008"/>
      <c r="AD828" s="1008"/>
      <c r="AE828" s="1008"/>
      <c r="AF828" s="1008" t="s">
        <v>670</v>
      </c>
      <c r="AG828" s="1008"/>
      <c r="AH828" s="1008"/>
      <c r="AI828" s="1008"/>
    </row>
    <row r="829" spans="1:35">
      <c r="A829" s="1008">
        <v>26793</v>
      </c>
      <c r="C829" s="1008">
        <v>8</v>
      </c>
      <c r="D829" s="1009">
        <v>15399999</v>
      </c>
      <c r="E829" s="1009">
        <v>15239999</v>
      </c>
      <c r="F829" s="1007" t="s">
        <v>4067</v>
      </c>
      <c r="O829" s="1007" t="s">
        <v>648</v>
      </c>
      <c r="P829" s="1007" t="s">
        <v>648</v>
      </c>
      <c r="S829" s="1008" t="s">
        <v>650</v>
      </c>
      <c r="T829" s="1008" t="s">
        <v>21</v>
      </c>
      <c r="U829" s="1008" t="s">
        <v>649</v>
      </c>
      <c r="V829" s="1008" t="s">
        <v>648</v>
      </c>
      <c r="W829" s="1008" t="s">
        <v>546</v>
      </c>
      <c r="X829" s="1008"/>
      <c r="Y829" s="1008"/>
      <c r="Z829" s="1008"/>
      <c r="AA829" s="1008"/>
      <c r="AB829" s="1008"/>
      <c r="AC829" s="1008"/>
      <c r="AD829" s="1008"/>
      <c r="AE829" s="1008"/>
      <c r="AF829" s="1008"/>
      <c r="AG829" s="1008"/>
      <c r="AH829" s="1008"/>
      <c r="AI829" s="1008"/>
    </row>
    <row r="830" spans="1:35">
      <c r="A830" s="1008">
        <v>26794</v>
      </c>
      <c r="C830" s="1008">
        <v>8</v>
      </c>
      <c r="D830" s="1009">
        <v>15245999</v>
      </c>
      <c r="E830" s="1009">
        <v>15245000</v>
      </c>
      <c r="F830" s="1007" t="s">
        <v>4066</v>
      </c>
      <c r="O830" s="1007" t="s">
        <v>648</v>
      </c>
      <c r="P830" s="1007" t="s">
        <v>648</v>
      </c>
      <c r="S830" s="1008" t="s">
        <v>650</v>
      </c>
      <c r="T830" s="1008" t="s">
        <v>675</v>
      </c>
      <c r="U830" s="1008" t="s">
        <v>649</v>
      </c>
      <c r="V830" s="1008" t="s">
        <v>648</v>
      </c>
      <c r="W830" s="1008" t="s">
        <v>546</v>
      </c>
      <c r="X830" s="1008"/>
      <c r="Y830" s="1008"/>
      <c r="Z830" s="1008"/>
      <c r="AA830" s="1008"/>
      <c r="AB830" s="1008"/>
      <c r="AC830" s="1008"/>
      <c r="AD830" s="1008"/>
      <c r="AE830" s="1008"/>
      <c r="AF830" s="1008"/>
      <c r="AG830" s="1008"/>
      <c r="AH830" s="1008"/>
      <c r="AI830" s="1008"/>
    </row>
    <row r="831" spans="1:35">
      <c r="A831" s="1008">
        <v>26664</v>
      </c>
      <c r="B831" s="1008">
        <v>165</v>
      </c>
      <c r="C831" s="1008">
        <v>9</v>
      </c>
      <c r="D831" s="1009">
        <v>15245999</v>
      </c>
      <c r="E831" s="1009">
        <v>15245200</v>
      </c>
      <c r="F831" s="1007" t="s">
        <v>4065</v>
      </c>
      <c r="G831" s="1007">
        <v>8</v>
      </c>
      <c r="H831" s="1010">
        <v>99999999</v>
      </c>
      <c r="I831" s="1009">
        <v>15245200</v>
      </c>
      <c r="J831" s="1007" t="s">
        <v>4064</v>
      </c>
      <c r="O831" s="1007" t="s">
        <v>648</v>
      </c>
      <c r="P831" s="1007" t="s">
        <v>648</v>
      </c>
      <c r="S831" s="1008" t="s">
        <v>650</v>
      </c>
      <c r="T831" s="1008" t="s">
        <v>654</v>
      </c>
      <c r="U831" s="1008" t="s">
        <v>649</v>
      </c>
      <c r="V831" s="1008" t="s">
        <v>648</v>
      </c>
      <c r="W831" s="1008" t="s">
        <v>546</v>
      </c>
      <c r="X831" s="1008" t="s">
        <v>670</v>
      </c>
      <c r="Y831" s="1008" t="s">
        <v>670</v>
      </c>
      <c r="Z831" s="1008" t="s">
        <v>670</v>
      </c>
      <c r="AA831" s="1008"/>
      <c r="AB831" s="1008" t="s">
        <v>670</v>
      </c>
      <c r="AC831" s="1008"/>
      <c r="AD831" s="1008"/>
      <c r="AE831" s="1008"/>
      <c r="AF831" s="1008" t="s">
        <v>670</v>
      </c>
      <c r="AG831" s="1008"/>
      <c r="AH831" s="1008"/>
      <c r="AI831" s="1008"/>
    </row>
    <row r="832" spans="1:35">
      <c r="A832" s="1008">
        <v>26795</v>
      </c>
      <c r="B832" s="1008">
        <v>166</v>
      </c>
      <c r="C832" s="1008">
        <v>9</v>
      </c>
      <c r="D832" s="1009">
        <v>15245999</v>
      </c>
      <c r="E832" s="1009">
        <v>15245201</v>
      </c>
      <c r="F832" s="1007" t="s">
        <v>4063</v>
      </c>
      <c r="G832" s="1007">
        <v>8</v>
      </c>
      <c r="H832" s="1010">
        <v>99999999</v>
      </c>
      <c r="I832" s="1009">
        <v>15245201</v>
      </c>
      <c r="J832" s="1007" t="s">
        <v>4062</v>
      </c>
      <c r="O832" s="1007" t="s">
        <v>648</v>
      </c>
      <c r="P832" s="1007" t="s">
        <v>648</v>
      </c>
      <c r="S832" s="1008" t="s">
        <v>650</v>
      </c>
      <c r="T832" s="1008" t="s">
        <v>654</v>
      </c>
      <c r="U832" s="1008" t="s">
        <v>649</v>
      </c>
      <c r="V832" s="1008" t="s">
        <v>648</v>
      </c>
      <c r="W832" s="1008" t="s">
        <v>546</v>
      </c>
      <c r="X832" s="1008" t="s">
        <v>670</v>
      </c>
      <c r="Y832" s="1008" t="s">
        <v>670</v>
      </c>
      <c r="Z832" s="1008" t="s">
        <v>670</v>
      </c>
      <c r="AA832" s="1008"/>
      <c r="AB832" s="1008" t="s">
        <v>670</v>
      </c>
      <c r="AC832" s="1008"/>
      <c r="AD832" s="1008"/>
      <c r="AE832" s="1008"/>
      <c r="AF832" s="1008" t="s">
        <v>670</v>
      </c>
      <c r="AG832" s="1008"/>
      <c r="AH832" s="1008"/>
      <c r="AI832" s="1008"/>
    </row>
    <row r="833" spans="1:35">
      <c r="A833" s="1008">
        <v>26796</v>
      </c>
      <c r="B833" s="1008">
        <v>167</v>
      </c>
      <c r="C833" s="1008">
        <v>9</v>
      </c>
      <c r="D833" s="1009">
        <v>15245999</v>
      </c>
      <c r="E833" s="1009">
        <v>15245202</v>
      </c>
      <c r="F833" s="1007" t="s">
        <v>4061</v>
      </c>
      <c r="G833" s="1007">
        <v>8</v>
      </c>
      <c r="H833" s="1010">
        <v>99999999</v>
      </c>
      <c r="I833" s="1009">
        <v>15245202</v>
      </c>
      <c r="J833" s="1007" t="s">
        <v>4060</v>
      </c>
      <c r="O833" s="1007" t="s">
        <v>648</v>
      </c>
      <c r="P833" s="1007" t="s">
        <v>648</v>
      </c>
      <c r="S833" s="1008" t="s">
        <v>650</v>
      </c>
      <c r="T833" s="1008" t="s">
        <v>654</v>
      </c>
      <c r="U833" s="1008" t="s">
        <v>649</v>
      </c>
      <c r="V833" s="1008" t="s">
        <v>648</v>
      </c>
      <c r="W833" s="1008" t="s">
        <v>546</v>
      </c>
      <c r="X833" s="1008" t="s">
        <v>670</v>
      </c>
      <c r="Y833" s="1008" t="s">
        <v>670</v>
      </c>
      <c r="Z833" s="1008" t="s">
        <v>670</v>
      </c>
      <c r="AA833" s="1008"/>
      <c r="AB833" s="1008" t="s">
        <v>670</v>
      </c>
      <c r="AC833" s="1008"/>
      <c r="AD833" s="1008"/>
      <c r="AE833" s="1008"/>
      <c r="AF833" s="1008" t="s">
        <v>670</v>
      </c>
      <c r="AG833" s="1008"/>
      <c r="AH833" s="1008"/>
      <c r="AI833" s="1008"/>
    </row>
    <row r="834" spans="1:35">
      <c r="A834" s="1008">
        <v>26797</v>
      </c>
      <c r="B834" s="1008">
        <v>168</v>
      </c>
      <c r="C834" s="1008">
        <v>9</v>
      </c>
      <c r="D834" s="1009">
        <v>15245999</v>
      </c>
      <c r="E834" s="1009">
        <v>15245203</v>
      </c>
      <c r="F834" s="1007" t="s">
        <v>4059</v>
      </c>
      <c r="G834" s="1007">
        <v>8</v>
      </c>
      <c r="H834" s="1010">
        <v>99999999</v>
      </c>
      <c r="I834" s="1009">
        <v>15245203</v>
      </c>
      <c r="J834" s="1007" t="s">
        <v>4058</v>
      </c>
      <c r="O834" s="1007" t="s">
        <v>648</v>
      </c>
      <c r="P834" s="1007" t="s">
        <v>648</v>
      </c>
      <c r="S834" s="1008" t="s">
        <v>650</v>
      </c>
      <c r="T834" s="1008" t="s">
        <v>654</v>
      </c>
      <c r="U834" s="1008" t="s">
        <v>649</v>
      </c>
      <c r="V834" s="1008" t="s">
        <v>648</v>
      </c>
      <c r="W834" s="1008" t="s">
        <v>546</v>
      </c>
      <c r="X834" s="1008" t="s">
        <v>670</v>
      </c>
      <c r="Y834" s="1008" t="s">
        <v>670</v>
      </c>
      <c r="Z834" s="1008" t="s">
        <v>670</v>
      </c>
      <c r="AA834" s="1008"/>
      <c r="AB834" s="1008" t="s">
        <v>670</v>
      </c>
      <c r="AC834" s="1008"/>
      <c r="AD834" s="1008"/>
      <c r="AE834" s="1008"/>
      <c r="AF834" s="1008" t="s">
        <v>670</v>
      </c>
      <c r="AG834" s="1008"/>
      <c r="AH834" s="1008"/>
      <c r="AI834" s="1008"/>
    </row>
    <row r="835" spans="1:35">
      <c r="A835" s="1008">
        <v>26798</v>
      </c>
      <c r="B835" s="1008">
        <v>169</v>
      </c>
      <c r="C835" s="1008">
        <v>9</v>
      </c>
      <c r="D835" s="1009">
        <v>15245999</v>
      </c>
      <c r="E835" s="1009">
        <v>15245204</v>
      </c>
      <c r="F835" s="1007" t="s">
        <v>4057</v>
      </c>
      <c r="G835" s="1007">
        <v>8</v>
      </c>
      <c r="H835" s="1010">
        <v>99999999</v>
      </c>
      <c r="I835" s="1009">
        <v>15245204</v>
      </c>
      <c r="J835" s="1007" t="s">
        <v>4056</v>
      </c>
      <c r="O835" s="1007" t="s">
        <v>648</v>
      </c>
      <c r="P835" s="1007" t="s">
        <v>648</v>
      </c>
      <c r="S835" s="1008" t="s">
        <v>650</v>
      </c>
      <c r="T835" s="1008" t="s">
        <v>654</v>
      </c>
      <c r="U835" s="1008" t="s">
        <v>649</v>
      </c>
      <c r="V835" s="1008" t="s">
        <v>648</v>
      </c>
      <c r="W835" s="1008" t="s">
        <v>546</v>
      </c>
      <c r="X835" s="1008" t="s">
        <v>670</v>
      </c>
      <c r="Y835" s="1008" t="s">
        <v>670</v>
      </c>
      <c r="Z835" s="1008" t="s">
        <v>670</v>
      </c>
      <c r="AA835" s="1008"/>
      <c r="AB835" s="1008" t="s">
        <v>670</v>
      </c>
      <c r="AC835" s="1008"/>
      <c r="AD835" s="1008"/>
      <c r="AE835" s="1008"/>
      <c r="AF835" s="1008" t="s">
        <v>670</v>
      </c>
      <c r="AG835" s="1008"/>
      <c r="AH835" s="1008"/>
      <c r="AI835" s="1008"/>
    </row>
    <row r="836" spans="1:35">
      <c r="A836" s="1008">
        <v>26799</v>
      </c>
      <c r="B836" s="1008">
        <v>170</v>
      </c>
      <c r="C836" s="1008">
        <v>9</v>
      </c>
      <c r="D836" s="1009">
        <v>15245999</v>
      </c>
      <c r="E836" s="1009">
        <v>15245205</v>
      </c>
      <c r="F836" s="1007" t="s">
        <v>4055</v>
      </c>
      <c r="G836" s="1007">
        <v>8</v>
      </c>
      <c r="H836" s="1010">
        <v>99999999</v>
      </c>
      <c r="I836" s="1009">
        <v>15245205</v>
      </c>
      <c r="J836" s="1007" t="s">
        <v>4054</v>
      </c>
      <c r="O836" s="1007" t="s">
        <v>648</v>
      </c>
      <c r="P836" s="1007" t="s">
        <v>648</v>
      </c>
      <c r="S836" s="1008" t="s">
        <v>650</v>
      </c>
      <c r="T836" s="1008" t="s">
        <v>654</v>
      </c>
      <c r="U836" s="1008" t="s">
        <v>649</v>
      </c>
      <c r="V836" s="1008" t="s">
        <v>648</v>
      </c>
      <c r="W836" s="1008" t="s">
        <v>546</v>
      </c>
      <c r="X836" s="1008" t="s">
        <v>670</v>
      </c>
      <c r="Y836" s="1008" t="s">
        <v>670</v>
      </c>
      <c r="Z836" s="1008" t="s">
        <v>670</v>
      </c>
      <c r="AA836" s="1008"/>
      <c r="AB836" s="1008" t="s">
        <v>670</v>
      </c>
      <c r="AC836" s="1008"/>
      <c r="AD836" s="1008"/>
      <c r="AE836" s="1008"/>
      <c r="AF836" s="1008" t="s">
        <v>670</v>
      </c>
      <c r="AG836" s="1008"/>
      <c r="AH836" s="1008"/>
      <c r="AI836" s="1008"/>
    </row>
    <row r="837" spans="1:35">
      <c r="A837" s="1008">
        <v>26800</v>
      </c>
      <c r="B837" s="1008">
        <v>171</v>
      </c>
      <c r="C837" s="1008">
        <v>9</v>
      </c>
      <c r="D837" s="1009">
        <v>15245999</v>
      </c>
      <c r="E837" s="1009">
        <v>15245206</v>
      </c>
      <c r="F837" s="1007" t="s">
        <v>4053</v>
      </c>
      <c r="G837" s="1007">
        <v>8</v>
      </c>
      <c r="H837" s="1010">
        <v>99999999</v>
      </c>
      <c r="I837" s="1009">
        <v>15245206</v>
      </c>
      <c r="J837" s="1007" t="s">
        <v>4052</v>
      </c>
      <c r="O837" s="1007" t="s">
        <v>648</v>
      </c>
      <c r="P837" s="1007" t="s">
        <v>648</v>
      </c>
      <c r="S837" s="1008" t="s">
        <v>650</v>
      </c>
      <c r="T837" s="1008" t="s">
        <v>654</v>
      </c>
      <c r="U837" s="1008" t="s">
        <v>649</v>
      </c>
      <c r="V837" s="1008" t="s">
        <v>648</v>
      </c>
      <c r="W837" s="1008" t="s">
        <v>546</v>
      </c>
      <c r="X837" s="1008" t="s">
        <v>670</v>
      </c>
      <c r="Y837" s="1008" t="s">
        <v>670</v>
      </c>
      <c r="Z837" s="1008" t="s">
        <v>670</v>
      </c>
      <c r="AA837" s="1008"/>
      <c r="AB837" s="1008" t="s">
        <v>670</v>
      </c>
      <c r="AC837" s="1008"/>
      <c r="AD837" s="1008"/>
      <c r="AE837" s="1008"/>
      <c r="AF837" s="1008" t="s">
        <v>670</v>
      </c>
      <c r="AG837" s="1008"/>
      <c r="AH837" s="1008"/>
      <c r="AI837" s="1008"/>
    </row>
    <row r="838" spans="1:35">
      <c r="A838" s="1008">
        <v>26801</v>
      </c>
      <c r="B838" s="1008">
        <v>172</v>
      </c>
      <c r="C838" s="1008">
        <v>9</v>
      </c>
      <c r="D838" s="1009">
        <v>15245999</v>
      </c>
      <c r="E838" s="1009">
        <v>15245207</v>
      </c>
      <c r="F838" s="1007" t="s">
        <v>4051</v>
      </c>
      <c r="G838" s="1007">
        <v>8</v>
      </c>
      <c r="H838" s="1010">
        <v>99999999</v>
      </c>
      <c r="I838" s="1009">
        <v>15245207</v>
      </c>
      <c r="J838" s="1007" t="s">
        <v>4050</v>
      </c>
      <c r="O838" s="1007" t="s">
        <v>648</v>
      </c>
      <c r="P838" s="1007" t="s">
        <v>648</v>
      </c>
      <c r="S838" s="1008" t="s">
        <v>650</v>
      </c>
      <c r="T838" s="1008" t="s">
        <v>654</v>
      </c>
      <c r="U838" s="1008" t="s">
        <v>649</v>
      </c>
      <c r="V838" s="1008" t="s">
        <v>648</v>
      </c>
      <c r="W838" s="1008" t="s">
        <v>546</v>
      </c>
      <c r="X838" s="1008" t="s">
        <v>670</v>
      </c>
      <c r="Y838" s="1008" t="s">
        <v>670</v>
      </c>
      <c r="Z838" s="1008" t="s">
        <v>670</v>
      </c>
      <c r="AA838" s="1008"/>
      <c r="AB838" s="1008" t="s">
        <v>670</v>
      </c>
      <c r="AC838" s="1008"/>
      <c r="AD838" s="1008"/>
      <c r="AE838" s="1008"/>
      <c r="AF838" s="1008" t="s">
        <v>670</v>
      </c>
      <c r="AG838" s="1008"/>
      <c r="AH838" s="1008"/>
      <c r="AI838" s="1008"/>
    </row>
    <row r="839" spans="1:35">
      <c r="A839" s="1008">
        <v>26802</v>
      </c>
      <c r="B839" s="1008">
        <v>173</v>
      </c>
      <c r="C839" s="1008">
        <v>9</v>
      </c>
      <c r="D839" s="1009">
        <v>15245999</v>
      </c>
      <c r="E839" s="1009">
        <v>15245208</v>
      </c>
      <c r="F839" s="1007" t="s">
        <v>4049</v>
      </c>
      <c r="G839" s="1007">
        <v>8</v>
      </c>
      <c r="H839" s="1010">
        <v>99999999</v>
      </c>
      <c r="I839" s="1009">
        <v>15245208</v>
      </c>
      <c r="J839" s="1007" t="s">
        <v>4048</v>
      </c>
      <c r="O839" s="1007" t="s">
        <v>648</v>
      </c>
      <c r="P839" s="1007" t="s">
        <v>648</v>
      </c>
      <c r="S839" s="1008" t="s">
        <v>650</v>
      </c>
      <c r="T839" s="1008" t="s">
        <v>654</v>
      </c>
      <c r="U839" s="1008" t="s">
        <v>649</v>
      </c>
      <c r="V839" s="1008" t="s">
        <v>648</v>
      </c>
      <c r="W839" s="1008" t="s">
        <v>546</v>
      </c>
      <c r="X839" s="1008" t="s">
        <v>670</v>
      </c>
      <c r="Y839" s="1008" t="s">
        <v>670</v>
      </c>
      <c r="Z839" s="1008" t="s">
        <v>670</v>
      </c>
      <c r="AA839" s="1008"/>
      <c r="AB839" s="1008" t="s">
        <v>670</v>
      </c>
      <c r="AC839" s="1008"/>
      <c r="AD839" s="1008"/>
      <c r="AE839" s="1008"/>
      <c r="AF839" s="1008" t="s">
        <v>670</v>
      </c>
      <c r="AG839" s="1008"/>
      <c r="AH839" s="1008"/>
      <c r="AI839" s="1008"/>
    </row>
    <row r="840" spans="1:35">
      <c r="A840" s="1008">
        <v>26803</v>
      </c>
      <c r="B840" s="1008">
        <v>174</v>
      </c>
      <c r="C840" s="1008">
        <v>9</v>
      </c>
      <c r="D840" s="1009">
        <v>15245999</v>
      </c>
      <c r="E840" s="1009">
        <v>15245209</v>
      </c>
      <c r="F840" s="1007" t="s">
        <v>4047</v>
      </c>
      <c r="G840" s="1007">
        <v>8</v>
      </c>
      <c r="H840" s="1010">
        <v>99999999</v>
      </c>
      <c r="I840" s="1009">
        <v>15245209</v>
      </c>
      <c r="J840" s="1007" t="s">
        <v>4046</v>
      </c>
      <c r="O840" s="1007" t="s">
        <v>648</v>
      </c>
      <c r="P840" s="1007" t="s">
        <v>648</v>
      </c>
      <c r="S840" s="1008" t="s">
        <v>650</v>
      </c>
      <c r="T840" s="1008" t="s">
        <v>654</v>
      </c>
      <c r="U840" s="1008" t="s">
        <v>649</v>
      </c>
      <c r="V840" s="1008" t="s">
        <v>648</v>
      </c>
      <c r="W840" s="1008" t="s">
        <v>546</v>
      </c>
      <c r="X840" s="1008" t="s">
        <v>670</v>
      </c>
      <c r="Y840" s="1008" t="s">
        <v>670</v>
      </c>
      <c r="Z840" s="1008" t="s">
        <v>670</v>
      </c>
      <c r="AA840" s="1008"/>
      <c r="AB840" s="1008" t="s">
        <v>670</v>
      </c>
      <c r="AC840" s="1008"/>
      <c r="AD840" s="1008"/>
      <c r="AE840" s="1008"/>
      <c r="AF840" s="1008" t="s">
        <v>670</v>
      </c>
      <c r="AG840" s="1008"/>
      <c r="AH840" s="1008"/>
      <c r="AI840" s="1008"/>
    </row>
    <row r="841" spans="1:35">
      <c r="A841" s="1008">
        <v>27617</v>
      </c>
      <c r="B841" s="1008">
        <v>6455</v>
      </c>
      <c r="C841" s="1008">
        <v>9</v>
      </c>
      <c r="D841" s="1009">
        <v>15245999</v>
      </c>
      <c r="E841" s="1009">
        <v>15245210</v>
      </c>
      <c r="F841" s="1007" t="s">
        <v>4045</v>
      </c>
      <c r="G841" s="1007">
        <v>8</v>
      </c>
      <c r="H841" s="1010">
        <v>99999999</v>
      </c>
      <c r="I841" s="1009">
        <v>15245210</v>
      </c>
      <c r="J841" s="1007" t="s">
        <v>4044</v>
      </c>
      <c r="O841" s="1007" t="s">
        <v>648</v>
      </c>
      <c r="P841" s="1007" t="s">
        <v>648</v>
      </c>
      <c r="S841" s="1008" t="s">
        <v>650</v>
      </c>
      <c r="T841" s="1008" t="s">
        <v>654</v>
      </c>
      <c r="U841" s="1008" t="s">
        <v>649</v>
      </c>
      <c r="V841" s="1008" t="s">
        <v>648</v>
      </c>
      <c r="W841" s="1008" t="s">
        <v>546</v>
      </c>
      <c r="X841" s="1008" t="s">
        <v>670</v>
      </c>
      <c r="Y841" s="1008" t="s">
        <v>670</v>
      </c>
      <c r="Z841" s="1008" t="s">
        <v>670</v>
      </c>
      <c r="AA841" s="1008"/>
      <c r="AB841" s="1008" t="s">
        <v>670</v>
      </c>
      <c r="AC841" s="1008"/>
      <c r="AD841" s="1008"/>
      <c r="AE841" s="1008"/>
      <c r="AF841" s="1008" t="s">
        <v>670</v>
      </c>
      <c r="AG841" s="1008"/>
      <c r="AH841" s="1008"/>
      <c r="AI841" s="1008"/>
    </row>
    <row r="842" spans="1:35">
      <c r="A842" s="1008">
        <v>27666</v>
      </c>
      <c r="B842" s="1008">
        <v>6496</v>
      </c>
      <c r="C842" s="1008">
        <v>9</v>
      </c>
      <c r="D842" s="1009">
        <v>15245999</v>
      </c>
      <c r="E842" s="1009">
        <v>15245211</v>
      </c>
      <c r="F842" s="1007" t="s">
        <v>4043</v>
      </c>
      <c r="G842" s="1007">
        <v>8</v>
      </c>
      <c r="H842" s="1010">
        <v>99999999</v>
      </c>
      <c r="I842" s="1009">
        <v>15245211</v>
      </c>
      <c r="J842" s="1007" t="s">
        <v>4042</v>
      </c>
      <c r="O842" s="1007" t="s">
        <v>648</v>
      </c>
      <c r="P842" s="1007" t="s">
        <v>648</v>
      </c>
      <c r="S842" s="1008" t="s">
        <v>650</v>
      </c>
      <c r="T842" s="1008" t="s">
        <v>654</v>
      </c>
      <c r="U842" s="1008" t="s">
        <v>649</v>
      </c>
      <c r="V842" s="1008" t="s">
        <v>648</v>
      </c>
      <c r="W842" s="1008" t="s">
        <v>546</v>
      </c>
      <c r="X842" s="1008" t="s">
        <v>670</v>
      </c>
      <c r="Y842" s="1008" t="s">
        <v>670</v>
      </c>
      <c r="Z842" s="1008" t="s">
        <v>670</v>
      </c>
      <c r="AA842" s="1008"/>
      <c r="AB842" s="1008"/>
      <c r="AC842" s="1008"/>
      <c r="AD842" s="1008"/>
      <c r="AE842" s="1008"/>
      <c r="AF842" s="1008" t="s">
        <v>670</v>
      </c>
      <c r="AG842" s="1008"/>
      <c r="AH842" s="1008"/>
      <c r="AI842" s="1008"/>
    </row>
    <row r="843" spans="1:35">
      <c r="A843" s="1008">
        <v>27740</v>
      </c>
      <c r="B843" s="1008">
        <v>6558</v>
      </c>
      <c r="C843" s="1008">
        <v>9</v>
      </c>
      <c r="D843" s="1009">
        <v>15245999</v>
      </c>
      <c r="E843" s="1009">
        <v>15245212</v>
      </c>
      <c r="F843" s="1007" t="s">
        <v>4041</v>
      </c>
      <c r="G843" s="1007">
        <v>8</v>
      </c>
      <c r="H843" s="1010">
        <v>99999999</v>
      </c>
      <c r="I843" s="1009">
        <v>15245212</v>
      </c>
      <c r="J843" s="1007" t="s">
        <v>4040</v>
      </c>
      <c r="O843" s="1007" t="s">
        <v>648</v>
      </c>
      <c r="P843" s="1007" t="s">
        <v>648</v>
      </c>
      <c r="S843" s="1008" t="s">
        <v>650</v>
      </c>
      <c r="T843" s="1008" t="s">
        <v>654</v>
      </c>
      <c r="U843" s="1008" t="s">
        <v>649</v>
      </c>
      <c r="V843" s="1008" t="s">
        <v>648</v>
      </c>
      <c r="W843" s="1008" t="s">
        <v>546</v>
      </c>
      <c r="X843" s="1008" t="s">
        <v>670</v>
      </c>
      <c r="Y843" s="1008" t="s">
        <v>670</v>
      </c>
      <c r="Z843" s="1008" t="s">
        <v>670</v>
      </c>
      <c r="AA843" s="1008"/>
      <c r="AB843" s="1008" t="s">
        <v>670</v>
      </c>
      <c r="AC843" s="1008"/>
      <c r="AD843" s="1008"/>
      <c r="AE843" s="1008"/>
      <c r="AF843" s="1008" t="s">
        <v>670</v>
      </c>
      <c r="AG843" s="1008"/>
      <c r="AH843" s="1008"/>
      <c r="AI843" s="1008"/>
    </row>
    <row r="844" spans="1:35">
      <c r="A844" s="1008">
        <v>26804</v>
      </c>
      <c r="B844" s="1008">
        <v>175</v>
      </c>
      <c r="C844" s="1008">
        <v>9</v>
      </c>
      <c r="D844" s="1009">
        <v>15245999</v>
      </c>
      <c r="E844" s="1009">
        <v>15245900</v>
      </c>
      <c r="F844" s="1007" t="s">
        <v>4039</v>
      </c>
      <c r="G844" s="1007">
        <v>8</v>
      </c>
      <c r="H844" s="1010">
        <v>99999999</v>
      </c>
      <c r="I844" s="1009">
        <v>15245900</v>
      </c>
      <c r="J844" s="1007" t="s">
        <v>4038</v>
      </c>
      <c r="O844" s="1007" t="s">
        <v>648</v>
      </c>
      <c r="P844" s="1007" t="s">
        <v>648</v>
      </c>
      <c r="S844" s="1008" t="s">
        <v>650</v>
      </c>
      <c r="T844" s="1008" t="s">
        <v>654</v>
      </c>
      <c r="U844" s="1008" t="s">
        <v>649</v>
      </c>
      <c r="V844" s="1008" t="s">
        <v>648</v>
      </c>
      <c r="W844" s="1008" t="s">
        <v>546</v>
      </c>
      <c r="X844" s="1008" t="s">
        <v>670</v>
      </c>
      <c r="Y844" s="1008" t="s">
        <v>670</v>
      </c>
      <c r="Z844" s="1008" t="s">
        <v>670</v>
      </c>
      <c r="AA844" s="1008"/>
      <c r="AB844" s="1008" t="s">
        <v>670</v>
      </c>
      <c r="AC844" s="1008"/>
      <c r="AD844" s="1008"/>
      <c r="AE844" s="1008"/>
      <c r="AF844" s="1008" t="s">
        <v>670</v>
      </c>
      <c r="AG844" s="1008"/>
      <c r="AH844" s="1008"/>
      <c r="AI844" s="1008"/>
    </row>
    <row r="845" spans="1:35">
      <c r="A845" s="1008">
        <v>26805</v>
      </c>
      <c r="C845" s="1008">
        <v>8</v>
      </c>
      <c r="D845" s="1009">
        <v>15399999</v>
      </c>
      <c r="E845" s="1009">
        <v>15245999</v>
      </c>
      <c r="F845" s="1007" t="s">
        <v>4037</v>
      </c>
      <c r="O845" s="1007" t="s">
        <v>648</v>
      </c>
      <c r="P845" s="1007" t="s">
        <v>648</v>
      </c>
      <c r="S845" s="1008" t="s">
        <v>650</v>
      </c>
      <c r="T845" s="1008" t="s">
        <v>21</v>
      </c>
      <c r="U845" s="1008" t="s">
        <v>649</v>
      </c>
      <c r="V845" s="1008" t="s">
        <v>648</v>
      </c>
      <c r="W845" s="1008" t="s">
        <v>546</v>
      </c>
      <c r="X845" s="1008"/>
      <c r="Y845" s="1008"/>
      <c r="Z845" s="1008"/>
      <c r="AA845" s="1008"/>
      <c r="AB845" s="1008"/>
      <c r="AC845" s="1008"/>
      <c r="AD845" s="1008"/>
      <c r="AE845" s="1008"/>
      <c r="AF845" s="1008"/>
      <c r="AG845" s="1008"/>
      <c r="AH845" s="1008"/>
      <c r="AI845" s="1008"/>
    </row>
    <row r="846" spans="1:35">
      <c r="A846" s="1008">
        <v>26806</v>
      </c>
      <c r="C846" s="1008">
        <v>8</v>
      </c>
      <c r="D846" s="1009">
        <v>15250999</v>
      </c>
      <c r="E846" s="1009">
        <v>15250000</v>
      </c>
      <c r="F846" s="1007" t="s">
        <v>4036</v>
      </c>
      <c r="O846" s="1007" t="s">
        <v>648</v>
      </c>
      <c r="P846" s="1007" t="s">
        <v>648</v>
      </c>
      <c r="S846" s="1008" t="s">
        <v>650</v>
      </c>
      <c r="T846" s="1008" t="s">
        <v>675</v>
      </c>
      <c r="U846" s="1008" t="s">
        <v>649</v>
      </c>
      <c r="V846" s="1008" t="s">
        <v>648</v>
      </c>
      <c r="W846" s="1008" t="s">
        <v>546</v>
      </c>
      <c r="X846" s="1008"/>
      <c r="Y846" s="1008"/>
      <c r="Z846" s="1008"/>
      <c r="AA846" s="1008"/>
      <c r="AB846" s="1008"/>
      <c r="AC846" s="1008"/>
      <c r="AD846" s="1008"/>
      <c r="AE846" s="1008"/>
      <c r="AF846" s="1008"/>
      <c r="AG846" s="1008"/>
      <c r="AH846" s="1008"/>
      <c r="AI846" s="1008"/>
    </row>
    <row r="847" spans="1:35">
      <c r="A847" s="1008">
        <v>26665</v>
      </c>
      <c r="B847" s="1008">
        <v>176</v>
      </c>
      <c r="C847" s="1008">
        <v>9</v>
      </c>
      <c r="D847" s="1009">
        <v>15250999</v>
      </c>
      <c r="E847" s="1009">
        <v>15250200</v>
      </c>
      <c r="F847" s="1007" t="s">
        <v>4035</v>
      </c>
      <c r="G847" s="1007">
        <v>8</v>
      </c>
      <c r="H847" s="1010">
        <v>99999999</v>
      </c>
      <c r="I847" s="1009">
        <v>15250200</v>
      </c>
      <c r="J847" s="1007" t="s">
        <v>4034</v>
      </c>
      <c r="O847" s="1007" t="s">
        <v>648</v>
      </c>
      <c r="P847" s="1007" t="s">
        <v>648</v>
      </c>
      <c r="S847" s="1008" t="s">
        <v>650</v>
      </c>
      <c r="T847" s="1008" t="s">
        <v>654</v>
      </c>
      <c r="U847" s="1008" t="s">
        <v>649</v>
      </c>
      <c r="V847" s="1008" t="s">
        <v>648</v>
      </c>
      <c r="W847" s="1008" t="s">
        <v>546</v>
      </c>
      <c r="X847" s="1008" t="s">
        <v>670</v>
      </c>
      <c r="Y847" s="1008" t="s">
        <v>670</v>
      </c>
      <c r="Z847" s="1008" t="s">
        <v>670</v>
      </c>
      <c r="AA847" s="1008"/>
      <c r="AB847" s="1008" t="s">
        <v>670</v>
      </c>
      <c r="AC847" s="1008"/>
      <c r="AD847" s="1008"/>
      <c r="AE847" s="1008"/>
      <c r="AF847" s="1008" t="s">
        <v>670</v>
      </c>
      <c r="AG847" s="1008"/>
      <c r="AH847" s="1008"/>
      <c r="AI847" s="1008"/>
    </row>
    <row r="848" spans="1:35">
      <c r="A848" s="1008">
        <v>26807</v>
      </c>
      <c r="B848" s="1008">
        <v>177</v>
      </c>
      <c r="C848" s="1008">
        <v>9</v>
      </c>
      <c r="D848" s="1009">
        <v>15250999</v>
      </c>
      <c r="E848" s="1009">
        <v>15250202</v>
      </c>
      <c r="F848" s="1007" t="s">
        <v>4033</v>
      </c>
      <c r="G848" s="1007">
        <v>8</v>
      </c>
      <c r="H848" s="1010">
        <v>99999999</v>
      </c>
      <c r="I848" s="1009">
        <v>15250202</v>
      </c>
      <c r="J848" s="1007" t="s">
        <v>4032</v>
      </c>
      <c r="O848" s="1007" t="s">
        <v>648</v>
      </c>
      <c r="P848" s="1007" t="s">
        <v>648</v>
      </c>
      <c r="S848" s="1008" t="s">
        <v>650</v>
      </c>
      <c r="T848" s="1008" t="s">
        <v>654</v>
      </c>
      <c r="U848" s="1008" t="s">
        <v>649</v>
      </c>
      <c r="V848" s="1008" t="s">
        <v>648</v>
      </c>
      <c r="W848" s="1008" t="s">
        <v>546</v>
      </c>
      <c r="X848" s="1008" t="s">
        <v>670</v>
      </c>
      <c r="Y848" s="1008" t="s">
        <v>670</v>
      </c>
      <c r="Z848" s="1008" t="s">
        <v>670</v>
      </c>
      <c r="AA848" s="1008"/>
      <c r="AB848" s="1008" t="s">
        <v>670</v>
      </c>
      <c r="AC848" s="1008"/>
      <c r="AD848" s="1008"/>
      <c r="AE848" s="1008"/>
      <c r="AF848" s="1008" t="s">
        <v>670</v>
      </c>
      <c r="AG848" s="1008"/>
      <c r="AH848" s="1008"/>
      <c r="AI848" s="1008"/>
    </row>
    <row r="849" spans="1:35">
      <c r="A849" s="1008">
        <v>26808</v>
      </c>
      <c r="B849" s="1008">
        <v>178</v>
      </c>
      <c r="C849" s="1008">
        <v>9</v>
      </c>
      <c r="D849" s="1009">
        <v>15250999</v>
      </c>
      <c r="E849" s="1009">
        <v>15250204</v>
      </c>
      <c r="F849" s="1007" t="s">
        <v>4031</v>
      </c>
      <c r="G849" s="1007">
        <v>8</v>
      </c>
      <c r="H849" s="1010">
        <v>99999999</v>
      </c>
      <c r="I849" s="1009">
        <v>15250204</v>
      </c>
      <c r="J849" s="1007" t="s">
        <v>4030</v>
      </c>
      <c r="O849" s="1007" t="s">
        <v>648</v>
      </c>
      <c r="P849" s="1007" t="s">
        <v>648</v>
      </c>
      <c r="S849" s="1008" t="s">
        <v>650</v>
      </c>
      <c r="T849" s="1008" t="s">
        <v>654</v>
      </c>
      <c r="U849" s="1008" t="s">
        <v>649</v>
      </c>
      <c r="V849" s="1008" t="s">
        <v>648</v>
      </c>
      <c r="W849" s="1008" t="s">
        <v>546</v>
      </c>
      <c r="X849" s="1008" t="s">
        <v>670</v>
      </c>
      <c r="Y849" s="1008" t="s">
        <v>670</v>
      </c>
      <c r="Z849" s="1008" t="s">
        <v>670</v>
      </c>
      <c r="AA849" s="1008"/>
      <c r="AB849" s="1008" t="s">
        <v>670</v>
      </c>
      <c r="AC849" s="1008"/>
      <c r="AD849" s="1008"/>
      <c r="AE849" s="1008"/>
      <c r="AF849" s="1008" t="s">
        <v>670</v>
      </c>
      <c r="AG849" s="1008"/>
      <c r="AH849" s="1008"/>
      <c r="AI849" s="1008"/>
    </row>
    <row r="850" spans="1:35">
      <c r="A850" s="1008">
        <v>26809</v>
      </c>
      <c r="B850" s="1008">
        <v>179</v>
      </c>
      <c r="C850" s="1008">
        <v>9</v>
      </c>
      <c r="D850" s="1009">
        <v>15250999</v>
      </c>
      <c r="E850" s="1009">
        <v>15250206</v>
      </c>
      <c r="F850" s="1007" t="s">
        <v>4029</v>
      </c>
      <c r="G850" s="1007">
        <v>8</v>
      </c>
      <c r="H850" s="1010">
        <v>99999999</v>
      </c>
      <c r="I850" s="1009">
        <v>15250206</v>
      </c>
      <c r="J850" s="1007" t="s">
        <v>4028</v>
      </c>
      <c r="O850" s="1007" t="s">
        <v>648</v>
      </c>
      <c r="P850" s="1007" t="s">
        <v>648</v>
      </c>
      <c r="S850" s="1008" t="s">
        <v>650</v>
      </c>
      <c r="T850" s="1008" t="s">
        <v>654</v>
      </c>
      <c r="U850" s="1008" t="s">
        <v>649</v>
      </c>
      <c r="V850" s="1008" t="s">
        <v>648</v>
      </c>
      <c r="W850" s="1008" t="s">
        <v>546</v>
      </c>
      <c r="X850" s="1008" t="s">
        <v>670</v>
      </c>
      <c r="Y850" s="1008" t="s">
        <v>670</v>
      </c>
      <c r="Z850" s="1008" t="s">
        <v>670</v>
      </c>
      <c r="AA850" s="1008"/>
      <c r="AB850" s="1008" t="s">
        <v>670</v>
      </c>
      <c r="AC850" s="1008"/>
      <c r="AD850" s="1008"/>
      <c r="AE850" s="1008"/>
      <c r="AF850" s="1008" t="s">
        <v>670</v>
      </c>
      <c r="AG850" s="1008"/>
      <c r="AH850" s="1008"/>
      <c r="AI850" s="1008"/>
    </row>
    <row r="851" spans="1:35">
      <c r="A851" s="1008">
        <v>26810</v>
      </c>
      <c r="B851" s="1008">
        <v>180</v>
      </c>
      <c r="C851" s="1008">
        <v>9</v>
      </c>
      <c r="D851" s="1009">
        <v>15250999</v>
      </c>
      <c r="E851" s="1009">
        <v>15250208</v>
      </c>
      <c r="F851" s="1007" t="s">
        <v>4027</v>
      </c>
      <c r="G851" s="1007">
        <v>8</v>
      </c>
      <c r="H851" s="1010">
        <v>99999999</v>
      </c>
      <c r="I851" s="1009">
        <v>15250208</v>
      </c>
      <c r="J851" s="1007" t="s">
        <v>4026</v>
      </c>
      <c r="O851" s="1007" t="s">
        <v>648</v>
      </c>
      <c r="P851" s="1007" t="s">
        <v>648</v>
      </c>
      <c r="S851" s="1008" t="s">
        <v>650</v>
      </c>
      <c r="T851" s="1008" t="s">
        <v>654</v>
      </c>
      <c r="U851" s="1008" t="s">
        <v>649</v>
      </c>
      <c r="V851" s="1008" t="s">
        <v>648</v>
      </c>
      <c r="W851" s="1008" t="s">
        <v>546</v>
      </c>
      <c r="X851" s="1008" t="s">
        <v>670</v>
      </c>
      <c r="Y851" s="1008" t="s">
        <v>670</v>
      </c>
      <c r="Z851" s="1008" t="s">
        <v>670</v>
      </c>
      <c r="AA851" s="1008"/>
      <c r="AB851" s="1008" t="s">
        <v>670</v>
      </c>
      <c r="AC851" s="1008"/>
      <c r="AD851" s="1008"/>
      <c r="AE851" s="1008"/>
      <c r="AF851" s="1008" t="s">
        <v>670</v>
      </c>
      <c r="AG851" s="1008"/>
      <c r="AH851" s="1008"/>
      <c r="AI851" s="1008"/>
    </row>
    <row r="852" spans="1:35">
      <c r="A852" s="1008">
        <v>26811</v>
      </c>
      <c r="B852" s="1008">
        <v>181</v>
      </c>
      <c r="C852" s="1008">
        <v>9</v>
      </c>
      <c r="D852" s="1009">
        <v>15250999</v>
      </c>
      <c r="E852" s="1009">
        <v>15250210</v>
      </c>
      <c r="F852" s="1007" t="s">
        <v>4025</v>
      </c>
      <c r="G852" s="1007">
        <v>8</v>
      </c>
      <c r="H852" s="1010">
        <v>99999999</v>
      </c>
      <c r="I852" s="1009">
        <v>15250210</v>
      </c>
      <c r="J852" s="1007" t="s">
        <v>4024</v>
      </c>
      <c r="O852" s="1007" t="s">
        <v>648</v>
      </c>
      <c r="P852" s="1007" t="s">
        <v>648</v>
      </c>
      <c r="S852" s="1008" t="s">
        <v>650</v>
      </c>
      <c r="T852" s="1008" t="s">
        <v>654</v>
      </c>
      <c r="U852" s="1008" t="s">
        <v>649</v>
      </c>
      <c r="V852" s="1008" t="s">
        <v>648</v>
      </c>
      <c r="W852" s="1008" t="s">
        <v>546</v>
      </c>
      <c r="X852" s="1008" t="s">
        <v>670</v>
      </c>
      <c r="Y852" s="1008" t="s">
        <v>670</v>
      </c>
      <c r="Z852" s="1008" t="s">
        <v>670</v>
      </c>
      <c r="AA852" s="1008"/>
      <c r="AB852" s="1008" t="s">
        <v>670</v>
      </c>
      <c r="AC852" s="1008"/>
      <c r="AD852" s="1008"/>
      <c r="AE852" s="1008"/>
      <c r="AF852" s="1008" t="s">
        <v>670</v>
      </c>
      <c r="AG852" s="1008"/>
      <c r="AH852" s="1008"/>
      <c r="AI852" s="1008"/>
    </row>
    <row r="853" spans="1:35">
      <c r="A853" s="1008">
        <v>26812</v>
      </c>
      <c r="B853" s="1008">
        <v>1270</v>
      </c>
      <c r="C853" s="1008">
        <v>9</v>
      </c>
      <c r="D853" s="1009">
        <v>15250999</v>
      </c>
      <c r="E853" s="1009">
        <v>15250212</v>
      </c>
      <c r="F853" s="1007" t="s">
        <v>4023</v>
      </c>
      <c r="G853" s="1007">
        <v>8</v>
      </c>
      <c r="H853" s="1010">
        <v>99999999</v>
      </c>
      <c r="I853" s="1009">
        <v>15250212</v>
      </c>
      <c r="J853" s="1007" t="s">
        <v>4022</v>
      </c>
      <c r="O853" s="1007" t="s">
        <v>648</v>
      </c>
      <c r="P853" s="1007" t="s">
        <v>648</v>
      </c>
      <c r="S853" s="1008" t="s">
        <v>650</v>
      </c>
      <c r="T853" s="1008" t="s">
        <v>654</v>
      </c>
      <c r="U853" s="1008" t="s">
        <v>649</v>
      </c>
      <c r="V853" s="1008" t="s">
        <v>648</v>
      </c>
      <c r="W853" s="1008" t="s">
        <v>546</v>
      </c>
      <c r="X853" s="1008" t="s">
        <v>670</v>
      </c>
      <c r="Y853" s="1008" t="s">
        <v>670</v>
      </c>
      <c r="Z853" s="1008" t="s">
        <v>670</v>
      </c>
      <c r="AA853" s="1008"/>
      <c r="AB853" s="1008" t="s">
        <v>670</v>
      </c>
      <c r="AC853" s="1008"/>
      <c r="AD853" s="1008"/>
      <c r="AE853" s="1008"/>
      <c r="AF853" s="1008" t="s">
        <v>670</v>
      </c>
      <c r="AG853" s="1008"/>
      <c r="AH853" s="1008"/>
      <c r="AI853" s="1008"/>
    </row>
    <row r="854" spans="1:35">
      <c r="A854" s="1008">
        <v>26813</v>
      </c>
      <c r="B854" s="1008">
        <v>182</v>
      </c>
      <c r="C854" s="1008">
        <v>9</v>
      </c>
      <c r="D854" s="1009">
        <v>15250999</v>
      </c>
      <c r="E854" s="1009">
        <v>15250214</v>
      </c>
      <c r="F854" s="1007" t="s">
        <v>4021</v>
      </c>
      <c r="G854" s="1007">
        <v>8</v>
      </c>
      <c r="H854" s="1010">
        <v>99999999</v>
      </c>
      <c r="I854" s="1009">
        <v>15250214</v>
      </c>
      <c r="J854" s="1007" t="s">
        <v>4020</v>
      </c>
      <c r="O854" s="1007" t="s">
        <v>648</v>
      </c>
      <c r="P854" s="1007" t="s">
        <v>648</v>
      </c>
      <c r="S854" s="1008" t="s">
        <v>650</v>
      </c>
      <c r="T854" s="1008" t="s">
        <v>654</v>
      </c>
      <c r="U854" s="1008" t="s">
        <v>649</v>
      </c>
      <c r="V854" s="1008" t="s">
        <v>648</v>
      </c>
      <c r="W854" s="1008" t="s">
        <v>546</v>
      </c>
      <c r="X854" s="1008" t="s">
        <v>670</v>
      </c>
      <c r="Y854" s="1008" t="s">
        <v>670</v>
      </c>
      <c r="Z854" s="1008" t="s">
        <v>670</v>
      </c>
      <c r="AA854" s="1008"/>
      <c r="AB854" s="1008" t="s">
        <v>670</v>
      </c>
      <c r="AC854" s="1008"/>
      <c r="AD854" s="1008"/>
      <c r="AE854" s="1008"/>
      <c r="AF854" s="1008" t="s">
        <v>670</v>
      </c>
      <c r="AG854" s="1008"/>
      <c r="AH854" s="1008"/>
      <c r="AI854" s="1008"/>
    </row>
    <row r="855" spans="1:35">
      <c r="A855" s="1008">
        <v>26814</v>
      </c>
      <c r="B855" s="1008">
        <v>183</v>
      </c>
      <c r="C855" s="1008">
        <v>9</v>
      </c>
      <c r="D855" s="1009">
        <v>15250999</v>
      </c>
      <c r="E855" s="1009">
        <v>15250216</v>
      </c>
      <c r="F855" s="1007" t="s">
        <v>4019</v>
      </c>
      <c r="G855" s="1007">
        <v>8</v>
      </c>
      <c r="H855" s="1010">
        <v>99999999</v>
      </c>
      <c r="I855" s="1009">
        <v>15250216</v>
      </c>
      <c r="J855" s="1007" t="s">
        <v>4018</v>
      </c>
      <c r="O855" s="1007" t="s">
        <v>648</v>
      </c>
      <c r="P855" s="1007" t="s">
        <v>648</v>
      </c>
      <c r="S855" s="1008" t="s">
        <v>650</v>
      </c>
      <c r="T855" s="1008" t="s">
        <v>654</v>
      </c>
      <c r="U855" s="1008" t="s">
        <v>649</v>
      </c>
      <c r="V855" s="1008" t="s">
        <v>648</v>
      </c>
      <c r="W855" s="1008" t="s">
        <v>546</v>
      </c>
      <c r="X855" s="1008" t="s">
        <v>670</v>
      </c>
      <c r="Y855" s="1008" t="s">
        <v>670</v>
      </c>
      <c r="Z855" s="1008" t="s">
        <v>670</v>
      </c>
      <c r="AA855" s="1008"/>
      <c r="AB855" s="1008" t="s">
        <v>670</v>
      </c>
      <c r="AC855" s="1008"/>
      <c r="AD855" s="1008"/>
      <c r="AE855" s="1008"/>
      <c r="AF855" s="1008" t="s">
        <v>670</v>
      </c>
      <c r="AG855" s="1008"/>
      <c r="AH855" s="1008"/>
      <c r="AI855" s="1008"/>
    </row>
    <row r="856" spans="1:35">
      <c r="A856" s="1008">
        <v>27731</v>
      </c>
      <c r="B856" s="1008">
        <v>6548</v>
      </c>
      <c r="C856" s="1008">
        <v>9</v>
      </c>
      <c r="D856" s="1009">
        <v>15250999</v>
      </c>
      <c r="E856" s="1009">
        <v>15250217</v>
      </c>
      <c r="F856" s="1007" t="s">
        <v>4017</v>
      </c>
      <c r="G856" s="1007" t="s">
        <v>648</v>
      </c>
      <c r="H856" s="1010">
        <v>99999999</v>
      </c>
      <c r="I856" s="1009">
        <v>15250217</v>
      </c>
      <c r="J856" s="1007" t="s">
        <v>4016</v>
      </c>
      <c r="O856" s="1007" t="s">
        <v>648</v>
      </c>
      <c r="P856" s="1007" t="s">
        <v>648</v>
      </c>
      <c r="S856" s="1008" t="s">
        <v>650</v>
      </c>
      <c r="T856" s="1008" t="s">
        <v>654</v>
      </c>
      <c r="U856" s="1008" t="s">
        <v>649</v>
      </c>
      <c r="V856" s="1008" t="s">
        <v>648</v>
      </c>
      <c r="W856" s="1008" t="s">
        <v>546</v>
      </c>
      <c r="X856" s="1008" t="s">
        <v>670</v>
      </c>
      <c r="Y856" s="1008" t="s">
        <v>670</v>
      </c>
      <c r="Z856" s="1008" t="s">
        <v>670</v>
      </c>
      <c r="AA856" s="1008"/>
      <c r="AB856" s="1008" t="s">
        <v>670</v>
      </c>
      <c r="AC856" s="1008"/>
      <c r="AD856" s="1008"/>
      <c r="AE856" s="1008"/>
      <c r="AF856" s="1008" t="s">
        <v>670</v>
      </c>
      <c r="AG856" s="1008"/>
      <c r="AH856" s="1008"/>
      <c r="AI856" s="1008"/>
    </row>
    <row r="857" spans="1:35">
      <c r="A857" s="1008">
        <v>26815</v>
      </c>
      <c r="B857" s="1008">
        <v>184</v>
      </c>
      <c r="C857" s="1008">
        <v>9</v>
      </c>
      <c r="D857" s="1009">
        <v>15250999</v>
      </c>
      <c r="E857" s="1009">
        <v>15250218</v>
      </c>
      <c r="F857" s="1007" t="s">
        <v>4015</v>
      </c>
      <c r="G857" s="1007">
        <v>8</v>
      </c>
      <c r="H857" s="1010">
        <v>99999999</v>
      </c>
      <c r="I857" s="1009">
        <v>15250218</v>
      </c>
      <c r="J857" s="1007" t="s">
        <v>4014</v>
      </c>
      <c r="O857" s="1007" t="s">
        <v>648</v>
      </c>
      <c r="P857" s="1007" t="s">
        <v>648</v>
      </c>
      <c r="S857" s="1008" t="s">
        <v>650</v>
      </c>
      <c r="T857" s="1008" t="s">
        <v>654</v>
      </c>
      <c r="U857" s="1008" t="s">
        <v>649</v>
      </c>
      <c r="V857" s="1008" t="s">
        <v>648</v>
      </c>
      <c r="W857" s="1008" t="s">
        <v>546</v>
      </c>
      <c r="X857" s="1008" t="s">
        <v>670</v>
      </c>
      <c r="Y857" s="1008" t="s">
        <v>670</v>
      </c>
      <c r="Z857" s="1008" t="s">
        <v>670</v>
      </c>
      <c r="AA857" s="1008"/>
      <c r="AB857" s="1008" t="s">
        <v>670</v>
      </c>
      <c r="AC857" s="1008"/>
      <c r="AD857" s="1008"/>
      <c r="AE857" s="1008"/>
      <c r="AF857" s="1008" t="s">
        <v>670</v>
      </c>
      <c r="AG857" s="1008"/>
      <c r="AH857" s="1008"/>
      <c r="AI857" s="1008"/>
    </row>
    <row r="858" spans="1:35">
      <c r="A858" s="1008">
        <v>26816</v>
      </c>
      <c r="B858" s="1008">
        <v>185</v>
      </c>
      <c r="C858" s="1008">
        <v>9</v>
      </c>
      <c r="D858" s="1009">
        <v>15250999</v>
      </c>
      <c r="E858" s="1009">
        <v>15250220</v>
      </c>
      <c r="F858" s="1007" t="s">
        <v>4013</v>
      </c>
      <c r="G858" s="1007">
        <v>8</v>
      </c>
      <c r="H858" s="1010">
        <v>99999999</v>
      </c>
      <c r="I858" s="1009">
        <v>15250220</v>
      </c>
      <c r="J858" s="1007" t="s">
        <v>4012</v>
      </c>
      <c r="O858" s="1007" t="s">
        <v>648</v>
      </c>
      <c r="P858" s="1007" t="s">
        <v>648</v>
      </c>
      <c r="S858" s="1008" t="s">
        <v>650</v>
      </c>
      <c r="T858" s="1008" t="s">
        <v>654</v>
      </c>
      <c r="U858" s="1008" t="s">
        <v>649</v>
      </c>
      <c r="V858" s="1008" t="s">
        <v>648</v>
      </c>
      <c r="W858" s="1008" t="s">
        <v>546</v>
      </c>
      <c r="X858" s="1008" t="s">
        <v>670</v>
      </c>
      <c r="Y858" s="1008" t="s">
        <v>670</v>
      </c>
      <c r="Z858" s="1008" t="s">
        <v>670</v>
      </c>
      <c r="AA858" s="1008"/>
      <c r="AB858" s="1008" t="s">
        <v>670</v>
      </c>
      <c r="AC858" s="1008"/>
      <c r="AD858" s="1008"/>
      <c r="AE858" s="1008"/>
      <c r="AF858" s="1008" t="s">
        <v>670</v>
      </c>
      <c r="AG858" s="1008"/>
      <c r="AH858" s="1008"/>
      <c r="AI858" s="1008"/>
    </row>
    <row r="859" spans="1:35">
      <c r="A859" s="1008">
        <v>26817</v>
      </c>
      <c r="B859" s="1008">
        <v>186</v>
      </c>
      <c r="C859" s="1008">
        <v>9</v>
      </c>
      <c r="D859" s="1009">
        <v>15250999</v>
      </c>
      <c r="E859" s="1009">
        <v>15250222</v>
      </c>
      <c r="F859" s="1007" t="s">
        <v>4011</v>
      </c>
      <c r="G859" s="1007">
        <v>8</v>
      </c>
      <c r="H859" s="1010">
        <v>99999999</v>
      </c>
      <c r="I859" s="1009">
        <v>15250222</v>
      </c>
      <c r="J859" s="1007" t="s">
        <v>4010</v>
      </c>
      <c r="O859" s="1007" t="s">
        <v>648</v>
      </c>
      <c r="P859" s="1007" t="s">
        <v>648</v>
      </c>
      <c r="S859" s="1008" t="s">
        <v>650</v>
      </c>
      <c r="T859" s="1008" t="s">
        <v>654</v>
      </c>
      <c r="U859" s="1008" t="s">
        <v>649</v>
      </c>
      <c r="V859" s="1008" t="s">
        <v>648</v>
      </c>
      <c r="W859" s="1008" t="s">
        <v>546</v>
      </c>
      <c r="X859" s="1008" t="s">
        <v>670</v>
      </c>
      <c r="Y859" s="1008" t="s">
        <v>670</v>
      </c>
      <c r="Z859" s="1008" t="s">
        <v>670</v>
      </c>
      <c r="AA859" s="1008"/>
      <c r="AB859" s="1008" t="s">
        <v>670</v>
      </c>
      <c r="AC859" s="1008"/>
      <c r="AD859" s="1008"/>
      <c r="AE859" s="1008"/>
      <c r="AF859" s="1008" t="s">
        <v>670</v>
      </c>
      <c r="AG859" s="1008"/>
      <c r="AH859" s="1008"/>
      <c r="AI859" s="1008"/>
    </row>
    <row r="860" spans="1:35">
      <c r="A860" s="1008">
        <v>26818</v>
      </c>
      <c r="B860" s="1008">
        <v>187</v>
      </c>
      <c r="C860" s="1008">
        <v>9</v>
      </c>
      <c r="D860" s="1009">
        <v>15250999</v>
      </c>
      <c r="E860" s="1009">
        <v>15250224</v>
      </c>
      <c r="F860" s="1007" t="s">
        <v>4009</v>
      </c>
      <c r="G860" s="1007">
        <v>8</v>
      </c>
      <c r="H860" s="1010">
        <v>99999999</v>
      </c>
      <c r="I860" s="1009">
        <v>15250224</v>
      </c>
      <c r="J860" s="1007" t="s">
        <v>4008</v>
      </c>
      <c r="O860" s="1007" t="s">
        <v>648</v>
      </c>
      <c r="P860" s="1007" t="s">
        <v>648</v>
      </c>
      <c r="S860" s="1008" t="s">
        <v>650</v>
      </c>
      <c r="T860" s="1008" t="s">
        <v>654</v>
      </c>
      <c r="U860" s="1008" t="s">
        <v>649</v>
      </c>
      <c r="V860" s="1008" t="s">
        <v>648</v>
      </c>
      <c r="W860" s="1008" t="s">
        <v>546</v>
      </c>
      <c r="X860" s="1008" t="s">
        <v>670</v>
      </c>
      <c r="Y860" s="1008" t="s">
        <v>670</v>
      </c>
      <c r="Z860" s="1008" t="s">
        <v>670</v>
      </c>
      <c r="AA860" s="1008"/>
      <c r="AB860" s="1008" t="s">
        <v>670</v>
      </c>
      <c r="AC860" s="1008"/>
      <c r="AD860" s="1008"/>
      <c r="AE860" s="1008"/>
      <c r="AF860" s="1008" t="s">
        <v>670</v>
      </c>
      <c r="AG860" s="1008"/>
      <c r="AH860" s="1008"/>
      <c r="AI860" s="1008"/>
    </row>
    <row r="861" spans="1:35">
      <c r="A861" s="1008">
        <v>26819</v>
      </c>
      <c r="B861" s="1008">
        <v>188</v>
      </c>
      <c r="C861" s="1008">
        <v>9</v>
      </c>
      <c r="D861" s="1009">
        <v>15250999</v>
      </c>
      <c r="E861" s="1009">
        <v>15250226</v>
      </c>
      <c r="F861" s="1007" t="s">
        <v>4007</v>
      </c>
      <c r="G861" s="1007">
        <v>8</v>
      </c>
      <c r="H861" s="1010">
        <v>99999999</v>
      </c>
      <c r="I861" s="1009">
        <v>15250226</v>
      </c>
      <c r="J861" s="1007" t="s">
        <v>4006</v>
      </c>
      <c r="O861" s="1007" t="s">
        <v>648</v>
      </c>
      <c r="P861" s="1007" t="s">
        <v>648</v>
      </c>
      <c r="S861" s="1008" t="s">
        <v>650</v>
      </c>
      <c r="T861" s="1008" t="s">
        <v>654</v>
      </c>
      <c r="U861" s="1008" t="s">
        <v>649</v>
      </c>
      <c r="V861" s="1008" t="s">
        <v>648</v>
      </c>
      <c r="W861" s="1008" t="s">
        <v>546</v>
      </c>
      <c r="X861" s="1008" t="s">
        <v>670</v>
      </c>
      <c r="Y861" s="1008" t="s">
        <v>670</v>
      </c>
      <c r="Z861" s="1008" t="s">
        <v>670</v>
      </c>
      <c r="AA861" s="1008"/>
      <c r="AB861" s="1008" t="s">
        <v>670</v>
      </c>
      <c r="AC861" s="1008"/>
      <c r="AD861" s="1008"/>
      <c r="AE861" s="1008"/>
      <c r="AF861" s="1008" t="s">
        <v>670</v>
      </c>
      <c r="AG861" s="1008"/>
      <c r="AH861" s="1008"/>
      <c r="AI861" s="1008"/>
    </row>
    <row r="862" spans="1:35">
      <c r="A862" s="1008">
        <v>26820</v>
      </c>
      <c r="B862" s="1008">
        <v>189</v>
      </c>
      <c r="C862" s="1008">
        <v>9</v>
      </c>
      <c r="D862" s="1009">
        <v>15250999</v>
      </c>
      <c r="E862" s="1009">
        <v>15250228</v>
      </c>
      <c r="F862" s="1007" t="s">
        <v>4005</v>
      </c>
      <c r="G862" s="1007">
        <v>8</v>
      </c>
      <c r="H862" s="1010">
        <v>99999999</v>
      </c>
      <c r="I862" s="1009">
        <v>15250228</v>
      </c>
      <c r="J862" s="1007" t="s">
        <v>4004</v>
      </c>
      <c r="O862" s="1007" t="s">
        <v>648</v>
      </c>
      <c r="P862" s="1007" t="s">
        <v>648</v>
      </c>
      <c r="S862" s="1008" t="s">
        <v>650</v>
      </c>
      <c r="T862" s="1008" t="s">
        <v>654</v>
      </c>
      <c r="U862" s="1008" t="s">
        <v>649</v>
      </c>
      <c r="V862" s="1008" t="s">
        <v>648</v>
      </c>
      <c r="W862" s="1008" t="s">
        <v>546</v>
      </c>
      <c r="X862" s="1008" t="s">
        <v>670</v>
      </c>
      <c r="Y862" s="1008" t="s">
        <v>670</v>
      </c>
      <c r="Z862" s="1008" t="s">
        <v>670</v>
      </c>
      <c r="AA862" s="1008"/>
      <c r="AB862" s="1008" t="s">
        <v>670</v>
      </c>
      <c r="AC862" s="1008"/>
      <c r="AD862" s="1008"/>
      <c r="AE862" s="1008"/>
      <c r="AF862" s="1008" t="s">
        <v>670</v>
      </c>
      <c r="AG862" s="1008"/>
      <c r="AH862" s="1008"/>
      <c r="AI862" s="1008"/>
    </row>
    <row r="863" spans="1:35">
      <c r="A863" s="1008">
        <v>26821</v>
      </c>
      <c r="B863" s="1008">
        <v>190</v>
      </c>
      <c r="C863" s="1008">
        <v>9</v>
      </c>
      <c r="D863" s="1009">
        <v>15250999</v>
      </c>
      <c r="E863" s="1009">
        <v>15250230</v>
      </c>
      <c r="F863" s="1007" t="s">
        <v>4003</v>
      </c>
      <c r="G863" s="1007">
        <v>8</v>
      </c>
      <c r="H863" s="1010">
        <v>99999999</v>
      </c>
      <c r="I863" s="1009">
        <v>15250230</v>
      </c>
      <c r="J863" s="1007" t="s">
        <v>4002</v>
      </c>
      <c r="O863" s="1007" t="s">
        <v>648</v>
      </c>
      <c r="P863" s="1007" t="s">
        <v>648</v>
      </c>
      <c r="S863" s="1008" t="s">
        <v>650</v>
      </c>
      <c r="T863" s="1008" t="s">
        <v>654</v>
      </c>
      <c r="U863" s="1008" t="s">
        <v>649</v>
      </c>
      <c r="V863" s="1008" t="s">
        <v>648</v>
      </c>
      <c r="W863" s="1008" t="s">
        <v>546</v>
      </c>
      <c r="X863" s="1008" t="s">
        <v>670</v>
      </c>
      <c r="Y863" s="1008" t="s">
        <v>670</v>
      </c>
      <c r="Z863" s="1008" t="s">
        <v>670</v>
      </c>
      <c r="AA863" s="1008"/>
      <c r="AB863" s="1008" t="s">
        <v>670</v>
      </c>
      <c r="AC863" s="1008"/>
      <c r="AD863" s="1008"/>
      <c r="AE863" s="1008"/>
      <c r="AF863" s="1008" t="s">
        <v>670</v>
      </c>
      <c r="AG863" s="1008"/>
      <c r="AH863" s="1008"/>
      <c r="AI863" s="1008"/>
    </row>
    <row r="864" spans="1:35">
      <c r="A864" s="1008">
        <v>26822</v>
      </c>
      <c r="B864" s="1008">
        <v>191</v>
      </c>
      <c r="C864" s="1008">
        <v>9</v>
      </c>
      <c r="D864" s="1009">
        <v>15250999</v>
      </c>
      <c r="E864" s="1009">
        <v>15250232</v>
      </c>
      <c r="F864" s="1007" t="s">
        <v>4001</v>
      </c>
      <c r="G864" s="1007">
        <v>8</v>
      </c>
      <c r="H864" s="1010">
        <v>99999999</v>
      </c>
      <c r="I864" s="1009">
        <v>15250232</v>
      </c>
      <c r="J864" s="1007" t="s">
        <v>4000</v>
      </c>
      <c r="O864" s="1007" t="s">
        <v>648</v>
      </c>
      <c r="P864" s="1007" t="s">
        <v>648</v>
      </c>
      <c r="S864" s="1008" t="s">
        <v>650</v>
      </c>
      <c r="T864" s="1008" t="s">
        <v>654</v>
      </c>
      <c r="U864" s="1008" t="s">
        <v>649</v>
      </c>
      <c r="V864" s="1008" t="s">
        <v>648</v>
      </c>
      <c r="W864" s="1008" t="s">
        <v>546</v>
      </c>
      <c r="X864" s="1008" t="s">
        <v>670</v>
      </c>
      <c r="Y864" s="1008" t="s">
        <v>670</v>
      </c>
      <c r="Z864" s="1008" t="s">
        <v>670</v>
      </c>
      <c r="AA864" s="1008"/>
      <c r="AB864" s="1008" t="s">
        <v>670</v>
      </c>
      <c r="AC864" s="1008"/>
      <c r="AD864" s="1008"/>
      <c r="AE864" s="1008"/>
      <c r="AF864" s="1008" t="s">
        <v>670</v>
      </c>
      <c r="AG864" s="1008"/>
      <c r="AH864" s="1008"/>
      <c r="AI864" s="1008"/>
    </row>
    <row r="865" spans="1:35">
      <c r="A865" s="1008">
        <v>26823</v>
      </c>
      <c r="B865" s="1008">
        <v>192</v>
      </c>
      <c r="C865" s="1008">
        <v>9</v>
      </c>
      <c r="D865" s="1009">
        <v>15250999</v>
      </c>
      <c r="E865" s="1009">
        <v>15250234</v>
      </c>
      <c r="F865" s="1007" t="s">
        <v>3999</v>
      </c>
      <c r="G865" s="1007">
        <v>8</v>
      </c>
      <c r="H865" s="1010">
        <v>99999999</v>
      </c>
      <c r="I865" s="1009">
        <v>15250234</v>
      </c>
      <c r="J865" s="1007" t="s">
        <v>3998</v>
      </c>
      <c r="O865" s="1007" t="s">
        <v>648</v>
      </c>
      <c r="P865" s="1007" t="s">
        <v>648</v>
      </c>
      <c r="S865" s="1008" t="s">
        <v>650</v>
      </c>
      <c r="T865" s="1008" t="s">
        <v>654</v>
      </c>
      <c r="U865" s="1008" t="s">
        <v>649</v>
      </c>
      <c r="V865" s="1008" t="s">
        <v>648</v>
      </c>
      <c r="W865" s="1008" t="s">
        <v>546</v>
      </c>
      <c r="X865" s="1008" t="s">
        <v>670</v>
      </c>
      <c r="Y865" s="1008" t="s">
        <v>670</v>
      </c>
      <c r="Z865" s="1008" t="s">
        <v>670</v>
      </c>
      <c r="AA865" s="1008"/>
      <c r="AB865" s="1008" t="s">
        <v>670</v>
      </c>
      <c r="AC865" s="1008"/>
      <c r="AD865" s="1008"/>
      <c r="AE865" s="1008"/>
      <c r="AF865" s="1008" t="s">
        <v>670</v>
      </c>
      <c r="AG865" s="1008"/>
      <c r="AH865" s="1008"/>
      <c r="AI865" s="1008"/>
    </row>
    <row r="866" spans="1:35">
      <c r="A866" s="1008">
        <v>26824</v>
      </c>
      <c r="B866" s="1008">
        <v>193</v>
      </c>
      <c r="C866" s="1008">
        <v>9</v>
      </c>
      <c r="D866" s="1009">
        <v>15250999</v>
      </c>
      <c r="E866" s="1009">
        <v>15250236</v>
      </c>
      <c r="F866" s="1007" t="s">
        <v>647</v>
      </c>
      <c r="G866" s="1007">
        <v>8</v>
      </c>
      <c r="H866" s="1010">
        <v>99999999</v>
      </c>
      <c r="I866" s="1009">
        <v>15250236</v>
      </c>
      <c r="J866" s="1007" t="s">
        <v>3997</v>
      </c>
      <c r="O866" s="1007" t="s">
        <v>648</v>
      </c>
      <c r="P866" s="1007" t="s">
        <v>648</v>
      </c>
      <c r="S866" s="1008" t="s">
        <v>650</v>
      </c>
      <c r="T866" s="1008" t="s">
        <v>654</v>
      </c>
      <c r="U866" s="1008" t="s">
        <v>649</v>
      </c>
      <c r="V866" s="1008" t="s">
        <v>648</v>
      </c>
      <c r="W866" s="1008" t="s">
        <v>546</v>
      </c>
      <c r="X866" s="1008" t="s">
        <v>670</v>
      </c>
      <c r="Y866" s="1008" t="s">
        <v>670</v>
      </c>
      <c r="Z866" s="1008" t="s">
        <v>670</v>
      </c>
      <c r="AA866" s="1008"/>
      <c r="AB866" s="1008" t="s">
        <v>670</v>
      </c>
      <c r="AC866" s="1008"/>
      <c r="AD866" s="1008"/>
      <c r="AE866" s="1008"/>
      <c r="AF866" s="1008" t="s">
        <v>670</v>
      </c>
      <c r="AG866" s="1008"/>
      <c r="AH866" s="1008"/>
      <c r="AI866" s="1008"/>
    </row>
    <row r="867" spans="1:35">
      <c r="A867" s="1008">
        <v>26825</v>
      </c>
      <c r="B867" s="1008">
        <v>194</v>
      </c>
      <c r="C867" s="1008">
        <v>9</v>
      </c>
      <c r="D867" s="1009">
        <v>15250999</v>
      </c>
      <c r="E867" s="1009">
        <v>15250238</v>
      </c>
      <c r="F867" s="1007" t="s">
        <v>3996</v>
      </c>
      <c r="G867" s="1007">
        <v>8</v>
      </c>
      <c r="H867" s="1010">
        <v>99999999</v>
      </c>
      <c r="I867" s="1009">
        <v>15250238</v>
      </c>
      <c r="J867" s="1007" t="s">
        <v>3995</v>
      </c>
      <c r="O867" s="1007" t="s">
        <v>648</v>
      </c>
      <c r="P867" s="1007" t="s">
        <v>648</v>
      </c>
      <c r="S867" s="1008" t="s">
        <v>650</v>
      </c>
      <c r="T867" s="1008" t="s">
        <v>654</v>
      </c>
      <c r="U867" s="1008" t="s">
        <v>649</v>
      </c>
      <c r="V867" s="1008" t="s">
        <v>648</v>
      </c>
      <c r="W867" s="1008" t="s">
        <v>546</v>
      </c>
      <c r="X867" s="1008" t="s">
        <v>670</v>
      </c>
      <c r="Y867" s="1008" t="s">
        <v>670</v>
      </c>
      <c r="Z867" s="1008" t="s">
        <v>670</v>
      </c>
      <c r="AA867" s="1008"/>
      <c r="AB867" s="1008" t="s">
        <v>670</v>
      </c>
      <c r="AC867" s="1008"/>
      <c r="AD867" s="1008"/>
      <c r="AE867" s="1008"/>
      <c r="AF867" s="1008" t="s">
        <v>670</v>
      </c>
      <c r="AG867" s="1008"/>
      <c r="AH867" s="1008"/>
      <c r="AI867" s="1008"/>
    </row>
    <row r="868" spans="1:35">
      <c r="A868" s="1008">
        <v>26826</v>
      </c>
      <c r="B868" s="1008">
        <v>195</v>
      </c>
      <c r="C868" s="1008">
        <v>9</v>
      </c>
      <c r="D868" s="1009">
        <v>15250999</v>
      </c>
      <c r="E868" s="1009">
        <v>15250240</v>
      </c>
      <c r="F868" s="1007" t="s">
        <v>3994</v>
      </c>
      <c r="G868" s="1007">
        <v>8</v>
      </c>
      <c r="H868" s="1010">
        <v>99999999</v>
      </c>
      <c r="I868" s="1009">
        <v>15250240</v>
      </c>
      <c r="J868" s="1007" t="s">
        <v>3993</v>
      </c>
      <c r="O868" s="1007" t="s">
        <v>648</v>
      </c>
      <c r="P868" s="1007" t="s">
        <v>648</v>
      </c>
      <c r="S868" s="1008" t="s">
        <v>650</v>
      </c>
      <c r="T868" s="1008" t="s">
        <v>654</v>
      </c>
      <c r="U868" s="1008" t="s">
        <v>649</v>
      </c>
      <c r="V868" s="1008" t="s">
        <v>648</v>
      </c>
      <c r="W868" s="1008" t="s">
        <v>546</v>
      </c>
      <c r="X868" s="1008" t="s">
        <v>670</v>
      </c>
      <c r="Y868" s="1008" t="s">
        <v>670</v>
      </c>
      <c r="Z868" s="1008" t="s">
        <v>670</v>
      </c>
      <c r="AA868" s="1008"/>
      <c r="AB868" s="1008" t="s">
        <v>670</v>
      </c>
      <c r="AC868" s="1008"/>
      <c r="AD868" s="1008"/>
      <c r="AE868" s="1008"/>
      <c r="AF868" s="1008" t="s">
        <v>670</v>
      </c>
      <c r="AG868" s="1008"/>
      <c r="AH868" s="1008"/>
      <c r="AI868" s="1008"/>
    </row>
    <row r="869" spans="1:35">
      <c r="A869" s="1008">
        <v>26827</v>
      </c>
      <c r="B869" s="1008">
        <v>196</v>
      </c>
      <c r="C869" s="1008">
        <v>9</v>
      </c>
      <c r="D869" s="1009">
        <v>15250999</v>
      </c>
      <c r="E869" s="1009">
        <v>15250242</v>
      </c>
      <c r="F869" s="1007" t="s">
        <v>3992</v>
      </c>
      <c r="G869" s="1007">
        <v>8</v>
      </c>
      <c r="H869" s="1010">
        <v>99999999</v>
      </c>
      <c r="I869" s="1009">
        <v>15250242</v>
      </c>
      <c r="J869" s="1007" t="s">
        <v>3991</v>
      </c>
      <c r="O869" s="1007" t="s">
        <v>648</v>
      </c>
      <c r="P869" s="1007" t="s">
        <v>648</v>
      </c>
      <c r="S869" s="1008" t="s">
        <v>650</v>
      </c>
      <c r="T869" s="1008" t="s">
        <v>654</v>
      </c>
      <c r="U869" s="1008" t="s">
        <v>649</v>
      </c>
      <c r="V869" s="1008" t="s">
        <v>648</v>
      </c>
      <c r="W869" s="1008" t="s">
        <v>546</v>
      </c>
      <c r="X869" s="1008" t="s">
        <v>670</v>
      </c>
      <c r="Y869" s="1008" t="s">
        <v>670</v>
      </c>
      <c r="Z869" s="1008" t="s">
        <v>670</v>
      </c>
      <c r="AA869" s="1008"/>
      <c r="AB869" s="1008" t="s">
        <v>670</v>
      </c>
      <c r="AC869" s="1008"/>
      <c r="AD869" s="1008"/>
      <c r="AE869" s="1008"/>
      <c r="AF869" s="1008" t="s">
        <v>670</v>
      </c>
      <c r="AG869" s="1008"/>
      <c r="AH869" s="1008"/>
      <c r="AI869" s="1008"/>
    </row>
    <row r="870" spans="1:35">
      <c r="A870" s="1008">
        <v>26828</v>
      </c>
      <c r="B870" s="1008">
        <v>197</v>
      </c>
      <c r="C870" s="1008">
        <v>9</v>
      </c>
      <c r="D870" s="1009">
        <v>15250999</v>
      </c>
      <c r="E870" s="1009">
        <v>15250244</v>
      </c>
      <c r="F870" s="1007" t="s">
        <v>3990</v>
      </c>
      <c r="G870" s="1007">
        <v>8</v>
      </c>
      <c r="H870" s="1010">
        <v>99999999</v>
      </c>
      <c r="I870" s="1009">
        <v>15250244</v>
      </c>
      <c r="J870" s="1007" t="s">
        <v>3989</v>
      </c>
      <c r="O870" s="1007" t="s">
        <v>648</v>
      </c>
      <c r="P870" s="1007" t="s">
        <v>648</v>
      </c>
      <c r="S870" s="1008" t="s">
        <v>650</v>
      </c>
      <c r="T870" s="1008" t="s">
        <v>654</v>
      </c>
      <c r="U870" s="1008" t="s">
        <v>649</v>
      </c>
      <c r="V870" s="1008" t="s">
        <v>648</v>
      </c>
      <c r="W870" s="1008" t="s">
        <v>546</v>
      </c>
      <c r="X870" s="1008" t="s">
        <v>670</v>
      </c>
      <c r="Y870" s="1008" t="s">
        <v>670</v>
      </c>
      <c r="Z870" s="1008" t="s">
        <v>670</v>
      </c>
      <c r="AA870" s="1008"/>
      <c r="AB870" s="1008" t="s">
        <v>670</v>
      </c>
      <c r="AC870" s="1008"/>
      <c r="AD870" s="1008"/>
      <c r="AE870" s="1008"/>
      <c r="AF870" s="1008" t="s">
        <v>670</v>
      </c>
      <c r="AG870" s="1008"/>
      <c r="AH870" s="1008"/>
      <c r="AI870" s="1008"/>
    </row>
    <row r="871" spans="1:35">
      <c r="A871" s="1008">
        <v>26829</v>
      </c>
      <c r="B871" s="1008">
        <v>198</v>
      </c>
      <c r="C871" s="1008">
        <v>9</v>
      </c>
      <c r="D871" s="1009">
        <v>15250999</v>
      </c>
      <c r="E871" s="1009">
        <v>15250246</v>
      </c>
      <c r="F871" s="1007" t="s">
        <v>3988</v>
      </c>
      <c r="G871" s="1007">
        <v>8</v>
      </c>
      <c r="H871" s="1010">
        <v>99999999</v>
      </c>
      <c r="I871" s="1009">
        <v>15250246</v>
      </c>
      <c r="J871" s="1007" t="s">
        <v>3987</v>
      </c>
      <c r="O871" s="1007" t="s">
        <v>648</v>
      </c>
      <c r="P871" s="1007" t="s">
        <v>648</v>
      </c>
      <c r="S871" s="1008" t="s">
        <v>650</v>
      </c>
      <c r="T871" s="1008" t="s">
        <v>654</v>
      </c>
      <c r="U871" s="1008" t="s">
        <v>649</v>
      </c>
      <c r="V871" s="1008" t="s">
        <v>648</v>
      </c>
      <c r="W871" s="1008" t="s">
        <v>546</v>
      </c>
      <c r="X871" s="1008" t="s">
        <v>670</v>
      </c>
      <c r="Y871" s="1008" t="s">
        <v>670</v>
      </c>
      <c r="Z871" s="1008" t="s">
        <v>670</v>
      </c>
      <c r="AA871" s="1008"/>
      <c r="AB871" s="1008" t="s">
        <v>670</v>
      </c>
      <c r="AC871" s="1008"/>
      <c r="AD871" s="1008"/>
      <c r="AE871" s="1008"/>
      <c r="AF871" s="1008" t="s">
        <v>670</v>
      </c>
      <c r="AG871" s="1008"/>
      <c r="AH871" s="1008"/>
      <c r="AI871" s="1008"/>
    </row>
    <row r="872" spans="1:35">
      <c r="A872" s="1008">
        <v>26830</v>
      </c>
      <c r="B872" s="1008">
        <v>199</v>
      </c>
      <c r="C872" s="1008">
        <v>9</v>
      </c>
      <c r="D872" s="1009">
        <v>15250999</v>
      </c>
      <c r="E872" s="1009">
        <v>15250248</v>
      </c>
      <c r="F872" s="1007" t="s">
        <v>3986</v>
      </c>
      <c r="G872" s="1007">
        <v>8</v>
      </c>
      <c r="H872" s="1010">
        <v>99999999</v>
      </c>
      <c r="I872" s="1009">
        <v>15250248</v>
      </c>
      <c r="J872" s="1007" t="s">
        <v>3985</v>
      </c>
      <c r="O872" s="1007" t="s">
        <v>648</v>
      </c>
      <c r="P872" s="1007" t="s">
        <v>648</v>
      </c>
      <c r="S872" s="1008" t="s">
        <v>650</v>
      </c>
      <c r="T872" s="1008" t="s">
        <v>654</v>
      </c>
      <c r="U872" s="1008" t="s">
        <v>649</v>
      </c>
      <c r="V872" s="1008" t="s">
        <v>648</v>
      </c>
      <c r="W872" s="1008" t="s">
        <v>546</v>
      </c>
      <c r="X872" s="1008" t="s">
        <v>670</v>
      </c>
      <c r="Y872" s="1008" t="s">
        <v>670</v>
      </c>
      <c r="Z872" s="1008" t="s">
        <v>670</v>
      </c>
      <c r="AA872" s="1008"/>
      <c r="AB872" s="1008" t="s">
        <v>670</v>
      </c>
      <c r="AC872" s="1008"/>
      <c r="AD872" s="1008"/>
      <c r="AE872" s="1008"/>
      <c r="AF872" s="1008" t="s">
        <v>670</v>
      </c>
      <c r="AG872" s="1008"/>
      <c r="AH872" s="1008"/>
      <c r="AI872" s="1008"/>
    </row>
    <row r="873" spans="1:35">
      <c r="A873" s="1008">
        <v>26831</v>
      </c>
      <c r="B873" s="1008">
        <v>200</v>
      </c>
      <c r="C873" s="1008">
        <v>9</v>
      </c>
      <c r="D873" s="1009">
        <v>15250999</v>
      </c>
      <c r="E873" s="1009">
        <v>15250250</v>
      </c>
      <c r="F873" s="1007" t="s">
        <v>3984</v>
      </c>
      <c r="G873" s="1007">
        <v>8</v>
      </c>
      <c r="H873" s="1010">
        <v>99999999</v>
      </c>
      <c r="I873" s="1009">
        <v>15250250</v>
      </c>
      <c r="J873" s="1007" t="s">
        <v>3983</v>
      </c>
      <c r="O873" s="1007" t="s">
        <v>648</v>
      </c>
      <c r="P873" s="1007" t="s">
        <v>648</v>
      </c>
      <c r="S873" s="1008" t="s">
        <v>650</v>
      </c>
      <c r="T873" s="1008" t="s">
        <v>654</v>
      </c>
      <c r="U873" s="1008" t="s">
        <v>649</v>
      </c>
      <c r="V873" s="1008" t="s">
        <v>648</v>
      </c>
      <c r="W873" s="1008" t="s">
        <v>546</v>
      </c>
      <c r="X873" s="1008" t="s">
        <v>670</v>
      </c>
      <c r="Y873" s="1008" t="s">
        <v>670</v>
      </c>
      <c r="Z873" s="1008" t="s">
        <v>670</v>
      </c>
      <c r="AA873" s="1008"/>
      <c r="AB873" s="1008" t="s">
        <v>670</v>
      </c>
      <c r="AC873" s="1008"/>
      <c r="AD873" s="1008"/>
      <c r="AE873" s="1008"/>
      <c r="AF873" s="1008" t="s">
        <v>670</v>
      </c>
      <c r="AG873" s="1008"/>
      <c r="AH873" s="1008"/>
      <c r="AI873" s="1008"/>
    </row>
    <row r="874" spans="1:35">
      <c r="A874" s="1008">
        <v>26832</v>
      </c>
      <c r="B874" s="1008">
        <v>201</v>
      </c>
      <c r="C874" s="1008">
        <v>9</v>
      </c>
      <c r="D874" s="1009">
        <v>15250999</v>
      </c>
      <c r="E874" s="1009">
        <v>15250252</v>
      </c>
      <c r="F874" s="1007" t="s">
        <v>3982</v>
      </c>
      <c r="G874" s="1007">
        <v>8</v>
      </c>
      <c r="H874" s="1010">
        <v>99999999</v>
      </c>
      <c r="I874" s="1009">
        <v>15250252</v>
      </c>
      <c r="J874" s="1007" t="s">
        <v>3981</v>
      </c>
      <c r="O874" s="1007" t="s">
        <v>648</v>
      </c>
      <c r="P874" s="1007" t="s">
        <v>648</v>
      </c>
      <c r="S874" s="1008" t="s">
        <v>650</v>
      </c>
      <c r="T874" s="1008" t="s">
        <v>654</v>
      </c>
      <c r="U874" s="1008" t="s">
        <v>649</v>
      </c>
      <c r="V874" s="1008" t="s">
        <v>648</v>
      </c>
      <c r="W874" s="1008" t="s">
        <v>546</v>
      </c>
      <c r="X874" s="1008" t="s">
        <v>670</v>
      </c>
      <c r="Y874" s="1008" t="s">
        <v>670</v>
      </c>
      <c r="Z874" s="1008" t="s">
        <v>670</v>
      </c>
      <c r="AA874" s="1008"/>
      <c r="AB874" s="1008" t="s">
        <v>670</v>
      </c>
      <c r="AC874" s="1008"/>
      <c r="AD874" s="1008"/>
      <c r="AE874" s="1008"/>
      <c r="AF874" s="1008" t="s">
        <v>670</v>
      </c>
      <c r="AG874" s="1008"/>
      <c r="AH874" s="1008"/>
      <c r="AI874" s="1008"/>
    </row>
    <row r="875" spans="1:35">
      <c r="A875" s="1008">
        <v>26833</v>
      </c>
      <c r="B875" s="1008">
        <v>202</v>
      </c>
      <c r="C875" s="1008">
        <v>9</v>
      </c>
      <c r="D875" s="1009">
        <v>15250999</v>
      </c>
      <c r="E875" s="1009">
        <v>15250254</v>
      </c>
      <c r="F875" s="1007" t="s">
        <v>3980</v>
      </c>
      <c r="G875" s="1007">
        <v>8</v>
      </c>
      <c r="H875" s="1010">
        <v>99999999</v>
      </c>
      <c r="I875" s="1009">
        <v>15250254</v>
      </c>
      <c r="J875" s="1007" t="s">
        <v>3979</v>
      </c>
      <c r="O875" s="1007" t="s">
        <v>648</v>
      </c>
      <c r="P875" s="1007" t="s">
        <v>648</v>
      </c>
      <c r="S875" s="1008" t="s">
        <v>650</v>
      </c>
      <c r="T875" s="1008" t="s">
        <v>654</v>
      </c>
      <c r="U875" s="1008" t="s">
        <v>649</v>
      </c>
      <c r="V875" s="1008" t="s">
        <v>648</v>
      </c>
      <c r="W875" s="1008" t="s">
        <v>546</v>
      </c>
      <c r="X875" s="1008" t="s">
        <v>670</v>
      </c>
      <c r="Y875" s="1008" t="s">
        <v>670</v>
      </c>
      <c r="Z875" s="1008" t="s">
        <v>670</v>
      </c>
      <c r="AA875" s="1008"/>
      <c r="AB875" s="1008" t="s">
        <v>670</v>
      </c>
      <c r="AC875" s="1008"/>
      <c r="AD875" s="1008"/>
      <c r="AE875" s="1008"/>
      <c r="AF875" s="1008" t="s">
        <v>670</v>
      </c>
      <c r="AG875" s="1008"/>
      <c r="AH875" s="1008"/>
      <c r="AI875" s="1008"/>
    </row>
    <row r="876" spans="1:35">
      <c r="A876" s="1008">
        <v>27129</v>
      </c>
      <c r="B876" s="1008">
        <v>5960</v>
      </c>
      <c r="C876" s="1008">
        <v>9</v>
      </c>
      <c r="D876" s="1009">
        <v>15250999</v>
      </c>
      <c r="E876" s="1009">
        <v>15250256</v>
      </c>
      <c r="F876" s="1007" t="s">
        <v>3978</v>
      </c>
      <c r="G876" s="1007">
        <v>8</v>
      </c>
      <c r="H876" s="1010">
        <v>99999999</v>
      </c>
      <c r="I876" s="1009">
        <v>15250256</v>
      </c>
      <c r="J876" s="1007" t="s">
        <v>3977</v>
      </c>
      <c r="O876" s="1007" t="s">
        <v>648</v>
      </c>
      <c r="P876" s="1007" t="s">
        <v>648</v>
      </c>
      <c r="S876" s="1008" t="s">
        <v>650</v>
      </c>
      <c r="T876" s="1008" t="s">
        <v>654</v>
      </c>
      <c r="U876" s="1008" t="s">
        <v>649</v>
      </c>
      <c r="V876" s="1008" t="s">
        <v>648</v>
      </c>
      <c r="W876" s="1008" t="s">
        <v>546</v>
      </c>
      <c r="X876" s="1008" t="s">
        <v>670</v>
      </c>
      <c r="Y876" s="1008" t="s">
        <v>670</v>
      </c>
      <c r="Z876" s="1008" t="s">
        <v>670</v>
      </c>
      <c r="AA876" s="1008"/>
      <c r="AB876" s="1008" t="s">
        <v>670</v>
      </c>
      <c r="AC876" s="1008"/>
      <c r="AD876" s="1008"/>
      <c r="AE876" s="1008"/>
      <c r="AF876" s="1008" t="s">
        <v>670</v>
      </c>
      <c r="AG876" s="1008"/>
      <c r="AH876" s="1008"/>
      <c r="AI876" s="1008"/>
    </row>
    <row r="877" spans="1:35">
      <c r="A877" s="1008">
        <v>27550</v>
      </c>
      <c r="B877" s="1008">
        <v>6406</v>
      </c>
      <c r="C877" s="1008">
        <v>9</v>
      </c>
      <c r="D877" s="1009">
        <v>15250999</v>
      </c>
      <c r="E877" s="1009">
        <v>15250258</v>
      </c>
      <c r="F877" s="1007" t="s">
        <v>3976</v>
      </c>
      <c r="G877" s="1007">
        <v>8</v>
      </c>
      <c r="H877" s="1010">
        <v>99999999</v>
      </c>
      <c r="I877" s="1009">
        <v>15250258</v>
      </c>
      <c r="J877" s="1007" t="s">
        <v>3975</v>
      </c>
      <c r="O877" s="1007" t="s">
        <v>648</v>
      </c>
      <c r="P877" s="1007" t="s">
        <v>648</v>
      </c>
      <c r="S877" s="1008" t="s">
        <v>650</v>
      </c>
      <c r="T877" s="1008" t="s">
        <v>654</v>
      </c>
      <c r="U877" s="1008" t="s">
        <v>649</v>
      </c>
      <c r="V877" s="1008" t="s">
        <v>648</v>
      </c>
      <c r="W877" s="1008" t="s">
        <v>546</v>
      </c>
      <c r="X877" s="1008" t="s">
        <v>670</v>
      </c>
      <c r="Y877" s="1008" t="s">
        <v>670</v>
      </c>
      <c r="Z877" s="1008" t="s">
        <v>670</v>
      </c>
      <c r="AA877" s="1008"/>
      <c r="AB877" s="1008" t="s">
        <v>670</v>
      </c>
      <c r="AC877" s="1008"/>
      <c r="AD877" s="1008"/>
      <c r="AE877" s="1008"/>
      <c r="AF877" s="1008" t="s">
        <v>670</v>
      </c>
      <c r="AG877" s="1008"/>
      <c r="AH877" s="1008"/>
      <c r="AI877" s="1008"/>
    </row>
    <row r="878" spans="1:35">
      <c r="A878" s="1008">
        <v>27597</v>
      </c>
      <c r="B878" s="1008">
        <v>6439</v>
      </c>
      <c r="C878" s="1008">
        <v>9</v>
      </c>
      <c r="D878" s="1009">
        <v>15250999</v>
      </c>
      <c r="E878" s="1009">
        <v>15250260</v>
      </c>
      <c r="F878" s="1007" t="s">
        <v>3974</v>
      </c>
      <c r="G878" s="1007">
        <v>8</v>
      </c>
      <c r="H878" s="1010">
        <v>99999999</v>
      </c>
      <c r="I878" s="1009">
        <v>15250260</v>
      </c>
      <c r="J878" s="1007" t="s">
        <v>3973</v>
      </c>
      <c r="O878" s="1007" t="s">
        <v>648</v>
      </c>
      <c r="P878" s="1007" t="s">
        <v>648</v>
      </c>
      <c r="S878" s="1008" t="s">
        <v>650</v>
      </c>
      <c r="T878" s="1008" t="s">
        <v>654</v>
      </c>
      <c r="U878" s="1008" t="s">
        <v>649</v>
      </c>
      <c r="V878" s="1008" t="s">
        <v>648</v>
      </c>
      <c r="W878" s="1008" t="s">
        <v>546</v>
      </c>
      <c r="X878" s="1008" t="s">
        <v>670</v>
      </c>
      <c r="Y878" s="1008" t="s">
        <v>670</v>
      </c>
      <c r="Z878" s="1008" t="s">
        <v>670</v>
      </c>
      <c r="AA878" s="1008"/>
      <c r="AB878" s="1008"/>
      <c r="AC878" s="1008"/>
      <c r="AD878" s="1008"/>
      <c r="AE878" s="1008"/>
      <c r="AF878" s="1008" t="s">
        <v>670</v>
      </c>
      <c r="AG878" s="1008"/>
      <c r="AH878" s="1008"/>
      <c r="AI878" s="1008"/>
    </row>
    <row r="879" spans="1:35">
      <c r="A879" s="1008">
        <v>27649</v>
      </c>
      <c r="B879" s="1008">
        <v>6479</v>
      </c>
      <c r="C879" s="1008">
        <v>9</v>
      </c>
      <c r="D879" s="1009">
        <v>15250999</v>
      </c>
      <c r="E879" s="1009">
        <v>15250262</v>
      </c>
      <c r="F879" s="1007" t="s">
        <v>3972</v>
      </c>
      <c r="G879" s="1007">
        <v>8</v>
      </c>
      <c r="H879" s="1010">
        <v>99999999</v>
      </c>
      <c r="I879" s="1009">
        <v>15250262</v>
      </c>
      <c r="J879" s="1007" t="s">
        <v>3971</v>
      </c>
      <c r="O879" s="1007" t="s">
        <v>648</v>
      </c>
      <c r="P879" s="1007" t="s">
        <v>648</v>
      </c>
      <c r="S879" s="1008" t="s">
        <v>650</v>
      </c>
      <c r="T879" s="1008" t="s">
        <v>654</v>
      </c>
      <c r="U879" s="1008" t="s">
        <v>649</v>
      </c>
      <c r="V879" s="1008" t="s">
        <v>648</v>
      </c>
      <c r="W879" s="1008" t="s">
        <v>546</v>
      </c>
      <c r="X879" s="1008" t="s">
        <v>670</v>
      </c>
      <c r="Y879" s="1008" t="s">
        <v>670</v>
      </c>
      <c r="Z879" s="1008" t="s">
        <v>670</v>
      </c>
      <c r="AA879" s="1008"/>
      <c r="AB879" s="1008"/>
      <c r="AC879" s="1008"/>
      <c r="AD879" s="1008"/>
      <c r="AE879" s="1008"/>
      <c r="AF879" s="1008" t="s">
        <v>670</v>
      </c>
      <c r="AG879" s="1008"/>
      <c r="AH879" s="1008"/>
      <c r="AI879" s="1008"/>
    </row>
    <row r="880" spans="1:35">
      <c r="A880" s="1008">
        <v>27650</v>
      </c>
      <c r="B880" s="1008">
        <v>6480</v>
      </c>
      <c r="C880" s="1008">
        <v>9</v>
      </c>
      <c r="D880" s="1009">
        <v>15250999</v>
      </c>
      <c r="E880" s="1009">
        <v>15250264</v>
      </c>
      <c r="F880" s="1007" t="s">
        <v>3970</v>
      </c>
      <c r="G880" s="1007">
        <v>8</v>
      </c>
      <c r="H880" s="1010">
        <v>99999999</v>
      </c>
      <c r="I880" s="1009">
        <v>15250264</v>
      </c>
      <c r="J880" s="1007" t="s">
        <v>3969</v>
      </c>
      <c r="O880" s="1007" t="s">
        <v>648</v>
      </c>
      <c r="P880" s="1007" t="s">
        <v>648</v>
      </c>
      <c r="S880" s="1008" t="s">
        <v>650</v>
      </c>
      <c r="T880" s="1008" t="s">
        <v>654</v>
      </c>
      <c r="U880" s="1008" t="s">
        <v>649</v>
      </c>
      <c r="V880" s="1008" t="s">
        <v>648</v>
      </c>
      <c r="W880" s="1008" t="s">
        <v>546</v>
      </c>
      <c r="X880" s="1008" t="s">
        <v>670</v>
      </c>
      <c r="Y880" s="1008" t="s">
        <v>670</v>
      </c>
      <c r="Z880" s="1008" t="s">
        <v>670</v>
      </c>
      <c r="AA880" s="1008"/>
      <c r="AB880" s="1008"/>
      <c r="AC880" s="1008"/>
      <c r="AD880" s="1008"/>
      <c r="AE880" s="1008"/>
      <c r="AF880" s="1008" t="s">
        <v>670</v>
      </c>
      <c r="AG880" s="1008"/>
      <c r="AH880" s="1008"/>
      <c r="AI880" s="1008"/>
    </row>
    <row r="881" spans="1:35">
      <c r="A881" s="1008">
        <v>27651</v>
      </c>
      <c r="B881" s="1008">
        <v>6481</v>
      </c>
      <c r="C881" s="1008">
        <v>9</v>
      </c>
      <c r="D881" s="1009">
        <v>15250999</v>
      </c>
      <c r="E881" s="1009">
        <v>15250266</v>
      </c>
      <c r="F881" s="1007" t="s">
        <v>3968</v>
      </c>
      <c r="G881" s="1007">
        <v>8</v>
      </c>
      <c r="H881" s="1010">
        <v>99999999</v>
      </c>
      <c r="I881" s="1009">
        <v>15250266</v>
      </c>
      <c r="J881" s="1007" t="s">
        <v>3967</v>
      </c>
      <c r="O881" s="1007" t="s">
        <v>648</v>
      </c>
      <c r="P881" s="1007" t="s">
        <v>648</v>
      </c>
      <c r="S881" s="1008" t="s">
        <v>650</v>
      </c>
      <c r="T881" s="1008" t="s">
        <v>654</v>
      </c>
      <c r="U881" s="1008" t="s">
        <v>649</v>
      </c>
      <c r="V881" s="1008" t="s">
        <v>648</v>
      </c>
      <c r="W881" s="1008" t="s">
        <v>546</v>
      </c>
      <c r="X881" s="1008" t="s">
        <v>670</v>
      </c>
      <c r="Y881" s="1008" t="s">
        <v>670</v>
      </c>
      <c r="Z881" s="1008" t="s">
        <v>670</v>
      </c>
      <c r="AA881" s="1008"/>
      <c r="AB881" s="1008"/>
      <c r="AC881" s="1008"/>
      <c r="AD881" s="1008"/>
      <c r="AE881" s="1008"/>
      <c r="AF881" s="1008" t="s">
        <v>670</v>
      </c>
      <c r="AG881" s="1008"/>
      <c r="AH881" s="1008"/>
      <c r="AI881" s="1008"/>
    </row>
    <row r="882" spans="1:35">
      <c r="A882" s="1008">
        <v>27652</v>
      </c>
      <c r="B882" s="1008">
        <v>6482</v>
      </c>
      <c r="C882" s="1008">
        <v>9</v>
      </c>
      <c r="D882" s="1009">
        <v>15250999</v>
      </c>
      <c r="E882" s="1009">
        <v>15250268</v>
      </c>
      <c r="F882" s="1007" t="s">
        <v>3966</v>
      </c>
      <c r="G882" s="1007">
        <v>8</v>
      </c>
      <c r="H882" s="1010">
        <v>99999999</v>
      </c>
      <c r="I882" s="1009">
        <v>15250268</v>
      </c>
      <c r="J882" s="1007" t="s">
        <v>3965</v>
      </c>
      <c r="O882" s="1007" t="s">
        <v>648</v>
      </c>
      <c r="P882" s="1007" t="s">
        <v>648</v>
      </c>
      <c r="S882" s="1008" t="s">
        <v>650</v>
      </c>
      <c r="T882" s="1008" t="s">
        <v>654</v>
      </c>
      <c r="U882" s="1008" t="s">
        <v>649</v>
      </c>
      <c r="V882" s="1008" t="s">
        <v>648</v>
      </c>
      <c r="W882" s="1008" t="s">
        <v>546</v>
      </c>
      <c r="X882" s="1008" t="s">
        <v>670</v>
      </c>
      <c r="Y882" s="1008" t="s">
        <v>670</v>
      </c>
      <c r="Z882" s="1008" t="s">
        <v>670</v>
      </c>
      <c r="AA882" s="1008"/>
      <c r="AB882" s="1008"/>
      <c r="AC882" s="1008"/>
      <c r="AD882" s="1008"/>
      <c r="AE882" s="1008"/>
      <c r="AF882" s="1008" t="s">
        <v>670</v>
      </c>
      <c r="AG882" s="1008"/>
      <c r="AH882" s="1008"/>
      <c r="AI882" s="1008"/>
    </row>
    <row r="883" spans="1:35">
      <c r="A883" s="1008">
        <v>27653</v>
      </c>
      <c r="B883" s="1008">
        <v>6483</v>
      </c>
      <c r="C883" s="1008">
        <v>9</v>
      </c>
      <c r="D883" s="1009">
        <v>15250999</v>
      </c>
      <c r="E883" s="1009">
        <v>15250270</v>
      </c>
      <c r="F883" s="1007" t="s">
        <v>3964</v>
      </c>
      <c r="G883" s="1007">
        <v>8</v>
      </c>
      <c r="H883" s="1010">
        <v>99999999</v>
      </c>
      <c r="I883" s="1009">
        <v>15250270</v>
      </c>
      <c r="J883" s="1007" t="s">
        <v>3963</v>
      </c>
      <c r="O883" s="1007" t="s">
        <v>648</v>
      </c>
      <c r="P883" s="1007" t="s">
        <v>648</v>
      </c>
      <c r="S883" s="1008" t="s">
        <v>650</v>
      </c>
      <c r="T883" s="1008" t="s">
        <v>654</v>
      </c>
      <c r="U883" s="1008" t="s">
        <v>649</v>
      </c>
      <c r="V883" s="1008" t="s">
        <v>648</v>
      </c>
      <c r="W883" s="1008" t="s">
        <v>546</v>
      </c>
      <c r="X883" s="1008" t="s">
        <v>670</v>
      </c>
      <c r="Y883" s="1008" t="s">
        <v>670</v>
      </c>
      <c r="Z883" s="1008" t="s">
        <v>670</v>
      </c>
      <c r="AA883" s="1008"/>
      <c r="AB883" s="1008"/>
      <c r="AC883" s="1008"/>
      <c r="AD883" s="1008"/>
      <c r="AE883" s="1008"/>
      <c r="AF883" s="1008" t="s">
        <v>670</v>
      </c>
      <c r="AG883" s="1008"/>
      <c r="AH883" s="1008"/>
      <c r="AI883" s="1008"/>
    </row>
    <row r="884" spans="1:35">
      <c r="A884" s="1008">
        <v>27654</v>
      </c>
      <c r="B884" s="1008">
        <v>6484</v>
      </c>
      <c r="C884" s="1008">
        <v>9</v>
      </c>
      <c r="D884" s="1009">
        <v>15250999</v>
      </c>
      <c r="E884" s="1009">
        <v>15250272</v>
      </c>
      <c r="F884" s="1007" t="s">
        <v>3962</v>
      </c>
      <c r="G884" s="1007">
        <v>8</v>
      </c>
      <c r="H884" s="1010">
        <v>99999999</v>
      </c>
      <c r="I884" s="1009">
        <v>15250272</v>
      </c>
      <c r="J884" s="1007" t="s">
        <v>3961</v>
      </c>
      <c r="O884" s="1007" t="s">
        <v>648</v>
      </c>
      <c r="P884" s="1007" t="s">
        <v>648</v>
      </c>
      <c r="S884" s="1008" t="s">
        <v>650</v>
      </c>
      <c r="T884" s="1008" t="s">
        <v>654</v>
      </c>
      <c r="U884" s="1008" t="s">
        <v>649</v>
      </c>
      <c r="V884" s="1008" t="s">
        <v>648</v>
      </c>
      <c r="W884" s="1008" t="s">
        <v>546</v>
      </c>
      <c r="X884" s="1008" t="s">
        <v>670</v>
      </c>
      <c r="Y884" s="1008" t="s">
        <v>670</v>
      </c>
      <c r="Z884" s="1008" t="s">
        <v>670</v>
      </c>
      <c r="AA884" s="1008"/>
      <c r="AB884" s="1008"/>
      <c r="AC884" s="1008"/>
      <c r="AD884" s="1008"/>
      <c r="AE884" s="1008"/>
      <c r="AF884" s="1008" t="s">
        <v>670</v>
      </c>
      <c r="AG884" s="1008"/>
      <c r="AH884" s="1008"/>
      <c r="AI884" s="1008"/>
    </row>
    <row r="885" spans="1:35">
      <c r="A885" s="1008">
        <v>27655</v>
      </c>
      <c r="B885" s="1008">
        <v>6485</v>
      </c>
      <c r="C885" s="1008">
        <v>9</v>
      </c>
      <c r="D885" s="1009">
        <v>15250999</v>
      </c>
      <c r="E885" s="1009">
        <v>15250274</v>
      </c>
      <c r="F885" s="1007" t="s">
        <v>3960</v>
      </c>
      <c r="G885" s="1007">
        <v>8</v>
      </c>
      <c r="H885" s="1010">
        <v>99999999</v>
      </c>
      <c r="I885" s="1009">
        <v>15250274</v>
      </c>
      <c r="J885" s="1007" t="s">
        <v>3959</v>
      </c>
      <c r="O885" s="1007" t="s">
        <v>648</v>
      </c>
      <c r="P885" s="1007" t="s">
        <v>648</v>
      </c>
      <c r="S885" s="1008" t="s">
        <v>650</v>
      </c>
      <c r="T885" s="1008" t="s">
        <v>654</v>
      </c>
      <c r="U885" s="1008" t="s">
        <v>649</v>
      </c>
      <c r="V885" s="1008" t="s">
        <v>648</v>
      </c>
      <c r="W885" s="1008" t="s">
        <v>546</v>
      </c>
      <c r="X885" s="1008" t="s">
        <v>670</v>
      </c>
      <c r="Y885" s="1008" t="s">
        <v>670</v>
      </c>
      <c r="Z885" s="1008" t="s">
        <v>670</v>
      </c>
      <c r="AA885" s="1008"/>
      <c r="AB885" s="1008"/>
      <c r="AC885" s="1008"/>
      <c r="AD885" s="1008"/>
      <c r="AE885" s="1008"/>
      <c r="AF885" s="1008" t="s">
        <v>670</v>
      </c>
      <c r="AG885" s="1008"/>
      <c r="AH885" s="1008"/>
      <c r="AI885" s="1008"/>
    </row>
    <row r="886" spans="1:35">
      <c r="A886" s="1008">
        <v>27656</v>
      </c>
      <c r="B886" s="1008">
        <v>6486</v>
      </c>
      <c r="C886" s="1008">
        <v>9</v>
      </c>
      <c r="D886" s="1009">
        <v>15250999</v>
      </c>
      <c r="E886" s="1009">
        <v>15250276</v>
      </c>
      <c r="F886" s="1007" t="s">
        <v>3958</v>
      </c>
      <c r="G886" s="1007">
        <v>8</v>
      </c>
      <c r="H886" s="1010">
        <v>99999999</v>
      </c>
      <c r="I886" s="1009">
        <v>15250276</v>
      </c>
      <c r="J886" s="1007" t="s">
        <v>3957</v>
      </c>
      <c r="O886" s="1007" t="s">
        <v>648</v>
      </c>
      <c r="P886" s="1007" t="s">
        <v>648</v>
      </c>
      <c r="S886" s="1008" t="s">
        <v>650</v>
      </c>
      <c r="T886" s="1008" t="s">
        <v>654</v>
      </c>
      <c r="U886" s="1008" t="s">
        <v>649</v>
      </c>
      <c r="V886" s="1008" t="s">
        <v>648</v>
      </c>
      <c r="W886" s="1008" t="s">
        <v>546</v>
      </c>
      <c r="X886" s="1008" t="s">
        <v>670</v>
      </c>
      <c r="Y886" s="1008" t="s">
        <v>670</v>
      </c>
      <c r="Z886" s="1008" t="s">
        <v>670</v>
      </c>
      <c r="AA886" s="1008"/>
      <c r="AB886" s="1008"/>
      <c r="AC886" s="1008"/>
      <c r="AD886" s="1008"/>
      <c r="AE886" s="1008"/>
      <c r="AF886" s="1008" t="s">
        <v>670</v>
      </c>
      <c r="AG886" s="1008"/>
      <c r="AH886" s="1008"/>
      <c r="AI886" s="1008"/>
    </row>
    <row r="887" spans="1:35">
      <c r="A887" s="1008">
        <v>27657</v>
      </c>
      <c r="B887" s="1008">
        <v>6487</v>
      </c>
      <c r="C887" s="1008">
        <v>9</v>
      </c>
      <c r="D887" s="1009">
        <v>15250999</v>
      </c>
      <c r="E887" s="1009">
        <v>15250278</v>
      </c>
      <c r="F887" s="1007" t="s">
        <v>3956</v>
      </c>
      <c r="G887" s="1007">
        <v>8</v>
      </c>
      <c r="H887" s="1010">
        <v>99999999</v>
      </c>
      <c r="I887" s="1009">
        <v>15250278</v>
      </c>
      <c r="J887" s="1007" t="s">
        <v>3955</v>
      </c>
      <c r="O887" s="1007" t="s">
        <v>648</v>
      </c>
      <c r="P887" s="1007" t="s">
        <v>648</v>
      </c>
      <c r="S887" s="1008" t="s">
        <v>650</v>
      </c>
      <c r="T887" s="1008" t="s">
        <v>654</v>
      </c>
      <c r="U887" s="1008" t="s">
        <v>649</v>
      </c>
      <c r="V887" s="1008" t="s">
        <v>648</v>
      </c>
      <c r="W887" s="1008" t="s">
        <v>546</v>
      </c>
      <c r="X887" s="1008" t="s">
        <v>670</v>
      </c>
      <c r="Y887" s="1008" t="s">
        <v>670</v>
      </c>
      <c r="Z887" s="1008" t="s">
        <v>670</v>
      </c>
      <c r="AA887" s="1008"/>
      <c r="AB887" s="1008"/>
      <c r="AC887" s="1008"/>
      <c r="AD887" s="1008"/>
      <c r="AE887" s="1008"/>
      <c r="AF887" s="1008" t="s">
        <v>670</v>
      </c>
      <c r="AG887" s="1008"/>
      <c r="AH887" s="1008"/>
      <c r="AI887" s="1008"/>
    </row>
    <row r="888" spans="1:35">
      <c r="A888" s="1008">
        <v>27658</v>
      </c>
      <c r="B888" s="1008">
        <v>6488</v>
      </c>
      <c r="C888" s="1008">
        <v>9</v>
      </c>
      <c r="D888" s="1009">
        <v>15250999</v>
      </c>
      <c r="E888" s="1009">
        <v>15250280</v>
      </c>
      <c r="F888" s="1007" t="s">
        <v>3954</v>
      </c>
      <c r="G888" s="1007">
        <v>8</v>
      </c>
      <c r="H888" s="1010">
        <v>99999999</v>
      </c>
      <c r="I888" s="1009">
        <v>15250280</v>
      </c>
      <c r="J888" s="1007" t="s">
        <v>3953</v>
      </c>
      <c r="O888" s="1007" t="s">
        <v>648</v>
      </c>
      <c r="P888" s="1007" t="s">
        <v>648</v>
      </c>
      <c r="S888" s="1008" t="s">
        <v>650</v>
      </c>
      <c r="T888" s="1008" t="s">
        <v>654</v>
      </c>
      <c r="U888" s="1008" t="s">
        <v>649</v>
      </c>
      <c r="V888" s="1008" t="s">
        <v>648</v>
      </c>
      <c r="W888" s="1008" t="s">
        <v>546</v>
      </c>
      <c r="X888" s="1008" t="s">
        <v>670</v>
      </c>
      <c r="Y888" s="1008" t="s">
        <v>670</v>
      </c>
      <c r="Z888" s="1008" t="s">
        <v>670</v>
      </c>
      <c r="AA888" s="1008"/>
      <c r="AB888" s="1008"/>
      <c r="AC888" s="1008"/>
      <c r="AD888" s="1008"/>
      <c r="AE888" s="1008"/>
      <c r="AF888" s="1008" t="s">
        <v>670</v>
      </c>
      <c r="AG888" s="1008"/>
      <c r="AH888" s="1008"/>
      <c r="AI888" s="1008"/>
    </row>
    <row r="889" spans="1:35">
      <c r="A889" s="1008">
        <v>27659</v>
      </c>
      <c r="B889" s="1008">
        <v>6489</v>
      </c>
      <c r="C889" s="1008">
        <v>9</v>
      </c>
      <c r="D889" s="1009">
        <v>15250999</v>
      </c>
      <c r="E889" s="1009">
        <v>15250282</v>
      </c>
      <c r="F889" s="1007" t="s">
        <v>3952</v>
      </c>
      <c r="G889" s="1007">
        <v>8</v>
      </c>
      <c r="H889" s="1010">
        <v>99999999</v>
      </c>
      <c r="I889" s="1009">
        <v>15250282</v>
      </c>
      <c r="J889" s="1007" t="s">
        <v>3951</v>
      </c>
      <c r="O889" s="1007" t="s">
        <v>648</v>
      </c>
      <c r="P889" s="1007" t="s">
        <v>648</v>
      </c>
      <c r="S889" s="1008" t="s">
        <v>650</v>
      </c>
      <c r="T889" s="1008" t="s">
        <v>654</v>
      </c>
      <c r="U889" s="1008" t="s">
        <v>649</v>
      </c>
      <c r="V889" s="1008" t="s">
        <v>648</v>
      </c>
      <c r="W889" s="1008" t="s">
        <v>546</v>
      </c>
      <c r="X889" s="1008" t="s">
        <v>670</v>
      </c>
      <c r="Y889" s="1008" t="s">
        <v>670</v>
      </c>
      <c r="Z889" s="1008" t="s">
        <v>670</v>
      </c>
      <c r="AA889" s="1008"/>
      <c r="AB889" s="1008"/>
      <c r="AC889" s="1008"/>
      <c r="AD889" s="1008"/>
      <c r="AE889" s="1008"/>
      <c r="AF889" s="1008" t="s">
        <v>670</v>
      </c>
      <c r="AG889" s="1008"/>
      <c r="AH889" s="1008"/>
      <c r="AI889" s="1008"/>
    </row>
    <row r="890" spans="1:35">
      <c r="A890" s="1008">
        <v>27660</v>
      </c>
      <c r="B890" s="1008">
        <v>6490</v>
      </c>
      <c r="C890" s="1008">
        <v>9</v>
      </c>
      <c r="D890" s="1009">
        <v>15250999</v>
      </c>
      <c r="E890" s="1009">
        <v>15250284</v>
      </c>
      <c r="F890" s="1007" t="s">
        <v>3950</v>
      </c>
      <c r="G890" s="1007">
        <v>8</v>
      </c>
      <c r="H890" s="1010">
        <v>99999999</v>
      </c>
      <c r="I890" s="1009">
        <v>15250284</v>
      </c>
      <c r="J890" s="1007" t="s">
        <v>3949</v>
      </c>
      <c r="O890" s="1007" t="s">
        <v>648</v>
      </c>
      <c r="P890" s="1007" t="s">
        <v>648</v>
      </c>
      <c r="S890" s="1008" t="s">
        <v>650</v>
      </c>
      <c r="T890" s="1008" t="s">
        <v>654</v>
      </c>
      <c r="U890" s="1008" t="s">
        <v>649</v>
      </c>
      <c r="V890" s="1008" t="s">
        <v>648</v>
      </c>
      <c r="W890" s="1008" t="s">
        <v>546</v>
      </c>
      <c r="X890" s="1008" t="s">
        <v>670</v>
      </c>
      <c r="Y890" s="1008" t="s">
        <v>670</v>
      </c>
      <c r="Z890" s="1008" t="s">
        <v>670</v>
      </c>
      <c r="AA890" s="1008"/>
      <c r="AB890" s="1008"/>
      <c r="AC890" s="1008"/>
      <c r="AD890" s="1008"/>
      <c r="AE890" s="1008"/>
      <c r="AF890" s="1008" t="s">
        <v>670</v>
      </c>
      <c r="AG890" s="1008"/>
      <c r="AH890" s="1008"/>
      <c r="AI890" s="1008"/>
    </row>
    <row r="891" spans="1:35">
      <c r="A891" s="1008">
        <v>27732</v>
      </c>
      <c r="B891" s="1008">
        <v>6549</v>
      </c>
      <c r="C891" s="1008">
        <v>9</v>
      </c>
      <c r="D891" s="1009">
        <v>15250999</v>
      </c>
      <c r="E891" s="1009">
        <v>15250286</v>
      </c>
      <c r="F891" s="1007" t="s">
        <v>3948</v>
      </c>
      <c r="G891" s="1007" t="s">
        <v>648</v>
      </c>
      <c r="H891" s="1010">
        <v>99999999</v>
      </c>
      <c r="I891" s="1009">
        <v>15250286</v>
      </c>
      <c r="J891" s="1007" t="s">
        <v>3947</v>
      </c>
      <c r="O891" s="1007" t="s">
        <v>648</v>
      </c>
      <c r="P891" s="1007" t="s">
        <v>648</v>
      </c>
      <c r="S891" s="1008" t="s">
        <v>650</v>
      </c>
      <c r="T891" s="1008" t="s">
        <v>654</v>
      </c>
      <c r="U891" s="1008" t="s">
        <v>649</v>
      </c>
      <c r="V891" s="1008" t="s">
        <v>648</v>
      </c>
      <c r="W891" s="1008" t="s">
        <v>546</v>
      </c>
      <c r="X891" s="1008" t="s">
        <v>670</v>
      </c>
      <c r="Y891" s="1008" t="s">
        <v>670</v>
      </c>
      <c r="Z891" s="1008" t="s">
        <v>670</v>
      </c>
      <c r="AA891" s="1008"/>
      <c r="AB891" s="1008" t="s">
        <v>670</v>
      </c>
      <c r="AC891" s="1008"/>
      <c r="AD891" s="1008"/>
      <c r="AE891" s="1008"/>
      <c r="AF891" s="1008" t="s">
        <v>670</v>
      </c>
      <c r="AG891" s="1008"/>
      <c r="AH891" s="1008"/>
      <c r="AI891" s="1008"/>
    </row>
    <row r="892" spans="1:35">
      <c r="A892" s="1008">
        <v>26834</v>
      </c>
      <c r="B892" s="1008">
        <v>203</v>
      </c>
      <c r="C892" s="1008">
        <v>9</v>
      </c>
      <c r="D892" s="1009">
        <v>15250999</v>
      </c>
      <c r="E892" s="1009">
        <v>15250900</v>
      </c>
      <c r="F892" s="1007" t="s">
        <v>3946</v>
      </c>
      <c r="G892" s="1007">
        <v>8</v>
      </c>
      <c r="H892" s="1010">
        <v>99999999</v>
      </c>
      <c r="I892" s="1009">
        <v>15250900</v>
      </c>
      <c r="J892" s="1007" t="s">
        <v>3945</v>
      </c>
      <c r="O892" s="1007" t="s">
        <v>648</v>
      </c>
      <c r="P892" s="1007" t="s">
        <v>648</v>
      </c>
      <c r="S892" s="1008" t="s">
        <v>650</v>
      </c>
      <c r="T892" s="1008" t="s">
        <v>654</v>
      </c>
      <c r="U892" s="1008" t="s">
        <v>649</v>
      </c>
      <c r="V892" s="1008" t="s">
        <v>648</v>
      </c>
      <c r="W892" s="1008" t="s">
        <v>546</v>
      </c>
      <c r="X892" s="1008" t="s">
        <v>670</v>
      </c>
      <c r="Y892" s="1008" t="s">
        <v>670</v>
      </c>
      <c r="Z892" s="1008" t="s">
        <v>670</v>
      </c>
      <c r="AA892" s="1008"/>
      <c r="AB892" s="1008" t="s">
        <v>670</v>
      </c>
      <c r="AC892" s="1008"/>
      <c r="AD892" s="1008"/>
      <c r="AE892" s="1008"/>
      <c r="AF892" s="1008" t="s">
        <v>670</v>
      </c>
      <c r="AG892" s="1008"/>
      <c r="AH892" s="1008"/>
      <c r="AI892" s="1008"/>
    </row>
    <row r="893" spans="1:35">
      <c r="A893" s="1008">
        <v>26835</v>
      </c>
      <c r="C893" s="1008">
        <v>8</v>
      </c>
      <c r="D893" s="1009">
        <v>15399999</v>
      </c>
      <c r="E893" s="1009">
        <v>15250999</v>
      </c>
      <c r="F893" s="1007" t="s">
        <v>3944</v>
      </c>
      <c r="O893" s="1007" t="s">
        <v>648</v>
      </c>
      <c r="P893" s="1007" t="s">
        <v>648</v>
      </c>
      <c r="S893" s="1008" t="s">
        <v>650</v>
      </c>
      <c r="T893" s="1008" t="s">
        <v>21</v>
      </c>
      <c r="U893" s="1008" t="s">
        <v>649</v>
      </c>
      <c r="V893" s="1008" t="s">
        <v>648</v>
      </c>
      <c r="W893" s="1008" t="s">
        <v>546</v>
      </c>
      <c r="X893" s="1008"/>
      <c r="Y893" s="1008"/>
      <c r="Z893" s="1008"/>
      <c r="AA893" s="1008"/>
      <c r="AB893" s="1008"/>
      <c r="AC893" s="1008"/>
      <c r="AD893" s="1008"/>
      <c r="AE893" s="1008"/>
      <c r="AF893" s="1008"/>
      <c r="AG893" s="1008"/>
      <c r="AH893" s="1008"/>
      <c r="AI893" s="1008"/>
    </row>
    <row r="894" spans="1:35">
      <c r="A894" s="1008">
        <v>27565</v>
      </c>
      <c r="C894" s="1008">
        <v>8</v>
      </c>
      <c r="D894" s="1009">
        <v>15253999</v>
      </c>
      <c r="E894" s="1009">
        <v>15253000</v>
      </c>
      <c r="F894" s="1007" t="s">
        <v>3943</v>
      </c>
      <c r="O894" s="1007" t="s">
        <v>648</v>
      </c>
      <c r="P894" s="1007" t="s">
        <v>648</v>
      </c>
      <c r="S894" s="1008" t="s">
        <v>650</v>
      </c>
      <c r="T894" s="1008" t="s">
        <v>675</v>
      </c>
      <c r="U894" s="1008" t="s">
        <v>649</v>
      </c>
      <c r="V894" s="1008" t="s">
        <v>648</v>
      </c>
      <c r="W894" s="1008" t="s">
        <v>546</v>
      </c>
      <c r="X894" s="1008"/>
      <c r="Y894" s="1008"/>
      <c r="Z894" s="1008"/>
      <c r="AA894" s="1008"/>
      <c r="AB894" s="1008"/>
      <c r="AC894" s="1008"/>
      <c r="AD894" s="1008"/>
      <c r="AE894" s="1008"/>
      <c r="AF894" s="1008"/>
      <c r="AG894" s="1008"/>
      <c r="AH894" s="1008"/>
      <c r="AI894" s="1008"/>
    </row>
    <row r="895" spans="1:35">
      <c r="A895" s="1008">
        <v>27567</v>
      </c>
      <c r="B895" s="1008">
        <v>6415</v>
      </c>
      <c r="C895" s="1008">
        <v>9</v>
      </c>
      <c r="D895" s="1009">
        <v>15253999</v>
      </c>
      <c r="E895" s="1009">
        <v>15253205</v>
      </c>
      <c r="F895" s="1007" t="s">
        <v>3942</v>
      </c>
      <c r="G895" s="1007">
        <v>8</v>
      </c>
      <c r="H895" s="1010">
        <v>99999999</v>
      </c>
      <c r="I895" s="1009">
        <v>15253205</v>
      </c>
      <c r="J895" s="1007" t="s">
        <v>3942</v>
      </c>
      <c r="O895" s="1007" t="s">
        <v>648</v>
      </c>
      <c r="P895" s="1007" t="s">
        <v>648</v>
      </c>
      <c r="S895" s="1008" t="s">
        <v>650</v>
      </c>
      <c r="T895" s="1008" t="s">
        <v>654</v>
      </c>
      <c r="U895" s="1008" t="s">
        <v>649</v>
      </c>
      <c r="V895" s="1008" t="s">
        <v>648</v>
      </c>
      <c r="W895" s="1008" t="s">
        <v>546</v>
      </c>
      <c r="X895" s="1008" t="s">
        <v>670</v>
      </c>
      <c r="Y895" s="1008"/>
      <c r="Z895" s="1008" t="s">
        <v>670</v>
      </c>
      <c r="AA895" s="1008"/>
      <c r="AB895" s="1008"/>
      <c r="AC895" s="1008"/>
      <c r="AD895" s="1008" t="s">
        <v>670</v>
      </c>
      <c r="AE895" s="1008"/>
      <c r="AF895" s="1008"/>
      <c r="AG895" s="1008"/>
      <c r="AH895" s="1008"/>
      <c r="AI895" s="1008"/>
    </row>
    <row r="896" spans="1:35">
      <c r="A896" s="1008">
        <v>27568</v>
      </c>
      <c r="B896" s="1008">
        <v>6416</v>
      </c>
      <c r="C896" s="1008">
        <v>9</v>
      </c>
      <c r="D896" s="1009">
        <v>15253999</v>
      </c>
      <c r="E896" s="1009">
        <v>15253210</v>
      </c>
      <c r="F896" s="1007" t="s">
        <v>3941</v>
      </c>
      <c r="G896" s="1007">
        <v>8</v>
      </c>
      <c r="H896" s="1010">
        <v>99999999</v>
      </c>
      <c r="I896" s="1009">
        <v>15253210</v>
      </c>
      <c r="J896" s="1007" t="s">
        <v>3941</v>
      </c>
      <c r="O896" s="1007" t="s">
        <v>648</v>
      </c>
      <c r="P896" s="1007" t="s">
        <v>648</v>
      </c>
      <c r="S896" s="1008" t="s">
        <v>650</v>
      </c>
      <c r="T896" s="1008" t="s">
        <v>654</v>
      </c>
      <c r="U896" s="1008" t="s">
        <v>649</v>
      </c>
      <c r="V896" s="1008" t="s">
        <v>648</v>
      </c>
      <c r="W896" s="1008" t="s">
        <v>546</v>
      </c>
      <c r="X896" s="1008" t="s">
        <v>670</v>
      </c>
      <c r="Y896" s="1008"/>
      <c r="Z896" s="1008" t="s">
        <v>670</v>
      </c>
      <c r="AA896" s="1008"/>
      <c r="AB896" s="1008"/>
      <c r="AC896" s="1008"/>
      <c r="AD896" s="1008" t="s">
        <v>670</v>
      </c>
      <c r="AE896" s="1008"/>
      <c r="AF896" s="1008"/>
      <c r="AG896" s="1008"/>
      <c r="AH896" s="1008"/>
      <c r="AI896" s="1008"/>
    </row>
    <row r="897" spans="1:35">
      <c r="A897" s="1008">
        <v>27566</v>
      </c>
      <c r="C897" s="1008">
        <v>8</v>
      </c>
      <c r="D897" s="1009">
        <v>15399999</v>
      </c>
      <c r="E897" s="1009">
        <v>15253999</v>
      </c>
      <c r="F897" s="1007" t="s">
        <v>3940</v>
      </c>
      <c r="O897" s="1007" t="s">
        <v>648</v>
      </c>
      <c r="P897" s="1007" t="s">
        <v>648</v>
      </c>
      <c r="S897" s="1008" t="s">
        <v>650</v>
      </c>
      <c r="T897" s="1008" t="s">
        <v>21</v>
      </c>
      <c r="U897" s="1008" t="s">
        <v>649</v>
      </c>
      <c r="V897" s="1008" t="s">
        <v>648</v>
      </c>
      <c r="W897" s="1008" t="s">
        <v>546</v>
      </c>
      <c r="X897" s="1008"/>
      <c r="Y897" s="1008"/>
      <c r="Z897" s="1008"/>
      <c r="AA897" s="1008"/>
      <c r="AB897" s="1008"/>
      <c r="AC897" s="1008"/>
      <c r="AD897" s="1008"/>
      <c r="AE897" s="1008"/>
      <c r="AF897" s="1008"/>
      <c r="AG897" s="1008"/>
      <c r="AH897" s="1008"/>
      <c r="AI897" s="1008"/>
    </row>
    <row r="898" spans="1:35">
      <c r="A898" s="1008">
        <v>26836</v>
      </c>
      <c r="C898" s="1008">
        <v>8</v>
      </c>
      <c r="D898" s="1009">
        <v>15255999</v>
      </c>
      <c r="E898" s="1009">
        <v>15255000</v>
      </c>
      <c r="F898" s="1007" t="s">
        <v>3939</v>
      </c>
      <c r="O898" s="1007" t="s">
        <v>648</v>
      </c>
      <c r="P898" s="1007" t="s">
        <v>648</v>
      </c>
      <c r="S898" s="1008" t="s">
        <v>650</v>
      </c>
      <c r="T898" s="1008" t="s">
        <v>675</v>
      </c>
      <c r="U898" s="1008" t="s">
        <v>649</v>
      </c>
      <c r="V898" s="1008" t="s">
        <v>648</v>
      </c>
      <c r="W898" s="1008" t="s">
        <v>546</v>
      </c>
      <c r="X898" s="1008"/>
      <c r="Y898" s="1008"/>
      <c r="Z898" s="1008"/>
      <c r="AA898" s="1008"/>
      <c r="AB898" s="1008"/>
      <c r="AC898" s="1008"/>
      <c r="AD898" s="1008"/>
      <c r="AE898" s="1008"/>
      <c r="AF898" s="1008"/>
      <c r="AG898" s="1008"/>
      <c r="AH898" s="1008"/>
      <c r="AI898" s="1008"/>
    </row>
    <row r="899" spans="1:35">
      <c r="A899" s="1008">
        <v>26666</v>
      </c>
      <c r="B899" s="1008">
        <v>206</v>
      </c>
      <c r="C899" s="1008">
        <v>9</v>
      </c>
      <c r="D899" s="1009">
        <v>15255999</v>
      </c>
      <c r="E899" s="1009">
        <v>15255200</v>
      </c>
      <c r="F899" s="1007" t="s">
        <v>3938</v>
      </c>
      <c r="G899" s="1007">
        <v>8</v>
      </c>
      <c r="H899" s="1010">
        <v>99999999</v>
      </c>
      <c r="I899" s="1009">
        <v>15255200</v>
      </c>
      <c r="J899" s="1007" t="s">
        <v>3937</v>
      </c>
      <c r="O899" s="1007" t="s">
        <v>648</v>
      </c>
      <c r="P899" s="1007" t="s">
        <v>648</v>
      </c>
      <c r="S899" s="1008" t="s">
        <v>650</v>
      </c>
      <c r="T899" s="1008" t="s">
        <v>654</v>
      </c>
      <c r="U899" s="1008" t="s">
        <v>649</v>
      </c>
      <c r="V899" s="1008" t="s">
        <v>648</v>
      </c>
      <c r="W899" s="1008" t="s">
        <v>546</v>
      </c>
      <c r="X899" s="1008" t="s">
        <v>670</v>
      </c>
      <c r="Y899" s="1008" t="s">
        <v>670</v>
      </c>
      <c r="Z899" s="1008" t="s">
        <v>670</v>
      </c>
      <c r="AA899" s="1008"/>
      <c r="AB899" s="1008" t="s">
        <v>670</v>
      </c>
      <c r="AC899" s="1008"/>
      <c r="AD899" s="1008"/>
      <c r="AE899" s="1008"/>
      <c r="AF899" s="1008" t="s">
        <v>670</v>
      </c>
      <c r="AG899" s="1008"/>
      <c r="AH899" s="1008"/>
      <c r="AI899" s="1008"/>
    </row>
    <row r="900" spans="1:35">
      <c r="A900" s="1008">
        <v>26837</v>
      </c>
      <c r="B900" s="1008">
        <v>207</v>
      </c>
      <c r="C900" s="1008">
        <v>9</v>
      </c>
      <c r="D900" s="1009">
        <v>15255999</v>
      </c>
      <c r="E900" s="1009">
        <v>15255205</v>
      </c>
      <c r="F900" s="1007" t="s">
        <v>3936</v>
      </c>
      <c r="G900" s="1007">
        <v>8</v>
      </c>
      <c r="H900" s="1010">
        <v>99999999</v>
      </c>
      <c r="I900" s="1009">
        <v>15255205</v>
      </c>
      <c r="J900" s="1007" t="s">
        <v>3935</v>
      </c>
      <c r="O900" s="1007" t="s">
        <v>648</v>
      </c>
      <c r="P900" s="1007" t="s">
        <v>648</v>
      </c>
      <c r="S900" s="1008" t="s">
        <v>650</v>
      </c>
      <c r="T900" s="1008" t="s">
        <v>654</v>
      </c>
      <c r="U900" s="1008" t="s">
        <v>649</v>
      </c>
      <c r="V900" s="1008" t="s">
        <v>648</v>
      </c>
      <c r="W900" s="1008" t="s">
        <v>546</v>
      </c>
      <c r="X900" s="1008" t="s">
        <v>670</v>
      </c>
      <c r="Y900" s="1008" t="s">
        <v>670</v>
      </c>
      <c r="Z900" s="1008" t="s">
        <v>670</v>
      </c>
      <c r="AA900" s="1008"/>
      <c r="AB900" s="1008" t="s">
        <v>670</v>
      </c>
      <c r="AC900" s="1008"/>
      <c r="AD900" s="1008"/>
      <c r="AE900" s="1008"/>
      <c r="AF900" s="1008" t="s">
        <v>670</v>
      </c>
      <c r="AG900" s="1008"/>
      <c r="AH900" s="1008"/>
      <c r="AI900" s="1008"/>
    </row>
    <row r="901" spans="1:35">
      <c r="A901" s="1008">
        <v>26838</v>
      </c>
      <c r="B901" s="1008">
        <v>208</v>
      </c>
      <c r="C901" s="1008">
        <v>9</v>
      </c>
      <c r="D901" s="1009">
        <v>15255999</v>
      </c>
      <c r="E901" s="1009">
        <v>15255210</v>
      </c>
      <c r="F901" s="1007" t="s">
        <v>3934</v>
      </c>
      <c r="G901" s="1007">
        <v>8</v>
      </c>
      <c r="H901" s="1010">
        <v>99999999</v>
      </c>
      <c r="I901" s="1009">
        <v>15255210</v>
      </c>
      <c r="J901" s="1007" t="s">
        <v>3933</v>
      </c>
      <c r="O901" s="1007" t="s">
        <v>648</v>
      </c>
      <c r="P901" s="1007" t="s">
        <v>648</v>
      </c>
      <c r="S901" s="1008" t="s">
        <v>650</v>
      </c>
      <c r="T901" s="1008" t="s">
        <v>654</v>
      </c>
      <c r="U901" s="1008" t="s">
        <v>649</v>
      </c>
      <c r="V901" s="1008" t="s">
        <v>648</v>
      </c>
      <c r="W901" s="1008" t="s">
        <v>546</v>
      </c>
      <c r="X901" s="1008" t="s">
        <v>670</v>
      </c>
      <c r="Y901" s="1008" t="s">
        <v>670</v>
      </c>
      <c r="Z901" s="1008" t="s">
        <v>670</v>
      </c>
      <c r="AA901" s="1008"/>
      <c r="AB901" s="1008" t="s">
        <v>670</v>
      </c>
      <c r="AC901" s="1008"/>
      <c r="AD901" s="1008"/>
      <c r="AE901" s="1008"/>
      <c r="AF901" s="1008" t="s">
        <v>670</v>
      </c>
      <c r="AG901" s="1008"/>
      <c r="AH901" s="1008"/>
      <c r="AI901" s="1008"/>
    </row>
    <row r="902" spans="1:35">
      <c r="A902" s="1008">
        <v>26839</v>
      </c>
      <c r="B902" s="1008">
        <v>209</v>
      </c>
      <c r="C902" s="1008">
        <v>9</v>
      </c>
      <c r="D902" s="1009">
        <v>15255999</v>
      </c>
      <c r="E902" s="1009">
        <v>15255211</v>
      </c>
      <c r="F902" s="1007" t="s">
        <v>3932</v>
      </c>
      <c r="G902" s="1007">
        <v>8</v>
      </c>
      <c r="H902" s="1010">
        <v>99999999</v>
      </c>
      <c r="I902" s="1009">
        <v>15255211</v>
      </c>
      <c r="J902" s="1007" t="s">
        <v>3931</v>
      </c>
      <c r="O902" s="1007" t="s">
        <v>648</v>
      </c>
      <c r="P902" s="1007" t="s">
        <v>648</v>
      </c>
      <c r="S902" s="1008" t="s">
        <v>650</v>
      </c>
      <c r="T902" s="1008" t="s">
        <v>654</v>
      </c>
      <c r="U902" s="1008" t="s">
        <v>649</v>
      </c>
      <c r="V902" s="1008" t="s">
        <v>648</v>
      </c>
      <c r="W902" s="1008" t="s">
        <v>546</v>
      </c>
      <c r="X902" s="1008" t="s">
        <v>670</v>
      </c>
      <c r="Y902" s="1008" t="s">
        <v>670</v>
      </c>
      <c r="Z902" s="1008" t="s">
        <v>670</v>
      </c>
      <c r="AA902" s="1008"/>
      <c r="AB902" s="1008" t="s">
        <v>670</v>
      </c>
      <c r="AC902" s="1008"/>
      <c r="AD902" s="1008"/>
      <c r="AE902" s="1008"/>
      <c r="AF902" s="1008" t="s">
        <v>670</v>
      </c>
      <c r="AG902" s="1008"/>
      <c r="AH902" s="1008"/>
      <c r="AI902" s="1008"/>
    </row>
    <row r="903" spans="1:35">
      <c r="A903" s="1008">
        <v>26840</v>
      </c>
      <c r="B903" s="1008">
        <v>210</v>
      </c>
      <c r="C903" s="1008">
        <v>9</v>
      </c>
      <c r="D903" s="1009">
        <v>15255999</v>
      </c>
      <c r="E903" s="1009">
        <v>15255212</v>
      </c>
      <c r="F903" s="1007" t="s">
        <v>3930</v>
      </c>
      <c r="G903" s="1007">
        <v>8</v>
      </c>
      <c r="H903" s="1010">
        <v>99999999</v>
      </c>
      <c r="I903" s="1009">
        <v>15255212</v>
      </c>
      <c r="J903" s="1007" t="s">
        <v>3929</v>
      </c>
      <c r="O903" s="1007" t="s">
        <v>648</v>
      </c>
      <c r="P903" s="1007" t="s">
        <v>648</v>
      </c>
      <c r="S903" s="1008" t="s">
        <v>650</v>
      </c>
      <c r="T903" s="1008" t="s">
        <v>654</v>
      </c>
      <c r="U903" s="1008" t="s">
        <v>649</v>
      </c>
      <c r="V903" s="1008" t="s">
        <v>648</v>
      </c>
      <c r="W903" s="1008" t="s">
        <v>546</v>
      </c>
      <c r="X903" s="1008" t="s">
        <v>670</v>
      </c>
      <c r="Y903" s="1008" t="s">
        <v>670</v>
      </c>
      <c r="Z903" s="1008" t="s">
        <v>670</v>
      </c>
      <c r="AA903" s="1008"/>
      <c r="AB903" s="1008" t="s">
        <v>670</v>
      </c>
      <c r="AC903" s="1008"/>
      <c r="AD903" s="1008"/>
      <c r="AE903" s="1008"/>
      <c r="AF903" s="1008" t="s">
        <v>670</v>
      </c>
      <c r="AG903" s="1008"/>
      <c r="AH903" s="1008"/>
      <c r="AI903" s="1008"/>
    </row>
    <row r="904" spans="1:35">
      <c r="A904" s="1008">
        <v>26841</v>
      </c>
      <c r="B904" s="1008">
        <v>211</v>
      </c>
      <c r="C904" s="1008">
        <v>9</v>
      </c>
      <c r="D904" s="1009">
        <v>15255999</v>
      </c>
      <c r="E904" s="1009">
        <v>15255213</v>
      </c>
      <c r="F904" s="1007" t="s">
        <v>3928</v>
      </c>
      <c r="G904" s="1007">
        <v>8</v>
      </c>
      <c r="H904" s="1010">
        <v>99999999</v>
      </c>
      <c r="I904" s="1009">
        <v>15255213</v>
      </c>
      <c r="J904" s="1007" t="s">
        <v>3927</v>
      </c>
      <c r="O904" s="1007" t="s">
        <v>648</v>
      </c>
      <c r="P904" s="1007" t="s">
        <v>648</v>
      </c>
      <c r="S904" s="1008" t="s">
        <v>650</v>
      </c>
      <c r="T904" s="1008" t="s">
        <v>654</v>
      </c>
      <c r="U904" s="1008" t="s">
        <v>649</v>
      </c>
      <c r="V904" s="1008" t="s">
        <v>648</v>
      </c>
      <c r="W904" s="1008" t="s">
        <v>546</v>
      </c>
      <c r="X904" s="1008" t="s">
        <v>670</v>
      </c>
      <c r="Y904" s="1008" t="s">
        <v>670</v>
      </c>
      <c r="Z904" s="1008" t="s">
        <v>670</v>
      </c>
      <c r="AA904" s="1008"/>
      <c r="AB904" s="1008" t="s">
        <v>670</v>
      </c>
      <c r="AC904" s="1008"/>
      <c r="AD904" s="1008"/>
      <c r="AE904" s="1008"/>
      <c r="AF904" s="1008" t="s">
        <v>670</v>
      </c>
      <c r="AG904" s="1008"/>
      <c r="AH904" s="1008"/>
      <c r="AI904" s="1008"/>
    </row>
    <row r="905" spans="1:35">
      <c r="A905" s="1008">
        <v>26842</v>
      </c>
      <c r="B905" s="1008">
        <v>212</v>
      </c>
      <c r="C905" s="1008">
        <v>9</v>
      </c>
      <c r="D905" s="1009">
        <v>15255999</v>
      </c>
      <c r="E905" s="1009">
        <v>15255214</v>
      </c>
      <c r="F905" s="1007" t="s">
        <v>3926</v>
      </c>
      <c r="G905" s="1007">
        <v>8</v>
      </c>
      <c r="H905" s="1010">
        <v>99999999</v>
      </c>
      <c r="I905" s="1009">
        <v>15255214</v>
      </c>
      <c r="J905" s="1007" t="s">
        <v>3925</v>
      </c>
      <c r="O905" s="1007" t="s">
        <v>648</v>
      </c>
      <c r="P905" s="1007" t="s">
        <v>648</v>
      </c>
      <c r="S905" s="1008" t="s">
        <v>650</v>
      </c>
      <c r="T905" s="1008" t="s">
        <v>654</v>
      </c>
      <c r="U905" s="1008" t="s">
        <v>649</v>
      </c>
      <c r="V905" s="1008" t="s">
        <v>648</v>
      </c>
      <c r="W905" s="1008" t="s">
        <v>546</v>
      </c>
      <c r="X905" s="1008" t="s">
        <v>670</v>
      </c>
      <c r="Y905" s="1008" t="s">
        <v>670</v>
      </c>
      <c r="Z905" s="1008" t="s">
        <v>670</v>
      </c>
      <c r="AA905" s="1008"/>
      <c r="AB905" s="1008" t="s">
        <v>670</v>
      </c>
      <c r="AC905" s="1008"/>
      <c r="AD905" s="1008"/>
      <c r="AE905" s="1008"/>
      <c r="AF905" s="1008" t="s">
        <v>670</v>
      </c>
      <c r="AG905" s="1008"/>
      <c r="AH905" s="1008"/>
      <c r="AI905" s="1008"/>
    </row>
    <row r="906" spans="1:35">
      <c r="A906" s="1008">
        <v>26843</v>
      </c>
      <c r="B906" s="1008">
        <v>213</v>
      </c>
      <c r="C906" s="1008">
        <v>9</v>
      </c>
      <c r="D906" s="1009">
        <v>15255999</v>
      </c>
      <c r="E906" s="1009">
        <v>15255215</v>
      </c>
      <c r="F906" s="1007" t="s">
        <v>3924</v>
      </c>
      <c r="G906" s="1007">
        <v>8</v>
      </c>
      <c r="H906" s="1010">
        <v>99999999</v>
      </c>
      <c r="I906" s="1009">
        <v>15255215</v>
      </c>
      <c r="J906" s="1007" t="s">
        <v>3923</v>
      </c>
      <c r="O906" s="1007" t="s">
        <v>648</v>
      </c>
      <c r="P906" s="1007" t="s">
        <v>648</v>
      </c>
      <c r="S906" s="1008" t="s">
        <v>650</v>
      </c>
      <c r="T906" s="1008" t="s">
        <v>654</v>
      </c>
      <c r="U906" s="1008" t="s">
        <v>649</v>
      </c>
      <c r="V906" s="1008" t="s">
        <v>648</v>
      </c>
      <c r="W906" s="1008" t="s">
        <v>546</v>
      </c>
      <c r="X906" s="1008" t="s">
        <v>670</v>
      </c>
      <c r="Y906" s="1008" t="s">
        <v>670</v>
      </c>
      <c r="Z906" s="1008" t="s">
        <v>670</v>
      </c>
      <c r="AA906" s="1008"/>
      <c r="AB906" s="1008" t="s">
        <v>670</v>
      </c>
      <c r="AC906" s="1008"/>
      <c r="AD906" s="1008"/>
      <c r="AE906" s="1008"/>
      <c r="AF906" s="1008" t="s">
        <v>670</v>
      </c>
      <c r="AG906" s="1008"/>
      <c r="AH906" s="1008"/>
      <c r="AI906" s="1008"/>
    </row>
    <row r="907" spans="1:35">
      <c r="A907" s="1008">
        <v>26844</v>
      </c>
      <c r="B907" s="1008">
        <v>214</v>
      </c>
      <c r="C907" s="1008">
        <v>9</v>
      </c>
      <c r="D907" s="1009">
        <v>15255999</v>
      </c>
      <c r="E907" s="1009">
        <v>15255216</v>
      </c>
      <c r="F907" s="1007" t="s">
        <v>3922</v>
      </c>
      <c r="G907" s="1007">
        <v>8</v>
      </c>
      <c r="H907" s="1010">
        <v>99999999</v>
      </c>
      <c r="I907" s="1009">
        <v>15255216</v>
      </c>
      <c r="J907" s="1007" t="s">
        <v>3921</v>
      </c>
      <c r="O907" s="1007" t="s">
        <v>648</v>
      </c>
      <c r="P907" s="1007" t="s">
        <v>648</v>
      </c>
      <c r="S907" s="1008" t="s">
        <v>650</v>
      </c>
      <c r="T907" s="1008" t="s">
        <v>654</v>
      </c>
      <c r="U907" s="1008" t="s">
        <v>649</v>
      </c>
      <c r="V907" s="1008" t="s">
        <v>648</v>
      </c>
      <c r="W907" s="1008" t="s">
        <v>546</v>
      </c>
      <c r="X907" s="1008" t="s">
        <v>670</v>
      </c>
      <c r="Y907" s="1008" t="s">
        <v>670</v>
      </c>
      <c r="Z907" s="1008" t="s">
        <v>670</v>
      </c>
      <c r="AA907" s="1008"/>
      <c r="AB907" s="1008" t="s">
        <v>670</v>
      </c>
      <c r="AC907" s="1008"/>
      <c r="AD907" s="1008"/>
      <c r="AE907" s="1008"/>
      <c r="AF907" s="1008" t="s">
        <v>670</v>
      </c>
      <c r="AG907" s="1008"/>
      <c r="AH907" s="1008"/>
      <c r="AI907" s="1008"/>
    </row>
    <row r="908" spans="1:35">
      <c r="A908" s="1008">
        <v>26845</v>
      </c>
      <c r="B908" s="1008">
        <v>219</v>
      </c>
      <c r="C908" s="1008">
        <v>9</v>
      </c>
      <c r="D908" s="1009">
        <v>15255999</v>
      </c>
      <c r="E908" s="1009">
        <v>15255230</v>
      </c>
      <c r="F908" s="1007" t="s">
        <v>3920</v>
      </c>
      <c r="G908" s="1007">
        <v>8</v>
      </c>
      <c r="H908" s="1010">
        <v>99999999</v>
      </c>
      <c r="I908" s="1009">
        <v>15255230</v>
      </c>
      <c r="J908" s="1007" t="s">
        <v>3919</v>
      </c>
      <c r="O908" s="1007" t="s">
        <v>648</v>
      </c>
      <c r="P908" s="1007" t="s">
        <v>648</v>
      </c>
      <c r="S908" s="1008" t="s">
        <v>650</v>
      </c>
      <c r="T908" s="1008" t="s">
        <v>654</v>
      </c>
      <c r="U908" s="1008" t="s">
        <v>649</v>
      </c>
      <c r="V908" s="1008" t="s">
        <v>648</v>
      </c>
      <c r="W908" s="1008" t="s">
        <v>546</v>
      </c>
      <c r="X908" s="1008" t="s">
        <v>670</v>
      </c>
      <c r="Y908" s="1008" t="s">
        <v>670</v>
      </c>
      <c r="Z908" s="1008" t="s">
        <v>670</v>
      </c>
      <c r="AA908" s="1008"/>
      <c r="AB908" s="1008" t="s">
        <v>670</v>
      </c>
      <c r="AC908" s="1008"/>
      <c r="AD908" s="1008"/>
      <c r="AE908" s="1008"/>
      <c r="AF908" s="1008" t="s">
        <v>670</v>
      </c>
      <c r="AG908" s="1008"/>
      <c r="AH908" s="1008"/>
      <c r="AI908" s="1008"/>
    </row>
    <row r="909" spans="1:35">
      <c r="A909" s="1008">
        <v>27106</v>
      </c>
      <c r="B909" s="1008">
        <v>5939</v>
      </c>
      <c r="C909" s="1008">
        <v>9</v>
      </c>
      <c r="D909" s="1009">
        <v>15255999</v>
      </c>
      <c r="E909" s="1009">
        <v>15255231</v>
      </c>
      <c r="F909" s="1007" t="s">
        <v>3918</v>
      </c>
      <c r="G909" s="1007" t="s">
        <v>648</v>
      </c>
      <c r="H909" s="1010">
        <v>99999999</v>
      </c>
      <c r="I909" s="1009">
        <v>15255231</v>
      </c>
      <c r="J909" s="1007" t="s">
        <v>3917</v>
      </c>
      <c r="O909" s="1007" t="s">
        <v>648</v>
      </c>
      <c r="P909" s="1007" t="s">
        <v>648</v>
      </c>
      <c r="S909" s="1008" t="s">
        <v>650</v>
      </c>
      <c r="T909" s="1008" t="s">
        <v>654</v>
      </c>
      <c r="U909" s="1008" t="s">
        <v>649</v>
      </c>
      <c r="V909" s="1008" t="s">
        <v>648</v>
      </c>
      <c r="W909" s="1008" t="s">
        <v>546</v>
      </c>
      <c r="X909" s="1008" t="s">
        <v>670</v>
      </c>
      <c r="Y909" s="1008" t="s">
        <v>670</v>
      </c>
      <c r="Z909" s="1008" t="s">
        <v>670</v>
      </c>
      <c r="AA909" s="1008"/>
      <c r="AB909" s="1008" t="s">
        <v>670</v>
      </c>
      <c r="AC909" s="1008"/>
      <c r="AD909" s="1008"/>
      <c r="AE909" s="1008"/>
      <c r="AF909" s="1008" t="s">
        <v>670</v>
      </c>
      <c r="AG909" s="1008"/>
      <c r="AH909" s="1008"/>
      <c r="AI909" s="1008"/>
    </row>
    <row r="910" spans="1:35">
      <c r="A910" s="1008">
        <v>26846</v>
      </c>
      <c r="B910" s="1008">
        <v>215</v>
      </c>
      <c r="C910" s="1008">
        <v>9</v>
      </c>
      <c r="D910" s="1009">
        <v>15255999</v>
      </c>
      <c r="E910" s="1009">
        <v>15255235</v>
      </c>
      <c r="F910" s="1007" t="s">
        <v>3916</v>
      </c>
      <c r="G910" s="1007">
        <v>8</v>
      </c>
      <c r="H910" s="1010">
        <v>99999999</v>
      </c>
      <c r="I910" s="1009">
        <v>15255235</v>
      </c>
      <c r="J910" s="1007" t="s">
        <v>3915</v>
      </c>
      <c r="O910" s="1007" t="s">
        <v>648</v>
      </c>
      <c r="P910" s="1007" t="s">
        <v>648</v>
      </c>
      <c r="S910" s="1008" t="s">
        <v>650</v>
      </c>
      <c r="T910" s="1008" t="s">
        <v>654</v>
      </c>
      <c r="U910" s="1008" t="s">
        <v>649</v>
      </c>
      <c r="V910" s="1008" t="s">
        <v>648</v>
      </c>
      <c r="W910" s="1008" t="s">
        <v>546</v>
      </c>
      <c r="X910" s="1008" t="s">
        <v>670</v>
      </c>
      <c r="Y910" s="1008" t="s">
        <v>670</v>
      </c>
      <c r="Z910" s="1008" t="s">
        <v>670</v>
      </c>
      <c r="AA910" s="1008"/>
      <c r="AB910" s="1008" t="s">
        <v>670</v>
      </c>
      <c r="AC910" s="1008"/>
      <c r="AD910" s="1008"/>
      <c r="AE910" s="1008"/>
      <c r="AF910" s="1008" t="s">
        <v>670</v>
      </c>
      <c r="AG910" s="1008"/>
      <c r="AH910" s="1008"/>
      <c r="AI910" s="1008"/>
    </row>
    <row r="911" spans="1:35">
      <c r="A911" s="1008">
        <v>26847</v>
      </c>
      <c r="B911" s="1008">
        <v>216</v>
      </c>
      <c r="C911" s="1008">
        <v>9</v>
      </c>
      <c r="D911" s="1009">
        <v>15255999</v>
      </c>
      <c r="E911" s="1009">
        <v>15255240</v>
      </c>
      <c r="F911" s="1007" t="s">
        <v>3914</v>
      </c>
      <c r="G911" s="1007">
        <v>8</v>
      </c>
      <c r="H911" s="1010">
        <v>99999999</v>
      </c>
      <c r="I911" s="1009">
        <v>15255240</v>
      </c>
      <c r="J911" s="1007" t="s">
        <v>3913</v>
      </c>
      <c r="O911" s="1007" t="s">
        <v>648</v>
      </c>
      <c r="P911" s="1007" t="s">
        <v>648</v>
      </c>
      <c r="S911" s="1008" t="s">
        <v>650</v>
      </c>
      <c r="T911" s="1008" t="s">
        <v>654</v>
      </c>
      <c r="U911" s="1008" t="s">
        <v>649</v>
      </c>
      <c r="V911" s="1008" t="s">
        <v>648</v>
      </c>
      <c r="W911" s="1008" t="s">
        <v>546</v>
      </c>
      <c r="X911" s="1008" t="s">
        <v>670</v>
      </c>
      <c r="Y911" s="1008" t="s">
        <v>670</v>
      </c>
      <c r="Z911" s="1008" t="s">
        <v>670</v>
      </c>
      <c r="AA911" s="1008"/>
      <c r="AB911" s="1008" t="s">
        <v>670</v>
      </c>
      <c r="AC911" s="1008"/>
      <c r="AD911" s="1008"/>
      <c r="AE911" s="1008"/>
      <c r="AF911" s="1008" t="s">
        <v>670</v>
      </c>
      <c r="AG911" s="1008"/>
      <c r="AH911" s="1008"/>
      <c r="AI911" s="1008"/>
    </row>
    <row r="912" spans="1:35">
      <c r="A912" s="1008">
        <v>26848</v>
      </c>
      <c r="B912" s="1008">
        <v>217</v>
      </c>
      <c r="C912" s="1008">
        <v>9</v>
      </c>
      <c r="D912" s="1009">
        <v>15255999</v>
      </c>
      <c r="E912" s="1009">
        <v>15255245</v>
      </c>
      <c r="F912" s="1007" t="s">
        <v>3912</v>
      </c>
      <c r="G912" s="1007">
        <v>8</v>
      </c>
      <c r="H912" s="1010">
        <v>99999999</v>
      </c>
      <c r="I912" s="1009">
        <v>15255245</v>
      </c>
      <c r="J912" s="1007" t="s">
        <v>3911</v>
      </c>
      <c r="O912" s="1007" t="s">
        <v>648</v>
      </c>
      <c r="P912" s="1007" t="s">
        <v>648</v>
      </c>
      <c r="S912" s="1008" t="s">
        <v>650</v>
      </c>
      <c r="T912" s="1008" t="s">
        <v>654</v>
      </c>
      <c r="U912" s="1008" t="s">
        <v>649</v>
      </c>
      <c r="V912" s="1008" t="s">
        <v>648</v>
      </c>
      <c r="W912" s="1008" t="s">
        <v>546</v>
      </c>
      <c r="X912" s="1008" t="s">
        <v>670</v>
      </c>
      <c r="Y912" s="1008" t="s">
        <v>670</v>
      </c>
      <c r="Z912" s="1008" t="s">
        <v>670</v>
      </c>
      <c r="AA912" s="1008"/>
      <c r="AB912" s="1008" t="s">
        <v>670</v>
      </c>
      <c r="AC912" s="1008"/>
      <c r="AD912" s="1008"/>
      <c r="AE912" s="1008"/>
      <c r="AF912" s="1008" t="s">
        <v>670</v>
      </c>
      <c r="AG912" s="1008"/>
      <c r="AH912" s="1008"/>
      <c r="AI912" s="1008"/>
    </row>
    <row r="913" spans="1:35">
      <c r="A913" s="1008">
        <v>26849</v>
      </c>
      <c r="B913" s="1008">
        <v>218</v>
      </c>
      <c r="C913" s="1008">
        <v>9</v>
      </c>
      <c r="D913" s="1009">
        <v>15255999</v>
      </c>
      <c r="E913" s="1009">
        <v>15255250</v>
      </c>
      <c r="F913" s="1007" t="s">
        <v>3910</v>
      </c>
      <c r="G913" s="1007">
        <v>8</v>
      </c>
      <c r="H913" s="1010">
        <v>99999999</v>
      </c>
      <c r="I913" s="1009">
        <v>15255250</v>
      </c>
      <c r="J913" s="1007" t="s">
        <v>3909</v>
      </c>
      <c r="O913" s="1007" t="s">
        <v>648</v>
      </c>
      <c r="P913" s="1007" t="s">
        <v>648</v>
      </c>
      <c r="S913" s="1008" t="s">
        <v>650</v>
      </c>
      <c r="T913" s="1008" t="s">
        <v>654</v>
      </c>
      <c r="U913" s="1008" t="s">
        <v>649</v>
      </c>
      <c r="V913" s="1008" t="s">
        <v>648</v>
      </c>
      <c r="W913" s="1008" t="s">
        <v>546</v>
      </c>
      <c r="X913" s="1008" t="s">
        <v>670</v>
      </c>
      <c r="Y913" s="1008" t="s">
        <v>670</v>
      </c>
      <c r="Z913" s="1008" t="s">
        <v>670</v>
      </c>
      <c r="AA913" s="1008"/>
      <c r="AB913" s="1008" t="s">
        <v>670</v>
      </c>
      <c r="AC913" s="1008"/>
      <c r="AD913" s="1008"/>
      <c r="AE913" s="1008"/>
      <c r="AF913" s="1008" t="s">
        <v>670</v>
      </c>
      <c r="AG913" s="1008"/>
      <c r="AH913" s="1008"/>
      <c r="AI913" s="1008"/>
    </row>
    <row r="914" spans="1:35">
      <c r="A914" s="1008">
        <v>26850</v>
      </c>
      <c r="B914" s="1008">
        <v>824</v>
      </c>
      <c r="C914" s="1008">
        <v>9</v>
      </c>
      <c r="D914" s="1009">
        <v>15255999</v>
      </c>
      <c r="E914" s="1009">
        <v>15255255</v>
      </c>
      <c r="F914" s="1007" t="s">
        <v>3908</v>
      </c>
      <c r="G914" s="1007">
        <v>8</v>
      </c>
      <c r="H914" s="1010">
        <v>99999999</v>
      </c>
      <c r="I914" s="1009">
        <v>15255255</v>
      </c>
      <c r="J914" s="1007" t="s">
        <v>3907</v>
      </c>
      <c r="O914" s="1007" t="s">
        <v>648</v>
      </c>
      <c r="P914" s="1007" t="s">
        <v>648</v>
      </c>
      <c r="S914" s="1008" t="s">
        <v>650</v>
      </c>
      <c r="T914" s="1008" t="s">
        <v>654</v>
      </c>
      <c r="U914" s="1008" t="s">
        <v>649</v>
      </c>
      <c r="V914" s="1008" t="s">
        <v>648</v>
      </c>
      <c r="W914" s="1008" t="s">
        <v>546</v>
      </c>
      <c r="X914" s="1008" t="s">
        <v>670</v>
      </c>
      <c r="Y914" s="1008" t="s">
        <v>670</v>
      </c>
      <c r="Z914" s="1008" t="s">
        <v>670</v>
      </c>
      <c r="AA914" s="1008"/>
      <c r="AB914" s="1008" t="s">
        <v>670</v>
      </c>
      <c r="AC914" s="1008"/>
      <c r="AD914" s="1008"/>
      <c r="AE914" s="1008"/>
      <c r="AF914" s="1008" t="s">
        <v>670</v>
      </c>
      <c r="AG914" s="1008"/>
      <c r="AH914" s="1008"/>
      <c r="AI914" s="1008"/>
    </row>
    <row r="915" spans="1:35">
      <c r="A915" s="1008">
        <v>27781</v>
      </c>
      <c r="B915" s="1008">
        <v>6586</v>
      </c>
      <c r="C915" s="1008">
        <v>9</v>
      </c>
      <c r="D915" s="1009">
        <v>15255999</v>
      </c>
      <c r="E915" s="1009">
        <v>15255260</v>
      </c>
      <c r="F915" s="1007" t="s">
        <v>3906</v>
      </c>
      <c r="G915" s="1007">
        <v>8</v>
      </c>
      <c r="H915" s="1010">
        <v>99999999</v>
      </c>
      <c r="I915" s="1009">
        <v>15255260</v>
      </c>
      <c r="J915" s="1007" t="s">
        <v>3906</v>
      </c>
      <c r="O915" s="1007" t="s">
        <v>648</v>
      </c>
      <c r="P915" s="1007" t="s">
        <v>648</v>
      </c>
      <c r="S915" s="1008" t="s">
        <v>650</v>
      </c>
      <c r="T915" s="1008" t="s">
        <v>654</v>
      </c>
      <c r="U915" s="1008" t="s">
        <v>649</v>
      </c>
      <c r="V915" s="1008" t="s">
        <v>648</v>
      </c>
      <c r="W915" s="1008" t="s">
        <v>546</v>
      </c>
      <c r="X915" s="1008" t="s">
        <v>670</v>
      </c>
      <c r="Y915" s="1008" t="s">
        <v>670</v>
      </c>
      <c r="Z915" s="1008"/>
      <c r="AA915" s="1008"/>
      <c r="AB915" s="1008"/>
      <c r="AC915" s="1008"/>
      <c r="AD915" s="1008"/>
      <c r="AE915" s="1008"/>
      <c r="AF915" s="1008" t="s">
        <v>670</v>
      </c>
      <c r="AG915" s="1008"/>
      <c r="AH915" s="1008"/>
      <c r="AI915" s="1008"/>
    </row>
    <row r="916" spans="1:35">
      <c r="A916" s="1008">
        <v>26851</v>
      </c>
      <c r="C916" s="1008">
        <v>8</v>
      </c>
      <c r="D916" s="1009">
        <v>15399999</v>
      </c>
      <c r="E916" s="1009">
        <v>15255999</v>
      </c>
      <c r="F916" s="1007" t="s">
        <v>3905</v>
      </c>
      <c r="O916" s="1007" t="s">
        <v>648</v>
      </c>
      <c r="P916" s="1007" t="s">
        <v>648</v>
      </c>
      <c r="S916" s="1008" t="s">
        <v>650</v>
      </c>
      <c r="T916" s="1008" t="s">
        <v>21</v>
      </c>
      <c r="U916" s="1008" t="s">
        <v>649</v>
      </c>
      <c r="V916" s="1008" t="s">
        <v>648</v>
      </c>
      <c r="W916" s="1008" t="s">
        <v>546</v>
      </c>
      <c r="X916" s="1008"/>
      <c r="Y916" s="1008"/>
      <c r="Z916" s="1008"/>
      <c r="AA916" s="1008"/>
      <c r="AB916" s="1008"/>
      <c r="AC916" s="1008"/>
      <c r="AD916" s="1008"/>
      <c r="AE916" s="1008"/>
      <c r="AF916" s="1008"/>
      <c r="AG916" s="1008"/>
      <c r="AH916" s="1008"/>
      <c r="AI916" s="1008"/>
    </row>
    <row r="917" spans="1:35">
      <c r="A917" s="1008">
        <v>26852</v>
      </c>
      <c r="C917" s="1008">
        <v>8</v>
      </c>
      <c r="D917" s="1009">
        <v>15260999</v>
      </c>
      <c r="E917" s="1009">
        <v>15260000</v>
      </c>
      <c r="F917" s="1007" t="s">
        <v>3904</v>
      </c>
      <c r="O917" s="1007" t="s">
        <v>648</v>
      </c>
      <c r="P917" s="1007" t="s">
        <v>648</v>
      </c>
      <c r="S917" s="1008" t="s">
        <v>650</v>
      </c>
      <c r="T917" s="1008" t="s">
        <v>675</v>
      </c>
      <c r="U917" s="1008" t="s">
        <v>649</v>
      </c>
      <c r="V917" s="1008" t="s">
        <v>648</v>
      </c>
      <c r="W917" s="1008" t="s">
        <v>546</v>
      </c>
      <c r="X917" s="1008"/>
      <c r="Y917" s="1008"/>
      <c r="Z917" s="1008"/>
      <c r="AA917" s="1008"/>
      <c r="AB917" s="1008"/>
      <c r="AC917" s="1008"/>
      <c r="AD917" s="1008"/>
      <c r="AE917" s="1008"/>
      <c r="AF917" s="1008"/>
      <c r="AG917" s="1008"/>
      <c r="AH917" s="1008"/>
      <c r="AI917" s="1008"/>
    </row>
    <row r="918" spans="1:35">
      <c r="A918" s="1008">
        <v>26667</v>
      </c>
      <c r="B918" s="1008">
        <v>223</v>
      </c>
      <c r="C918" s="1008">
        <v>9</v>
      </c>
      <c r="D918" s="1009">
        <v>15260999</v>
      </c>
      <c r="E918" s="1009">
        <v>15260200</v>
      </c>
      <c r="F918" s="1007" t="s">
        <v>3903</v>
      </c>
      <c r="G918" s="1007">
        <v>8</v>
      </c>
      <c r="H918" s="1010">
        <v>99999999</v>
      </c>
      <c r="I918" s="1009">
        <v>15260200</v>
      </c>
      <c r="J918" s="1007" t="s">
        <v>3902</v>
      </c>
      <c r="O918" s="1007" t="s">
        <v>648</v>
      </c>
      <c r="P918" s="1007" t="s">
        <v>648</v>
      </c>
      <c r="S918" s="1008" t="s">
        <v>650</v>
      </c>
      <c r="T918" s="1008" t="s">
        <v>654</v>
      </c>
      <c r="U918" s="1008" t="s">
        <v>649</v>
      </c>
      <c r="V918" s="1008" t="s">
        <v>648</v>
      </c>
      <c r="W918" s="1008" t="s">
        <v>546</v>
      </c>
      <c r="X918" s="1008" t="s">
        <v>670</v>
      </c>
      <c r="Y918" s="1008" t="s">
        <v>670</v>
      </c>
      <c r="Z918" s="1008" t="s">
        <v>670</v>
      </c>
      <c r="AA918" s="1008"/>
      <c r="AB918" s="1008" t="s">
        <v>670</v>
      </c>
      <c r="AC918" s="1008"/>
      <c r="AD918" s="1008"/>
      <c r="AE918" s="1008"/>
      <c r="AF918" s="1008" t="s">
        <v>670</v>
      </c>
      <c r="AG918" s="1008"/>
      <c r="AH918" s="1008"/>
      <c r="AI918" s="1008"/>
    </row>
    <row r="919" spans="1:35">
      <c r="A919" s="1008">
        <v>26853</v>
      </c>
      <c r="B919" s="1008">
        <v>224</v>
      </c>
      <c r="C919" s="1008">
        <v>9</v>
      </c>
      <c r="D919" s="1009">
        <v>15260999</v>
      </c>
      <c r="E919" s="1009">
        <v>15260205</v>
      </c>
      <c r="F919" s="1007" t="s">
        <v>3901</v>
      </c>
      <c r="G919" s="1007">
        <v>8</v>
      </c>
      <c r="H919" s="1010">
        <v>99999999</v>
      </c>
      <c r="I919" s="1009">
        <v>15260205</v>
      </c>
      <c r="J919" s="1007" t="s">
        <v>3900</v>
      </c>
      <c r="O919" s="1007" t="s">
        <v>648</v>
      </c>
      <c r="P919" s="1007" t="s">
        <v>648</v>
      </c>
      <c r="S919" s="1008" t="s">
        <v>650</v>
      </c>
      <c r="T919" s="1008" t="s">
        <v>654</v>
      </c>
      <c r="U919" s="1008" t="s">
        <v>649</v>
      </c>
      <c r="V919" s="1008" t="s">
        <v>648</v>
      </c>
      <c r="W919" s="1008" t="s">
        <v>546</v>
      </c>
      <c r="X919" s="1008" t="s">
        <v>670</v>
      </c>
      <c r="Y919" s="1008" t="s">
        <v>670</v>
      </c>
      <c r="Z919" s="1008" t="s">
        <v>670</v>
      </c>
      <c r="AA919" s="1008"/>
      <c r="AB919" s="1008" t="s">
        <v>670</v>
      </c>
      <c r="AC919" s="1008"/>
      <c r="AD919" s="1008"/>
      <c r="AE919" s="1008"/>
      <c r="AF919" s="1008" t="s">
        <v>670</v>
      </c>
      <c r="AG919" s="1008"/>
      <c r="AH919" s="1008"/>
      <c r="AI919" s="1008"/>
    </row>
    <row r="920" spans="1:35">
      <c r="A920" s="1008">
        <v>26854</v>
      </c>
      <c r="B920" s="1008">
        <v>225</v>
      </c>
      <c r="C920" s="1008">
        <v>9</v>
      </c>
      <c r="D920" s="1009">
        <v>15260999</v>
      </c>
      <c r="E920" s="1009">
        <v>15260210</v>
      </c>
      <c r="F920" s="1007" t="s">
        <v>3899</v>
      </c>
      <c r="G920" s="1007">
        <v>8</v>
      </c>
      <c r="H920" s="1010">
        <v>99999999</v>
      </c>
      <c r="I920" s="1009">
        <v>15260210</v>
      </c>
      <c r="J920" s="1007" t="s">
        <v>3898</v>
      </c>
      <c r="O920" s="1007" t="s">
        <v>648</v>
      </c>
      <c r="P920" s="1007" t="s">
        <v>648</v>
      </c>
      <c r="S920" s="1008" t="s">
        <v>650</v>
      </c>
      <c r="T920" s="1008" t="s">
        <v>654</v>
      </c>
      <c r="U920" s="1008" t="s">
        <v>649</v>
      </c>
      <c r="V920" s="1008" t="s">
        <v>648</v>
      </c>
      <c r="W920" s="1008" t="s">
        <v>546</v>
      </c>
      <c r="X920" s="1008" t="s">
        <v>670</v>
      </c>
      <c r="Y920" s="1008" t="s">
        <v>670</v>
      </c>
      <c r="Z920" s="1008" t="s">
        <v>670</v>
      </c>
      <c r="AA920" s="1008"/>
      <c r="AB920" s="1008" t="s">
        <v>670</v>
      </c>
      <c r="AC920" s="1008"/>
      <c r="AD920" s="1008"/>
      <c r="AE920" s="1008"/>
      <c r="AF920" s="1008" t="s">
        <v>670</v>
      </c>
      <c r="AG920" s="1008"/>
      <c r="AH920" s="1008"/>
      <c r="AI920" s="1008"/>
    </row>
    <row r="921" spans="1:35">
      <c r="A921" s="1008">
        <v>26855</v>
      </c>
      <c r="B921" s="1008">
        <v>226</v>
      </c>
      <c r="C921" s="1008">
        <v>9</v>
      </c>
      <c r="D921" s="1009">
        <v>15260999</v>
      </c>
      <c r="E921" s="1009">
        <v>15260215</v>
      </c>
      <c r="F921" s="1007" t="s">
        <v>3897</v>
      </c>
      <c r="G921" s="1007">
        <v>8</v>
      </c>
      <c r="H921" s="1010">
        <v>99999999</v>
      </c>
      <c r="I921" s="1009">
        <v>15260215</v>
      </c>
      <c r="J921" s="1007" t="s">
        <v>3896</v>
      </c>
      <c r="O921" s="1007" t="s">
        <v>648</v>
      </c>
      <c r="P921" s="1007" t="s">
        <v>648</v>
      </c>
      <c r="S921" s="1008" t="s">
        <v>650</v>
      </c>
      <c r="T921" s="1008" t="s">
        <v>654</v>
      </c>
      <c r="U921" s="1008" t="s">
        <v>649</v>
      </c>
      <c r="V921" s="1008" t="s">
        <v>648</v>
      </c>
      <c r="W921" s="1008" t="s">
        <v>546</v>
      </c>
      <c r="X921" s="1008" t="s">
        <v>670</v>
      </c>
      <c r="Y921" s="1008" t="s">
        <v>670</v>
      </c>
      <c r="Z921" s="1008" t="s">
        <v>670</v>
      </c>
      <c r="AA921" s="1008"/>
      <c r="AB921" s="1008" t="s">
        <v>670</v>
      </c>
      <c r="AC921" s="1008"/>
      <c r="AD921" s="1008"/>
      <c r="AE921" s="1008"/>
      <c r="AF921" s="1008" t="s">
        <v>670</v>
      </c>
      <c r="AG921" s="1008"/>
      <c r="AH921" s="1008"/>
      <c r="AI921" s="1008"/>
    </row>
    <row r="922" spans="1:35">
      <c r="A922" s="1008">
        <v>26856</v>
      </c>
      <c r="B922" s="1008">
        <v>230</v>
      </c>
      <c r="C922" s="1008">
        <v>9</v>
      </c>
      <c r="D922" s="1009">
        <v>15260999</v>
      </c>
      <c r="E922" s="1009">
        <v>15260220</v>
      </c>
      <c r="F922" s="1007" t="s">
        <v>3895</v>
      </c>
      <c r="G922" s="1007">
        <v>8</v>
      </c>
      <c r="H922" s="1010">
        <v>99999999</v>
      </c>
      <c r="I922" s="1009">
        <v>15260220</v>
      </c>
      <c r="J922" s="1007" t="s">
        <v>3894</v>
      </c>
      <c r="O922" s="1007" t="s">
        <v>648</v>
      </c>
      <c r="P922" s="1007" t="s">
        <v>648</v>
      </c>
      <c r="S922" s="1008" t="s">
        <v>650</v>
      </c>
      <c r="T922" s="1008" t="s">
        <v>654</v>
      </c>
      <c r="U922" s="1008" t="s">
        <v>649</v>
      </c>
      <c r="V922" s="1008" t="s">
        <v>648</v>
      </c>
      <c r="W922" s="1008" t="s">
        <v>546</v>
      </c>
      <c r="X922" s="1008" t="s">
        <v>670</v>
      </c>
      <c r="Y922" s="1008" t="s">
        <v>670</v>
      </c>
      <c r="Z922" s="1008" t="s">
        <v>670</v>
      </c>
      <c r="AA922" s="1008"/>
      <c r="AB922" s="1008" t="s">
        <v>670</v>
      </c>
      <c r="AC922" s="1008"/>
      <c r="AD922" s="1008"/>
      <c r="AE922" s="1008"/>
      <c r="AF922" s="1008" t="s">
        <v>670</v>
      </c>
      <c r="AG922" s="1008"/>
      <c r="AH922" s="1008"/>
      <c r="AI922" s="1008"/>
    </row>
    <row r="923" spans="1:35">
      <c r="A923" s="1008">
        <v>26857</v>
      </c>
      <c r="B923" s="1008">
        <v>231</v>
      </c>
      <c r="C923" s="1008">
        <v>9</v>
      </c>
      <c r="D923" s="1009">
        <v>15260999</v>
      </c>
      <c r="E923" s="1009">
        <v>15260225</v>
      </c>
      <c r="F923" s="1007" t="s">
        <v>3893</v>
      </c>
      <c r="G923" s="1007">
        <v>8</v>
      </c>
      <c r="H923" s="1010">
        <v>99999999</v>
      </c>
      <c r="I923" s="1009">
        <v>15260225</v>
      </c>
      <c r="J923" s="1007" t="s">
        <v>3892</v>
      </c>
      <c r="O923" s="1007" t="s">
        <v>648</v>
      </c>
      <c r="P923" s="1007" t="s">
        <v>648</v>
      </c>
      <c r="S923" s="1008" t="s">
        <v>650</v>
      </c>
      <c r="T923" s="1008" t="s">
        <v>654</v>
      </c>
      <c r="U923" s="1008" t="s">
        <v>649</v>
      </c>
      <c r="V923" s="1008" t="s">
        <v>648</v>
      </c>
      <c r="W923" s="1008" t="s">
        <v>546</v>
      </c>
      <c r="X923" s="1008" t="s">
        <v>670</v>
      </c>
      <c r="Y923" s="1008" t="s">
        <v>670</v>
      </c>
      <c r="Z923" s="1008" t="s">
        <v>670</v>
      </c>
      <c r="AA923" s="1008"/>
      <c r="AB923" s="1008" t="s">
        <v>670</v>
      </c>
      <c r="AC923" s="1008"/>
      <c r="AD923" s="1008"/>
      <c r="AE923" s="1008"/>
      <c r="AF923" s="1008" t="s">
        <v>670</v>
      </c>
      <c r="AG923" s="1008"/>
      <c r="AH923" s="1008"/>
      <c r="AI923" s="1008"/>
    </row>
    <row r="924" spans="1:35">
      <c r="A924" s="1008">
        <v>27113</v>
      </c>
      <c r="B924" s="1008">
        <v>5946</v>
      </c>
      <c r="C924" s="1008">
        <v>9</v>
      </c>
      <c r="D924" s="1009">
        <v>15260999</v>
      </c>
      <c r="E924" s="1009">
        <v>15260230</v>
      </c>
      <c r="F924" s="1007" t="s">
        <v>3891</v>
      </c>
      <c r="G924" s="1007">
        <v>8</v>
      </c>
      <c r="H924" s="1010">
        <v>99999999</v>
      </c>
      <c r="I924" s="1009">
        <v>15260230</v>
      </c>
      <c r="J924" s="1007" t="s">
        <v>3890</v>
      </c>
      <c r="O924" s="1007" t="s">
        <v>648</v>
      </c>
      <c r="P924" s="1007" t="s">
        <v>648</v>
      </c>
      <c r="S924" s="1008" t="s">
        <v>650</v>
      </c>
      <c r="T924" s="1008" t="s">
        <v>654</v>
      </c>
      <c r="U924" s="1008" t="s">
        <v>649</v>
      </c>
      <c r="V924" s="1008" t="s">
        <v>648</v>
      </c>
      <c r="W924" s="1008" t="s">
        <v>546</v>
      </c>
      <c r="X924" s="1008" t="s">
        <v>670</v>
      </c>
      <c r="Y924" s="1008" t="s">
        <v>670</v>
      </c>
      <c r="Z924" s="1008" t="s">
        <v>670</v>
      </c>
      <c r="AA924" s="1008"/>
      <c r="AB924" s="1008" t="s">
        <v>670</v>
      </c>
      <c r="AC924" s="1008"/>
      <c r="AD924" s="1008"/>
      <c r="AE924" s="1008"/>
      <c r="AF924" s="1008" t="s">
        <v>670</v>
      </c>
      <c r="AG924" s="1008"/>
      <c r="AH924" s="1008"/>
      <c r="AI924" s="1008"/>
    </row>
    <row r="925" spans="1:35">
      <c r="A925" s="1008">
        <v>27591</v>
      </c>
      <c r="B925" s="1008">
        <v>6435</v>
      </c>
      <c r="C925" s="1008">
        <v>9</v>
      </c>
      <c r="D925" s="1009">
        <v>15260999</v>
      </c>
      <c r="E925" s="1009">
        <v>15260240</v>
      </c>
      <c r="F925" s="1007" t="s">
        <v>3889</v>
      </c>
      <c r="G925" s="1007">
        <v>8</v>
      </c>
      <c r="H925" s="1010">
        <v>99999999</v>
      </c>
      <c r="I925" s="1009">
        <v>15260240</v>
      </c>
      <c r="J925" s="1007" t="s">
        <v>3888</v>
      </c>
      <c r="O925" s="1007" t="s">
        <v>648</v>
      </c>
      <c r="P925" s="1007" t="s">
        <v>648</v>
      </c>
      <c r="S925" s="1008" t="s">
        <v>650</v>
      </c>
      <c r="T925" s="1008" t="s">
        <v>654</v>
      </c>
      <c r="U925" s="1008" t="s">
        <v>649</v>
      </c>
      <c r="V925" s="1008" t="s">
        <v>648</v>
      </c>
      <c r="W925" s="1008" t="s">
        <v>546</v>
      </c>
      <c r="X925" s="1008" t="s">
        <v>670</v>
      </c>
      <c r="Y925" s="1008" t="s">
        <v>670</v>
      </c>
      <c r="Z925" s="1008"/>
      <c r="AA925" s="1008"/>
      <c r="AB925" s="1008"/>
      <c r="AC925" s="1008"/>
      <c r="AD925" s="1008"/>
      <c r="AE925" s="1008"/>
      <c r="AF925" s="1008" t="s">
        <v>670</v>
      </c>
      <c r="AG925" s="1008"/>
      <c r="AH925" s="1008"/>
      <c r="AI925" s="1008"/>
    </row>
    <row r="926" spans="1:35">
      <c r="A926" s="1008">
        <v>26691</v>
      </c>
      <c r="B926" s="1008">
        <v>5887</v>
      </c>
      <c r="C926" s="1008">
        <v>9</v>
      </c>
      <c r="D926" s="1009">
        <v>15260999</v>
      </c>
      <c r="E926" s="1009">
        <v>15260700</v>
      </c>
      <c r="F926" s="1007" t="s">
        <v>3887</v>
      </c>
      <c r="G926" s="1007">
        <v>8</v>
      </c>
      <c r="H926" s="1010">
        <v>99999999</v>
      </c>
      <c r="I926" s="1009">
        <v>15260700</v>
      </c>
      <c r="J926" s="1007" t="s">
        <v>3886</v>
      </c>
      <c r="O926" s="1007" t="s">
        <v>648</v>
      </c>
      <c r="P926" s="1007" t="s">
        <v>648</v>
      </c>
      <c r="S926" s="1008" t="s">
        <v>650</v>
      </c>
      <c r="T926" s="1008" t="s">
        <v>654</v>
      </c>
      <c r="U926" s="1008" t="s">
        <v>649</v>
      </c>
      <c r="V926" s="1008" t="s">
        <v>648</v>
      </c>
      <c r="W926" s="1008" t="s">
        <v>546</v>
      </c>
      <c r="X926" s="1008" t="s">
        <v>670</v>
      </c>
      <c r="Y926" s="1008" t="s">
        <v>670</v>
      </c>
      <c r="Z926" s="1008" t="s">
        <v>670</v>
      </c>
      <c r="AA926" s="1008"/>
      <c r="AB926" s="1008" t="s">
        <v>670</v>
      </c>
      <c r="AC926" s="1008"/>
      <c r="AD926" s="1008"/>
      <c r="AE926" s="1008"/>
      <c r="AF926" s="1008" t="s">
        <v>670</v>
      </c>
      <c r="AG926" s="1008"/>
      <c r="AH926" s="1008"/>
      <c r="AI926" s="1008"/>
    </row>
    <row r="927" spans="1:35">
      <c r="A927" s="1008">
        <v>26858</v>
      </c>
      <c r="B927" s="1008">
        <v>227</v>
      </c>
      <c r="C927" s="1008">
        <v>9</v>
      </c>
      <c r="D927" s="1009">
        <v>15260999</v>
      </c>
      <c r="E927" s="1009">
        <v>15260900</v>
      </c>
      <c r="F927" s="1007" t="s">
        <v>3885</v>
      </c>
      <c r="G927" s="1007">
        <v>8</v>
      </c>
      <c r="H927" s="1010">
        <v>99999999</v>
      </c>
      <c r="I927" s="1009">
        <v>15260900</v>
      </c>
      <c r="J927" s="1007" t="s">
        <v>3884</v>
      </c>
      <c r="O927" s="1007" t="s">
        <v>648</v>
      </c>
      <c r="P927" s="1007" t="s">
        <v>648</v>
      </c>
      <c r="S927" s="1008" t="s">
        <v>650</v>
      </c>
      <c r="T927" s="1008" t="s">
        <v>654</v>
      </c>
      <c r="U927" s="1008" t="s">
        <v>649</v>
      </c>
      <c r="V927" s="1008" t="s">
        <v>648</v>
      </c>
      <c r="W927" s="1008" t="s">
        <v>546</v>
      </c>
      <c r="X927" s="1008" t="s">
        <v>670</v>
      </c>
      <c r="Y927" s="1008" t="s">
        <v>670</v>
      </c>
      <c r="Z927" s="1008" t="s">
        <v>670</v>
      </c>
      <c r="AA927" s="1008"/>
      <c r="AB927" s="1008" t="s">
        <v>670</v>
      </c>
      <c r="AC927" s="1008"/>
      <c r="AD927" s="1008"/>
      <c r="AE927" s="1008"/>
      <c r="AF927" s="1008" t="s">
        <v>670</v>
      </c>
      <c r="AG927" s="1008"/>
      <c r="AH927" s="1008"/>
      <c r="AI927" s="1008"/>
    </row>
    <row r="928" spans="1:35">
      <c r="A928" s="1008">
        <v>26859</v>
      </c>
      <c r="C928" s="1008">
        <v>8</v>
      </c>
      <c r="D928" s="1009">
        <v>15399999</v>
      </c>
      <c r="E928" s="1009">
        <v>15260999</v>
      </c>
      <c r="F928" s="1007" t="s">
        <v>3883</v>
      </c>
      <c r="O928" s="1007" t="s">
        <v>648</v>
      </c>
      <c r="P928" s="1007" t="s">
        <v>648</v>
      </c>
      <c r="S928" s="1008" t="s">
        <v>650</v>
      </c>
      <c r="T928" s="1008" t="s">
        <v>21</v>
      </c>
      <c r="U928" s="1008" t="s">
        <v>649</v>
      </c>
      <c r="V928" s="1008" t="s">
        <v>648</v>
      </c>
      <c r="W928" s="1008" t="s">
        <v>546</v>
      </c>
      <c r="X928" s="1008"/>
      <c r="Y928" s="1008"/>
      <c r="Z928" s="1008"/>
      <c r="AA928" s="1008"/>
      <c r="AB928" s="1008"/>
      <c r="AC928" s="1008"/>
      <c r="AD928" s="1008"/>
      <c r="AE928" s="1008"/>
      <c r="AF928" s="1008"/>
      <c r="AG928" s="1008"/>
      <c r="AH928" s="1008"/>
      <c r="AI928" s="1008"/>
    </row>
    <row r="929" spans="1:35">
      <c r="A929" s="1008">
        <v>26860</v>
      </c>
      <c r="C929" s="1008">
        <v>8</v>
      </c>
      <c r="D929" s="1009">
        <v>15265999</v>
      </c>
      <c r="E929" s="1009">
        <v>15265000</v>
      </c>
      <c r="F929" s="1007" t="s">
        <v>3882</v>
      </c>
      <c r="O929" s="1007" t="s">
        <v>648</v>
      </c>
      <c r="P929" s="1007" t="s">
        <v>648</v>
      </c>
      <c r="S929" s="1008" t="s">
        <v>650</v>
      </c>
      <c r="T929" s="1008" t="s">
        <v>675</v>
      </c>
      <c r="U929" s="1008" t="s">
        <v>649</v>
      </c>
      <c r="V929" s="1008" t="s">
        <v>648</v>
      </c>
      <c r="W929" s="1008" t="s">
        <v>546</v>
      </c>
      <c r="X929" s="1008"/>
      <c r="Y929" s="1008"/>
      <c r="Z929" s="1008"/>
      <c r="AA929" s="1008"/>
      <c r="AB929" s="1008"/>
      <c r="AC929" s="1008"/>
      <c r="AD929" s="1008"/>
      <c r="AE929" s="1008"/>
      <c r="AF929" s="1008"/>
      <c r="AG929" s="1008"/>
      <c r="AH929" s="1008"/>
      <c r="AI929" s="1008"/>
    </row>
    <row r="930" spans="1:35">
      <c r="A930" s="1008">
        <v>26668</v>
      </c>
      <c r="B930" s="1008">
        <v>266</v>
      </c>
      <c r="C930" s="1008">
        <v>9</v>
      </c>
      <c r="D930" s="1009">
        <v>15265999</v>
      </c>
      <c r="E930" s="1009">
        <v>15265200</v>
      </c>
      <c r="F930" s="1007" t="s">
        <v>3881</v>
      </c>
      <c r="G930" s="1007">
        <v>8</v>
      </c>
      <c r="H930" s="1010">
        <v>99999999</v>
      </c>
      <c r="I930" s="1009">
        <v>15265200</v>
      </c>
      <c r="J930" s="1007" t="s">
        <v>3880</v>
      </c>
      <c r="O930" s="1007" t="s">
        <v>648</v>
      </c>
      <c r="P930" s="1007" t="s">
        <v>648</v>
      </c>
      <c r="S930" s="1008" t="s">
        <v>650</v>
      </c>
      <c r="T930" s="1008" t="s">
        <v>654</v>
      </c>
      <c r="U930" s="1008" t="s">
        <v>649</v>
      </c>
      <c r="V930" s="1008" t="s">
        <v>648</v>
      </c>
      <c r="W930" s="1008" t="s">
        <v>546</v>
      </c>
      <c r="X930" s="1008" t="s">
        <v>670</v>
      </c>
      <c r="Y930" s="1008" t="s">
        <v>670</v>
      </c>
      <c r="Z930" s="1008" t="s">
        <v>670</v>
      </c>
      <c r="AA930" s="1008"/>
      <c r="AB930" s="1008" t="s">
        <v>670</v>
      </c>
      <c r="AC930" s="1008"/>
      <c r="AD930" s="1008"/>
      <c r="AE930" s="1008"/>
      <c r="AF930" s="1008" t="s">
        <v>670</v>
      </c>
      <c r="AG930" s="1008"/>
      <c r="AH930" s="1008"/>
      <c r="AI930" s="1008"/>
    </row>
    <row r="931" spans="1:35">
      <c r="A931" s="1008">
        <v>26861</v>
      </c>
      <c r="B931" s="1008">
        <v>267</v>
      </c>
      <c r="C931" s="1008">
        <v>9</v>
      </c>
      <c r="D931" s="1009">
        <v>15265999</v>
      </c>
      <c r="E931" s="1009">
        <v>15265205</v>
      </c>
      <c r="F931" s="1007" t="s">
        <v>3879</v>
      </c>
      <c r="G931" s="1007">
        <v>8</v>
      </c>
      <c r="H931" s="1010">
        <v>99999999</v>
      </c>
      <c r="I931" s="1009">
        <v>15265205</v>
      </c>
      <c r="J931" s="1007" t="s">
        <v>3878</v>
      </c>
      <c r="O931" s="1007" t="s">
        <v>648</v>
      </c>
      <c r="P931" s="1007" t="s">
        <v>648</v>
      </c>
      <c r="S931" s="1008" t="s">
        <v>650</v>
      </c>
      <c r="T931" s="1008" t="s">
        <v>654</v>
      </c>
      <c r="U931" s="1008" t="s">
        <v>649</v>
      </c>
      <c r="V931" s="1008" t="s">
        <v>648</v>
      </c>
      <c r="W931" s="1008" t="s">
        <v>546</v>
      </c>
      <c r="X931" s="1008" t="s">
        <v>670</v>
      </c>
      <c r="Y931" s="1008" t="s">
        <v>670</v>
      </c>
      <c r="Z931" s="1008" t="s">
        <v>670</v>
      </c>
      <c r="AA931" s="1008"/>
      <c r="AB931" s="1008" t="s">
        <v>670</v>
      </c>
      <c r="AC931" s="1008"/>
      <c r="AD931" s="1008"/>
      <c r="AE931" s="1008"/>
      <c r="AF931" s="1008" t="s">
        <v>670</v>
      </c>
      <c r="AG931" s="1008"/>
      <c r="AH931" s="1008"/>
      <c r="AI931" s="1008"/>
    </row>
    <row r="932" spans="1:35">
      <c r="A932" s="1008">
        <v>26692</v>
      </c>
      <c r="B932" s="1008">
        <v>767</v>
      </c>
      <c r="C932" s="1008">
        <v>9</v>
      </c>
      <c r="D932" s="1009">
        <v>15265999</v>
      </c>
      <c r="E932" s="1009">
        <v>15265700</v>
      </c>
      <c r="F932" s="1007" t="s">
        <v>3877</v>
      </c>
      <c r="G932" s="1007">
        <v>8</v>
      </c>
      <c r="H932" s="1010">
        <v>99999999</v>
      </c>
      <c r="I932" s="1009">
        <v>15265700</v>
      </c>
      <c r="J932" s="1007" t="s">
        <v>3876</v>
      </c>
      <c r="O932" s="1007" t="s">
        <v>648</v>
      </c>
      <c r="P932" s="1007" t="s">
        <v>648</v>
      </c>
      <c r="S932" s="1008" t="s">
        <v>650</v>
      </c>
      <c r="T932" s="1008" t="s">
        <v>654</v>
      </c>
      <c r="U932" s="1008" t="s">
        <v>649</v>
      </c>
      <c r="V932" s="1008" t="s">
        <v>648</v>
      </c>
      <c r="W932" s="1008" t="s">
        <v>546</v>
      </c>
      <c r="X932" s="1008" t="s">
        <v>670</v>
      </c>
      <c r="Y932" s="1008" t="s">
        <v>670</v>
      </c>
      <c r="Z932" s="1008" t="s">
        <v>670</v>
      </c>
      <c r="AA932" s="1008"/>
      <c r="AB932" s="1008" t="s">
        <v>670</v>
      </c>
      <c r="AC932" s="1008"/>
      <c r="AD932" s="1008"/>
      <c r="AE932" s="1008"/>
      <c r="AF932" s="1008" t="s">
        <v>670</v>
      </c>
      <c r="AG932" s="1008"/>
      <c r="AH932" s="1008"/>
      <c r="AI932" s="1008"/>
    </row>
    <row r="933" spans="1:35">
      <c r="A933" s="1008">
        <v>26862</v>
      </c>
      <c r="C933" s="1008">
        <v>8</v>
      </c>
      <c r="D933" s="1009">
        <v>15399999</v>
      </c>
      <c r="E933" s="1009">
        <v>15265999</v>
      </c>
      <c r="F933" s="1007" t="s">
        <v>3875</v>
      </c>
      <c r="O933" s="1007" t="s">
        <v>648</v>
      </c>
      <c r="P933" s="1007" t="s">
        <v>648</v>
      </c>
      <c r="S933" s="1008" t="s">
        <v>650</v>
      </c>
      <c r="T933" s="1008" t="s">
        <v>21</v>
      </c>
      <c r="U933" s="1008" t="s">
        <v>649</v>
      </c>
      <c r="V933" s="1008" t="s">
        <v>648</v>
      </c>
      <c r="W933" s="1008" t="s">
        <v>546</v>
      </c>
      <c r="X933" s="1008"/>
      <c r="Y933" s="1008"/>
      <c r="Z933" s="1008"/>
      <c r="AA933" s="1008"/>
      <c r="AB933" s="1008"/>
      <c r="AC933" s="1008"/>
      <c r="AD933" s="1008"/>
      <c r="AE933" s="1008"/>
      <c r="AF933" s="1008"/>
      <c r="AG933" s="1008"/>
      <c r="AH933" s="1008"/>
      <c r="AI933" s="1008"/>
    </row>
    <row r="934" spans="1:35">
      <c r="A934" s="1008">
        <v>26863</v>
      </c>
      <c r="C934" s="1008">
        <v>8</v>
      </c>
      <c r="D934" s="1009">
        <v>15270999</v>
      </c>
      <c r="E934" s="1009">
        <v>15270000</v>
      </c>
      <c r="F934" s="1007" t="s">
        <v>3874</v>
      </c>
      <c r="O934" s="1007" t="s">
        <v>648</v>
      </c>
      <c r="P934" s="1007" t="s">
        <v>648</v>
      </c>
      <c r="S934" s="1008" t="s">
        <v>650</v>
      </c>
      <c r="T934" s="1008" t="s">
        <v>675</v>
      </c>
      <c r="U934" s="1008" t="s">
        <v>649</v>
      </c>
      <c r="V934" s="1008" t="s">
        <v>648</v>
      </c>
      <c r="W934" s="1008" t="s">
        <v>546</v>
      </c>
      <c r="X934" s="1008"/>
      <c r="Y934" s="1008"/>
      <c r="Z934" s="1008"/>
      <c r="AA934" s="1008"/>
      <c r="AB934" s="1008"/>
      <c r="AC934" s="1008"/>
      <c r="AD934" s="1008"/>
      <c r="AE934" s="1008"/>
      <c r="AF934" s="1008"/>
      <c r="AG934" s="1008"/>
      <c r="AH934" s="1008"/>
      <c r="AI934" s="1008"/>
    </row>
    <row r="935" spans="1:35">
      <c r="A935" s="1008">
        <v>26669</v>
      </c>
      <c r="B935" s="1008">
        <v>272</v>
      </c>
      <c r="C935" s="1008">
        <v>9</v>
      </c>
      <c r="D935" s="1009">
        <v>15270999</v>
      </c>
      <c r="E935" s="1009">
        <v>15270200</v>
      </c>
      <c r="F935" s="1007" t="s">
        <v>3873</v>
      </c>
      <c r="G935" s="1007">
        <v>8</v>
      </c>
      <c r="H935" s="1010">
        <v>99999999</v>
      </c>
      <c r="I935" s="1009">
        <v>15270200</v>
      </c>
      <c r="J935" s="1007" t="s">
        <v>3872</v>
      </c>
      <c r="O935" s="1007" t="s">
        <v>648</v>
      </c>
      <c r="P935" s="1007" t="s">
        <v>648</v>
      </c>
      <c r="S935" s="1008" t="s">
        <v>650</v>
      </c>
      <c r="T935" s="1008" t="s">
        <v>654</v>
      </c>
      <c r="U935" s="1008" t="s">
        <v>649</v>
      </c>
      <c r="V935" s="1008" t="s">
        <v>648</v>
      </c>
      <c r="W935" s="1008" t="s">
        <v>546</v>
      </c>
      <c r="X935" s="1008" t="s">
        <v>670</v>
      </c>
      <c r="Y935" s="1008" t="s">
        <v>670</v>
      </c>
      <c r="Z935" s="1008" t="s">
        <v>670</v>
      </c>
      <c r="AA935" s="1008"/>
      <c r="AB935" s="1008" t="s">
        <v>670</v>
      </c>
      <c r="AC935" s="1008"/>
      <c r="AD935" s="1008"/>
      <c r="AE935" s="1008"/>
      <c r="AF935" s="1008" t="s">
        <v>670</v>
      </c>
      <c r="AG935" s="1008"/>
      <c r="AH935" s="1008"/>
      <c r="AI935" s="1008"/>
    </row>
    <row r="936" spans="1:35">
      <c r="A936" s="1008">
        <v>26670</v>
      </c>
      <c r="B936" s="1008">
        <v>277</v>
      </c>
      <c r="C936" s="1008">
        <v>8</v>
      </c>
      <c r="D936" s="1009">
        <v>15270999</v>
      </c>
      <c r="E936" s="1009">
        <v>15270201</v>
      </c>
      <c r="F936" s="1007" t="s">
        <v>3871</v>
      </c>
      <c r="G936" s="1007">
        <v>7</v>
      </c>
      <c r="H936" s="1010">
        <v>99999999</v>
      </c>
      <c r="I936" s="1009">
        <v>15270201</v>
      </c>
      <c r="J936" s="1007" t="s">
        <v>3870</v>
      </c>
      <c r="O936" s="1007" t="s">
        <v>648</v>
      </c>
      <c r="P936" s="1007" t="s">
        <v>648</v>
      </c>
      <c r="S936" s="1008" t="s">
        <v>650</v>
      </c>
      <c r="T936" s="1008" t="s">
        <v>654</v>
      </c>
      <c r="U936" s="1008" t="s">
        <v>649</v>
      </c>
      <c r="V936" s="1008" t="s">
        <v>648</v>
      </c>
      <c r="W936" s="1008" t="s">
        <v>546</v>
      </c>
      <c r="X936" s="1008" t="s">
        <v>670</v>
      </c>
      <c r="Y936" s="1008" t="s">
        <v>670</v>
      </c>
      <c r="Z936" s="1008" t="s">
        <v>670</v>
      </c>
      <c r="AA936" s="1008"/>
      <c r="AB936" s="1008" t="s">
        <v>670</v>
      </c>
      <c r="AC936" s="1008"/>
      <c r="AD936" s="1008"/>
      <c r="AE936" s="1008"/>
      <c r="AF936" s="1008" t="s">
        <v>670</v>
      </c>
      <c r="AG936" s="1008"/>
      <c r="AH936" s="1008"/>
      <c r="AI936" s="1008"/>
    </row>
    <row r="937" spans="1:35">
      <c r="A937" s="1008">
        <v>26864</v>
      </c>
      <c r="B937" s="1008">
        <v>273</v>
      </c>
      <c r="C937" s="1008">
        <v>9</v>
      </c>
      <c r="D937" s="1009">
        <v>15270999</v>
      </c>
      <c r="E937" s="1009">
        <v>15270205</v>
      </c>
      <c r="F937" s="1007" t="s">
        <v>3869</v>
      </c>
      <c r="G937" s="1007">
        <v>8</v>
      </c>
      <c r="H937" s="1010">
        <v>99999999</v>
      </c>
      <c r="I937" s="1009">
        <v>15270205</v>
      </c>
      <c r="J937" s="1007" t="s">
        <v>3868</v>
      </c>
      <c r="O937" s="1007" t="s">
        <v>648</v>
      </c>
      <c r="P937" s="1007" t="s">
        <v>648</v>
      </c>
      <c r="S937" s="1008" t="s">
        <v>650</v>
      </c>
      <c r="T937" s="1008" t="s">
        <v>654</v>
      </c>
      <c r="U937" s="1008" t="s">
        <v>649</v>
      </c>
      <c r="V937" s="1008" t="s">
        <v>648</v>
      </c>
      <c r="W937" s="1008" t="s">
        <v>546</v>
      </c>
      <c r="X937" s="1008" t="s">
        <v>670</v>
      </c>
      <c r="Y937" s="1008" t="s">
        <v>670</v>
      </c>
      <c r="Z937" s="1008" t="s">
        <v>670</v>
      </c>
      <c r="AA937" s="1008"/>
      <c r="AB937" s="1008" t="s">
        <v>670</v>
      </c>
      <c r="AC937" s="1008"/>
      <c r="AD937" s="1008"/>
      <c r="AE937" s="1008"/>
      <c r="AF937" s="1008" t="s">
        <v>670</v>
      </c>
      <c r="AG937" s="1008"/>
      <c r="AH937" s="1008"/>
      <c r="AI937" s="1008"/>
    </row>
    <row r="938" spans="1:35">
      <c r="A938" s="1008">
        <v>26865</v>
      </c>
      <c r="B938" s="1008">
        <v>274</v>
      </c>
      <c r="C938" s="1008">
        <v>9</v>
      </c>
      <c r="D938" s="1009">
        <v>15270999</v>
      </c>
      <c r="E938" s="1009">
        <v>15270210</v>
      </c>
      <c r="F938" s="1007" t="s">
        <v>3867</v>
      </c>
      <c r="G938" s="1007">
        <v>8</v>
      </c>
      <c r="H938" s="1010">
        <v>99999999</v>
      </c>
      <c r="I938" s="1009">
        <v>15270210</v>
      </c>
      <c r="J938" s="1007" t="s">
        <v>3866</v>
      </c>
      <c r="O938" s="1007" t="s">
        <v>648</v>
      </c>
      <c r="P938" s="1007" t="s">
        <v>648</v>
      </c>
      <c r="S938" s="1008" t="s">
        <v>650</v>
      </c>
      <c r="T938" s="1008" t="s">
        <v>654</v>
      </c>
      <c r="U938" s="1008" t="s">
        <v>649</v>
      </c>
      <c r="V938" s="1008" t="s">
        <v>648</v>
      </c>
      <c r="W938" s="1008" t="s">
        <v>546</v>
      </c>
      <c r="X938" s="1008" t="s">
        <v>670</v>
      </c>
      <c r="Y938" s="1008" t="s">
        <v>670</v>
      </c>
      <c r="Z938" s="1008" t="s">
        <v>670</v>
      </c>
      <c r="AA938" s="1008"/>
      <c r="AB938" s="1008" t="s">
        <v>670</v>
      </c>
      <c r="AC938" s="1008"/>
      <c r="AD938" s="1008"/>
      <c r="AE938" s="1008"/>
      <c r="AF938" s="1008" t="s">
        <v>670</v>
      </c>
      <c r="AG938" s="1008"/>
      <c r="AH938" s="1008"/>
      <c r="AI938" s="1008"/>
    </row>
    <row r="939" spans="1:35">
      <c r="A939" s="1008">
        <v>26866</v>
      </c>
      <c r="B939" s="1008">
        <v>275</v>
      </c>
      <c r="C939" s="1008">
        <v>9</v>
      </c>
      <c r="D939" s="1009">
        <v>15270999</v>
      </c>
      <c r="E939" s="1009">
        <v>15270215</v>
      </c>
      <c r="F939" s="1007" t="s">
        <v>3865</v>
      </c>
      <c r="G939" s="1007">
        <v>8</v>
      </c>
      <c r="H939" s="1010">
        <v>99999999</v>
      </c>
      <c r="I939" s="1009">
        <v>15270215</v>
      </c>
      <c r="J939" s="1007" t="s">
        <v>3864</v>
      </c>
      <c r="O939" s="1007" t="s">
        <v>648</v>
      </c>
      <c r="P939" s="1007" t="s">
        <v>648</v>
      </c>
      <c r="S939" s="1008" t="s">
        <v>650</v>
      </c>
      <c r="T939" s="1008" t="s">
        <v>654</v>
      </c>
      <c r="U939" s="1008" t="s">
        <v>649</v>
      </c>
      <c r="V939" s="1008" t="s">
        <v>648</v>
      </c>
      <c r="W939" s="1008" t="s">
        <v>546</v>
      </c>
      <c r="X939" s="1008" t="s">
        <v>670</v>
      </c>
      <c r="Y939" s="1008" t="s">
        <v>670</v>
      </c>
      <c r="Z939" s="1008" t="s">
        <v>670</v>
      </c>
      <c r="AA939" s="1008"/>
      <c r="AB939" s="1008" t="s">
        <v>670</v>
      </c>
      <c r="AC939" s="1008"/>
      <c r="AD939" s="1008"/>
      <c r="AE939" s="1008"/>
      <c r="AF939" s="1008" t="s">
        <v>670</v>
      </c>
      <c r="AG939" s="1008"/>
      <c r="AH939" s="1008"/>
      <c r="AI939" s="1008"/>
    </row>
    <row r="940" spans="1:35">
      <c r="A940" s="1008">
        <v>26693</v>
      </c>
      <c r="B940" s="1008">
        <v>5888</v>
      </c>
      <c r="C940" s="1008">
        <v>9</v>
      </c>
      <c r="D940" s="1009">
        <v>15270999</v>
      </c>
      <c r="E940" s="1009">
        <v>15270700</v>
      </c>
      <c r="F940" s="1007" t="s">
        <v>3863</v>
      </c>
      <c r="G940" s="1007">
        <v>8</v>
      </c>
      <c r="H940" s="1010">
        <v>99999999</v>
      </c>
      <c r="I940" s="1009">
        <v>15270700</v>
      </c>
      <c r="J940" s="1007" t="s">
        <v>3862</v>
      </c>
      <c r="O940" s="1007" t="s">
        <v>648</v>
      </c>
      <c r="P940" s="1007" t="s">
        <v>648</v>
      </c>
      <c r="S940" s="1008" t="s">
        <v>650</v>
      </c>
      <c r="T940" s="1008" t="s">
        <v>654</v>
      </c>
      <c r="U940" s="1008" t="s">
        <v>649</v>
      </c>
      <c r="V940" s="1008" t="s">
        <v>648</v>
      </c>
      <c r="W940" s="1008" t="s">
        <v>546</v>
      </c>
      <c r="X940" s="1008" t="s">
        <v>670</v>
      </c>
      <c r="Y940" s="1008" t="s">
        <v>670</v>
      </c>
      <c r="Z940" s="1008" t="s">
        <v>670</v>
      </c>
      <c r="AA940" s="1008"/>
      <c r="AB940" s="1008" t="s">
        <v>670</v>
      </c>
      <c r="AC940" s="1008"/>
      <c r="AD940" s="1008"/>
      <c r="AE940" s="1008"/>
      <c r="AF940" s="1008" t="s">
        <v>670</v>
      </c>
      <c r="AG940" s="1008"/>
      <c r="AH940" s="1008"/>
      <c r="AI940" s="1008"/>
    </row>
    <row r="941" spans="1:35">
      <c r="A941" s="1008">
        <v>26867</v>
      </c>
      <c r="C941" s="1008">
        <v>8</v>
      </c>
      <c r="D941" s="1009">
        <v>15399999</v>
      </c>
      <c r="E941" s="1009">
        <v>15270999</v>
      </c>
      <c r="F941" s="1007" t="s">
        <v>3861</v>
      </c>
      <c r="O941" s="1007" t="s">
        <v>648</v>
      </c>
      <c r="P941" s="1007" t="s">
        <v>648</v>
      </c>
      <c r="S941" s="1008" t="s">
        <v>650</v>
      </c>
      <c r="T941" s="1008" t="s">
        <v>21</v>
      </c>
      <c r="U941" s="1008" t="s">
        <v>649</v>
      </c>
      <c r="V941" s="1008" t="s">
        <v>648</v>
      </c>
      <c r="W941" s="1008" t="s">
        <v>546</v>
      </c>
      <c r="X941" s="1008"/>
      <c r="Y941" s="1008"/>
      <c r="Z941" s="1008"/>
      <c r="AA941" s="1008"/>
      <c r="AB941" s="1008"/>
      <c r="AC941" s="1008"/>
      <c r="AD941" s="1008"/>
      <c r="AE941" s="1008"/>
      <c r="AF941" s="1008"/>
      <c r="AG941" s="1008"/>
      <c r="AH941" s="1008"/>
      <c r="AI941" s="1008"/>
    </row>
    <row r="942" spans="1:35">
      <c r="A942" s="1008">
        <v>26868</v>
      </c>
      <c r="C942" s="1008">
        <v>8</v>
      </c>
      <c r="D942" s="1009">
        <v>15280999</v>
      </c>
      <c r="E942" s="1009">
        <v>15280000</v>
      </c>
      <c r="F942" s="1007" t="s">
        <v>3860</v>
      </c>
      <c r="O942" s="1007" t="s">
        <v>648</v>
      </c>
      <c r="P942" s="1007" t="s">
        <v>648</v>
      </c>
      <c r="S942" s="1008" t="s">
        <v>650</v>
      </c>
      <c r="T942" s="1008" t="s">
        <v>675</v>
      </c>
      <c r="U942" s="1008" t="s">
        <v>649</v>
      </c>
      <c r="V942" s="1008" t="s">
        <v>648</v>
      </c>
      <c r="W942" s="1008" t="s">
        <v>546</v>
      </c>
      <c r="X942" s="1008"/>
      <c r="Y942" s="1008"/>
      <c r="Z942" s="1008"/>
      <c r="AA942" s="1008"/>
      <c r="AB942" s="1008"/>
      <c r="AC942" s="1008"/>
      <c r="AD942" s="1008"/>
      <c r="AE942" s="1008"/>
      <c r="AF942" s="1008"/>
      <c r="AG942" s="1008"/>
      <c r="AH942" s="1008"/>
      <c r="AI942" s="1008"/>
    </row>
    <row r="943" spans="1:35">
      <c r="A943" s="1008">
        <v>26671</v>
      </c>
      <c r="B943" s="1008">
        <v>290</v>
      </c>
      <c r="C943" s="1008">
        <v>9</v>
      </c>
      <c r="D943" s="1009">
        <v>15280999</v>
      </c>
      <c r="E943" s="1009">
        <v>15280200</v>
      </c>
      <c r="F943" s="1007" t="s">
        <v>3859</v>
      </c>
      <c r="G943" s="1007">
        <v>8</v>
      </c>
      <c r="H943" s="1010">
        <v>99999999</v>
      </c>
      <c r="I943" s="1009">
        <v>15280200</v>
      </c>
      <c r="J943" s="1007" t="s">
        <v>3858</v>
      </c>
      <c r="O943" s="1007" t="s">
        <v>648</v>
      </c>
      <c r="P943" s="1007" t="s">
        <v>648</v>
      </c>
      <c r="S943" s="1008" t="s">
        <v>650</v>
      </c>
      <c r="T943" s="1008" t="s">
        <v>654</v>
      </c>
      <c r="U943" s="1008" t="s">
        <v>649</v>
      </c>
      <c r="V943" s="1008" t="s">
        <v>648</v>
      </c>
      <c r="W943" s="1008" t="s">
        <v>546</v>
      </c>
      <c r="X943" s="1008" t="s">
        <v>670</v>
      </c>
      <c r="Y943" s="1008" t="s">
        <v>670</v>
      </c>
      <c r="Z943" s="1008" t="s">
        <v>670</v>
      </c>
      <c r="AA943" s="1008"/>
      <c r="AB943" s="1008" t="s">
        <v>670</v>
      </c>
      <c r="AC943" s="1008"/>
      <c r="AD943" s="1008"/>
      <c r="AE943" s="1008"/>
      <c r="AF943" s="1008" t="s">
        <v>670</v>
      </c>
      <c r="AG943" s="1008"/>
      <c r="AH943" s="1008"/>
      <c r="AI943" s="1008"/>
    </row>
    <row r="944" spans="1:35">
      <c r="A944" s="1008">
        <v>26869</v>
      </c>
      <c r="B944" s="1008">
        <v>291</v>
      </c>
      <c r="C944" s="1008">
        <v>9</v>
      </c>
      <c r="D944" s="1009">
        <v>15280999</v>
      </c>
      <c r="E944" s="1009">
        <v>15280205</v>
      </c>
      <c r="F944" s="1007" t="s">
        <v>3857</v>
      </c>
      <c r="G944" s="1007">
        <v>8</v>
      </c>
      <c r="H944" s="1010">
        <v>99999999</v>
      </c>
      <c r="I944" s="1009">
        <v>15280205</v>
      </c>
      <c r="J944" s="1007" t="s">
        <v>3856</v>
      </c>
      <c r="O944" s="1007" t="s">
        <v>648</v>
      </c>
      <c r="P944" s="1007" t="s">
        <v>648</v>
      </c>
      <c r="S944" s="1008" t="s">
        <v>650</v>
      </c>
      <c r="T944" s="1008" t="s">
        <v>654</v>
      </c>
      <c r="U944" s="1008" t="s">
        <v>649</v>
      </c>
      <c r="V944" s="1008" t="s">
        <v>648</v>
      </c>
      <c r="W944" s="1008" t="s">
        <v>546</v>
      </c>
      <c r="X944" s="1008" t="s">
        <v>670</v>
      </c>
      <c r="Y944" s="1008" t="s">
        <v>670</v>
      </c>
      <c r="Z944" s="1008" t="s">
        <v>670</v>
      </c>
      <c r="AA944" s="1008"/>
      <c r="AB944" s="1008" t="s">
        <v>670</v>
      </c>
      <c r="AC944" s="1008"/>
      <c r="AD944" s="1008"/>
      <c r="AE944" s="1008"/>
      <c r="AF944" s="1008" t="s">
        <v>670</v>
      </c>
      <c r="AG944" s="1008"/>
      <c r="AH944" s="1008"/>
      <c r="AI944" s="1008"/>
    </row>
    <row r="945" spans="1:35">
      <c r="A945" s="1008">
        <v>26870</v>
      </c>
      <c r="B945" s="1008">
        <v>292</v>
      </c>
      <c r="C945" s="1008">
        <v>9</v>
      </c>
      <c r="D945" s="1009">
        <v>15280999</v>
      </c>
      <c r="E945" s="1009">
        <v>15280210</v>
      </c>
      <c r="F945" s="1007" t="s">
        <v>3855</v>
      </c>
      <c r="G945" s="1007">
        <v>8</v>
      </c>
      <c r="H945" s="1010">
        <v>99999999</v>
      </c>
      <c r="I945" s="1009">
        <v>15280210</v>
      </c>
      <c r="J945" s="1007" t="s">
        <v>3854</v>
      </c>
      <c r="O945" s="1007" t="s">
        <v>648</v>
      </c>
      <c r="P945" s="1007" t="s">
        <v>648</v>
      </c>
      <c r="S945" s="1008" t="s">
        <v>650</v>
      </c>
      <c r="T945" s="1008" t="s">
        <v>654</v>
      </c>
      <c r="U945" s="1008" t="s">
        <v>649</v>
      </c>
      <c r="V945" s="1008" t="s">
        <v>648</v>
      </c>
      <c r="W945" s="1008" t="s">
        <v>546</v>
      </c>
      <c r="X945" s="1008" t="s">
        <v>670</v>
      </c>
      <c r="Y945" s="1008" t="s">
        <v>670</v>
      </c>
      <c r="Z945" s="1008" t="s">
        <v>670</v>
      </c>
      <c r="AA945" s="1008"/>
      <c r="AB945" s="1008" t="s">
        <v>670</v>
      </c>
      <c r="AC945" s="1008"/>
      <c r="AD945" s="1008"/>
      <c r="AE945" s="1008"/>
      <c r="AF945" s="1008" t="s">
        <v>670</v>
      </c>
      <c r="AG945" s="1008"/>
      <c r="AH945" s="1008"/>
      <c r="AI945" s="1008"/>
    </row>
    <row r="946" spans="1:35">
      <c r="A946" s="1008">
        <v>27551</v>
      </c>
      <c r="B946" s="1008">
        <v>296</v>
      </c>
      <c r="C946" s="1008">
        <v>9</v>
      </c>
      <c r="D946" s="1009">
        <v>15280999</v>
      </c>
      <c r="E946" s="1009">
        <v>15280211</v>
      </c>
      <c r="F946" s="1007" t="s">
        <v>3853</v>
      </c>
      <c r="G946" s="1007">
        <v>8</v>
      </c>
      <c r="H946" s="1010">
        <v>99999999</v>
      </c>
      <c r="I946" s="1009">
        <v>15280211</v>
      </c>
      <c r="J946" s="1007" t="s">
        <v>3852</v>
      </c>
      <c r="O946" s="1007" t="s">
        <v>648</v>
      </c>
      <c r="P946" s="1007" t="s">
        <v>648</v>
      </c>
      <c r="S946" s="1008" t="s">
        <v>650</v>
      </c>
      <c r="T946" s="1008" t="s">
        <v>654</v>
      </c>
      <c r="U946" s="1008" t="s">
        <v>649</v>
      </c>
      <c r="V946" s="1008" t="s">
        <v>648</v>
      </c>
      <c r="W946" s="1008" t="s">
        <v>546</v>
      </c>
      <c r="X946" s="1008" t="s">
        <v>670</v>
      </c>
      <c r="Y946" s="1008" t="s">
        <v>670</v>
      </c>
      <c r="Z946" s="1008" t="s">
        <v>670</v>
      </c>
      <c r="AA946" s="1008"/>
      <c r="AB946" s="1008" t="s">
        <v>670</v>
      </c>
      <c r="AC946" s="1008"/>
      <c r="AD946" s="1008"/>
      <c r="AE946" s="1008"/>
      <c r="AF946" s="1008" t="s">
        <v>670</v>
      </c>
      <c r="AG946" s="1008"/>
      <c r="AH946" s="1008"/>
      <c r="AI946" s="1008"/>
    </row>
    <row r="947" spans="1:35">
      <c r="A947" s="1008">
        <v>27552</v>
      </c>
      <c r="B947" s="1008">
        <v>295</v>
      </c>
      <c r="C947" s="1008">
        <v>9</v>
      </c>
      <c r="D947" s="1009">
        <v>15280999</v>
      </c>
      <c r="E947" s="1009">
        <v>15280212</v>
      </c>
      <c r="F947" s="1007" t="s">
        <v>3851</v>
      </c>
      <c r="G947" s="1007">
        <v>8</v>
      </c>
      <c r="H947" s="1010">
        <v>99999999</v>
      </c>
      <c r="I947" s="1009">
        <v>15280212</v>
      </c>
      <c r="J947" s="1007" t="s">
        <v>3850</v>
      </c>
      <c r="O947" s="1007" t="s">
        <v>648</v>
      </c>
      <c r="P947" s="1007" t="s">
        <v>648</v>
      </c>
      <c r="S947" s="1008" t="s">
        <v>650</v>
      </c>
      <c r="T947" s="1008" t="s">
        <v>654</v>
      </c>
      <c r="U947" s="1008" t="s">
        <v>649</v>
      </c>
      <c r="V947" s="1008" t="s">
        <v>648</v>
      </c>
      <c r="W947" s="1008" t="s">
        <v>546</v>
      </c>
      <c r="X947" s="1008" t="s">
        <v>670</v>
      </c>
      <c r="Y947" s="1008" t="s">
        <v>670</v>
      </c>
      <c r="Z947" s="1008" t="s">
        <v>670</v>
      </c>
      <c r="AA947" s="1008"/>
      <c r="AB947" s="1008" t="s">
        <v>670</v>
      </c>
      <c r="AC947" s="1008"/>
      <c r="AD947" s="1008"/>
      <c r="AE947" s="1008"/>
      <c r="AF947" s="1008" t="s">
        <v>670</v>
      </c>
      <c r="AG947" s="1008"/>
      <c r="AH947" s="1008"/>
      <c r="AI947" s="1008"/>
    </row>
    <row r="948" spans="1:35">
      <c r="A948" s="1008">
        <v>26871</v>
      </c>
      <c r="B948" s="1008">
        <v>293</v>
      </c>
      <c r="C948" s="1008">
        <v>9</v>
      </c>
      <c r="D948" s="1009">
        <v>15280999</v>
      </c>
      <c r="E948" s="1009">
        <v>15280215</v>
      </c>
      <c r="F948" s="1007" t="s">
        <v>3849</v>
      </c>
      <c r="G948" s="1007">
        <v>8</v>
      </c>
      <c r="H948" s="1010">
        <v>99999999</v>
      </c>
      <c r="I948" s="1009">
        <v>15280215</v>
      </c>
      <c r="J948" s="1007" t="s">
        <v>3848</v>
      </c>
      <c r="O948" s="1007" t="s">
        <v>648</v>
      </c>
      <c r="P948" s="1007" t="s">
        <v>648</v>
      </c>
      <c r="S948" s="1008" t="s">
        <v>650</v>
      </c>
      <c r="T948" s="1008" t="s">
        <v>654</v>
      </c>
      <c r="U948" s="1008" t="s">
        <v>649</v>
      </c>
      <c r="V948" s="1008" t="s">
        <v>648</v>
      </c>
      <c r="W948" s="1008" t="s">
        <v>546</v>
      </c>
      <c r="X948" s="1008" t="s">
        <v>670</v>
      </c>
      <c r="Y948" s="1008" t="s">
        <v>670</v>
      </c>
      <c r="Z948" s="1008" t="s">
        <v>670</v>
      </c>
      <c r="AA948" s="1008"/>
      <c r="AB948" s="1008" t="s">
        <v>670</v>
      </c>
      <c r="AC948" s="1008"/>
      <c r="AD948" s="1008"/>
      <c r="AE948" s="1008"/>
      <c r="AF948" s="1008" t="s">
        <v>670</v>
      </c>
      <c r="AG948" s="1008"/>
      <c r="AH948" s="1008"/>
      <c r="AI948" s="1008"/>
    </row>
    <row r="949" spans="1:35">
      <c r="A949" s="1008">
        <v>26872</v>
      </c>
      <c r="B949" s="1008">
        <v>294</v>
      </c>
      <c r="C949" s="1008">
        <v>9</v>
      </c>
      <c r="D949" s="1009">
        <v>15280999</v>
      </c>
      <c r="E949" s="1009">
        <v>15280220</v>
      </c>
      <c r="F949" s="1007" t="s">
        <v>3847</v>
      </c>
      <c r="G949" s="1007">
        <v>8</v>
      </c>
      <c r="H949" s="1010">
        <v>99999999</v>
      </c>
      <c r="I949" s="1009">
        <v>15280220</v>
      </c>
      <c r="J949" s="1007" t="s">
        <v>3846</v>
      </c>
      <c r="O949" s="1007" t="s">
        <v>648</v>
      </c>
      <c r="P949" s="1007" t="s">
        <v>648</v>
      </c>
      <c r="S949" s="1008" t="s">
        <v>650</v>
      </c>
      <c r="T949" s="1008" t="s">
        <v>654</v>
      </c>
      <c r="U949" s="1008" t="s">
        <v>649</v>
      </c>
      <c r="V949" s="1008" t="s">
        <v>648</v>
      </c>
      <c r="W949" s="1008" t="s">
        <v>546</v>
      </c>
      <c r="X949" s="1008" t="s">
        <v>670</v>
      </c>
      <c r="Y949" s="1008" t="s">
        <v>670</v>
      </c>
      <c r="Z949" s="1008" t="s">
        <v>670</v>
      </c>
      <c r="AA949" s="1008"/>
      <c r="AB949" s="1008" t="s">
        <v>670</v>
      </c>
      <c r="AC949" s="1008"/>
      <c r="AD949" s="1008"/>
      <c r="AE949" s="1008"/>
      <c r="AF949" s="1008" t="s">
        <v>670</v>
      </c>
      <c r="AG949" s="1008"/>
      <c r="AH949" s="1008"/>
      <c r="AI949" s="1008"/>
    </row>
    <row r="950" spans="1:35">
      <c r="A950" s="1008">
        <v>26873</v>
      </c>
      <c r="B950" s="1008">
        <v>297</v>
      </c>
      <c r="C950" s="1008">
        <v>9</v>
      </c>
      <c r="D950" s="1009">
        <v>15280999</v>
      </c>
      <c r="E950" s="1009">
        <v>15280225</v>
      </c>
      <c r="F950" s="1007" t="s">
        <v>3845</v>
      </c>
      <c r="G950" s="1007">
        <v>8</v>
      </c>
      <c r="H950" s="1010">
        <v>99999999</v>
      </c>
      <c r="I950" s="1009">
        <v>15280225</v>
      </c>
      <c r="J950" s="1007" t="s">
        <v>3844</v>
      </c>
      <c r="O950" s="1007" t="s">
        <v>648</v>
      </c>
      <c r="P950" s="1007" t="s">
        <v>648</v>
      </c>
      <c r="S950" s="1008" t="s">
        <v>650</v>
      </c>
      <c r="T950" s="1008" t="s">
        <v>654</v>
      </c>
      <c r="U950" s="1008" t="s">
        <v>649</v>
      </c>
      <c r="V950" s="1008" t="s">
        <v>648</v>
      </c>
      <c r="W950" s="1008" t="s">
        <v>546</v>
      </c>
      <c r="X950" s="1008" t="s">
        <v>670</v>
      </c>
      <c r="Y950" s="1008" t="s">
        <v>670</v>
      </c>
      <c r="Z950" s="1008" t="s">
        <v>670</v>
      </c>
      <c r="AA950" s="1008"/>
      <c r="AB950" s="1008" t="s">
        <v>670</v>
      </c>
      <c r="AC950" s="1008"/>
      <c r="AD950" s="1008"/>
      <c r="AE950" s="1008"/>
      <c r="AF950" s="1008" t="s">
        <v>670</v>
      </c>
      <c r="AG950" s="1008"/>
      <c r="AH950" s="1008"/>
      <c r="AI950" s="1008"/>
    </row>
    <row r="951" spans="1:35">
      <c r="A951" s="1008">
        <v>26874</v>
      </c>
      <c r="B951" s="1008">
        <v>298</v>
      </c>
      <c r="C951" s="1008">
        <v>9</v>
      </c>
      <c r="D951" s="1009">
        <v>15280999</v>
      </c>
      <c r="E951" s="1009">
        <v>15280230</v>
      </c>
      <c r="F951" s="1007" t="s">
        <v>3843</v>
      </c>
      <c r="G951" s="1007">
        <v>8</v>
      </c>
      <c r="H951" s="1010">
        <v>99999999</v>
      </c>
      <c r="I951" s="1009">
        <v>15280230</v>
      </c>
      <c r="J951" s="1007" t="s">
        <v>3842</v>
      </c>
      <c r="O951" s="1007" t="s">
        <v>648</v>
      </c>
      <c r="P951" s="1007" t="s">
        <v>648</v>
      </c>
      <c r="S951" s="1008" t="s">
        <v>650</v>
      </c>
      <c r="T951" s="1008" t="s">
        <v>654</v>
      </c>
      <c r="U951" s="1008" t="s">
        <v>649</v>
      </c>
      <c r="V951" s="1008" t="s">
        <v>648</v>
      </c>
      <c r="W951" s="1008" t="s">
        <v>546</v>
      </c>
      <c r="X951" s="1008" t="s">
        <v>670</v>
      </c>
      <c r="Y951" s="1008" t="s">
        <v>670</v>
      </c>
      <c r="Z951" s="1008" t="s">
        <v>670</v>
      </c>
      <c r="AA951" s="1008"/>
      <c r="AB951" s="1008" t="s">
        <v>670</v>
      </c>
      <c r="AC951" s="1008"/>
      <c r="AD951" s="1008"/>
      <c r="AE951" s="1008"/>
      <c r="AF951" s="1008" t="s">
        <v>670</v>
      </c>
      <c r="AG951" s="1008"/>
      <c r="AH951" s="1008"/>
      <c r="AI951" s="1008"/>
    </row>
    <row r="952" spans="1:35">
      <c r="A952" s="1008">
        <v>26875</v>
      </c>
      <c r="B952" s="1008">
        <v>299</v>
      </c>
      <c r="C952" s="1008">
        <v>9</v>
      </c>
      <c r="D952" s="1009">
        <v>15280999</v>
      </c>
      <c r="E952" s="1009">
        <v>15280235</v>
      </c>
      <c r="F952" s="1007" t="s">
        <v>3841</v>
      </c>
      <c r="G952" s="1007">
        <v>8</v>
      </c>
      <c r="H952" s="1010">
        <v>99999999</v>
      </c>
      <c r="I952" s="1009">
        <v>15280235</v>
      </c>
      <c r="J952" s="1007" t="s">
        <v>3840</v>
      </c>
      <c r="O952" s="1007" t="s">
        <v>648</v>
      </c>
      <c r="P952" s="1007" t="s">
        <v>648</v>
      </c>
      <c r="S952" s="1008" t="s">
        <v>650</v>
      </c>
      <c r="T952" s="1008" t="s">
        <v>654</v>
      </c>
      <c r="U952" s="1008" t="s">
        <v>649</v>
      </c>
      <c r="V952" s="1008" t="s">
        <v>648</v>
      </c>
      <c r="W952" s="1008" t="s">
        <v>546</v>
      </c>
      <c r="X952" s="1008" t="s">
        <v>670</v>
      </c>
      <c r="Y952" s="1008" t="s">
        <v>670</v>
      </c>
      <c r="Z952" s="1008" t="s">
        <v>670</v>
      </c>
      <c r="AA952" s="1008"/>
      <c r="AB952" s="1008" t="s">
        <v>670</v>
      </c>
      <c r="AC952" s="1008"/>
      <c r="AD952" s="1008"/>
      <c r="AE952" s="1008"/>
      <c r="AF952" s="1008" t="s">
        <v>670</v>
      </c>
      <c r="AG952" s="1008"/>
      <c r="AH952" s="1008"/>
      <c r="AI952" s="1008"/>
    </row>
    <row r="953" spans="1:35">
      <c r="A953" s="1008">
        <v>26876</v>
      </c>
      <c r="B953" s="1008">
        <v>300</v>
      </c>
      <c r="C953" s="1008">
        <v>9</v>
      </c>
      <c r="D953" s="1009">
        <v>15280999</v>
      </c>
      <c r="E953" s="1009">
        <v>15280240</v>
      </c>
      <c r="F953" s="1007" t="s">
        <v>3839</v>
      </c>
      <c r="G953" s="1007">
        <v>8</v>
      </c>
      <c r="H953" s="1010">
        <v>99999999</v>
      </c>
      <c r="I953" s="1009">
        <v>15280240</v>
      </c>
      <c r="J953" s="1007" t="s">
        <v>3838</v>
      </c>
      <c r="O953" s="1007" t="s">
        <v>648</v>
      </c>
      <c r="P953" s="1007" t="s">
        <v>648</v>
      </c>
      <c r="S953" s="1008" t="s">
        <v>650</v>
      </c>
      <c r="T953" s="1008" t="s">
        <v>654</v>
      </c>
      <c r="U953" s="1008" t="s">
        <v>649</v>
      </c>
      <c r="V953" s="1008" t="s">
        <v>648</v>
      </c>
      <c r="W953" s="1008" t="s">
        <v>546</v>
      </c>
      <c r="X953" s="1008" t="s">
        <v>670</v>
      </c>
      <c r="Y953" s="1008" t="s">
        <v>670</v>
      </c>
      <c r="Z953" s="1008" t="s">
        <v>670</v>
      </c>
      <c r="AA953" s="1008"/>
      <c r="AB953" s="1008" t="s">
        <v>670</v>
      </c>
      <c r="AC953" s="1008"/>
      <c r="AD953" s="1008"/>
      <c r="AE953" s="1008"/>
      <c r="AF953" s="1008" t="s">
        <v>670</v>
      </c>
      <c r="AG953" s="1008"/>
      <c r="AH953" s="1008"/>
      <c r="AI953" s="1008"/>
    </row>
    <row r="954" spans="1:35">
      <c r="A954" s="1008">
        <v>26877</v>
      </c>
      <c r="B954" s="1008">
        <v>301</v>
      </c>
      <c r="C954" s="1008">
        <v>9</v>
      </c>
      <c r="D954" s="1009">
        <v>15280999</v>
      </c>
      <c r="E954" s="1009">
        <v>15280245</v>
      </c>
      <c r="F954" s="1007" t="s">
        <v>3837</v>
      </c>
      <c r="G954" s="1007">
        <v>8</v>
      </c>
      <c r="H954" s="1010">
        <v>99999999</v>
      </c>
      <c r="I954" s="1009">
        <v>15280245</v>
      </c>
      <c r="J954" s="1007" t="s">
        <v>3836</v>
      </c>
      <c r="O954" s="1007" t="s">
        <v>648</v>
      </c>
      <c r="P954" s="1007" t="s">
        <v>648</v>
      </c>
      <c r="S954" s="1008" t="s">
        <v>650</v>
      </c>
      <c r="T954" s="1008" t="s">
        <v>654</v>
      </c>
      <c r="U954" s="1008" t="s">
        <v>649</v>
      </c>
      <c r="V954" s="1008" t="s">
        <v>648</v>
      </c>
      <c r="W954" s="1008" t="s">
        <v>546</v>
      </c>
      <c r="X954" s="1008" t="s">
        <v>670</v>
      </c>
      <c r="Y954" s="1008" t="s">
        <v>670</v>
      </c>
      <c r="Z954" s="1008" t="s">
        <v>670</v>
      </c>
      <c r="AA954" s="1008"/>
      <c r="AB954" s="1008" t="s">
        <v>670</v>
      </c>
      <c r="AC954" s="1008"/>
      <c r="AD954" s="1008"/>
      <c r="AE954" s="1008"/>
      <c r="AF954" s="1008" t="s">
        <v>670</v>
      </c>
      <c r="AG954" s="1008"/>
      <c r="AH954" s="1008"/>
      <c r="AI954" s="1008"/>
    </row>
    <row r="955" spans="1:35">
      <c r="A955" s="1008">
        <v>26878</v>
      </c>
      <c r="B955" s="1008">
        <v>302</v>
      </c>
      <c r="C955" s="1008">
        <v>9</v>
      </c>
      <c r="D955" s="1009">
        <v>15280999</v>
      </c>
      <c r="E955" s="1009">
        <v>15280250</v>
      </c>
      <c r="F955" s="1007" t="s">
        <v>3835</v>
      </c>
      <c r="G955" s="1007">
        <v>8</v>
      </c>
      <c r="H955" s="1010">
        <v>99999999</v>
      </c>
      <c r="I955" s="1009">
        <v>15280250</v>
      </c>
      <c r="J955" s="1007" t="s">
        <v>3834</v>
      </c>
      <c r="O955" s="1007" t="s">
        <v>648</v>
      </c>
      <c r="P955" s="1007" t="s">
        <v>648</v>
      </c>
      <c r="S955" s="1008" t="s">
        <v>650</v>
      </c>
      <c r="T955" s="1008" t="s">
        <v>654</v>
      </c>
      <c r="U955" s="1008" t="s">
        <v>649</v>
      </c>
      <c r="V955" s="1008" t="s">
        <v>648</v>
      </c>
      <c r="W955" s="1008" t="s">
        <v>546</v>
      </c>
      <c r="X955" s="1008" t="s">
        <v>670</v>
      </c>
      <c r="Y955" s="1008" t="s">
        <v>670</v>
      </c>
      <c r="Z955" s="1008" t="s">
        <v>670</v>
      </c>
      <c r="AA955" s="1008"/>
      <c r="AB955" s="1008" t="s">
        <v>670</v>
      </c>
      <c r="AC955" s="1008"/>
      <c r="AD955" s="1008"/>
      <c r="AE955" s="1008"/>
      <c r="AF955" s="1008" t="s">
        <v>670</v>
      </c>
      <c r="AG955" s="1008"/>
      <c r="AH955" s="1008"/>
      <c r="AI955" s="1008"/>
    </row>
    <row r="956" spans="1:35">
      <c r="A956" s="1008">
        <v>26879</v>
      </c>
      <c r="B956" s="1008">
        <v>303</v>
      </c>
      <c r="C956" s="1008">
        <v>9</v>
      </c>
      <c r="D956" s="1009">
        <v>15280999</v>
      </c>
      <c r="E956" s="1009">
        <v>15280255</v>
      </c>
      <c r="F956" s="1007" t="s">
        <v>3833</v>
      </c>
      <c r="G956" s="1007">
        <v>8</v>
      </c>
      <c r="H956" s="1010">
        <v>99999999</v>
      </c>
      <c r="I956" s="1009">
        <v>15280255</v>
      </c>
      <c r="J956" s="1007" t="s">
        <v>3832</v>
      </c>
      <c r="O956" s="1007" t="s">
        <v>648</v>
      </c>
      <c r="P956" s="1007" t="s">
        <v>648</v>
      </c>
      <c r="S956" s="1008" t="s">
        <v>650</v>
      </c>
      <c r="T956" s="1008" t="s">
        <v>654</v>
      </c>
      <c r="U956" s="1008" t="s">
        <v>649</v>
      </c>
      <c r="V956" s="1008" t="s">
        <v>648</v>
      </c>
      <c r="W956" s="1008" t="s">
        <v>546</v>
      </c>
      <c r="X956" s="1008" t="s">
        <v>670</v>
      </c>
      <c r="Y956" s="1008" t="s">
        <v>670</v>
      </c>
      <c r="Z956" s="1008" t="s">
        <v>670</v>
      </c>
      <c r="AA956" s="1008"/>
      <c r="AB956" s="1008" t="s">
        <v>670</v>
      </c>
      <c r="AC956" s="1008"/>
      <c r="AD956" s="1008"/>
      <c r="AE956" s="1008"/>
      <c r="AF956" s="1008" t="s">
        <v>670</v>
      </c>
      <c r="AG956" s="1008"/>
      <c r="AH956" s="1008"/>
      <c r="AI956" s="1008"/>
    </row>
    <row r="957" spans="1:35">
      <c r="A957" s="1008">
        <v>26880</v>
      </c>
      <c r="B957" s="1008">
        <v>304</v>
      </c>
      <c r="C957" s="1008">
        <v>9</v>
      </c>
      <c r="D957" s="1009">
        <v>15280999</v>
      </c>
      <c r="E957" s="1009">
        <v>15280260</v>
      </c>
      <c r="F957" s="1007" t="s">
        <v>3831</v>
      </c>
      <c r="G957" s="1007">
        <v>8</v>
      </c>
      <c r="H957" s="1010">
        <v>99999999</v>
      </c>
      <c r="I957" s="1009">
        <v>15280260</v>
      </c>
      <c r="J957" s="1007" t="s">
        <v>3830</v>
      </c>
      <c r="O957" s="1007" t="s">
        <v>648</v>
      </c>
      <c r="P957" s="1007" t="s">
        <v>648</v>
      </c>
      <c r="S957" s="1008" t="s">
        <v>650</v>
      </c>
      <c r="T957" s="1008" t="s">
        <v>654</v>
      </c>
      <c r="U957" s="1008" t="s">
        <v>649</v>
      </c>
      <c r="V957" s="1008" t="s">
        <v>648</v>
      </c>
      <c r="W957" s="1008" t="s">
        <v>546</v>
      </c>
      <c r="X957" s="1008" t="s">
        <v>670</v>
      </c>
      <c r="Y957" s="1008" t="s">
        <v>670</v>
      </c>
      <c r="Z957" s="1008" t="s">
        <v>670</v>
      </c>
      <c r="AA957" s="1008"/>
      <c r="AB957" s="1008" t="s">
        <v>670</v>
      </c>
      <c r="AC957" s="1008"/>
      <c r="AD957" s="1008"/>
      <c r="AE957" s="1008"/>
      <c r="AF957" s="1008" t="s">
        <v>670</v>
      </c>
      <c r="AG957" s="1008"/>
      <c r="AH957" s="1008"/>
      <c r="AI957" s="1008"/>
    </row>
    <row r="958" spans="1:35">
      <c r="A958" s="1008">
        <v>26881</v>
      </c>
      <c r="B958" s="1008">
        <v>305</v>
      </c>
      <c r="C958" s="1008">
        <v>9</v>
      </c>
      <c r="D958" s="1009">
        <v>15280999</v>
      </c>
      <c r="E958" s="1009">
        <v>15280265</v>
      </c>
      <c r="F958" s="1007" t="s">
        <v>3829</v>
      </c>
      <c r="G958" s="1007">
        <v>8</v>
      </c>
      <c r="H958" s="1010">
        <v>99999999</v>
      </c>
      <c r="I958" s="1009">
        <v>15280265</v>
      </c>
      <c r="J958" s="1007" t="s">
        <v>3828</v>
      </c>
      <c r="O958" s="1007" t="s">
        <v>648</v>
      </c>
      <c r="P958" s="1007" t="s">
        <v>648</v>
      </c>
      <c r="S958" s="1008" t="s">
        <v>650</v>
      </c>
      <c r="T958" s="1008" t="s">
        <v>654</v>
      </c>
      <c r="U958" s="1008" t="s">
        <v>649</v>
      </c>
      <c r="V958" s="1008" t="s">
        <v>648</v>
      </c>
      <c r="W958" s="1008" t="s">
        <v>546</v>
      </c>
      <c r="X958" s="1008" t="s">
        <v>670</v>
      </c>
      <c r="Y958" s="1008" t="s">
        <v>670</v>
      </c>
      <c r="Z958" s="1008" t="s">
        <v>670</v>
      </c>
      <c r="AA958" s="1008"/>
      <c r="AB958" s="1008" t="s">
        <v>670</v>
      </c>
      <c r="AC958" s="1008"/>
      <c r="AD958" s="1008"/>
      <c r="AE958" s="1008"/>
      <c r="AF958" s="1008" t="s">
        <v>670</v>
      </c>
      <c r="AG958" s="1008"/>
      <c r="AH958" s="1008"/>
      <c r="AI958" s="1008"/>
    </row>
    <row r="959" spans="1:35">
      <c r="A959" s="1008">
        <v>26882</v>
      </c>
      <c r="B959" s="1008">
        <v>306</v>
      </c>
      <c r="C959" s="1008">
        <v>9</v>
      </c>
      <c r="D959" s="1009">
        <v>15280999</v>
      </c>
      <c r="E959" s="1009">
        <v>15280270</v>
      </c>
      <c r="F959" s="1007" t="s">
        <v>3827</v>
      </c>
      <c r="G959" s="1007">
        <v>8</v>
      </c>
      <c r="H959" s="1010">
        <v>99999999</v>
      </c>
      <c r="I959" s="1009">
        <v>15280270</v>
      </c>
      <c r="J959" s="1007" t="s">
        <v>3826</v>
      </c>
      <c r="O959" s="1007" t="s">
        <v>648</v>
      </c>
      <c r="P959" s="1007" t="s">
        <v>648</v>
      </c>
      <c r="S959" s="1008" t="s">
        <v>650</v>
      </c>
      <c r="T959" s="1008" t="s">
        <v>654</v>
      </c>
      <c r="U959" s="1008" t="s">
        <v>649</v>
      </c>
      <c r="V959" s="1008" t="s">
        <v>648</v>
      </c>
      <c r="W959" s="1008" t="s">
        <v>546</v>
      </c>
      <c r="X959" s="1008" t="s">
        <v>670</v>
      </c>
      <c r="Y959" s="1008" t="s">
        <v>670</v>
      </c>
      <c r="Z959" s="1008" t="s">
        <v>670</v>
      </c>
      <c r="AA959" s="1008"/>
      <c r="AB959" s="1008" t="s">
        <v>670</v>
      </c>
      <c r="AC959" s="1008"/>
      <c r="AD959" s="1008"/>
      <c r="AE959" s="1008"/>
      <c r="AF959" s="1008" t="s">
        <v>670</v>
      </c>
      <c r="AG959" s="1008"/>
      <c r="AH959" s="1008"/>
      <c r="AI959" s="1008"/>
    </row>
    <row r="960" spans="1:35">
      <c r="A960" s="1008">
        <v>26883</v>
      </c>
      <c r="B960" s="1008">
        <v>307</v>
      </c>
      <c r="C960" s="1008">
        <v>9</v>
      </c>
      <c r="D960" s="1009">
        <v>15280999</v>
      </c>
      <c r="E960" s="1009">
        <v>15280275</v>
      </c>
      <c r="F960" s="1007" t="s">
        <v>3825</v>
      </c>
      <c r="G960" s="1007">
        <v>8</v>
      </c>
      <c r="H960" s="1010">
        <v>99999999</v>
      </c>
      <c r="I960" s="1009">
        <v>15280275</v>
      </c>
      <c r="J960" s="1007" t="s">
        <v>3824</v>
      </c>
      <c r="O960" s="1007" t="s">
        <v>648</v>
      </c>
      <c r="P960" s="1007" t="s">
        <v>648</v>
      </c>
      <c r="S960" s="1008" t="s">
        <v>650</v>
      </c>
      <c r="T960" s="1008" t="s">
        <v>654</v>
      </c>
      <c r="U960" s="1008" t="s">
        <v>649</v>
      </c>
      <c r="V960" s="1008" t="s">
        <v>648</v>
      </c>
      <c r="W960" s="1008" t="s">
        <v>546</v>
      </c>
      <c r="X960" s="1008" t="s">
        <v>670</v>
      </c>
      <c r="Y960" s="1008" t="s">
        <v>670</v>
      </c>
      <c r="Z960" s="1008" t="s">
        <v>670</v>
      </c>
      <c r="AA960" s="1008"/>
      <c r="AB960" s="1008" t="s">
        <v>670</v>
      </c>
      <c r="AC960" s="1008"/>
      <c r="AD960" s="1008"/>
      <c r="AE960" s="1008"/>
      <c r="AF960" s="1008" t="s">
        <v>670</v>
      </c>
      <c r="AG960" s="1008"/>
      <c r="AH960" s="1008"/>
      <c r="AI960" s="1008"/>
    </row>
    <row r="961" spans="1:35">
      <c r="A961" s="1008">
        <v>26884</v>
      </c>
      <c r="B961" s="1008">
        <v>5897</v>
      </c>
      <c r="C961" s="1008">
        <v>9</v>
      </c>
      <c r="D961" s="1009">
        <v>15280999</v>
      </c>
      <c r="E961" s="1009">
        <v>15280280</v>
      </c>
      <c r="F961" s="1007" t="s">
        <v>3823</v>
      </c>
      <c r="G961" s="1007" t="s">
        <v>648</v>
      </c>
      <c r="H961" s="1010">
        <v>99999999</v>
      </c>
      <c r="I961" s="1009">
        <v>15280280</v>
      </c>
      <c r="J961" s="1007" t="s">
        <v>3822</v>
      </c>
      <c r="O961" s="1007" t="s">
        <v>648</v>
      </c>
      <c r="P961" s="1007" t="s">
        <v>648</v>
      </c>
      <c r="S961" s="1008" t="s">
        <v>650</v>
      </c>
      <c r="T961" s="1008" t="s">
        <v>654</v>
      </c>
      <c r="U961" s="1008" t="s">
        <v>649</v>
      </c>
      <c r="V961" s="1008" t="s">
        <v>648</v>
      </c>
      <c r="W961" s="1008" t="s">
        <v>546</v>
      </c>
      <c r="X961" s="1008" t="s">
        <v>670</v>
      </c>
      <c r="Y961" s="1008" t="s">
        <v>670</v>
      </c>
      <c r="Z961" s="1008" t="s">
        <v>670</v>
      </c>
      <c r="AA961" s="1008"/>
      <c r="AB961" s="1008" t="s">
        <v>670</v>
      </c>
      <c r="AC961" s="1008"/>
      <c r="AD961" s="1008"/>
      <c r="AE961" s="1008"/>
      <c r="AF961" s="1008" t="s">
        <v>670</v>
      </c>
      <c r="AG961" s="1008"/>
      <c r="AH961" s="1008"/>
      <c r="AI961" s="1008"/>
    </row>
    <row r="962" spans="1:35">
      <c r="A962" s="1008">
        <v>27102</v>
      </c>
      <c r="B962" s="1008">
        <v>5935</v>
      </c>
      <c r="C962" s="1008">
        <v>9</v>
      </c>
      <c r="D962" s="1009">
        <v>15399999</v>
      </c>
      <c r="E962" s="1009">
        <v>15280285</v>
      </c>
      <c r="F962" s="1007" t="s">
        <v>3821</v>
      </c>
      <c r="G962" s="1007" t="s">
        <v>648</v>
      </c>
      <c r="H962" s="1010">
        <v>99999999</v>
      </c>
      <c r="I962" s="1009">
        <v>15280285</v>
      </c>
      <c r="J962" s="1007" t="s">
        <v>3820</v>
      </c>
      <c r="O962" s="1007" t="s">
        <v>648</v>
      </c>
      <c r="P962" s="1007" t="s">
        <v>648</v>
      </c>
      <c r="S962" s="1008" t="s">
        <v>650</v>
      </c>
      <c r="T962" s="1008" t="s">
        <v>654</v>
      </c>
      <c r="U962" s="1008" t="s">
        <v>649</v>
      </c>
      <c r="V962" s="1008" t="s">
        <v>648</v>
      </c>
      <c r="W962" s="1008" t="s">
        <v>546</v>
      </c>
      <c r="X962" s="1008" t="s">
        <v>670</v>
      </c>
      <c r="Y962" s="1008" t="s">
        <v>670</v>
      </c>
      <c r="Z962" s="1008" t="s">
        <v>670</v>
      </c>
      <c r="AA962" s="1008"/>
      <c r="AB962" s="1008" t="s">
        <v>670</v>
      </c>
      <c r="AC962" s="1008"/>
      <c r="AD962" s="1008"/>
      <c r="AE962" s="1008"/>
      <c r="AF962" s="1008" t="s">
        <v>670</v>
      </c>
      <c r="AG962" s="1008"/>
      <c r="AH962" s="1008"/>
      <c r="AI962" s="1008"/>
    </row>
    <row r="963" spans="1:35">
      <c r="A963" s="1008">
        <v>26885</v>
      </c>
      <c r="B963" s="1008">
        <v>308</v>
      </c>
      <c r="C963" s="1008">
        <v>9</v>
      </c>
      <c r="D963" s="1009">
        <v>15280999</v>
      </c>
      <c r="E963" s="1009">
        <v>15280300</v>
      </c>
      <c r="F963" s="1007" t="s">
        <v>3819</v>
      </c>
      <c r="G963" s="1007">
        <v>8</v>
      </c>
      <c r="H963" s="1010">
        <v>99999999</v>
      </c>
      <c r="I963" s="1009">
        <v>15280300</v>
      </c>
      <c r="J963" s="1007" t="s">
        <v>3818</v>
      </c>
      <c r="O963" s="1007" t="s">
        <v>648</v>
      </c>
      <c r="P963" s="1007" t="s">
        <v>648</v>
      </c>
      <c r="S963" s="1008" t="s">
        <v>650</v>
      </c>
      <c r="T963" s="1008" t="s">
        <v>654</v>
      </c>
      <c r="U963" s="1008" t="s">
        <v>649</v>
      </c>
      <c r="V963" s="1008" t="s">
        <v>648</v>
      </c>
      <c r="W963" s="1008" t="s">
        <v>546</v>
      </c>
      <c r="X963" s="1008" t="s">
        <v>670</v>
      </c>
      <c r="Y963" s="1008" t="s">
        <v>670</v>
      </c>
      <c r="Z963" s="1008" t="s">
        <v>670</v>
      </c>
      <c r="AA963" s="1008"/>
      <c r="AB963" s="1008" t="s">
        <v>670</v>
      </c>
      <c r="AC963" s="1008"/>
      <c r="AD963" s="1008"/>
      <c r="AE963" s="1008"/>
      <c r="AF963" s="1008" t="s">
        <v>670</v>
      </c>
      <c r="AG963" s="1008"/>
      <c r="AH963" s="1008"/>
      <c r="AI963" s="1008"/>
    </row>
    <row r="964" spans="1:35">
      <c r="A964" s="1008">
        <v>26694</v>
      </c>
      <c r="B964" s="1008">
        <v>5889</v>
      </c>
      <c r="C964" s="1008">
        <v>9</v>
      </c>
      <c r="D964" s="1009">
        <v>15280999</v>
      </c>
      <c r="E964" s="1009">
        <v>15280700</v>
      </c>
      <c r="F964" s="1007" t="s">
        <v>3817</v>
      </c>
      <c r="G964" s="1007">
        <v>8</v>
      </c>
      <c r="H964" s="1010">
        <v>99999999</v>
      </c>
      <c r="I964" s="1009">
        <v>15280700</v>
      </c>
      <c r="J964" s="1007" t="s">
        <v>3816</v>
      </c>
      <c r="O964" s="1007" t="s">
        <v>648</v>
      </c>
      <c r="P964" s="1007" t="s">
        <v>648</v>
      </c>
      <c r="S964" s="1008" t="s">
        <v>650</v>
      </c>
      <c r="T964" s="1008" t="s">
        <v>654</v>
      </c>
      <c r="U964" s="1008" t="s">
        <v>649</v>
      </c>
      <c r="V964" s="1008" t="s">
        <v>648</v>
      </c>
      <c r="W964" s="1008" t="s">
        <v>546</v>
      </c>
      <c r="X964" s="1008" t="s">
        <v>670</v>
      </c>
      <c r="Y964" s="1008" t="s">
        <v>670</v>
      </c>
      <c r="Z964" s="1008" t="s">
        <v>670</v>
      </c>
      <c r="AA964" s="1008"/>
      <c r="AB964" s="1008" t="s">
        <v>670</v>
      </c>
      <c r="AC964" s="1008"/>
      <c r="AD964" s="1008"/>
      <c r="AE964" s="1008"/>
      <c r="AF964" s="1008" t="s">
        <v>670</v>
      </c>
      <c r="AG964" s="1008"/>
      <c r="AH964" s="1008"/>
      <c r="AI964" s="1008"/>
    </row>
    <row r="965" spans="1:35">
      <c r="A965" s="1008">
        <v>26886</v>
      </c>
      <c r="B965" s="1008">
        <v>310</v>
      </c>
      <c r="C965" s="1008">
        <v>9</v>
      </c>
      <c r="D965" s="1009">
        <v>15280999</v>
      </c>
      <c r="E965" s="1009">
        <v>15280900</v>
      </c>
      <c r="F965" s="1007" t="s">
        <v>3815</v>
      </c>
      <c r="G965" s="1007">
        <v>8</v>
      </c>
      <c r="H965" s="1010">
        <v>99999999</v>
      </c>
      <c r="I965" s="1009">
        <v>15280900</v>
      </c>
      <c r="J965" s="1007" t="s">
        <v>3814</v>
      </c>
      <c r="O965" s="1007" t="s">
        <v>648</v>
      </c>
      <c r="P965" s="1007" t="s">
        <v>648</v>
      </c>
      <c r="S965" s="1008" t="s">
        <v>650</v>
      </c>
      <c r="T965" s="1008" t="s">
        <v>654</v>
      </c>
      <c r="U965" s="1008" t="s">
        <v>649</v>
      </c>
      <c r="V965" s="1008" t="s">
        <v>648</v>
      </c>
      <c r="W965" s="1008" t="s">
        <v>546</v>
      </c>
      <c r="X965" s="1008" t="s">
        <v>670</v>
      </c>
      <c r="Y965" s="1008" t="s">
        <v>670</v>
      </c>
      <c r="Z965" s="1008" t="s">
        <v>670</v>
      </c>
      <c r="AA965" s="1008"/>
      <c r="AB965" s="1008" t="s">
        <v>670</v>
      </c>
      <c r="AC965" s="1008"/>
      <c r="AD965" s="1008"/>
      <c r="AE965" s="1008"/>
      <c r="AF965" s="1008" t="s">
        <v>670</v>
      </c>
      <c r="AG965" s="1008"/>
      <c r="AH965" s="1008"/>
      <c r="AI965" s="1008"/>
    </row>
    <row r="966" spans="1:35">
      <c r="A966" s="1008">
        <v>26887</v>
      </c>
      <c r="C966" s="1008">
        <v>8</v>
      </c>
      <c r="D966" s="1009">
        <v>15399999</v>
      </c>
      <c r="E966" s="1009">
        <v>15280999</v>
      </c>
      <c r="F966" s="1007" t="s">
        <v>3813</v>
      </c>
      <c r="O966" s="1007" t="s">
        <v>648</v>
      </c>
      <c r="P966" s="1007" t="s">
        <v>648</v>
      </c>
      <c r="S966" s="1008" t="s">
        <v>650</v>
      </c>
      <c r="T966" s="1008" t="s">
        <v>21</v>
      </c>
      <c r="U966" s="1008" t="s">
        <v>649</v>
      </c>
      <c r="V966" s="1008" t="s">
        <v>648</v>
      </c>
      <c r="W966" s="1008" t="s">
        <v>546</v>
      </c>
      <c r="X966" s="1008"/>
      <c r="Y966" s="1008"/>
      <c r="Z966" s="1008"/>
      <c r="AA966" s="1008"/>
      <c r="AB966" s="1008"/>
      <c r="AC966" s="1008"/>
      <c r="AD966" s="1008"/>
      <c r="AE966" s="1008"/>
      <c r="AF966" s="1008"/>
      <c r="AG966" s="1008"/>
      <c r="AH966" s="1008"/>
      <c r="AI966" s="1008"/>
    </row>
    <row r="967" spans="1:35">
      <c r="A967" s="1008">
        <v>26888</v>
      </c>
      <c r="C967" s="1008">
        <v>8</v>
      </c>
      <c r="D967" s="1009">
        <v>15285999</v>
      </c>
      <c r="E967" s="1009">
        <v>15285000</v>
      </c>
      <c r="F967" s="1007" t="s">
        <v>3812</v>
      </c>
      <c r="O967" s="1007" t="s">
        <v>648</v>
      </c>
      <c r="P967" s="1007" t="s">
        <v>648</v>
      </c>
      <c r="S967" s="1008" t="s">
        <v>650</v>
      </c>
      <c r="T967" s="1008" t="s">
        <v>675</v>
      </c>
      <c r="U967" s="1008" t="s">
        <v>649</v>
      </c>
      <c r="V967" s="1008" t="s">
        <v>648</v>
      </c>
      <c r="W967" s="1008" t="s">
        <v>546</v>
      </c>
      <c r="X967" s="1008"/>
      <c r="Y967" s="1008"/>
      <c r="Z967" s="1008"/>
      <c r="AA967" s="1008"/>
      <c r="AB967" s="1008"/>
      <c r="AC967" s="1008"/>
      <c r="AD967" s="1008"/>
      <c r="AE967" s="1008"/>
      <c r="AF967" s="1008"/>
      <c r="AG967" s="1008"/>
      <c r="AH967" s="1008"/>
      <c r="AI967" s="1008"/>
    </row>
    <row r="968" spans="1:35">
      <c r="A968" s="1008">
        <v>26672</v>
      </c>
      <c r="B968" s="1008">
        <v>331</v>
      </c>
      <c r="C968" s="1008">
        <v>9</v>
      </c>
      <c r="D968" s="1009">
        <v>15285999</v>
      </c>
      <c r="E968" s="1009">
        <v>15285200</v>
      </c>
      <c r="F968" s="1007" t="s">
        <v>3811</v>
      </c>
      <c r="G968" s="1007">
        <v>8</v>
      </c>
      <c r="H968" s="1010">
        <v>99999999</v>
      </c>
      <c r="I968" s="1009">
        <v>15285200</v>
      </c>
      <c r="J968" s="1007" t="s">
        <v>3810</v>
      </c>
      <c r="O968" s="1007" t="s">
        <v>648</v>
      </c>
      <c r="P968" s="1007" t="s">
        <v>648</v>
      </c>
      <c r="S968" s="1008" t="s">
        <v>650</v>
      </c>
      <c r="T968" s="1008" t="s">
        <v>654</v>
      </c>
      <c r="U968" s="1008" t="s">
        <v>649</v>
      </c>
      <c r="V968" s="1008" t="s">
        <v>648</v>
      </c>
      <c r="W968" s="1008" t="s">
        <v>546</v>
      </c>
      <c r="X968" s="1008" t="s">
        <v>670</v>
      </c>
      <c r="Y968" s="1008" t="s">
        <v>670</v>
      </c>
      <c r="Z968" s="1008" t="s">
        <v>670</v>
      </c>
      <c r="AA968" s="1008"/>
      <c r="AB968" s="1008" t="s">
        <v>670</v>
      </c>
      <c r="AC968" s="1008"/>
      <c r="AD968" s="1008"/>
      <c r="AE968" s="1008"/>
      <c r="AF968" s="1008" t="s">
        <v>670</v>
      </c>
      <c r="AG968" s="1008"/>
      <c r="AH968" s="1008"/>
      <c r="AI968" s="1008"/>
    </row>
    <row r="969" spans="1:35">
      <c r="A969" s="1008">
        <v>26889</v>
      </c>
      <c r="B969" s="1008">
        <v>320</v>
      </c>
      <c r="C969" s="1008">
        <v>9</v>
      </c>
      <c r="D969" s="1009">
        <v>15285999</v>
      </c>
      <c r="E969" s="1009">
        <v>15285202</v>
      </c>
      <c r="F969" s="1007" t="s">
        <v>3809</v>
      </c>
      <c r="G969" s="1007">
        <v>8</v>
      </c>
      <c r="H969" s="1010">
        <v>99999999</v>
      </c>
      <c r="I969" s="1009">
        <v>15285202</v>
      </c>
      <c r="J969" s="1007" t="s">
        <v>3808</v>
      </c>
      <c r="O969" s="1007" t="s">
        <v>648</v>
      </c>
      <c r="P969" s="1007" t="s">
        <v>648</v>
      </c>
      <c r="S969" s="1008" t="s">
        <v>650</v>
      </c>
      <c r="T969" s="1008" t="s">
        <v>654</v>
      </c>
      <c r="U969" s="1008" t="s">
        <v>649</v>
      </c>
      <c r="V969" s="1008" t="s">
        <v>648</v>
      </c>
      <c r="W969" s="1008" t="s">
        <v>546</v>
      </c>
      <c r="X969" s="1008" t="s">
        <v>670</v>
      </c>
      <c r="Y969" s="1008" t="s">
        <v>670</v>
      </c>
      <c r="Z969" s="1008" t="s">
        <v>670</v>
      </c>
      <c r="AA969" s="1008"/>
      <c r="AB969" s="1008" t="s">
        <v>670</v>
      </c>
      <c r="AC969" s="1008"/>
      <c r="AD969" s="1008"/>
      <c r="AE969" s="1008"/>
      <c r="AF969" s="1008" t="s">
        <v>670</v>
      </c>
      <c r="AG969" s="1008"/>
      <c r="AH969" s="1008"/>
      <c r="AI969" s="1008"/>
    </row>
    <row r="970" spans="1:35">
      <c r="A970" s="1008">
        <v>26890</v>
      </c>
      <c r="B970" s="1008">
        <v>5898</v>
      </c>
      <c r="C970" s="1008">
        <v>9</v>
      </c>
      <c r="D970" s="1009">
        <v>15285999</v>
      </c>
      <c r="E970" s="1009">
        <v>15285204</v>
      </c>
      <c r="F970" s="1007" t="s">
        <v>3807</v>
      </c>
      <c r="G970" s="1007" t="s">
        <v>648</v>
      </c>
      <c r="H970" s="1010">
        <v>99999999</v>
      </c>
      <c r="I970" s="1009">
        <v>15285204</v>
      </c>
      <c r="J970" s="1007" t="s">
        <v>3806</v>
      </c>
      <c r="O970" s="1007" t="s">
        <v>648</v>
      </c>
      <c r="P970" s="1007" t="s">
        <v>648</v>
      </c>
      <c r="S970" s="1008" t="s">
        <v>650</v>
      </c>
      <c r="T970" s="1008" t="s">
        <v>654</v>
      </c>
      <c r="U970" s="1008" t="s">
        <v>649</v>
      </c>
      <c r="V970" s="1008" t="s">
        <v>648</v>
      </c>
      <c r="W970" s="1008" t="s">
        <v>546</v>
      </c>
      <c r="X970" s="1008" t="s">
        <v>670</v>
      </c>
      <c r="Y970" s="1008" t="s">
        <v>670</v>
      </c>
      <c r="Z970" s="1008" t="s">
        <v>670</v>
      </c>
      <c r="AA970" s="1008"/>
      <c r="AB970" s="1008" t="s">
        <v>670</v>
      </c>
      <c r="AC970" s="1008"/>
      <c r="AD970" s="1008"/>
      <c r="AE970" s="1008"/>
      <c r="AF970" s="1008" t="s">
        <v>670</v>
      </c>
      <c r="AG970" s="1008"/>
      <c r="AH970" s="1008"/>
      <c r="AI970" s="1008"/>
    </row>
    <row r="971" spans="1:35">
      <c r="A971" s="1008">
        <v>26891</v>
      </c>
      <c r="B971" s="1008">
        <v>340</v>
      </c>
      <c r="C971" s="1008">
        <v>9</v>
      </c>
      <c r="D971" s="1009">
        <v>15285999</v>
      </c>
      <c r="E971" s="1009">
        <v>15285206</v>
      </c>
      <c r="F971" s="1007" t="s">
        <v>3805</v>
      </c>
      <c r="G971" s="1007">
        <v>0</v>
      </c>
      <c r="H971" s="1010">
        <v>99999999</v>
      </c>
      <c r="I971" s="1009">
        <v>15285206</v>
      </c>
      <c r="J971" s="1007" t="s">
        <v>3804</v>
      </c>
      <c r="O971" s="1007" t="s">
        <v>648</v>
      </c>
      <c r="P971" s="1007" t="s">
        <v>648</v>
      </c>
      <c r="S971" s="1008" t="s">
        <v>650</v>
      </c>
      <c r="T971" s="1008" t="s">
        <v>654</v>
      </c>
      <c r="U971" s="1008" t="s">
        <v>649</v>
      </c>
      <c r="V971" s="1008" t="s">
        <v>648</v>
      </c>
      <c r="W971" s="1008" t="s">
        <v>546</v>
      </c>
      <c r="X971" s="1008" t="s">
        <v>670</v>
      </c>
      <c r="Y971" s="1008" t="s">
        <v>670</v>
      </c>
      <c r="Z971" s="1008" t="s">
        <v>670</v>
      </c>
      <c r="AA971" s="1008"/>
      <c r="AB971" s="1008" t="s">
        <v>670</v>
      </c>
      <c r="AC971" s="1008"/>
      <c r="AD971" s="1008"/>
      <c r="AE971" s="1008"/>
      <c r="AF971" s="1008" t="s">
        <v>670</v>
      </c>
      <c r="AG971" s="1008"/>
      <c r="AH971" s="1008"/>
      <c r="AI971" s="1008"/>
    </row>
    <row r="972" spans="1:35">
      <c r="A972" s="1008">
        <v>26892</v>
      </c>
      <c r="B972" s="1008">
        <v>318</v>
      </c>
      <c r="C972" s="1008">
        <v>9</v>
      </c>
      <c r="D972" s="1009">
        <v>15285999</v>
      </c>
      <c r="E972" s="1009">
        <v>15285208</v>
      </c>
      <c r="F972" s="1007" t="s">
        <v>3803</v>
      </c>
      <c r="G972" s="1007">
        <v>8</v>
      </c>
      <c r="H972" s="1010">
        <v>99999999</v>
      </c>
      <c r="I972" s="1009">
        <v>15285208</v>
      </c>
      <c r="J972" s="1007" t="s">
        <v>3802</v>
      </c>
      <c r="O972" s="1007" t="s">
        <v>648</v>
      </c>
      <c r="P972" s="1007" t="s">
        <v>648</v>
      </c>
      <c r="S972" s="1008" t="s">
        <v>650</v>
      </c>
      <c r="T972" s="1008" t="s">
        <v>654</v>
      </c>
      <c r="U972" s="1008" t="s">
        <v>649</v>
      </c>
      <c r="V972" s="1008" t="s">
        <v>648</v>
      </c>
      <c r="W972" s="1008" t="s">
        <v>546</v>
      </c>
      <c r="X972" s="1008" t="s">
        <v>670</v>
      </c>
      <c r="Y972" s="1008" t="s">
        <v>670</v>
      </c>
      <c r="Z972" s="1008" t="s">
        <v>670</v>
      </c>
      <c r="AA972" s="1008"/>
      <c r="AB972" s="1008" t="s">
        <v>670</v>
      </c>
      <c r="AC972" s="1008"/>
      <c r="AD972" s="1008"/>
      <c r="AE972" s="1008"/>
      <c r="AF972" s="1008" t="s">
        <v>670</v>
      </c>
      <c r="AG972" s="1008"/>
      <c r="AH972" s="1008"/>
      <c r="AI972" s="1008"/>
    </row>
    <row r="973" spans="1:35">
      <c r="A973" s="1008">
        <v>26893</v>
      </c>
      <c r="B973" s="1008">
        <v>336</v>
      </c>
      <c r="C973" s="1008">
        <v>9</v>
      </c>
      <c r="D973" s="1009">
        <v>15285999</v>
      </c>
      <c r="E973" s="1009">
        <v>15285210</v>
      </c>
      <c r="F973" s="1007" t="s">
        <v>3801</v>
      </c>
      <c r="G973" s="1007">
        <v>8</v>
      </c>
      <c r="H973" s="1010">
        <v>99999999</v>
      </c>
      <c r="I973" s="1009">
        <v>15285210</v>
      </c>
      <c r="J973" s="1007" t="s">
        <v>3800</v>
      </c>
      <c r="O973" s="1007" t="s">
        <v>648</v>
      </c>
      <c r="P973" s="1007" t="s">
        <v>648</v>
      </c>
      <c r="S973" s="1008" t="s">
        <v>650</v>
      </c>
      <c r="T973" s="1008" t="s">
        <v>654</v>
      </c>
      <c r="U973" s="1008" t="s">
        <v>649</v>
      </c>
      <c r="V973" s="1008" t="s">
        <v>648</v>
      </c>
      <c r="W973" s="1008" t="s">
        <v>546</v>
      </c>
      <c r="X973" s="1008" t="s">
        <v>670</v>
      </c>
      <c r="Y973" s="1008" t="s">
        <v>670</v>
      </c>
      <c r="Z973" s="1008" t="s">
        <v>670</v>
      </c>
      <c r="AA973" s="1008"/>
      <c r="AB973" s="1008" t="s">
        <v>670</v>
      </c>
      <c r="AC973" s="1008"/>
      <c r="AD973" s="1008"/>
      <c r="AE973" s="1008"/>
      <c r="AF973" s="1008" t="s">
        <v>670</v>
      </c>
      <c r="AG973" s="1008"/>
      <c r="AH973" s="1008"/>
      <c r="AI973" s="1008"/>
    </row>
    <row r="974" spans="1:35">
      <c r="A974" s="1008">
        <v>26894</v>
      </c>
      <c r="B974" s="1008">
        <v>5899</v>
      </c>
      <c r="C974" s="1008">
        <v>9</v>
      </c>
      <c r="D974" s="1009">
        <v>15285999</v>
      </c>
      <c r="E974" s="1009">
        <v>15285212</v>
      </c>
      <c r="F974" s="1007" t="s">
        <v>3799</v>
      </c>
      <c r="G974" s="1007" t="s">
        <v>648</v>
      </c>
      <c r="H974" s="1010">
        <v>99999999</v>
      </c>
      <c r="I974" s="1009">
        <v>15285212</v>
      </c>
      <c r="J974" s="1007" t="s">
        <v>3798</v>
      </c>
      <c r="O974" s="1007" t="s">
        <v>648</v>
      </c>
      <c r="P974" s="1007" t="s">
        <v>648</v>
      </c>
      <c r="S974" s="1008" t="s">
        <v>650</v>
      </c>
      <c r="T974" s="1008" t="s">
        <v>654</v>
      </c>
      <c r="U974" s="1008" t="s">
        <v>649</v>
      </c>
      <c r="V974" s="1008" t="s">
        <v>648</v>
      </c>
      <c r="W974" s="1008" t="s">
        <v>546</v>
      </c>
      <c r="X974" s="1008" t="s">
        <v>670</v>
      </c>
      <c r="Y974" s="1008" t="s">
        <v>670</v>
      </c>
      <c r="Z974" s="1008" t="s">
        <v>670</v>
      </c>
      <c r="AA974" s="1008"/>
      <c r="AB974" s="1008" t="s">
        <v>670</v>
      </c>
      <c r="AC974" s="1008"/>
      <c r="AD974" s="1008"/>
      <c r="AE974" s="1008"/>
      <c r="AF974" s="1008" t="s">
        <v>670</v>
      </c>
      <c r="AG974" s="1008"/>
      <c r="AH974" s="1008"/>
      <c r="AI974" s="1008"/>
    </row>
    <row r="975" spans="1:35">
      <c r="A975" s="1008">
        <v>26895</v>
      </c>
      <c r="B975" s="1008">
        <v>329</v>
      </c>
      <c r="C975" s="1008">
        <v>9</v>
      </c>
      <c r="D975" s="1009">
        <v>15285999</v>
      </c>
      <c r="E975" s="1009">
        <v>15285214</v>
      </c>
      <c r="F975" s="1007" t="s">
        <v>3797</v>
      </c>
      <c r="G975" s="1007">
        <v>8</v>
      </c>
      <c r="H975" s="1010">
        <v>99999999</v>
      </c>
      <c r="I975" s="1009">
        <v>15285214</v>
      </c>
      <c r="J975" s="1007" t="s">
        <v>3796</v>
      </c>
      <c r="O975" s="1007" t="s">
        <v>648</v>
      </c>
      <c r="P975" s="1007" t="s">
        <v>648</v>
      </c>
      <c r="S975" s="1008" t="s">
        <v>650</v>
      </c>
      <c r="T975" s="1008" t="s">
        <v>654</v>
      </c>
      <c r="U975" s="1008" t="s">
        <v>649</v>
      </c>
      <c r="V975" s="1008" t="s">
        <v>648</v>
      </c>
      <c r="W975" s="1008" t="s">
        <v>546</v>
      </c>
      <c r="X975" s="1008" t="s">
        <v>670</v>
      </c>
      <c r="Y975" s="1008" t="s">
        <v>670</v>
      </c>
      <c r="Z975" s="1008" t="s">
        <v>670</v>
      </c>
      <c r="AA975" s="1008" t="s">
        <v>670</v>
      </c>
      <c r="AB975" s="1008" t="s">
        <v>670</v>
      </c>
      <c r="AC975" s="1008"/>
      <c r="AD975" s="1008"/>
      <c r="AE975" s="1008"/>
      <c r="AF975" s="1008" t="s">
        <v>670</v>
      </c>
      <c r="AG975" s="1008"/>
      <c r="AH975" s="1008"/>
      <c r="AI975" s="1008"/>
    </row>
    <row r="976" spans="1:35">
      <c r="A976" s="1008">
        <v>26896</v>
      </c>
      <c r="B976" s="1008">
        <v>334</v>
      </c>
      <c r="C976" s="1008">
        <v>9</v>
      </c>
      <c r="D976" s="1009">
        <v>15285999</v>
      </c>
      <c r="E976" s="1009">
        <v>15285216</v>
      </c>
      <c r="F976" s="1007" t="s">
        <v>3795</v>
      </c>
      <c r="G976" s="1007">
        <v>8</v>
      </c>
      <c r="H976" s="1010">
        <v>99999999</v>
      </c>
      <c r="I976" s="1009">
        <v>15285216</v>
      </c>
      <c r="J976" s="1007" t="s">
        <v>3794</v>
      </c>
      <c r="O976" s="1007" t="s">
        <v>648</v>
      </c>
      <c r="P976" s="1007" t="s">
        <v>648</v>
      </c>
      <c r="S976" s="1008" t="s">
        <v>650</v>
      </c>
      <c r="T976" s="1008" t="s">
        <v>654</v>
      </c>
      <c r="U976" s="1008" t="s">
        <v>649</v>
      </c>
      <c r="V976" s="1008" t="s">
        <v>648</v>
      </c>
      <c r="W976" s="1008" t="s">
        <v>546</v>
      </c>
      <c r="X976" s="1008" t="s">
        <v>670</v>
      </c>
      <c r="Y976" s="1008" t="s">
        <v>670</v>
      </c>
      <c r="Z976" s="1008" t="s">
        <v>670</v>
      </c>
      <c r="AA976" s="1008"/>
      <c r="AB976" s="1008" t="s">
        <v>670</v>
      </c>
      <c r="AC976" s="1008"/>
      <c r="AD976" s="1008"/>
      <c r="AE976" s="1008"/>
      <c r="AF976" s="1008" t="s">
        <v>670</v>
      </c>
      <c r="AG976" s="1008"/>
      <c r="AH976" s="1008"/>
      <c r="AI976" s="1008"/>
    </row>
    <row r="977" spans="1:35">
      <c r="A977" s="1008">
        <v>26897</v>
      </c>
      <c r="B977" s="1008">
        <v>333</v>
      </c>
      <c r="C977" s="1008">
        <v>9</v>
      </c>
      <c r="D977" s="1009">
        <v>15285999</v>
      </c>
      <c r="E977" s="1009">
        <v>15285218</v>
      </c>
      <c r="F977" s="1007" t="s">
        <v>3793</v>
      </c>
      <c r="G977" s="1007">
        <v>8</v>
      </c>
      <c r="H977" s="1010">
        <v>99999999</v>
      </c>
      <c r="I977" s="1009">
        <v>15285218</v>
      </c>
      <c r="J977" s="1007" t="s">
        <v>3792</v>
      </c>
      <c r="O977" s="1007" t="s">
        <v>648</v>
      </c>
      <c r="P977" s="1007" t="s">
        <v>648</v>
      </c>
      <c r="S977" s="1008" t="s">
        <v>650</v>
      </c>
      <c r="T977" s="1008" t="s">
        <v>654</v>
      </c>
      <c r="U977" s="1008" t="s">
        <v>649</v>
      </c>
      <c r="V977" s="1008" t="s">
        <v>648</v>
      </c>
      <c r="W977" s="1008" t="s">
        <v>546</v>
      </c>
      <c r="X977" s="1008" t="s">
        <v>670</v>
      </c>
      <c r="Y977" s="1008" t="s">
        <v>670</v>
      </c>
      <c r="Z977" s="1008" t="s">
        <v>670</v>
      </c>
      <c r="AA977" s="1008"/>
      <c r="AB977" s="1008" t="s">
        <v>670</v>
      </c>
      <c r="AC977" s="1008"/>
      <c r="AD977" s="1008"/>
      <c r="AE977" s="1008"/>
      <c r="AF977" s="1008" t="s">
        <v>670</v>
      </c>
      <c r="AG977" s="1008"/>
      <c r="AH977" s="1008"/>
      <c r="AI977" s="1008"/>
    </row>
    <row r="978" spans="1:35">
      <c r="A978" s="1008">
        <v>26898</v>
      </c>
      <c r="B978" s="1008">
        <v>316</v>
      </c>
      <c r="C978" s="1008">
        <v>9</v>
      </c>
      <c r="D978" s="1009">
        <v>15285999</v>
      </c>
      <c r="E978" s="1009">
        <v>15285220</v>
      </c>
      <c r="F978" s="1007" t="s">
        <v>3791</v>
      </c>
      <c r="G978" s="1007">
        <v>8</v>
      </c>
      <c r="H978" s="1010">
        <v>99999999</v>
      </c>
      <c r="I978" s="1009">
        <v>15285220</v>
      </c>
      <c r="J978" s="1007" t="s">
        <v>3790</v>
      </c>
      <c r="O978" s="1007" t="s">
        <v>648</v>
      </c>
      <c r="P978" s="1007" t="s">
        <v>648</v>
      </c>
      <c r="S978" s="1008" t="s">
        <v>650</v>
      </c>
      <c r="T978" s="1008" t="s">
        <v>654</v>
      </c>
      <c r="U978" s="1008" t="s">
        <v>649</v>
      </c>
      <c r="V978" s="1008" t="s">
        <v>648</v>
      </c>
      <c r="W978" s="1008" t="s">
        <v>546</v>
      </c>
      <c r="X978" s="1008" t="s">
        <v>670</v>
      </c>
      <c r="Y978" s="1008" t="s">
        <v>670</v>
      </c>
      <c r="Z978" s="1008" t="s">
        <v>670</v>
      </c>
      <c r="AA978" s="1008"/>
      <c r="AB978" s="1008" t="s">
        <v>670</v>
      </c>
      <c r="AC978" s="1008"/>
      <c r="AD978" s="1008"/>
      <c r="AE978" s="1008"/>
      <c r="AF978" s="1008" t="s">
        <v>670</v>
      </c>
      <c r="AG978" s="1008"/>
      <c r="AH978" s="1008"/>
      <c r="AI978" s="1008"/>
    </row>
    <row r="979" spans="1:35">
      <c r="A979" s="1008">
        <v>26899</v>
      </c>
      <c r="B979" s="1008">
        <v>327</v>
      </c>
      <c r="C979" s="1008">
        <v>9</v>
      </c>
      <c r="D979" s="1009">
        <v>15285999</v>
      </c>
      <c r="E979" s="1009">
        <v>15285222</v>
      </c>
      <c r="F979" s="1007" t="s">
        <v>3789</v>
      </c>
      <c r="G979" s="1007">
        <v>8</v>
      </c>
      <c r="H979" s="1010">
        <v>99999999</v>
      </c>
      <c r="I979" s="1009">
        <v>15285222</v>
      </c>
      <c r="J979" s="1007" t="s">
        <v>3788</v>
      </c>
      <c r="O979" s="1007" t="s">
        <v>648</v>
      </c>
      <c r="P979" s="1007" t="s">
        <v>648</v>
      </c>
      <c r="S979" s="1008" t="s">
        <v>650</v>
      </c>
      <c r="T979" s="1008" t="s">
        <v>654</v>
      </c>
      <c r="U979" s="1008" t="s">
        <v>649</v>
      </c>
      <c r="V979" s="1008" t="s">
        <v>648</v>
      </c>
      <c r="W979" s="1008" t="s">
        <v>546</v>
      </c>
      <c r="X979" s="1008" t="s">
        <v>670</v>
      </c>
      <c r="Y979" s="1008" t="s">
        <v>670</v>
      </c>
      <c r="Z979" s="1008" t="s">
        <v>670</v>
      </c>
      <c r="AA979" s="1008"/>
      <c r="AB979" s="1008" t="s">
        <v>670</v>
      </c>
      <c r="AC979" s="1008"/>
      <c r="AD979" s="1008"/>
      <c r="AE979" s="1008"/>
      <c r="AF979" s="1008" t="s">
        <v>670</v>
      </c>
      <c r="AG979" s="1008"/>
      <c r="AH979" s="1008"/>
      <c r="AI979" s="1008"/>
    </row>
    <row r="980" spans="1:35">
      <c r="A980" s="1008">
        <v>26900</v>
      </c>
      <c r="B980" s="1008">
        <v>344</v>
      </c>
      <c r="C980" s="1008">
        <v>9</v>
      </c>
      <c r="D980" s="1009">
        <v>15285999</v>
      </c>
      <c r="E980" s="1009">
        <v>15285224</v>
      </c>
      <c r="F980" s="1007" t="s">
        <v>3787</v>
      </c>
      <c r="G980" s="1007">
        <v>8</v>
      </c>
      <c r="H980" s="1010">
        <v>99999999</v>
      </c>
      <c r="I980" s="1009">
        <v>15285224</v>
      </c>
      <c r="J980" s="1007" t="s">
        <v>3786</v>
      </c>
      <c r="O980" s="1007" t="s">
        <v>648</v>
      </c>
      <c r="P980" s="1007" t="s">
        <v>648</v>
      </c>
      <c r="S980" s="1008" t="s">
        <v>650</v>
      </c>
      <c r="T980" s="1008" t="s">
        <v>654</v>
      </c>
      <c r="U980" s="1008" t="s">
        <v>649</v>
      </c>
      <c r="V980" s="1008" t="s">
        <v>648</v>
      </c>
      <c r="W980" s="1008" t="s">
        <v>546</v>
      </c>
      <c r="X980" s="1008" t="s">
        <v>670</v>
      </c>
      <c r="Y980" s="1008" t="s">
        <v>670</v>
      </c>
      <c r="Z980" s="1008" t="s">
        <v>670</v>
      </c>
      <c r="AA980" s="1008"/>
      <c r="AB980" s="1008" t="s">
        <v>670</v>
      </c>
      <c r="AC980" s="1008"/>
      <c r="AD980" s="1008"/>
      <c r="AE980" s="1008"/>
      <c r="AF980" s="1008" t="s">
        <v>670</v>
      </c>
      <c r="AG980" s="1008"/>
      <c r="AH980" s="1008"/>
      <c r="AI980" s="1008"/>
    </row>
    <row r="981" spans="1:35">
      <c r="A981" s="1008">
        <v>26901</v>
      </c>
      <c r="B981" s="1008">
        <v>343</v>
      </c>
      <c r="C981" s="1008">
        <v>9</v>
      </c>
      <c r="D981" s="1009">
        <v>15285999</v>
      </c>
      <c r="E981" s="1009">
        <v>15285226</v>
      </c>
      <c r="F981" s="1007" t="s">
        <v>3785</v>
      </c>
      <c r="G981" s="1007">
        <v>8</v>
      </c>
      <c r="H981" s="1010">
        <v>99999999</v>
      </c>
      <c r="I981" s="1009">
        <v>15285226</v>
      </c>
      <c r="J981" s="1007" t="s">
        <v>3784</v>
      </c>
      <c r="O981" s="1007" t="s">
        <v>648</v>
      </c>
      <c r="P981" s="1007" t="s">
        <v>648</v>
      </c>
      <c r="S981" s="1008" t="s">
        <v>650</v>
      </c>
      <c r="T981" s="1008" t="s">
        <v>654</v>
      </c>
      <c r="U981" s="1008" t="s">
        <v>649</v>
      </c>
      <c r="V981" s="1008" t="s">
        <v>648</v>
      </c>
      <c r="W981" s="1008" t="s">
        <v>546</v>
      </c>
      <c r="X981" s="1008" t="s">
        <v>670</v>
      </c>
      <c r="Y981" s="1008" t="s">
        <v>670</v>
      </c>
      <c r="Z981" s="1008" t="s">
        <v>670</v>
      </c>
      <c r="AA981" s="1008"/>
      <c r="AB981" s="1008" t="s">
        <v>670</v>
      </c>
      <c r="AC981" s="1008"/>
      <c r="AD981" s="1008"/>
      <c r="AE981" s="1008"/>
      <c r="AF981" s="1008" t="s">
        <v>670</v>
      </c>
      <c r="AG981" s="1008"/>
      <c r="AH981" s="1008"/>
      <c r="AI981" s="1008"/>
    </row>
    <row r="982" spans="1:35">
      <c r="A982" s="1008">
        <v>26902</v>
      </c>
      <c r="B982" s="1008">
        <v>332</v>
      </c>
      <c r="C982" s="1008">
        <v>9</v>
      </c>
      <c r="D982" s="1009">
        <v>15285999</v>
      </c>
      <c r="E982" s="1009">
        <v>15285228</v>
      </c>
      <c r="F982" s="1007" t="s">
        <v>3783</v>
      </c>
      <c r="G982" s="1007">
        <v>8</v>
      </c>
      <c r="H982" s="1010">
        <v>99999999</v>
      </c>
      <c r="I982" s="1009">
        <v>15285228</v>
      </c>
      <c r="J982" s="1007" t="s">
        <v>3782</v>
      </c>
      <c r="O982" s="1007" t="s">
        <v>648</v>
      </c>
      <c r="P982" s="1007" t="s">
        <v>648</v>
      </c>
      <c r="S982" s="1008" t="s">
        <v>650</v>
      </c>
      <c r="T982" s="1008" t="s">
        <v>654</v>
      </c>
      <c r="U982" s="1008" t="s">
        <v>649</v>
      </c>
      <c r="V982" s="1008" t="s">
        <v>648</v>
      </c>
      <c r="W982" s="1008" t="s">
        <v>546</v>
      </c>
      <c r="X982" s="1008" t="s">
        <v>670</v>
      </c>
      <c r="Y982" s="1008" t="s">
        <v>670</v>
      </c>
      <c r="Z982" s="1008" t="s">
        <v>670</v>
      </c>
      <c r="AA982" s="1008"/>
      <c r="AB982" s="1008" t="s">
        <v>670</v>
      </c>
      <c r="AC982" s="1008"/>
      <c r="AD982" s="1008"/>
      <c r="AE982" s="1008"/>
      <c r="AF982" s="1008" t="s">
        <v>670</v>
      </c>
      <c r="AG982" s="1008"/>
      <c r="AH982" s="1008"/>
      <c r="AI982" s="1008"/>
    </row>
    <row r="983" spans="1:35">
      <c r="A983" s="1008">
        <v>26903</v>
      </c>
      <c r="B983" s="1008">
        <v>328</v>
      </c>
      <c r="C983" s="1008">
        <v>9</v>
      </c>
      <c r="D983" s="1009">
        <v>15285999</v>
      </c>
      <c r="E983" s="1009">
        <v>15285230</v>
      </c>
      <c r="F983" s="1007" t="s">
        <v>3781</v>
      </c>
      <c r="G983" s="1007">
        <v>8</v>
      </c>
      <c r="H983" s="1010">
        <v>99999999</v>
      </c>
      <c r="I983" s="1009">
        <v>15285230</v>
      </c>
      <c r="J983" s="1007" t="s">
        <v>3780</v>
      </c>
      <c r="O983" s="1007" t="s">
        <v>648</v>
      </c>
      <c r="P983" s="1007" t="s">
        <v>648</v>
      </c>
      <c r="S983" s="1008" t="s">
        <v>650</v>
      </c>
      <c r="T983" s="1008" t="s">
        <v>654</v>
      </c>
      <c r="U983" s="1008" t="s">
        <v>649</v>
      </c>
      <c r="V983" s="1008" t="s">
        <v>648</v>
      </c>
      <c r="W983" s="1008" t="s">
        <v>546</v>
      </c>
      <c r="X983" s="1008" t="s">
        <v>670</v>
      </c>
      <c r="Y983" s="1008" t="s">
        <v>670</v>
      </c>
      <c r="Z983" s="1008" t="s">
        <v>670</v>
      </c>
      <c r="AA983" s="1008"/>
      <c r="AB983" s="1008" t="s">
        <v>670</v>
      </c>
      <c r="AC983" s="1008"/>
      <c r="AD983" s="1008"/>
      <c r="AE983" s="1008"/>
      <c r="AF983" s="1008" t="s">
        <v>670</v>
      </c>
      <c r="AG983" s="1008"/>
      <c r="AH983" s="1008"/>
      <c r="AI983" s="1008"/>
    </row>
    <row r="984" spans="1:35">
      <c r="A984" s="1008">
        <v>26904</v>
      </c>
      <c r="B984" s="1008">
        <v>338</v>
      </c>
      <c r="C984" s="1008">
        <v>9</v>
      </c>
      <c r="D984" s="1009">
        <v>15285999</v>
      </c>
      <c r="E984" s="1009">
        <v>15285232</v>
      </c>
      <c r="F984" s="1007" t="s">
        <v>3779</v>
      </c>
      <c r="G984" s="1007">
        <v>8</v>
      </c>
      <c r="H984" s="1010">
        <v>99999999</v>
      </c>
      <c r="I984" s="1009">
        <v>15285232</v>
      </c>
      <c r="J984" s="1007" t="s">
        <v>3778</v>
      </c>
      <c r="O984" s="1007" t="s">
        <v>648</v>
      </c>
      <c r="P984" s="1007" t="s">
        <v>648</v>
      </c>
      <c r="S984" s="1008" t="s">
        <v>650</v>
      </c>
      <c r="T984" s="1008" t="s">
        <v>654</v>
      </c>
      <c r="U984" s="1008" t="s">
        <v>649</v>
      </c>
      <c r="V984" s="1008" t="s">
        <v>648</v>
      </c>
      <c r="W984" s="1008" t="s">
        <v>546</v>
      </c>
      <c r="X984" s="1008" t="s">
        <v>670</v>
      </c>
      <c r="Y984" s="1008" t="s">
        <v>670</v>
      </c>
      <c r="Z984" s="1008" t="s">
        <v>670</v>
      </c>
      <c r="AA984" s="1008"/>
      <c r="AB984" s="1008" t="s">
        <v>670</v>
      </c>
      <c r="AC984" s="1008"/>
      <c r="AD984" s="1008"/>
      <c r="AE984" s="1008"/>
      <c r="AF984" s="1008" t="s">
        <v>670</v>
      </c>
      <c r="AG984" s="1008"/>
      <c r="AH984" s="1008"/>
      <c r="AI984" s="1008"/>
    </row>
    <row r="985" spans="1:35">
      <c r="A985" s="1008">
        <v>26905</v>
      </c>
      <c r="B985" s="1008">
        <v>339</v>
      </c>
      <c r="C985" s="1008">
        <v>9</v>
      </c>
      <c r="D985" s="1009">
        <v>15285999</v>
      </c>
      <c r="E985" s="1009">
        <v>15285234</v>
      </c>
      <c r="F985" s="1007" t="s">
        <v>3777</v>
      </c>
      <c r="G985" s="1007">
        <v>8</v>
      </c>
      <c r="H985" s="1010">
        <v>99999999</v>
      </c>
      <c r="I985" s="1009">
        <v>15285234</v>
      </c>
      <c r="J985" s="1007" t="s">
        <v>3776</v>
      </c>
      <c r="O985" s="1007" t="s">
        <v>648</v>
      </c>
      <c r="P985" s="1007" t="s">
        <v>648</v>
      </c>
      <c r="S985" s="1008" t="s">
        <v>650</v>
      </c>
      <c r="T985" s="1008" t="s">
        <v>654</v>
      </c>
      <c r="U985" s="1008" t="s">
        <v>649</v>
      </c>
      <c r="V985" s="1008" t="s">
        <v>648</v>
      </c>
      <c r="W985" s="1008" t="s">
        <v>546</v>
      </c>
      <c r="X985" s="1008" t="s">
        <v>670</v>
      </c>
      <c r="Y985" s="1008" t="s">
        <v>670</v>
      </c>
      <c r="Z985" s="1008" t="s">
        <v>670</v>
      </c>
      <c r="AA985" s="1008"/>
      <c r="AB985" s="1008" t="s">
        <v>670</v>
      </c>
      <c r="AC985" s="1008"/>
      <c r="AD985" s="1008"/>
      <c r="AE985" s="1008"/>
      <c r="AF985" s="1008" t="s">
        <v>670</v>
      </c>
      <c r="AG985" s="1008"/>
      <c r="AH985" s="1008"/>
      <c r="AI985" s="1008"/>
    </row>
    <row r="986" spans="1:35">
      <c r="A986" s="1008">
        <v>26906</v>
      </c>
      <c r="B986" s="1008">
        <v>345</v>
      </c>
      <c r="C986" s="1008">
        <v>9</v>
      </c>
      <c r="D986" s="1009">
        <v>15285999</v>
      </c>
      <c r="E986" s="1009">
        <v>15285236</v>
      </c>
      <c r="F986" s="1007" t="s">
        <v>3775</v>
      </c>
      <c r="G986" s="1007">
        <v>8</v>
      </c>
      <c r="H986" s="1010">
        <v>99999999</v>
      </c>
      <c r="I986" s="1009">
        <v>15285236</v>
      </c>
      <c r="J986" s="1007" t="s">
        <v>3774</v>
      </c>
      <c r="O986" s="1007" t="s">
        <v>648</v>
      </c>
      <c r="P986" s="1007" t="s">
        <v>648</v>
      </c>
      <c r="S986" s="1008" t="s">
        <v>650</v>
      </c>
      <c r="T986" s="1008" t="s">
        <v>654</v>
      </c>
      <c r="U986" s="1008" t="s">
        <v>649</v>
      </c>
      <c r="V986" s="1008" t="s">
        <v>648</v>
      </c>
      <c r="W986" s="1008" t="s">
        <v>546</v>
      </c>
      <c r="X986" s="1008" t="s">
        <v>670</v>
      </c>
      <c r="Y986" s="1008" t="s">
        <v>670</v>
      </c>
      <c r="Z986" s="1008" t="s">
        <v>670</v>
      </c>
      <c r="AA986" s="1008"/>
      <c r="AB986" s="1008" t="s">
        <v>670</v>
      </c>
      <c r="AC986" s="1008"/>
      <c r="AD986" s="1008"/>
      <c r="AE986" s="1008"/>
      <c r="AF986" s="1008" t="s">
        <v>670</v>
      </c>
      <c r="AG986" s="1008"/>
      <c r="AH986" s="1008"/>
      <c r="AI986" s="1008"/>
    </row>
    <row r="987" spans="1:35">
      <c r="A987" s="1008">
        <v>26907</v>
      </c>
      <c r="B987" s="1008">
        <v>346</v>
      </c>
      <c r="C987" s="1008">
        <v>9</v>
      </c>
      <c r="D987" s="1009">
        <v>15285999</v>
      </c>
      <c r="E987" s="1009">
        <v>15285238</v>
      </c>
      <c r="F987" s="1007" t="s">
        <v>3773</v>
      </c>
      <c r="G987" s="1007">
        <v>8</v>
      </c>
      <c r="H987" s="1010">
        <v>99999999</v>
      </c>
      <c r="I987" s="1009">
        <v>15285238</v>
      </c>
      <c r="J987" s="1007" t="s">
        <v>3772</v>
      </c>
      <c r="O987" s="1007" t="s">
        <v>648</v>
      </c>
      <c r="P987" s="1007" t="s">
        <v>648</v>
      </c>
      <c r="S987" s="1008" t="s">
        <v>650</v>
      </c>
      <c r="T987" s="1008" t="s">
        <v>654</v>
      </c>
      <c r="U987" s="1008" t="s">
        <v>649</v>
      </c>
      <c r="V987" s="1008" t="s">
        <v>648</v>
      </c>
      <c r="W987" s="1008" t="s">
        <v>546</v>
      </c>
      <c r="X987" s="1008" t="s">
        <v>670</v>
      </c>
      <c r="Y987" s="1008" t="s">
        <v>670</v>
      </c>
      <c r="Z987" s="1008" t="s">
        <v>670</v>
      </c>
      <c r="AA987" s="1008"/>
      <c r="AB987" s="1008" t="s">
        <v>670</v>
      </c>
      <c r="AC987" s="1008"/>
      <c r="AD987" s="1008"/>
      <c r="AE987" s="1008"/>
      <c r="AF987" s="1008" t="s">
        <v>670</v>
      </c>
      <c r="AG987" s="1008"/>
      <c r="AH987" s="1008"/>
      <c r="AI987" s="1008"/>
    </row>
    <row r="988" spans="1:35">
      <c r="A988" s="1008">
        <v>26908</v>
      </c>
      <c r="B988" s="1008">
        <v>347</v>
      </c>
      <c r="C988" s="1008">
        <v>9</v>
      </c>
      <c r="D988" s="1009">
        <v>15285999</v>
      </c>
      <c r="E988" s="1009">
        <v>15285240</v>
      </c>
      <c r="F988" s="1007" t="s">
        <v>3771</v>
      </c>
      <c r="G988" s="1007">
        <v>8</v>
      </c>
      <c r="H988" s="1010">
        <v>99999999</v>
      </c>
      <c r="I988" s="1009">
        <v>15285240</v>
      </c>
      <c r="J988" s="1007" t="s">
        <v>3770</v>
      </c>
      <c r="O988" s="1007" t="s">
        <v>648</v>
      </c>
      <c r="P988" s="1007" t="s">
        <v>648</v>
      </c>
      <c r="S988" s="1008" t="s">
        <v>650</v>
      </c>
      <c r="T988" s="1008" t="s">
        <v>654</v>
      </c>
      <c r="U988" s="1008" t="s">
        <v>649</v>
      </c>
      <c r="V988" s="1008" t="s">
        <v>648</v>
      </c>
      <c r="W988" s="1008" t="s">
        <v>546</v>
      </c>
      <c r="X988" s="1008" t="s">
        <v>670</v>
      </c>
      <c r="Y988" s="1008" t="s">
        <v>670</v>
      </c>
      <c r="Z988" s="1008" t="s">
        <v>670</v>
      </c>
      <c r="AA988" s="1008"/>
      <c r="AB988" s="1008" t="s">
        <v>670</v>
      </c>
      <c r="AC988" s="1008"/>
      <c r="AD988" s="1008"/>
      <c r="AE988" s="1008"/>
      <c r="AF988" s="1008" t="s">
        <v>670</v>
      </c>
      <c r="AG988" s="1008"/>
      <c r="AH988" s="1008"/>
      <c r="AI988" s="1008"/>
    </row>
    <row r="989" spans="1:35">
      <c r="A989" s="1008">
        <v>26909</v>
      </c>
      <c r="B989" s="1008">
        <v>314</v>
      </c>
      <c r="C989" s="1008">
        <v>9</v>
      </c>
      <c r="D989" s="1009">
        <v>15285999</v>
      </c>
      <c r="E989" s="1009">
        <v>15285242</v>
      </c>
      <c r="F989" s="1007" t="s">
        <v>3769</v>
      </c>
      <c r="G989" s="1007">
        <v>8</v>
      </c>
      <c r="H989" s="1010">
        <v>99999999</v>
      </c>
      <c r="I989" s="1009">
        <v>15285242</v>
      </c>
      <c r="J989" s="1007" t="s">
        <v>3768</v>
      </c>
      <c r="O989" s="1007" t="s">
        <v>648</v>
      </c>
      <c r="P989" s="1007" t="s">
        <v>648</v>
      </c>
      <c r="S989" s="1008" t="s">
        <v>650</v>
      </c>
      <c r="T989" s="1008" t="s">
        <v>654</v>
      </c>
      <c r="U989" s="1008" t="s">
        <v>649</v>
      </c>
      <c r="V989" s="1008" t="s">
        <v>648</v>
      </c>
      <c r="W989" s="1008" t="s">
        <v>546</v>
      </c>
      <c r="X989" s="1008" t="s">
        <v>670</v>
      </c>
      <c r="Y989" s="1008" t="s">
        <v>670</v>
      </c>
      <c r="Z989" s="1008" t="s">
        <v>670</v>
      </c>
      <c r="AA989" s="1008"/>
      <c r="AB989" s="1008" t="s">
        <v>670</v>
      </c>
      <c r="AC989" s="1008"/>
      <c r="AD989" s="1008"/>
      <c r="AE989" s="1008"/>
      <c r="AF989" s="1008" t="s">
        <v>670</v>
      </c>
      <c r="AG989" s="1008"/>
      <c r="AH989" s="1008"/>
      <c r="AI989" s="1008"/>
    </row>
    <row r="990" spans="1:35">
      <c r="A990" s="1008">
        <v>26910</v>
      </c>
      <c r="B990" s="1008">
        <v>341</v>
      </c>
      <c r="C990" s="1008">
        <v>9</v>
      </c>
      <c r="D990" s="1009">
        <v>15285999</v>
      </c>
      <c r="E990" s="1009">
        <v>15285244</v>
      </c>
      <c r="F990" s="1007" t="s">
        <v>3767</v>
      </c>
      <c r="G990" s="1007">
        <v>8</v>
      </c>
      <c r="H990" s="1010">
        <v>99999999</v>
      </c>
      <c r="I990" s="1009">
        <v>15285244</v>
      </c>
      <c r="J990" s="1007" t="s">
        <v>3766</v>
      </c>
      <c r="O990" s="1007" t="s">
        <v>648</v>
      </c>
      <c r="P990" s="1007" t="s">
        <v>648</v>
      </c>
      <c r="S990" s="1008" t="s">
        <v>650</v>
      </c>
      <c r="T990" s="1008" t="s">
        <v>654</v>
      </c>
      <c r="U990" s="1008" t="s">
        <v>649</v>
      </c>
      <c r="V990" s="1008" t="s">
        <v>648</v>
      </c>
      <c r="W990" s="1008" t="s">
        <v>546</v>
      </c>
      <c r="X990" s="1008" t="s">
        <v>670</v>
      </c>
      <c r="Y990" s="1008" t="s">
        <v>670</v>
      </c>
      <c r="Z990" s="1008" t="s">
        <v>670</v>
      </c>
      <c r="AA990" s="1008"/>
      <c r="AB990" s="1008" t="s">
        <v>670</v>
      </c>
      <c r="AC990" s="1008"/>
      <c r="AD990" s="1008"/>
      <c r="AE990" s="1008"/>
      <c r="AF990" s="1008" t="s">
        <v>670</v>
      </c>
      <c r="AG990" s="1008"/>
      <c r="AH990" s="1008"/>
      <c r="AI990" s="1008"/>
    </row>
    <row r="991" spans="1:35">
      <c r="A991" s="1008">
        <v>26911</v>
      </c>
      <c r="B991" s="1008">
        <v>322</v>
      </c>
      <c r="C991" s="1008">
        <v>9</v>
      </c>
      <c r="D991" s="1009">
        <v>15285999</v>
      </c>
      <c r="E991" s="1009">
        <v>15285246</v>
      </c>
      <c r="F991" s="1007" t="s">
        <v>3765</v>
      </c>
      <c r="G991" s="1007">
        <v>8</v>
      </c>
      <c r="H991" s="1010">
        <v>99999999</v>
      </c>
      <c r="I991" s="1009">
        <v>15285246</v>
      </c>
      <c r="J991" s="1007" t="s">
        <v>3764</v>
      </c>
      <c r="O991" s="1007" t="s">
        <v>648</v>
      </c>
      <c r="P991" s="1007" t="s">
        <v>648</v>
      </c>
      <c r="S991" s="1008" t="s">
        <v>650</v>
      </c>
      <c r="T991" s="1008" t="s">
        <v>654</v>
      </c>
      <c r="U991" s="1008" t="s">
        <v>649</v>
      </c>
      <c r="V991" s="1008" t="s">
        <v>648</v>
      </c>
      <c r="W991" s="1008" t="s">
        <v>546</v>
      </c>
      <c r="X991" s="1008" t="s">
        <v>670</v>
      </c>
      <c r="Y991" s="1008" t="s">
        <v>670</v>
      </c>
      <c r="Z991" s="1008" t="s">
        <v>670</v>
      </c>
      <c r="AA991" s="1008"/>
      <c r="AB991" s="1008" t="s">
        <v>670</v>
      </c>
      <c r="AC991" s="1008"/>
      <c r="AD991" s="1008"/>
      <c r="AE991" s="1008"/>
      <c r="AF991" s="1008" t="s">
        <v>670</v>
      </c>
      <c r="AG991" s="1008"/>
      <c r="AH991" s="1008"/>
      <c r="AI991" s="1008"/>
    </row>
    <row r="992" spans="1:35">
      <c r="A992" s="1008">
        <v>26912</v>
      </c>
      <c r="B992" s="1008">
        <v>313</v>
      </c>
      <c r="C992" s="1008">
        <v>9</v>
      </c>
      <c r="D992" s="1009">
        <v>15285999</v>
      </c>
      <c r="E992" s="1009">
        <v>15285248</v>
      </c>
      <c r="F992" s="1007" t="s">
        <v>3763</v>
      </c>
      <c r="G992" s="1007">
        <v>8</v>
      </c>
      <c r="H992" s="1010">
        <v>99999999</v>
      </c>
      <c r="I992" s="1009">
        <v>15285248</v>
      </c>
      <c r="J992" s="1007" t="s">
        <v>3762</v>
      </c>
      <c r="O992" s="1007" t="s">
        <v>648</v>
      </c>
      <c r="P992" s="1007" t="s">
        <v>648</v>
      </c>
      <c r="S992" s="1008" t="s">
        <v>650</v>
      </c>
      <c r="T992" s="1008" t="s">
        <v>654</v>
      </c>
      <c r="U992" s="1008" t="s">
        <v>649</v>
      </c>
      <c r="V992" s="1008" t="s">
        <v>648</v>
      </c>
      <c r="W992" s="1008" t="s">
        <v>546</v>
      </c>
      <c r="X992" s="1008" t="s">
        <v>670</v>
      </c>
      <c r="Y992" s="1008" t="s">
        <v>670</v>
      </c>
      <c r="Z992" s="1008" t="s">
        <v>670</v>
      </c>
      <c r="AA992" s="1008"/>
      <c r="AB992" s="1008" t="s">
        <v>670</v>
      </c>
      <c r="AC992" s="1008"/>
      <c r="AD992" s="1008"/>
      <c r="AE992" s="1008"/>
      <c r="AF992" s="1008" t="s">
        <v>670</v>
      </c>
      <c r="AG992" s="1008"/>
      <c r="AH992" s="1008"/>
      <c r="AI992" s="1008"/>
    </row>
    <row r="993" spans="1:35">
      <c r="A993" s="1008">
        <v>26913</v>
      </c>
      <c r="B993" s="1008">
        <v>323</v>
      </c>
      <c r="C993" s="1008">
        <v>9</v>
      </c>
      <c r="D993" s="1009">
        <v>15285999</v>
      </c>
      <c r="E993" s="1009">
        <v>15285250</v>
      </c>
      <c r="F993" s="1007" t="s">
        <v>3761</v>
      </c>
      <c r="G993" s="1007">
        <v>8</v>
      </c>
      <c r="H993" s="1010">
        <v>99999999</v>
      </c>
      <c r="I993" s="1009">
        <v>15285250</v>
      </c>
      <c r="J993" s="1007" t="s">
        <v>3760</v>
      </c>
      <c r="O993" s="1007" t="s">
        <v>648</v>
      </c>
      <c r="P993" s="1007" t="s">
        <v>648</v>
      </c>
      <c r="S993" s="1008" t="s">
        <v>650</v>
      </c>
      <c r="T993" s="1008" t="s">
        <v>654</v>
      </c>
      <c r="U993" s="1008" t="s">
        <v>649</v>
      </c>
      <c r="V993" s="1008" t="s">
        <v>648</v>
      </c>
      <c r="W993" s="1008" t="s">
        <v>546</v>
      </c>
      <c r="X993" s="1008" t="s">
        <v>670</v>
      </c>
      <c r="Y993" s="1008" t="s">
        <v>670</v>
      </c>
      <c r="Z993" s="1008" t="s">
        <v>670</v>
      </c>
      <c r="AA993" s="1008"/>
      <c r="AB993" s="1008" t="s">
        <v>670</v>
      </c>
      <c r="AC993" s="1008"/>
      <c r="AD993" s="1008"/>
      <c r="AE993" s="1008"/>
      <c r="AF993" s="1008" t="s">
        <v>670</v>
      </c>
      <c r="AG993" s="1008"/>
      <c r="AH993" s="1008"/>
      <c r="AI993" s="1008"/>
    </row>
    <row r="994" spans="1:35">
      <c r="A994" s="1008">
        <v>26914</v>
      </c>
      <c r="B994" s="1008">
        <v>317</v>
      </c>
      <c r="C994" s="1008">
        <v>9</v>
      </c>
      <c r="D994" s="1009">
        <v>15285999</v>
      </c>
      <c r="E994" s="1009">
        <v>15285252</v>
      </c>
      <c r="F994" s="1007" t="s">
        <v>3759</v>
      </c>
      <c r="G994" s="1007">
        <v>8</v>
      </c>
      <c r="H994" s="1010">
        <v>99999999</v>
      </c>
      <c r="I994" s="1009">
        <v>15285252</v>
      </c>
      <c r="J994" s="1007" t="s">
        <v>3758</v>
      </c>
      <c r="O994" s="1007" t="s">
        <v>648</v>
      </c>
      <c r="P994" s="1007" t="s">
        <v>648</v>
      </c>
      <c r="S994" s="1008" t="s">
        <v>650</v>
      </c>
      <c r="T994" s="1008" t="s">
        <v>654</v>
      </c>
      <c r="U994" s="1008" t="s">
        <v>649</v>
      </c>
      <c r="V994" s="1008" t="s">
        <v>648</v>
      </c>
      <c r="W994" s="1008" t="s">
        <v>546</v>
      </c>
      <c r="X994" s="1008" t="s">
        <v>670</v>
      </c>
      <c r="Y994" s="1008" t="s">
        <v>670</v>
      </c>
      <c r="Z994" s="1008" t="s">
        <v>670</v>
      </c>
      <c r="AA994" s="1008"/>
      <c r="AB994" s="1008" t="s">
        <v>670</v>
      </c>
      <c r="AC994" s="1008"/>
      <c r="AD994" s="1008"/>
      <c r="AE994" s="1008"/>
      <c r="AF994" s="1008" t="s">
        <v>670</v>
      </c>
      <c r="AG994" s="1008"/>
      <c r="AH994" s="1008"/>
      <c r="AI994" s="1008"/>
    </row>
    <row r="995" spans="1:35">
      <c r="A995" s="1008">
        <v>26915</v>
      </c>
      <c r="B995" s="1008">
        <v>324</v>
      </c>
      <c r="C995" s="1008">
        <v>9</v>
      </c>
      <c r="D995" s="1009">
        <v>15285999</v>
      </c>
      <c r="E995" s="1009">
        <v>15285254</v>
      </c>
      <c r="F995" s="1007" t="s">
        <v>3757</v>
      </c>
      <c r="G995" s="1007">
        <v>8</v>
      </c>
      <c r="H995" s="1010">
        <v>99999999</v>
      </c>
      <c r="I995" s="1009">
        <v>15285254</v>
      </c>
      <c r="J995" s="1007" t="s">
        <v>3756</v>
      </c>
      <c r="O995" s="1007" t="s">
        <v>648</v>
      </c>
      <c r="P995" s="1007" t="s">
        <v>648</v>
      </c>
      <c r="S995" s="1008" t="s">
        <v>650</v>
      </c>
      <c r="T995" s="1008" t="s">
        <v>654</v>
      </c>
      <c r="U995" s="1008" t="s">
        <v>649</v>
      </c>
      <c r="V995" s="1008" t="s">
        <v>648</v>
      </c>
      <c r="W995" s="1008" t="s">
        <v>546</v>
      </c>
      <c r="X995" s="1008" t="s">
        <v>670</v>
      </c>
      <c r="Y995" s="1008" t="s">
        <v>670</v>
      </c>
      <c r="Z995" s="1008" t="s">
        <v>670</v>
      </c>
      <c r="AA995" s="1008"/>
      <c r="AB995" s="1008" t="s">
        <v>670</v>
      </c>
      <c r="AC995" s="1008"/>
      <c r="AD995" s="1008"/>
      <c r="AE995" s="1008"/>
      <c r="AF995" s="1008" t="s">
        <v>670</v>
      </c>
      <c r="AG995" s="1008"/>
      <c r="AH995" s="1008"/>
      <c r="AI995" s="1008"/>
    </row>
    <row r="996" spans="1:35">
      <c r="A996" s="1008">
        <v>26916</v>
      </c>
      <c r="B996" s="1008">
        <v>1275</v>
      </c>
      <c r="C996" s="1008">
        <v>9</v>
      </c>
      <c r="D996" s="1009">
        <v>15285999</v>
      </c>
      <c r="E996" s="1009">
        <v>15285256</v>
      </c>
      <c r="F996" s="1007" t="s">
        <v>3755</v>
      </c>
      <c r="G996" s="1007">
        <v>8</v>
      </c>
      <c r="H996" s="1010">
        <v>99999999</v>
      </c>
      <c r="I996" s="1009">
        <v>15285256</v>
      </c>
      <c r="J996" s="1007" t="s">
        <v>3754</v>
      </c>
      <c r="O996" s="1007" t="s">
        <v>648</v>
      </c>
      <c r="P996" s="1007" t="s">
        <v>648</v>
      </c>
      <c r="S996" s="1008" t="s">
        <v>650</v>
      </c>
      <c r="T996" s="1008" t="s">
        <v>654</v>
      </c>
      <c r="U996" s="1008" t="s">
        <v>649</v>
      </c>
      <c r="V996" s="1008" t="s">
        <v>648</v>
      </c>
      <c r="W996" s="1008" t="s">
        <v>546</v>
      </c>
      <c r="X996" s="1008" t="s">
        <v>670</v>
      </c>
      <c r="Y996" s="1008" t="s">
        <v>670</v>
      </c>
      <c r="Z996" s="1008" t="s">
        <v>670</v>
      </c>
      <c r="AA996" s="1008"/>
      <c r="AB996" s="1008" t="s">
        <v>670</v>
      </c>
      <c r="AC996" s="1008"/>
      <c r="AD996" s="1008"/>
      <c r="AE996" s="1008"/>
      <c r="AF996" s="1008" t="s">
        <v>670</v>
      </c>
      <c r="AG996" s="1008"/>
      <c r="AH996" s="1008"/>
      <c r="AI996" s="1008"/>
    </row>
    <row r="997" spans="1:35">
      <c r="A997" s="1008">
        <v>26917</v>
      </c>
      <c r="B997" s="1008">
        <v>335</v>
      </c>
      <c r="C997" s="1008">
        <v>9</v>
      </c>
      <c r="D997" s="1009">
        <v>15285999</v>
      </c>
      <c r="E997" s="1009">
        <v>15285262</v>
      </c>
      <c r="F997" s="1007" t="s">
        <v>3753</v>
      </c>
      <c r="G997" s="1007">
        <v>8</v>
      </c>
      <c r="H997" s="1010">
        <v>99999999</v>
      </c>
      <c r="I997" s="1009">
        <v>15285262</v>
      </c>
      <c r="J997" s="1007" t="s">
        <v>3752</v>
      </c>
      <c r="O997" s="1007" t="s">
        <v>648</v>
      </c>
      <c r="P997" s="1007" t="s">
        <v>648</v>
      </c>
      <c r="S997" s="1008" t="s">
        <v>650</v>
      </c>
      <c r="T997" s="1008" t="s">
        <v>654</v>
      </c>
      <c r="U997" s="1008" t="s">
        <v>649</v>
      </c>
      <c r="V997" s="1008" t="s">
        <v>648</v>
      </c>
      <c r="W997" s="1008" t="s">
        <v>546</v>
      </c>
      <c r="X997" s="1008" t="s">
        <v>670</v>
      </c>
      <c r="Y997" s="1008" t="s">
        <v>670</v>
      </c>
      <c r="Z997" s="1008" t="s">
        <v>670</v>
      </c>
      <c r="AA997" s="1008"/>
      <c r="AB997" s="1008" t="s">
        <v>670</v>
      </c>
      <c r="AC997" s="1008"/>
      <c r="AD997" s="1008"/>
      <c r="AE997" s="1008"/>
      <c r="AF997" s="1008" t="s">
        <v>670</v>
      </c>
      <c r="AG997" s="1008"/>
      <c r="AH997" s="1008"/>
      <c r="AI997" s="1008"/>
    </row>
    <row r="998" spans="1:35">
      <c r="A998" s="1008">
        <v>26918</v>
      </c>
      <c r="B998" s="1008">
        <v>330</v>
      </c>
      <c r="C998" s="1008">
        <v>9</v>
      </c>
      <c r="D998" s="1009">
        <v>15285999</v>
      </c>
      <c r="E998" s="1009">
        <v>15285264</v>
      </c>
      <c r="F998" s="1007" t="s">
        <v>3751</v>
      </c>
      <c r="G998" s="1007">
        <v>8</v>
      </c>
      <c r="H998" s="1010">
        <v>99999999</v>
      </c>
      <c r="I998" s="1009">
        <v>15285264</v>
      </c>
      <c r="J998" s="1007" t="s">
        <v>3750</v>
      </c>
      <c r="O998" s="1007" t="s">
        <v>648</v>
      </c>
      <c r="P998" s="1007" t="s">
        <v>648</v>
      </c>
      <c r="S998" s="1008" t="s">
        <v>650</v>
      </c>
      <c r="T998" s="1008" t="s">
        <v>654</v>
      </c>
      <c r="U998" s="1008" t="s">
        <v>649</v>
      </c>
      <c r="V998" s="1008" t="s">
        <v>648</v>
      </c>
      <c r="W998" s="1008" t="s">
        <v>546</v>
      </c>
      <c r="X998" s="1008" t="s">
        <v>670</v>
      </c>
      <c r="Y998" s="1008" t="s">
        <v>670</v>
      </c>
      <c r="Z998" s="1008" t="s">
        <v>670</v>
      </c>
      <c r="AA998" s="1008"/>
      <c r="AB998" s="1008" t="s">
        <v>670</v>
      </c>
      <c r="AC998" s="1008"/>
      <c r="AD998" s="1008"/>
      <c r="AE998" s="1008"/>
      <c r="AF998" s="1008" t="s">
        <v>670</v>
      </c>
      <c r="AG998" s="1008"/>
      <c r="AH998" s="1008"/>
      <c r="AI998" s="1008"/>
    </row>
    <row r="999" spans="1:35">
      <c r="A999" s="1008">
        <v>26919</v>
      </c>
      <c r="B999" s="1008">
        <v>337</v>
      </c>
      <c r="C999" s="1008">
        <v>9</v>
      </c>
      <c r="D999" s="1009">
        <v>15285999</v>
      </c>
      <c r="E999" s="1009">
        <v>15285266</v>
      </c>
      <c r="F999" s="1007" t="s">
        <v>3749</v>
      </c>
      <c r="G999" s="1007">
        <v>8</v>
      </c>
      <c r="H999" s="1010">
        <v>99999999</v>
      </c>
      <c r="I999" s="1009">
        <v>15285266</v>
      </c>
      <c r="J999" s="1007" t="s">
        <v>3748</v>
      </c>
      <c r="O999" s="1007" t="s">
        <v>648</v>
      </c>
      <c r="P999" s="1007" t="s">
        <v>648</v>
      </c>
      <c r="S999" s="1008" t="s">
        <v>650</v>
      </c>
      <c r="T999" s="1008" t="s">
        <v>654</v>
      </c>
      <c r="U999" s="1008" t="s">
        <v>649</v>
      </c>
      <c r="V999" s="1008" t="s">
        <v>648</v>
      </c>
      <c r="W999" s="1008" t="s">
        <v>546</v>
      </c>
      <c r="X999" s="1008" t="s">
        <v>670</v>
      </c>
      <c r="Y999" s="1008" t="s">
        <v>670</v>
      </c>
      <c r="Z999" s="1008" t="s">
        <v>670</v>
      </c>
      <c r="AA999" s="1008"/>
      <c r="AB999" s="1008" t="s">
        <v>670</v>
      </c>
      <c r="AC999" s="1008"/>
      <c r="AD999" s="1008"/>
      <c r="AE999" s="1008"/>
      <c r="AF999" s="1008" t="s">
        <v>670</v>
      </c>
      <c r="AG999" s="1008"/>
      <c r="AH999" s="1008"/>
      <c r="AI999" s="1008"/>
    </row>
    <row r="1000" spans="1:35">
      <c r="A1000" s="1008">
        <v>26920</v>
      </c>
      <c r="B1000" s="1008">
        <v>342</v>
      </c>
      <c r="C1000" s="1008">
        <v>9</v>
      </c>
      <c r="D1000" s="1009">
        <v>15285999</v>
      </c>
      <c r="E1000" s="1009">
        <v>15285290</v>
      </c>
      <c r="F1000" s="1007" t="s">
        <v>3747</v>
      </c>
      <c r="G1000" s="1007">
        <v>8</v>
      </c>
      <c r="H1000" s="1010">
        <v>99999999</v>
      </c>
      <c r="I1000" s="1009">
        <v>15285290</v>
      </c>
      <c r="J1000" s="1007" t="s">
        <v>3746</v>
      </c>
      <c r="O1000" s="1007" t="s">
        <v>648</v>
      </c>
      <c r="P1000" s="1007" t="s">
        <v>648</v>
      </c>
      <c r="S1000" s="1008" t="s">
        <v>650</v>
      </c>
      <c r="T1000" s="1008" t="s">
        <v>654</v>
      </c>
      <c r="U1000" s="1008" t="s">
        <v>649</v>
      </c>
      <c r="V1000" s="1008" t="s">
        <v>648</v>
      </c>
      <c r="W1000" s="1008" t="s">
        <v>546</v>
      </c>
      <c r="X1000" s="1008" t="s">
        <v>670</v>
      </c>
      <c r="Y1000" s="1008" t="s">
        <v>670</v>
      </c>
      <c r="Z1000" s="1008" t="s">
        <v>670</v>
      </c>
      <c r="AA1000" s="1008"/>
      <c r="AB1000" s="1008" t="s">
        <v>670</v>
      </c>
      <c r="AC1000" s="1008"/>
      <c r="AD1000" s="1008"/>
      <c r="AE1000" s="1008"/>
      <c r="AF1000" s="1008" t="s">
        <v>670</v>
      </c>
      <c r="AG1000" s="1008"/>
      <c r="AH1000" s="1008"/>
      <c r="AI1000" s="1008"/>
    </row>
    <row r="1001" spans="1:35">
      <c r="A1001" s="1008">
        <v>27588</v>
      </c>
      <c r="B1001" s="1008">
        <v>315</v>
      </c>
      <c r="C1001" s="1008">
        <v>9</v>
      </c>
      <c r="D1001" s="1009">
        <v>15285999</v>
      </c>
      <c r="E1001" s="1009">
        <v>15285650</v>
      </c>
      <c r="F1001" s="1007" t="s">
        <v>3745</v>
      </c>
      <c r="G1001" s="1007">
        <v>8</v>
      </c>
      <c r="H1001" s="1010">
        <v>99999999</v>
      </c>
      <c r="I1001" s="1009">
        <v>15285650</v>
      </c>
      <c r="J1001" s="1007" t="s">
        <v>3744</v>
      </c>
      <c r="O1001" s="1007" t="s">
        <v>648</v>
      </c>
      <c r="P1001" s="1007" t="s">
        <v>648</v>
      </c>
      <c r="S1001" s="1008" t="s">
        <v>650</v>
      </c>
      <c r="T1001" s="1008" t="s">
        <v>654</v>
      </c>
      <c r="U1001" s="1008" t="s">
        <v>649</v>
      </c>
      <c r="V1001" s="1008" t="s">
        <v>648</v>
      </c>
      <c r="W1001" s="1008" t="s">
        <v>546</v>
      </c>
      <c r="X1001" s="1008" t="s">
        <v>670</v>
      </c>
      <c r="Y1001" s="1008"/>
      <c r="Z1001" s="1008"/>
      <c r="AA1001" s="1008"/>
      <c r="AB1001" s="1008"/>
      <c r="AC1001" s="1008"/>
      <c r="AD1001" s="1008"/>
      <c r="AE1001" s="1008"/>
      <c r="AF1001" s="1008"/>
      <c r="AG1001" s="1008"/>
      <c r="AH1001" s="1008"/>
      <c r="AI1001" s="1008"/>
    </row>
    <row r="1002" spans="1:35">
      <c r="A1002" s="1008">
        <v>27589</v>
      </c>
      <c r="B1002" s="1008">
        <v>325</v>
      </c>
      <c r="C1002" s="1008">
        <v>9</v>
      </c>
      <c r="D1002" s="1009">
        <v>15285999</v>
      </c>
      <c r="E1002" s="1009">
        <v>15285660</v>
      </c>
      <c r="F1002" s="1007" t="s">
        <v>3743</v>
      </c>
      <c r="G1002" s="1007">
        <v>8</v>
      </c>
      <c r="H1002" s="1010">
        <v>99999999</v>
      </c>
      <c r="I1002" s="1009">
        <v>15285660</v>
      </c>
      <c r="J1002" s="1007" t="s">
        <v>3742</v>
      </c>
      <c r="O1002" s="1007" t="s">
        <v>648</v>
      </c>
      <c r="P1002" s="1007" t="s">
        <v>648</v>
      </c>
      <c r="S1002" s="1008" t="s">
        <v>650</v>
      </c>
      <c r="T1002" s="1008" t="s">
        <v>654</v>
      </c>
      <c r="U1002" s="1008" t="s">
        <v>649</v>
      </c>
      <c r="V1002" s="1008" t="s">
        <v>648</v>
      </c>
      <c r="W1002" s="1008" t="s">
        <v>546</v>
      </c>
      <c r="X1002" s="1008" t="s">
        <v>670</v>
      </c>
      <c r="Y1002" s="1008" t="s">
        <v>670</v>
      </c>
      <c r="Z1002" s="1008"/>
      <c r="AA1002" s="1008"/>
      <c r="AB1002" s="1008"/>
      <c r="AC1002" s="1008"/>
      <c r="AD1002" s="1008"/>
      <c r="AE1002" s="1008"/>
      <c r="AF1002" s="1008" t="s">
        <v>670</v>
      </c>
      <c r="AG1002" s="1008"/>
      <c r="AH1002" s="1008"/>
      <c r="AI1002" s="1008"/>
    </row>
    <row r="1003" spans="1:35">
      <c r="A1003" s="1008">
        <v>27739</v>
      </c>
      <c r="B1003" s="1008">
        <v>6557</v>
      </c>
      <c r="C1003" s="1008">
        <v>9</v>
      </c>
      <c r="D1003" s="1009">
        <v>15285999</v>
      </c>
      <c r="E1003" s="1009">
        <v>15285670</v>
      </c>
      <c r="F1003" s="1007" t="s">
        <v>3741</v>
      </c>
      <c r="G1003" s="1007">
        <v>8</v>
      </c>
      <c r="H1003" s="1010">
        <v>99999999</v>
      </c>
      <c r="I1003" s="1009">
        <v>15285670</v>
      </c>
      <c r="J1003" s="1007" t="s">
        <v>3740</v>
      </c>
      <c r="O1003" s="1007" t="s">
        <v>648</v>
      </c>
      <c r="P1003" s="1007" t="s">
        <v>648</v>
      </c>
      <c r="S1003" s="1008" t="s">
        <v>650</v>
      </c>
      <c r="T1003" s="1008" t="s">
        <v>654</v>
      </c>
      <c r="U1003" s="1008" t="s">
        <v>649</v>
      </c>
      <c r="V1003" s="1008" t="s">
        <v>648</v>
      </c>
      <c r="W1003" s="1008" t="s">
        <v>546</v>
      </c>
      <c r="X1003" s="1008" t="s">
        <v>670</v>
      </c>
      <c r="Y1003" s="1008" t="s">
        <v>670</v>
      </c>
      <c r="Z1003" s="1008"/>
      <c r="AA1003" s="1008"/>
      <c r="AB1003" s="1008"/>
      <c r="AC1003" s="1008"/>
      <c r="AD1003" s="1008"/>
      <c r="AE1003" s="1008"/>
      <c r="AF1003" s="1008" t="s">
        <v>670</v>
      </c>
      <c r="AG1003" s="1008"/>
      <c r="AH1003" s="1008"/>
      <c r="AI1003" s="1008"/>
    </row>
    <row r="1004" spans="1:35">
      <c r="A1004" s="1008">
        <v>26695</v>
      </c>
      <c r="B1004" s="1008">
        <v>5890</v>
      </c>
      <c r="C1004" s="1008">
        <v>9</v>
      </c>
      <c r="D1004" s="1009">
        <v>15285999</v>
      </c>
      <c r="E1004" s="1009">
        <v>15285700</v>
      </c>
      <c r="F1004" s="1007" t="s">
        <v>3739</v>
      </c>
      <c r="G1004" s="1007">
        <v>8</v>
      </c>
      <c r="H1004" s="1010">
        <v>99999999</v>
      </c>
      <c r="I1004" s="1009">
        <v>15285700</v>
      </c>
      <c r="J1004" s="1007" t="s">
        <v>3738</v>
      </c>
      <c r="O1004" s="1007" t="s">
        <v>648</v>
      </c>
      <c r="P1004" s="1007" t="s">
        <v>648</v>
      </c>
      <c r="S1004" s="1008" t="s">
        <v>650</v>
      </c>
      <c r="T1004" s="1008" t="s">
        <v>654</v>
      </c>
      <c r="U1004" s="1008" t="s">
        <v>649</v>
      </c>
      <c r="V1004" s="1008" t="s">
        <v>648</v>
      </c>
      <c r="W1004" s="1008" t="s">
        <v>546</v>
      </c>
      <c r="X1004" s="1008" t="s">
        <v>670</v>
      </c>
      <c r="Y1004" s="1008" t="s">
        <v>670</v>
      </c>
      <c r="Z1004" s="1008" t="s">
        <v>670</v>
      </c>
      <c r="AA1004" s="1008"/>
      <c r="AB1004" s="1008" t="s">
        <v>670</v>
      </c>
      <c r="AC1004" s="1008"/>
      <c r="AD1004" s="1008"/>
      <c r="AE1004" s="1008"/>
      <c r="AF1004" s="1008" t="s">
        <v>670</v>
      </c>
      <c r="AG1004" s="1008"/>
      <c r="AH1004" s="1008"/>
      <c r="AI1004" s="1008"/>
    </row>
    <row r="1005" spans="1:35">
      <c r="A1005" s="1008">
        <v>26921</v>
      </c>
      <c r="B1005" s="1008">
        <v>349</v>
      </c>
      <c r="C1005" s="1008">
        <v>9</v>
      </c>
      <c r="D1005" s="1009">
        <v>15285999</v>
      </c>
      <c r="E1005" s="1009">
        <v>15285900</v>
      </c>
      <c r="F1005" s="1007" t="s">
        <v>3737</v>
      </c>
      <c r="G1005" s="1007">
        <v>8</v>
      </c>
      <c r="H1005" s="1010">
        <v>99999999</v>
      </c>
      <c r="I1005" s="1009">
        <v>15285900</v>
      </c>
      <c r="J1005" s="1007" t="s">
        <v>3736</v>
      </c>
      <c r="O1005" s="1007" t="s">
        <v>648</v>
      </c>
      <c r="P1005" s="1007" t="s">
        <v>648</v>
      </c>
      <c r="S1005" s="1008" t="s">
        <v>650</v>
      </c>
      <c r="T1005" s="1008" t="s">
        <v>654</v>
      </c>
      <c r="U1005" s="1008" t="s">
        <v>649</v>
      </c>
      <c r="V1005" s="1008" t="s">
        <v>648</v>
      </c>
      <c r="W1005" s="1008" t="s">
        <v>546</v>
      </c>
      <c r="X1005" s="1008" t="s">
        <v>670</v>
      </c>
      <c r="Y1005" s="1008" t="s">
        <v>670</v>
      </c>
      <c r="Z1005" s="1008" t="s">
        <v>670</v>
      </c>
      <c r="AA1005" s="1008"/>
      <c r="AB1005" s="1008" t="s">
        <v>670</v>
      </c>
      <c r="AC1005" s="1008"/>
      <c r="AD1005" s="1008"/>
      <c r="AE1005" s="1008"/>
      <c r="AF1005" s="1008" t="s">
        <v>670</v>
      </c>
      <c r="AG1005" s="1008"/>
      <c r="AH1005" s="1008"/>
      <c r="AI1005" s="1008"/>
    </row>
    <row r="1006" spans="1:35">
      <c r="A1006" s="1008">
        <v>26922</v>
      </c>
      <c r="C1006" s="1008">
        <v>8</v>
      </c>
      <c r="D1006" s="1009">
        <v>15399999</v>
      </c>
      <c r="E1006" s="1009">
        <v>15285999</v>
      </c>
      <c r="F1006" s="1007" t="s">
        <v>3735</v>
      </c>
      <c r="O1006" s="1007" t="s">
        <v>648</v>
      </c>
      <c r="P1006" s="1007" t="s">
        <v>648</v>
      </c>
      <c r="S1006" s="1008" t="s">
        <v>650</v>
      </c>
      <c r="T1006" s="1008" t="s">
        <v>21</v>
      </c>
      <c r="U1006" s="1008" t="s">
        <v>649</v>
      </c>
      <c r="V1006" s="1008" t="s">
        <v>648</v>
      </c>
      <c r="W1006" s="1008" t="s">
        <v>546</v>
      </c>
      <c r="X1006" s="1008"/>
      <c r="Y1006" s="1008"/>
      <c r="Z1006" s="1008"/>
      <c r="AA1006" s="1008"/>
      <c r="AB1006" s="1008"/>
      <c r="AC1006" s="1008"/>
      <c r="AD1006" s="1008"/>
      <c r="AE1006" s="1008"/>
      <c r="AF1006" s="1008"/>
      <c r="AG1006" s="1008"/>
      <c r="AH1006" s="1008"/>
      <c r="AI1006" s="1008"/>
    </row>
    <row r="1007" spans="1:35">
      <c r="A1007" s="1008">
        <v>26923</v>
      </c>
      <c r="C1007" s="1008">
        <v>8</v>
      </c>
      <c r="D1007" s="1009">
        <v>15290999</v>
      </c>
      <c r="E1007" s="1009">
        <v>15290000</v>
      </c>
      <c r="F1007" s="1007" t="s">
        <v>3734</v>
      </c>
      <c r="O1007" s="1007" t="s">
        <v>648</v>
      </c>
      <c r="P1007" s="1007" t="s">
        <v>648</v>
      </c>
      <c r="S1007" s="1008" t="s">
        <v>650</v>
      </c>
      <c r="T1007" s="1008" t="s">
        <v>675</v>
      </c>
      <c r="U1007" s="1008" t="s">
        <v>649</v>
      </c>
      <c r="V1007" s="1008" t="s">
        <v>648</v>
      </c>
      <c r="W1007" s="1008" t="s">
        <v>546</v>
      </c>
      <c r="X1007" s="1008"/>
      <c r="Y1007" s="1008"/>
      <c r="Z1007" s="1008"/>
      <c r="AA1007" s="1008"/>
      <c r="AB1007" s="1008"/>
      <c r="AC1007" s="1008"/>
      <c r="AD1007" s="1008"/>
      <c r="AE1007" s="1008"/>
      <c r="AF1007" s="1008"/>
      <c r="AG1007" s="1008"/>
      <c r="AH1007" s="1008"/>
      <c r="AI1007" s="1008"/>
    </row>
    <row r="1008" spans="1:35">
      <c r="A1008" s="1008">
        <v>26673</v>
      </c>
      <c r="B1008" s="1008">
        <v>404</v>
      </c>
      <c r="C1008" s="1008">
        <v>9</v>
      </c>
      <c r="D1008" s="1009">
        <v>15290999</v>
      </c>
      <c r="E1008" s="1009">
        <v>15290200</v>
      </c>
      <c r="F1008" s="1007" t="s">
        <v>3733</v>
      </c>
      <c r="G1008" s="1007">
        <v>8</v>
      </c>
      <c r="H1008" s="1010">
        <v>99999999</v>
      </c>
      <c r="I1008" s="1009">
        <v>15290200</v>
      </c>
      <c r="J1008" s="1007" t="s">
        <v>3732</v>
      </c>
      <c r="O1008" s="1007" t="s">
        <v>648</v>
      </c>
      <c r="P1008" s="1007" t="s">
        <v>648</v>
      </c>
      <c r="S1008" s="1008" t="s">
        <v>650</v>
      </c>
      <c r="T1008" s="1008" t="s">
        <v>654</v>
      </c>
      <c r="U1008" s="1008" t="s">
        <v>649</v>
      </c>
      <c r="V1008" s="1008" t="s">
        <v>648</v>
      </c>
      <c r="W1008" s="1008" t="s">
        <v>546</v>
      </c>
      <c r="X1008" s="1008" t="s">
        <v>670</v>
      </c>
      <c r="Y1008" s="1008" t="s">
        <v>670</v>
      </c>
      <c r="Z1008" s="1008"/>
      <c r="AA1008" s="1008"/>
      <c r="AB1008" s="1008"/>
      <c r="AC1008" s="1008"/>
      <c r="AD1008" s="1008"/>
      <c r="AE1008" s="1008"/>
      <c r="AF1008" s="1008" t="s">
        <v>670</v>
      </c>
      <c r="AG1008" s="1008"/>
      <c r="AH1008" s="1008"/>
      <c r="AI1008" s="1008"/>
    </row>
    <row r="1009" spans="1:35">
      <c r="A1009" s="1008">
        <v>26924</v>
      </c>
      <c r="B1009" s="1008">
        <v>394</v>
      </c>
      <c r="C1009" s="1008">
        <v>9</v>
      </c>
      <c r="D1009" s="1009">
        <v>15290999</v>
      </c>
      <c r="E1009" s="1009">
        <v>15290202</v>
      </c>
      <c r="F1009" s="1007" t="s">
        <v>3731</v>
      </c>
      <c r="G1009" s="1007">
        <v>8</v>
      </c>
      <c r="H1009" s="1010">
        <v>99999999</v>
      </c>
      <c r="I1009" s="1009">
        <v>15290202</v>
      </c>
      <c r="J1009" s="1007" t="s">
        <v>3730</v>
      </c>
      <c r="O1009" s="1007" t="s">
        <v>648</v>
      </c>
      <c r="P1009" s="1007" t="s">
        <v>648</v>
      </c>
      <c r="S1009" s="1008" t="s">
        <v>650</v>
      </c>
      <c r="T1009" s="1008" t="s">
        <v>654</v>
      </c>
      <c r="U1009" s="1008" t="s">
        <v>649</v>
      </c>
      <c r="V1009" s="1008" t="s">
        <v>648</v>
      </c>
      <c r="W1009" s="1008" t="s">
        <v>546</v>
      </c>
      <c r="X1009" s="1008" t="s">
        <v>670</v>
      </c>
      <c r="Y1009" s="1008" t="s">
        <v>670</v>
      </c>
      <c r="Z1009" s="1008"/>
      <c r="AA1009" s="1008"/>
      <c r="AB1009" s="1008"/>
      <c r="AC1009" s="1008"/>
      <c r="AD1009" s="1008"/>
      <c r="AE1009" s="1008"/>
      <c r="AF1009" s="1008" t="s">
        <v>670</v>
      </c>
      <c r="AG1009" s="1008"/>
      <c r="AH1009" s="1008"/>
      <c r="AI1009" s="1008"/>
    </row>
    <row r="1010" spans="1:35">
      <c r="A1010" s="1008">
        <v>26925</v>
      </c>
      <c r="B1010" s="1008">
        <v>5900</v>
      </c>
      <c r="C1010" s="1008">
        <v>9</v>
      </c>
      <c r="D1010" s="1009">
        <v>15290999</v>
      </c>
      <c r="E1010" s="1009">
        <v>15290204</v>
      </c>
      <c r="F1010" s="1007" t="s">
        <v>3729</v>
      </c>
      <c r="G1010" s="1007" t="s">
        <v>648</v>
      </c>
      <c r="H1010" s="1010">
        <v>99999999</v>
      </c>
      <c r="I1010" s="1009">
        <v>15290204</v>
      </c>
      <c r="J1010" s="1007" t="s">
        <v>3728</v>
      </c>
      <c r="O1010" s="1007" t="s">
        <v>648</v>
      </c>
      <c r="P1010" s="1007" t="s">
        <v>648</v>
      </c>
      <c r="S1010" s="1008" t="s">
        <v>650</v>
      </c>
      <c r="T1010" s="1008" t="s">
        <v>654</v>
      </c>
      <c r="U1010" s="1008" t="s">
        <v>649</v>
      </c>
      <c r="V1010" s="1008" t="s">
        <v>648</v>
      </c>
      <c r="W1010" s="1008" t="s">
        <v>546</v>
      </c>
      <c r="X1010" s="1008" t="s">
        <v>670</v>
      </c>
      <c r="Y1010" s="1008" t="s">
        <v>670</v>
      </c>
      <c r="Z1010" s="1008"/>
      <c r="AA1010" s="1008"/>
      <c r="AB1010" s="1008"/>
      <c r="AC1010" s="1008"/>
      <c r="AD1010" s="1008"/>
      <c r="AE1010" s="1008"/>
      <c r="AF1010" s="1008" t="s">
        <v>670</v>
      </c>
      <c r="AG1010" s="1008"/>
      <c r="AH1010" s="1008"/>
      <c r="AI1010" s="1008"/>
    </row>
    <row r="1011" spans="1:35">
      <c r="A1011" s="1008">
        <v>26926</v>
      </c>
      <c r="B1011" s="1008">
        <v>5901</v>
      </c>
      <c r="C1011" s="1008">
        <v>9</v>
      </c>
      <c r="D1011" s="1009">
        <v>15290999</v>
      </c>
      <c r="E1011" s="1009">
        <v>15290206</v>
      </c>
      <c r="F1011" s="1007" t="s">
        <v>3727</v>
      </c>
      <c r="G1011" s="1007" t="s">
        <v>648</v>
      </c>
      <c r="H1011" s="1010">
        <v>99999999</v>
      </c>
      <c r="I1011" s="1009">
        <v>15290206</v>
      </c>
      <c r="J1011" s="1007" t="s">
        <v>3726</v>
      </c>
      <c r="O1011" s="1007" t="s">
        <v>648</v>
      </c>
      <c r="P1011" s="1007" t="s">
        <v>648</v>
      </c>
      <c r="S1011" s="1008" t="s">
        <v>650</v>
      </c>
      <c r="T1011" s="1008" t="s">
        <v>654</v>
      </c>
      <c r="U1011" s="1008" t="s">
        <v>649</v>
      </c>
      <c r="V1011" s="1008" t="s">
        <v>648</v>
      </c>
      <c r="W1011" s="1008" t="s">
        <v>546</v>
      </c>
      <c r="X1011" s="1008" t="s">
        <v>670</v>
      </c>
      <c r="Y1011" s="1008" t="s">
        <v>670</v>
      </c>
      <c r="Z1011" s="1008"/>
      <c r="AA1011" s="1008"/>
      <c r="AB1011" s="1008"/>
      <c r="AC1011" s="1008"/>
      <c r="AD1011" s="1008"/>
      <c r="AE1011" s="1008"/>
      <c r="AF1011" s="1008" t="s">
        <v>670</v>
      </c>
      <c r="AG1011" s="1008"/>
      <c r="AH1011" s="1008"/>
      <c r="AI1011" s="1008"/>
    </row>
    <row r="1012" spans="1:35">
      <c r="A1012" s="1008">
        <v>26927</v>
      </c>
      <c r="B1012" s="1008">
        <v>392</v>
      </c>
      <c r="C1012" s="1008">
        <v>9</v>
      </c>
      <c r="D1012" s="1009">
        <v>15290999</v>
      </c>
      <c r="E1012" s="1009">
        <v>15290208</v>
      </c>
      <c r="F1012" s="1007" t="s">
        <v>3725</v>
      </c>
      <c r="G1012" s="1007">
        <v>8</v>
      </c>
      <c r="H1012" s="1010">
        <v>99999999</v>
      </c>
      <c r="I1012" s="1009">
        <v>15290208</v>
      </c>
      <c r="J1012" s="1007" t="s">
        <v>3724</v>
      </c>
      <c r="O1012" s="1007" t="s">
        <v>648</v>
      </c>
      <c r="P1012" s="1007" t="s">
        <v>648</v>
      </c>
      <c r="S1012" s="1008" t="s">
        <v>650</v>
      </c>
      <c r="T1012" s="1008" t="s">
        <v>654</v>
      </c>
      <c r="U1012" s="1008" t="s">
        <v>649</v>
      </c>
      <c r="V1012" s="1008" t="s">
        <v>648</v>
      </c>
      <c r="W1012" s="1008" t="s">
        <v>546</v>
      </c>
      <c r="X1012" s="1008" t="s">
        <v>670</v>
      </c>
      <c r="Y1012" s="1008" t="s">
        <v>670</v>
      </c>
      <c r="Z1012" s="1008"/>
      <c r="AA1012" s="1008"/>
      <c r="AB1012" s="1008"/>
      <c r="AC1012" s="1008"/>
      <c r="AD1012" s="1008"/>
      <c r="AE1012" s="1008"/>
      <c r="AF1012" s="1008" t="s">
        <v>670</v>
      </c>
      <c r="AG1012" s="1008"/>
      <c r="AH1012" s="1008"/>
      <c r="AI1012" s="1008"/>
    </row>
    <row r="1013" spans="1:35">
      <c r="A1013" s="1008">
        <v>26928</v>
      </c>
      <c r="B1013" s="1008">
        <v>5902</v>
      </c>
      <c r="C1013" s="1008">
        <v>9</v>
      </c>
      <c r="D1013" s="1009">
        <v>15290999</v>
      </c>
      <c r="E1013" s="1009">
        <v>15290210</v>
      </c>
      <c r="F1013" s="1007" t="s">
        <v>3723</v>
      </c>
      <c r="G1013" s="1007" t="s">
        <v>648</v>
      </c>
      <c r="H1013" s="1010">
        <v>99999999</v>
      </c>
      <c r="I1013" s="1009">
        <v>15290210</v>
      </c>
      <c r="J1013" s="1007" t="s">
        <v>3722</v>
      </c>
      <c r="O1013" s="1007" t="s">
        <v>648</v>
      </c>
      <c r="P1013" s="1007" t="s">
        <v>648</v>
      </c>
      <c r="S1013" s="1008" t="s">
        <v>650</v>
      </c>
      <c r="T1013" s="1008" t="s">
        <v>654</v>
      </c>
      <c r="U1013" s="1008" t="s">
        <v>649</v>
      </c>
      <c r="V1013" s="1008" t="s">
        <v>648</v>
      </c>
      <c r="W1013" s="1008" t="s">
        <v>546</v>
      </c>
      <c r="X1013" s="1008" t="s">
        <v>670</v>
      </c>
      <c r="Y1013" s="1008" t="s">
        <v>670</v>
      </c>
      <c r="Z1013" s="1008"/>
      <c r="AA1013" s="1008"/>
      <c r="AB1013" s="1008"/>
      <c r="AC1013" s="1008"/>
      <c r="AD1013" s="1008"/>
      <c r="AE1013" s="1008"/>
      <c r="AF1013" s="1008" t="s">
        <v>670</v>
      </c>
      <c r="AG1013" s="1008"/>
      <c r="AH1013" s="1008"/>
      <c r="AI1013" s="1008"/>
    </row>
    <row r="1014" spans="1:35">
      <c r="A1014" s="1008">
        <v>26929</v>
      </c>
      <c r="B1014" s="1008">
        <v>5903</v>
      </c>
      <c r="C1014" s="1008">
        <v>9</v>
      </c>
      <c r="D1014" s="1009">
        <v>15290999</v>
      </c>
      <c r="E1014" s="1009">
        <v>15290212</v>
      </c>
      <c r="F1014" s="1007" t="s">
        <v>3721</v>
      </c>
      <c r="G1014" s="1007" t="s">
        <v>648</v>
      </c>
      <c r="H1014" s="1010">
        <v>99999999</v>
      </c>
      <c r="I1014" s="1009">
        <v>15290212</v>
      </c>
      <c r="J1014" s="1007" t="s">
        <v>3720</v>
      </c>
      <c r="O1014" s="1007" t="s">
        <v>648</v>
      </c>
      <c r="P1014" s="1007" t="s">
        <v>648</v>
      </c>
      <c r="S1014" s="1008" t="s">
        <v>650</v>
      </c>
      <c r="T1014" s="1008" t="s">
        <v>654</v>
      </c>
      <c r="U1014" s="1008" t="s">
        <v>649</v>
      </c>
      <c r="V1014" s="1008" t="s">
        <v>648</v>
      </c>
      <c r="W1014" s="1008" t="s">
        <v>546</v>
      </c>
      <c r="X1014" s="1008" t="s">
        <v>670</v>
      </c>
      <c r="Y1014" s="1008" t="s">
        <v>670</v>
      </c>
      <c r="Z1014" s="1008"/>
      <c r="AA1014" s="1008"/>
      <c r="AB1014" s="1008"/>
      <c r="AC1014" s="1008"/>
      <c r="AD1014" s="1008"/>
      <c r="AE1014" s="1008"/>
      <c r="AF1014" s="1008" t="s">
        <v>670</v>
      </c>
      <c r="AG1014" s="1008"/>
      <c r="AH1014" s="1008"/>
      <c r="AI1014" s="1008"/>
    </row>
    <row r="1015" spans="1:35">
      <c r="A1015" s="1008">
        <v>26930</v>
      </c>
      <c r="B1015" s="1008">
        <v>399</v>
      </c>
      <c r="C1015" s="1008">
        <v>9</v>
      </c>
      <c r="D1015" s="1009">
        <v>15290999</v>
      </c>
      <c r="E1015" s="1009">
        <v>15290214</v>
      </c>
      <c r="F1015" s="1007" t="s">
        <v>3719</v>
      </c>
      <c r="G1015" s="1007">
        <v>8</v>
      </c>
      <c r="H1015" s="1010">
        <v>99999999</v>
      </c>
      <c r="I1015" s="1009">
        <v>15290214</v>
      </c>
      <c r="J1015" s="1007" t="s">
        <v>3718</v>
      </c>
      <c r="O1015" s="1007" t="s">
        <v>648</v>
      </c>
      <c r="P1015" s="1007" t="s">
        <v>648</v>
      </c>
      <c r="S1015" s="1008" t="s">
        <v>650</v>
      </c>
      <c r="T1015" s="1008" t="s">
        <v>654</v>
      </c>
      <c r="U1015" s="1008" t="s">
        <v>649</v>
      </c>
      <c r="V1015" s="1008" t="s">
        <v>648</v>
      </c>
      <c r="W1015" s="1008" t="s">
        <v>546</v>
      </c>
      <c r="X1015" s="1008" t="s">
        <v>670</v>
      </c>
      <c r="Y1015" s="1008" t="s">
        <v>670</v>
      </c>
      <c r="Z1015" s="1008"/>
      <c r="AA1015" s="1008"/>
      <c r="AB1015" s="1008"/>
      <c r="AC1015" s="1008"/>
      <c r="AD1015" s="1008"/>
      <c r="AE1015" s="1008"/>
      <c r="AF1015" s="1008" t="s">
        <v>670</v>
      </c>
      <c r="AG1015" s="1008"/>
      <c r="AH1015" s="1008"/>
      <c r="AI1015" s="1008"/>
    </row>
    <row r="1016" spans="1:35">
      <c r="A1016" s="1008">
        <v>26931</v>
      </c>
      <c r="B1016" s="1008">
        <v>401</v>
      </c>
      <c r="C1016" s="1008">
        <v>9</v>
      </c>
      <c r="D1016" s="1009">
        <v>15290999</v>
      </c>
      <c r="E1016" s="1009">
        <v>15290216</v>
      </c>
      <c r="F1016" s="1007" t="s">
        <v>3717</v>
      </c>
      <c r="G1016" s="1007">
        <v>8</v>
      </c>
      <c r="H1016" s="1010">
        <v>99999999</v>
      </c>
      <c r="I1016" s="1009">
        <v>15290216</v>
      </c>
      <c r="J1016" s="1007" t="s">
        <v>3716</v>
      </c>
      <c r="O1016" s="1007" t="s">
        <v>648</v>
      </c>
      <c r="P1016" s="1007" t="s">
        <v>648</v>
      </c>
      <c r="S1016" s="1008" t="s">
        <v>650</v>
      </c>
      <c r="T1016" s="1008" t="s">
        <v>654</v>
      </c>
      <c r="U1016" s="1008" t="s">
        <v>649</v>
      </c>
      <c r="V1016" s="1008" t="s">
        <v>648</v>
      </c>
      <c r="W1016" s="1008" t="s">
        <v>546</v>
      </c>
      <c r="X1016" s="1008" t="s">
        <v>670</v>
      </c>
      <c r="Y1016" s="1008" t="s">
        <v>670</v>
      </c>
      <c r="Z1016" s="1008" t="s">
        <v>670</v>
      </c>
      <c r="AA1016" s="1008"/>
      <c r="AB1016" s="1008"/>
      <c r="AC1016" s="1008"/>
      <c r="AD1016" s="1008"/>
      <c r="AE1016" s="1008"/>
      <c r="AF1016" s="1008" t="s">
        <v>670</v>
      </c>
      <c r="AG1016" s="1008"/>
      <c r="AH1016" s="1008"/>
      <c r="AI1016" s="1008"/>
    </row>
    <row r="1017" spans="1:35">
      <c r="A1017" s="1008">
        <v>26932</v>
      </c>
      <c r="B1017" s="1008">
        <v>390</v>
      </c>
      <c r="C1017" s="1008">
        <v>9</v>
      </c>
      <c r="D1017" s="1009">
        <v>15290999</v>
      </c>
      <c r="E1017" s="1009">
        <v>15290220</v>
      </c>
      <c r="F1017" s="1007" t="s">
        <v>3715</v>
      </c>
      <c r="G1017" s="1007">
        <v>8</v>
      </c>
      <c r="H1017" s="1010">
        <v>99999999</v>
      </c>
      <c r="I1017" s="1009">
        <v>15290220</v>
      </c>
      <c r="J1017" s="1007" t="s">
        <v>3714</v>
      </c>
      <c r="O1017" s="1007" t="s">
        <v>648</v>
      </c>
      <c r="P1017" s="1007" t="s">
        <v>648</v>
      </c>
      <c r="S1017" s="1008" t="s">
        <v>650</v>
      </c>
      <c r="T1017" s="1008" t="s">
        <v>654</v>
      </c>
      <c r="U1017" s="1008" t="s">
        <v>649</v>
      </c>
      <c r="V1017" s="1008" t="s">
        <v>648</v>
      </c>
      <c r="W1017" s="1008" t="s">
        <v>546</v>
      </c>
      <c r="X1017" s="1008" t="s">
        <v>670</v>
      </c>
      <c r="Y1017" s="1008" t="s">
        <v>670</v>
      </c>
      <c r="Z1017" s="1008" t="s">
        <v>670</v>
      </c>
      <c r="AA1017" s="1008"/>
      <c r="AB1017" s="1008"/>
      <c r="AC1017" s="1008"/>
      <c r="AD1017" s="1008"/>
      <c r="AE1017" s="1008"/>
      <c r="AF1017" s="1008" t="s">
        <v>670</v>
      </c>
      <c r="AG1017" s="1008"/>
      <c r="AH1017" s="1008"/>
      <c r="AI1017" s="1008"/>
    </row>
    <row r="1018" spans="1:35">
      <c r="A1018" s="1008">
        <v>26933</v>
      </c>
      <c r="B1018" s="1008">
        <v>396</v>
      </c>
      <c r="C1018" s="1008">
        <v>9</v>
      </c>
      <c r="D1018" s="1009">
        <v>15290999</v>
      </c>
      <c r="E1018" s="1009">
        <v>15290222</v>
      </c>
      <c r="F1018" s="1007" t="s">
        <v>3713</v>
      </c>
      <c r="G1018" s="1007">
        <v>8</v>
      </c>
      <c r="H1018" s="1010">
        <v>99999999</v>
      </c>
      <c r="I1018" s="1009">
        <v>15290222</v>
      </c>
      <c r="J1018" s="1007" t="s">
        <v>3712</v>
      </c>
      <c r="O1018" s="1007" t="s">
        <v>648</v>
      </c>
      <c r="P1018" s="1007" t="s">
        <v>648</v>
      </c>
      <c r="S1018" s="1008" t="s">
        <v>650</v>
      </c>
      <c r="T1018" s="1008" t="s">
        <v>654</v>
      </c>
      <c r="U1018" s="1008" t="s">
        <v>649</v>
      </c>
      <c r="V1018" s="1008" t="s">
        <v>648</v>
      </c>
      <c r="W1018" s="1008" t="s">
        <v>546</v>
      </c>
      <c r="X1018" s="1008" t="s">
        <v>670</v>
      </c>
      <c r="Y1018" s="1008" t="s">
        <v>670</v>
      </c>
      <c r="Z1018" s="1008"/>
      <c r="AA1018" s="1008"/>
      <c r="AB1018" s="1008"/>
      <c r="AC1018" s="1008"/>
      <c r="AD1018" s="1008"/>
      <c r="AE1018" s="1008"/>
      <c r="AF1018" s="1008" t="s">
        <v>670</v>
      </c>
      <c r="AG1018" s="1008"/>
      <c r="AH1018" s="1008"/>
      <c r="AI1018" s="1008"/>
    </row>
    <row r="1019" spans="1:35">
      <c r="A1019" s="1008">
        <v>26934</v>
      </c>
      <c r="B1019" s="1008">
        <v>406</v>
      </c>
      <c r="C1019" s="1008">
        <v>9</v>
      </c>
      <c r="D1019" s="1009">
        <v>15290999</v>
      </c>
      <c r="E1019" s="1009">
        <v>15290224</v>
      </c>
      <c r="F1019" s="1007" t="s">
        <v>3711</v>
      </c>
      <c r="G1019" s="1007">
        <v>8</v>
      </c>
      <c r="H1019" s="1010">
        <v>99999999</v>
      </c>
      <c r="I1019" s="1009">
        <v>15290224</v>
      </c>
      <c r="J1019" s="1007" t="s">
        <v>3710</v>
      </c>
      <c r="O1019" s="1007" t="s">
        <v>648</v>
      </c>
      <c r="P1019" s="1007" t="s">
        <v>648</v>
      </c>
      <c r="S1019" s="1008" t="s">
        <v>650</v>
      </c>
      <c r="T1019" s="1008" t="s">
        <v>654</v>
      </c>
      <c r="U1019" s="1008" t="s">
        <v>649</v>
      </c>
      <c r="V1019" s="1008" t="s">
        <v>648</v>
      </c>
      <c r="W1019" s="1008" t="s">
        <v>546</v>
      </c>
      <c r="X1019" s="1008" t="s">
        <v>670</v>
      </c>
      <c r="Y1019" s="1008" t="s">
        <v>670</v>
      </c>
      <c r="Z1019" s="1008"/>
      <c r="AA1019" s="1008"/>
      <c r="AB1019" s="1008"/>
      <c r="AC1019" s="1008"/>
      <c r="AD1019" s="1008"/>
      <c r="AE1019" s="1008"/>
      <c r="AF1019" s="1008" t="s">
        <v>670</v>
      </c>
      <c r="AG1019" s="1008"/>
      <c r="AH1019" s="1008"/>
      <c r="AI1019" s="1008"/>
    </row>
    <row r="1020" spans="1:35">
      <c r="A1020" s="1008">
        <v>26935</v>
      </c>
      <c r="B1020" s="1008">
        <v>397</v>
      </c>
      <c r="C1020" s="1008">
        <v>9</v>
      </c>
      <c r="D1020" s="1009">
        <v>15290999</v>
      </c>
      <c r="E1020" s="1009">
        <v>15290230</v>
      </c>
      <c r="F1020" s="1007" t="s">
        <v>3709</v>
      </c>
      <c r="G1020" s="1007">
        <v>8</v>
      </c>
      <c r="H1020" s="1010">
        <v>99999999</v>
      </c>
      <c r="I1020" s="1009">
        <v>15290230</v>
      </c>
      <c r="J1020" s="1007" t="s">
        <v>3708</v>
      </c>
      <c r="O1020" s="1007" t="s">
        <v>648</v>
      </c>
      <c r="P1020" s="1007" t="s">
        <v>648</v>
      </c>
      <c r="S1020" s="1008" t="s">
        <v>650</v>
      </c>
      <c r="T1020" s="1008" t="s">
        <v>654</v>
      </c>
      <c r="U1020" s="1008" t="s">
        <v>649</v>
      </c>
      <c r="V1020" s="1008" t="s">
        <v>648</v>
      </c>
      <c r="W1020" s="1008" t="s">
        <v>546</v>
      </c>
      <c r="X1020" s="1008" t="s">
        <v>670</v>
      </c>
      <c r="Y1020" s="1008" t="s">
        <v>670</v>
      </c>
      <c r="Z1020" s="1008"/>
      <c r="AA1020" s="1008"/>
      <c r="AB1020" s="1008"/>
      <c r="AC1020" s="1008"/>
      <c r="AD1020" s="1008"/>
      <c r="AE1020" s="1008"/>
      <c r="AF1020" s="1008" t="s">
        <v>670</v>
      </c>
      <c r="AG1020" s="1008"/>
      <c r="AH1020" s="1008"/>
      <c r="AI1020" s="1008"/>
    </row>
    <row r="1021" spans="1:35">
      <c r="A1021" s="1008">
        <v>26936</v>
      </c>
      <c r="B1021" s="1008">
        <v>410</v>
      </c>
      <c r="C1021" s="1008">
        <v>9</v>
      </c>
      <c r="D1021" s="1009">
        <v>15290999</v>
      </c>
      <c r="E1021" s="1009">
        <v>15290231</v>
      </c>
      <c r="F1021" s="1007" t="s">
        <v>3707</v>
      </c>
      <c r="G1021" s="1007">
        <v>8</v>
      </c>
      <c r="H1021" s="1010">
        <v>99999999</v>
      </c>
      <c r="I1021" s="1009">
        <v>15290231</v>
      </c>
      <c r="J1021" s="1007" t="s">
        <v>3706</v>
      </c>
      <c r="O1021" s="1007" t="s">
        <v>648</v>
      </c>
      <c r="P1021" s="1007" t="s">
        <v>648</v>
      </c>
      <c r="S1021" s="1008" t="s">
        <v>650</v>
      </c>
      <c r="T1021" s="1008" t="s">
        <v>654</v>
      </c>
      <c r="U1021" s="1008" t="s">
        <v>649</v>
      </c>
      <c r="V1021" s="1008" t="s">
        <v>648</v>
      </c>
      <c r="W1021" s="1008" t="s">
        <v>546</v>
      </c>
      <c r="X1021" s="1008" t="s">
        <v>670</v>
      </c>
      <c r="Y1021" s="1008" t="s">
        <v>670</v>
      </c>
      <c r="Z1021" s="1008"/>
      <c r="AA1021" s="1008"/>
      <c r="AB1021" s="1008"/>
      <c r="AC1021" s="1008"/>
      <c r="AD1021" s="1008"/>
      <c r="AE1021" s="1008"/>
      <c r="AF1021" s="1008" t="s">
        <v>670</v>
      </c>
      <c r="AG1021" s="1008"/>
      <c r="AH1021" s="1008"/>
      <c r="AI1021" s="1008"/>
    </row>
    <row r="1022" spans="1:35">
      <c r="A1022" s="1008">
        <v>26937</v>
      </c>
      <c r="B1022" s="1008">
        <v>403</v>
      </c>
      <c r="C1022" s="1008">
        <v>9</v>
      </c>
      <c r="D1022" s="1009">
        <v>15290999</v>
      </c>
      <c r="E1022" s="1009">
        <v>15290233</v>
      </c>
      <c r="F1022" s="1007" t="s">
        <v>3705</v>
      </c>
      <c r="G1022" s="1007">
        <v>8</v>
      </c>
      <c r="H1022" s="1010">
        <v>99999999</v>
      </c>
      <c r="I1022" s="1009">
        <v>15290233</v>
      </c>
      <c r="J1022" s="1007" t="s">
        <v>3704</v>
      </c>
      <c r="O1022" s="1007" t="s">
        <v>648</v>
      </c>
      <c r="P1022" s="1007" t="s">
        <v>648</v>
      </c>
      <c r="S1022" s="1008" t="s">
        <v>650</v>
      </c>
      <c r="T1022" s="1008" t="s">
        <v>654</v>
      </c>
      <c r="U1022" s="1008" t="s">
        <v>649</v>
      </c>
      <c r="V1022" s="1008" t="s">
        <v>648</v>
      </c>
      <c r="W1022" s="1008" t="s">
        <v>546</v>
      </c>
      <c r="X1022" s="1008" t="s">
        <v>670</v>
      </c>
      <c r="Y1022" s="1008" t="s">
        <v>670</v>
      </c>
      <c r="Z1022" s="1008" t="s">
        <v>670</v>
      </c>
      <c r="AA1022" s="1008"/>
      <c r="AB1022" s="1008"/>
      <c r="AC1022" s="1008"/>
      <c r="AD1022" s="1008"/>
      <c r="AE1022" s="1008"/>
      <c r="AF1022" s="1008" t="s">
        <v>670</v>
      </c>
      <c r="AG1022" s="1008"/>
      <c r="AH1022" s="1008"/>
      <c r="AI1022" s="1008"/>
    </row>
    <row r="1023" spans="1:35">
      <c r="A1023" s="1008">
        <v>26938</v>
      </c>
      <c r="B1023" s="1008">
        <v>407</v>
      </c>
      <c r="C1023" s="1008">
        <v>9</v>
      </c>
      <c r="D1023" s="1009">
        <v>15290999</v>
      </c>
      <c r="E1023" s="1009">
        <v>15290236</v>
      </c>
      <c r="F1023" s="1007" t="s">
        <v>3703</v>
      </c>
      <c r="G1023" s="1007">
        <v>8</v>
      </c>
      <c r="H1023" s="1010">
        <v>99999999</v>
      </c>
      <c r="I1023" s="1009">
        <v>15290236</v>
      </c>
      <c r="J1023" s="1007" t="s">
        <v>3702</v>
      </c>
      <c r="O1023" s="1007" t="s">
        <v>648</v>
      </c>
      <c r="P1023" s="1007" t="s">
        <v>648</v>
      </c>
      <c r="S1023" s="1008" t="s">
        <v>650</v>
      </c>
      <c r="T1023" s="1008" t="s">
        <v>654</v>
      </c>
      <c r="U1023" s="1008" t="s">
        <v>649</v>
      </c>
      <c r="V1023" s="1008" t="s">
        <v>648</v>
      </c>
      <c r="W1023" s="1008" t="s">
        <v>546</v>
      </c>
      <c r="X1023" s="1008" t="s">
        <v>670</v>
      </c>
      <c r="Y1023" s="1008" t="s">
        <v>670</v>
      </c>
      <c r="Z1023" s="1008"/>
      <c r="AA1023" s="1008"/>
      <c r="AB1023" s="1008"/>
      <c r="AC1023" s="1008"/>
      <c r="AD1023" s="1008"/>
      <c r="AE1023" s="1008"/>
      <c r="AF1023" s="1008" t="s">
        <v>670</v>
      </c>
      <c r="AG1023" s="1008"/>
      <c r="AH1023" s="1008"/>
      <c r="AI1023" s="1008"/>
    </row>
    <row r="1024" spans="1:35">
      <c r="A1024" s="1008">
        <v>26939</v>
      </c>
      <c r="B1024" s="1008">
        <v>408</v>
      </c>
      <c r="C1024" s="1008">
        <v>9</v>
      </c>
      <c r="D1024" s="1009">
        <v>15290999</v>
      </c>
      <c r="E1024" s="1009">
        <v>15290238</v>
      </c>
      <c r="F1024" s="1007" t="s">
        <v>3701</v>
      </c>
      <c r="G1024" s="1007">
        <v>8</v>
      </c>
      <c r="H1024" s="1010">
        <v>99999999</v>
      </c>
      <c r="I1024" s="1009">
        <v>15290238</v>
      </c>
      <c r="J1024" s="1007" t="s">
        <v>3700</v>
      </c>
      <c r="O1024" s="1007" t="s">
        <v>648</v>
      </c>
      <c r="P1024" s="1007" t="s">
        <v>648</v>
      </c>
      <c r="S1024" s="1008" t="s">
        <v>650</v>
      </c>
      <c r="T1024" s="1008" t="s">
        <v>654</v>
      </c>
      <c r="U1024" s="1008" t="s">
        <v>649</v>
      </c>
      <c r="V1024" s="1008" t="s">
        <v>648</v>
      </c>
      <c r="W1024" s="1008" t="s">
        <v>546</v>
      </c>
      <c r="X1024" s="1008" t="s">
        <v>670</v>
      </c>
      <c r="Y1024" s="1008" t="s">
        <v>670</v>
      </c>
      <c r="Z1024" s="1008"/>
      <c r="AA1024" s="1008"/>
      <c r="AB1024" s="1008"/>
      <c r="AC1024" s="1008"/>
      <c r="AD1024" s="1008"/>
      <c r="AE1024" s="1008"/>
      <c r="AF1024" s="1008" t="s">
        <v>670</v>
      </c>
      <c r="AG1024" s="1008"/>
      <c r="AH1024" s="1008"/>
      <c r="AI1024" s="1008"/>
    </row>
    <row r="1025" spans="1:35">
      <c r="A1025" s="1008">
        <v>26940</v>
      </c>
      <c r="B1025" s="1008">
        <v>409</v>
      </c>
      <c r="C1025" s="1008">
        <v>9</v>
      </c>
      <c r="D1025" s="1009">
        <v>15290999</v>
      </c>
      <c r="E1025" s="1009">
        <v>15290240</v>
      </c>
      <c r="F1025" s="1007" t="s">
        <v>3699</v>
      </c>
      <c r="G1025" s="1007">
        <v>8</v>
      </c>
      <c r="H1025" s="1010">
        <v>99999999</v>
      </c>
      <c r="I1025" s="1009">
        <v>15290240</v>
      </c>
      <c r="J1025" s="1007" t="s">
        <v>3698</v>
      </c>
      <c r="O1025" s="1007" t="s">
        <v>648</v>
      </c>
      <c r="P1025" s="1007" t="s">
        <v>648</v>
      </c>
      <c r="S1025" s="1008" t="s">
        <v>650</v>
      </c>
      <c r="T1025" s="1008" t="s">
        <v>654</v>
      </c>
      <c r="U1025" s="1008" t="s">
        <v>649</v>
      </c>
      <c r="V1025" s="1008" t="s">
        <v>648</v>
      </c>
      <c r="W1025" s="1008" t="s">
        <v>546</v>
      </c>
      <c r="X1025" s="1008" t="s">
        <v>670</v>
      </c>
      <c r="Y1025" s="1008" t="s">
        <v>670</v>
      </c>
      <c r="Z1025" s="1008"/>
      <c r="AA1025" s="1008"/>
      <c r="AB1025" s="1008"/>
      <c r="AC1025" s="1008"/>
      <c r="AD1025" s="1008"/>
      <c r="AE1025" s="1008"/>
      <c r="AF1025" s="1008" t="s">
        <v>670</v>
      </c>
      <c r="AG1025" s="1008"/>
      <c r="AH1025" s="1008"/>
      <c r="AI1025" s="1008"/>
    </row>
    <row r="1026" spans="1:35">
      <c r="A1026" s="1008">
        <v>26941</v>
      </c>
      <c r="B1026" s="1008">
        <v>389</v>
      </c>
      <c r="C1026" s="1008">
        <v>9</v>
      </c>
      <c r="D1026" s="1009">
        <v>15290999</v>
      </c>
      <c r="E1026" s="1009">
        <v>15290242</v>
      </c>
      <c r="F1026" s="1007" t="s">
        <v>3697</v>
      </c>
      <c r="G1026" s="1007">
        <v>8</v>
      </c>
      <c r="H1026" s="1010">
        <v>99999999</v>
      </c>
      <c r="I1026" s="1009">
        <v>15290242</v>
      </c>
      <c r="J1026" s="1007" t="s">
        <v>3696</v>
      </c>
      <c r="O1026" s="1007" t="s">
        <v>648</v>
      </c>
      <c r="P1026" s="1007" t="s">
        <v>648</v>
      </c>
      <c r="S1026" s="1008" t="s">
        <v>650</v>
      </c>
      <c r="T1026" s="1008" t="s">
        <v>654</v>
      </c>
      <c r="U1026" s="1008" t="s">
        <v>649</v>
      </c>
      <c r="V1026" s="1008" t="s">
        <v>648</v>
      </c>
      <c r="W1026" s="1008" t="s">
        <v>546</v>
      </c>
      <c r="X1026" s="1008" t="s">
        <v>670</v>
      </c>
      <c r="Y1026" s="1008" t="s">
        <v>670</v>
      </c>
      <c r="Z1026" s="1008"/>
      <c r="AA1026" s="1008"/>
      <c r="AB1026" s="1008"/>
      <c r="AC1026" s="1008"/>
      <c r="AD1026" s="1008"/>
      <c r="AE1026" s="1008"/>
      <c r="AF1026" s="1008" t="s">
        <v>670</v>
      </c>
      <c r="AG1026" s="1008"/>
      <c r="AH1026" s="1008"/>
      <c r="AI1026" s="1008"/>
    </row>
    <row r="1027" spans="1:35">
      <c r="A1027" s="1008">
        <v>26942</v>
      </c>
      <c r="B1027" s="1008">
        <v>405</v>
      </c>
      <c r="C1027" s="1008">
        <v>9</v>
      </c>
      <c r="D1027" s="1009">
        <v>15290999</v>
      </c>
      <c r="E1027" s="1009">
        <v>15290244</v>
      </c>
      <c r="F1027" s="1007" t="s">
        <v>3695</v>
      </c>
      <c r="G1027" s="1007">
        <v>8</v>
      </c>
      <c r="H1027" s="1010">
        <v>99999999</v>
      </c>
      <c r="I1027" s="1009">
        <v>15290244</v>
      </c>
      <c r="J1027" s="1007" t="s">
        <v>3694</v>
      </c>
      <c r="O1027" s="1007" t="s">
        <v>648</v>
      </c>
      <c r="P1027" s="1007" t="s">
        <v>648</v>
      </c>
      <c r="S1027" s="1008" t="s">
        <v>650</v>
      </c>
      <c r="T1027" s="1008" t="s">
        <v>654</v>
      </c>
      <c r="U1027" s="1008" t="s">
        <v>649</v>
      </c>
      <c r="V1027" s="1008" t="s">
        <v>648</v>
      </c>
      <c r="W1027" s="1008" t="s">
        <v>546</v>
      </c>
      <c r="X1027" s="1008" t="s">
        <v>670</v>
      </c>
      <c r="Y1027" s="1008" t="s">
        <v>670</v>
      </c>
      <c r="Z1027" s="1008"/>
      <c r="AA1027" s="1008"/>
      <c r="AB1027" s="1008"/>
      <c r="AC1027" s="1008"/>
      <c r="AD1027" s="1008"/>
      <c r="AE1027" s="1008"/>
      <c r="AF1027" s="1008" t="s">
        <v>670</v>
      </c>
      <c r="AG1027" s="1008"/>
      <c r="AH1027" s="1008"/>
      <c r="AI1027" s="1008"/>
    </row>
    <row r="1028" spans="1:35">
      <c r="A1028" s="1008">
        <v>26943</v>
      </c>
      <c r="B1028" s="1008">
        <v>395</v>
      </c>
      <c r="C1028" s="1008">
        <v>9</v>
      </c>
      <c r="D1028" s="1009">
        <v>15290999</v>
      </c>
      <c r="E1028" s="1009">
        <v>15290246</v>
      </c>
      <c r="F1028" s="1007" t="s">
        <v>3693</v>
      </c>
      <c r="G1028" s="1007">
        <v>8</v>
      </c>
      <c r="H1028" s="1010">
        <v>99999999</v>
      </c>
      <c r="I1028" s="1009">
        <v>15290246</v>
      </c>
      <c r="J1028" s="1007" t="s">
        <v>3692</v>
      </c>
      <c r="O1028" s="1007" t="s">
        <v>648</v>
      </c>
      <c r="P1028" s="1007" t="s">
        <v>648</v>
      </c>
      <c r="S1028" s="1008" t="s">
        <v>650</v>
      </c>
      <c r="T1028" s="1008" t="s">
        <v>654</v>
      </c>
      <c r="U1028" s="1008" t="s">
        <v>649</v>
      </c>
      <c r="V1028" s="1008" t="s">
        <v>648</v>
      </c>
      <c r="W1028" s="1008" t="s">
        <v>546</v>
      </c>
      <c r="X1028" s="1008" t="s">
        <v>670</v>
      </c>
      <c r="Y1028" s="1008" t="s">
        <v>670</v>
      </c>
      <c r="Z1028" s="1008"/>
      <c r="AA1028" s="1008"/>
      <c r="AB1028" s="1008"/>
      <c r="AC1028" s="1008"/>
      <c r="AD1028" s="1008"/>
      <c r="AE1028" s="1008"/>
      <c r="AF1028" s="1008" t="s">
        <v>670</v>
      </c>
      <c r="AG1028" s="1008"/>
      <c r="AH1028" s="1008"/>
      <c r="AI1028" s="1008"/>
    </row>
    <row r="1029" spans="1:35">
      <c r="A1029" s="1008">
        <v>26944</v>
      </c>
      <c r="B1029" s="1008">
        <v>391</v>
      </c>
      <c r="C1029" s="1008">
        <v>9</v>
      </c>
      <c r="D1029" s="1009">
        <v>15290999</v>
      </c>
      <c r="E1029" s="1009">
        <v>15290247</v>
      </c>
      <c r="F1029" s="1007" t="s">
        <v>3691</v>
      </c>
      <c r="G1029" s="1007">
        <v>8</v>
      </c>
      <c r="H1029" s="1010">
        <v>99999999</v>
      </c>
      <c r="I1029" s="1009">
        <v>15290247</v>
      </c>
      <c r="J1029" s="1007" t="s">
        <v>3690</v>
      </c>
      <c r="O1029" s="1007" t="s">
        <v>648</v>
      </c>
      <c r="P1029" s="1007" t="s">
        <v>648</v>
      </c>
      <c r="S1029" s="1008" t="s">
        <v>650</v>
      </c>
      <c r="T1029" s="1008" t="s">
        <v>654</v>
      </c>
      <c r="U1029" s="1008" t="s">
        <v>649</v>
      </c>
      <c r="V1029" s="1008" t="s">
        <v>648</v>
      </c>
      <c r="W1029" s="1008" t="s">
        <v>546</v>
      </c>
      <c r="X1029" s="1008" t="s">
        <v>670</v>
      </c>
      <c r="Y1029" s="1008" t="s">
        <v>670</v>
      </c>
      <c r="Z1029" s="1008"/>
      <c r="AA1029" s="1008"/>
      <c r="AB1029" s="1008"/>
      <c r="AC1029" s="1008"/>
      <c r="AD1029" s="1008"/>
      <c r="AE1029" s="1008"/>
      <c r="AF1029" s="1008" t="s">
        <v>670</v>
      </c>
      <c r="AG1029" s="1008"/>
      <c r="AH1029" s="1008"/>
      <c r="AI1029" s="1008"/>
    </row>
    <row r="1030" spans="1:35">
      <c r="A1030" s="1008">
        <v>26945</v>
      </c>
      <c r="B1030" s="1008">
        <v>393</v>
      </c>
      <c r="C1030" s="1008">
        <v>9</v>
      </c>
      <c r="D1030" s="1009">
        <v>15290999</v>
      </c>
      <c r="E1030" s="1009">
        <v>15290249</v>
      </c>
      <c r="F1030" s="1007" t="s">
        <v>3689</v>
      </c>
      <c r="G1030" s="1007">
        <v>8</v>
      </c>
      <c r="H1030" s="1010">
        <v>99999999</v>
      </c>
      <c r="I1030" s="1009">
        <v>15290249</v>
      </c>
      <c r="J1030" s="1007" t="s">
        <v>3688</v>
      </c>
      <c r="O1030" s="1007" t="s">
        <v>648</v>
      </c>
      <c r="P1030" s="1007" t="s">
        <v>648</v>
      </c>
      <c r="S1030" s="1008" t="s">
        <v>650</v>
      </c>
      <c r="T1030" s="1008" t="s">
        <v>654</v>
      </c>
      <c r="U1030" s="1008" t="s">
        <v>649</v>
      </c>
      <c r="V1030" s="1008" t="s">
        <v>648</v>
      </c>
      <c r="W1030" s="1008" t="s">
        <v>546</v>
      </c>
      <c r="X1030" s="1008" t="s">
        <v>670</v>
      </c>
      <c r="Y1030" s="1008" t="s">
        <v>670</v>
      </c>
      <c r="Z1030" s="1008"/>
      <c r="AA1030" s="1008"/>
      <c r="AB1030" s="1008"/>
      <c r="AC1030" s="1008"/>
      <c r="AD1030" s="1008"/>
      <c r="AE1030" s="1008"/>
      <c r="AF1030" s="1008" t="s">
        <v>670</v>
      </c>
      <c r="AG1030" s="1008"/>
      <c r="AH1030" s="1008"/>
      <c r="AI1030" s="1008"/>
    </row>
    <row r="1031" spans="1:35">
      <c r="A1031" s="1008">
        <v>26946</v>
      </c>
      <c r="B1031" s="1008">
        <v>398</v>
      </c>
      <c r="C1031" s="1008">
        <v>9</v>
      </c>
      <c r="D1031" s="1009">
        <v>15290999</v>
      </c>
      <c r="E1031" s="1009">
        <v>15290251</v>
      </c>
      <c r="F1031" s="1007" t="s">
        <v>3687</v>
      </c>
      <c r="G1031" s="1007">
        <v>8</v>
      </c>
      <c r="H1031" s="1010">
        <v>99999999</v>
      </c>
      <c r="I1031" s="1009">
        <v>15290251</v>
      </c>
      <c r="J1031" s="1007" t="s">
        <v>3686</v>
      </c>
      <c r="O1031" s="1007" t="s">
        <v>648</v>
      </c>
      <c r="P1031" s="1007" t="s">
        <v>648</v>
      </c>
      <c r="S1031" s="1008" t="s">
        <v>650</v>
      </c>
      <c r="T1031" s="1008" t="s">
        <v>654</v>
      </c>
      <c r="U1031" s="1008" t="s">
        <v>649</v>
      </c>
      <c r="V1031" s="1008" t="s">
        <v>648</v>
      </c>
      <c r="W1031" s="1008" t="s">
        <v>546</v>
      </c>
      <c r="X1031" s="1008" t="s">
        <v>670</v>
      </c>
      <c r="Y1031" s="1008" t="s">
        <v>670</v>
      </c>
      <c r="Z1031" s="1008"/>
      <c r="AA1031" s="1008"/>
      <c r="AB1031" s="1008"/>
      <c r="AC1031" s="1008"/>
      <c r="AD1031" s="1008"/>
      <c r="AE1031" s="1008"/>
      <c r="AF1031" s="1008" t="s">
        <v>670</v>
      </c>
      <c r="AG1031" s="1008"/>
      <c r="AH1031" s="1008"/>
      <c r="AI1031" s="1008"/>
    </row>
    <row r="1032" spans="1:35">
      <c r="A1032" s="1008">
        <v>26947</v>
      </c>
      <c r="B1032" s="1008">
        <v>400</v>
      </c>
      <c r="C1032" s="1008">
        <v>9</v>
      </c>
      <c r="D1032" s="1009">
        <v>15290999</v>
      </c>
      <c r="E1032" s="1009">
        <v>15290264</v>
      </c>
      <c r="F1032" s="1007" t="s">
        <v>3685</v>
      </c>
      <c r="G1032" s="1007">
        <v>8</v>
      </c>
      <c r="H1032" s="1010">
        <v>99999999</v>
      </c>
      <c r="I1032" s="1009">
        <v>15290264</v>
      </c>
      <c r="J1032" s="1007" t="s">
        <v>3684</v>
      </c>
      <c r="O1032" s="1007" t="s">
        <v>648</v>
      </c>
      <c r="P1032" s="1007" t="s">
        <v>648</v>
      </c>
      <c r="S1032" s="1008" t="s">
        <v>650</v>
      </c>
      <c r="T1032" s="1008" t="s">
        <v>654</v>
      </c>
      <c r="U1032" s="1008" t="s">
        <v>649</v>
      </c>
      <c r="V1032" s="1008" t="s">
        <v>648</v>
      </c>
      <c r="W1032" s="1008" t="s">
        <v>546</v>
      </c>
      <c r="X1032" s="1008" t="s">
        <v>670</v>
      </c>
      <c r="Y1032" s="1008" t="s">
        <v>670</v>
      </c>
      <c r="Z1032" s="1008"/>
      <c r="AA1032" s="1008"/>
      <c r="AB1032" s="1008"/>
      <c r="AC1032" s="1008"/>
      <c r="AD1032" s="1008"/>
      <c r="AE1032" s="1008"/>
      <c r="AF1032" s="1008" t="s">
        <v>670</v>
      </c>
      <c r="AG1032" s="1008"/>
      <c r="AH1032" s="1008"/>
      <c r="AI1032" s="1008"/>
    </row>
    <row r="1033" spans="1:35">
      <c r="A1033" s="1008">
        <v>26948</v>
      </c>
      <c r="B1033" s="1008">
        <v>402</v>
      </c>
      <c r="C1033" s="1008">
        <v>9</v>
      </c>
      <c r="D1033" s="1009">
        <v>15290999</v>
      </c>
      <c r="E1033" s="1009">
        <v>15290266</v>
      </c>
      <c r="F1033" s="1007" t="s">
        <v>3683</v>
      </c>
      <c r="G1033" s="1007">
        <v>8</v>
      </c>
      <c r="H1033" s="1010">
        <v>99999999</v>
      </c>
      <c r="I1033" s="1009">
        <v>15290266</v>
      </c>
      <c r="J1033" s="1007" t="s">
        <v>3682</v>
      </c>
      <c r="O1033" s="1007" t="s">
        <v>648</v>
      </c>
      <c r="P1033" s="1007" t="s">
        <v>648</v>
      </c>
      <c r="S1033" s="1008" t="s">
        <v>650</v>
      </c>
      <c r="T1033" s="1008" t="s">
        <v>654</v>
      </c>
      <c r="U1033" s="1008" t="s">
        <v>649</v>
      </c>
      <c r="V1033" s="1008" t="s">
        <v>648</v>
      </c>
      <c r="W1033" s="1008" t="s">
        <v>546</v>
      </c>
      <c r="X1033" s="1008" t="s">
        <v>670</v>
      </c>
      <c r="Y1033" s="1008" t="s">
        <v>670</v>
      </c>
      <c r="Z1033" s="1008"/>
      <c r="AA1033" s="1008"/>
      <c r="AB1033" s="1008"/>
      <c r="AC1033" s="1008"/>
      <c r="AD1033" s="1008"/>
      <c r="AE1033" s="1008"/>
      <c r="AF1033" s="1008" t="s">
        <v>670</v>
      </c>
      <c r="AG1033" s="1008"/>
      <c r="AH1033" s="1008"/>
      <c r="AI1033" s="1008"/>
    </row>
    <row r="1034" spans="1:35">
      <c r="A1034" s="1008">
        <v>26949</v>
      </c>
      <c r="B1034" s="1008">
        <v>5904</v>
      </c>
      <c r="C1034" s="1008">
        <v>9</v>
      </c>
      <c r="D1034" s="1009">
        <v>15290999</v>
      </c>
      <c r="E1034" s="1009">
        <v>15290290</v>
      </c>
      <c r="F1034" s="1007" t="s">
        <v>3681</v>
      </c>
      <c r="G1034" s="1007" t="s">
        <v>648</v>
      </c>
      <c r="H1034" s="1010">
        <v>99999999</v>
      </c>
      <c r="I1034" s="1009">
        <v>15290290</v>
      </c>
      <c r="J1034" s="1007" t="s">
        <v>3680</v>
      </c>
      <c r="O1034" s="1007" t="s">
        <v>648</v>
      </c>
      <c r="P1034" s="1007" t="s">
        <v>648</v>
      </c>
      <c r="S1034" s="1008" t="s">
        <v>650</v>
      </c>
      <c r="T1034" s="1008" t="s">
        <v>654</v>
      </c>
      <c r="U1034" s="1008" t="s">
        <v>649</v>
      </c>
      <c r="V1034" s="1008" t="s">
        <v>648</v>
      </c>
      <c r="W1034" s="1008" t="s">
        <v>546</v>
      </c>
      <c r="X1034" s="1008" t="s">
        <v>670</v>
      </c>
      <c r="Y1034" s="1008" t="s">
        <v>670</v>
      </c>
      <c r="Z1034" s="1008"/>
      <c r="AA1034" s="1008"/>
      <c r="AB1034" s="1008"/>
      <c r="AC1034" s="1008"/>
      <c r="AD1034" s="1008"/>
      <c r="AE1034" s="1008"/>
      <c r="AF1034" s="1008" t="s">
        <v>670</v>
      </c>
      <c r="AG1034" s="1008"/>
      <c r="AH1034" s="1008"/>
      <c r="AI1034" s="1008"/>
    </row>
    <row r="1035" spans="1:35">
      <c r="A1035" s="1008">
        <v>26950</v>
      </c>
      <c r="B1035" s="1008">
        <v>411</v>
      </c>
      <c r="C1035" s="1008">
        <v>9</v>
      </c>
      <c r="D1035" s="1009">
        <v>15290999</v>
      </c>
      <c r="E1035" s="1009">
        <v>15290299</v>
      </c>
      <c r="F1035" s="1007" t="s">
        <v>3679</v>
      </c>
      <c r="G1035" s="1007">
        <v>8</v>
      </c>
      <c r="H1035" s="1010">
        <v>99999999</v>
      </c>
      <c r="I1035" s="1009">
        <v>15290299</v>
      </c>
      <c r="J1035" s="1007" t="s">
        <v>3678</v>
      </c>
      <c r="O1035" s="1007" t="s">
        <v>648</v>
      </c>
      <c r="P1035" s="1007" t="s">
        <v>648</v>
      </c>
      <c r="S1035" s="1008" t="s">
        <v>650</v>
      </c>
      <c r="T1035" s="1008" t="s">
        <v>654</v>
      </c>
      <c r="U1035" s="1008" t="s">
        <v>649</v>
      </c>
      <c r="V1035" s="1008" t="s">
        <v>648</v>
      </c>
      <c r="W1035" s="1008" t="s">
        <v>546</v>
      </c>
      <c r="X1035" s="1008" t="s">
        <v>670</v>
      </c>
      <c r="Y1035" s="1008" t="s">
        <v>670</v>
      </c>
      <c r="Z1035" s="1008"/>
      <c r="AA1035" s="1008"/>
      <c r="AB1035" s="1008"/>
      <c r="AC1035" s="1008"/>
      <c r="AD1035" s="1008"/>
      <c r="AE1035" s="1008"/>
      <c r="AF1035" s="1008" t="s">
        <v>670</v>
      </c>
      <c r="AG1035" s="1008"/>
      <c r="AH1035" s="1008"/>
      <c r="AI1035" s="1008"/>
    </row>
    <row r="1036" spans="1:35">
      <c r="A1036" s="1008">
        <v>26696</v>
      </c>
      <c r="B1036" s="1008">
        <v>5891</v>
      </c>
      <c r="C1036" s="1008">
        <v>9</v>
      </c>
      <c r="D1036" s="1009">
        <v>15290999</v>
      </c>
      <c r="E1036" s="1009">
        <v>15290700</v>
      </c>
      <c r="F1036" s="1007" t="s">
        <v>3677</v>
      </c>
      <c r="G1036" s="1007">
        <v>8</v>
      </c>
      <c r="H1036" s="1010">
        <v>99999999</v>
      </c>
      <c r="I1036" s="1009">
        <v>15290700</v>
      </c>
      <c r="J1036" s="1007" t="s">
        <v>3676</v>
      </c>
      <c r="O1036" s="1007" t="s">
        <v>648</v>
      </c>
      <c r="P1036" s="1007" t="s">
        <v>648</v>
      </c>
      <c r="S1036" s="1008" t="s">
        <v>650</v>
      </c>
      <c r="T1036" s="1008" t="s">
        <v>654</v>
      </c>
      <c r="U1036" s="1008" t="s">
        <v>649</v>
      </c>
      <c r="V1036" s="1008" t="s">
        <v>648</v>
      </c>
      <c r="W1036" s="1008" t="s">
        <v>546</v>
      </c>
      <c r="X1036" s="1008" t="s">
        <v>670</v>
      </c>
      <c r="Y1036" s="1008" t="s">
        <v>670</v>
      </c>
      <c r="Z1036" s="1008"/>
      <c r="AA1036" s="1008"/>
      <c r="AB1036" s="1008"/>
      <c r="AC1036" s="1008"/>
      <c r="AD1036" s="1008"/>
      <c r="AE1036" s="1008"/>
      <c r="AF1036" s="1008" t="s">
        <v>670</v>
      </c>
      <c r="AG1036" s="1008"/>
      <c r="AH1036" s="1008"/>
      <c r="AI1036" s="1008"/>
    </row>
    <row r="1037" spans="1:35">
      <c r="A1037" s="1008">
        <v>26951</v>
      </c>
      <c r="B1037" s="1008">
        <v>412</v>
      </c>
      <c r="C1037" s="1008">
        <v>9</v>
      </c>
      <c r="D1037" s="1009">
        <v>15290999</v>
      </c>
      <c r="E1037" s="1009">
        <v>15290900</v>
      </c>
      <c r="F1037" s="1007" t="s">
        <v>3675</v>
      </c>
      <c r="G1037" s="1007">
        <v>8</v>
      </c>
      <c r="H1037" s="1010">
        <v>99999999</v>
      </c>
      <c r="I1037" s="1009">
        <v>15290900</v>
      </c>
      <c r="J1037" s="1007" t="s">
        <v>3674</v>
      </c>
      <c r="O1037" s="1007" t="s">
        <v>648</v>
      </c>
      <c r="P1037" s="1007" t="s">
        <v>648</v>
      </c>
      <c r="S1037" s="1008" t="s">
        <v>650</v>
      </c>
      <c r="T1037" s="1008" t="s">
        <v>654</v>
      </c>
      <c r="U1037" s="1008" t="s">
        <v>649</v>
      </c>
      <c r="V1037" s="1008" t="s">
        <v>648</v>
      </c>
      <c r="W1037" s="1008" t="s">
        <v>546</v>
      </c>
      <c r="X1037" s="1008" t="s">
        <v>670</v>
      </c>
      <c r="Y1037" s="1008" t="s">
        <v>670</v>
      </c>
      <c r="Z1037" s="1008"/>
      <c r="AA1037" s="1008"/>
      <c r="AB1037" s="1008"/>
      <c r="AC1037" s="1008"/>
      <c r="AD1037" s="1008"/>
      <c r="AE1037" s="1008"/>
      <c r="AF1037" s="1008" t="s">
        <v>670</v>
      </c>
      <c r="AG1037" s="1008"/>
      <c r="AH1037" s="1008"/>
      <c r="AI1037" s="1008"/>
    </row>
    <row r="1038" spans="1:35">
      <c r="A1038" s="1008">
        <v>26952</v>
      </c>
      <c r="C1038" s="1008">
        <v>8</v>
      </c>
      <c r="D1038" s="1009">
        <v>15399999</v>
      </c>
      <c r="E1038" s="1009">
        <v>15290999</v>
      </c>
      <c r="F1038" s="1007" t="s">
        <v>3673</v>
      </c>
      <c r="O1038" s="1007" t="s">
        <v>648</v>
      </c>
      <c r="P1038" s="1007" t="s">
        <v>648</v>
      </c>
      <c r="S1038" s="1008" t="s">
        <v>650</v>
      </c>
      <c r="T1038" s="1008" t="s">
        <v>21</v>
      </c>
      <c r="U1038" s="1008" t="s">
        <v>649</v>
      </c>
      <c r="V1038" s="1008" t="s">
        <v>648</v>
      </c>
      <c r="W1038" s="1008" t="s">
        <v>546</v>
      </c>
      <c r="X1038" s="1008"/>
      <c r="Y1038" s="1008"/>
      <c r="Z1038" s="1008"/>
      <c r="AA1038" s="1008"/>
      <c r="AB1038" s="1008"/>
      <c r="AC1038" s="1008"/>
      <c r="AD1038" s="1008"/>
      <c r="AE1038" s="1008"/>
      <c r="AF1038" s="1008"/>
      <c r="AG1038" s="1008"/>
      <c r="AH1038" s="1008"/>
      <c r="AI1038" s="1008"/>
    </row>
    <row r="1039" spans="1:35">
      <c r="A1039" s="1008">
        <v>26953</v>
      </c>
      <c r="C1039" s="1008">
        <v>8</v>
      </c>
      <c r="D1039" s="1009">
        <v>15295999</v>
      </c>
      <c r="E1039" s="1009">
        <v>15295000</v>
      </c>
      <c r="F1039" s="1007" t="s">
        <v>3672</v>
      </c>
      <c r="O1039" s="1007" t="s">
        <v>648</v>
      </c>
      <c r="P1039" s="1007" t="s">
        <v>648</v>
      </c>
      <c r="S1039" s="1008" t="s">
        <v>650</v>
      </c>
      <c r="T1039" s="1008" t="s">
        <v>675</v>
      </c>
      <c r="U1039" s="1008" t="s">
        <v>649</v>
      </c>
      <c r="V1039" s="1008" t="s">
        <v>648</v>
      </c>
      <c r="W1039" s="1008" t="s">
        <v>546</v>
      </c>
      <c r="X1039" s="1008"/>
      <c r="Y1039" s="1008"/>
      <c r="Z1039" s="1008"/>
      <c r="AA1039" s="1008"/>
      <c r="AB1039" s="1008"/>
      <c r="AC1039" s="1008"/>
      <c r="AD1039" s="1008"/>
      <c r="AE1039" s="1008"/>
      <c r="AF1039" s="1008"/>
      <c r="AG1039" s="1008"/>
      <c r="AH1039" s="1008"/>
      <c r="AI1039" s="1008"/>
    </row>
    <row r="1040" spans="1:35">
      <c r="A1040" s="1008">
        <v>26674</v>
      </c>
      <c r="B1040" s="1008">
        <v>5885</v>
      </c>
      <c r="C1040" s="1008">
        <v>9</v>
      </c>
      <c r="D1040" s="1009">
        <v>15295999</v>
      </c>
      <c r="E1040" s="1009">
        <v>15295200</v>
      </c>
      <c r="F1040" s="1007" t="s">
        <v>3671</v>
      </c>
      <c r="G1040" s="1007">
        <v>8</v>
      </c>
      <c r="H1040" s="1010">
        <v>99999999</v>
      </c>
      <c r="I1040" s="1009">
        <v>15295200</v>
      </c>
      <c r="J1040" s="1007" t="s">
        <v>3670</v>
      </c>
      <c r="O1040" s="1007" t="s">
        <v>648</v>
      </c>
      <c r="P1040" s="1007" t="s">
        <v>648</v>
      </c>
      <c r="S1040" s="1008" t="s">
        <v>650</v>
      </c>
      <c r="T1040" s="1008" t="s">
        <v>654</v>
      </c>
      <c r="U1040" s="1008" t="s">
        <v>649</v>
      </c>
      <c r="V1040" s="1008" t="s">
        <v>648</v>
      </c>
      <c r="W1040" s="1008" t="s">
        <v>546</v>
      </c>
      <c r="X1040" s="1008" t="s">
        <v>670</v>
      </c>
      <c r="Y1040" s="1008" t="s">
        <v>670</v>
      </c>
      <c r="Z1040" s="1008" t="s">
        <v>670</v>
      </c>
      <c r="AA1040" s="1008"/>
      <c r="AB1040" s="1008" t="s">
        <v>670</v>
      </c>
      <c r="AC1040" s="1008"/>
      <c r="AD1040" s="1008"/>
      <c r="AE1040" s="1008"/>
      <c r="AF1040" s="1008" t="s">
        <v>670</v>
      </c>
      <c r="AG1040" s="1008"/>
      <c r="AH1040" s="1008"/>
      <c r="AI1040" s="1008"/>
    </row>
    <row r="1041" spans="1:35">
      <c r="A1041" s="1008">
        <v>26954</v>
      </c>
      <c r="B1041" s="1008">
        <v>362</v>
      </c>
      <c r="C1041" s="1008">
        <v>9</v>
      </c>
      <c r="D1041" s="1009">
        <v>15295999</v>
      </c>
      <c r="E1041" s="1009">
        <v>15295205</v>
      </c>
      <c r="F1041" s="1007" t="s">
        <v>3669</v>
      </c>
      <c r="G1041" s="1007">
        <v>8</v>
      </c>
      <c r="H1041" s="1010">
        <v>99999999</v>
      </c>
      <c r="I1041" s="1009">
        <v>15295205</v>
      </c>
      <c r="J1041" s="1007" t="s">
        <v>3668</v>
      </c>
      <c r="O1041" s="1007" t="s">
        <v>648</v>
      </c>
      <c r="P1041" s="1007" t="s">
        <v>648</v>
      </c>
      <c r="S1041" s="1008" t="s">
        <v>650</v>
      </c>
      <c r="T1041" s="1008" t="s">
        <v>654</v>
      </c>
      <c r="U1041" s="1008" t="s">
        <v>649</v>
      </c>
      <c r="V1041" s="1008" t="s">
        <v>648</v>
      </c>
      <c r="W1041" s="1008" t="s">
        <v>546</v>
      </c>
      <c r="X1041" s="1008" t="s">
        <v>670</v>
      </c>
      <c r="Y1041" s="1008" t="s">
        <v>670</v>
      </c>
      <c r="Z1041" s="1008" t="s">
        <v>670</v>
      </c>
      <c r="AA1041" s="1008"/>
      <c r="AB1041" s="1008" t="s">
        <v>670</v>
      </c>
      <c r="AC1041" s="1008"/>
      <c r="AD1041" s="1008"/>
      <c r="AE1041" s="1008"/>
      <c r="AF1041" s="1008" t="s">
        <v>670</v>
      </c>
      <c r="AG1041" s="1008"/>
      <c r="AH1041" s="1008"/>
      <c r="AI1041" s="1008"/>
    </row>
    <row r="1042" spans="1:35">
      <c r="A1042" s="1008">
        <v>27329</v>
      </c>
      <c r="B1042" s="1008">
        <v>6242</v>
      </c>
      <c r="C1042" s="1008">
        <v>9</v>
      </c>
      <c r="D1042" s="1009">
        <v>15295999</v>
      </c>
      <c r="E1042" s="1009">
        <v>15295700</v>
      </c>
      <c r="F1042" s="1007" t="s">
        <v>3667</v>
      </c>
      <c r="G1042" s="1007">
        <v>8</v>
      </c>
      <c r="H1042" s="1010">
        <v>99999999</v>
      </c>
      <c r="I1042" s="1009">
        <v>15295700</v>
      </c>
      <c r="J1042" s="1007" t="s">
        <v>3667</v>
      </c>
      <c r="O1042" s="1007" t="s">
        <v>648</v>
      </c>
      <c r="P1042" s="1007" t="s">
        <v>648</v>
      </c>
      <c r="S1042" s="1008" t="s">
        <v>650</v>
      </c>
      <c r="T1042" s="1008" t="s">
        <v>654</v>
      </c>
      <c r="U1042" s="1008" t="s">
        <v>649</v>
      </c>
      <c r="V1042" s="1008" t="s">
        <v>648</v>
      </c>
      <c r="W1042" s="1008" t="s">
        <v>546</v>
      </c>
      <c r="X1042" s="1008" t="s">
        <v>670</v>
      </c>
      <c r="Y1042" s="1008" t="s">
        <v>670</v>
      </c>
      <c r="Z1042" s="1008" t="s">
        <v>670</v>
      </c>
      <c r="AA1042" s="1008"/>
      <c r="AB1042" s="1008" t="s">
        <v>670</v>
      </c>
      <c r="AC1042" s="1008"/>
      <c r="AD1042" s="1008"/>
      <c r="AE1042" s="1008"/>
      <c r="AF1042" s="1008" t="s">
        <v>670</v>
      </c>
      <c r="AG1042" s="1008"/>
      <c r="AH1042" s="1008"/>
      <c r="AI1042" s="1008"/>
    </row>
    <row r="1043" spans="1:35">
      <c r="A1043" s="1008">
        <v>26955</v>
      </c>
      <c r="C1043" s="1008">
        <v>8</v>
      </c>
      <c r="D1043" s="1009">
        <v>15399999</v>
      </c>
      <c r="E1043" s="1009">
        <v>15295999</v>
      </c>
      <c r="F1043" s="1007" t="s">
        <v>3666</v>
      </c>
      <c r="O1043" s="1007" t="s">
        <v>648</v>
      </c>
      <c r="P1043" s="1007" t="s">
        <v>648</v>
      </c>
      <c r="S1043" s="1008" t="s">
        <v>650</v>
      </c>
      <c r="T1043" s="1008" t="s">
        <v>21</v>
      </c>
      <c r="U1043" s="1008" t="s">
        <v>649</v>
      </c>
      <c r="V1043" s="1008" t="s">
        <v>648</v>
      </c>
      <c r="W1043" s="1008" t="s">
        <v>546</v>
      </c>
      <c r="X1043" s="1008"/>
      <c r="Y1043" s="1008"/>
      <c r="Z1043" s="1008"/>
      <c r="AA1043" s="1008"/>
      <c r="AB1043" s="1008"/>
      <c r="AC1043" s="1008"/>
      <c r="AD1043" s="1008"/>
      <c r="AE1043" s="1008"/>
      <c r="AF1043" s="1008"/>
      <c r="AG1043" s="1008"/>
      <c r="AH1043" s="1008"/>
      <c r="AI1043" s="1008"/>
    </row>
    <row r="1044" spans="1:35">
      <c r="A1044" s="1008">
        <v>26956</v>
      </c>
      <c r="C1044" s="1008">
        <v>8</v>
      </c>
      <c r="D1044" s="1009">
        <v>15300999</v>
      </c>
      <c r="E1044" s="1009">
        <v>15300000</v>
      </c>
      <c r="F1044" s="1007" t="s">
        <v>3665</v>
      </c>
      <c r="O1044" s="1007" t="s">
        <v>648</v>
      </c>
      <c r="P1044" s="1007" t="s">
        <v>648</v>
      </c>
      <c r="S1044" s="1008" t="s">
        <v>650</v>
      </c>
      <c r="T1044" s="1008" t="s">
        <v>675</v>
      </c>
      <c r="U1044" s="1008" t="s">
        <v>649</v>
      </c>
      <c r="V1044" s="1008" t="s">
        <v>648</v>
      </c>
      <c r="W1044" s="1008" t="s">
        <v>546</v>
      </c>
      <c r="X1044" s="1008"/>
      <c r="Y1044" s="1008"/>
      <c r="Z1044" s="1008"/>
      <c r="AA1044" s="1008"/>
      <c r="AB1044" s="1008"/>
      <c r="AC1044" s="1008"/>
      <c r="AD1044" s="1008"/>
      <c r="AE1044" s="1008"/>
      <c r="AF1044" s="1008"/>
      <c r="AG1044" s="1008"/>
      <c r="AH1044" s="1008"/>
      <c r="AI1044" s="1008"/>
    </row>
    <row r="1045" spans="1:35">
      <c r="A1045" s="1008">
        <v>26675</v>
      </c>
      <c r="B1045" s="1008">
        <v>89</v>
      </c>
      <c r="C1045" s="1008">
        <v>9</v>
      </c>
      <c r="D1045" s="1009">
        <v>15300999</v>
      </c>
      <c r="E1045" s="1009">
        <v>15300200</v>
      </c>
      <c r="F1045" s="1007" t="s">
        <v>3664</v>
      </c>
      <c r="G1045" s="1007">
        <v>8</v>
      </c>
      <c r="H1045" s="1010">
        <v>99999999</v>
      </c>
      <c r="I1045" s="1009">
        <v>15300200</v>
      </c>
      <c r="J1045" s="1007" t="s">
        <v>3663</v>
      </c>
      <c r="O1045" s="1007" t="s">
        <v>648</v>
      </c>
      <c r="P1045" s="1007" t="s">
        <v>648</v>
      </c>
      <c r="S1045" s="1008" t="s">
        <v>650</v>
      </c>
      <c r="T1045" s="1008" t="s">
        <v>654</v>
      </c>
      <c r="U1045" s="1008" t="s">
        <v>649</v>
      </c>
      <c r="V1045" s="1008" t="s">
        <v>648</v>
      </c>
      <c r="W1045" s="1008" t="s">
        <v>546</v>
      </c>
      <c r="X1045" s="1008" t="s">
        <v>670</v>
      </c>
      <c r="Y1045" s="1008" t="s">
        <v>670</v>
      </c>
      <c r="Z1045" s="1008"/>
      <c r="AA1045" s="1008"/>
      <c r="AB1045" s="1008"/>
      <c r="AC1045" s="1008"/>
      <c r="AD1045" s="1008"/>
      <c r="AE1045" s="1008"/>
      <c r="AF1045" s="1008" t="s">
        <v>670</v>
      </c>
      <c r="AG1045" s="1008"/>
      <c r="AH1045" s="1008"/>
      <c r="AI1045" s="1008"/>
    </row>
    <row r="1046" spans="1:35">
      <c r="A1046" s="1008">
        <v>26957</v>
      </c>
      <c r="B1046" s="1008">
        <v>90</v>
      </c>
      <c r="C1046" s="1008">
        <v>9</v>
      </c>
      <c r="D1046" s="1009">
        <v>15300999</v>
      </c>
      <c r="E1046" s="1009">
        <v>15300205</v>
      </c>
      <c r="F1046" s="1007" t="s">
        <v>3662</v>
      </c>
      <c r="G1046" s="1007">
        <v>8</v>
      </c>
      <c r="H1046" s="1010">
        <v>99999999</v>
      </c>
      <c r="I1046" s="1009">
        <v>15300205</v>
      </c>
      <c r="J1046" s="1007" t="s">
        <v>3661</v>
      </c>
      <c r="O1046" s="1007" t="s">
        <v>648</v>
      </c>
      <c r="P1046" s="1007" t="s">
        <v>648</v>
      </c>
      <c r="S1046" s="1008" t="s">
        <v>650</v>
      </c>
      <c r="T1046" s="1008" t="s">
        <v>654</v>
      </c>
      <c r="U1046" s="1008" t="s">
        <v>649</v>
      </c>
      <c r="V1046" s="1008" t="s">
        <v>648</v>
      </c>
      <c r="W1046" s="1008" t="s">
        <v>546</v>
      </c>
      <c r="X1046" s="1008" t="s">
        <v>670</v>
      </c>
      <c r="Y1046" s="1008" t="s">
        <v>670</v>
      </c>
      <c r="Z1046" s="1008"/>
      <c r="AA1046" s="1008"/>
      <c r="AB1046" s="1008"/>
      <c r="AC1046" s="1008"/>
      <c r="AD1046" s="1008"/>
      <c r="AE1046" s="1008"/>
      <c r="AF1046" s="1008" t="s">
        <v>670</v>
      </c>
      <c r="AG1046" s="1008"/>
      <c r="AH1046" s="1008"/>
      <c r="AI1046" s="1008"/>
    </row>
    <row r="1047" spans="1:35">
      <c r="A1047" s="1008">
        <v>26958</v>
      </c>
      <c r="B1047" s="1008">
        <v>91</v>
      </c>
      <c r="C1047" s="1008">
        <v>9</v>
      </c>
      <c r="D1047" s="1009">
        <v>15300999</v>
      </c>
      <c r="E1047" s="1009">
        <v>15300210</v>
      </c>
      <c r="F1047" s="1007" t="s">
        <v>3660</v>
      </c>
      <c r="G1047" s="1007">
        <v>8</v>
      </c>
      <c r="H1047" s="1010">
        <v>99999999</v>
      </c>
      <c r="I1047" s="1009">
        <v>15300210</v>
      </c>
      <c r="J1047" s="1007" t="s">
        <v>3659</v>
      </c>
      <c r="O1047" s="1007" t="s">
        <v>648</v>
      </c>
      <c r="P1047" s="1007" t="s">
        <v>648</v>
      </c>
      <c r="S1047" s="1008" t="s">
        <v>650</v>
      </c>
      <c r="T1047" s="1008" t="s">
        <v>654</v>
      </c>
      <c r="U1047" s="1008" t="s">
        <v>649</v>
      </c>
      <c r="V1047" s="1008" t="s">
        <v>648</v>
      </c>
      <c r="W1047" s="1008" t="s">
        <v>546</v>
      </c>
      <c r="X1047" s="1008" t="s">
        <v>670</v>
      </c>
      <c r="Y1047" s="1008" t="s">
        <v>670</v>
      </c>
      <c r="Z1047" s="1008"/>
      <c r="AA1047" s="1008"/>
      <c r="AB1047" s="1008"/>
      <c r="AC1047" s="1008"/>
      <c r="AD1047" s="1008"/>
      <c r="AE1047" s="1008"/>
      <c r="AF1047" s="1008" t="s">
        <v>670</v>
      </c>
      <c r="AG1047" s="1008"/>
      <c r="AH1047" s="1008"/>
      <c r="AI1047" s="1008"/>
    </row>
    <row r="1048" spans="1:35">
      <c r="A1048" s="1008">
        <v>26959</v>
      </c>
      <c r="B1048" s="1008">
        <v>92</v>
      </c>
      <c r="C1048" s="1008">
        <v>9</v>
      </c>
      <c r="D1048" s="1009">
        <v>15300999</v>
      </c>
      <c r="E1048" s="1009">
        <v>15300215</v>
      </c>
      <c r="F1048" s="1007" t="s">
        <v>3658</v>
      </c>
      <c r="G1048" s="1007">
        <v>8</v>
      </c>
      <c r="H1048" s="1010">
        <v>99999999</v>
      </c>
      <c r="I1048" s="1009">
        <v>15300215</v>
      </c>
      <c r="J1048" s="1007" t="s">
        <v>3657</v>
      </c>
      <c r="O1048" s="1007" t="s">
        <v>648</v>
      </c>
      <c r="P1048" s="1007" t="s">
        <v>648</v>
      </c>
      <c r="S1048" s="1008" t="s">
        <v>650</v>
      </c>
      <c r="T1048" s="1008" t="s">
        <v>654</v>
      </c>
      <c r="U1048" s="1008" t="s">
        <v>649</v>
      </c>
      <c r="V1048" s="1008" t="s">
        <v>648</v>
      </c>
      <c r="W1048" s="1008" t="s">
        <v>546</v>
      </c>
      <c r="X1048" s="1008" t="s">
        <v>670</v>
      </c>
      <c r="Y1048" s="1008" t="s">
        <v>670</v>
      </c>
      <c r="Z1048" s="1008"/>
      <c r="AA1048" s="1008"/>
      <c r="AB1048" s="1008"/>
      <c r="AC1048" s="1008"/>
      <c r="AD1048" s="1008"/>
      <c r="AE1048" s="1008"/>
      <c r="AF1048" s="1008" t="s">
        <v>670</v>
      </c>
      <c r="AG1048" s="1008"/>
      <c r="AH1048" s="1008"/>
      <c r="AI1048" s="1008"/>
    </row>
    <row r="1049" spans="1:35">
      <c r="A1049" s="1008">
        <v>26960</v>
      </c>
      <c r="B1049" s="1008">
        <v>93</v>
      </c>
      <c r="C1049" s="1008">
        <v>9</v>
      </c>
      <c r="D1049" s="1009">
        <v>15300999</v>
      </c>
      <c r="E1049" s="1009">
        <v>15300220</v>
      </c>
      <c r="F1049" s="1007" t="s">
        <v>3656</v>
      </c>
      <c r="G1049" s="1007">
        <v>8</v>
      </c>
      <c r="H1049" s="1010">
        <v>99999999</v>
      </c>
      <c r="I1049" s="1009">
        <v>15300220</v>
      </c>
      <c r="J1049" s="1007" t="s">
        <v>3655</v>
      </c>
      <c r="O1049" s="1007" t="s">
        <v>648</v>
      </c>
      <c r="P1049" s="1007" t="s">
        <v>648</v>
      </c>
      <c r="S1049" s="1008" t="s">
        <v>650</v>
      </c>
      <c r="T1049" s="1008" t="s">
        <v>654</v>
      </c>
      <c r="U1049" s="1008" t="s">
        <v>649</v>
      </c>
      <c r="V1049" s="1008" t="s">
        <v>648</v>
      </c>
      <c r="W1049" s="1008" t="s">
        <v>546</v>
      </c>
      <c r="X1049" s="1008" t="s">
        <v>670</v>
      </c>
      <c r="Y1049" s="1008" t="s">
        <v>670</v>
      </c>
      <c r="Z1049" s="1008"/>
      <c r="AA1049" s="1008"/>
      <c r="AB1049" s="1008"/>
      <c r="AC1049" s="1008"/>
      <c r="AD1049" s="1008"/>
      <c r="AE1049" s="1008"/>
      <c r="AF1049" s="1008" t="s">
        <v>670</v>
      </c>
      <c r="AG1049" s="1008"/>
      <c r="AH1049" s="1008"/>
      <c r="AI1049" s="1008"/>
    </row>
    <row r="1050" spans="1:35">
      <c r="A1050" s="1008">
        <v>26961</v>
      </c>
      <c r="B1050" s="1008">
        <v>94</v>
      </c>
      <c r="C1050" s="1008">
        <v>9</v>
      </c>
      <c r="D1050" s="1009">
        <v>15300999</v>
      </c>
      <c r="E1050" s="1009">
        <v>15300225</v>
      </c>
      <c r="F1050" s="1007" t="s">
        <v>3654</v>
      </c>
      <c r="G1050" s="1007">
        <v>8</v>
      </c>
      <c r="H1050" s="1010">
        <v>99999999</v>
      </c>
      <c r="I1050" s="1009">
        <v>15300225</v>
      </c>
      <c r="J1050" s="1007" t="s">
        <v>3653</v>
      </c>
      <c r="O1050" s="1007" t="s">
        <v>648</v>
      </c>
      <c r="P1050" s="1007" t="s">
        <v>648</v>
      </c>
      <c r="S1050" s="1008" t="s">
        <v>650</v>
      </c>
      <c r="T1050" s="1008" t="s">
        <v>654</v>
      </c>
      <c r="U1050" s="1008" t="s">
        <v>649</v>
      </c>
      <c r="V1050" s="1008" t="s">
        <v>648</v>
      </c>
      <c r="W1050" s="1008" t="s">
        <v>546</v>
      </c>
      <c r="X1050" s="1008" t="s">
        <v>670</v>
      </c>
      <c r="Y1050" s="1008" t="s">
        <v>670</v>
      </c>
      <c r="Z1050" s="1008"/>
      <c r="AA1050" s="1008"/>
      <c r="AB1050" s="1008"/>
      <c r="AC1050" s="1008"/>
      <c r="AD1050" s="1008"/>
      <c r="AE1050" s="1008"/>
      <c r="AF1050" s="1008" t="s">
        <v>670</v>
      </c>
      <c r="AG1050" s="1008"/>
      <c r="AH1050" s="1008"/>
      <c r="AI1050" s="1008"/>
    </row>
    <row r="1051" spans="1:35">
      <c r="A1051" s="1008">
        <v>26962</v>
      </c>
      <c r="B1051" s="1008">
        <v>95</v>
      </c>
      <c r="C1051" s="1008">
        <v>9</v>
      </c>
      <c r="D1051" s="1009">
        <v>15300999</v>
      </c>
      <c r="E1051" s="1009">
        <v>15300230</v>
      </c>
      <c r="F1051" s="1007" t="s">
        <v>3652</v>
      </c>
      <c r="G1051" s="1007">
        <v>8</v>
      </c>
      <c r="H1051" s="1010">
        <v>99999999</v>
      </c>
      <c r="I1051" s="1009">
        <v>15300230</v>
      </c>
      <c r="J1051" s="1007" t="s">
        <v>3651</v>
      </c>
      <c r="O1051" s="1007" t="s">
        <v>648</v>
      </c>
      <c r="P1051" s="1007" t="s">
        <v>648</v>
      </c>
      <c r="S1051" s="1008" t="s">
        <v>650</v>
      </c>
      <c r="T1051" s="1008" t="s">
        <v>654</v>
      </c>
      <c r="U1051" s="1008" t="s">
        <v>649</v>
      </c>
      <c r="V1051" s="1008" t="s">
        <v>648</v>
      </c>
      <c r="W1051" s="1008" t="s">
        <v>546</v>
      </c>
      <c r="X1051" s="1008" t="s">
        <v>670</v>
      </c>
      <c r="Y1051" s="1008" t="s">
        <v>670</v>
      </c>
      <c r="Z1051" s="1008"/>
      <c r="AA1051" s="1008"/>
      <c r="AB1051" s="1008"/>
      <c r="AC1051" s="1008"/>
      <c r="AD1051" s="1008"/>
      <c r="AE1051" s="1008"/>
      <c r="AF1051" s="1008" t="s">
        <v>670</v>
      </c>
      <c r="AG1051" s="1008"/>
      <c r="AH1051" s="1008"/>
      <c r="AI1051" s="1008"/>
    </row>
    <row r="1052" spans="1:35">
      <c r="A1052" s="1008">
        <v>26963</v>
      </c>
      <c r="B1052" s="1008">
        <v>96</v>
      </c>
      <c r="C1052" s="1008">
        <v>9</v>
      </c>
      <c r="D1052" s="1009">
        <v>15300999</v>
      </c>
      <c r="E1052" s="1009">
        <v>15300235</v>
      </c>
      <c r="F1052" s="1007" t="s">
        <v>3650</v>
      </c>
      <c r="G1052" s="1007">
        <v>8</v>
      </c>
      <c r="H1052" s="1010">
        <v>99999999</v>
      </c>
      <c r="I1052" s="1009">
        <v>15300235</v>
      </c>
      <c r="J1052" s="1007" t="s">
        <v>3649</v>
      </c>
      <c r="O1052" s="1007" t="s">
        <v>648</v>
      </c>
      <c r="P1052" s="1007" t="s">
        <v>648</v>
      </c>
      <c r="S1052" s="1008" t="s">
        <v>650</v>
      </c>
      <c r="T1052" s="1008" t="s">
        <v>654</v>
      </c>
      <c r="U1052" s="1008" t="s">
        <v>649</v>
      </c>
      <c r="V1052" s="1008" t="s">
        <v>648</v>
      </c>
      <c r="W1052" s="1008" t="s">
        <v>546</v>
      </c>
      <c r="X1052" s="1008" t="s">
        <v>670</v>
      </c>
      <c r="Y1052" s="1008" t="s">
        <v>670</v>
      </c>
      <c r="Z1052" s="1008"/>
      <c r="AA1052" s="1008"/>
      <c r="AB1052" s="1008"/>
      <c r="AC1052" s="1008"/>
      <c r="AD1052" s="1008"/>
      <c r="AE1052" s="1008"/>
      <c r="AF1052" s="1008" t="s">
        <v>670</v>
      </c>
      <c r="AG1052" s="1008"/>
      <c r="AH1052" s="1008"/>
      <c r="AI1052" s="1008"/>
    </row>
    <row r="1053" spans="1:35">
      <c r="A1053" s="1008">
        <v>26964</v>
      </c>
      <c r="B1053" s="1008">
        <v>97</v>
      </c>
      <c r="C1053" s="1008">
        <v>9</v>
      </c>
      <c r="D1053" s="1009">
        <v>15300999</v>
      </c>
      <c r="E1053" s="1009">
        <v>15300240</v>
      </c>
      <c r="F1053" s="1007" t="s">
        <v>3648</v>
      </c>
      <c r="G1053" s="1007">
        <v>8</v>
      </c>
      <c r="H1053" s="1010">
        <v>99999999</v>
      </c>
      <c r="I1053" s="1009">
        <v>15300240</v>
      </c>
      <c r="J1053" s="1007" t="s">
        <v>3647</v>
      </c>
      <c r="O1053" s="1007" t="s">
        <v>648</v>
      </c>
      <c r="P1053" s="1007" t="s">
        <v>648</v>
      </c>
      <c r="S1053" s="1008" t="s">
        <v>650</v>
      </c>
      <c r="T1053" s="1008" t="s">
        <v>654</v>
      </c>
      <c r="U1053" s="1008" t="s">
        <v>649</v>
      </c>
      <c r="V1053" s="1008" t="s">
        <v>648</v>
      </c>
      <c r="W1053" s="1008" t="s">
        <v>546</v>
      </c>
      <c r="X1053" s="1008" t="s">
        <v>670</v>
      </c>
      <c r="Y1053" s="1008" t="s">
        <v>670</v>
      </c>
      <c r="Z1053" s="1008"/>
      <c r="AA1053" s="1008"/>
      <c r="AB1053" s="1008"/>
      <c r="AC1053" s="1008"/>
      <c r="AD1053" s="1008"/>
      <c r="AE1053" s="1008"/>
      <c r="AF1053" s="1008" t="s">
        <v>670</v>
      </c>
      <c r="AG1053" s="1008"/>
      <c r="AH1053" s="1008"/>
      <c r="AI1053" s="1008"/>
    </row>
    <row r="1054" spans="1:35">
      <c r="A1054" s="1008">
        <v>26965</v>
      </c>
      <c r="B1054" s="1008">
        <v>98</v>
      </c>
      <c r="C1054" s="1008">
        <v>9</v>
      </c>
      <c r="D1054" s="1009">
        <v>15300999</v>
      </c>
      <c r="E1054" s="1009">
        <v>15300245</v>
      </c>
      <c r="F1054" s="1007" t="s">
        <v>3646</v>
      </c>
      <c r="G1054" s="1007">
        <v>8</v>
      </c>
      <c r="H1054" s="1010">
        <v>99999999</v>
      </c>
      <c r="I1054" s="1009">
        <v>15300245</v>
      </c>
      <c r="J1054" s="1007" t="s">
        <v>3645</v>
      </c>
      <c r="O1054" s="1007" t="s">
        <v>648</v>
      </c>
      <c r="P1054" s="1007" t="s">
        <v>648</v>
      </c>
      <c r="S1054" s="1008" t="s">
        <v>650</v>
      </c>
      <c r="T1054" s="1008" t="s">
        <v>654</v>
      </c>
      <c r="U1054" s="1008" t="s">
        <v>649</v>
      </c>
      <c r="V1054" s="1008" t="s">
        <v>648</v>
      </c>
      <c r="W1054" s="1008" t="s">
        <v>546</v>
      </c>
      <c r="X1054" s="1008" t="s">
        <v>670</v>
      </c>
      <c r="Y1054" s="1008" t="s">
        <v>670</v>
      </c>
      <c r="Z1054" s="1008"/>
      <c r="AA1054" s="1008"/>
      <c r="AB1054" s="1008"/>
      <c r="AC1054" s="1008"/>
      <c r="AD1054" s="1008"/>
      <c r="AE1054" s="1008"/>
      <c r="AF1054" s="1008" t="s">
        <v>670</v>
      </c>
      <c r="AG1054" s="1008"/>
      <c r="AH1054" s="1008"/>
      <c r="AI1054" s="1008"/>
    </row>
    <row r="1055" spans="1:35">
      <c r="A1055" s="1008">
        <v>26966</v>
      </c>
      <c r="B1055" s="1008">
        <v>99</v>
      </c>
      <c r="C1055" s="1008">
        <v>9</v>
      </c>
      <c r="D1055" s="1009">
        <v>15300999</v>
      </c>
      <c r="E1055" s="1009">
        <v>15300250</v>
      </c>
      <c r="F1055" s="1007" t="s">
        <v>3644</v>
      </c>
      <c r="G1055" s="1007">
        <v>8</v>
      </c>
      <c r="H1055" s="1010">
        <v>99999999</v>
      </c>
      <c r="I1055" s="1009">
        <v>15300250</v>
      </c>
      <c r="J1055" s="1007" t="s">
        <v>3643</v>
      </c>
      <c r="O1055" s="1007" t="s">
        <v>648</v>
      </c>
      <c r="P1055" s="1007" t="s">
        <v>648</v>
      </c>
      <c r="S1055" s="1008" t="s">
        <v>650</v>
      </c>
      <c r="T1055" s="1008" t="s">
        <v>654</v>
      </c>
      <c r="U1055" s="1008" t="s">
        <v>649</v>
      </c>
      <c r="V1055" s="1008" t="s">
        <v>648</v>
      </c>
      <c r="W1055" s="1008" t="s">
        <v>546</v>
      </c>
      <c r="X1055" s="1008" t="s">
        <v>670</v>
      </c>
      <c r="Y1055" s="1008" t="s">
        <v>670</v>
      </c>
      <c r="Z1055" s="1008"/>
      <c r="AA1055" s="1008"/>
      <c r="AB1055" s="1008"/>
      <c r="AC1055" s="1008"/>
      <c r="AD1055" s="1008"/>
      <c r="AE1055" s="1008"/>
      <c r="AF1055" s="1008" t="s">
        <v>670</v>
      </c>
      <c r="AG1055" s="1008"/>
      <c r="AH1055" s="1008"/>
      <c r="AI1055" s="1008"/>
    </row>
    <row r="1056" spans="1:35">
      <c r="A1056" s="1008">
        <v>26967</v>
      </c>
      <c r="B1056" s="1008">
        <v>100</v>
      </c>
      <c r="C1056" s="1008">
        <v>9</v>
      </c>
      <c r="D1056" s="1009">
        <v>15300999</v>
      </c>
      <c r="E1056" s="1009">
        <v>15300299</v>
      </c>
      <c r="F1056" s="1007" t="s">
        <v>3642</v>
      </c>
      <c r="G1056" s="1007">
        <v>8</v>
      </c>
      <c r="H1056" s="1010">
        <v>99999999</v>
      </c>
      <c r="I1056" s="1009">
        <v>15300299</v>
      </c>
      <c r="J1056" s="1007" t="s">
        <v>3641</v>
      </c>
      <c r="O1056" s="1007" t="s">
        <v>648</v>
      </c>
      <c r="P1056" s="1007" t="s">
        <v>648</v>
      </c>
      <c r="S1056" s="1008" t="s">
        <v>650</v>
      </c>
      <c r="T1056" s="1008" t="s">
        <v>654</v>
      </c>
      <c r="U1056" s="1008" t="s">
        <v>649</v>
      </c>
      <c r="V1056" s="1008" t="s">
        <v>648</v>
      </c>
      <c r="W1056" s="1008" t="s">
        <v>546</v>
      </c>
      <c r="X1056" s="1008" t="s">
        <v>670</v>
      </c>
      <c r="Y1056" s="1008" t="s">
        <v>670</v>
      </c>
      <c r="Z1056" s="1008"/>
      <c r="AA1056" s="1008"/>
      <c r="AB1056" s="1008"/>
      <c r="AC1056" s="1008"/>
      <c r="AD1056" s="1008"/>
      <c r="AE1056" s="1008"/>
      <c r="AF1056" s="1008" t="s">
        <v>670</v>
      </c>
      <c r="AG1056" s="1008"/>
      <c r="AH1056" s="1008"/>
      <c r="AI1056" s="1008"/>
    </row>
    <row r="1057" spans="1:35">
      <c r="A1057" s="1008">
        <v>26697</v>
      </c>
      <c r="B1057" s="1008">
        <v>5892</v>
      </c>
      <c r="C1057" s="1008">
        <v>9</v>
      </c>
      <c r="D1057" s="1009">
        <v>15300999</v>
      </c>
      <c r="E1057" s="1009">
        <v>15300700</v>
      </c>
      <c r="F1057" s="1007" t="s">
        <v>3640</v>
      </c>
      <c r="G1057" s="1007">
        <v>8</v>
      </c>
      <c r="H1057" s="1010">
        <v>99999999</v>
      </c>
      <c r="I1057" s="1009">
        <v>15300700</v>
      </c>
      <c r="J1057" s="1007" t="s">
        <v>3639</v>
      </c>
      <c r="O1057" s="1007" t="s">
        <v>648</v>
      </c>
      <c r="P1057" s="1007" t="s">
        <v>648</v>
      </c>
      <c r="S1057" s="1008" t="s">
        <v>650</v>
      </c>
      <c r="T1057" s="1008" t="s">
        <v>654</v>
      </c>
      <c r="U1057" s="1008" t="s">
        <v>649</v>
      </c>
      <c r="V1057" s="1008" t="s">
        <v>648</v>
      </c>
      <c r="W1057" s="1008" t="s">
        <v>546</v>
      </c>
      <c r="X1057" s="1008" t="s">
        <v>670</v>
      </c>
      <c r="Y1057" s="1008" t="s">
        <v>670</v>
      </c>
      <c r="Z1057" s="1008" t="s">
        <v>670</v>
      </c>
      <c r="AA1057" s="1008"/>
      <c r="AB1057" s="1008" t="s">
        <v>670</v>
      </c>
      <c r="AC1057" s="1008"/>
      <c r="AD1057" s="1008"/>
      <c r="AE1057" s="1008"/>
      <c r="AF1057" s="1008" t="s">
        <v>670</v>
      </c>
      <c r="AG1057" s="1008"/>
      <c r="AH1057" s="1008"/>
      <c r="AI1057" s="1008"/>
    </row>
    <row r="1058" spans="1:35">
      <c r="A1058" s="1008">
        <v>26968</v>
      </c>
      <c r="C1058" s="1008">
        <v>8</v>
      </c>
      <c r="D1058" s="1009">
        <v>15399999</v>
      </c>
      <c r="E1058" s="1009">
        <v>15300999</v>
      </c>
      <c r="F1058" s="1007" t="s">
        <v>3638</v>
      </c>
      <c r="O1058" s="1007" t="s">
        <v>648</v>
      </c>
      <c r="P1058" s="1007" t="s">
        <v>648</v>
      </c>
      <c r="S1058" s="1008" t="s">
        <v>650</v>
      </c>
      <c r="T1058" s="1008" t="s">
        <v>21</v>
      </c>
      <c r="U1058" s="1008" t="s">
        <v>649</v>
      </c>
      <c r="V1058" s="1008" t="s">
        <v>648</v>
      </c>
      <c r="W1058" s="1008" t="s">
        <v>546</v>
      </c>
      <c r="X1058" s="1008"/>
      <c r="Y1058" s="1008"/>
      <c r="Z1058" s="1008"/>
      <c r="AA1058" s="1008"/>
      <c r="AB1058" s="1008"/>
      <c r="AC1058" s="1008"/>
      <c r="AD1058" s="1008"/>
      <c r="AE1058" s="1008"/>
      <c r="AF1058" s="1008"/>
      <c r="AG1058" s="1008"/>
      <c r="AH1058" s="1008"/>
      <c r="AI1058" s="1008"/>
    </row>
    <row r="1059" spans="1:35">
      <c r="A1059" s="1008">
        <v>26969</v>
      </c>
      <c r="C1059" s="1008">
        <v>8</v>
      </c>
      <c r="D1059" s="1009">
        <v>15305999</v>
      </c>
      <c r="E1059" s="1009">
        <v>15305000</v>
      </c>
      <c r="F1059" s="1007" t="s">
        <v>3637</v>
      </c>
      <c r="O1059" s="1007" t="s">
        <v>648</v>
      </c>
      <c r="P1059" s="1007" t="s">
        <v>648</v>
      </c>
      <c r="S1059" s="1008" t="s">
        <v>650</v>
      </c>
      <c r="T1059" s="1008" t="s">
        <v>675</v>
      </c>
      <c r="U1059" s="1008" t="s">
        <v>649</v>
      </c>
      <c r="V1059" s="1008" t="s">
        <v>648</v>
      </c>
      <c r="W1059" s="1008" t="s">
        <v>546</v>
      </c>
      <c r="X1059" s="1008"/>
      <c r="Y1059" s="1008"/>
      <c r="Z1059" s="1008"/>
      <c r="AA1059" s="1008"/>
      <c r="AB1059" s="1008"/>
      <c r="AC1059" s="1008"/>
      <c r="AD1059" s="1008"/>
      <c r="AE1059" s="1008"/>
      <c r="AF1059" s="1008"/>
      <c r="AG1059" s="1008"/>
      <c r="AH1059" s="1008"/>
      <c r="AI1059" s="1008"/>
    </row>
    <row r="1060" spans="1:35">
      <c r="A1060" s="1008">
        <v>26676</v>
      </c>
      <c r="B1060" s="1008">
        <v>101</v>
      </c>
      <c r="C1060" s="1008">
        <v>9</v>
      </c>
      <c r="D1060" s="1009">
        <v>15305999</v>
      </c>
      <c r="E1060" s="1009">
        <v>15305200</v>
      </c>
      <c r="F1060" s="1007" t="s">
        <v>3636</v>
      </c>
      <c r="G1060" s="1007">
        <v>8</v>
      </c>
      <c r="H1060" s="1010">
        <v>99999999</v>
      </c>
      <c r="I1060" s="1009">
        <v>15305200</v>
      </c>
      <c r="J1060" s="1007" t="s">
        <v>3635</v>
      </c>
      <c r="O1060" s="1007" t="s">
        <v>648</v>
      </c>
      <c r="P1060" s="1007" t="s">
        <v>648</v>
      </c>
      <c r="S1060" s="1008" t="s">
        <v>650</v>
      </c>
      <c r="T1060" s="1008" t="s">
        <v>654</v>
      </c>
      <c r="U1060" s="1008" t="s">
        <v>649</v>
      </c>
      <c r="V1060" s="1008" t="s">
        <v>648</v>
      </c>
      <c r="W1060" s="1008" t="s">
        <v>546</v>
      </c>
      <c r="X1060" s="1008" t="s">
        <v>670</v>
      </c>
      <c r="Y1060" s="1008"/>
      <c r="Z1060" s="1008" t="s">
        <v>670</v>
      </c>
      <c r="AA1060" s="1008"/>
      <c r="AB1060" s="1008" t="s">
        <v>670</v>
      </c>
      <c r="AC1060" s="1008"/>
      <c r="AD1060" s="1008"/>
      <c r="AE1060" s="1008"/>
      <c r="AF1060" s="1008"/>
      <c r="AG1060" s="1008"/>
      <c r="AH1060" s="1008"/>
      <c r="AI1060" s="1008"/>
    </row>
    <row r="1061" spans="1:35">
      <c r="A1061" s="1008">
        <v>26970</v>
      </c>
      <c r="B1061" s="1008">
        <v>102</v>
      </c>
      <c r="C1061" s="1008">
        <v>9</v>
      </c>
      <c r="D1061" s="1009">
        <v>15305999</v>
      </c>
      <c r="E1061" s="1009">
        <v>15305205</v>
      </c>
      <c r="F1061" s="1007" t="s">
        <v>3634</v>
      </c>
      <c r="G1061" s="1007">
        <v>8</v>
      </c>
      <c r="H1061" s="1010">
        <v>99999999</v>
      </c>
      <c r="I1061" s="1009">
        <v>15305205</v>
      </c>
      <c r="J1061" s="1007" t="s">
        <v>3633</v>
      </c>
      <c r="O1061" s="1007" t="s">
        <v>648</v>
      </c>
      <c r="P1061" s="1007" t="s">
        <v>648</v>
      </c>
      <c r="S1061" s="1008" t="s">
        <v>650</v>
      </c>
      <c r="T1061" s="1008" t="s">
        <v>654</v>
      </c>
      <c r="U1061" s="1008" t="s">
        <v>649</v>
      </c>
      <c r="V1061" s="1008" t="s">
        <v>648</v>
      </c>
      <c r="W1061" s="1008" t="s">
        <v>546</v>
      </c>
      <c r="X1061" s="1008" t="s">
        <v>670</v>
      </c>
      <c r="Y1061" s="1008" t="s">
        <v>670</v>
      </c>
      <c r="Z1061" s="1008" t="s">
        <v>670</v>
      </c>
      <c r="AA1061" s="1008"/>
      <c r="AB1061" s="1008" t="s">
        <v>670</v>
      </c>
      <c r="AC1061" s="1008"/>
      <c r="AD1061" s="1008"/>
      <c r="AE1061" s="1008"/>
      <c r="AF1061" s="1008" t="s">
        <v>670</v>
      </c>
      <c r="AG1061" s="1008"/>
      <c r="AH1061" s="1008"/>
      <c r="AI1061" s="1008"/>
    </row>
    <row r="1062" spans="1:35">
      <c r="A1062" s="1008">
        <v>26971</v>
      </c>
      <c r="B1062" s="1008">
        <v>103</v>
      </c>
      <c r="C1062" s="1008">
        <v>9</v>
      </c>
      <c r="D1062" s="1009">
        <v>15305999</v>
      </c>
      <c r="E1062" s="1009">
        <v>15305210</v>
      </c>
      <c r="F1062" s="1007" t="s">
        <v>3632</v>
      </c>
      <c r="G1062" s="1007">
        <v>8</v>
      </c>
      <c r="H1062" s="1010">
        <v>99999999</v>
      </c>
      <c r="I1062" s="1009">
        <v>15305210</v>
      </c>
      <c r="J1062" s="1007" t="s">
        <v>3631</v>
      </c>
      <c r="O1062" s="1007" t="s">
        <v>648</v>
      </c>
      <c r="P1062" s="1007" t="s">
        <v>648</v>
      </c>
      <c r="S1062" s="1008" t="s">
        <v>650</v>
      </c>
      <c r="T1062" s="1008" t="s">
        <v>654</v>
      </c>
      <c r="U1062" s="1008" t="s">
        <v>649</v>
      </c>
      <c r="V1062" s="1008" t="s">
        <v>648</v>
      </c>
      <c r="W1062" s="1008" t="s">
        <v>546</v>
      </c>
      <c r="X1062" s="1008" t="s">
        <v>670</v>
      </c>
      <c r="Y1062" s="1008"/>
      <c r="Z1062" s="1008" t="s">
        <v>670</v>
      </c>
      <c r="AA1062" s="1008"/>
      <c r="AB1062" s="1008" t="s">
        <v>670</v>
      </c>
      <c r="AC1062" s="1008"/>
      <c r="AD1062" s="1008"/>
      <c r="AE1062" s="1008"/>
      <c r="AF1062" s="1008"/>
      <c r="AG1062" s="1008"/>
      <c r="AH1062" s="1008"/>
      <c r="AI1062" s="1008"/>
    </row>
    <row r="1063" spans="1:35">
      <c r="A1063" s="1008">
        <v>26973</v>
      </c>
      <c r="C1063" s="1008">
        <v>8</v>
      </c>
      <c r="D1063" s="1009">
        <v>15399999</v>
      </c>
      <c r="E1063" s="1009">
        <v>15305999</v>
      </c>
      <c r="F1063" s="1007" t="s">
        <v>3630</v>
      </c>
      <c r="O1063" s="1007" t="s">
        <v>648</v>
      </c>
      <c r="P1063" s="1007" t="s">
        <v>648</v>
      </c>
      <c r="S1063" s="1008" t="s">
        <v>650</v>
      </c>
      <c r="T1063" s="1008" t="s">
        <v>21</v>
      </c>
      <c r="U1063" s="1008" t="s">
        <v>649</v>
      </c>
      <c r="V1063" s="1008" t="s">
        <v>648</v>
      </c>
      <c r="W1063" s="1008" t="s">
        <v>546</v>
      </c>
      <c r="X1063" s="1008"/>
      <c r="Y1063" s="1008"/>
      <c r="Z1063" s="1008"/>
      <c r="AA1063" s="1008"/>
      <c r="AB1063" s="1008"/>
      <c r="AC1063" s="1008"/>
      <c r="AD1063" s="1008"/>
      <c r="AE1063" s="1008"/>
      <c r="AF1063" s="1008"/>
      <c r="AG1063" s="1008"/>
      <c r="AH1063" s="1008"/>
      <c r="AI1063" s="1008"/>
    </row>
    <row r="1064" spans="1:35">
      <c r="A1064" s="1008">
        <v>27604</v>
      </c>
      <c r="C1064" s="1008">
        <v>9</v>
      </c>
      <c r="D1064" s="1009">
        <v>15308999</v>
      </c>
      <c r="E1064" s="1009">
        <v>15308000</v>
      </c>
      <c r="F1064" s="1007" t="s">
        <v>3629</v>
      </c>
      <c r="O1064" s="1007" t="s">
        <v>648</v>
      </c>
      <c r="P1064" s="1007" t="s">
        <v>648</v>
      </c>
      <c r="S1064" s="1008" t="s">
        <v>650</v>
      </c>
      <c r="T1064" s="1008" t="s">
        <v>675</v>
      </c>
      <c r="U1064" s="1008" t="s">
        <v>649</v>
      </c>
      <c r="V1064" s="1008" t="s">
        <v>648</v>
      </c>
      <c r="W1064" s="1008" t="s">
        <v>546</v>
      </c>
      <c r="X1064" s="1008"/>
      <c r="Y1064" s="1008"/>
      <c r="Z1064" s="1008"/>
      <c r="AA1064" s="1008"/>
      <c r="AB1064" s="1008"/>
      <c r="AC1064" s="1008"/>
      <c r="AD1064" s="1008"/>
      <c r="AE1064" s="1008"/>
      <c r="AF1064" s="1008"/>
      <c r="AG1064" s="1008"/>
      <c r="AH1064" s="1008"/>
      <c r="AI1064" s="1008"/>
    </row>
    <row r="1065" spans="1:35">
      <c r="A1065" s="1008">
        <v>26972</v>
      </c>
      <c r="B1065" s="1008">
        <v>321</v>
      </c>
      <c r="C1065" s="1008">
        <v>9</v>
      </c>
      <c r="D1065" s="1009">
        <v>15308999</v>
      </c>
      <c r="E1065" s="1009">
        <v>15308020</v>
      </c>
      <c r="F1065" s="1007" t="s">
        <v>3629</v>
      </c>
      <c r="G1065" s="1007">
        <v>8</v>
      </c>
      <c r="H1065" s="1010">
        <v>99999999</v>
      </c>
      <c r="I1065" s="1009">
        <v>15308020</v>
      </c>
      <c r="J1065" s="1007" t="s">
        <v>3628</v>
      </c>
      <c r="O1065" s="1007" t="s">
        <v>648</v>
      </c>
      <c r="P1065" s="1007" t="s">
        <v>648</v>
      </c>
      <c r="S1065" s="1008" t="s">
        <v>650</v>
      </c>
      <c r="T1065" s="1008" t="s">
        <v>654</v>
      </c>
      <c r="U1065" s="1008" t="s">
        <v>649</v>
      </c>
      <c r="V1065" s="1008" t="s">
        <v>648</v>
      </c>
      <c r="W1065" s="1008" t="s">
        <v>546</v>
      </c>
      <c r="X1065" s="1008" t="s">
        <v>670</v>
      </c>
      <c r="Y1065" s="1008" t="s">
        <v>670</v>
      </c>
      <c r="Z1065" s="1008" t="s">
        <v>670</v>
      </c>
      <c r="AA1065" s="1008"/>
      <c r="AB1065" s="1008" t="s">
        <v>670</v>
      </c>
      <c r="AC1065" s="1008"/>
      <c r="AD1065" s="1008" t="s">
        <v>670</v>
      </c>
      <c r="AE1065" s="1008"/>
      <c r="AF1065" s="1008" t="s">
        <v>670</v>
      </c>
      <c r="AG1065" s="1008"/>
      <c r="AH1065" s="1008"/>
      <c r="AI1065" s="1008"/>
    </row>
    <row r="1066" spans="1:35">
      <c r="A1066" s="1008">
        <v>27605</v>
      </c>
      <c r="B1066" s="1008">
        <v>6443</v>
      </c>
      <c r="C1066" s="1008">
        <v>9</v>
      </c>
      <c r="D1066" s="1009">
        <v>15308999</v>
      </c>
      <c r="E1066" s="1009">
        <v>15308040</v>
      </c>
      <c r="F1066" s="1007" t="s">
        <v>3627</v>
      </c>
      <c r="G1066" s="1007" t="s">
        <v>648</v>
      </c>
      <c r="H1066" s="1010">
        <v>99999999</v>
      </c>
      <c r="I1066" s="1009">
        <v>15308040</v>
      </c>
      <c r="J1066" s="1007" t="s">
        <v>3626</v>
      </c>
      <c r="O1066" s="1007" t="s">
        <v>648</v>
      </c>
      <c r="P1066" s="1007" t="s">
        <v>648</v>
      </c>
      <c r="S1066" s="1008" t="s">
        <v>650</v>
      </c>
      <c r="T1066" s="1008" t="s">
        <v>654</v>
      </c>
      <c r="U1066" s="1008" t="s">
        <v>649</v>
      </c>
      <c r="V1066" s="1008" t="s">
        <v>648</v>
      </c>
      <c r="W1066" s="1008" t="s">
        <v>546</v>
      </c>
      <c r="X1066" s="1008" t="s">
        <v>670</v>
      </c>
      <c r="Y1066" s="1008"/>
      <c r="Z1066" s="1008" t="s">
        <v>670</v>
      </c>
      <c r="AA1066" s="1008"/>
      <c r="AB1066" s="1008"/>
      <c r="AC1066" s="1008"/>
      <c r="AD1066" s="1008"/>
      <c r="AE1066" s="1008"/>
      <c r="AF1066" s="1008"/>
      <c r="AG1066" s="1008"/>
      <c r="AH1066" s="1008"/>
      <c r="AI1066" s="1008"/>
    </row>
    <row r="1067" spans="1:35">
      <c r="A1067" s="1008">
        <v>27606</v>
      </c>
      <c r="B1067" s="1008">
        <v>6444</v>
      </c>
      <c r="C1067" s="1008">
        <v>9</v>
      </c>
      <c r="D1067" s="1009">
        <v>15308999</v>
      </c>
      <c r="E1067" s="1009">
        <v>15308060</v>
      </c>
      <c r="F1067" s="1007" t="s">
        <v>3625</v>
      </c>
      <c r="G1067" s="1007" t="s">
        <v>648</v>
      </c>
      <c r="H1067" s="1010">
        <v>99999999</v>
      </c>
      <c r="I1067" s="1009">
        <v>15308060</v>
      </c>
      <c r="J1067" s="1007" t="s">
        <v>3624</v>
      </c>
      <c r="O1067" s="1007" t="s">
        <v>648</v>
      </c>
      <c r="P1067" s="1007" t="s">
        <v>648</v>
      </c>
      <c r="S1067" s="1008" t="s">
        <v>650</v>
      </c>
      <c r="T1067" s="1008" t="s">
        <v>654</v>
      </c>
      <c r="U1067" s="1008" t="s">
        <v>649</v>
      </c>
      <c r="V1067" s="1008" t="s">
        <v>648</v>
      </c>
      <c r="W1067" s="1008" t="s">
        <v>546</v>
      </c>
      <c r="X1067" s="1008" t="s">
        <v>670</v>
      </c>
      <c r="Y1067" s="1008"/>
      <c r="Z1067" s="1008" t="s">
        <v>670</v>
      </c>
      <c r="AA1067" s="1008"/>
      <c r="AB1067" s="1008"/>
      <c r="AC1067" s="1008"/>
      <c r="AD1067" s="1008"/>
      <c r="AE1067" s="1008"/>
      <c r="AF1067" s="1008"/>
      <c r="AG1067" s="1008"/>
      <c r="AH1067" s="1008"/>
      <c r="AI1067" s="1008"/>
    </row>
    <row r="1068" spans="1:35">
      <c r="A1068" s="1008">
        <v>27607</v>
      </c>
      <c r="B1068" s="1008">
        <v>6445</v>
      </c>
      <c r="C1068" s="1008">
        <v>9</v>
      </c>
      <c r="D1068" s="1009">
        <v>15308999</v>
      </c>
      <c r="E1068" s="1009">
        <v>15308080</v>
      </c>
      <c r="F1068" s="1007" t="s">
        <v>3623</v>
      </c>
      <c r="G1068" s="1007" t="s">
        <v>648</v>
      </c>
      <c r="H1068" s="1010">
        <v>99999999</v>
      </c>
      <c r="I1068" s="1009">
        <v>15308080</v>
      </c>
      <c r="J1068" s="1007" t="s">
        <v>3622</v>
      </c>
      <c r="O1068" s="1007" t="s">
        <v>648</v>
      </c>
      <c r="P1068" s="1007" t="s">
        <v>648</v>
      </c>
      <c r="S1068" s="1008" t="s">
        <v>650</v>
      </c>
      <c r="T1068" s="1008" t="s">
        <v>654</v>
      </c>
      <c r="U1068" s="1008" t="s">
        <v>649</v>
      </c>
      <c r="V1068" s="1008" t="s">
        <v>648</v>
      </c>
      <c r="W1068" s="1008" t="s">
        <v>546</v>
      </c>
      <c r="X1068" s="1008" t="s">
        <v>670</v>
      </c>
      <c r="Y1068" s="1008"/>
      <c r="Z1068" s="1008" t="s">
        <v>670</v>
      </c>
      <c r="AA1068" s="1008"/>
      <c r="AB1068" s="1008"/>
      <c r="AC1068" s="1008"/>
      <c r="AD1068" s="1008"/>
      <c r="AE1068" s="1008"/>
      <c r="AF1068" s="1008"/>
      <c r="AG1068" s="1008"/>
      <c r="AH1068" s="1008"/>
      <c r="AI1068" s="1008"/>
    </row>
    <row r="1069" spans="1:35">
      <c r="A1069" s="1008">
        <v>27608</v>
      </c>
      <c r="B1069" s="1008">
        <v>6446</v>
      </c>
      <c r="C1069" s="1008">
        <v>9</v>
      </c>
      <c r="D1069" s="1009">
        <v>15308999</v>
      </c>
      <c r="E1069" s="1009">
        <v>15308100</v>
      </c>
      <c r="F1069" s="1007" t="s">
        <v>3621</v>
      </c>
      <c r="G1069" s="1007" t="s">
        <v>648</v>
      </c>
      <c r="H1069" s="1010">
        <v>99999999</v>
      </c>
      <c r="I1069" s="1009">
        <v>15308100</v>
      </c>
      <c r="J1069" s="1007" t="s">
        <v>3620</v>
      </c>
      <c r="O1069" s="1007" t="s">
        <v>648</v>
      </c>
      <c r="P1069" s="1007" t="s">
        <v>648</v>
      </c>
      <c r="S1069" s="1008" t="s">
        <v>650</v>
      </c>
      <c r="T1069" s="1008" t="s">
        <v>654</v>
      </c>
      <c r="U1069" s="1008" t="s">
        <v>649</v>
      </c>
      <c r="V1069" s="1008" t="s">
        <v>648</v>
      </c>
      <c r="W1069" s="1008" t="s">
        <v>546</v>
      </c>
      <c r="X1069" s="1008" t="s">
        <v>670</v>
      </c>
      <c r="Y1069" s="1008"/>
      <c r="Z1069" s="1008" t="s">
        <v>670</v>
      </c>
      <c r="AA1069" s="1008"/>
      <c r="AB1069" s="1008"/>
      <c r="AC1069" s="1008"/>
      <c r="AD1069" s="1008"/>
      <c r="AE1069" s="1008"/>
      <c r="AF1069" s="1008"/>
      <c r="AG1069" s="1008"/>
      <c r="AH1069" s="1008"/>
      <c r="AI1069" s="1008"/>
    </row>
    <row r="1070" spans="1:35">
      <c r="A1070" s="1008">
        <v>27603</v>
      </c>
      <c r="C1070" s="1008">
        <v>8</v>
      </c>
      <c r="D1070" s="1009">
        <v>15399999</v>
      </c>
      <c r="E1070" s="1009">
        <v>15308999</v>
      </c>
      <c r="F1070" s="1007" t="s">
        <v>3619</v>
      </c>
      <c r="O1070" s="1007" t="s">
        <v>648</v>
      </c>
      <c r="P1070" s="1007" t="s">
        <v>648</v>
      </c>
      <c r="S1070" s="1008" t="s">
        <v>650</v>
      </c>
      <c r="T1070" s="1008" t="s">
        <v>21</v>
      </c>
      <c r="U1070" s="1008" t="s">
        <v>649</v>
      </c>
      <c r="V1070" s="1008" t="s">
        <v>648</v>
      </c>
      <c r="W1070" s="1008" t="s">
        <v>546</v>
      </c>
      <c r="X1070" s="1008"/>
      <c r="Y1070" s="1008"/>
      <c r="Z1070" s="1008"/>
      <c r="AA1070" s="1008"/>
      <c r="AB1070" s="1008"/>
      <c r="AC1070" s="1008"/>
      <c r="AD1070" s="1008"/>
      <c r="AE1070" s="1008"/>
      <c r="AF1070" s="1008"/>
      <c r="AG1070" s="1008"/>
      <c r="AH1070" s="1008"/>
      <c r="AI1070" s="1008"/>
    </row>
    <row r="1071" spans="1:35">
      <c r="A1071" s="1008">
        <v>26974</v>
      </c>
      <c r="C1071" s="1008">
        <v>8</v>
      </c>
      <c r="D1071" s="1009">
        <v>15310999</v>
      </c>
      <c r="E1071" s="1009">
        <v>15310000</v>
      </c>
      <c r="F1071" s="1007" t="s">
        <v>3618</v>
      </c>
      <c r="O1071" s="1007" t="s">
        <v>648</v>
      </c>
      <c r="P1071" s="1007" t="s">
        <v>648</v>
      </c>
      <c r="S1071" s="1008" t="s">
        <v>650</v>
      </c>
      <c r="T1071" s="1008" t="s">
        <v>675</v>
      </c>
      <c r="U1071" s="1008" t="s">
        <v>649</v>
      </c>
      <c r="V1071" s="1008" t="s">
        <v>648</v>
      </c>
      <c r="W1071" s="1008" t="s">
        <v>546</v>
      </c>
      <c r="X1071" s="1008"/>
      <c r="Y1071" s="1008"/>
      <c r="Z1071" s="1008"/>
      <c r="AA1071" s="1008"/>
      <c r="AB1071" s="1008"/>
      <c r="AC1071" s="1008"/>
      <c r="AD1071" s="1008"/>
      <c r="AE1071" s="1008"/>
      <c r="AF1071" s="1008"/>
      <c r="AG1071" s="1008"/>
      <c r="AH1071" s="1008"/>
      <c r="AI1071" s="1008"/>
    </row>
    <row r="1072" spans="1:35">
      <c r="A1072" s="1008">
        <v>26677</v>
      </c>
      <c r="B1072" s="1008">
        <v>433</v>
      </c>
      <c r="C1072" s="1008">
        <v>9</v>
      </c>
      <c r="D1072" s="1009">
        <v>15310999</v>
      </c>
      <c r="E1072" s="1009">
        <v>15310200</v>
      </c>
      <c r="F1072" s="1007" t="s">
        <v>3617</v>
      </c>
      <c r="G1072" s="1007">
        <v>8</v>
      </c>
      <c r="H1072" s="1010">
        <v>99999999</v>
      </c>
      <c r="I1072" s="1009">
        <v>15310200</v>
      </c>
      <c r="J1072" s="1007" t="s">
        <v>3616</v>
      </c>
      <c r="O1072" s="1007" t="s">
        <v>648</v>
      </c>
      <c r="P1072" s="1007" t="s">
        <v>648</v>
      </c>
      <c r="S1072" s="1008" t="s">
        <v>650</v>
      </c>
      <c r="T1072" s="1008" t="s">
        <v>654</v>
      </c>
      <c r="U1072" s="1008" t="s">
        <v>649</v>
      </c>
      <c r="V1072" s="1008" t="s">
        <v>648</v>
      </c>
      <c r="W1072" s="1008" t="s">
        <v>546</v>
      </c>
      <c r="X1072" s="1008" t="s">
        <v>670</v>
      </c>
      <c r="Y1072" s="1008" t="s">
        <v>670</v>
      </c>
      <c r="Z1072" s="1008" t="s">
        <v>670</v>
      </c>
      <c r="AA1072" s="1008"/>
      <c r="AB1072" s="1008" t="s">
        <v>670</v>
      </c>
      <c r="AC1072" s="1008" t="s">
        <v>670</v>
      </c>
      <c r="AD1072" s="1008"/>
      <c r="AE1072" s="1008"/>
      <c r="AF1072" s="1008" t="s">
        <v>670</v>
      </c>
      <c r="AG1072" s="1008"/>
      <c r="AH1072" s="1008"/>
      <c r="AI1072" s="1008"/>
    </row>
    <row r="1073" spans="1:35">
      <c r="A1073" s="1008">
        <v>26975</v>
      </c>
      <c r="B1073" s="1008">
        <v>435</v>
      </c>
      <c r="C1073" s="1008">
        <v>9</v>
      </c>
      <c r="D1073" s="1009">
        <v>15310999</v>
      </c>
      <c r="E1073" s="1009">
        <v>15310201</v>
      </c>
      <c r="F1073" s="1007" t="s">
        <v>3615</v>
      </c>
      <c r="G1073" s="1007">
        <v>8</v>
      </c>
      <c r="H1073" s="1010">
        <v>99999999</v>
      </c>
      <c r="I1073" s="1009">
        <v>15310201</v>
      </c>
      <c r="J1073" s="1007" t="s">
        <v>3614</v>
      </c>
      <c r="O1073" s="1007" t="s">
        <v>648</v>
      </c>
      <c r="P1073" s="1007" t="s">
        <v>648</v>
      </c>
      <c r="S1073" s="1008" t="s">
        <v>650</v>
      </c>
      <c r="T1073" s="1008" t="s">
        <v>654</v>
      </c>
      <c r="U1073" s="1008" t="s">
        <v>649</v>
      </c>
      <c r="V1073" s="1008" t="s">
        <v>648</v>
      </c>
      <c r="W1073" s="1008" t="s">
        <v>546</v>
      </c>
      <c r="X1073" s="1008" t="s">
        <v>670</v>
      </c>
      <c r="Y1073" s="1008" t="s">
        <v>670</v>
      </c>
      <c r="Z1073" s="1008" t="s">
        <v>670</v>
      </c>
      <c r="AA1073" s="1008"/>
      <c r="AB1073" s="1008" t="s">
        <v>670</v>
      </c>
      <c r="AC1073" s="1008" t="s">
        <v>670</v>
      </c>
      <c r="AD1073" s="1008"/>
      <c r="AE1073" s="1008"/>
      <c r="AF1073" s="1008" t="s">
        <v>670</v>
      </c>
      <c r="AG1073" s="1008"/>
      <c r="AH1073" s="1008"/>
      <c r="AI1073" s="1008"/>
    </row>
    <row r="1074" spans="1:35">
      <c r="A1074" s="1008">
        <v>26976</v>
      </c>
      <c r="B1074" s="1008">
        <v>436</v>
      </c>
      <c r="C1074" s="1008">
        <v>9</v>
      </c>
      <c r="D1074" s="1009">
        <v>15310999</v>
      </c>
      <c r="E1074" s="1009">
        <v>15310202</v>
      </c>
      <c r="F1074" s="1007" t="s">
        <v>3613</v>
      </c>
      <c r="G1074" s="1007">
        <v>8</v>
      </c>
      <c r="H1074" s="1010">
        <v>99999999</v>
      </c>
      <c r="I1074" s="1009">
        <v>15310202</v>
      </c>
      <c r="J1074" s="1007" t="s">
        <v>3612</v>
      </c>
      <c r="O1074" s="1007" t="s">
        <v>648</v>
      </c>
      <c r="P1074" s="1007" t="s">
        <v>648</v>
      </c>
      <c r="S1074" s="1008" t="s">
        <v>650</v>
      </c>
      <c r="T1074" s="1008" t="s">
        <v>654</v>
      </c>
      <c r="U1074" s="1008" t="s">
        <v>649</v>
      </c>
      <c r="V1074" s="1008" t="s">
        <v>648</v>
      </c>
      <c r="W1074" s="1008" t="s">
        <v>546</v>
      </c>
      <c r="X1074" s="1008" t="s">
        <v>670</v>
      </c>
      <c r="Y1074" s="1008" t="s">
        <v>670</v>
      </c>
      <c r="Z1074" s="1008" t="s">
        <v>670</v>
      </c>
      <c r="AA1074" s="1008"/>
      <c r="AB1074" s="1008" t="s">
        <v>670</v>
      </c>
      <c r="AC1074" s="1008" t="s">
        <v>670</v>
      </c>
      <c r="AD1074" s="1008"/>
      <c r="AE1074" s="1008"/>
      <c r="AF1074" s="1008" t="s">
        <v>670</v>
      </c>
      <c r="AG1074" s="1008"/>
      <c r="AH1074" s="1008"/>
      <c r="AI1074" s="1008"/>
    </row>
    <row r="1075" spans="1:35">
      <c r="A1075" s="1008">
        <v>27661</v>
      </c>
      <c r="B1075" s="1008">
        <v>6491</v>
      </c>
      <c r="C1075" s="1008">
        <v>9</v>
      </c>
      <c r="D1075" s="1009">
        <v>15310999</v>
      </c>
      <c r="E1075" s="1009">
        <v>15310204</v>
      </c>
      <c r="F1075" s="1007" t="s">
        <v>3611</v>
      </c>
      <c r="G1075" s="1007">
        <v>8</v>
      </c>
      <c r="H1075" s="1010">
        <v>99999999</v>
      </c>
      <c r="I1075" s="1009">
        <v>15310204</v>
      </c>
      <c r="J1075" s="1007" t="s">
        <v>3610</v>
      </c>
      <c r="O1075" s="1007" t="s">
        <v>648</v>
      </c>
      <c r="P1075" s="1007" t="s">
        <v>648</v>
      </c>
      <c r="S1075" s="1008" t="s">
        <v>650</v>
      </c>
      <c r="T1075" s="1008" t="s">
        <v>654</v>
      </c>
      <c r="U1075" s="1008" t="s">
        <v>649</v>
      </c>
      <c r="V1075" s="1008" t="s">
        <v>648</v>
      </c>
      <c r="W1075" s="1008" t="s">
        <v>546</v>
      </c>
      <c r="X1075" s="1008" t="s">
        <v>670</v>
      </c>
      <c r="Y1075" s="1008" t="s">
        <v>670</v>
      </c>
      <c r="Z1075" s="1008" t="s">
        <v>670</v>
      </c>
      <c r="AA1075" s="1008"/>
      <c r="AB1075" s="1008" t="s">
        <v>670</v>
      </c>
      <c r="AC1075" s="1008" t="s">
        <v>670</v>
      </c>
      <c r="AD1075" s="1008"/>
      <c r="AE1075" s="1008"/>
      <c r="AF1075" s="1008" t="s">
        <v>670</v>
      </c>
      <c r="AG1075" s="1008"/>
      <c r="AH1075" s="1008"/>
      <c r="AI1075" s="1008"/>
    </row>
    <row r="1076" spans="1:35">
      <c r="A1076" s="1008">
        <v>27662</v>
      </c>
      <c r="B1076" s="1008">
        <v>6492</v>
      </c>
      <c r="C1076" s="1008">
        <v>9</v>
      </c>
      <c r="D1076" s="1009">
        <v>15310999</v>
      </c>
      <c r="E1076" s="1009">
        <v>15310206</v>
      </c>
      <c r="F1076" s="1007" t="s">
        <v>3609</v>
      </c>
      <c r="G1076" s="1007">
        <v>8</v>
      </c>
      <c r="H1076" s="1010">
        <v>99999999</v>
      </c>
      <c r="I1076" s="1009">
        <v>15310206</v>
      </c>
      <c r="J1076" s="1007" t="s">
        <v>3608</v>
      </c>
      <c r="O1076" s="1007" t="s">
        <v>648</v>
      </c>
      <c r="P1076" s="1007" t="s">
        <v>648</v>
      </c>
      <c r="S1076" s="1008" t="s">
        <v>650</v>
      </c>
      <c r="T1076" s="1008" t="s">
        <v>654</v>
      </c>
      <c r="U1076" s="1008" t="s">
        <v>649</v>
      </c>
      <c r="V1076" s="1008" t="s">
        <v>648</v>
      </c>
      <c r="W1076" s="1008" t="s">
        <v>546</v>
      </c>
      <c r="X1076" s="1008" t="s">
        <v>670</v>
      </c>
      <c r="Y1076" s="1008" t="s">
        <v>670</v>
      </c>
      <c r="Z1076" s="1008" t="s">
        <v>670</v>
      </c>
      <c r="AA1076" s="1008"/>
      <c r="AB1076" s="1008" t="s">
        <v>670</v>
      </c>
      <c r="AC1076" s="1008" t="s">
        <v>670</v>
      </c>
      <c r="AD1076" s="1008"/>
      <c r="AE1076" s="1008"/>
      <c r="AF1076" s="1008" t="s">
        <v>670</v>
      </c>
      <c r="AG1076" s="1008"/>
      <c r="AH1076" s="1008"/>
      <c r="AI1076" s="1008"/>
    </row>
    <row r="1077" spans="1:35">
      <c r="A1077" s="1008">
        <v>26977</v>
      </c>
      <c r="B1077" s="1008">
        <v>442</v>
      </c>
      <c r="C1077" s="1008">
        <v>9</v>
      </c>
      <c r="D1077" s="1009">
        <v>15310999</v>
      </c>
      <c r="E1077" s="1009">
        <v>15310299</v>
      </c>
      <c r="F1077" s="1007" t="s">
        <v>3607</v>
      </c>
      <c r="G1077" s="1007">
        <v>8</v>
      </c>
      <c r="H1077" s="1010">
        <v>99999999</v>
      </c>
      <c r="I1077" s="1009">
        <v>15310299</v>
      </c>
      <c r="J1077" s="1007" t="s">
        <v>3606</v>
      </c>
      <c r="O1077" s="1007" t="s">
        <v>648</v>
      </c>
      <c r="P1077" s="1007" t="s">
        <v>648</v>
      </c>
      <c r="S1077" s="1008" t="s">
        <v>650</v>
      </c>
      <c r="T1077" s="1008" t="s">
        <v>654</v>
      </c>
      <c r="U1077" s="1008" t="s">
        <v>649</v>
      </c>
      <c r="V1077" s="1008" t="s">
        <v>648</v>
      </c>
      <c r="W1077" s="1008" t="s">
        <v>546</v>
      </c>
      <c r="X1077" s="1008" t="s">
        <v>670</v>
      </c>
      <c r="Y1077" s="1008" t="s">
        <v>670</v>
      </c>
      <c r="Z1077" s="1008" t="s">
        <v>670</v>
      </c>
      <c r="AA1077" s="1008"/>
      <c r="AB1077" s="1008" t="s">
        <v>670</v>
      </c>
      <c r="AC1077" s="1008" t="s">
        <v>670</v>
      </c>
      <c r="AD1077" s="1008"/>
      <c r="AE1077" s="1008"/>
      <c r="AF1077" s="1008" t="s">
        <v>670</v>
      </c>
      <c r="AG1077" s="1008"/>
      <c r="AH1077" s="1008"/>
      <c r="AI1077" s="1008"/>
    </row>
    <row r="1078" spans="1:35">
      <c r="A1078" s="1008">
        <v>27590</v>
      </c>
      <c r="B1078" s="1008">
        <v>1235</v>
      </c>
      <c r="C1078" s="1008">
        <v>9</v>
      </c>
      <c r="D1078" s="1009">
        <v>15285999</v>
      </c>
      <c r="E1078" s="1009">
        <v>15310690</v>
      </c>
      <c r="F1078" s="1007" t="s">
        <v>3605</v>
      </c>
      <c r="G1078" s="1007">
        <v>8</v>
      </c>
      <c r="H1078" s="1010">
        <v>99999999</v>
      </c>
      <c r="I1078" s="1009">
        <v>5311990</v>
      </c>
      <c r="J1078" s="1007" t="s">
        <v>3604</v>
      </c>
      <c r="O1078" s="1007" t="s">
        <v>648</v>
      </c>
      <c r="P1078" s="1007" t="s">
        <v>648</v>
      </c>
      <c r="S1078" s="1008" t="s">
        <v>650</v>
      </c>
      <c r="T1078" s="1008" t="s">
        <v>654</v>
      </c>
      <c r="U1078" s="1008" t="s">
        <v>649</v>
      </c>
      <c r="V1078" s="1008" t="s">
        <v>648</v>
      </c>
      <c r="W1078" s="1008" t="s">
        <v>546</v>
      </c>
      <c r="X1078" s="1008" t="s">
        <v>670</v>
      </c>
      <c r="Y1078" s="1008"/>
      <c r="Z1078" s="1008"/>
      <c r="AA1078" s="1008"/>
      <c r="AB1078" s="1008" t="s">
        <v>670</v>
      </c>
      <c r="AC1078" s="1008"/>
      <c r="AD1078" s="1008"/>
      <c r="AE1078" s="1008"/>
      <c r="AF1078" s="1008"/>
      <c r="AG1078" s="1008"/>
      <c r="AH1078" s="1008"/>
      <c r="AI1078" s="1008"/>
    </row>
    <row r="1079" spans="1:35">
      <c r="A1079" s="1008">
        <v>26698</v>
      </c>
      <c r="B1079" s="1008">
        <v>5893</v>
      </c>
      <c r="C1079" s="1008">
        <v>9</v>
      </c>
      <c r="D1079" s="1009">
        <v>15310999</v>
      </c>
      <c r="E1079" s="1009">
        <v>15310700</v>
      </c>
      <c r="F1079" s="1007" t="s">
        <v>3603</v>
      </c>
      <c r="G1079" s="1007">
        <v>8</v>
      </c>
      <c r="H1079" s="1010">
        <v>99999999</v>
      </c>
      <c r="I1079" s="1009">
        <v>15310700</v>
      </c>
      <c r="J1079" s="1007" t="s">
        <v>3602</v>
      </c>
      <c r="O1079" s="1007" t="s">
        <v>648</v>
      </c>
      <c r="P1079" s="1007" t="s">
        <v>648</v>
      </c>
      <c r="S1079" s="1008" t="s">
        <v>650</v>
      </c>
      <c r="T1079" s="1008" t="s">
        <v>654</v>
      </c>
      <c r="U1079" s="1008" t="s">
        <v>649</v>
      </c>
      <c r="V1079" s="1008" t="s">
        <v>648</v>
      </c>
      <c r="W1079" s="1008" t="s">
        <v>546</v>
      </c>
      <c r="X1079" s="1008" t="s">
        <v>670</v>
      </c>
      <c r="Y1079" s="1008" t="s">
        <v>670</v>
      </c>
      <c r="Z1079" s="1008" t="s">
        <v>670</v>
      </c>
      <c r="AA1079" s="1008"/>
      <c r="AB1079" s="1008" t="s">
        <v>670</v>
      </c>
      <c r="AC1079" s="1008"/>
      <c r="AD1079" s="1008"/>
      <c r="AE1079" s="1008"/>
      <c r="AF1079" s="1008" t="s">
        <v>670</v>
      </c>
      <c r="AG1079" s="1008"/>
      <c r="AH1079" s="1008"/>
      <c r="AI1079" s="1008"/>
    </row>
    <row r="1080" spans="1:35">
      <c r="A1080" s="1008">
        <v>26978</v>
      </c>
      <c r="C1080" s="1008">
        <v>8</v>
      </c>
      <c r="D1080" s="1009">
        <v>15399999</v>
      </c>
      <c r="E1080" s="1009">
        <v>15310999</v>
      </c>
      <c r="F1080" s="1007" t="s">
        <v>3601</v>
      </c>
      <c r="O1080" s="1007" t="s">
        <v>648</v>
      </c>
      <c r="P1080" s="1007" t="s">
        <v>648</v>
      </c>
      <c r="S1080" s="1008" t="s">
        <v>650</v>
      </c>
      <c r="T1080" s="1008" t="s">
        <v>21</v>
      </c>
      <c r="U1080" s="1008" t="s">
        <v>649</v>
      </c>
      <c r="V1080" s="1008" t="s">
        <v>648</v>
      </c>
      <c r="W1080" s="1008" t="s">
        <v>546</v>
      </c>
      <c r="X1080" s="1008"/>
      <c r="Y1080" s="1008"/>
      <c r="Z1080" s="1008"/>
      <c r="AA1080" s="1008"/>
      <c r="AB1080" s="1008"/>
      <c r="AC1080" s="1008"/>
      <c r="AD1080" s="1008"/>
      <c r="AE1080" s="1008"/>
      <c r="AF1080" s="1008"/>
      <c r="AG1080" s="1008"/>
      <c r="AH1080" s="1008"/>
      <c r="AI1080" s="1008"/>
    </row>
    <row r="1081" spans="1:35">
      <c r="A1081" s="1008">
        <v>26678</v>
      </c>
      <c r="B1081" s="1008">
        <v>243</v>
      </c>
      <c r="C1081" s="1008">
        <v>9</v>
      </c>
      <c r="D1081" s="1009">
        <v>15399999</v>
      </c>
      <c r="E1081" s="1009">
        <v>15315203</v>
      </c>
      <c r="F1081" s="1007" t="s">
        <v>3598</v>
      </c>
      <c r="G1081" s="1007">
        <v>8</v>
      </c>
      <c r="H1081" s="1010">
        <v>99999999</v>
      </c>
      <c r="I1081" s="1009">
        <v>4227210</v>
      </c>
      <c r="J1081" s="1007" t="s">
        <v>3600</v>
      </c>
      <c r="O1081" s="1007" t="s">
        <v>648</v>
      </c>
      <c r="P1081" s="1007" t="s">
        <v>648</v>
      </c>
      <c r="S1081" s="1008" t="s">
        <v>650</v>
      </c>
      <c r="T1081" s="1008" t="s">
        <v>654</v>
      </c>
      <c r="U1081" s="1008" t="s">
        <v>649</v>
      </c>
      <c r="V1081" s="1008" t="s">
        <v>648</v>
      </c>
      <c r="W1081" s="1008" t="s">
        <v>546</v>
      </c>
      <c r="X1081" s="1008" t="s">
        <v>670</v>
      </c>
      <c r="Y1081" s="1008" t="s">
        <v>670</v>
      </c>
      <c r="Z1081" s="1008" t="s">
        <v>670</v>
      </c>
      <c r="AA1081" s="1008"/>
      <c r="AB1081" s="1008" t="s">
        <v>670</v>
      </c>
      <c r="AC1081" s="1008"/>
      <c r="AD1081" s="1008"/>
      <c r="AE1081" s="1008"/>
      <c r="AF1081" s="1008" t="s">
        <v>670</v>
      </c>
      <c r="AG1081" s="1008"/>
      <c r="AH1081" s="1008"/>
      <c r="AI1081" s="1008"/>
    </row>
    <row r="1082" spans="1:35">
      <c r="A1082" s="1008">
        <v>26678</v>
      </c>
      <c r="B1082" s="1008">
        <v>1225</v>
      </c>
      <c r="C1082" s="1008">
        <v>9</v>
      </c>
      <c r="D1082" s="1009">
        <v>15399999</v>
      </c>
      <c r="E1082" s="1009">
        <v>15315203</v>
      </c>
      <c r="F1082" s="1007" t="s">
        <v>3598</v>
      </c>
      <c r="G1082" s="1007">
        <v>8</v>
      </c>
      <c r="H1082" s="1010">
        <v>99999999</v>
      </c>
      <c r="I1082" s="1009">
        <v>4227230</v>
      </c>
      <c r="J1082" s="1007" t="s">
        <v>3599</v>
      </c>
      <c r="O1082" s="1007" t="s">
        <v>648</v>
      </c>
      <c r="P1082" s="1007" t="s">
        <v>648</v>
      </c>
      <c r="S1082" s="1008" t="s">
        <v>650</v>
      </c>
      <c r="T1082" s="1008" t="s">
        <v>654</v>
      </c>
      <c r="U1082" s="1008" t="s">
        <v>649</v>
      </c>
      <c r="V1082" s="1008" t="s">
        <v>648</v>
      </c>
      <c r="W1082" s="1008" t="s">
        <v>546</v>
      </c>
      <c r="X1082" s="1008" t="s">
        <v>670</v>
      </c>
      <c r="Y1082" s="1008" t="s">
        <v>670</v>
      </c>
      <c r="Z1082" s="1008" t="s">
        <v>670</v>
      </c>
      <c r="AA1082" s="1008"/>
      <c r="AB1082" s="1008" t="s">
        <v>670</v>
      </c>
      <c r="AC1082" s="1008"/>
      <c r="AD1082" s="1008"/>
      <c r="AE1082" s="1008"/>
      <c r="AF1082" s="1008" t="s">
        <v>670</v>
      </c>
      <c r="AG1082" s="1008"/>
      <c r="AH1082" s="1008"/>
      <c r="AI1082" s="1008"/>
    </row>
    <row r="1083" spans="1:35">
      <c r="A1083" s="1008">
        <v>26678</v>
      </c>
      <c r="B1083" s="1008">
        <v>1138</v>
      </c>
      <c r="C1083" s="1008">
        <v>9</v>
      </c>
      <c r="D1083" s="1009">
        <v>15399999</v>
      </c>
      <c r="E1083" s="1009">
        <v>15315203</v>
      </c>
      <c r="F1083" s="1007" t="s">
        <v>3598</v>
      </c>
      <c r="G1083" s="1007">
        <v>8</v>
      </c>
      <c r="H1083" s="1010">
        <v>99999999</v>
      </c>
      <c r="I1083" s="1009">
        <v>15315203</v>
      </c>
      <c r="J1083" s="1007" t="s">
        <v>3598</v>
      </c>
      <c r="O1083" s="1007" t="s">
        <v>648</v>
      </c>
      <c r="P1083" s="1007" t="s">
        <v>648</v>
      </c>
      <c r="S1083" s="1008" t="s">
        <v>650</v>
      </c>
      <c r="T1083" s="1008" t="s">
        <v>654</v>
      </c>
      <c r="U1083" s="1008" t="s">
        <v>649</v>
      </c>
      <c r="V1083" s="1008" t="s">
        <v>648</v>
      </c>
      <c r="W1083" s="1008" t="s">
        <v>546</v>
      </c>
      <c r="X1083" s="1008" t="s">
        <v>670</v>
      </c>
      <c r="Y1083" s="1008" t="s">
        <v>670</v>
      </c>
      <c r="Z1083" s="1008" t="s">
        <v>670</v>
      </c>
      <c r="AA1083" s="1008"/>
      <c r="AB1083" s="1008" t="s">
        <v>670</v>
      </c>
      <c r="AC1083" s="1008"/>
      <c r="AD1083" s="1008"/>
      <c r="AE1083" s="1008"/>
      <c r="AF1083" s="1008" t="s">
        <v>670</v>
      </c>
      <c r="AG1083" s="1008"/>
      <c r="AH1083" s="1008"/>
      <c r="AI1083" s="1008"/>
    </row>
    <row r="1084" spans="1:35">
      <c r="A1084" s="1008">
        <v>27737</v>
      </c>
      <c r="B1084" s="1008">
        <v>6555</v>
      </c>
      <c r="C1084" s="1008">
        <v>8</v>
      </c>
      <c r="D1084" s="1009">
        <v>15399999</v>
      </c>
      <c r="E1084" s="1009">
        <v>15320200</v>
      </c>
      <c r="F1084" s="1007" t="s">
        <v>3597</v>
      </c>
      <c r="G1084" s="1007" t="s">
        <v>648</v>
      </c>
      <c r="H1084" s="1010">
        <v>99999999</v>
      </c>
      <c r="I1084" s="1009">
        <v>15320200</v>
      </c>
      <c r="J1084" s="1007" t="s">
        <v>3596</v>
      </c>
      <c r="O1084" s="1007" t="s">
        <v>648</v>
      </c>
      <c r="P1084" s="1007" t="s">
        <v>648</v>
      </c>
      <c r="S1084" s="1008" t="s">
        <v>650</v>
      </c>
      <c r="T1084" s="1008" t="s">
        <v>654</v>
      </c>
      <c r="U1084" s="1008" t="s">
        <v>649</v>
      </c>
      <c r="V1084" s="1008" t="s">
        <v>648</v>
      </c>
      <c r="W1084" s="1008" t="s">
        <v>546</v>
      </c>
      <c r="X1084" s="1008" t="s">
        <v>670</v>
      </c>
      <c r="Y1084" s="1008" t="s">
        <v>670</v>
      </c>
      <c r="Z1084" s="1008" t="s">
        <v>670</v>
      </c>
      <c r="AA1084" s="1008"/>
      <c r="AB1084" s="1008"/>
      <c r="AC1084" s="1008"/>
      <c r="AD1084" s="1008"/>
      <c r="AE1084" s="1008"/>
      <c r="AF1084" s="1008" t="s">
        <v>670</v>
      </c>
      <c r="AG1084" s="1008"/>
      <c r="AH1084" s="1008"/>
      <c r="AI1084" s="1008"/>
    </row>
    <row r="1085" spans="1:35">
      <c r="A1085" s="1008">
        <v>26679</v>
      </c>
      <c r="C1085" s="1008">
        <v>9</v>
      </c>
      <c r="D1085" s="1009">
        <v>15399999</v>
      </c>
      <c r="E1085" s="1009">
        <v>15320201</v>
      </c>
      <c r="F1085" s="1007" t="s">
        <v>3595</v>
      </c>
      <c r="O1085" s="1007" t="s">
        <v>648</v>
      </c>
      <c r="P1085" s="1007" t="s">
        <v>648</v>
      </c>
      <c r="S1085" s="1008" t="s">
        <v>650</v>
      </c>
      <c r="T1085" s="1008" t="s">
        <v>654</v>
      </c>
      <c r="U1085" s="1008" t="s">
        <v>649</v>
      </c>
      <c r="V1085" s="1008" t="s">
        <v>648</v>
      </c>
      <c r="W1085" s="1008" t="s">
        <v>652</v>
      </c>
      <c r="X1085" s="1008"/>
      <c r="Y1085" s="1008"/>
      <c r="Z1085" s="1008"/>
      <c r="AA1085" s="1008"/>
      <c r="AB1085" s="1008"/>
      <c r="AC1085" s="1008"/>
      <c r="AD1085" s="1008"/>
      <c r="AE1085" s="1008"/>
      <c r="AF1085" s="1008"/>
      <c r="AG1085" s="1008"/>
      <c r="AH1085" s="1008"/>
      <c r="AI1085" s="1008"/>
    </row>
    <row r="1086" spans="1:35">
      <c r="A1086" s="1008">
        <v>26680</v>
      </c>
      <c r="B1086" s="1008">
        <v>421</v>
      </c>
      <c r="C1086" s="1008">
        <v>8</v>
      </c>
      <c r="D1086" s="1009">
        <v>15399999</v>
      </c>
      <c r="E1086" s="1009">
        <v>15325200</v>
      </c>
      <c r="F1086" s="1007" t="s">
        <v>3594</v>
      </c>
      <c r="G1086" s="1007">
        <v>8</v>
      </c>
      <c r="H1086" s="1010">
        <v>99999999</v>
      </c>
      <c r="I1086" s="1009">
        <v>15325200</v>
      </c>
      <c r="J1086" s="1007" t="s">
        <v>3593</v>
      </c>
      <c r="O1086" s="1007" t="s">
        <v>648</v>
      </c>
      <c r="P1086" s="1007" t="s">
        <v>648</v>
      </c>
      <c r="S1086" s="1008" t="s">
        <v>650</v>
      </c>
      <c r="T1086" s="1008" t="s">
        <v>654</v>
      </c>
      <c r="U1086" s="1008" t="s">
        <v>649</v>
      </c>
      <c r="V1086" s="1008" t="s">
        <v>648</v>
      </c>
      <c r="W1086" s="1008" t="s">
        <v>652</v>
      </c>
      <c r="X1086" s="1008" t="s">
        <v>670</v>
      </c>
      <c r="Y1086" s="1008" t="s">
        <v>670</v>
      </c>
      <c r="Z1086" s="1008" t="s">
        <v>670</v>
      </c>
      <c r="AA1086" s="1008" t="s">
        <v>670</v>
      </c>
      <c r="AB1086" s="1008" t="s">
        <v>670</v>
      </c>
      <c r="AC1086" s="1008" t="s">
        <v>670</v>
      </c>
      <c r="AD1086" s="1008" t="s">
        <v>670</v>
      </c>
      <c r="AE1086" s="1008"/>
      <c r="AF1086" s="1008" t="s">
        <v>670</v>
      </c>
      <c r="AG1086" s="1008"/>
      <c r="AH1086" s="1008"/>
      <c r="AI1086" s="1008"/>
    </row>
    <row r="1087" spans="1:35">
      <c r="A1087" s="1008">
        <v>26681</v>
      </c>
      <c r="B1087" s="1008">
        <v>771</v>
      </c>
      <c r="C1087" s="1008">
        <v>9</v>
      </c>
      <c r="D1087" s="1009">
        <v>15399999</v>
      </c>
      <c r="E1087" s="1009">
        <v>15381700</v>
      </c>
      <c r="F1087" s="1007" t="s">
        <v>3592</v>
      </c>
      <c r="G1087" s="1007">
        <v>8</v>
      </c>
      <c r="H1087" s="1010">
        <v>99999999</v>
      </c>
      <c r="I1087" s="1009">
        <v>15381700</v>
      </c>
      <c r="J1087" s="1007" t="s">
        <v>3591</v>
      </c>
      <c r="O1087" s="1007" t="s">
        <v>648</v>
      </c>
      <c r="P1087" s="1007" t="s">
        <v>648</v>
      </c>
      <c r="S1087" s="1008" t="s">
        <v>650</v>
      </c>
      <c r="T1087" s="1008" t="s">
        <v>654</v>
      </c>
      <c r="U1087" s="1008" t="s">
        <v>649</v>
      </c>
      <c r="V1087" s="1008" t="s">
        <v>648</v>
      </c>
      <c r="W1087" s="1008" t="s">
        <v>546</v>
      </c>
      <c r="X1087" s="1008" t="s">
        <v>670</v>
      </c>
      <c r="Y1087" s="1008" t="s">
        <v>670</v>
      </c>
      <c r="Z1087" s="1008" t="s">
        <v>670</v>
      </c>
      <c r="AA1087" s="1008"/>
      <c r="AB1087" s="1008" t="s">
        <v>670</v>
      </c>
      <c r="AC1087" s="1008"/>
      <c r="AD1087" s="1008"/>
      <c r="AE1087" s="1008"/>
      <c r="AF1087" s="1008" t="s">
        <v>670</v>
      </c>
      <c r="AG1087" s="1008"/>
      <c r="AH1087" s="1008"/>
      <c r="AI1087" s="1008"/>
    </row>
    <row r="1088" spans="1:35">
      <c r="A1088" s="1008">
        <v>27748</v>
      </c>
      <c r="B1088" s="1008">
        <v>6565</v>
      </c>
      <c r="C1088" s="1008">
        <v>9</v>
      </c>
      <c r="D1088" s="1009">
        <v>15399999</v>
      </c>
      <c r="E1088" s="1009">
        <v>15381705</v>
      </c>
      <c r="F1088" s="1007" t="s">
        <v>3590</v>
      </c>
      <c r="G1088" s="1007" t="s">
        <v>648</v>
      </c>
      <c r="H1088" s="1010">
        <v>99999999</v>
      </c>
      <c r="I1088" s="1009">
        <v>15381705</v>
      </c>
      <c r="J1088" s="1007" t="s">
        <v>3589</v>
      </c>
      <c r="O1088" s="1007" t="s">
        <v>648</v>
      </c>
      <c r="P1088" s="1007" t="s">
        <v>648</v>
      </c>
      <c r="S1088" s="1008" t="s">
        <v>650</v>
      </c>
      <c r="T1088" s="1008" t="s">
        <v>654</v>
      </c>
      <c r="U1088" s="1008" t="s">
        <v>649</v>
      </c>
      <c r="V1088" s="1008" t="s">
        <v>648</v>
      </c>
      <c r="W1088" s="1008" t="s">
        <v>546</v>
      </c>
      <c r="X1088" s="1008" t="s">
        <v>670</v>
      </c>
      <c r="Y1088" s="1008" t="s">
        <v>670</v>
      </c>
      <c r="Z1088" s="1008" t="s">
        <v>670</v>
      </c>
      <c r="AA1088" s="1008" t="s">
        <v>670</v>
      </c>
      <c r="AB1088" s="1008" t="s">
        <v>670</v>
      </c>
      <c r="AC1088" s="1008"/>
      <c r="AD1088" s="1008"/>
      <c r="AE1088" s="1008"/>
      <c r="AF1088" s="1008" t="s">
        <v>670</v>
      </c>
      <c r="AG1088" s="1008"/>
      <c r="AH1088" s="1008"/>
      <c r="AI1088" s="1008"/>
    </row>
    <row r="1089" spans="1:35">
      <c r="A1089" s="1008">
        <v>27100</v>
      </c>
      <c r="B1089" s="1008">
        <v>5930</v>
      </c>
      <c r="C1089" s="1008">
        <v>9</v>
      </c>
      <c r="D1089" s="1009">
        <v>15399999</v>
      </c>
      <c r="E1089" s="1009">
        <v>15381750</v>
      </c>
      <c r="F1089" s="1007" t="s">
        <v>3588</v>
      </c>
      <c r="G1089" s="1007" t="s">
        <v>648</v>
      </c>
      <c r="H1089" s="1010">
        <v>99999999</v>
      </c>
      <c r="I1089" s="1009">
        <v>15381750</v>
      </c>
      <c r="J1089" s="1007" t="s">
        <v>3587</v>
      </c>
      <c r="O1089" s="1007" t="s">
        <v>648</v>
      </c>
      <c r="P1089" s="1007" t="s">
        <v>648</v>
      </c>
      <c r="S1089" s="1008" t="s">
        <v>650</v>
      </c>
      <c r="T1089" s="1008" t="s">
        <v>654</v>
      </c>
      <c r="U1089" s="1008" t="s">
        <v>649</v>
      </c>
      <c r="V1089" s="1008" t="s">
        <v>648</v>
      </c>
      <c r="W1089" s="1008" t="s">
        <v>546</v>
      </c>
      <c r="X1089" s="1008" t="s">
        <v>670</v>
      </c>
      <c r="Y1089" s="1008" t="s">
        <v>670</v>
      </c>
      <c r="Z1089" s="1008" t="s">
        <v>670</v>
      </c>
      <c r="AA1089" s="1008"/>
      <c r="AB1089" s="1008" t="s">
        <v>670</v>
      </c>
      <c r="AC1089" s="1008"/>
      <c r="AD1089" s="1008"/>
      <c r="AE1089" s="1008"/>
      <c r="AF1089" s="1008" t="s">
        <v>670</v>
      </c>
      <c r="AG1089" s="1008"/>
      <c r="AH1089" s="1008"/>
      <c r="AI1089" s="1008"/>
    </row>
    <row r="1090" spans="1:35">
      <c r="A1090" s="1008">
        <v>26447</v>
      </c>
      <c r="B1090" s="1008">
        <v>1555</v>
      </c>
      <c r="C1090" s="1008">
        <v>9</v>
      </c>
      <c r="D1090" s="1009">
        <v>15399999</v>
      </c>
      <c r="E1090" s="1009">
        <v>15392200</v>
      </c>
      <c r="F1090" s="1007" t="s">
        <v>3586</v>
      </c>
      <c r="G1090" s="1007">
        <v>7</v>
      </c>
      <c r="H1090" s="1010">
        <v>99999999</v>
      </c>
      <c r="I1090" s="1009">
        <v>15392200</v>
      </c>
      <c r="J1090" s="1007" t="s">
        <v>3585</v>
      </c>
      <c r="O1090" s="1007" t="s">
        <v>648</v>
      </c>
      <c r="P1090" s="1007" t="s">
        <v>648</v>
      </c>
      <c r="S1090" s="1008" t="s">
        <v>650</v>
      </c>
      <c r="T1090" s="1008" t="s">
        <v>654</v>
      </c>
      <c r="U1090" s="1008" t="s">
        <v>649</v>
      </c>
      <c r="V1090" s="1008" t="s">
        <v>648</v>
      </c>
      <c r="W1090" s="1008" t="s">
        <v>546</v>
      </c>
      <c r="X1090" s="1008" t="s">
        <v>670</v>
      </c>
      <c r="Y1090" s="1008" t="s">
        <v>670</v>
      </c>
      <c r="Z1090" s="1008"/>
      <c r="AA1090" s="1008"/>
      <c r="AB1090" s="1008"/>
      <c r="AC1090" s="1008"/>
      <c r="AD1090" s="1008"/>
      <c r="AE1090" s="1008"/>
      <c r="AF1090" s="1008" t="s">
        <v>670</v>
      </c>
      <c r="AG1090" s="1008"/>
      <c r="AH1090" s="1008"/>
      <c r="AI1090" s="1008"/>
    </row>
    <row r="1091" spans="1:35">
      <c r="A1091" s="1008">
        <v>26444</v>
      </c>
      <c r="B1091" s="1008">
        <v>1557</v>
      </c>
      <c r="C1091" s="1008">
        <v>9</v>
      </c>
      <c r="D1091" s="1009">
        <v>15399999</v>
      </c>
      <c r="E1091" s="1009">
        <v>15393700</v>
      </c>
      <c r="F1091" s="1007" t="s">
        <v>3584</v>
      </c>
      <c r="G1091" s="1007">
        <v>7</v>
      </c>
      <c r="H1091" s="1010">
        <v>99999999</v>
      </c>
      <c r="I1091" s="1009">
        <v>15393700</v>
      </c>
      <c r="J1091" s="1007" t="s">
        <v>3583</v>
      </c>
      <c r="O1091" s="1007" t="s">
        <v>648</v>
      </c>
      <c r="P1091" s="1007" t="s">
        <v>648</v>
      </c>
      <c r="S1091" s="1008" t="s">
        <v>650</v>
      </c>
      <c r="T1091" s="1008" t="s">
        <v>654</v>
      </c>
      <c r="U1091" s="1008" t="s">
        <v>649</v>
      </c>
      <c r="V1091" s="1008" t="s">
        <v>648</v>
      </c>
      <c r="W1091" s="1008" t="s">
        <v>546</v>
      </c>
      <c r="X1091" s="1008" t="s">
        <v>670</v>
      </c>
      <c r="Y1091" s="1008" t="s">
        <v>670</v>
      </c>
      <c r="Z1091" s="1008"/>
      <c r="AA1091" s="1008"/>
      <c r="AB1091" s="1008"/>
      <c r="AC1091" s="1008"/>
      <c r="AD1091" s="1008"/>
      <c r="AE1091" s="1008"/>
      <c r="AF1091" s="1008" t="s">
        <v>670</v>
      </c>
      <c r="AG1091" s="1008"/>
      <c r="AH1091" s="1008"/>
      <c r="AI1091" s="1008"/>
    </row>
    <row r="1092" spans="1:35">
      <c r="A1092" s="1008">
        <v>26506</v>
      </c>
      <c r="B1092" s="1008">
        <v>4845</v>
      </c>
      <c r="C1092" s="1008">
        <v>9</v>
      </c>
      <c r="D1092" s="1009">
        <v>15399999</v>
      </c>
      <c r="E1092" s="1009">
        <v>15399900</v>
      </c>
      <c r="F1092" s="1007" t="s">
        <v>3582</v>
      </c>
      <c r="G1092" s="1007">
        <v>7</v>
      </c>
      <c r="H1092" s="1010">
        <v>99999999</v>
      </c>
      <c r="I1092" s="1009">
        <v>15399900</v>
      </c>
      <c r="J1092" s="1007" t="s">
        <v>3581</v>
      </c>
      <c r="O1092" s="1007" t="s">
        <v>648</v>
      </c>
      <c r="P1092" s="1007" t="s">
        <v>648</v>
      </c>
      <c r="S1092" s="1008" t="s">
        <v>650</v>
      </c>
      <c r="T1092" s="1008" t="s">
        <v>654</v>
      </c>
      <c r="U1092" s="1008" t="s">
        <v>649</v>
      </c>
      <c r="V1092" s="1008" t="s">
        <v>648</v>
      </c>
      <c r="W1092" s="1008" t="s">
        <v>546</v>
      </c>
      <c r="X1092" s="1008" t="s">
        <v>670</v>
      </c>
      <c r="Y1092" s="1008"/>
      <c r="Z1092" s="1008"/>
      <c r="AA1092" s="1008"/>
      <c r="AB1092" s="1008"/>
      <c r="AC1092" s="1008"/>
      <c r="AD1092" s="1008"/>
      <c r="AE1092" s="1008"/>
      <c r="AF1092" s="1008"/>
      <c r="AG1092" s="1008"/>
      <c r="AH1092" s="1008"/>
      <c r="AI1092" s="1008"/>
    </row>
    <row r="1093" spans="1:35">
      <c r="A1093" s="1008">
        <v>26646</v>
      </c>
      <c r="C1093" s="1008">
        <v>7</v>
      </c>
      <c r="D1093" s="1009">
        <v>15499000</v>
      </c>
      <c r="E1093" s="1009">
        <v>15399999</v>
      </c>
      <c r="F1093" s="1007" t="s">
        <v>3580</v>
      </c>
      <c r="O1093" s="1007" t="s">
        <v>648</v>
      </c>
      <c r="P1093" s="1007" t="s">
        <v>648</v>
      </c>
      <c r="S1093" s="1008" t="s">
        <v>650</v>
      </c>
      <c r="T1093" s="1008" t="s">
        <v>21</v>
      </c>
      <c r="U1093" s="1008" t="s">
        <v>649</v>
      </c>
      <c r="V1093" s="1008" t="s">
        <v>648</v>
      </c>
      <c r="W1093" s="1008" t="s">
        <v>546</v>
      </c>
      <c r="X1093" s="1008"/>
      <c r="Y1093" s="1008"/>
      <c r="Z1093" s="1008"/>
      <c r="AA1093" s="1008"/>
      <c r="AB1093" s="1008"/>
      <c r="AC1093" s="1008"/>
      <c r="AD1093" s="1008"/>
      <c r="AE1093" s="1008"/>
      <c r="AF1093" s="1008"/>
      <c r="AG1093" s="1008"/>
      <c r="AH1093" s="1008"/>
      <c r="AI1093" s="1008"/>
    </row>
    <row r="1094" spans="1:35">
      <c r="A1094" s="1008">
        <v>26647</v>
      </c>
      <c r="C1094" s="1008">
        <v>7</v>
      </c>
      <c r="D1094" s="1009">
        <v>15419999</v>
      </c>
      <c r="E1094" s="1009">
        <v>15400000</v>
      </c>
      <c r="F1094" s="1007" t="s">
        <v>3579</v>
      </c>
      <c r="O1094" s="1007" t="s">
        <v>648</v>
      </c>
      <c r="P1094" s="1007" t="s">
        <v>648</v>
      </c>
      <c r="S1094" s="1008" t="s">
        <v>650</v>
      </c>
      <c r="T1094" s="1008" t="s">
        <v>675</v>
      </c>
      <c r="U1094" s="1008" t="s">
        <v>649</v>
      </c>
      <c r="V1094" s="1008" t="s">
        <v>648</v>
      </c>
      <c r="W1094" s="1008" t="s">
        <v>546</v>
      </c>
      <c r="X1094" s="1008"/>
      <c r="Y1094" s="1008"/>
      <c r="Z1094" s="1008"/>
      <c r="AA1094" s="1008"/>
      <c r="AB1094" s="1008"/>
      <c r="AC1094" s="1008"/>
      <c r="AD1094" s="1008"/>
      <c r="AE1094" s="1008"/>
      <c r="AF1094" s="1008"/>
      <c r="AG1094" s="1008"/>
      <c r="AH1094" s="1008"/>
      <c r="AI1094" s="1008"/>
    </row>
    <row r="1095" spans="1:35">
      <c r="A1095" s="1008">
        <v>26979</v>
      </c>
      <c r="C1095" s="1008">
        <v>8</v>
      </c>
      <c r="D1095" s="1009">
        <v>15411999</v>
      </c>
      <c r="E1095" s="1009">
        <v>15411000</v>
      </c>
      <c r="F1095" s="1007" t="s">
        <v>3578</v>
      </c>
      <c r="O1095" s="1007" t="s">
        <v>648</v>
      </c>
      <c r="P1095" s="1007" t="s">
        <v>648</v>
      </c>
      <c r="S1095" s="1008" t="s">
        <v>650</v>
      </c>
      <c r="T1095" s="1008" t="s">
        <v>675</v>
      </c>
      <c r="U1095" s="1008" t="s">
        <v>649</v>
      </c>
      <c r="V1095" s="1008" t="s">
        <v>648</v>
      </c>
      <c r="W1095" s="1008" t="s">
        <v>546</v>
      </c>
      <c r="X1095" s="1008"/>
      <c r="Y1095" s="1008"/>
      <c r="Z1095" s="1008"/>
      <c r="AA1095" s="1008"/>
      <c r="AB1095" s="1008"/>
      <c r="AC1095" s="1008"/>
      <c r="AD1095" s="1008"/>
      <c r="AE1095" s="1008"/>
      <c r="AF1095" s="1008"/>
      <c r="AG1095" s="1008"/>
      <c r="AH1095" s="1008"/>
      <c r="AI1095" s="1008"/>
    </row>
    <row r="1096" spans="1:35">
      <c r="A1096" s="1008">
        <v>26683</v>
      </c>
      <c r="B1096" s="1008">
        <v>281</v>
      </c>
      <c r="C1096" s="1008">
        <v>9</v>
      </c>
      <c r="D1096" s="1009">
        <v>15411999</v>
      </c>
      <c r="E1096" s="1009">
        <v>15411600</v>
      </c>
      <c r="F1096" s="1007" t="s">
        <v>3577</v>
      </c>
      <c r="G1096" s="1007">
        <v>8</v>
      </c>
      <c r="H1096" s="1010">
        <v>99999999</v>
      </c>
      <c r="I1096" s="1009">
        <v>15411600</v>
      </c>
      <c r="J1096" s="1007" t="s">
        <v>3576</v>
      </c>
      <c r="O1096" s="1007" t="s">
        <v>648</v>
      </c>
      <c r="P1096" s="1007" t="s">
        <v>648</v>
      </c>
      <c r="S1096" s="1008" t="s">
        <v>650</v>
      </c>
      <c r="T1096" s="1008" t="s">
        <v>654</v>
      </c>
      <c r="U1096" s="1008" t="s">
        <v>649</v>
      </c>
      <c r="V1096" s="1008" t="s">
        <v>648</v>
      </c>
      <c r="W1096" s="1008" t="s">
        <v>546</v>
      </c>
      <c r="X1096" s="1008" t="s">
        <v>670</v>
      </c>
      <c r="Y1096" s="1008" t="s">
        <v>670</v>
      </c>
      <c r="Z1096" s="1008" t="s">
        <v>670</v>
      </c>
      <c r="AA1096" s="1008"/>
      <c r="AB1096" s="1008" t="s">
        <v>670</v>
      </c>
      <c r="AC1096" s="1008"/>
      <c r="AD1096" s="1008"/>
      <c r="AE1096" s="1008"/>
      <c r="AF1096" s="1008" t="s">
        <v>670</v>
      </c>
      <c r="AG1096" s="1008"/>
      <c r="AH1096" s="1008"/>
      <c r="AI1096" s="1008"/>
    </row>
    <row r="1097" spans="1:35">
      <c r="A1097" s="1008">
        <v>26980</v>
      </c>
      <c r="B1097" s="1008">
        <v>282</v>
      </c>
      <c r="C1097" s="1008">
        <v>9</v>
      </c>
      <c r="D1097" s="1009">
        <v>15411999</v>
      </c>
      <c r="E1097" s="1009">
        <v>15411605</v>
      </c>
      <c r="F1097" s="1007" t="s">
        <v>3575</v>
      </c>
      <c r="G1097" s="1007">
        <v>8</v>
      </c>
      <c r="H1097" s="1010">
        <v>99999999</v>
      </c>
      <c r="I1097" s="1009">
        <v>15411605</v>
      </c>
      <c r="J1097" s="1007" t="s">
        <v>3574</v>
      </c>
      <c r="O1097" s="1007" t="s">
        <v>648</v>
      </c>
      <c r="P1097" s="1007" t="s">
        <v>648</v>
      </c>
      <c r="S1097" s="1008" t="s">
        <v>650</v>
      </c>
      <c r="T1097" s="1008" t="s">
        <v>654</v>
      </c>
      <c r="U1097" s="1008" t="s">
        <v>649</v>
      </c>
      <c r="V1097" s="1008" t="s">
        <v>648</v>
      </c>
      <c r="W1097" s="1008" t="s">
        <v>546</v>
      </c>
      <c r="X1097" s="1008" t="s">
        <v>670</v>
      </c>
      <c r="Y1097" s="1008" t="s">
        <v>670</v>
      </c>
      <c r="Z1097" s="1008" t="s">
        <v>670</v>
      </c>
      <c r="AA1097" s="1008"/>
      <c r="AB1097" s="1008" t="s">
        <v>670</v>
      </c>
      <c r="AC1097" s="1008"/>
      <c r="AD1097" s="1008"/>
      <c r="AE1097" s="1008"/>
      <c r="AF1097" s="1008" t="s">
        <v>670</v>
      </c>
      <c r="AG1097" s="1008"/>
      <c r="AH1097" s="1008"/>
      <c r="AI1097" s="1008"/>
    </row>
    <row r="1098" spans="1:35">
      <c r="A1098" s="1008">
        <v>26981</v>
      </c>
      <c r="B1098" s="1008">
        <v>283</v>
      </c>
      <c r="C1098" s="1008">
        <v>9</v>
      </c>
      <c r="D1098" s="1009">
        <v>15411999</v>
      </c>
      <c r="E1098" s="1009">
        <v>15411610</v>
      </c>
      <c r="F1098" s="1007" t="s">
        <v>3573</v>
      </c>
      <c r="G1098" s="1007">
        <v>8</v>
      </c>
      <c r="H1098" s="1010">
        <v>99999999</v>
      </c>
      <c r="I1098" s="1009">
        <v>15411610</v>
      </c>
      <c r="J1098" s="1007" t="s">
        <v>3572</v>
      </c>
      <c r="O1098" s="1007" t="s">
        <v>648</v>
      </c>
      <c r="P1098" s="1007" t="s">
        <v>648</v>
      </c>
      <c r="S1098" s="1008" t="s">
        <v>650</v>
      </c>
      <c r="T1098" s="1008" t="s">
        <v>654</v>
      </c>
      <c r="U1098" s="1008" t="s">
        <v>649</v>
      </c>
      <c r="V1098" s="1008" t="s">
        <v>648</v>
      </c>
      <c r="W1098" s="1008" t="s">
        <v>546</v>
      </c>
      <c r="X1098" s="1008" t="s">
        <v>670</v>
      </c>
      <c r="Y1098" s="1008" t="s">
        <v>670</v>
      </c>
      <c r="Z1098" s="1008" t="s">
        <v>670</v>
      </c>
      <c r="AA1098" s="1008"/>
      <c r="AB1098" s="1008" t="s">
        <v>670</v>
      </c>
      <c r="AC1098" s="1008"/>
      <c r="AD1098" s="1008"/>
      <c r="AE1098" s="1008"/>
      <c r="AF1098" s="1008" t="s">
        <v>670</v>
      </c>
      <c r="AG1098" s="1008"/>
      <c r="AH1098" s="1008"/>
      <c r="AI1098" s="1008"/>
    </row>
    <row r="1099" spans="1:35">
      <c r="A1099" s="1008">
        <v>26982</v>
      </c>
      <c r="B1099" s="1008">
        <v>284</v>
      </c>
      <c r="C1099" s="1008">
        <v>9</v>
      </c>
      <c r="D1099" s="1009">
        <v>15411999</v>
      </c>
      <c r="E1099" s="1009">
        <v>15411615</v>
      </c>
      <c r="F1099" s="1007" t="s">
        <v>3571</v>
      </c>
      <c r="G1099" s="1007">
        <v>8</v>
      </c>
      <c r="H1099" s="1010">
        <v>99999999</v>
      </c>
      <c r="I1099" s="1009">
        <v>15411615</v>
      </c>
      <c r="J1099" s="1007" t="s">
        <v>3570</v>
      </c>
      <c r="O1099" s="1007" t="s">
        <v>648</v>
      </c>
      <c r="P1099" s="1007" t="s">
        <v>648</v>
      </c>
      <c r="S1099" s="1008" t="s">
        <v>650</v>
      </c>
      <c r="T1099" s="1008" t="s">
        <v>654</v>
      </c>
      <c r="U1099" s="1008" t="s">
        <v>649</v>
      </c>
      <c r="V1099" s="1008" t="s">
        <v>648</v>
      </c>
      <c r="W1099" s="1008" t="s">
        <v>546</v>
      </c>
      <c r="X1099" s="1008" t="s">
        <v>670</v>
      </c>
      <c r="Y1099" s="1008" t="s">
        <v>670</v>
      </c>
      <c r="Z1099" s="1008" t="s">
        <v>670</v>
      </c>
      <c r="AA1099" s="1008"/>
      <c r="AB1099" s="1008" t="s">
        <v>670</v>
      </c>
      <c r="AC1099" s="1008"/>
      <c r="AD1099" s="1008"/>
      <c r="AE1099" s="1008"/>
      <c r="AF1099" s="1008" t="s">
        <v>670</v>
      </c>
      <c r="AG1099" s="1008"/>
      <c r="AH1099" s="1008"/>
      <c r="AI1099" s="1008"/>
    </row>
    <row r="1100" spans="1:35">
      <c r="A1100" s="1008">
        <v>26983</v>
      </c>
      <c r="B1100" s="1008">
        <v>285</v>
      </c>
      <c r="C1100" s="1008">
        <v>9</v>
      </c>
      <c r="D1100" s="1009">
        <v>15411999</v>
      </c>
      <c r="E1100" s="1009">
        <v>15411699</v>
      </c>
      <c r="F1100" s="1007" t="s">
        <v>3569</v>
      </c>
      <c r="G1100" s="1007">
        <v>8</v>
      </c>
      <c r="H1100" s="1010">
        <v>99999999</v>
      </c>
      <c r="I1100" s="1009">
        <v>15411699</v>
      </c>
      <c r="J1100" s="1007" t="s">
        <v>3568</v>
      </c>
      <c r="O1100" s="1007" t="s">
        <v>648</v>
      </c>
      <c r="P1100" s="1007" t="s">
        <v>648</v>
      </c>
      <c r="S1100" s="1008" t="s">
        <v>650</v>
      </c>
      <c r="T1100" s="1008" t="s">
        <v>654</v>
      </c>
      <c r="U1100" s="1008" t="s">
        <v>649</v>
      </c>
      <c r="V1100" s="1008" t="s">
        <v>648</v>
      </c>
      <c r="W1100" s="1008" t="s">
        <v>546</v>
      </c>
      <c r="X1100" s="1008" t="s">
        <v>670</v>
      </c>
      <c r="Y1100" s="1008" t="s">
        <v>670</v>
      </c>
      <c r="Z1100" s="1008" t="s">
        <v>670</v>
      </c>
      <c r="AA1100" s="1008"/>
      <c r="AB1100" s="1008" t="s">
        <v>670</v>
      </c>
      <c r="AC1100" s="1008"/>
      <c r="AD1100" s="1008"/>
      <c r="AE1100" s="1008"/>
      <c r="AF1100" s="1008" t="s">
        <v>670</v>
      </c>
      <c r="AG1100" s="1008"/>
      <c r="AH1100" s="1008"/>
      <c r="AI1100" s="1008"/>
    </row>
    <row r="1101" spans="1:35">
      <c r="A1101" s="1008">
        <v>27327</v>
      </c>
      <c r="B1101" s="1008">
        <v>6240</v>
      </c>
      <c r="C1101" s="1008">
        <v>9</v>
      </c>
      <c r="D1101" s="1009">
        <v>15411999</v>
      </c>
      <c r="E1101" s="1009">
        <v>15411700</v>
      </c>
      <c r="F1101" s="1007" t="s">
        <v>3567</v>
      </c>
      <c r="G1101" s="1007" t="s">
        <v>648</v>
      </c>
      <c r="H1101" s="1010">
        <v>99999999</v>
      </c>
      <c r="I1101" s="1009">
        <v>15411700</v>
      </c>
      <c r="J1101" s="1007" t="s">
        <v>3567</v>
      </c>
      <c r="O1101" s="1007" t="s">
        <v>648</v>
      </c>
      <c r="P1101" s="1007" t="s">
        <v>648</v>
      </c>
      <c r="S1101" s="1008" t="s">
        <v>650</v>
      </c>
      <c r="T1101" s="1008" t="s">
        <v>654</v>
      </c>
      <c r="U1101" s="1008" t="s">
        <v>649</v>
      </c>
      <c r="V1101" s="1008" t="s">
        <v>648</v>
      </c>
      <c r="W1101" s="1008" t="s">
        <v>546</v>
      </c>
      <c r="X1101" s="1008" t="s">
        <v>670</v>
      </c>
      <c r="Y1101" s="1008" t="s">
        <v>670</v>
      </c>
      <c r="Z1101" s="1008" t="s">
        <v>670</v>
      </c>
      <c r="AA1101" s="1008" t="s">
        <v>670</v>
      </c>
      <c r="AB1101" s="1008" t="s">
        <v>670</v>
      </c>
      <c r="AC1101" s="1008" t="s">
        <v>670</v>
      </c>
      <c r="AD1101" s="1008" t="s">
        <v>670</v>
      </c>
      <c r="AE1101" s="1008"/>
      <c r="AF1101" s="1008" t="s">
        <v>670</v>
      </c>
      <c r="AG1101" s="1008"/>
      <c r="AH1101" s="1008"/>
      <c r="AI1101" s="1008"/>
    </row>
    <row r="1102" spans="1:35">
      <c r="A1102" s="1008">
        <v>26984</v>
      </c>
      <c r="C1102" s="1008">
        <v>8</v>
      </c>
      <c r="D1102" s="1009">
        <v>15419999</v>
      </c>
      <c r="E1102" s="1009">
        <v>15411999</v>
      </c>
      <c r="F1102" s="1007" t="s">
        <v>3566</v>
      </c>
      <c r="O1102" s="1007" t="s">
        <v>648</v>
      </c>
      <c r="P1102" s="1007" t="s">
        <v>648</v>
      </c>
      <c r="S1102" s="1008" t="s">
        <v>650</v>
      </c>
      <c r="T1102" s="1008" t="s">
        <v>21</v>
      </c>
      <c r="U1102" s="1008" t="s">
        <v>649</v>
      </c>
      <c r="V1102" s="1008" t="s">
        <v>648</v>
      </c>
      <c r="W1102" s="1008" t="s">
        <v>546</v>
      </c>
      <c r="X1102" s="1008"/>
      <c r="Y1102" s="1008"/>
      <c r="Z1102" s="1008"/>
      <c r="AA1102" s="1008"/>
      <c r="AB1102" s="1008"/>
      <c r="AC1102" s="1008"/>
      <c r="AD1102" s="1008"/>
      <c r="AE1102" s="1008"/>
      <c r="AF1102" s="1008"/>
      <c r="AG1102" s="1008"/>
      <c r="AH1102" s="1008"/>
      <c r="AI1102" s="1008"/>
    </row>
    <row r="1103" spans="1:35">
      <c r="A1103" s="1008">
        <v>26684</v>
      </c>
      <c r="B1103" s="1008">
        <v>769</v>
      </c>
      <c r="C1103" s="1008">
        <v>9</v>
      </c>
      <c r="D1103" s="1009">
        <v>15419999</v>
      </c>
      <c r="E1103" s="1009">
        <v>15413700</v>
      </c>
      <c r="F1103" s="1007" t="s">
        <v>3565</v>
      </c>
      <c r="G1103" s="1007">
        <v>8</v>
      </c>
      <c r="H1103" s="1010">
        <v>99999999</v>
      </c>
      <c r="I1103" s="1009">
        <v>15413700</v>
      </c>
      <c r="J1103" s="1007" t="s">
        <v>3564</v>
      </c>
      <c r="O1103" s="1007" t="s">
        <v>648</v>
      </c>
      <c r="P1103" s="1007" t="s">
        <v>648</v>
      </c>
      <c r="S1103" s="1008" t="s">
        <v>650</v>
      </c>
      <c r="T1103" s="1008" t="s">
        <v>654</v>
      </c>
      <c r="U1103" s="1008" t="s">
        <v>649</v>
      </c>
      <c r="V1103" s="1008" t="s">
        <v>648</v>
      </c>
      <c r="W1103" s="1008" t="s">
        <v>546</v>
      </c>
      <c r="X1103" s="1008" t="s">
        <v>670</v>
      </c>
      <c r="Y1103" s="1008" t="s">
        <v>670</v>
      </c>
      <c r="Z1103" s="1008" t="s">
        <v>670</v>
      </c>
      <c r="AA1103" s="1008"/>
      <c r="AB1103" s="1008" t="s">
        <v>670</v>
      </c>
      <c r="AC1103" s="1008"/>
      <c r="AD1103" s="1008"/>
      <c r="AE1103" s="1008"/>
      <c r="AF1103" s="1008" t="s">
        <v>670</v>
      </c>
      <c r="AG1103" s="1008"/>
      <c r="AH1103" s="1008"/>
      <c r="AI1103" s="1008"/>
    </row>
    <row r="1104" spans="1:35">
      <c r="A1104" s="1008">
        <v>26441</v>
      </c>
      <c r="B1104" s="1008">
        <v>1558</v>
      </c>
      <c r="C1104" s="1008">
        <v>9</v>
      </c>
      <c r="D1104" s="1009">
        <v>15419999</v>
      </c>
      <c r="E1104" s="1009">
        <v>15419990</v>
      </c>
      <c r="F1104" s="1007" t="s">
        <v>3563</v>
      </c>
      <c r="G1104" s="1007">
        <v>7</v>
      </c>
      <c r="H1104" s="1010">
        <v>99999999</v>
      </c>
      <c r="I1104" s="1009">
        <v>15419990</v>
      </c>
      <c r="J1104" s="1007" t="s">
        <v>3562</v>
      </c>
      <c r="O1104" s="1007" t="s">
        <v>648</v>
      </c>
      <c r="P1104" s="1007" t="s">
        <v>648</v>
      </c>
      <c r="S1104" s="1008" t="s">
        <v>650</v>
      </c>
      <c r="T1104" s="1008" t="s">
        <v>654</v>
      </c>
      <c r="U1104" s="1008" t="s">
        <v>649</v>
      </c>
      <c r="V1104" s="1008" t="s">
        <v>648</v>
      </c>
      <c r="W1104" s="1008" t="s">
        <v>546</v>
      </c>
      <c r="X1104" s="1008" t="s">
        <v>670</v>
      </c>
      <c r="Y1104" s="1008"/>
      <c r="Z1104" s="1008"/>
      <c r="AA1104" s="1008"/>
      <c r="AB1104" s="1008"/>
      <c r="AC1104" s="1008"/>
      <c r="AD1104" s="1008"/>
      <c r="AE1104" s="1008"/>
      <c r="AF1104" s="1008"/>
      <c r="AG1104" s="1008"/>
      <c r="AH1104" s="1008"/>
      <c r="AI1104" s="1008"/>
    </row>
    <row r="1105" spans="1:35">
      <c r="A1105" s="1008">
        <v>26648</v>
      </c>
      <c r="C1105" s="1008">
        <v>7</v>
      </c>
      <c r="D1105" s="1009">
        <v>15499000</v>
      </c>
      <c r="E1105" s="1009">
        <v>15419999</v>
      </c>
      <c r="F1105" s="1007" t="s">
        <v>3561</v>
      </c>
      <c r="O1105" s="1007" t="s">
        <v>648</v>
      </c>
      <c r="P1105" s="1007" t="s">
        <v>648</v>
      </c>
      <c r="S1105" s="1008" t="s">
        <v>650</v>
      </c>
      <c r="T1105" s="1008" t="s">
        <v>21</v>
      </c>
      <c r="U1105" s="1008" t="s">
        <v>649</v>
      </c>
      <c r="V1105" s="1008" t="s">
        <v>648</v>
      </c>
      <c r="W1105" s="1008" t="s">
        <v>546</v>
      </c>
      <c r="X1105" s="1008"/>
      <c r="Y1105" s="1008"/>
      <c r="Z1105" s="1008"/>
      <c r="AA1105" s="1008"/>
      <c r="AB1105" s="1008"/>
      <c r="AC1105" s="1008"/>
      <c r="AD1105" s="1008"/>
      <c r="AE1105" s="1008"/>
      <c r="AF1105" s="1008"/>
      <c r="AG1105" s="1008"/>
      <c r="AH1105" s="1008"/>
      <c r="AI1105" s="1008"/>
    </row>
    <row r="1106" spans="1:35">
      <c r="A1106" s="1008">
        <v>26649</v>
      </c>
      <c r="C1106" s="1008">
        <v>7</v>
      </c>
      <c r="D1106" s="1009">
        <v>15429399</v>
      </c>
      <c r="E1106" s="1009">
        <v>15420000</v>
      </c>
      <c r="F1106" s="1007" t="s">
        <v>3560</v>
      </c>
      <c r="O1106" s="1007" t="s">
        <v>648</v>
      </c>
      <c r="P1106" s="1007" t="s">
        <v>648</v>
      </c>
      <c r="S1106" s="1008" t="s">
        <v>650</v>
      </c>
      <c r="T1106" s="1008" t="s">
        <v>675</v>
      </c>
      <c r="U1106" s="1008" t="s">
        <v>649</v>
      </c>
      <c r="V1106" s="1008" t="s">
        <v>648</v>
      </c>
      <c r="W1106" s="1008" t="s">
        <v>546</v>
      </c>
      <c r="X1106" s="1008"/>
      <c r="Y1106" s="1008"/>
      <c r="Z1106" s="1008"/>
      <c r="AA1106" s="1008"/>
      <c r="AB1106" s="1008"/>
      <c r="AC1106" s="1008"/>
      <c r="AD1106" s="1008"/>
      <c r="AE1106" s="1008"/>
      <c r="AF1106" s="1008"/>
      <c r="AG1106" s="1008"/>
      <c r="AH1106" s="1008"/>
      <c r="AI1106" s="1008"/>
    </row>
    <row r="1107" spans="1:35">
      <c r="A1107" s="1008">
        <v>26985</v>
      </c>
      <c r="C1107" s="1008">
        <v>8</v>
      </c>
      <c r="D1107" s="1009">
        <v>15425999</v>
      </c>
      <c r="E1107" s="1009">
        <v>15425000</v>
      </c>
      <c r="F1107" s="1007" t="s">
        <v>3559</v>
      </c>
      <c r="O1107" s="1007" t="s">
        <v>648</v>
      </c>
      <c r="P1107" s="1007" t="s">
        <v>648</v>
      </c>
      <c r="S1107" s="1008" t="s">
        <v>650</v>
      </c>
      <c r="T1107" s="1008" t="s">
        <v>675</v>
      </c>
      <c r="U1107" s="1008" t="s">
        <v>649</v>
      </c>
      <c r="V1107" s="1008" t="s">
        <v>648</v>
      </c>
      <c r="W1107" s="1008" t="s">
        <v>546</v>
      </c>
      <c r="X1107" s="1008"/>
      <c r="Y1107" s="1008"/>
      <c r="Z1107" s="1008"/>
      <c r="AA1107" s="1008"/>
      <c r="AB1107" s="1008"/>
      <c r="AC1107" s="1008"/>
      <c r="AD1107" s="1008"/>
      <c r="AE1107" s="1008"/>
      <c r="AF1107" s="1008"/>
      <c r="AG1107" s="1008"/>
      <c r="AH1107" s="1008"/>
      <c r="AI1107" s="1008"/>
    </row>
    <row r="1108" spans="1:35">
      <c r="A1108" s="1008">
        <v>26986</v>
      </c>
      <c r="B1108" s="1008">
        <v>437</v>
      </c>
      <c r="C1108" s="1008">
        <v>9</v>
      </c>
      <c r="D1108" s="1009">
        <v>15425999</v>
      </c>
      <c r="E1108" s="1009">
        <v>15425205</v>
      </c>
      <c r="F1108" s="1007" t="s">
        <v>3558</v>
      </c>
      <c r="G1108" s="1007">
        <v>8</v>
      </c>
      <c r="H1108" s="1010">
        <v>99999999</v>
      </c>
      <c r="I1108" s="1009">
        <v>15425205</v>
      </c>
      <c r="J1108" s="1007" t="s">
        <v>3557</v>
      </c>
      <c r="O1108" s="1007" t="s">
        <v>648</v>
      </c>
      <c r="P1108" s="1007" t="s">
        <v>648</v>
      </c>
      <c r="S1108" s="1008" t="s">
        <v>650</v>
      </c>
      <c r="T1108" s="1008" t="s">
        <v>654</v>
      </c>
      <c r="U1108" s="1008" t="s">
        <v>649</v>
      </c>
      <c r="V1108" s="1008" t="s">
        <v>648</v>
      </c>
      <c r="W1108" s="1008" t="s">
        <v>546</v>
      </c>
      <c r="X1108" s="1008" t="s">
        <v>670</v>
      </c>
      <c r="Y1108" s="1008" t="s">
        <v>670</v>
      </c>
      <c r="Z1108" s="1008" t="s">
        <v>670</v>
      </c>
      <c r="AA1108" s="1008"/>
      <c r="AB1108" s="1008" t="s">
        <v>670</v>
      </c>
      <c r="AC1108" s="1008"/>
      <c r="AD1108" s="1008"/>
      <c r="AE1108" s="1008"/>
      <c r="AF1108" s="1008" t="s">
        <v>670</v>
      </c>
      <c r="AG1108" s="1008"/>
      <c r="AH1108" s="1008"/>
      <c r="AI1108" s="1008"/>
    </row>
    <row r="1109" spans="1:35">
      <c r="A1109" s="1008">
        <v>26987</v>
      </c>
      <c r="B1109" s="1008">
        <v>438</v>
      </c>
      <c r="C1109" s="1008">
        <v>9</v>
      </c>
      <c r="D1109" s="1009">
        <v>15425999</v>
      </c>
      <c r="E1109" s="1009">
        <v>15425210</v>
      </c>
      <c r="F1109" s="1007" t="s">
        <v>3556</v>
      </c>
      <c r="G1109" s="1007">
        <v>8</v>
      </c>
      <c r="H1109" s="1010">
        <v>99999999</v>
      </c>
      <c r="I1109" s="1009">
        <v>15425210</v>
      </c>
      <c r="J1109" s="1007" t="s">
        <v>3555</v>
      </c>
      <c r="O1109" s="1007" t="s">
        <v>648</v>
      </c>
      <c r="P1109" s="1007" t="s">
        <v>648</v>
      </c>
      <c r="S1109" s="1008" t="s">
        <v>650</v>
      </c>
      <c r="T1109" s="1008" t="s">
        <v>654</v>
      </c>
      <c r="U1109" s="1008" t="s">
        <v>649</v>
      </c>
      <c r="V1109" s="1008" t="s">
        <v>648</v>
      </c>
      <c r="W1109" s="1008" t="s">
        <v>546</v>
      </c>
      <c r="X1109" s="1008" t="s">
        <v>670</v>
      </c>
      <c r="Y1109" s="1008" t="s">
        <v>670</v>
      </c>
      <c r="Z1109" s="1008" t="s">
        <v>670</v>
      </c>
      <c r="AA1109" s="1008"/>
      <c r="AB1109" s="1008" t="s">
        <v>670</v>
      </c>
      <c r="AC1109" s="1008"/>
      <c r="AD1109" s="1008" t="s">
        <v>670</v>
      </c>
      <c r="AE1109" s="1008"/>
      <c r="AF1109" s="1008" t="s">
        <v>670</v>
      </c>
      <c r="AG1109" s="1008"/>
      <c r="AH1109" s="1008"/>
      <c r="AI1109" s="1008"/>
    </row>
    <row r="1110" spans="1:35">
      <c r="A1110" s="1008">
        <v>26988</v>
      </c>
      <c r="B1110" s="1008">
        <v>439</v>
      </c>
      <c r="C1110" s="1008">
        <v>9</v>
      </c>
      <c r="D1110" s="1009">
        <v>15425999</v>
      </c>
      <c r="E1110" s="1009">
        <v>15425215</v>
      </c>
      <c r="F1110" s="1007" t="s">
        <v>3554</v>
      </c>
      <c r="G1110" s="1007">
        <v>8</v>
      </c>
      <c r="H1110" s="1010">
        <v>99999999</v>
      </c>
      <c r="I1110" s="1009">
        <v>15425215</v>
      </c>
      <c r="J1110" s="1007" t="s">
        <v>3553</v>
      </c>
      <c r="O1110" s="1007" t="s">
        <v>648</v>
      </c>
      <c r="P1110" s="1007" t="s">
        <v>648</v>
      </c>
      <c r="S1110" s="1008" t="s">
        <v>650</v>
      </c>
      <c r="T1110" s="1008" t="s">
        <v>654</v>
      </c>
      <c r="U1110" s="1008" t="s">
        <v>649</v>
      </c>
      <c r="V1110" s="1008" t="s">
        <v>648</v>
      </c>
      <c r="W1110" s="1008" t="s">
        <v>546</v>
      </c>
      <c r="X1110" s="1008" t="s">
        <v>670</v>
      </c>
      <c r="Y1110" s="1008" t="s">
        <v>670</v>
      </c>
      <c r="Z1110" s="1008" t="s">
        <v>670</v>
      </c>
      <c r="AA1110" s="1008"/>
      <c r="AB1110" s="1008" t="s">
        <v>670</v>
      </c>
      <c r="AC1110" s="1008"/>
      <c r="AD1110" s="1008"/>
      <c r="AE1110" s="1008"/>
      <c r="AF1110" s="1008" t="s">
        <v>670</v>
      </c>
      <c r="AG1110" s="1008"/>
      <c r="AH1110" s="1008"/>
      <c r="AI1110" s="1008"/>
    </row>
    <row r="1111" spans="1:35">
      <c r="A1111" s="1008">
        <v>26989</v>
      </c>
      <c r="B1111" s="1008">
        <v>440</v>
      </c>
      <c r="C1111" s="1008">
        <v>9</v>
      </c>
      <c r="D1111" s="1009">
        <v>15425999</v>
      </c>
      <c r="E1111" s="1009">
        <v>15425220</v>
      </c>
      <c r="F1111" s="1007" t="s">
        <v>3552</v>
      </c>
      <c r="G1111" s="1007">
        <v>8</v>
      </c>
      <c r="H1111" s="1010">
        <v>99999999</v>
      </c>
      <c r="I1111" s="1009">
        <v>15425220</v>
      </c>
      <c r="J1111" s="1007" t="s">
        <v>3551</v>
      </c>
      <c r="O1111" s="1007" t="s">
        <v>648</v>
      </c>
      <c r="P1111" s="1007" t="s">
        <v>648</v>
      </c>
      <c r="S1111" s="1008" t="s">
        <v>650</v>
      </c>
      <c r="T1111" s="1008" t="s">
        <v>654</v>
      </c>
      <c r="U1111" s="1008" t="s">
        <v>649</v>
      </c>
      <c r="V1111" s="1008" t="s">
        <v>648</v>
      </c>
      <c r="W1111" s="1008" t="s">
        <v>546</v>
      </c>
      <c r="X1111" s="1008" t="s">
        <v>670</v>
      </c>
      <c r="Y1111" s="1008" t="s">
        <v>670</v>
      </c>
      <c r="Z1111" s="1008" t="s">
        <v>670</v>
      </c>
      <c r="AA1111" s="1008"/>
      <c r="AB1111" s="1008" t="s">
        <v>670</v>
      </c>
      <c r="AC1111" s="1008"/>
      <c r="AD1111" s="1008"/>
      <c r="AE1111" s="1008"/>
      <c r="AF1111" s="1008" t="s">
        <v>670</v>
      </c>
      <c r="AG1111" s="1008"/>
      <c r="AH1111" s="1008"/>
      <c r="AI1111" s="1008"/>
    </row>
    <row r="1112" spans="1:35">
      <c r="A1112" s="1008">
        <v>26685</v>
      </c>
      <c r="B1112" s="1008">
        <v>441</v>
      </c>
      <c r="C1112" s="1008">
        <v>9</v>
      </c>
      <c r="D1112" s="1009">
        <v>15425999</v>
      </c>
      <c r="E1112" s="1009">
        <v>15425225</v>
      </c>
      <c r="F1112" s="1007" t="s">
        <v>3550</v>
      </c>
      <c r="G1112" s="1007">
        <v>8</v>
      </c>
      <c r="H1112" s="1010">
        <v>99999999</v>
      </c>
      <c r="I1112" s="1009">
        <v>15425225</v>
      </c>
      <c r="J1112" s="1007" t="s">
        <v>3549</v>
      </c>
      <c r="O1112" s="1007" t="s">
        <v>648</v>
      </c>
      <c r="P1112" s="1007" t="s">
        <v>648</v>
      </c>
      <c r="S1112" s="1008" t="s">
        <v>650</v>
      </c>
      <c r="T1112" s="1008" t="s">
        <v>654</v>
      </c>
      <c r="U1112" s="1008" t="s">
        <v>649</v>
      </c>
      <c r="V1112" s="1008" t="s">
        <v>648</v>
      </c>
      <c r="W1112" s="1008" t="s">
        <v>546</v>
      </c>
      <c r="X1112" s="1008" t="s">
        <v>670</v>
      </c>
      <c r="Y1112" s="1008" t="s">
        <v>670</v>
      </c>
      <c r="Z1112" s="1008" t="s">
        <v>670</v>
      </c>
      <c r="AA1112" s="1008"/>
      <c r="AB1112" s="1008" t="s">
        <v>670</v>
      </c>
      <c r="AC1112" s="1008"/>
      <c r="AD1112" s="1008" t="s">
        <v>670</v>
      </c>
      <c r="AE1112" s="1008"/>
      <c r="AF1112" s="1008" t="s">
        <v>670</v>
      </c>
      <c r="AG1112" s="1008"/>
      <c r="AH1112" s="1008"/>
      <c r="AI1112" s="1008"/>
    </row>
    <row r="1113" spans="1:35">
      <c r="A1113" s="1008">
        <v>27645</v>
      </c>
      <c r="B1113" s="1008">
        <v>6475</v>
      </c>
      <c r="C1113" s="1008">
        <v>9</v>
      </c>
      <c r="D1113" s="1009">
        <v>15425999</v>
      </c>
      <c r="E1113" s="1009">
        <v>15425230</v>
      </c>
      <c r="F1113" s="1007" t="s">
        <v>3548</v>
      </c>
      <c r="G1113" s="1007">
        <v>8</v>
      </c>
      <c r="H1113" s="1010">
        <v>99999999</v>
      </c>
      <c r="I1113" s="1009">
        <v>15425230</v>
      </c>
      <c r="J1113" s="1007" t="s">
        <v>3547</v>
      </c>
      <c r="O1113" s="1007" t="s">
        <v>648</v>
      </c>
      <c r="P1113" s="1007" t="s">
        <v>648</v>
      </c>
      <c r="S1113" s="1008" t="s">
        <v>650</v>
      </c>
      <c r="T1113" s="1008" t="s">
        <v>654</v>
      </c>
      <c r="U1113" s="1008" t="s">
        <v>649</v>
      </c>
      <c r="V1113" s="1008" t="s">
        <v>648</v>
      </c>
      <c r="W1113" s="1008" t="s">
        <v>546</v>
      </c>
      <c r="X1113" s="1008" t="s">
        <v>670</v>
      </c>
      <c r="Y1113" s="1008" t="s">
        <v>670</v>
      </c>
      <c r="Z1113" s="1008" t="s">
        <v>670</v>
      </c>
      <c r="AA1113" s="1008"/>
      <c r="AB1113" s="1008" t="s">
        <v>670</v>
      </c>
      <c r="AC1113" s="1008"/>
      <c r="AD1113" s="1008" t="s">
        <v>670</v>
      </c>
      <c r="AE1113" s="1008"/>
      <c r="AF1113" s="1008" t="s">
        <v>670</v>
      </c>
      <c r="AG1113" s="1008"/>
      <c r="AH1113" s="1008"/>
      <c r="AI1113" s="1008"/>
    </row>
    <row r="1114" spans="1:35">
      <c r="A1114" s="1008">
        <v>27646</v>
      </c>
      <c r="B1114" s="1008">
        <v>6476</v>
      </c>
      <c r="C1114" s="1008">
        <v>9</v>
      </c>
      <c r="D1114" s="1009">
        <v>15425999</v>
      </c>
      <c r="E1114" s="1009">
        <v>15425235</v>
      </c>
      <c r="F1114" s="1007" t="s">
        <v>3546</v>
      </c>
      <c r="G1114" s="1007">
        <v>8</v>
      </c>
      <c r="H1114" s="1010">
        <v>99999999</v>
      </c>
      <c r="I1114" s="1009">
        <v>15425235</v>
      </c>
      <c r="J1114" s="1007" t="s">
        <v>3545</v>
      </c>
      <c r="O1114" s="1007" t="s">
        <v>648</v>
      </c>
      <c r="P1114" s="1007" t="s">
        <v>648</v>
      </c>
      <c r="S1114" s="1008" t="s">
        <v>650</v>
      </c>
      <c r="T1114" s="1008" t="s">
        <v>654</v>
      </c>
      <c r="U1114" s="1008" t="s">
        <v>649</v>
      </c>
      <c r="V1114" s="1008" t="s">
        <v>648</v>
      </c>
      <c r="W1114" s="1008" t="s">
        <v>546</v>
      </c>
      <c r="X1114" s="1008" t="s">
        <v>670</v>
      </c>
      <c r="Y1114" s="1008" t="s">
        <v>670</v>
      </c>
      <c r="Z1114" s="1008" t="s">
        <v>670</v>
      </c>
      <c r="AA1114" s="1008"/>
      <c r="AB1114" s="1008" t="s">
        <v>670</v>
      </c>
      <c r="AC1114" s="1008"/>
      <c r="AD1114" s="1008" t="s">
        <v>670</v>
      </c>
      <c r="AE1114" s="1008"/>
      <c r="AF1114" s="1008" t="s">
        <v>670</v>
      </c>
      <c r="AG1114" s="1008"/>
      <c r="AH1114" s="1008"/>
      <c r="AI1114" s="1008"/>
    </row>
    <row r="1115" spans="1:35">
      <c r="A1115" s="1008">
        <v>26990</v>
      </c>
      <c r="C1115" s="1008">
        <v>8</v>
      </c>
      <c r="D1115" s="1009">
        <v>15429399</v>
      </c>
      <c r="E1115" s="1009">
        <v>15425999</v>
      </c>
      <c r="F1115" s="1007" t="s">
        <v>3544</v>
      </c>
      <c r="O1115" s="1007" t="s">
        <v>648</v>
      </c>
      <c r="P1115" s="1007" t="s">
        <v>648</v>
      </c>
      <c r="S1115" s="1008" t="s">
        <v>650</v>
      </c>
      <c r="T1115" s="1008" t="s">
        <v>21</v>
      </c>
      <c r="U1115" s="1008" t="s">
        <v>649</v>
      </c>
      <c r="V1115" s="1008" t="s">
        <v>648</v>
      </c>
      <c r="W1115" s="1008" t="s">
        <v>546</v>
      </c>
      <c r="X1115" s="1008"/>
      <c r="Y1115" s="1008"/>
      <c r="Z1115" s="1008"/>
      <c r="AA1115" s="1008"/>
      <c r="AB1115" s="1008"/>
      <c r="AC1115" s="1008"/>
      <c r="AD1115" s="1008"/>
      <c r="AE1115" s="1008"/>
      <c r="AF1115" s="1008"/>
      <c r="AG1115" s="1008"/>
      <c r="AH1115" s="1008"/>
      <c r="AI1115" s="1008"/>
    </row>
    <row r="1116" spans="1:35">
      <c r="A1116" s="1008">
        <v>27121</v>
      </c>
      <c r="B1116" s="1008">
        <v>5954</v>
      </c>
      <c r="C1116" s="1008">
        <v>8</v>
      </c>
      <c r="D1116" s="1009">
        <v>15429399</v>
      </c>
      <c r="E1116" s="1009">
        <v>15426300</v>
      </c>
      <c r="F1116" s="1007" t="s">
        <v>3543</v>
      </c>
      <c r="G1116" s="1007">
        <v>8</v>
      </c>
      <c r="H1116" s="1010">
        <v>99999999</v>
      </c>
      <c r="I1116" s="1009">
        <v>15426300</v>
      </c>
      <c r="J1116" s="1007" t="s">
        <v>3543</v>
      </c>
      <c r="O1116" s="1007" t="s">
        <v>648</v>
      </c>
      <c r="P1116" s="1007" t="s">
        <v>648</v>
      </c>
      <c r="S1116" s="1008" t="s">
        <v>650</v>
      </c>
      <c r="T1116" s="1008" t="s">
        <v>654</v>
      </c>
      <c r="U1116" s="1008" t="s">
        <v>649</v>
      </c>
      <c r="V1116" s="1008" t="s">
        <v>648</v>
      </c>
      <c r="W1116" s="1008" t="s">
        <v>546</v>
      </c>
      <c r="X1116" s="1008" t="s">
        <v>670</v>
      </c>
      <c r="Y1116" s="1008" t="s">
        <v>670</v>
      </c>
      <c r="Z1116" s="1008" t="s">
        <v>670</v>
      </c>
      <c r="AA1116" s="1008"/>
      <c r="AB1116" s="1008" t="s">
        <v>670</v>
      </c>
      <c r="AC1116" s="1008"/>
      <c r="AD1116" s="1008"/>
      <c r="AE1116" s="1008"/>
      <c r="AF1116" s="1008" t="s">
        <v>670</v>
      </c>
      <c r="AG1116" s="1008"/>
      <c r="AH1116" s="1008"/>
      <c r="AI1116" s="1008"/>
    </row>
    <row r="1117" spans="1:35">
      <c r="A1117" s="1008">
        <v>26650</v>
      </c>
      <c r="C1117" s="1008">
        <v>7</v>
      </c>
      <c r="D1117" s="1009">
        <v>15499000</v>
      </c>
      <c r="E1117" s="1009">
        <v>15429399</v>
      </c>
      <c r="F1117" s="1007" t="s">
        <v>3542</v>
      </c>
      <c r="O1117" s="1007" t="s">
        <v>648</v>
      </c>
      <c r="P1117" s="1007" t="s">
        <v>648</v>
      </c>
      <c r="S1117" s="1008" t="s">
        <v>650</v>
      </c>
      <c r="T1117" s="1008" t="s">
        <v>21</v>
      </c>
      <c r="U1117" s="1008" t="s">
        <v>649</v>
      </c>
      <c r="V1117" s="1008" t="s">
        <v>648</v>
      </c>
      <c r="W1117" s="1008" t="s">
        <v>546</v>
      </c>
      <c r="X1117" s="1008"/>
      <c r="Y1117" s="1008"/>
      <c r="Z1117" s="1008"/>
      <c r="AA1117" s="1008"/>
      <c r="AB1117" s="1008"/>
      <c r="AC1117" s="1008"/>
      <c r="AD1117" s="1008"/>
      <c r="AE1117" s="1008"/>
      <c r="AF1117" s="1008"/>
      <c r="AG1117" s="1008"/>
      <c r="AH1117" s="1008"/>
      <c r="AI1117" s="1008"/>
    </row>
    <row r="1118" spans="1:35">
      <c r="A1118" s="1008">
        <v>26991</v>
      </c>
      <c r="B1118" s="1008">
        <v>445</v>
      </c>
      <c r="C1118" s="1008">
        <v>8</v>
      </c>
      <c r="D1118" s="1009">
        <v>15429399</v>
      </c>
      <c r="E1118" s="1009">
        <v>15429900</v>
      </c>
      <c r="F1118" s="1007" t="s">
        <v>3541</v>
      </c>
      <c r="G1118" s="1007">
        <v>8</v>
      </c>
      <c r="H1118" s="1010">
        <v>99999999</v>
      </c>
      <c r="I1118" s="1009">
        <v>15429900</v>
      </c>
      <c r="J1118" s="1007" t="s">
        <v>3541</v>
      </c>
      <c r="O1118" s="1007" t="s">
        <v>648</v>
      </c>
      <c r="P1118" s="1007" t="s">
        <v>648</v>
      </c>
      <c r="S1118" s="1008" t="s">
        <v>650</v>
      </c>
      <c r="T1118" s="1008" t="s">
        <v>654</v>
      </c>
      <c r="U1118" s="1008" t="s">
        <v>649</v>
      </c>
      <c r="V1118" s="1008" t="s">
        <v>648</v>
      </c>
      <c r="W1118" s="1008" t="s">
        <v>546</v>
      </c>
      <c r="X1118" s="1008" t="s">
        <v>670</v>
      </c>
      <c r="Y1118" s="1008" t="s">
        <v>670</v>
      </c>
      <c r="Z1118" s="1008" t="s">
        <v>670</v>
      </c>
      <c r="AA1118" s="1008"/>
      <c r="AB1118" s="1008" t="s">
        <v>670</v>
      </c>
      <c r="AC1118" s="1008" t="s">
        <v>670</v>
      </c>
      <c r="AD1118" s="1008"/>
      <c r="AE1118" s="1008"/>
      <c r="AF1118" s="1008" t="s">
        <v>670</v>
      </c>
      <c r="AG1118" s="1008"/>
      <c r="AH1118" s="1008"/>
      <c r="AI1118" s="1008"/>
    </row>
    <row r="1119" spans="1:35">
      <c r="A1119" s="1008">
        <v>26445</v>
      </c>
      <c r="B1119" s="1008">
        <v>1556</v>
      </c>
      <c r="C1119" s="1008">
        <v>8</v>
      </c>
      <c r="D1119" s="1009">
        <v>15429399</v>
      </c>
      <c r="E1119" s="1009">
        <v>15429990</v>
      </c>
      <c r="F1119" s="1007" t="s">
        <v>3540</v>
      </c>
      <c r="G1119" s="1007">
        <v>7</v>
      </c>
      <c r="H1119" s="1010">
        <v>99999999</v>
      </c>
      <c r="I1119" s="1009">
        <v>15429990</v>
      </c>
      <c r="J1119" s="1007" t="s">
        <v>3539</v>
      </c>
      <c r="O1119" s="1007" t="s">
        <v>648</v>
      </c>
      <c r="P1119" s="1007" t="s">
        <v>648</v>
      </c>
      <c r="S1119" s="1008" t="s">
        <v>650</v>
      </c>
      <c r="T1119" s="1008" t="s">
        <v>654</v>
      </c>
      <c r="U1119" s="1008" t="s">
        <v>649</v>
      </c>
      <c r="V1119" s="1008" t="s">
        <v>648</v>
      </c>
      <c r="W1119" s="1008" t="s">
        <v>546</v>
      </c>
      <c r="X1119" s="1008" t="s">
        <v>670</v>
      </c>
      <c r="Y1119" s="1008" t="s">
        <v>670</v>
      </c>
      <c r="Z1119" s="1008"/>
      <c r="AA1119" s="1008"/>
      <c r="AB1119" s="1008" t="s">
        <v>670</v>
      </c>
      <c r="AC1119" s="1008"/>
      <c r="AD1119" s="1008"/>
      <c r="AE1119" s="1008"/>
      <c r="AF1119" s="1008" t="s">
        <v>670</v>
      </c>
      <c r="AG1119" s="1008"/>
      <c r="AH1119" s="1008"/>
      <c r="AI1119" s="1008"/>
    </row>
    <row r="1120" spans="1:35">
      <c r="A1120" s="1008">
        <v>26651</v>
      </c>
      <c r="C1120" s="1008">
        <v>7</v>
      </c>
      <c r="D1120" s="1009">
        <v>15459799</v>
      </c>
      <c r="E1120" s="1009">
        <v>15430000</v>
      </c>
      <c r="F1120" s="1007" t="s">
        <v>3538</v>
      </c>
      <c r="O1120" s="1007" t="s">
        <v>648</v>
      </c>
      <c r="P1120" s="1007" t="s">
        <v>648</v>
      </c>
      <c r="S1120" s="1008" t="s">
        <v>650</v>
      </c>
      <c r="T1120" s="1008" t="s">
        <v>675</v>
      </c>
      <c r="U1120" s="1008" t="s">
        <v>649</v>
      </c>
      <c r="V1120" s="1008" t="s">
        <v>648</v>
      </c>
      <c r="W1120" s="1008" t="s">
        <v>546</v>
      </c>
      <c r="X1120" s="1008"/>
      <c r="Y1120" s="1008"/>
      <c r="Z1120" s="1008"/>
      <c r="AA1120" s="1008"/>
      <c r="AB1120" s="1008"/>
      <c r="AC1120" s="1008"/>
      <c r="AD1120" s="1008"/>
      <c r="AE1120" s="1008"/>
      <c r="AF1120" s="1008"/>
      <c r="AG1120" s="1008"/>
      <c r="AH1120" s="1008"/>
      <c r="AI1120" s="1008"/>
    </row>
    <row r="1121" spans="1:35">
      <c r="A1121" s="1008">
        <v>26686</v>
      </c>
      <c r="B1121" s="1008">
        <v>760</v>
      </c>
      <c r="C1121" s="1008">
        <v>8</v>
      </c>
      <c r="D1121" s="1009">
        <v>15459799</v>
      </c>
      <c r="E1121" s="1009">
        <v>15431600</v>
      </c>
      <c r="F1121" s="1007" t="s">
        <v>3537</v>
      </c>
      <c r="G1121" s="1007">
        <v>8</v>
      </c>
      <c r="H1121" s="1010">
        <v>99999999</v>
      </c>
      <c r="I1121" s="1009">
        <v>15431600</v>
      </c>
      <c r="J1121" s="1007" t="s">
        <v>3537</v>
      </c>
      <c r="O1121" s="1007" t="s">
        <v>648</v>
      </c>
      <c r="P1121" s="1007" t="s">
        <v>648</v>
      </c>
      <c r="S1121" s="1008" t="s">
        <v>650</v>
      </c>
      <c r="T1121" s="1008" t="s">
        <v>654</v>
      </c>
      <c r="U1121" s="1008" t="s">
        <v>649</v>
      </c>
      <c r="V1121" s="1008" t="s">
        <v>648</v>
      </c>
      <c r="W1121" s="1008" t="s">
        <v>546</v>
      </c>
      <c r="X1121" s="1008" t="s">
        <v>670</v>
      </c>
      <c r="Y1121" s="1008" t="s">
        <v>670</v>
      </c>
      <c r="Z1121" s="1008" t="s">
        <v>670</v>
      </c>
      <c r="AA1121" s="1008"/>
      <c r="AB1121" s="1008" t="s">
        <v>670</v>
      </c>
      <c r="AC1121" s="1008"/>
      <c r="AD1121" s="1008"/>
      <c r="AE1121" s="1008"/>
      <c r="AF1121" s="1008" t="s">
        <v>670</v>
      </c>
      <c r="AG1121" s="1008"/>
      <c r="AH1121" s="1008"/>
      <c r="AI1121" s="1008"/>
    </row>
    <row r="1122" spans="1:35">
      <c r="A1122" s="1008">
        <v>26689</v>
      </c>
      <c r="B1122" s="1008">
        <v>772</v>
      </c>
      <c r="C1122" s="1008">
        <v>9</v>
      </c>
      <c r="D1122" s="1009">
        <v>15459799</v>
      </c>
      <c r="E1122" s="1009">
        <v>15433700</v>
      </c>
      <c r="F1122" s="1007" t="s">
        <v>3536</v>
      </c>
      <c r="G1122" s="1007">
        <v>8</v>
      </c>
      <c r="H1122" s="1010">
        <v>99999999</v>
      </c>
      <c r="I1122" s="1009">
        <v>15433700</v>
      </c>
      <c r="J1122" s="1007" t="s">
        <v>3535</v>
      </c>
      <c r="O1122" s="1007" t="s">
        <v>648</v>
      </c>
      <c r="P1122" s="1007" t="s">
        <v>648</v>
      </c>
      <c r="S1122" s="1008" t="s">
        <v>650</v>
      </c>
      <c r="T1122" s="1008" t="s">
        <v>654</v>
      </c>
      <c r="U1122" s="1008" t="s">
        <v>649</v>
      </c>
      <c r="V1122" s="1008" t="s">
        <v>648</v>
      </c>
      <c r="W1122" s="1008" t="s">
        <v>546</v>
      </c>
      <c r="X1122" s="1008" t="s">
        <v>670</v>
      </c>
      <c r="Y1122" s="1008" t="s">
        <v>670</v>
      </c>
      <c r="Z1122" s="1008" t="s">
        <v>670</v>
      </c>
      <c r="AA1122" s="1008"/>
      <c r="AB1122" s="1008" t="s">
        <v>670</v>
      </c>
      <c r="AC1122" s="1008"/>
      <c r="AD1122" s="1008"/>
      <c r="AE1122" s="1008"/>
      <c r="AF1122" s="1008" t="s">
        <v>670</v>
      </c>
      <c r="AG1122" s="1008"/>
      <c r="AH1122" s="1008"/>
      <c r="AI1122" s="1008"/>
    </row>
    <row r="1123" spans="1:35">
      <c r="A1123" s="1008">
        <v>26440</v>
      </c>
      <c r="B1123" s="1008">
        <v>1559</v>
      </c>
      <c r="C1123" s="1008">
        <v>8</v>
      </c>
      <c r="D1123" s="1009">
        <v>15459799</v>
      </c>
      <c r="E1123" s="1009">
        <v>15459790</v>
      </c>
      <c r="F1123" s="1007" t="s">
        <v>3534</v>
      </c>
      <c r="G1123" s="1007">
        <v>7</v>
      </c>
      <c r="H1123" s="1010">
        <v>99999999</v>
      </c>
      <c r="I1123" s="1009">
        <v>15459790</v>
      </c>
      <c r="J1123" s="1007" t="s">
        <v>3534</v>
      </c>
      <c r="O1123" s="1007" t="s">
        <v>648</v>
      </c>
      <c r="P1123" s="1007" t="s">
        <v>648</v>
      </c>
      <c r="S1123" s="1008" t="s">
        <v>650</v>
      </c>
      <c r="T1123" s="1008" t="s">
        <v>654</v>
      </c>
      <c r="U1123" s="1008" t="s">
        <v>649</v>
      </c>
      <c r="V1123" s="1008" t="s">
        <v>648</v>
      </c>
      <c r="W1123" s="1008" t="s">
        <v>546</v>
      </c>
      <c r="X1123" s="1008" t="s">
        <v>670</v>
      </c>
      <c r="Y1123" s="1008" t="s">
        <v>670</v>
      </c>
      <c r="Z1123" s="1008"/>
      <c r="AA1123" s="1008"/>
      <c r="AB1123" s="1008"/>
      <c r="AC1123" s="1008"/>
      <c r="AD1123" s="1008"/>
      <c r="AE1123" s="1008"/>
      <c r="AF1123" s="1008" t="s">
        <v>670</v>
      </c>
      <c r="AG1123" s="1008"/>
      <c r="AH1123" s="1008"/>
      <c r="AI1123" s="1008"/>
    </row>
    <row r="1124" spans="1:35">
      <c r="A1124" s="1008">
        <v>26652</v>
      </c>
      <c r="C1124" s="1008">
        <v>7</v>
      </c>
      <c r="D1124" s="1009">
        <v>15499000</v>
      </c>
      <c r="E1124" s="1009">
        <v>15459799</v>
      </c>
      <c r="F1124" s="1007" t="s">
        <v>3533</v>
      </c>
      <c r="O1124" s="1007" t="s">
        <v>648</v>
      </c>
      <c r="P1124" s="1007" t="s">
        <v>648</v>
      </c>
      <c r="S1124" s="1008" t="s">
        <v>650</v>
      </c>
      <c r="T1124" s="1008" t="s">
        <v>21</v>
      </c>
      <c r="U1124" s="1008" t="s">
        <v>649</v>
      </c>
      <c r="V1124" s="1008" t="s">
        <v>648</v>
      </c>
      <c r="W1124" s="1008" t="s">
        <v>546</v>
      </c>
      <c r="X1124" s="1008"/>
      <c r="Y1124" s="1008"/>
      <c r="Z1124" s="1008"/>
      <c r="AA1124" s="1008"/>
      <c r="AB1124" s="1008"/>
      <c r="AC1124" s="1008"/>
      <c r="AD1124" s="1008"/>
      <c r="AE1124" s="1008"/>
      <c r="AF1124" s="1008"/>
      <c r="AG1124" s="1008"/>
      <c r="AH1124" s="1008"/>
      <c r="AI1124" s="1008"/>
    </row>
    <row r="1125" spans="1:35">
      <c r="A1125" s="1008">
        <v>26653</v>
      </c>
      <c r="C1125" s="1008">
        <v>7</v>
      </c>
      <c r="D1125" s="1009">
        <v>15469999</v>
      </c>
      <c r="E1125" s="1009">
        <v>15460000</v>
      </c>
      <c r="F1125" s="1007" t="s">
        <v>3532</v>
      </c>
      <c r="O1125" s="1007" t="s">
        <v>648</v>
      </c>
      <c r="P1125" s="1007" t="s">
        <v>648</v>
      </c>
      <c r="S1125" s="1008" t="s">
        <v>650</v>
      </c>
      <c r="T1125" s="1008" t="s">
        <v>675</v>
      </c>
      <c r="U1125" s="1008" t="s">
        <v>649</v>
      </c>
      <c r="V1125" s="1008" t="s">
        <v>648</v>
      </c>
      <c r="W1125" s="1008" t="s">
        <v>546</v>
      </c>
      <c r="X1125" s="1008"/>
      <c r="Y1125" s="1008"/>
      <c r="Z1125" s="1008"/>
      <c r="AA1125" s="1008"/>
      <c r="AB1125" s="1008"/>
      <c r="AC1125" s="1008"/>
      <c r="AD1125" s="1008"/>
      <c r="AE1125" s="1008"/>
      <c r="AF1125" s="1008"/>
      <c r="AG1125" s="1008"/>
      <c r="AH1125" s="1008"/>
      <c r="AI1125" s="1008"/>
    </row>
    <row r="1126" spans="1:35">
      <c r="A1126" s="1008">
        <v>26699</v>
      </c>
      <c r="B1126" s="1008">
        <v>773</v>
      </c>
      <c r="C1126" s="1008">
        <v>8</v>
      </c>
      <c r="D1126" s="1009">
        <v>15469999</v>
      </c>
      <c r="E1126" s="1009">
        <v>15461700</v>
      </c>
      <c r="F1126" s="1007" t="s">
        <v>3532</v>
      </c>
      <c r="G1126" s="1007">
        <v>7</v>
      </c>
      <c r="H1126" s="1010">
        <v>99999999</v>
      </c>
      <c r="I1126" s="1009">
        <v>15461700</v>
      </c>
      <c r="J1126" s="1007" t="s">
        <v>3532</v>
      </c>
      <c r="O1126" s="1007" t="s">
        <v>648</v>
      </c>
      <c r="P1126" s="1007" t="s">
        <v>648</v>
      </c>
      <c r="S1126" s="1008" t="s">
        <v>650</v>
      </c>
      <c r="T1126" s="1008" t="s">
        <v>654</v>
      </c>
      <c r="U1126" s="1008" t="s">
        <v>649</v>
      </c>
      <c r="V1126" s="1008" t="s">
        <v>648</v>
      </c>
      <c r="W1126" s="1008" t="s">
        <v>546</v>
      </c>
      <c r="X1126" s="1008" t="s">
        <v>670</v>
      </c>
      <c r="Y1126" s="1008" t="s">
        <v>670</v>
      </c>
      <c r="Z1126" s="1008" t="s">
        <v>670</v>
      </c>
      <c r="AA1126" s="1008"/>
      <c r="AB1126" s="1008" t="s">
        <v>670</v>
      </c>
      <c r="AC1126" s="1008"/>
      <c r="AD1126" s="1008"/>
      <c r="AE1126" s="1008"/>
      <c r="AF1126" s="1008" t="s">
        <v>670</v>
      </c>
      <c r="AG1126" s="1008"/>
      <c r="AH1126" s="1008"/>
      <c r="AI1126" s="1008"/>
    </row>
    <row r="1127" spans="1:35">
      <c r="A1127" s="1008">
        <v>26439</v>
      </c>
      <c r="B1127" s="1008">
        <v>1560</v>
      </c>
      <c r="C1127" s="1008">
        <v>8</v>
      </c>
      <c r="D1127" s="1009">
        <v>15469999</v>
      </c>
      <c r="E1127" s="1009">
        <v>15469700</v>
      </c>
      <c r="F1127" s="1007" t="s">
        <v>3531</v>
      </c>
      <c r="G1127" s="1007">
        <v>7</v>
      </c>
      <c r="H1127" s="1010">
        <v>99999999</v>
      </c>
      <c r="I1127" s="1009">
        <v>15469700</v>
      </c>
      <c r="J1127" s="1007" t="s">
        <v>3531</v>
      </c>
      <c r="O1127" s="1007" t="s">
        <v>648</v>
      </c>
      <c r="P1127" s="1007" t="s">
        <v>648</v>
      </c>
      <c r="S1127" s="1008" t="s">
        <v>650</v>
      </c>
      <c r="T1127" s="1008" t="s">
        <v>654</v>
      </c>
      <c r="U1127" s="1008" t="s">
        <v>649</v>
      </c>
      <c r="V1127" s="1008" t="s">
        <v>648</v>
      </c>
      <c r="W1127" s="1008" t="s">
        <v>546</v>
      </c>
      <c r="X1127" s="1008" t="s">
        <v>670</v>
      </c>
      <c r="Y1127" s="1008"/>
      <c r="Z1127" s="1008"/>
      <c r="AA1127" s="1008"/>
      <c r="AB1127" s="1008"/>
      <c r="AC1127" s="1008"/>
      <c r="AD1127" s="1008"/>
      <c r="AE1127" s="1008"/>
      <c r="AF1127" s="1008"/>
      <c r="AG1127" s="1008"/>
      <c r="AH1127" s="1008"/>
      <c r="AI1127" s="1008"/>
    </row>
    <row r="1128" spans="1:35">
      <c r="A1128" s="1008">
        <v>26654</v>
      </c>
      <c r="C1128" s="1008">
        <v>7</v>
      </c>
      <c r="D1128" s="1009">
        <v>15499000</v>
      </c>
      <c r="E1128" s="1009">
        <v>15469999</v>
      </c>
      <c r="F1128" s="1007" t="s">
        <v>3530</v>
      </c>
      <c r="O1128" s="1007" t="s">
        <v>648</v>
      </c>
      <c r="P1128" s="1007" t="s">
        <v>648</v>
      </c>
      <c r="S1128" s="1008" t="s">
        <v>650</v>
      </c>
      <c r="T1128" s="1008" t="s">
        <v>21</v>
      </c>
      <c r="U1128" s="1008" t="s">
        <v>649</v>
      </c>
      <c r="V1128" s="1008" t="s">
        <v>648</v>
      </c>
      <c r="W1128" s="1008" t="s">
        <v>546</v>
      </c>
      <c r="X1128" s="1008"/>
      <c r="Y1128" s="1008"/>
      <c r="Z1128" s="1008"/>
      <c r="AA1128" s="1008"/>
      <c r="AB1128" s="1008"/>
      <c r="AC1128" s="1008"/>
      <c r="AD1128" s="1008"/>
      <c r="AE1128" s="1008"/>
      <c r="AF1128" s="1008"/>
      <c r="AG1128" s="1008"/>
      <c r="AH1128" s="1008"/>
      <c r="AI1128" s="1008"/>
    </row>
    <row r="1129" spans="1:35">
      <c r="A1129" s="1008">
        <v>26438</v>
      </c>
      <c r="B1129" s="1008">
        <v>1561</v>
      </c>
      <c r="C1129" s="1008">
        <v>7</v>
      </c>
      <c r="D1129" s="1009">
        <v>15499000</v>
      </c>
      <c r="E1129" s="1009">
        <v>15471800</v>
      </c>
      <c r="F1129" s="1007" t="s">
        <v>3529</v>
      </c>
      <c r="G1129" s="1007">
        <v>7</v>
      </c>
      <c r="H1129" s="1010">
        <v>99999999</v>
      </c>
      <c r="I1129" s="1009">
        <v>15471800</v>
      </c>
      <c r="J1129" s="1007" t="s">
        <v>3529</v>
      </c>
      <c r="O1129" s="1007" t="s">
        <v>648</v>
      </c>
      <c r="P1129" s="1007" t="s">
        <v>648</v>
      </c>
      <c r="S1129" s="1008" t="s">
        <v>650</v>
      </c>
      <c r="T1129" s="1008" t="s">
        <v>654</v>
      </c>
      <c r="U1129" s="1008" t="s">
        <v>649</v>
      </c>
      <c r="V1129" s="1008" t="s">
        <v>648</v>
      </c>
      <c r="W1129" s="1008" t="s">
        <v>546</v>
      </c>
      <c r="X1129" s="1008" t="s">
        <v>670</v>
      </c>
      <c r="Y1129" s="1008" t="s">
        <v>670</v>
      </c>
      <c r="Z1129" s="1008" t="s">
        <v>670</v>
      </c>
      <c r="AA1129" s="1008"/>
      <c r="AB1129" s="1008" t="s">
        <v>670</v>
      </c>
      <c r="AC1129" s="1008"/>
      <c r="AD1129" s="1008"/>
      <c r="AE1129" s="1008"/>
      <c r="AF1129" s="1008" t="s">
        <v>670</v>
      </c>
      <c r="AG1129" s="1008"/>
      <c r="AH1129" s="1008"/>
      <c r="AI1129" s="1008"/>
    </row>
    <row r="1130" spans="1:35">
      <c r="A1130" s="1008">
        <v>27122</v>
      </c>
      <c r="C1130" s="1008">
        <v>7</v>
      </c>
      <c r="D1130" s="1009">
        <v>15480999</v>
      </c>
      <c r="E1130" s="1009">
        <v>15480000</v>
      </c>
      <c r="F1130" s="1007" t="s">
        <v>3528</v>
      </c>
      <c r="O1130" s="1007" t="s">
        <v>648</v>
      </c>
      <c r="P1130" s="1007" t="s">
        <v>648</v>
      </c>
      <c r="S1130" s="1008" t="s">
        <v>650</v>
      </c>
      <c r="T1130" s="1008" t="s">
        <v>675</v>
      </c>
      <c r="U1130" s="1008" t="s">
        <v>649</v>
      </c>
      <c r="V1130" s="1008" t="s">
        <v>648</v>
      </c>
      <c r="W1130" s="1008" t="s">
        <v>546</v>
      </c>
      <c r="X1130" s="1008"/>
      <c r="Y1130" s="1008"/>
      <c r="Z1130" s="1008"/>
      <c r="AA1130" s="1008"/>
      <c r="AB1130" s="1008"/>
      <c r="AC1130" s="1008"/>
      <c r="AD1130" s="1008"/>
      <c r="AE1130" s="1008"/>
      <c r="AF1130" s="1008"/>
      <c r="AG1130" s="1008"/>
      <c r="AH1130" s="1008"/>
      <c r="AI1130" s="1008"/>
    </row>
    <row r="1131" spans="1:35">
      <c r="A1131" s="1008">
        <v>27123</v>
      </c>
      <c r="B1131" s="1008">
        <v>5955</v>
      </c>
      <c r="C1131" s="1008">
        <v>8</v>
      </c>
      <c r="D1131" s="1009">
        <v>15480999</v>
      </c>
      <c r="E1131" s="1009">
        <v>15480700</v>
      </c>
      <c r="F1131" s="1007" t="s">
        <v>3527</v>
      </c>
      <c r="G1131" s="1007">
        <v>8</v>
      </c>
      <c r="H1131" s="1010">
        <v>99999999</v>
      </c>
      <c r="I1131" s="1009">
        <v>15480700</v>
      </c>
      <c r="J1131" s="1007" t="s">
        <v>3527</v>
      </c>
      <c r="O1131" s="1007" t="s">
        <v>648</v>
      </c>
      <c r="P1131" s="1007" t="s">
        <v>648</v>
      </c>
      <c r="S1131" s="1008" t="s">
        <v>650</v>
      </c>
      <c r="T1131" s="1008" t="s">
        <v>654</v>
      </c>
      <c r="U1131" s="1008" t="s">
        <v>649</v>
      </c>
      <c r="V1131" s="1008" t="s">
        <v>648</v>
      </c>
      <c r="W1131" s="1008" t="s">
        <v>546</v>
      </c>
      <c r="X1131" s="1008" t="s">
        <v>670</v>
      </c>
      <c r="Y1131" s="1008" t="s">
        <v>670</v>
      </c>
      <c r="Z1131" s="1008" t="s">
        <v>670</v>
      </c>
      <c r="AA1131" s="1008"/>
      <c r="AB1131" s="1008" t="s">
        <v>670</v>
      </c>
      <c r="AC1131" s="1008"/>
      <c r="AD1131" s="1008"/>
      <c r="AE1131" s="1008"/>
      <c r="AF1131" s="1008" t="s">
        <v>670</v>
      </c>
      <c r="AG1131" s="1008"/>
      <c r="AH1131" s="1008"/>
      <c r="AI1131" s="1008"/>
    </row>
    <row r="1132" spans="1:35">
      <c r="A1132" s="1008">
        <v>27124</v>
      </c>
      <c r="C1132" s="1008">
        <v>7</v>
      </c>
      <c r="D1132" s="1009">
        <v>15499000</v>
      </c>
      <c r="E1132" s="1009">
        <v>15480999</v>
      </c>
      <c r="F1132" s="1007" t="s">
        <v>3526</v>
      </c>
      <c r="O1132" s="1007" t="s">
        <v>648</v>
      </c>
      <c r="P1132" s="1007" t="s">
        <v>648</v>
      </c>
      <c r="S1132" s="1008" t="s">
        <v>650</v>
      </c>
      <c r="T1132" s="1008" t="s">
        <v>21</v>
      </c>
      <c r="U1132" s="1008" t="s">
        <v>649</v>
      </c>
      <c r="V1132" s="1008" t="s">
        <v>648</v>
      </c>
      <c r="W1132" s="1008" t="s">
        <v>546</v>
      </c>
      <c r="X1132" s="1008"/>
      <c r="Y1132" s="1008"/>
      <c r="Z1132" s="1008"/>
      <c r="AA1132" s="1008"/>
      <c r="AB1132" s="1008"/>
      <c r="AC1132" s="1008"/>
      <c r="AD1132" s="1008"/>
      <c r="AE1132" s="1008"/>
      <c r="AF1132" s="1008"/>
      <c r="AG1132" s="1008"/>
      <c r="AH1132" s="1008"/>
      <c r="AI1132" s="1008"/>
    </row>
    <row r="1133" spans="1:35">
      <c r="A1133" s="1008">
        <v>27680</v>
      </c>
      <c r="C1133" s="1008">
        <v>7</v>
      </c>
      <c r="D1133" s="1009">
        <v>15481999</v>
      </c>
      <c r="E1133" s="1009">
        <v>15481000</v>
      </c>
      <c r="F1133" s="1007" t="s">
        <v>3525</v>
      </c>
      <c r="O1133" s="1007" t="s">
        <v>648</v>
      </c>
      <c r="P1133" s="1007" t="s">
        <v>648</v>
      </c>
      <c r="S1133" s="1008" t="s">
        <v>650</v>
      </c>
      <c r="T1133" s="1008" t="s">
        <v>675</v>
      </c>
      <c r="U1133" s="1008" t="s">
        <v>649</v>
      </c>
      <c r="V1133" s="1008" t="s">
        <v>648</v>
      </c>
      <c r="W1133" s="1008" t="s">
        <v>546</v>
      </c>
      <c r="X1133" s="1008"/>
      <c r="Y1133" s="1008"/>
      <c r="Z1133" s="1008"/>
      <c r="AA1133" s="1008"/>
      <c r="AB1133" s="1008"/>
      <c r="AC1133" s="1008"/>
      <c r="AD1133" s="1008"/>
      <c r="AE1133" s="1008"/>
      <c r="AF1133" s="1008"/>
      <c r="AG1133" s="1008"/>
      <c r="AH1133" s="1008"/>
      <c r="AI1133" s="1008"/>
    </row>
    <row r="1134" spans="1:35">
      <c r="A1134" s="1008">
        <v>27681</v>
      </c>
      <c r="B1134" s="1008">
        <v>6507</v>
      </c>
      <c r="C1134" s="1008">
        <v>8</v>
      </c>
      <c r="D1134" s="1009">
        <v>15481999</v>
      </c>
      <c r="E1134" s="1009">
        <v>15481100</v>
      </c>
      <c r="F1134" s="1007" t="s">
        <v>3524</v>
      </c>
      <c r="G1134" s="1007">
        <v>8</v>
      </c>
      <c r="H1134" s="1010">
        <v>99999999</v>
      </c>
      <c r="I1134" s="1009">
        <v>15481100</v>
      </c>
      <c r="J1134" s="1007" t="s">
        <v>3524</v>
      </c>
      <c r="O1134" s="1007" t="s">
        <v>648</v>
      </c>
      <c r="P1134" s="1007" t="s">
        <v>648</v>
      </c>
      <c r="S1134" s="1008" t="s">
        <v>650</v>
      </c>
      <c r="T1134" s="1008" t="s">
        <v>654</v>
      </c>
      <c r="U1134" s="1008" t="s">
        <v>649</v>
      </c>
      <c r="V1134" s="1008" t="s">
        <v>648</v>
      </c>
      <c r="W1134" s="1008" t="s">
        <v>546</v>
      </c>
      <c r="X1134" s="1008" t="s">
        <v>670</v>
      </c>
      <c r="Y1134" s="1008"/>
      <c r="Z1134" s="1008" t="s">
        <v>670</v>
      </c>
      <c r="AA1134" s="1008"/>
      <c r="AB1134" s="1008"/>
      <c r="AC1134" s="1008"/>
      <c r="AD1134" s="1008"/>
      <c r="AE1134" s="1008"/>
      <c r="AF1134" s="1008"/>
      <c r="AG1134" s="1008"/>
      <c r="AH1134" s="1008"/>
      <c r="AI1134" s="1008"/>
    </row>
    <row r="1135" spans="1:35">
      <c r="A1135" s="1008">
        <v>27682</v>
      </c>
      <c r="B1135" s="1008">
        <v>6508</v>
      </c>
      <c r="C1135" s="1008">
        <v>8</v>
      </c>
      <c r="D1135" s="1009">
        <v>15481999</v>
      </c>
      <c r="E1135" s="1009">
        <v>15481110</v>
      </c>
      <c r="F1135" s="1007" t="s">
        <v>3523</v>
      </c>
      <c r="G1135" s="1007">
        <v>8</v>
      </c>
      <c r="H1135" s="1010">
        <v>99999999</v>
      </c>
      <c r="I1135" s="1009">
        <v>15481110</v>
      </c>
      <c r="J1135" s="1007" t="s">
        <v>3522</v>
      </c>
      <c r="O1135" s="1007" t="s">
        <v>648</v>
      </c>
      <c r="P1135" s="1007" t="s">
        <v>648</v>
      </c>
      <c r="S1135" s="1008" t="s">
        <v>650</v>
      </c>
      <c r="T1135" s="1008" t="s">
        <v>654</v>
      </c>
      <c r="U1135" s="1008" t="s">
        <v>649</v>
      </c>
      <c r="V1135" s="1008" t="s">
        <v>648</v>
      </c>
      <c r="W1135" s="1008" t="s">
        <v>546</v>
      </c>
      <c r="X1135" s="1008" t="s">
        <v>670</v>
      </c>
      <c r="Y1135" s="1008"/>
      <c r="Z1135" s="1008" t="s">
        <v>670</v>
      </c>
      <c r="AA1135" s="1008"/>
      <c r="AB1135" s="1008"/>
      <c r="AC1135" s="1008"/>
      <c r="AD1135" s="1008"/>
      <c r="AE1135" s="1008"/>
      <c r="AF1135" s="1008"/>
      <c r="AG1135" s="1008"/>
      <c r="AH1135" s="1008"/>
      <c r="AI1135" s="1008"/>
    </row>
    <row r="1136" spans="1:35">
      <c r="A1136" s="1008">
        <v>27679</v>
      </c>
      <c r="C1136" s="1008">
        <v>7</v>
      </c>
      <c r="D1136" s="1009">
        <v>15499000</v>
      </c>
      <c r="E1136" s="1009">
        <v>15481999</v>
      </c>
      <c r="F1136" s="1007" t="s">
        <v>3521</v>
      </c>
      <c r="O1136" s="1007" t="s">
        <v>648</v>
      </c>
      <c r="P1136" s="1007" t="s">
        <v>648</v>
      </c>
      <c r="S1136" s="1008" t="s">
        <v>650</v>
      </c>
      <c r="T1136" s="1008" t="s">
        <v>21</v>
      </c>
      <c r="U1136" s="1008" t="s">
        <v>649</v>
      </c>
      <c r="V1136" s="1008" t="s">
        <v>648</v>
      </c>
      <c r="W1136" s="1008" t="s">
        <v>546</v>
      </c>
      <c r="X1136" s="1008"/>
      <c r="Y1136" s="1008"/>
      <c r="Z1136" s="1008"/>
      <c r="AA1136" s="1008"/>
      <c r="AB1136" s="1008"/>
      <c r="AC1136" s="1008"/>
      <c r="AD1136" s="1008"/>
      <c r="AE1136" s="1008"/>
      <c r="AF1136" s="1008"/>
      <c r="AG1136" s="1008"/>
      <c r="AH1136" s="1008"/>
      <c r="AI1136" s="1008"/>
    </row>
    <row r="1137" spans="1:35">
      <c r="A1137" s="1008">
        <v>23967</v>
      </c>
      <c r="C1137" s="1008">
        <v>6</v>
      </c>
      <c r="D1137" s="1009">
        <v>15499999</v>
      </c>
      <c r="E1137" s="1009">
        <v>15499000</v>
      </c>
      <c r="F1137" s="1007" t="s">
        <v>3520</v>
      </c>
      <c r="O1137" s="1007" t="s">
        <v>648</v>
      </c>
      <c r="P1137" s="1007" t="s">
        <v>648</v>
      </c>
      <c r="S1137" s="1008" t="s">
        <v>650</v>
      </c>
      <c r="T1137" s="1008" t="s">
        <v>21</v>
      </c>
      <c r="U1137" s="1008" t="s">
        <v>649</v>
      </c>
      <c r="V1137" s="1008" t="s">
        <v>648</v>
      </c>
      <c r="W1137" s="1008" t="s">
        <v>546</v>
      </c>
      <c r="X1137" s="1008"/>
      <c r="Y1137" s="1008"/>
      <c r="Z1137" s="1008"/>
      <c r="AA1137" s="1008"/>
      <c r="AB1137" s="1008"/>
      <c r="AC1137" s="1008"/>
      <c r="AD1137" s="1008"/>
      <c r="AE1137" s="1008"/>
      <c r="AF1137" s="1008"/>
      <c r="AG1137" s="1008"/>
      <c r="AH1137" s="1008"/>
      <c r="AI1137" s="1008"/>
    </row>
    <row r="1138" spans="1:35">
      <c r="A1138" s="1008">
        <v>23973</v>
      </c>
      <c r="C1138" s="1008">
        <v>5</v>
      </c>
      <c r="D1138" s="1009">
        <v>15599999</v>
      </c>
      <c r="E1138" s="1009">
        <v>15499999</v>
      </c>
      <c r="F1138" s="1007" t="s">
        <v>3519</v>
      </c>
      <c r="O1138" s="1007" t="s">
        <v>648</v>
      </c>
      <c r="P1138" s="1007" t="s">
        <v>648</v>
      </c>
      <c r="S1138" s="1008" t="s">
        <v>650</v>
      </c>
      <c r="T1138" s="1008" t="s">
        <v>21</v>
      </c>
      <c r="U1138" s="1008" t="s">
        <v>649</v>
      </c>
      <c r="V1138" s="1008" t="s">
        <v>648</v>
      </c>
      <c r="W1138" s="1008" t="s">
        <v>546</v>
      </c>
      <c r="X1138" s="1008"/>
      <c r="Y1138" s="1008"/>
      <c r="Z1138" s="1008"/>
      <c r="AA1138" s="1008"/>
      <c r="AB1138" s="1008"/>
      <c r="AC1138" s="1008"/>
      <c r="AD1138" s="1008"/>
      <c r="AE1138" s="1008"/>
      <c r="AF1138" s="1008"/>
      <c r="AG1138" s="1008"/>
      <c r="AH1138" s="1008"/>
      <c r="AI1138" s="1008"/>
    </row>
    <row r="1139" spans="1:35">
      <c r="A1139" s="1008">
        <v>23974</v>
      </c>
      <c r="C1139" s="1008">
        <v>4</v>
      </c>
      <c r="D1139" s="1009">
        <v>19999998</v>
      </c>
      <c r="E1139" s="1009">
        <v>15599999</v>
      </c>
      <c r="F1139" s="1007" t="s">
        <v>3518</v>
      </c>
      <c r="O1139" s="1007" t="s">
        <v>648</v>
      </c>
      <c r="P1139" s="1007" t="s">
        <v>648</v>
      </c>
      <c r="S1139" s="1008" t="s">
        <v>650</v>
      </c>
      <c r="T1139" s="1008" t="s">
        <v>21</v>
      </c>
      <c r="U1139" s="1008" t="s">
        <v>649</v>
      </c>
      <c r="V1139" s="1008" t="s">
        <v>648</v>
      </c>
      <c r="W1139" s="1008" t="s">
        <v>546</v>
      </c>
      <c r="X1139" s="1008"/>
      <c r="Y1139" s="1008"/>
      <c r="Z1139" s="1008"/>
      <c r="AA1139" s="1008"/>
      <c r="AB1139" s="1008"/>
      <c r="AC1139" s="1008"/>
      <c r="AD1139" s="1008"/>
      <c r="AE1139" s="1008"/>
      <c r="AF1139" s="1008"/>
      <c r="AG1139" s="1008"/>
      <c r="AH1139" s="1008"/>
      <c r="AI1139" s="1008"/>
    </row>
    <row r="1140" spans="1:35">
      <c r="A1140" s="1008">
        <v>23975</v>
      </c>
      <c r="C1140" s="1008">
        <v>4</v>
      </c>
      <c r="D1140" s="1009">
        <v>15699999</v>
      </c>
      <c r="E1140" s="1009">
        <v>15600000</v>
      </c>
      <c r="F1140" s="1007" t="s">
        <v>3517</v>
      </c>
      <c r="O1140" s="1007" t="s">
        <v>648</v>
      </c>
      <c r="P1140" s="1007" t="s">
        <v>648</v>
      </c>
      <c r="S1140" s="1008" t="s">
        <v>650</v>
      </c>
      <c r="T1140" s="1008" t="s">
        <v>675</v>
      </c>
      <c r="U1140" s="1008" t="s">
        <v>649</v>
      </c>
      <c r="V1140" s="1008" t="s">
        <v>648</v>
      </c>
      <c r="W1140" s="1008" t="s">
        <v>546</v>
      </c>
      <c r="X1140" s="1008"/>
      <c r="Y1140" s="1008"/>
      <c r="Z1140" s="1008"/>
      <c r="AA1140" s="1008"/>
      <c r="AB1140" s="1008"/>
      <c r="AC1140" s="1008"/>
      <c r="AD1140" s="1008"/>
      <c r="AE1140" s="1008"/>
      <c r="AF1140" s="1008"/>
      <c r="AG1140" s="1008"/>
      <c r="AH1140" s="1008"/>
      <c r="AI1140" s="1008"/>
    </row>
    <row r="1141" spans="1:35">
      <c r="A1141" s="1008">
        <v>23976</v>
      </c>
      <c r="C1141" s="1008">
        <v>5</v>
      </c>
      <c r="D1141" s="1009">
        <v>15699990</v>
      </c>
      <c r="E1141" s="1009">
        <v>15610000</v>
      </c>
      <c r="F1141" s="1007" t="s">
        <v>3516</v>
      </c>
      <c r="O1141" s="1007" t="s">
        <v>648</v>
      </c>
      <c r="P1141" s="1007" t="s">
        <v>648</v>
      </c>
      <c r="S1141" s="1008" t="s">
        <v>650</v>
      </c>
      <c r="T1141" s="1008" t="s">
        <v>675</v>
      </c>
      <c r="U1141" s="1008" t="s">
        <v>649</v>
      </c>
      <c r="V1141" s="1008" t="s">
        <v>648</v>
      </c>
      <c r="W1141" s="1008" t="s">
        <v>546</v>
      </c>
      <c r="X1141" s="1008"/>
      <c r="Y1141" s="1008"/>
      <c r="Z1141" s="1008"/>
      <c r="AA1141" s="1008"/>
      <c r="AB1141" s="1008"/>
      <c r="AC1141" s="1008"/>
      <c r="AD1141" s="1008"/>
      <c r="AE1141" s="1008"/>
      <c r="AF1141" s="1008"/>
      <c r="AG1141" s="1008"/>
      <c r="AH1141" s="1008"/>
      <c r="AI1141" s="1008"/>
    </row>
    <row r="1142" spans="1:35">
      <c r="A1142" s="1008">
        <v>23977</v>
      </c>
      <c r="C1142" s="1008">
        <v>6</v>
      </c>
      <c r="D1142" s="1009">
        <v>15611900</v>
      </c>
      <c r="E1142" s="1009">
        <v>15611000</v>
      </c>
      <c r="F1142" s="1007" t="s">
        <v>3515</v>
      </c>
      <c r="O1142" s="1007" t="s">
        <v>648</v>
      </c>
      <c r="P1142" s="1007" t="s">
        <v>648</v>
      </c>
      <c r="S1142" s="1008" t="s">
        <v>650</v>
      </c>
      <c r="T1142" s="1008" t="s">
        <v>675</v>
      </c>
      <c r="U1142" s="1008" t="s">
        <v>649</v>
      </c>
      <c r="V1142" s="1008" t="s">
        <v>648</v>
      </c>
      <c r="W1142" s="1008" t="s">
        <v>546</v>
      </c>
      <c r="X1142" s="1008"/>
      <c r="Y1142" s="1008"/>
      <c r="Z1142" s="1008"/>
      <c r="AA1142" s="1008"/>
      <c r="AB1142" s="1008"/>
      <c r="AC1142" s="1008"/>
      <c r="AD1142" s="1008"/>
      <c r="AE1142" s="1008"/>
      <c r="AF1142" s="1008"/>
      <c r="AG1142" s="1008"/>
      <c r="AH1142" s="1008"/>
      <c r="AI1142" s="1008"/>
    </row>
    <row r="1143" spans="1:35">
      <c r="A1143" s="1008">
        <v>23978</v>
      </c>
      <c r="B1143" s="1008">
        <v>1563</v>
      </c>
      <c r="C1143" s="1008">
        <v>7</v>
      </c>
      <c r="D1143" s="1009">
        <v>15611900</v>
      </c>
      <c r="E1143" s="1009">
        <v>15611100</v>
      </c>
      <c r="F1143" s="1007" t="s">
        <v>3514</v>
      </c>
      <c r="G1143" s="1007">
        <v>7</v>
      </c>
      <c r="H1143" s="1010">
        <v>99999999</v>
      </c>
      <c r="I1143" s="1009">
        <v>15611100</v>
      </c>
      <c r="J1143" s="1007" t="s">
        <v>3514</v>
      </c>
      <c r="O1143" s="1007" t="s">
        <v>648</v>
      </c>
      <c r="P1143" s="1007" t="s">
        <v>648</v>
      </c>
      <c r="S1143" s="1008" t="s">
        <v>650</v>
      </c>
      <c r="T1143" s="1008" t="s">
        <v>654</v>
      </c>
      <c r="U1143" s="1008" t="s">
        <v>649</v>
      </c>
      <c r="V1143" s="1008" t="s">
        <v>648</v>
      </c>
      <c r="W1143" s="1008" t="s">
        <v>546</v>
      </c>
      <c r="X1143" s="1008" t="s">
        <v>670</v>
      </c>
      <c r="Y1143" s="1008" t="s">
        <v>670</v>
      </c>
      <c r="Z1143" s="1008" t="s">
        <v>670</v>
      </c>
      <c r="AA1143" s="1008"/>
      <c r="AB1143" s="1008" t="s">
        <v>670</v>
      </c>
      <c r="AC1143" s="1008"/>
      <c r="AD1143" s="1008"/>
      <c r="AE1143" s="1008"/>
      <c r="AF1143" s="1008" t="s">
        <v>670</v>
      </c>
      <c r="AG1143" s="1008"/>
      <c r="AH1143" s="1008"/>
      <c r="AI1143" s="1008"/>
    </row>
    <row r="1144" spans="1:35">
      <c r="A1144" s="1008">
        <v>23979</v>
      </c>
      <c r="B1144" s="1008">
        <v>1564</v>
      </c>
      <c r="C1144" s="1008">
        <v>7</v>
      </c>
      <c r="D1144" s="1009">
        <v>15611900</v>
      </c>
      <c r="E1144" s="1009">
        <v>15611200</v>
      </c>
      <c r="F1144" s="1007" t="s">
        <v>3513</v>
      </c>
      <c r="G1144" s="1007">
        <v>7</v>
      </c>
      <c r="H1144" s="1010">
        <v>99999999</v>
      </c>
      <c r="I1144" s="1009">
        <v>15611200</v>
      </c>
      <c r="J1144" s="1007" t="s">
        <v>3513</v>
      </c>
      <c r="O1144" s="1007" t="s">
        <v>648</v>
      </c>
      <c r="P1144" s="1007" t="s">
        <v>648</v>
      </c>
      <c r="S1144" s="1008" t="s">
        <v>650</v>
      </c>
      <c r="T1144" s="1008" t="s">
        <v>654</v>
      </c>
      <c r="U1144" s="1008" t="s">
        <v>649</v>
      </c>
      <c r="V1144" s="1008" t="s">
        <v>648</v>
      </c>
      <c r="W1144" s="1008" t="s">
        <v>546</v>
      </c>
      <c r="X1144" s="1008" t="s">
        <v>670</v>
      </c>
      <c r="Y1144" s="1008" t="s">
        <v>670</v>
      </c>
      <c r="Z1144" s="1008" t="s">
        <v>670</v>
      </c>
      <c r="AA1144" s="1008"/>
      <c r="AB1144" s="1008" t="s">
        <v>670</v>
      </c>
      <c r="AC1144" s="1008"/>
      <c r="AD1144" s="1008"/>
      <c r="AE1144" s="1008"/>
      <c r="AF1144" s="1008" t="s">
        <v>670</v>
      </c>
      <c r="AG1144" s="1008"/>
      <c r="AH1144" s="1008"/>
      <c r="AI1144" s="1008"/>
    </row>
    <row r="1145" spans="1:35">
      <c r="A1145" s="1008">
        <v>26437</v>
      </c>
      <c r="B1145" s="1008">
        <v>1565</v>
      </c>
      <c r="C1145" s="1008">
        <v>7</v>
      </c>
      <c r="D1145" s="1009">
        <v>15611900</v>
      </c>
      <c r="E1145" s="1009">
        <v>15611700</v>
      </c>
      <c r="F1145" s="1007" t="s">
        <v>3512</v>
      </c>
      <c r="G1145" s="1007">
        <v>7</v>
      </c>
      <c r="H1145" s="1010">
        <v>99999999</v>
      </c>
      <c r="I1145" s="1009">
        <v>15611700</v>
      </c>
      <c r="J1145" s="1007" t="s">
        <v>3512</v>
      </c>
      <c r="O1145" s="1007" t="s">
        <v>648</v>
      </c>
      <c r="P1145" s="1007" t="s">
        <v>648</v>
      </c>
      <c r="S1145" s="1008" t="s">
        <v>650</v>
      </c>
      <c r="T1145" s="1008" t="s">
        <v>654</v>
      </c>
      <c r="U1145" s="1008" t="s">
        <v>649</v>
      </c>
      <c r="V1145" s="1008" t="s">
        <v>648</v>
      </c>
      <c r="W1145" s="1008" t="s">
        <v>546</v>
      </c>
      <c r="X1145" s="1008" t="s">
        <v>670</v>
      </c>
      <c r="Y1145" s="1008" t="s">
        <v>670</v>
      </c>
      <c r="Z1145" s="1008" t="s">
        <v>670</v>
      </c>
      <c r="AA1145" s="1008"/>
      <c r="AB1145" s="1008" t="s">
        <v>670</v>
      </c>
      <c r="AC1145" s="1008"/>
      <c r="AD1145" s="1008"/>
      <c r="AE1145" s="1008"/>
      <c r="AF1145" s="1008" t="s">
        <v>670</v>
      </c>
      <c r="AG1145" s="1008"/>
      <c r="AH1145" s="1008"/>
      <c r="AI1145" s="1008"/>
    </row>
    <row r="1146" spans="1:35">
      <c r="A1146" s="1008">
        <v>26436</v>
      </c>
      <c r="B1146" s="1008">
        <v>1566</v>
      </c>
      <c r="C1146" s="1008">
        <v>7</v>
      </c>
      <c r="D1146" s="1009">
        <v>15611900</v>
      </c>
      <c r="E1146" s="1009">
        <v>15611710</v>
      </c>
      <c r="F1146" s="1007" t="s">
        <v>3511</v>
      </c>
      <c r="G1146" s="1007">
        <v>7</v>
      </c>
      <c r="H1146" s="1010">
        <v>99999999</v>
      </c>
      <c r="I1146" s="1009">
        <v>15611710</v>
      </c>
      <c r="J1146" s="1007" t="s">
        <v>3511</v>
      </c>
      <c r="O1146" s="1007" t="s">
        <v>648</v>
      </c>
      <c r="P1146" s="1007" t="s">
        <v>648</v>
      </c>
      <c r="S1146" s="1008" t="s">
        <v>650</v>
      </c>
      <c r="T1146" s="1008" t="s">
        <v>654</v>
      </c>
      <c r="U1146" s="1008" t="s">
        <v>649</v>
      </c>
      <c r="V1146" s="1008" t="s">
        <v>648</v>
      </c>
      <c r="W1146" s="1008" t="s">
        <v>546</v>
      </c>
      <c r="X1146" s="1008" t="s">
        <v>670</v>
      </c>
      <c r="Y1146" s="1008" t="s">
        <v>670</v>
      </c>
      <c r="Z1146" s="1008" t="s">
        <v>670</v>
      </c>
      <c r="AA1146" s="1008"/>
      <c r="AB1146" s="1008" t="s">
        <v>670</v>
      </c>
      <c r="AC1146" s="1008"/>
      <c r="AD1146" s="1008"/>
      <c r="AE1146" s="1008"/>
      <c r="AF1146" s="1008" t="s">
        <v>670</v>
      </c>
      <c r="AG1146" s="1008"/>
      <c r="AH1146" s="1008"/>
      <c r="AI1146" s="1008"/>
    </row>
    <row r="1147" spans="1:35">
      <c r="A1147" s="1008">
        <v>23981</v>
      </c>
      <c r="B1147" s="1008">
        <v>4851</v>
      </c>
      <c r="C1147" s="1008">
        <v>7</v>
      </c>
      <c r="D1147" s="1009">
        <v>15611900</v>
      </c>
      <c r="E1147" s="1009">
        <v>15611800</v>
      </c>
      <c r="F1147" s="1007" t="s">
        <v>3510</v>
      </c>
      <c r="G1147" s="1007">
        <v>7</v>
      </c>
      <c r="H1147" s="1010">
        <v>99999999</v>
      </c>
      <c r="I1147" s="1009">
        <v>15611800</v>
      </c>
      <c r="J1147" s="1007" t="s">
        <v>3510</v>
      </c>
      <c r="O1147" s="1007" t="s">
        <v>648</v>
      </c>
      <c r="P1147" s="1007" t="s">
        <v>648</v>
      </c>
      <c r="S1147" s="1008" t="s">
        <v>650</v>
      </c>
      <c r="T1147" s="1008" t="s">
        <v>654</v>
      </c>
      <c r="U1147" s="1008" t="s">
        <v>649</v>
      </c>
      <c r="V1147" s="1008" t="s">
        <v>648</v>
      </c>
      <c r="W1147" s="1008" t="s">
        <v>546</v>
      </c>
      <c r="X1147" s="1008" t="s">
        <v>670</v>
      </c>
      <c r="Y1147" s="1008" t="s">
        <v>670</v>
      </c>
      <c r="Z1147" s="1008" t="s">
        <v>670</v>
      </c>
      <c r="AA1147" s="1008"/>
      <c r="AB1147" s="1008" t="s">
        <v>670</v>
      </c>
      <c r="AC1147" s="1008"/>
      <c r="AD1147" s="1008"/>
      <c r="AE1147" s="1008"/>
      <c r="AF1147" s="1008" t="s">
        <v>670</v>
      </c>
      <c r="AG1147" s="1008"/>
      <c r="AH1147" s="1008"/>
      <c r="AI1147" s="1008"/>
    </row>
    <row r="1148" spans="1:35">
      <c r="A1148" s="1008">
        <v>23982</v>
      </c>
      <c r="C1148" s="1008">
        <v>6</v>
      </c>
      <c r="D1148" s="1009">
        <v>15699990</v>
      </c>
      <c r="E1148" s="1009">
        <v>15611900</v>
      </c>
      <c r="F1148" s="1007" t="s">
        <v>3509</v>
      </c>
      <c r="O1148" s="1007" t="s">
        <v>648</v>
      </c>
      <c r="P1148" s="1007" t="s">
        <v>648</v>
      </c>
      <c r="S1148" s="1008" t="s">
        <v>650</v>
      </c>
      <c r="T1148" s="1008" t="s">
        <v>21</v>
      </c>
      <c r="U1148" s="1008" t="s">
        <v>649</v>
      </c>
      <c r="V1148" s="1008" t="s">
        <v>648</v>
      </c>
      <c r="W1148" s="1008" t="s">
        <v>546</v>
      </c>
      <c r="X1148" s="1008"/>
      <c r="Y1148" s="1008"/>
      <c r="Z1148" s="1008"/>
      <c r="AA1148" s="1008"/>
      <c r="AB1148" s="1008"/>
      <c r="AC1148" s="1008"/>
      <c r="AD1148" s="1008"/>
      <c r="AE1148" s="1008"/>
      <c r="AF1148" s="1008"/>
      <c r="AG1148" s="1008"/>
      <c r="AH1148" s="1008"/>
      <c r="AI1148" s="1008"/>
    </row>
    <row r="1149" spans="1:35">
      <c r="A1149" s="1008">
        <v>23987</v>
      </c>
      <c r="C1149" s="1008">
        <v>5</v>
      </c>
      <c r="D1149" s="1009">
        <v>15699999</v>
      </c>
      <c r="E1149" s="1009">
        <v>15699990</v>
      </c>
      <c r="F1149" s="1007" t="s">
        <v>3508</v>
      </c>
      <c r="O1149" s="1007" t="s">
        <v>648</v>
      </c>
      <c r="P1149" s="1007" t="s">
        <v>648</v>
      </c>
      <c r="S1149" s="1008" t="s">
        <v>650</v>
      </c>
      <c r="T1149" s="1008" t="s">
        <v>21</v>
      </c>
      <c r="U1149" s="1008" t="s">
        <v>649</v>
      </c>
      <c r="V1149" s="1008" t="s">
        <v>648</v>
      </c>
      <c r="W1149" s="1008" t="s">
        <v>546</v>
      </c>
      <c r="X1149" s="1008"/>
      <c r="Y1149" s="1008"/>
      <c r="Z1149" s="1008"/>
      <c r="AA1149" s="1008"/>
      <c r="AB1149" s="1008"/>
      <c r="AC1149" s="1008"/>
      <c r="AD1149" s="1008"/>
      <c r="AE1149" s="1008"/>
      <c r="AF1149" s="1008"/>
      <c r="AG1149" s="1008"/>
      <c r="AH1149" s="1008"/>
      <c r="AI1149" s="1008"/>
    </row>
    <row r="1150" spans="1:35">
      <c r="A1150" s="1008">
        <v>23988</v>
      </c>
      <c r="C1150" s="1008">
        <v>4</v>
      </c>
      <c r="D1150" s="1009">
        <v>19999998</v>
      </c>
      <c r="E1150" s="1009">
        <v>15699999</v>
      </c>
      <c r="F1150" s="1007" t="s">
        <v>3507</v>
      </c>
      <c r="O1150" s="1007" t="s">
        <v>648</v>
      </c>
      <c r="P1150" s="1007" t="s">
        <v>648</v>
      </c>
      <c r="S1150" s="1008" t="s">
        <v>650</v>
      </c>
      <c r="T1150" s="1008" t="s">
        <v>21</v>
      </c>
      <c r="U1150" s="1008" t="s">
        <v>649</v>
      </c>
      <c r="V1150" s="1008" t="s">
        <v>648</v>
      </c>
      <c r="W1150" s="1008" t="s">
        <v>546</v>
      </c>
      <c r="X1150" s="1008"/>
      <c r="Y1150" s="1008"/>
      <c r="Z1150" s="1008"/>
      <c r="AA1150" s="1008"/>
      <c r="AB1150" s="1008"/>
      <c r="AC1150" s="1008"/>
      <c r="AD1150" s="1008"/>
      <c r="AE1150" s="1008"/>
      <c r="AF1150" s="1008"/>
      <c r="AG1150" s="1008"/>
      <c r="AH1150" s="1008"/>
      <c r="AI1150" s="1008"/>
    </row>
    <row r="1151" spans="1:35">
      <c r="A1151" s="1008">
        <v>23989</v>
      </c>
      <c r="C1151" s="1008">
        <v>4</v>
      </c>
      <c r="D1151" s="1009">
        <v>15799999</v>
      </c>
      <c r="E1151" s="1009">
        <v>15700000</v>
      </c>
      <c r="F1151" s="1007" t="s">
        <v>3506</v>
      </c>
      <c r="O1151" s="1007" t="s">
        <v>648</v>
      </c>
      <c r="P1151" s="1007" t="s">
        <v>648</v>
      </c>
      <c r="S1151" s="1008" t="s">
        <v>650</v>
      </c>
      <c r="T1151" s="1008" t="s">
        <v>675</v>
      </c>
      <c r="U1151" s="1008" t="s">
        <v>649</v>
      </c>
      <c r="V1151" s="1008" t="s">
        <v>648</v>
      </c>
      <c r="W1151" s="1008" t="s">
        <v>546</v>
      </c>
      <c r="X1151" s="1008"/>
      <c r="Y1151" s="1008"/>
      <c r="Z1151" s="1008"/>
      <c r="AA1151" s="1008"/>
      <c r="AB1151" s="1008"/>
      <c r="AC1151" s="1008"/>
      <c r="AD1151" s="1008"/>
      <c r="AE1151" s="1008"/>
      <c r="AF1151" s="1008"/>
      <c r="AG1151" s="1008"/>
      <c r="AH1151" s="1008"/>
      <c r="AI1151" s="1008"/>
    </row>
    <row r="1152" spans="1:35">
      <c r="A1152" s="1008">
        <v>23990</v>
      </c>
      <c r="C1152" s="1008">
        <v>5</v>
      </c>
      <c r="D1152" s="1009">
        <v>15729999</v>
      </c>
      <c r="E1152" s="1009">
        <v>15701000</v>
      </c>
      <c r="F1152" s="1007" t="s">
        <v>3505</v>
      </c>
      <c r="O1152" s="1007" t="s">
        <v>648</v>
      </c>
      <c r="P1152" s="1007" t="s">
        <v>648</v>
      </c>
      <c r="S1152" s="1008" t="s">
        <v>650</v>
      </c>
      <c r="T1152" s="1008" t="s">
        <v>675</v>
      </c>
      <c r="U1152" s="1008" t="s">
        <v>649</v>
      </c>
      <c r="V1152" s="1008" t="s">
        <v>648</v>
      </c>
      <c r="W1152" s="1008" t="s">
        <v>546</v>
      </c>
      <c r="X1152" s="1008"/>
      <c r="Y1152" s="1008"/>
      <c r="Z1152" s="1008"/>
      <c r="AA1152" s="1008"/>
      <c r="AB1152" s="1008"/>
      <c r="AC1152" s="1008"/>
      <c r="AD1152" s="1008"/>
      <c r="AE1152" s="1008"/>
      <c r="AF1152" s="1008"/>
      <c r="AG1152" s="1008"/>
      <c r="AH1152" s="1008"/>
      <c r="AI1152" s="1008"/>
    </row>
    <row r="1153" spans="1:35">
      <c r="A1153" s="1008">
        <v>23991</v>
      </c>
      <c r="C1153" s="1008">
        <v>6</v>
      </c>
      <c r="D1153" s="1009">
        <v>15719999</v>
      </c>
      <c r="E1153" s="1009">
        <v>15710000</v>
      </c>
      <c r="F1153" s="1007" t="s">
        <v>3504</v>
      </c>
      <c r="O1153" s="1007" t="s">
        <v>648</v>
      </c>
      <c r="P1153" s="1007" t="s">
        <v>648</v>
      </c>
      <c r="S1153" s="1008" t="s">
        <v>650</v>
      </c>
      <c r="T1153" s="1008" t="s">
        <v>675</v>
      </c>
      <c r="U1153" s="1008" t="s">
        <v>649</v>
      </c>
      <c r="V1153" s="1008" t="s">
        <v>648</v>
      </c>
      <c r="W1153" s="1008" t="s">
        <v>546</v>
      </c>
      <c r="X1153" s="1008"/>
      <c r="Y1153" s="1008"/>
      <c r="Z1153" s="1008"/>
      <c r="AA1153" s="1008"/>
      <c r="AB1153" s="1008"/>
      <c r="AC1153" s="1008"/>
      <c r="AD1153" s="1008"/>
      <c r="AE1153" s="1008"/>
      <c r="AF1153" s="1008"/>
      <c r="AG1153" s="1008"/>
      <c r="AH1153" s="1008"/>
      <c r="AI1153" s="1008"/>
    </row>
    <row r="1154" spans="1:35">
      <c r="A1154" s="1008">
        <v>23992</v>
      </c>
      <c r="B1154" s="1008">
        <v>1568</v>
      </c>
      <c r="C1154" s="1008">
        <v>7</v>
      </c>
      <c r="D1154" s="1009">
        <v>15719999</v>
      </c>
      <c r="E1154" s="1009">
        <v>15710600</v>
      </c>
      <c r="F1154" s="1007" t="s">
        <v>3503</v>
      </c>
      <c r="G1154" s="1007">
        <v>7</v>
      </c>
      <c r="H1154" s="1010">
        <v>99999999</v>
      </c>
      <c r="I1154" s="1009">
        <v>15710600</v>
      </c>
      <c r="J1154" s="1007" t="s">
        <v>3503</v>
      </c>
      <c r="O1154" s="1007" t="s">
        <v>648</v>
      </c>
      <c r="P1154" s="1007" t="s">
        <v>648</v>
      </c>
      <c r="S1154" s="1008" t="s">
        <v>650</v>
      </c>
      <c r="T1154" s="1008" t="s">
        <v>654</v>
      </c>
      <c r="U1154" s="1008" t="s">
        <v>649</v>
      </c>
      <c r="V1154" s="1008" t="s">
        <v>648</v>
      </c>
      <c r="W1154" s="1008" t="s">
        <v>546</v>
      </c>
      <c r="X1154" s="1008" t="s">
        <v>670</v>
      </c>
      <c r="Y1154" s="1008"/>
      <c r="Z1154" s="1008"/>
      <c r="AA1154" s="1008" t="s">
        <v>670</v>
      </c>
      <c r="AB1154" s="1008"/>
      <c r="AC1154" s="1008"/>
      <c r="AD1154" s="1008" t="s">
        <v>670</v>
      </c>
      <c r="AE1154" s="1008"/>
      <c r="AF1154" s="1008"/>
      <c r="AG1154" s="1008"/>
      <c r="AH1154" s="1008"/>
      <c r="AI1154" s="1008"/>
    </row>
    <row r="1155" spans="1:35">
      <c r="A1155" s="1008">
        <v>23993</v>
      </c>
      <c r="B1155" s="1008">
        <v>1569</v>
      </c>
      <c r="C1155" s="1008">
        <v>7</v>
      </c>
      <c r="D1155" s="1009">
        <v>15719999</v>
      </c>
      <c r="E1155" s="1009">
        <v>15710610</v>
      </c>
      <c r="F1155" s="1007" t="s">
        <v>3502</v>
      </c>
      <c r="G1155" s="1007">
        <v>7</v>
      </c>
      <c r="H1155" s="1010">
        <v>99999999</v>
      </c>
      <c r="I1155" s="1009">
        <v>15710610</v>
      </c>
      <c r="J1155" s="1007" t="s">
        <v>3502</v>
      </c>
      <c r="O1155" s="1007" t="s">
        <v>648</v>
      </c>
      <c r="P1155" s="1007" t="s">
        <v>648</v>
      </c>
      <c r="S1155" s="1008" t="s">
        <v>650</v>
      </c>
      <c r="T1155" s="1008" t="s">
        <v>654</v>
      </c>
      <c r="U1155" s="1008" t="s">
        <v>649</v>
      </c>
      <c r="V1155" s="1008" t="s">
        <v>648</v>
      </c>
      <c r="W1155" s="1008" t="s">
        <v>546</v>
      </c>
      <c r="X1155" s="1008" t="s">
        <v>670</v>
      </c>
      <c r="Y1155" s="1008"/>
      <c r="Z1155" s="1008"/>
      <c r="AA1155" s="1008" t="s">
        <v>670</v>
      </c>
      <c r="AB1155" s="1008"/>
      <c r="AC1155" s="1008"/>
      <c r="AD1155" s="1008" t="s">
        <v>670</v>
      </c>
      <c r="AE1155" s="1008"/>
      <c r="AF1155" s="1008"/>
      <c r="AG1155" s="1008"/>
      <c r="AH1155" s="1008"/>
      <c r="AI1155" s="1008"/>
    </row>
    <row r="1156" spans="1:35">
      <c r="A1156" s="1008">
        <v>23994</v>
      </c>
      <c r="B1156" s="1008">
        <v>1570</v>
      </c>
      <c r="C1156" s="1008">
        <v>7</v>
      </c>
      <c r="D1156" s="1009">
        <v>15719999</v>
      </c>
      <c r="E1156" s="1009">
        <v>15710620</v>
      </c>
      <c r="F1156" s="1007" t="s">
        <v>3501</v>
      </c>
      <c r="G1156" s="1007">
        <v>7</v>
      </c>
      <c r="H1156" s="1010">
        <v>99999999</v>
      </c>
      <c r="I1156" s="1009">
        <v>15710620</v>
      </c>
      <c r="J1156" s="1007" t="s">
        <v>3501</v>
      </c>
      <c r="O1156" s="1007" t="s">
        <v>648</v>
      </c>
      <c r="P1156" s="1007" t="s">
        <v>648</v>
      </c>
      <c r="S1156" s="1008" t="s">
        <v>650</v>
      </c>
      <c r="T1156" s="1008" t="s">
        <v>654</v>
      </c>
      <c r="U1156" s="1008" t="s">
        <v>649</v>
      </c>
      <c r="V1156" s="1008" t="s">
        <v>648</v>
      </c>
      <c r="W1156" s="1008" t="s">
        <v>546</v>
      </c>
      <c r="X1156" s="1008" t="s">
        <v>670</v>
      </c>
      <c r="Y1156" s="1008"/>
      <c r="Z1156" s="1008"/>
      <c r="AA1156" s="1008" t="s">
        <v>670</v>
      </c>
      <c r="AB1156" s="1008"/>
      <c r="AC1156" s="1008"/>
      <c r="AD1156" s="1008" t="s">
        <v>670</v>
      </c>
      <c r="AE1156" s="1008"/>
      <c r="AF1156" s="1008"/>
      <c r="AG1156" s="1008"/>
      <c r="AH1156" s="1008"/>
      <c r="AI1156" s="1008"/>
    </row>
    <row r="1157" spans="1:35">
      <c r="A1157" s="1008">
        <v>23995</v>
      </c>
      <c r="B1157" s="1008">
        <v>1571</v>
      </c>
      <c r="C1157" s="1008">
        <v>7</v>
      </c>
      <c r="D1157" s="1009">
        <v>15719999</v>
      </c>
      <c r="E1157" s="1009">
        <v>15710630</v>
      </c>
      <c r="F1157" s="1007" t="s">
        <v>3500</v>
      </c>
      <c r="G1157" s="1007">
        <v>7</v>
      </c>
      <c r="H1157" s="1010">
        <v>99999999</v>
      </c>
      <c r="I1157" s="1009">
        <v>15710630</v>
      </c>
      <c r="J1157" s="1007" t="s">
        <v>3500</v>
      </c>
      <c r="O1157" s="1007" t="s">
        <v>648</v>
      </c>
      <c r="P1157" s="1007" t="s">
        <v>648</v>
      </c>
      <c r="S1157" s="1008" t="s">
        <v>650</v>
      </c>
      <c r="T1157" s="1008" t="s">
        <v>654</v>
      </c>
      <c r="U1157" s="1008" t="s">
        <v>649</v>
      </c>
      <c r="V1157" s="1008" t="s">
        <v>648</v>
      </c>
      <c r="W1157" s="1008" t="s">
        <v>546</v>
      </c>
      <c r="X1157" s="1008" t="s">
        <v>670</v>
      </c>
      <c r="Y1157" s="1008"/>
      <c r="Z1157" s="1008"/>
      <c r="AA1157" s="1008" t="s">
        <v>670</v>
      </c>
      <c r="AB1157" s="1008"/>
      <c r="AC1157" s="1008"/>
      <c r="AD1157" s="1008" t="s">
        <v>670</v>
      </c>
      <c r="AE1157" s="1008"/>
      <c r="AF1157" s="1008"/>
      <c r="AG1157" s="1008"/>
      <c r="AH1157" s="1008"/>
      <c r="AI1157" s="1008"/>
    </row>
    <row r="1158" spans="1:35">
      <c r="A1158" s="1008">
        <v>23996</v>
      </c>
      <c r="B1158" s="1008">
        <v>1572</v>
      </c>
      <c r="C1158" s="1008">
        <v>7</v>
      </c>
      <c r="D1158" s="1009">
        <v>15719999</v>
      </c>
      <c r="E1158" s="1009">
        <v>15710640</v>
      </c>
      <c r="F1158" s="1007" t="s">
        <v>3499</v>
      </c>
      <c r="G1158" s="1007">
        <v>7</v>
      </c>
      <c r="H1158" s="1010">
        <v>99999999</v>
      </c>
      <c r="I1158" s="1009">
        <v>15710640</v>
      </c>
      <c r="J1158" s="1007" t="s">
        <v>3499</v>
      </c>
      <c r="O1158" s="1007" t="s">
        <v>648</v>
      </c>
      <c r="P1158" s="1007" t="s">
        <v>648</v>
      </c>
      <c r="S1158" s="1008" t="s">
        <v>650</v>
      </c>
      <c r="T1158" s="1008" t="s">
        <v>654</v>
      </c>
      <c r="U1158" s="1008" t="s">
        <v>649</v>
      </c>
      <c r="V1158" s="1008" t="s">
        <v>648</v>
      </c>
      <c r="W1158" s="1008" t="s">
        <v>546</v>
      </c>
      <c r="X1158" s="1008" t="s">
        <v>670</v>
      </c>
      <c r="Y1158" s="1008"/>
      <c r="Z1158" s="1008"/>
      <c r="AA1158" s="1008" t="s">
        <v>670</v>
      </c>
      <c r="AB1158" s="1008"/>
      <c r="AC1158" s="1008"/>
      <c r="AD1158" s="1008" t="s">
        <v>670</v>
      </c>
      <c r="AE1158" s="1008"/>
      <c r="AF1158" s="1008"/>
      <c r="AG1158" s="1008"/>
      <c r="AH1158" s="1008"/>
      <c r="AI1158" s="1008"/>
    </row>
    <row r="1159" spans="1:35">
      <c r="A1159" s="1008">
        <v>23997</v>
      </c>
      <c r="B1159" s="1008">
        <v>1573</v>
      </c>
      <c r="C1159" s="1008">
        <v>7</v>
      </c>
      <c r="D1159" s="1009">
        <v>15719999</v>
      </c>
      <c r="E1159" s="1009">
        <v>15710650</v>
      </c>
      <c r="F1159" s="1007" t="s">
        <v>3498</v>
      </c>
      <c r="G1159" s="1007">
        <v>7</v>
      </c>
      <c r="H1159" s="1010">
        <v>99999999</v>
      </c>
      <c r="I1159" s="1009">
        <v>15710650</v>
      </c>
      <c r="J1159" s="1007" t="s">
        <v>3498</v>
      </c>
      <c r="O1159" s="1007" t="s">
        <v>648</v>
      </c>
      <c r="P1159" s="1007" t="s">
        <v>648</v>
      </c>
      <c r="S1159" s="1008" t="s">
        <v>650</v>
      </c>
      <c r="T1159" s="1008" t="s">
        <v>654</v>
      </c>
      <c r="U1159" s="1008" t="s">
        <v>649</v>
      </c>
      <c r="V1159" s="1008" t="s">
        <v>648</v>
      </c>
      <c r="W1159" s="1008" t="s">
        <v>546</v>
      </c>
      <c r="X1159" s="1008" t="s">
        <v>670</v>
      </c>
      <c r="Y1159" s="1008"/>
      <c r="Z1159" s="1008"/>
      <c r="AA1159" s="1008" t="s">
        <v>670</v>
      </c>
      <c r="AB1159" s="1008"/>
      <c r="AC1159" s="1008"/>
      <c r="AD1159" s="1008" t="s">
        <v>670</v>
      </c>
      <c r="AE1159" s="1008"/>
      <c r="AF1159" s="1008"/>
      <c r="AG1159" s="1008"/>
      <c r="AH1159" s="1008"/>
      <c r="AI1159" s="1008"/>
    </row>
    <row r="1160" spans="1:35">
      <c r="A1160" s="1008">
        <v>23998</v>
      </c>
      <c r="B1160" s="1008">
        <v>1574</v>
      </c>
      <c r="C1160" s="1008">
        <v>7</v>
      </c>
      <c r="D1160" s="1009">
        <v>15719999</v>
      </c>
      <c r="E1160" s="1009">
        <v>15710660</v>
      </c>
      <c r="F1160" s="1007" t="s">
        <v>3497</v>
      </c>
      <c r="G1160" s="1007">
        <v>7</v>
      </c>
      <c r="H1160" s="1010">
        <v>99999999</v>
      </c>
      <c r="I1160" s="1009">
        <v>15710660</v>
      </c>
      <c r="J1160" s="1007" t="s">
        <v>3497</v>
      </c>
      <c r="O1160" s="1007" t="s">
        <v>648</v>
      </c>
      <c r="P1160" s="1007" t="s">
        <v>648</v>
      </c>
      <c r="S1160" s="1008" t="s">
        <v>650</v>
      </c>
      <c r="T1160" s="1008" t="s">
        <v>654</v>
      </c>
      <c r="U1160" s="1008" t="s">
        <v>649</v>
      </c>
      <c r="V1160" s="1008" t="s">
        <v>648</v>
      </c>
      <c r="W1160" s="1008" t="s">
        <v>546</v>
      </c>
      <c r="X1160" s="1008" t="s">
        <v>670</v>
      </c>
      <c r="Y1160" s="1008"/>
      <c r="Z1160" s="1008"/>
      <c r="AA1160" s="1008" t="s">
        <v>670</v>
      </c>
      <c r="AB1160" s="1008"/>
      <c r="AC1160" s="1008"/>
      <c r="AD1160" s="1008" t="s">
        <v>670</v>
      </c>
      <c r="AE1160" s="1008"/>
      <c r="AF1160" s="1008"/>
      <c r="AG1160" s="1008"/>
      <c r="AH1160" s="1008"/>
      <c r="AI1160" s="1008"/>
    </row>
    <row r="1161" spans="1:35">
      <c r="A1161" s="1008">
        <v>23999</v>
      </c>
      <c r="B1161" s="1008">
        <v>1575</v>
      </c>
      <c r="C1161" s="1008">
        <v>7</v>
      </c>
      <c r="D1161" s="1009">
        <v>15719999</v>
      </c>
      <c r="E1161" s="1009">
        <v>15710670</v>
      </c>
      <c r="F1161" s="1007" t="s">
        <v>3496</v>
      </c>
      <c r="G1161" s="1007">
        <v>7</v>
      </c>
      <c r="H1161" s="1010">
        <v>99999999</v>
      </c>
      <c r="I1161" s="1009">
        <v>15710670</v>
      </c>
      <c r="J1161" s="1007" t="s">
        <v>3496</v>
      </c>
      <c r="O1161" s="1007" t="s">
        <v>648</v>
      </c>
      <c r="P1161" s="1007" t="s">
        <v>648</v>
      </c>
      <c r="S1161" s="1008" t="s">
        <v>650</v>
      </c>
      <c r="T1161" s="1008" t="s">
        <v>654</v>
      </c>
      <c r="U1161" s="1008" t="s">
        <v>649</v>
      </c>
      <c r="V1161" s="1008" t="s">
        <v>648</v>
      </c>
      <c r="W1161" s="1008" t="s">
        <v>546</v>
      </c>
      <c r="X1161" s="1008" t="s">
        <v>670</v>
      </c>
      <c r="Y1161" s="1008"/>
      <c r="Z1161" s="1008"/>
      <c r="AA1161" s="1008" t="s">
        <v>670</v>
      </c>
      <c r="AB1161" s="1008"/>
      <c r="AC1161" s="1008"/>
      <c r="AD1161" s="1008" t="s">
        <v>670</v>
      </c>
      <c r="AE1161" s="1008"/>
      <c r="AF1161" s="1008"/>
      <c r="AG1161" s="1008"/>
      <c r="AH1161" s="1008"/>
      <c r="AI1161" s="1008"/>
    </row>
    <row r="1162" spans="1:35">
      <c r="A1162" s="1008">
        <v>24000</v>
      </c>
      <c r="B1162" s="1008">
        <v>1576</v>
      </c>
      <c r="C1162" s="1008">
        <v>7</v>
      </c>
      <c r="D1162" s="1009">
        <v>15719999</v>
      </c>
      <c r="E1162" s="1009">
        <v>15710680</v>
      </c>
      <c r="F1162" s="1007" t="s">
        <v>3495</v>
      </c>
      <c r="G1162" s="1007">
        <v>7</v>
      </c>
      <c r="H1162" s="1010">
        <v>99999999</v>
      </c>
      <c r="I1162" s="1009">
        <v>15710680</v>
      </c>
      <c r="J1162" s="1007" t="s">
        <v>3495</v>
      </c>
      <c r="O1162" s="1007" t="s">
        <v>648</v>
      </c>
      <c r="P1162" s="1007" t="s">
        <v>648</v>
      </c>
      <c r="S1162" s="1008" t="s">
        <v>650</v>
      </c>
      <c r="T1162" s="1008" t="s">
        <v>654</v>
      </c>
      <c r="U1162" s="1008" t="s">
        <v>649</v>
      </c>
      <c r="V1162" s="1008" t="s">
        <v>648</v>
      </c>
      <c r="W1162" s="1008" t="s">
        <v>546</v>
      </c>
      <c r="X1162" s="1008" t="s">
        <v>670</v>
      </c>
      <c r="Y1162" s="1008"/>
      <c r="Z1162" s="1008"/>
      <c r="AA1162" s="1008" t="s">
        <v>670</v>
      </c>
      <c r="AB1162" s="1008"/>
      <c r="AC1162" s="1008"/>
      <c r="AD1162" s="1008" t="s">
        <v>670</v>
      </c>
      <c r="AE1162" s="1008"/>
      <c r="AF1162" s="1008"/>
      <c r="AG1162" s="1008"/>
      <c r="AH1162" s="1008"/>
      <c r="AI1162" s="1008"/>
    </row>
    <row r="1163" spans="1:35">
      <c r="A1163" s="1008">
        <v>24001</v>
      </c>
      <c r="B1163" s="1008">
        <v>4857</v>
      </c>
      <c r="C1163" s="1008">
        <v>7</v>
      </c>
      <c r="D1163" s="1009">
        <v>15719999</v>
      </c>
      <c r="E1163" s="1009">
        <v>15710690</v>
      </c>
      <c r="F1163" s="1007" t="s">
        <v>3494</v>
      </c>
      <c r="G1163" s="1007">
        <v>7</v>
      </c>
      <c r="H1163" s="1010">
        <v>99999999</v>
      </c>
      <c r="I1163" s="1009">
        <v>15710690</v>
      </c>
      <c r="J1163" s="1007" t="s">
        <v>3494</v>
      </c>
      <c r="O1163" s="1007" t="s">
        <v>648</v>
      </c>
      <c r="P1163" s="1007" t="s">
        <v>648</v>
      </c>
      <c r="S1163" s="1008" t="s">
        <v>650</v>
      </c>
      <c r="T1163" s="1008" t="s">
        <v>654</v>
      </c>
      <c r="U1163" s="1008" t="s">
        <v>649</v>
      </c>
      <c r="V1163" s="1008" t="s">
        <v>648</v>
      </c>
      <c r="W1163" s="1008" t="s">
        <v>546</v>
      </c>
      <c r="X1163" s="1008" t="s">
        <v>670</v>
      </c>
      <c r="Y1163" s="1008"/>
      <c r="Z1163" s="1008"/>
      <c r="AA1163" s="1008" t="s">
        <v>670</v>
      </c>
      <c r="AB1163" s="1008"/>
      <c r="AC1163" s="1008"/>
      <c r="AD1163" s="1008" t="s">
        <v>670</v>
      </c>
      <c r="AE1163" s="1008"/>
      <c r="AF1163" s="1008"/>
      <c r="AG1163" s="1008"/>
      <c r="AH1163" s="1008"/>
      <c r="AI1163" s="1008"/>
    </row>
    <row r="1164" spans="1:35">
      <c r="A1164" s="1008">
        <v>24002</v>
      </c>
      <c r="C1164" s="1008">
        <v>6</v>
      </c>
      <c r="D1164" s="1009">
        <v>15729999</v>
      </c>
      <c r="E1164" s="1009">
        <v>15719999</v>
      </c>
      <c r="F1164" s="1007" t="s">
        <v>3493</v>
      </c>
      <c r="O1164" s="1007" t="s">
        <v>648</v>
      </c>
      <c r="P1164" s="1007" t="s">
        <v>648</v>
      </c>
      <c r="S1164" s="1008" t="s">
        <v>650</v>
      </c>
      <c r="T1164" s="1008" t="s">
        <v>21</v>
      </c>
      <c r="U1164" s="1008" t="s">
        <v>649</v>
      </c>
      <c r="V1164" s="1008" t="s">
        <v>648</v>
      </c>
      <c r="W1164" s="1008" t="s">
        <v>546</v>
      </c>
      <c r="X1164" s="1008"/>
      <c r="Y1164" s="1008"/>
      <c r="Z1164" s="1008"/>
      <c r="AA1164" s="1008"/>
      <c r="AB1164" s="1008"/>
      <c r="AC1164" s="1008"/>
      <c r="AD1164" s="1008"/>
      <c r="AE1164" s="1008"/>
      <c r="AF1164" s="1008"/>
      <c r="AG1164" s="1008"/>
      <c r="AH1164" s="1008"/>
      <c r="AI1164" s="1008"/>
    </row>
    <row r="1165" spans="1:35">
      <c r="A1165" s="1008">
        <v>24003</v>
      </c>
      <c r="C1165" s="1008">
        <v>6</v>
      </c>
      <c r="D1165" s="1009">
        <v>15729900</v>
      </c>
      <c r="E1165" s="1009">
        <v>15720000</v>
      </c>
      <c r="F1165" s="1007" t="s">
        <v>3492</v>
      </c>
      <c r="O1165" s="1007" t="s">
        <v>648</v>
      </c>
      <c r="P1165" s="1007" t="s">
        <v>648</v>
      </c>
      <c r="S1165" s="1008" t="s">
        <v>650</v>
      </c>
      <c r="T1165" s="1008" t="s">
        <v>675</v>
      </c>
      <c r="U1165" s="1008" t="s">
        <v>649</v>
      </c>
      <c r="V1165" s="1008" t="s">
        <v>648</v>
      </c>
      <c r="W1165" s="1008" t="s">
        <v>546</v>
      </c>
      <c r="X1165" s="1008"/>
      <c r="Y1165" s="1008"/>
      <c r="Z1165" s="1008"/>
      <c r="AA1165" s="1008"/>
      <c r="AB1165" s="1008"/>
      <c r="AC1165" s="1008"/>
      <c r="AD1165" s="1008"/>
      <c r="AE1165" s="1008"/>
      <c r="AF1165" s="1008"/>
      <c r="AG1165" s="1008"/>
      <c r="AH1165" s="1008"/>
      <c r="AI1165" s="1008"/>
    </row>
    <row r="1166" spans="1:35">
      <c r="A1166" s="1008">
        <v>24004</v>
      </c>
      <c r="B1166" s="1008">
        <v>1578</v>
      </c>
      <c r="C1166" s="1008">
        <v>7</v>
      </c>
      <c r="D1166" s="1009">
        <v>15729900</v>
      </c>
      <c r="E1166" s="1009">
        <v>15720400</v>
      </c>
      <c r="F1166" s="1007" t="s">
        <v>3492</v>
      </c>
      <c r="G1166" s="1007">
        <v>7</v>
      </c>
      <c r="H1166" s="1010">
        <v>99999999</v>
      </c>
      <c r="I1166" s="1009">
        <v>15720400</v>
      </c>
      <c r="J1166" s="1007" t="s">
        <v>3492</v>
      </c>
      <c r="O1166" s="1007" t="s">
        <v>648</v>
      </c>
      <c r="P1166" s="1007" t="s">
        <v>648</v>
      </c>
      <c r="S1166" s="1008" t="s">
        <v>650</v>
      </c>
      <c r="T1166" s="1008" t="s">
        <v>654</v>
      </c>
      <c r="U1166" s="1008" t="s">
        <v>649</v>
      </c>
      <c r="V1166" s="1008" t="s">
        <v>648</v>
      </c>
      <c r="W1166" s="1008" t="s">
        <v>546</v>
      </c>
      <c r="X1166" s="1008" t="s">
        <v>670</v>
      </c>
      <c r="Y1166" s="1008"/>
      <c r="Z1166" s="1008"/>
      <c r="AA1166" s="1008" t="s">
        <v>670</v>
      </c>
      <c r="AB1166" s="1008"/>
      <c r="AC1166" s="1008"/>
      <c r="AD1166" s="1008" t="s">
        <v>670</v>
      </c>
      <c r="AE1166" s="1008"/>
      <c r="AF1166" s="1008"/>
      <c r="AG1166" s="1008"/>
      <c r="AH1166" s="1008"/>
      <c r="AI1166" s="1008"/>
    </row>
    <row r="1167" spans="1:35">
      <c r="A1167" s="1008">
        <v>24005</v>
      </c>
      <c r="B1167" s="1008">
        <v>4859</v>
      </c>
      <c r="C1167" s="1008">
        <v>7</v>
      </c>
      <c r="D1167" s="1009">
        <v>15729900</v>
      </c>
      <c r="E1167" s="1009">
        <v>15720800</v>
      </c>
      <c r="F1167" s="1007" t="s">
        <v>3491</v>
      </c>
      <c r="G1167" s="1007">
        <v>7</v>
      </c>
      <c r="H1167" s="1010">
        <v>99999999</v>
      </c>
      <c r="I1167" s="1009">
        <v>15720800</v>
      </c>
      <c r="J1167" s="1007" t="s">
        <v>3491</v>
      </c>
      <c r="O1167" s="1007" t="s">
        <v>648</v>
      </c>
      <c r="P1167" s="1007" t="s">
        <v>648</v>
      </c>
      <c r="S1167" s="1008" t="s">
        <v>650</v>
      </c>
      <c r="T1167" s="1008" t="s">
        <v>654</v>
      </c>
      <c r="U1167" s="1008" t="s">
        <v>649</v>
      </c>
      <c r="V1167" s="1008" t="s">
        <v>648</v>
      </c>
      <c r="W1167" s="1008" t="s">
        <v>546</v>
      </c>
      <c r="X1167" s="1008" t="s">
        <v>670</v>
      </c>
      <c r="Y1167" s="1008"/>
      <c r="Z1167" s="1008"/>
      <c r="AA1167" s="1008" t="s">
        <v>670</v>
      </c>
      <c r="AB1167" s="1008"/>
      <c r="AC1167" s="1008"/>
      <c r="AD1167" s="1008" t="s">
        <v>670</v>
      </c>
      <c r="AE1167" s="1008"/>
      <c r="AF1167" s="1008"/>
      <c r="AG1167" s="1008"/>
      <c r="AH1167" s="1008"/>
      <c r="AI1167" s="1008"/>
    </row>
    <row r="1168" spans="1:35">
      <c r="A1168" s="1008">
        <v>24006</v>
      </c>
      <c r="C1168" s="1008">
        <v>6</v>
      </c>
      <c r="D1168" s="1009">
        <v>15729999</v>
      </c>
      <c r="E1168" s="1009">
        <v>15729900</v>
      </c>
      <c r="F1168" s="1007" t="s">
        <v>3490</v>
      </c>
      <c r="O1168" s="1007" t="s">
        <v>648</v>
      </c>
      <c r="P1168" s="1007" t="s">
        <v>648</v>
      </c>
      <c r="S1168" s="1008" t="s">
        <v>650</v>
      </c>
      <c r="T1168" s="1008" t="s">
        <v>21</v>
      </c>
      <c r="U1168" s="1008" t="s">
        <v>649</v>
      </c>
      <c r="V1168" s="1008" t="s">
        <v>648</v>
      </c>
      <c r="W1168" s="1008" t="s">
        <v>546</v>
      </c>
      <c r="X1168" s="1008"/>
      <c r="Y1168" s="1008"/>
      <c r="Z1168" s="1008"/>
      <c r="AA1168" s="1008"/>
      <c r="AB1168" s="1008"/>
      <c r="AC1168" s="1008"/>
      <c r="AD1168" s="1008"/>
      <c r="AE1168" s="1008"/>
      <c r="AF1168" s="1008"/>
      <c r="AG1168" s="1008"/>
      <c r="AH1168" s="1008"/>
      <c r="AI1168" s="1008"/>
    </row>
    <row r="1169" spans="1:35">
      <c r="A1169" s="1008">
        <v>24007</v>
      </c>
      <c r="C1169" s="1008">
        <v>5</v>
      </c>
      <c r="D1169" s="1009">
        <v>15799999</v>
      </c>
      <c r="E1169" s="1009">
        <v>15729999</v>
      </c>
      <c r="F1169" s="1007" t="s">
        <v>3489</v>
      </c>
      <c r="O1169" s="1007" t="s">
        <v>648</v>
      </c>
      <c r="P1169" s="1007" t="s">
        <v>648</v>
      </c>
      <c r="S1169" s="1008" t="s">
        <v>650</v>
      </c>
      <c r="T1169" s="1008" t="s">
        <v>21</v>
      </c>
      <c r="U1169" s="1008" t="s">
        <v>649</v>
      </c>
      <c r="V1169" s="1008" t="s">
        <v>648</v>
      </c>
      <c r="W1169" s="1008" t="s">
        <v>546</v>
      </c>
      <c r="X1169" s="1008"/>
      <c r="Y1169" s="1008"/>
      <c r="Z1169" s="1008"/>
      <c r="AA1169" s="1008"/>
      <c r="AB1169" s="1008"/>
      <c r="AC1169" s="1008"/>
      <c r="AD1169" s="1008"/>
      <c r="AE1169" s="1008"/>
      <c r="AF1169" s="1008"/>
      <c r="AG1169" s="1008"/>
      <c r="AH1169" s="1008"/>
      <c r="AI1169" s="1008"/>
    </row>
    <row r="1170" spans="1:35">
      <c r="A1170" s="1008">
        <v>24008</v>
      </c>
      <c r="C1170" s="1008">
        <v>5</v>
      </c>
      <c r="D1170" s="1009">
        <v>15799900</v>
      </c>
      <c r="E1170" s="1009">
        <v>15730000</v>
      </c>
      <c r="F1170" s="1007" t="s">
        <v>3488</v>
      </c>
      <c r="O1170" s="1007" t="s">
        <v>648</v>
      </c>
      <c r="P1170" s="1007" t="s">
        <v>648</v>
      </c>
      <c r="S1170" s="1008" t="s">
        <v>650</v>
      </c>
      <c r="T1170" s="1008" t="s">
        <v>675</v>
      </c>
      <c r="U1170" s="1008" t="s">
        <v>649</v>
      </c>
      <c r="V1170" s="1008" t="s">
        <v>648</v>
      </c>
      <c r="W1170" s="1008" t="s">
        <v>546</v>
      </c>
      <c r="X1170" s="1008"/>
      <c r="Y1170" s="1008"/>
      <c r="Z1170" s="1008"/>
      <c r="AA1170" s="1008"/>
      <c r="AB1170" s="1008"/>
      <c r="AC1170" s="1008"/>
      <c r="AD1170" s="1008"/>
      <c r="AE1170" s="1008"/>
      <c r="AF1170" s="1008"/>
      <c r="AG1170" s="1008"/>
      <c r="AH1170" s="1008"/>
      <c r="AI1170" s="1008"/>
    </row>
    <row r="1171" spans="1:35">
      <c r="A1171" s="1008">
        <v>24009</v>
      </c>
      <c r="C1171" s="1008">
        <v>6</v>
      </c>
      <c r="D1171" s="1009">
        <v>15749999</v>
      </c>
      <c r="E1171" s="1009">
        <v>15740000</v>
      </c>
      <c r="F1171" s="1007" t="s">
        <v>3487</v>
      </c>
      <c r="O1171" s="1007" t="s">
        <v>648</v>
      </c>
      <c r="P1171" s="1007" t="s">
        <v>648</v>
      </c>
      <c r="S1171" s="1008" t="s">
        <v>650</v>
      </c>
      <c r="T1171" s="1008" t="s">
        <v>675</v>
      </c>
      <c r="U1171" s="1008" t="s">
        <v>649</v>
      </c>
      <c r="V1171" s="1008" t="s">
        <v>648</v>
      </c>
      <c r="W1171" s="1008" t="s">
        <v>546</v>
      </c>
      <c r="X1171" s="1008"/>
      <c r="Y1171" s="1008"/>
      <c r="Z1171" s="1008"/>
      <c r="AA1171" s="1008"/>
      <c r="AB1171" s="1008"/>
      <c r="AC1171" s="1008"/>
      <c r="AD1171" s="1008"/>
      <c r="AE1171" s="1008"/>
      <c r="AF1171" s="1008"/>
      <c r="AG1171" s="1008"/>
      <c r="AH1171" s="1008"/>
      <c r="AI1171" s="1008"/>
    </row>
    <row r="1172" spans="1:35">
      <c r="A1172" s="1008">
        <v>24010</v>
      </c>
      <c r="B1172" s="1008">
        <v>1580</v>
      </c>
      <c r="C1172" s="1008">
        <v>7</v>
      </c>
      <c r="D1172" s="1009">
        <v>15749999</v>
      </c>
      <c r="E1172" s="1009">
        <v>15740600</v>
      </c>
      <c r="F1172" s="1007" t="s">
        <v>3486</v>
      </c>
      <c r="G1172" s="1007">
        <v>7</v>
      </c>
      <c r="H1172" s="1010">
        <v>99999999</v>
      </c>
      <c r="I1172" s="1009">
        <v>15740600</v>
      </c>
      <c r="J1172" s="1007" t="s">
        <v>3486</v>
      </c>
      <c r="O1172" s="1007" t="s">
        <v>648</v>
      </c>
      <c r="P1172" s="1007" t="s">
        <v>648</v>
      </c>
      <c r="S1172" s="1008" t="s">
        <v>650</v>
      </c>
      <c r="T1172" s="1008" t="s">
        <v>654</v>
      </c>
      <c r="U1172" s="1008" t="s">
        <v>649</v>
      </c>
      <c r="V1172" s="1008" t="s">
        <v>648</v>
      </c>
      <c r="W1172" s="1008" t="s">
        <v>546</v>
      </c>
      <c r="X1172" s="1008" t="s">
        <v>670</v>
      </c>
      <c r="Y1172" s="1008"/>
      <c r="Z1172" s="1008"/>
      <c r="AA1172" s="1008" t="s">
        <v>670</v>
      </c>
      <c r="AB1172" s="1008"/>
      <c r="AC1172" s="1008"/>
      <c r="AD1172" s="1008" t="s">
        <v>670</v>
      </c>
      <c r="AE1172" s="1008"/>
      <c r="AF1172" s="1008"/>
      <c r="AG1172" s="1008"/>
      <c r="AH1172" s="1008"/>
      <c r="AI1172" s="1008"/>
    </row>
    <row r="1173" spans="1:35">
      <c r="A1173" s="1008">
        <v>24011</v>
      </c>
      <c r="B1173" s="1008">
        <v>1581</v>
      </c>
      <c r="C1173" s="1008">
        <v>7</v>
      </c>
      <c r="D1173" s="1009">
        <v>15749999</v>
      </c>
      <c r="E1173" s="1009">
        <v>15740610</v>
      </c>
      <c r="F1173" s="1007" t="s">
        <v>3485</v>
      </c>
      <c r="G1173" s="1007">
        <v>7</v>
      </c>
      <c r="H1173" s="1010">
        <v>99999999</v>
      </c>
      <c r="I1173" s="1009">
        <v>15740610</v>
      </c>
      <c r="J1173" s="1007" t="s">
        <v>3485</v>
      </c>
      <c r="O1173" s="1007" t="s">
        <v>648</v>
      </c>
      <c r="P1173" s="1007" t="s">
        <v>648</v>
      </c>
      <c r="S1173" s="1008" t="s">
        <v>650</v>
      </c>
      <c r="T1173" s="1008" t="s">
        <v>654</v>
      </c>
      <c r="U1173" s="1008" t="s">
        <v>649</v>
      </c>
      <c r="V1173" s="1008" t="s">
        <v>648</v>
      </c>
      <c r="W1173" s="1008" t="s">
        <v>546</v>
      </c>
      <c r="X1173" s="1008" t="s">
        <v>670</v>
      </c>
      <c r="Y1173" s="1008"/>
      <c r="Z1173" s="1008"/>
      <c r="AA1173" s="1008" t="s">
        <v>670</v>
      </c>
      <c r="AB1173" s="1008"/>
      <c r="AC1173" s="1008"/>
      <c r="AD1173" s="1008" t="s">
        <v>670</v>
      </c>
      <c r="AE1173" s="1008"/>
      <c r="AF1173" s="1008"/>
      <c r="AG1173" s="1008"/>
      <c r="AH1173" s="1008"/>
      <c r="AI1173" s="1008"/>
    </row>
    <row r="1174" spans="1:35">
      <c r="A1174" s="1008">
        <v>24012</v>
      </c>
      <c r="B1174" s="1008">
        <v>1582</v>
      </c>
      <c r="C1174" s="1008">
        <v>7</v>
      </c>
      <c r="D1174" s="1009">
        <v>15749999</v>
      </c>
      <c r="E1174" s="1009">
        <v>15740620</v>
      </c>
      <c r="F1174" s="1007" t="s">
        <v>3484</v>
      </c>
      <c r="G1174" s="1007">
        <v>7</v>
      </c>
      <c r="H1174" s="1010">
        <v>99999999</v>
      </c>
      <c r="I1174" s="1009">
        <v>15740620</v>
      </c>
      <c r="J1174" s="1007" t="s">
        <v>3484</v>
      </c>
      <c r="O1174" s="1007" t="s">
        <v>648</v>
      </c>
      <c r="P1174" s="1007" t="s">
        <v>648</v>
      </c>
      <c r="S1174" s="1008" t="s">
        <v>650</v>
      </c>
      <c r="T1174" s="1008" t="s">
        <v>654</v>
      </c>
      <c r="U1174" s="1008" t="s">
        <v>649</v>
      </c>
      <c r="V1174" s="1008" t="s">
        <v>648</v>
      </c>
      <c r="W1174" s="1008" t="s">
        <v>546</v>
      </c>
      <c r="X1174" s="1008" t="s">
        <v>670</v>
      </c>
      <c r="Y1174" s="1008"/>
      <c r="Z1174" s="1008"/>
      <c r="AA1174" s="1008" t="s">
        <v>670</v>
      </c>
      <c r="AB1174" s="1008"/>
      <c r="AC1174" s="1008"/>
      <c r="AD1174" s="1008" t="s">
        <v>670</v>
      </c>
      <c r="AE1174" s="1008"/>
      <c r="AF1174" s="1008"/>
      <c r="AG1174" s="1008"/>
      <c r="AH1174" s="1008"/>
      <c r="AI1174" s="1008"/>
    </row>
    <row r="1175" spans="1:35">
      <c r="A1175" s="1008">
        <v>24013</v>
      </c>
      <c r="B1175" s="1008">
        <v>1583</v>
      </c>
      <c r="C1175" s="1008">
        <v>7</v>
      </c>
      <c r="D1175" s="1009">
        <v>15749999</v>
      </c>
      <c r="E1175" s="1009">
        <v>15740630</v>
      </c>
      <c r="F1175" s="1007" t="s">
        <v>3483</v>
      </c>
      <c r="G1175" s="1007">
        <v>7</v>
      </c>
      <c r="H1175" s="1010">
        <v>99999999</v>
      </c>
      <c r="I1175" s="1009">
        <v>15740630</v>
      </c>
      <c r="J1175" s="1007" t="s">
        <v>3483</v>
      </c>
      <c r="O1175" s="1007" t="s">
        <v>648</v>
      </c>
      <c r="P1175" s="1007" t="s">
        <v>648</v>
      </c>
      <c r="S1175" s="1008" t="s">
        <v>650</v>
      </c>
      <c r="T1175" s="1008" t="s">
        <v>654</v>
      </c>
      <c r="U1175" s="1008" t="s">
        <v>649</v>
      </c>
      <c r="V1175" s="1008" t="s">
        <v>648</v>
      </c>
      <c r="W1175" s="1008" t="s">
        <v>546</v>
      </c>
      <c r="X1175" s="1008" t="s">
        <v>670</v>
      </c>
      <c r="Y1175" s="1008"/>
      <c r="Z1175" s="1008"/>
      <c r="AA1175" s="1008" t="s">
        <v>670</v>
      </c>
      <c r="AB1175" s="1008"/>
      <c r="AC1175" s="1008"/>
      <c r="AD1175" s="1008" t="s">
        <v>670</v>
      </c>
      <c r="AE1175" s="1008"/>
      <c r="AF1175" s="1008"/>
      <c r="AG1175" s="1008"/>
      <c r="AH1175" s="1008"/>
      <c r="AI1175" s="1008"/>
    </row>
    <row r="1176" spans="1:35">
      <c r="A1176" s="1008">
        <v>24014</v>
      </c>
      <c r="B1176" s="1008">
        <v>1584</v>
      </c>
      <c r="C1176" s="1008">
        <v>7</v>
      </c>
      <c r="D1176" s="1009">
        <v>15749999</v>
      </c>
      <c r="E1176" s="1009">
        <v>15740640</v>
      </c>
      <c r="F1176" s="1007" t="s">
        <v>3482</v>
      </c>
      <c r="G1176" s="1007">
        <v>7</v>
      </c>
      <c r="H1176" s="1010">
        <v>99999999</v>
      </c>
      <c r="I1176" s="1009">
        <v>15740640</v>
      </c>
      <c r="J1176" s="1007" t="s">
        <v>3482</v>
      </c>
      <c r="O1176" s="1007" t="s">
        <v>648</v>
      </c>
      <c r="P1176" s="1007" t="s">
        <v>648</v>
      </c>
      <c r="S1176" s="1008" t="s">
        <v>650</v>
      </c>
      <c r="T1176" s="1008" t="s">
        <v>654</v>
      </c>
      <c r="U1176" s="1008" t="s">
        <v>649</v>
      </c>
      <c r="V1176" s="1008" t="s">
        <v>648</v>
      </c>
      <c r="W1176" s="1008" t="s">
        <v>546</v>
      </c>
      <c r="X1176" s="1008" t="s">
        <v>670</v>
      </c>
      <c r="Y1176" s="1008"/>
      <c r="Z1176" s="1008"/>
      <c r="AA1176" s="1008" t="s">
        <v>670</v>
      </c>
      <c r="AB1176" s="1008"/>
      <c r="AC1176" s="1008"/>
      <c r="AD1176" s="1008" t="s">
        <v>670</v>
      </c>
      <c r="AE1176" s="1008"/>
      <c r="AF1176" s="1008"/>
      <c r="AG1176" s="1008"/>
      <c r="AH1176" s="1008"/>
      <c r="AI1176" s="1008"/>
    </row>
    <row r="1177" spans="1:35">
      <c r="A1177" s="1008">
        <v>24015</v>
      </c>
      <c r="B1177" s="1008">
        <v>1585</v>
      </c>
      <c r="C1177" s="1008">
        <v>7</v>
      </c>
      <c r="D1177" s="1009">
        <v>15749999</v>
      </c>
      <c r="E1177" s="1009">
        <v>15740650</v>
      </c>
      <c r="F1177" s="1007" t="s">
        <v>3481</v>
      </c>
      <c r="G1177" s="1007">
        <v>7</v>
      </c>
      <c r="H1177" s="1010">
        <v>99999999</v>
      </c>
      <c r="I1177" s="1009">
        <v>15740650</v>
      </c>
      <c r="J1177" s="1007" t="s">
        <v>3481</v>
      </c>
      <c r="O1177" s="1007" t="s">
        <v>648</v>
      </c>
      <c r="P1177" s="1007" t="s">
        <v>648</v>
      </c>
      <c r="S1177" s="1008" t="s">
        <v>650</v>
      </c>
      <c r="T1177" s="1008" t="s">
        <v>654</v>
      </c>
      <c r="U1177" s="1008" t="s">
        <v>649</v>
      </c>
      <c r="V1177" s="1008" t="s">
        <v>648</v>
      </c>
      <c r="W1177" s="1008" t="s">
        <v>546</v>
      </c>
      <c r="X1177" s="1008" t="s">
        <v>670</v>
      </c>
      <c r="Y1177" s="1008"/>
      <c r="Z1177" s="1008"/>
      <c r="AA1177" s="1008" t="s">
        <v>670</v>
      </c>
      <c r="AB1177" s="1008"/>
      <c r="AC1177" s="1008"/>
      <c r="AD1177" s="1008" t="s">
        <v>670</v>
      </c>
      <c r="AE1177" s="1008"/>
      <c r="AF1177" s="1008"/>
      <c r="AG1177" s="1008"/>
      <c r="AH1177" s="1008"/>
      <c r="AI1177" s="1008"/>
    </row>
    <row r="1178" spans="1:35">
      <c r="A1178" s="1008">
        <v>24016</v>
      </c>
      <c r="B1178" s="1008">
        <v>1586</v>
      </c>
      <c r="C1178" s="1008">
        <v>7</v>
      </c>
      <c r="D1178" s="1009">
        <v>15749999</v>
      </c>
      <c r="E1178" s="1009">
        <v>15740660</v>
      </c>
      <c r="F1178" s="1007" t="s">
        <v>3480</v>
      </c>
      <c r="G1178" s="1007">
        <v>7</v>
      </c>
      <c r="H1178" s="1010">
        <v>99999999</v>
      </c>
      <c r="I1178" s="1009">
        <v>15740660</v>
      </c>
      <c r="J1178" s="1007" t="s">
        <v>3480</v>
      </c>
      <c r="O1178" s="1007" t="s">
        <v>648</v>
      </c>
      <c r="P1178" s="1007" t="s">
        <v>648</v>
      </c>
      <c r="S1178" s="1008" t="s">
        <v>650</v>
      </c>
      <c r="T1178" s="1008" t="s">
        <v>654</v>
      </c>
      <c r="U1178" s="1008" t="s">
        <v>649</v>
      </c>
      <c r="V1178" s="1008" t="s">
        <v>648</v>
      </c>
      <c r="W1178" s="1008" t="s">
        <v>546</v>
      </c>
      <c r="X1178" s="1008" t="s">
        <v>670</v>
      </c>
      <c r="Y1178" s="1008"/>
      <c r="Z1178" s="1008"/>
      <c r="AA1178" s="1008" t="s">
        <v>670</v>
      </c>
      <c r="AB1178" s="1008"/>
      <c r="AC1178" s="1008"/>
      <c r="AD1178" s="1008" t="s">
        <v>670</v>
      </c>
      <c r="AE1178" s="1008"/>
      <c r="AF1178" s="1008"/>
      <c r="AG1178" s="1008"/>
      <c r="AH1178" s="1008"/>
      <c r="AI1178" s="1008"/>
    </row>
    <row r="1179" spans="1:35">
      <c r="A1179" s="1008">
        <v>24017</v>
      </c>
      <c r="B1179" s="1008">
        <v>1587</v>
      </c>
      <c r="C1179" s="1008">
        <v>7</v>
      </c>
      <c r="D1179" s="1009">
        <v>15749999</v>
      </c>
      <c r="E1179" s="1009">
        <v>15740670</v>
      </c>
      <c r="F1179" s="1007" t="s">
        <v>3479</v>
      </c>
      <c r="G1179" s="1007">
        <v>7</v>
      </c>
      <c r="H1179" s="1010">
        <v>99999999</v>
      </c>
      <c r="I1179" s="1009">
        <v>15740670</v>
      </c>
      <c r="J1179" s="1007" t="s">
        <v>3479</v>
      </c>
      <c r="O1179" s="1007" t="s">
        <v>648</v>
      </c>
      <c r="P1179" s="1007" t="s">
        <v>648</v>
      </c>
      <c r="S1179" s="1008" t="s">
        <v>650</v>
      </c>
      <c r="T1179" s="1008" t="s">
        <v>654</v>
      </c>
      <c r="U1179" s="1008" t="s">
        <v>649</v>
      </c>
      <c r="V1179" s="1008" t="s">
        <v>648</v>
      </c>
      <c r="W1179" s="1008" t="s">
        <v>546</v>
      </c>
      <c r="X1179" s="1008" t="s">
        <v>670</v>
      </c>
      <c r="Y1179" s="1008"/>
      <c r="Z1179" s="1008"/>
      <c r="AA1179" s="1008" t="s">
        <v>670</v>
      </c>
      <c r="AB1179" s="1008"/>
      <c r="AC1179" s="1008"/>
      <c r="AD1179" s="1008" t="s">
        <v>670</v>
      </c>
      <c r="AE1179" s="1008"/>
      <c r="AF1179" s="1008"/>
      <c r="AG1179" s="1008"/>
      <c r="AH1179" s="1008"/>
      <c r="AI1179" s="1008"/>
    </row>
    <row r="1180" spans="1:35">
      <c r="A1180" s="1008">
        <v>24018</v>
      </c>
      <c r="B1180" s="1008">
        <v>1588</v>
      </c>
      <c r="C1180" s="1008">
        <v>7</v>
      </c>
      <c r="D1180" s="1009">
        <v>15749999</v>
      </c>
      <c r="E1180" s="1009">
        <v>15740680</v>
      </c>
      <c r="F1180" s="1007" t="s">
        <v>3478</v>
      </c>
      <c r="G1180" s="1007">
        <v>7</v>
      </c>
      <c r="H1180" s="1010">
        <v>99999999</v>
      </c>
      <c r="I1180" s="1009">
        <v>15740680</v>
      </c>
      <c r="J1180" s="1007" t="s">
        <v>3478</v>
      </c>
      <c r="O1180" s="1007" t="s">
        <v>648</v>
      </c>
      <c r="P1180" s="1007" t="s">
        <v>648</v>
      </c>
      <c r="S1180" s="1008" t="s">
        <v>650</v>
      </c>
      <c r="T1180" s="1008" t="s">
        <v>654</v>
      </c>
      <c r="U1180" s="1008" t="s">
        <v>649</v>
      </c>
      <c r="V1180" s="1008" t="s">
        <v>648</v>
      </c>
      <c r="W1180" s="1008" t="s">
        <v>546</v>
      </c>
      <c r="X1180" s="1008" t="s">
        <v>670</v>
      </c>
      <c r="Y1180" s="1008"/>
      <c r="Z1180" s="1008"/>
      <c r="AA1180" s="1008" t="s">
        <v>670</v>
      </c>
      <c r="AB1180" s="1008"/>
      <c r="AC1180" s="1008"/>
      <c r="AD1180" s="1008" t="s">
        <v>670</v>
      </c>
      <c r="AE1180" s="1008"/>
      <c r="AF1180" s="1008"/>
      <c r="AG1180" s="1008"/>
      <c r="AH1180" s="1008"/>
      <c r="AI1180" s="1008"/>
    </row>
    <row r="1181" spans="1:35">
      <c r="A1181" s="1008">
        <v>24019</v>
      </c>
      <c r="B1181" s="1008">
        <v>4863</v>
      </c>
      <c r="C1181" s="1008">
        <v>7</v>
      </c>
      <c r="D1181" s="1009">
        <v>15749999</v>
      </c>
      <c r="E1181" s="1009">
        <v>15740690</v>
      </c>
      <c r="F1181" s="1007" t="s">
        <v>3477</v>
      </c>
      <c r="G1181" s="1007">
        <v>7</v>
      </c>
      <c r="H1181" s="1010">
        <v>99999999</v>
      </c>
      <c r="I1181" s="1009">
        <v>15740690</v>
      </c>
      <c r="J1181" s="1007" t="s">
        <v>3477</v>
      </c>
      <c r="O1181" s="1007" t="s">
        <v>648</v>
      </c>
      <c r="P1181" s="1007" t="s">
        <v>648</v>
      </c>
      <c r="S1181" s="1008" t="s">
        <v>650</v>
      </c>
      <c r="T1181" s="1008" t="s">
        <v>654</v>
      </c>
      <c r="U1181" s="1008" t="s">
        <v>649</v>
      </c>
      <c r="V1181" s="1008" t="s">
        <v>648</v>
      </c>
      <c r="W1181" s="1008" t="s">
        <v>546</v>
      </c>
      <c r="X1181" s="1008" t="s">
        <v>670</v>
      </c>
      <c r="Y1181" s="1008"/>
      <c r="Z1181" s="1008"/>
      <c r="AA1181" s="1008" t="s">
        <v>670</v>
      </c>
      <c r="AB1181" s="1008"/>
      <c r="AC1181" s="1008"/>
      <c r="AD1181" s="1008" t="s">
        <v>670</v>
      </c>
      <c r="AE1181" s="1008"/>
      <c r="AF1181" s="1008"/>
      <c r="AG1181" s="1008"/>
      <c r="AH1181" s="1008"/>
      <c r="AI1181" s="1008"/>
    </row>
    <row r="1182" spans="1:35">
      <c r="A1182" s="1008">
        <v>24020</v>
      </c>
      <c r="C1182" s="1008">
        <v>6</v>
      </c>
      <c r="D1182" s="1009">
        <v>15799900</v>
      </c>
      <c r="E1182" s="1009">
        <v>15749999</v>
      </c>
      <c r="F1182" s="1007" t="s">
        <v>3476</v>
      </c>
      <c r="O1182" s="1007" t="s">
        <v>648</v>
      </c>
      <c r="P1182" s="1007" t="s">
        <v>648</v>
      </c>
      <c r="S1182" s="1008" t="s">
        <v>650</v>
      </c>
      <c r="T1182" s="1008" t="s">
        <v>21</v>
      </c>
      <c r="U1182" s="1008" t="s">
        <v>649</v>
      </c>
      <c r="V1182" s="1008" t="s">
        <v>648</v>
      </c>
      <c r="W1182" s="1008" t="s">
        <v>546</v>
      </c>
      <c r="X1182" s="1008"/>
      <c r="Y1182" s="1008"/>
      <c r="Z1182" s="1008"/>
      <c r="AA1182" s="1008"/>
      <c r="AB1182" s="1008"/>
      <c r="AC1182" s="1008"/>
      <c r="AD1182" s="1008"/>
      <c r="AE1182" s="1008"/>
      <c r="AF1182" s="1008"/>
      <c r="AG1182" s="1008"/>
      <c r="AH1182" s="1008"/>
      <c r="AI1182" s="1008"/>
    </row>
    <row r="1183" spans="1:35">
      <c r="A1183" s="1008">
        <v>24021</v>
      </c>
      <c r="C1183" s="1008">
        <v>6</v>
      </c>
      <c r="D1183" s="1009">
        <v>15759999</v>
      </c>
      <c r="E1183" s="1009">
        <v>15750000</v>
      </c>
      <c r="F1183" s="1007" t="s">
        <v>3475</v>
      </c>
      <c r="O1183" s="1007" t="s">
        <v>648</v>
      </c>
      <c r="P1183" s="1007" t="s">
        <v>648</v>
      </c>
      <c r="S1183" s="1008" t="s">
        <v>650</v>
      </c>
      <c r="T1183" s="1008" t="s">
        <v>675</v>
      </c>
      <c r="U1183" s="1008" t="s">
        <v>649</v>
      </c>
      <c r="V1183" s="1008" t="s">
        <v>648</v>
      </c>
      <c r="W1183" s="1008" t="s">
        <v>546</v>
      </c>
      <c r="X1183" s="1008"/>
      <c r="Y1183" s="1008"/>
      <c r="Z1183" s="1008"/>
      <c r="AA1183" s="1008"/>
      <c r="AB1183" s="1008"/>
      <c r="AC1183" s="1008"/>
      <c r="AD1183" s="1008"/>
      <c r="AE1183" s="1008"/>
      <c r="AF1183" s="1008"/>
      <c r="AG1183" s="1008"/>
      <c r="AH1183" s="1008"/>
      <c r="AI1183" s="1008"/>
    </row>
    <row r="1184" spans="1:35">
      <c r="A1184" s="1008">
        <v>24022</v>
      </c>
      <c r="B1184" s="1008">
        <v>1590</v>
      </c>
      <c r="C1184" s="1008">
        <v>7</v>
      </c>
      <c r="D1184" s="1009">
        <v>15759999</v>
      </c>
      <c r="E1184" s="1009">
        <v>15750400</v>
      </c>
      <c r="F1184" s="1007" t="s">
        <v>3474</v>
      </c>
      <c r="G1184" s="1007">
        <v>7</v>
      </c>
      <c r="H1184" s="1010">
        <v>99999999</v>
      </c>
      <c r="I1184" s="1009">
        <v>15750400</v>
      </c>
      <c r="J1184" s="1007" t="s">
        <v>3474</v>
      </c>
      <c r="O1184" s="1007" t="s">
        <v>648</v>
      </c>
      <c r="P1184" s="1007" t="s">
        <v>648</v>
      </c>
      <c r="S1184" s="1008" t="s">
        <v>650</v>
      </c>
      <c r="T1184" s="1008" t="s">
        <v>654</v>
      </c>
      <c r="U1184" s="1008" t="s">
        <v>649</v>
      </c>
      <c r="V1184" s="1008" t="s">
        <v>648</v>
      </c>
      <c r="W1184" s="1008" t="s">
        <v>546</v>
      </c>
      <c r="X1184" s="1008" t="s">
        <v>670</v>
      </c>
      <c r="Y1184" s="1008"/>
      <c r="Z1184" s="1008"/>
      <c r="AA1184" s="1008" t="s">
        <v>670</v>
      </c>
      <c r="AB1184" s="1008"/>
      <c r="AC1184" s="1008"/>
      <c r="AD1184" s="1008" t="s">
        <v>670</v>
      </c>
      <c r="AE1184" s="1008"/>
      <c r="AF1184" s="1008"/>
      <c r="AG1184" s="1008"/>
      <c r="AH1184" s="1008"/>
      <c r="AI1184" s="1008"/>
    </row>
    <row r="1185" spans="1:35">
      <c r="A1185" s="1008">
        <v>24023</v>
      </c>
      <c r="B1185" s="1008">
        <v>4865</v>
      </c>
      <c r="C1185" s="1008">
        <v>7</v>
      </c>
      <c r="D1185" s="1009">
        <v>15759999</v>
      </c>
      <c r="E1185" s="1009">
        <v>15750800</v>
      </c>
      <c r="F1185" s="1007" t="s">
        <v>3473</v>
      </c>
      <c r="G1185" s="1007">
        <v>7</v>
      </c>
      <c r="H1185" s="1010">
        <v>99999999</v>
      </c>
      <c r="I1185" s="1009">
        <v>15750800</v>
      </c>
      <c r="J1185" s="1007" t="s">
        <v>3473</v>
      </c>
      <c r="O1185" s="1007" t="s">
        <v>648</v>
      </c>
      <c r="P1185" s="1007" t="s">
        <v>648</v>
      </c>
      <c r="S1185" s="1008" t="s">
        <v>650</v>
      </c>
      <c r="T1185" s="1008" t="s">
        <v>654</v>
      </c>
      <c r="U1185" s="1008" t="s">
        <v>649</v>
      </c>
      <c r="V1185" s="1008" t="s">
        <v>648</v>
      </c>
      <c r="W1185" s="1008" t="s">
        <v>546</v>
      </c>
      <c r="X1185" s="1008" t="s">
        <v>670</v>
      </c>
      <c r="Y1185" s="1008"/>
      <c r="Z1185" s="1008"/>
      <c r="AA1185" s="1008" t="s">
        <v>670</v>
      </c>
      <c r="AB1185" s="1008"/>
      <c r="AC1185" s="1008"/>
      <c r="AD1185" s="1008" t="s">
        <v>670</v>
      </c>
      <c r="AE1185" s="1008"/>
      <c r="AF1185" s="1008"/>
      <c r="AG1185" s="1008"/>
      <c r="AH1185" s="1008"/>
      <c r="AI1185" s="1008"/>
    </row>
    <row r="1186" spans="1:35">
      <c r="A1186" s="1008">
        <v>24024</v>
      </c>
      <c r="C1186" s="1008">
        <v>6</v>
      </c>
      <c r="D1186" s="1009">
        <v>15799900</v>
      </c>
      <c r="E1186" s="1009">
        <v>15759999</v>
      </c>
      <c r="F1186" s="1007" t="s">
        <v>3472</v>
      </c>
      <c r="O1186" s="1007" t="s">
        <v>648</v>
      </c>
      <c r="P1186" s="1007" t="s">
        <v>648</v>
      </c>
      <c r="S1186" s="1008" t="s">
        <v>650</v>
      </c>
      <c r="T1186" s="1008" t="s">
        <v>21</v>
      </c>
      <c r="U1186" s="1008" t="s">
        <v>649</v>
      </c>
      <c r="V1186" s="1008" t="s">
        <v>648</v>
      </c>
      <c r="W1186" s="1008" t="s">
        <v>546</v>
      </c>
      <c r="X1186" s="1008"/>
      <c r="Y1186" s="1008"/>
      <c r="Z1186" s="1008"/>
      <c r="AA1186" s="1008"/>
      <c r="AB1186" s="1008"/>
      <c r="AC1186" s="1008"/>
      <c r="AD1186" s="1008"/>
      <c r="AE1186" s="1008"/>
      <c r="AF1186" s="1008"/>
      <c r="AG1186" s="1008"/>
      <c r="AH1186" s="1008"/>
      <c r="AI1186" s="1008"/>
    </row>
    <row r="1187" spans="1:35">
      <c r="A1187" s="1008">
        <v>24025</v>
      </c>
      <c r="C1187" s="1008">
        <v>5</v>
      </c>
      <c r="D1187" s="1009">
        <v>15799999</v>
      </c>
      <c r="E1187" s="1009">
        <v>15799900</v>
      </c>
      <c r="F1187" s="1007" t="s">
        <v>3471</v>
      </c>
      <c r="O1187" s="1007" t="s">
        <v>648</v>
      </c>
      <c r="P1187" s="1007" t="s">
        <v>648</v>
      </c>
      <c r="S1187" s="1008" t="s">
        <v>650</v>
      </c>
      <c r="T1187" s="1008" t="s">
        <v>21</v>
      </c>
      <c r="U1187" s="1008" t="s">
        <v>649</v>
      </c>
      <c r="V1187" s="1008" t="s">
        <v>648</v>
      </c>
      <c r="W1187" s="1008" t="s">
        <v>546</v>
      </c>
      <c r="X1187" s="1008"/>
      <c r="Y1187" s="1008"/>
      <c r="Z1187" s="1008"/>
      <c r="AA1187" s="1008"/>
      <c r="AB1187" s="1008"/>
      <c r="AC1187" s="1008"/>
      <c r="AD1187" s="1008"/>
      <c r="AE1187" s="1008"/>
      <c r="AF1187" s="1008"/>
      <c r="AG1187" s="1008"/>
      <c r="AH1187" s="1008"/>
      <c r="AI1187" s="1008"/>
    </row>
    <row r="1188" spans="1:35">
      <c r="A1188" s="1008">
        <v>24026</v>
      </c>
      <c r="C1188" s="1008">
        <v>4</v>
      </c>
      <c r="D1188" s="1009">
        <v>19999998</v>
      </c>
      <c r="E1188" s="1009">
        <v>15799999</v>
      </c>
      <c r="F1188" s="1007" t="s">
        <v>3470</v>
      </c>
      <c r="O1188" s="1007" t="s">
        <v>648</v>
      </c>
      <c r="P1188" s="1007" t="s">
        <v>648</v>
      </c>
      <c r="S1188" s="1008" t="s">
        <v>650</v>
      </c>
      <c r="T1188" s="1008" t="s">
        <v>21</v>
      </c>
      <c r="U1188" s="1008" t="s">
        <v>649</v>
      </c>
      <c r="V1188" s="1008" t="s">
        <v>648</v>
      </c>
      <c r="W1188" s="1008" t="s">
        <v>546</v>
      </c>
      <c r="X1188" s="1008"/>
      <c r="Y1188" s="1008"/>
      <c r="Z1188" s="1008"/>
      <c r="AA1188" s="1008"/>
      <c r="AB1188" s="1008"/>
      <c r="AC1188" s="1008"/>
      <c r="AD1188" s="1008"/>
      <c r="AE1188" s="1008"/>
      <c r="AF1188" s="1008"/>
      <c r="AG1188" s="1008"/>
      <c r="AH1188" s="1008"/>
      <c r="AI1188" s="1008"/>
    </row>
    <row r="1189" spans="1:35">
      <c r="A1189" s="1008">
        <v>24027</v>
      </c>
      <c r="C1189" s="1008">
        <v>4</v>
      </c>
      <c r="D1189" s="1009">
        <v>16399999</v>
      </c>
      <c r="E1189" s="1009">
        <v>16000000</v>
      </c>
      <c r="F1189" s="1007" t="s">
        <v>3469</v>
      </c>
      <c r="O1189" s="1007" t="s">
        <v>648</v>
      </c>
      <c r="P1189" s="1007" t="s">
        <v>648</v>
      </c>
      <c r="S1189" s="1008" t="s">
        <v>650</v>
      </c>
      <c r="T1189" s="1008" t="s">
        <v>675</v>
      </c>
      <c r="U1189" s="1008" t="s">
        <v>649</v>
      </c>
      <c r="V1189" s="1008" t="s">
        <v>648</v>
      </c>
      <c r="W1189" s="1008" t="s">
        <v>546</v>
      </c>
      <c r="X1189" s="1008"/>
      <c r="Y1189" s="1008"/>
      <c r="Z1189" s="1008"/>
      <c r="AA1189" s="1008"/>
      <c r="AB1189" s="1008"/>
      <c r="AC1189" s="1008"/>
      <c r="AD1189" s="1008"/>
      <c r="AE1189" s="1008"/>
      <c r="AF1189" s="1008"/>
      <c r="AG1189" s="1008"/>
      <c r="AH1189" s="1008"/>
      <c r="AI1189" s="1008"/>
    </row>
    <row r="1190" spans="1:35">
      <c r="A1190" s="1008">
        <v>24028</v>
      </c>
      <c r="C1190" s="1008">
        <v>5</v>
      </c>
      <c r="D1190" s="1009">
        <v>16099999</v>
      </c>
      <c r="E1190" s="1009">
        <v>16001000</v>
      </c>
      <c r="F1190" s="1007" t="s">
        <v>3468</v>
      </c>
      <c r="O1190" s="1007" t="s">
        <v>648</v>
      </c>
      <c r="P1190" s="1007" t="s">
        <v>648</v>
      </c>
      <c r="S1190" s="1008" t="s">
        <v>650</v>
      </c>
      <c r="T1190" s="1008" t="s">
        <v>675</v>
      </c>
      <c r="U1190" s="1008" t="s">
        <v>649</v>
      </c>
      <c r="V1190" s="1008" t="s">
        <v>648</v>
      </c>
      <c r="W1190" s="1008" t="s">
        <v>546</v>
      </c>
      <c r="X1190" s="1008"/>
      <c r="Y1190" s="1008"/>
      <c r="Z1190" s="1008"/>
      <c r="AA1190" s="1008"/>
      <c r="AB1190" s="1008"/>
      <c r="AC1190" s="1008"/>
      <c r="AD1190" s="1008"/>
      <c r="AE1190" s="1008"/>
      <c r="AF1190" s="1008"/>
      <c r="AG1190" s="1008"/>
      <c r="AH1190" s="1008"/>
      <c r="AI1190" s="1008"/>
    </row>
    <row r="1191" spans="1:35">
      <c r="A1191" s="1008">
        <v>24029</v>
      </c>
      <c r="C1191" s="1008">
        <v>6</v>
      </c>
      <c r="D1191" s="1009">
        <v>16019999</v>
      </c>
      <c r="E1191" s="1009">
        <v>16010000</v>
      </c>
      <c r="F1191" s="1007" t="s">
        <v>3467</v>
      </c>
      <c r="O1191" s="1007" t="s">
        <v>648</v>
      </c>
      <c r="P1191" s="1007" t="s">
        <v>648</v>
      </c>
      <c r="S1191" s="1008" t="s">
        <v>650</v>
      </c>
      <c r="T1191" s="1008" t="s">
        <v>675</v>
      </c>
      <c r="U1191" s="1008" t="s">
        <v>649</v>
      </c>
      <c r="V1191" s="1008" t="s">
        <v>648</v>
      </c>
      <c r="W1191" s="1008" t="s">
        <v>546</v>
      </c>
      <c r="X1191" s="1008"/>
      <c r="Y1191" s="1008"/>
      <c r="Z1191" s="1008"/>
      <c r="AA1191" s="1008"/>
      <c r="AB1191" s="1008"/>
      <c r="AC1191" s="1008"/>
      <c r="AD1191" s="1008"/>
      <c r="AE1191" s="1008"/>
      <c r="AF1191" s="1008"/>
      <c r="AG1191" s="1008"/>
      <c r="AH1191" s="1008"/>
      <c r="AI1191" s="1008"/>
    </row>
    <row r="1192" spans="1:35">
      <c r="A1192" s="1008">
        <v>24030</v>
      </c>
      <c r="B1192" s="1008">
        <v>49</v>
      </c>
      <c r="C1192" s="1008">
        <v>7</v>
      </c>
      <c r="D1192" s="1009">
        <v>16019999</v>
      </c>
      <c r="E1192" s="1009">
        <v>16010100</v>
      </c>
      <c r="F1192" s="1007" t="s">
        <v>3466</v>
      </c>
      <c r="G1192" s="1007">
        <v>8</v>
      </c>
      <c r="H1192" s="1010">
        <v>99999999</v>
      </c>
      <c r="I1192" s="1009">
        <v>16010100</v>
      </c>
      <c r="J1192" s="1007" t="s">
        <v>3466</v>
      </c>
      <c r="O1192" s="1007" t="s">
        <v>648</v>
      </c>
      <c r="P1192" s="1007" t="s">
        <v>648</v>
      </c>
      <c r="S1192" s="1008" t="s">
        <v>650</v>
      </c>
      <c r="T1192" s="1008" t="s">
        <v>654</v>
      </c>
      <c r="U1192" s="1008" t="s">
        <v>649</v>
      </c>
      <c r="V1192" s="1008" t="s">
        <v>648</v>
      </c>
      <c r="W1192" s="1008" t="s">
        <v>546</v>
      </c>
      <c r="X1192" s="1008" t="s">
        <v>670</v>
      </c>
      <c r="Y1192" s="1008" t="s">
        <v>670</v>
      </c>
      <c r="Z1192" s="1008" t="s">
        <v>670</v>
      </c>
      <c r="AA1192" s="1008"/>
      <c r="AB1192" s="1008" t="s">
        <v>670</v>
      </c>
      <c r="AC1192" s="1008"/>
      <c r="AD1192" s="1008"/>
      <c r="AE1192" s="1008"/>
      <c r="AF1192" s="1008" t="s">
        <v>670</v>
      </c>
      <c r="AG1192" s="1008"/>
      <c r="AH1192" s="1008"/>
      <c r="AI1192" s="1008"/>
    </row>
    <row r="1193" spans="1:35">
      <c r="A1193" s="1008">
        <v>24031</v>
      </c>
      <c r="B1193" s="1008">
        <v>1593</v>
      </c>
      <c r="C1193" s="1008">
        <v>7</v>
      </c>
      <c r="D1193" s="1009">
        <v>16019999</v>
      </c>
      <c r="E1193" s="1009">
        <v>16010600</v>
      </c>
      <c r="F1193" s="1007" t="s">
        <v>3465</v>
      </c>
      <c r="G1193" s="1007">
        <v>7</v>
      </c>
      <c r="H1193" s="1010">
        <v>99999999</v>
      </c>
      <c r="I1193" s="1009">
        <v>16010600</v>
      </c>
      <c r="J1193" s="1007" t="s">
        <v>3465</v>
      </c>
      <c r="O1193" s="1007" t="s">
        <v>648</v>
      </c>
      <c r="P1193" s="1007" t="s">
        <v>648</v>
      </c>
      <c r="S1193" s="1008" t="s">
        <v>650</v>
      </c>
      <c r="T1193" s="1008" t="s">
        <v>654</v>
      </c>
      <c r="U1193" s="1008" t="s">
        <v>649</v>
      </c>
      <c r="V1193" s="1008" t="s">
        <v>648</v>
      </c>
      <c r="W1193" s="1008" t="s">
        <v>546</v>
      </c>
      <c r="X1193" s="1008" t="s">
        <v>670</v>
      </c>
      <c r="Y1193" s="1008"/>
      <c r="Z1193" s="1008"/>
      <c r="AA1193" s="1008" t="s">
        <v>670</v>
      </c>
      <c r="AB1193" s="1008"/>
      <c r="AC1193" s="1008"/>
      <c r="AD1193" s="1008" t="s">
        <v>670</v>
      </c>
      <c r="AE1193" s="1008" t="s">
        <v>670</v>
      </c>
      <c r="AF1193" s="1008"/>
      <c r="AG1193" s="1008"/>
      <c r="AH1193" s="1008"/>
      <c r="AI1193" s="1008"/>
    </row>
    <row r="1194" spans="1:35">
      <c r="A1194" s="1008">
        <v>24032</v>
      </c>
      <c r="B1194" s="1008">
        <v>4871</v>
      </c>
      <c r="C1194" s="1008">
        <v>7</v>
      </c>
      <c r="D1194" s="1009">
        <v>16019999</v>
      </c>
      <c r="E1194" s="1009">
        <v>16010800</v>
      </c>
      <c r="F1194" s="1007" t="s">
        <v>3464</v>
      </c>
      <c r="G1194" s="1007">
        <v>7</v>
      </c>
      <c r="H1194" s="1010">
        <v>99999999</v>
      </c>
      <c r="I1194" s="1009">
        <v>16010800</v>
      </c>
      <c r="J1194" s="1007" t="s">
        <v>3464</v>
      </c>
      <c r="O1194" s="1007" t="s">
        <v>648</v>
      </c>
      <c r="P1194" s="1007" t="s">
        <v>648</v>
      </c>
      <c r="S1194" s="1008" t="s">
        <v>650</v>
      </c>
      <c r="T1194" s="1008" t="s">
        <v>654</v>
      </c>
      <c r="U1194" s="1008" t="s">
        <v>649</v>
      </c>
      <c r="V1194" s="1008" t="s">
        <v>648</v>
      </c>
      <c r="W1194" s="1008" t="s">
        <v>546</v>
      </c>
      <c r="X1194" s="1008" t="s">
        <v>670</v>
      </c>
      <c r="Y1194" s="1008"/>
      <c r="Z1194" s="1008"/>
      <c r="AA1194" s="1008" t="s">
        <v>670</v>
      </c>
      <c r="AB1194" s="1008"/>
      <c r="AC1194" s="1008"/>
      <c r="AD1194" s="1008" t="s">
        <v>670</v>
      </c>
      <c r="AE1194" s="1008"/>
      <c r="AF1194" s="1008"/>
      <c r="AG1194" s="1008"/>
      <c r="AH1194" s="1008"/>
      <c r="AI1194" s="1008"/>
    </row>
    <row r="1195" spans="1:35">
      <c r="A1195" s="1008">
        <v>24033</v>
      </c>
      <c r="C1195" s="1008">
        <v>6</v>
      </c>
      <c r="D1195" s="1009">
        <v>16099999</v>
      </c>
      <c r="E1195" s="1009">
        <v>16019999</v>
      </c>
      <c r="F1195" s="1007" t="s">
        <v>3463</v>
      </c>
      <c r="O1195" s="1007" t="s">
        <v>648</v>
      </c>
      <c r="P1195" s="1007" t="s">
        <v>648</v>
      </c>
      <c r="S1195" s="1008" t="s">
        <v>650</v>
      </c>
      <c r="T1195" s="1008" t="s">
        <v>21</v>
      </c>
      <c r="U1195" s="1008" t="s">
        <v>649</v>
      </c>
      <c r="V1195" s="1008" t="s">
        <v>648</v>
      </c>
      <c r="W1195" s="1008" t="s">
        <v>546</v>
      </c>
      <c r="X1195" s="1008"/>
      <c r="Y1195" s="1008"/>
      <c r="Z1195" s="1008"/>
      <c r="AA1195" s="1008"/>
      <c r="AB1195" s="1008"/>
      <c r="AC1195" s="1008"/>
      <c r="AD1195" s="1008"/>
      <c r="AE1195" s="1008"/>
      <c r="AF1195" s="1008"/>
      <c r="AG1195" s="1008"/>
      <c r="AH1195" s="1008"/>
      <c r="AI1195" s="1008"/>
    </row>
    <row r="1196" spans="1:35">
      <c r="A1196" s="1008">
        <v>24034</v>
      </c>
      <c r="C1196" s="1008">
        <v>6</v>
      </c>
      <c r="D1196" s="1009">
        <v>16029999</v>
      </c>
      <c r="E1196" s="1009">
        <v>16020000</v>
      </c>
      <c r="F1196" s="1007" t="s">
        <v>3462</v>
      </c>
      <c r="O1196" s="1007" t="s">
        <v>648</v>
      </c>
      <c r="P1196" s="1007" t="s">
        <v>648</v>
      </c>
      <c r="S1196" s="1008" t="s">
        <v>650</v>
      </c>
      <c r="T1196" s="1008" t="s">
        <v>675</v>
      </c>
      <c r="U1196" s="1008" t="s">
        <v>649</v>
      </c>
      <c r="V1196" s="1008" t="s">
        <v>648</v>
      </c>
      <c r="W1196" s="1008" t="s">
        <v>546</v>
      </c>
      <c r="X1196" s="1008"/>
      <c r="Y1196" s="1008"/>
      <c r="Z1196" s="1008"/>
      <c r="AA1196" s="1008"/>
      <c r="AB1196" s="1008"/>
      <c r="AC1196" s="1008"/>
      <c r="AD1196" s="1008"/>
      <c r="AE1196" s="1008"/>
      <c r="AF1196" s="1008"/>
      <c r="AG1196" s="1008"/>
      <c r="AH1196" s="1008"/>
      <c r="AI1196" s="1008"/>
    </row>
    <row r="1197" spans="1:35">
      <c r="A1197" s="1008">
        <v>24035</v>
      </c>
      <c r="B1197" s="1008">
        <v>1595</v>
      </c>
      <c r="C1197" s="1008">
        <v>7</v>
      </c>
      <c r="D1197" s="1009">
        <v>16029999</v>
      </c>
      <c r="E1197" s="1009">
        <v>16020500</v>
      </c>
      <c r="F1197" s="1007" t="s">
        <v>3461</v>
      </c>
      <c r="G1197" s="1007">
        <v>7</v>
      </c>
      <c r="H1197" s="1010">
        <v>99999999</v>
      </c>
      <c r="I1197" s="1009">
        <v>16020500</v>
      </c>
      <c r="J1197" s="1007" t="s">
        <v>3461</v>
      </c>
      <c r="O1197" s="1007" t="s">
        <v>648</v>
      </c>
      <c r="P1197" s="1007" t="s">
        <v>648</v>
      </c>
      <c r="S1197" s="1008" t="s">
        <v>650</v>
      </c>
      <c r="T1197" s="1008" t="s">
        <v>654</v>
      </c>
      <c r="U1197" s="1008" t="s">
        <v>649</v>
      </c>
      <c r="V1197" s="1008" t="s">
        <v>648</v>
      </c>
      <c r="W1197" s="1008" t="s">
        <v>546</v>
      </c>
      <c r="X1197" s="1008" t="s">
        <v>670</v>
      </c>
      <c r="Y1197" s="1008"/>
      <c r="Z1197" s="1008"/>
      <c r="AA1197" s="1008" t="s">
        <v>670</v>
      </c>
      <c r="AB1197" s="1008"/>
      <c r="AC1197" s="1008"/>
      <c r="AD1197" s="1008" t="s">
        <v>670</v>
      </c>
      <c r="AE1197" s="1008"/>
      <c r="AF1197" s="1008"/>
      <c r="AG1197" s="1008"/>
      <c r="AH1197" s="1008"/>
      <c r="AI1197" s="1008"/>
    </row>
    <row r="1198" spans="1:35">
      <c r="A1198" s="1008">
        <v>24036</v>
      </c>
      <c r="B1198" s="1008">
        <v>1596</v>
      </c>
      <c r="C1198" s="1008">
        <v>7</v>
      </c>
      <c r="D1198" s="1009">
        <v>16029999</v>
      </c>
      <c r="E1198" s="1009">
        <v>16020600</v>
      </c>
      <c r="F1198" s="1007" t="s">
        <v>3460</v>
      </c>
      <c r="G1198" s="1007">
        <v>7</v>
      </c>
      <c r="H1198" s="1010">
        <v>99999999</v>
      </c>
      <c r="I1198" s="1009">
        <v>16020600</v>
      </c>
      <c r="J1198" s="1007" t="s">
        <v>3460</v>
      </c>
      <c r="O1198" s="1007" t="s">
        <v>648</v>
      </c>
      <c r="P1198" s="1007" t="s">
        <v>648</v>
      </c>
      <c r="S1198" s="1008" t="s">
        <v>650</v>
      </c>
      <c r="T1198" s="1008" t="s">
        <v>654</v>
      </c>
      <c r="U1198" s="1008" t="s">
        <v>649</v>
      </c>
      <c r="V1198" s="1008" t="s">
        <v>648</v>
      </c>
      <c r="W1198" s="1008" t="s">
        <v>546</v>
      </c>
      <c r="X1198" s="1008" t="s">
        <v>670</v>
      </c>
      <c r="Y1198" s="1008"/>
      <c r="Z1198" s="1008"/>
      <c r="AA1198" s="1008" t="s">
        <v>670</v>
      </c>
      <c r="AB1198" s="1008"/>
      <c r="AC1198" s="1008"/>
      <c r="AD1198" s="1008" t="s">
        <v>670</v>
      </c>
      <c r="AE1198" s="1008"/>
      <c r="AF1198" s="1008"/>
      <c r="AG1198" s="1008"/>
      <c r="AH1198" s="1008"/>
      <c r="AI1198" s="1008"/>
    </row>
    <row r="1199" spans="1:35">
      <c r="A1199" s="1008">
        <v>24037</v>
      </c>
      <c r="B1199" s="1008">
        <v>4873</v>
      </c>
      <c r="C1199" s="1008">
        <v>7</v>
      </c>
      <c r="D1199" s="1009">
        <v>16029999</v>
      </c>
      <c r="E1199" s="1009">
        <v>16020800</v>
      </c>
      <c r="F1199" s="1007" t="s">
        <v>3459</v>
      </c>
      <c r="G1199" s="1007">
        <v>7</v>
      </c>
      <c r="H1199" s="1010">
        <v>99999999</v>
      </c>
      <c r="I1199" s="1009">
        <v>16020800</v>
      </c>
      <c r="J1199" s="1007" t="s">
        <v>3459</v>
      </c>
      <c r="O1199" s="1007" t="s">
        <v>648</v>
      </c>
      <c r="P1199" s="1007" t="s">
        <v>648</v>
      </c>
      <c r="S1199" s="1008" t="s">
        <v>650</v>
      </c>
      <c r="T1199" s="1008" t="s">
        <v>654</v>
      </c>
      <c r="U1199" s="1008" t="s">
        <v>649</v>
      </c>
      <c r="V1199" s="1008" t="s">
        <v>648</v>
      </c>
      <c r="W1199" s="1008" t="s">
        <v>546</v>
      </c>
      <c r="X1199" s="1008" t="s">
        <v>670</v>
      </c>
      <c r="Y1199" s="1008"/>
      <c r="Z1199" s="1008"/>
      <c r="AA1199" s="1008" t="s">
        <v>670</v>
      </c>
      <c r="AB1199" s="1008"/>
      <c r="AC1199" s="1008"/>
      <c r="AD1199" s="1008" t="s">
        <v>670</v>
      </c>
      <c r="AE1199" s="1008"/>
      <c r="AF1199" s="1008"/>
      <c r="AG1199" s="1008"/>
      <c r="AH1199" s="1008"/>
      <c r="AI1199" s="1008"/>
    </row>
    <row r="1200" spans="1:35">
      <c r="A1200" s="1008">
        <v>24038</v>
      </c>
      <c r="C1200" s="1008">
        <v>6</v>
      </c>
      <c r="D1200" s="1009">
        <v>16099999</v>
      </c>
      <c r="E1200" s="1009">
        <v>16029999</v>
      </c>
      <c r="F1200" s="1007" t="s">
        <v>3458</v>
      </c>
      <c r="O1200" s="1007" t="s">
        <v>648</v>
      </c>
      <c r="P1200" s="1007" t="s">
        <v>648</v>
      </c>
      <c r="S1200" s="1008" t="s">
        <v>650</v>
      </c>
      <c r="T1200" s="1008" t="s">
        <v>21</v>
      </c>
      <c r="U1200" s="1008" t="s">
        <v>649</v>
      </c>
      <c r="V1200" s="1008" t="s">
        <v>648</v>
      </c>
      <c r="W1200" s="1008" t="s">
        <v>546</v>
      </c>
      <c r="X1200" s="1008"/>
      <c r="Y1200" s="1008"/>
      <c r="Z1200" s="1008"/>
      <c r="AA1200" s="1008"/>
      <c r="AB1200" s="1008"/>
      <c r="AC1200" s="1008"/>
      <c r="AD1200" s="1008"/>
      <c r="AE1200" s="1008"/>
      <c r="AF1200" s="1008"/>
      <c r="AG1200" s="1008"/>
      <c r="AH1200" s="1008"/>
      <c r="AI1200" s="1008"/>
    </row>
    <row r="1201" spans="1:35">
      <c r="A1201" s="1008">
        <v>24039</v>
      </c>
      <c r="C1201" s="1008">
        <v>6</v>
      </c>
      <c r="D1201" s="1009">
        <v>16039999</v>
      </c>
      <c r="E1201" s="1009">
        <v>16030000</v>
      </c>
      <c r="F1201" s="1007" t="s">
        <v>3457</v>
      </c>
      <c r="O1201" s="1007" t="s">
        <v>648</v>
      </c>
      <c r="P1201" s="1007" t="s">
        <v>648</v>
      </c>
      <c r="S1201" s="1008" t="s">
        <v>650</v>
      </c>
      <c r="T1201" s="1008" t="s">
        <v>675</v>
      </c>
      <c r="U1201" s="1008" t="s">
        <v>649</v>
      </c>
      <c r="V1201" s="1008" t="s">
        <v>648</v>
      </c>
      <c r="W1201" s="1008" t="s">
        <v>546</v>
      </c>
      <c r="X1201" s="1008"/>
      <c r="Y1201" s="1008"/>
      <c r="Z1201" s="1008"/>
      <c r="AA1201" s="1008"/>
      <c r="AB1201" s="1008"/>
      <c r="AC1201" s="1008"/>
      <c r="AD1201" s="1008"/>
      <c r="AE1201" s="1008"/>
      <c r="AF1201" s="1008"/>
      <c r="AG1201" s="1008"/>
      <c r="AH1201" s="1008"/>
      <c r="AI1201" s="1008"/>
    </row>
    <row r="1202" spans="1:35">
      <c r="A1202" s="1008">
        <v>24040</v>
      </c>
      <c r="B1202" s="1008">
        <v>48</v>
      </c>
      <c r="C1202" s="1008">
        <v>7</v>
      </c>
      <c r="D1202" s="1009">
        <v>16039999</v>
      </c>
      <c r="E1202" s="1009">
        <v>16030100</v>
      </c>
      <c r="F1202" s="1007" t="s">
        <v>3456</v>
      </c>
      <c r="G1202" s="1007">
        <v>8</v>
      </c>
      <c r="H1202" s="1010">
        <v>99999999</v>
      </c>
      <c r="I1202" s="1009">
        <v>16030100</v>
      </c>
      <c r="J1202" s="1007" t="s">
        <v>3456</v>
      </c>
      <c r="O1202" s="1007" t="s">
        <v>648</v>
      </c>
      <c r="P1202" s="1007" t="s">
        <v>648</v>
      </c>
      <c r="S1202" s="1008" t="s">
        <v>650</v>
      </c>
      <c r="T1202" s="1008" t="s">
        <v>654</v>
      </c>
      <c r="U1202" s="1008" t="s">
        <v>649</v>
      </c>
      <c r="V1202" s="1008" t="s">
        <v>648</v>
      </c>
      <c r="W1202" s="1008" t="s">
        <v>546</v>
      </c>
      <c r="X1202" s="1008" t="s">
        <v>670</v>
      </c>
      <c r="Y1202" s="1008" t="s">
        <v>670</v>
      </c>
      <c r="Z1202" s="1008" t="s">
        <v>670</v>
      </c>
      <c r="AA1202" s="1008"/>
      <c r="AB1202" s="1008" t="s">
        <v>670</v>
      </c>
      <c r="AC1202" s="1008" t="s">
        <v>670</v>
      </c>
      <c r="AD1202" s="1008"/>
      <c r="AE1202" s="1008" t="s">
        <v>670</v>
      </c>
      <c r="AF1202" s="1008" t="s">
        <v>670</v>
      </c>
      <c r="AG1202" s="1008"/>
      <c r="AH1202" s="1008"/>
      <c r="AI1202" s="1008"/>
    </row>
    <row r="1203" spans="1:35">
      <c r="A1203" s="1008">
        <v>24041</v>
      </c>
      <c r="B1203" s="1008">
        <v>1599</v>
      </c>
      <c r="C1203" s="1008">
        <v>7</v>
      </c>
      <c r="D1203" s="1009">
        <v>16039999</v>
      </c>
      <c r="E1203" s="1009">
        <v>16030600</v>
      </c>
      <c r="F1203" s="1007" t="s">
        <v>3455</v>
      </c>
      <c r="G1203" s="1007">
        <v>7</v>
      </c>
      <c r="H1203" s="1010">
        <v>99999999</v>
      </c>
      <c r="I1203" s="1009">
        <v>16030600</v>
      </c>
      <c r="J1203" s="1007" t="s">
        <v>3455</v>
      </c>
      <c r="O1203" s="1007" t="s">
        <v>648</v>
      </c>
      <c r="P1203" s="1007" t="s">
        <v>648</v>
      </c>
      <c r="S1203" s="1008" t="s">
        <v>650</v>
      </c>
      <c r="T1203" s="1008" t="s">
        <v>654</v>
      </c>
      <c r="U1203" s="1008" t="s">
        <v>649</v>
      </c>
      <c r="V1203" s="1008" t="s">
        <v>648</v>
      </c>
      <c r="W1203" s="1008" t="s">
        <v>546</v>
      </c>
      <c r="X1203" s="1008" t="s">
        <v>670</v>
      </c>
      <c r="Y1203" s="1008" t="s">
        <v>670</v>
      </c>
      <c r="Z1203" s="1008"/>
      <c r="AA1203" s="1008" t="s">
        <v>670</v>
      </c>
      <c r="AB1203" s="1008"/>
      <c r="AC1203" s="1008"/>
      <c r="AD1203" s="1008" t="s">
        <v>670</v>
      </c>
      <c r="AE1203" s="1008"/>
      <c r="AF1203" s="1008" t="s">
        <v>670</v>
      </c>
      <c r="AG1203" s="1008"/>
      <c r="AH1203" s="1008"/>
      <c r="AI1203" s="1008"/>
    </row>
    <row r="1204" spans="1:35">
      <c r="A1204" s="1008">
        <v>24042</v>
      </c>
      <c r="B1204" s="1008">
        <v>1600</v>
      </c>
      <c r="C1204" s="1008">
        <v>7</v>
      </c>
      <c r="D1204" s="1009">
        <v>16039999</v>
      </c>
      <c r="E1204" s="1009">
        <v>16030700</v>
      </c>
      <c r="F1204" s="1007" t="s">
        <v>3454</v>
      </c>
      <c r="G1204" s="1007">
        <v>7</v>
      </c>
      <c r="H1204" s="1010">
        <v>99999999</v>
      </c>
      <c r="I1204" s="1009">
        <v>16030700</v>
      </c>
      <c r="J1204" s="1007" t="s">
        <v>3454</v>
      </c>
      <c r="O1204" s="1007" t="s">
        <v>648</v>
      </c>
      <c r="P1204" s="1007" t="s">
        <v>648</v>
      </c>
      <c r="S1204" s="1008" t="s">
        <v>650</v>
      </c>
      <c r="T1204" s="1008" t="s">
        <v>654</v>
      </c>
      <c r="U1204" s="1008" t="s">
        <v>649</v>
      </c>
      <c r="V1204" s="1008" t="s">
        <v>648</v>
      </c>
      <c r="W1204" s="1008" t="s">
        <v>546</v>
      </c>
      <c r="X1204" s="1008" t="s">
        <v>670</v>
      </c>
      <c r="Y1204" s="1008"/>
      <c r="Z1204" s="1008"/>
      <c r="AA1204" s="1008" t="s">
        <v>670</v>
      </c>
      <c r="AB1204" s="1008"/>
      <c r="AC1204" s="1008"/>
      <c r="AD1204" s="1008" t="s">
        <v>670</v>
      </c>
      <c r="AE1204" s="1008"/>
      <c r="AF1204" s="1008"/>
      <c r="AG1204" s="1008"/>
      <c r="AH1204" s="1008"/>
      <c r="AI1204" s="1008"/>
    </row>
    <row r="1205" spans="1:35">
      <c r="A1205" s="1008">
        <v>24043</v>
      </c>
      <c r="B1205" s="1008">
        <v>4875</v>
      </c>
      <c r="C1205" s="1008">
        <v>7</v>
      </c>
      <c r="D1205" s="1009">
        <v>16039999</v>
      </c>
      <c r="E1205" s="1009">
        <v>16030800</v>
      </c>
      <c r="F1205" s="1007" t="s">
        <v>3453</v>
      </c>
      <c r="G1205" s="1007">
        <v>7</v>
      </c>
      <c r="H1205" s="1010">
        <v>99999999</v>
      </c>
      <c r="I1205" s="1009">
        <v>16030800</v>
      </c>
      <c r="J1205" s="1007" t="s">
        <v>3453</v>
      </c>
      <c r="O1205" s="1007" t="s">
        <v>648</v>
      </c>
      <c r="P1205" s="1007" t="s">
        <v>648</v>
      </c>
      <c r="S1205" s="1008" t="s">
        <v>650</v>
      </c>
      <c r="T1205" s="1008" t="s">
        <v>654</v>
      </c>
      <c r="U1205" s="1008" t="s">
        <v>649</v>
      </c>
      <c r="V1205" s="1008" t="s">
        <v>648</v>
      </c>
      <c r="W1205" s="1008" t="s">
        <v>546</v>
      </c>
      <c r="X1205" s="1008" t="s">
        <v>670</v>
      </c>
      <c r="Y1205" s="1008"/>
      <c r="Z1205" s="1008"/>
      <c r="AA1205" s="1008" t="s">
        <v>670</v>
      </c>
      <c r="AB1205" s="1008"/>
      <c r="AC1205" s="1008"/>
      <c r="AD1205" s="1008" t="s">
        <v>670</v>
      </c>
      <c r="AE1205" s="1008"/>
      <c r="AF1205" s="1008"/>
      <c r="AG1205" s="1008"/>
      <c r="AH1205" s="1008"/>
      <c r="AI1205" s="1008"/>
    </row>
    <row r="1206" spans="1:35">
      <c r="A1206" s="1008">
        <v>24044</v>
      </c>
      <c r="C1206" s="1008">
        <v>6</v>
      </c>
      <c r="D1206" s="1009">
        <v>16099999</v>
      </c>
      <c r="E1206" s="1009">
        <v>16039999</v>
      </c>
      <c r="F1206" s="1007" t="s">
        <v>3452</v>
      </c>
      <c r="O1206" s="1007" t="s">
        <v>648</v>
      </c>
      <c r="P1206" s="1007" t="s">
        <v>648</v>
      </c>
      <c r="S1206" s="1008" t="s">
        <v>650</v>
      </c>
      <c r="T1206" s="1008" t="s">
        <v>21</v>
      </c>
      <c r="U1206" s="1008" t="s">
        <v>649</v>
      </c>
      <c r="V1206" s="1008" t="s">
        <v>648</v>
      </c>
      <c r="W1206" s="1008" t="s">
        <v>546</v>
      </c>
      <c r="X1206" s="1008"/>
      <c r="Y1206" s="1008"/>
      <c r="Z1206" s="1008"/>
      <c r="AA1206" s="1008"/>
      <c r="AB1206" s="1008"/>
      <c r="AC1206" s="1008"/>
      <c r="AD1206" s="1008"/>
      <c r="AE1206" s="1008"/>
      <c r="AF1206" s="1008"/>
      <c r="AG1206" s="1008"/>
      <c r="AH1206" s="1008"/>
      <c r="AI1206" s="1008"/>
    </row>
    <row r="1207" spans="1:35">
      <c r="A1207" s="1008">
        <v>24045</v>
      </c>
      <c r="C1207" s="1008">
        <v>6</v>
      </c>
      <c r="D1207" s="1009">
        <v>16049999</v>
      </c>
      <c r="E1207" s="1009">
        <v>16040000</v>
      </c>
      <c r="F1207" s="1007" t="s">
        <v>3451</v>
      </c>
      <c r="O1207" s="1007" t="s">
        <v>648</v>
      </c>
      <c r="P1207" s="1007" t="s">
        <v>648</v>
      </c>
      <c r="S1207" s="1008" t="s">
        <v>650</v>
      </c>
      <c r="T1207" s="1008" t="s">
        <v>675</v>
      </c>
      <c r="U1207" s="1008" t="s">
        <v>649</v>
      </c>
      <c r="V1207" s="1008" t="s">
        <v>648</v>
      </c>
      <c r="W1207" s="1008" t="s">
        <v>546</v>
      </c>
      <c r="X1207" s="1008"/>
      <c r="Y1207" s="1008"/>
      <c r="Z1207" s="1008"/>
      <c r="AA1207" s="1008"/>
      <c r="AB1207" s="1008"/>
      <c r="AC1207" s="1008"/>
      <c r="AD1207" s="1008"/>
      <c r="AE1207" s="1008"/>
      <c r="AF1207" s="1008"/>
      <c r="AG1207" s="1008"/>
      <c r="AH1207" s="1008"/>
      <c r="AI1207" s="1008"/>
    </row>
    <row r="1208" spans="1:35">
      <c r="A1208" s="1008">
        <v>24046</v>
      </c>
      <c r="B1208" s="1008">
        <v>1602</v>
      </c>
      <c r="C1208" s="1008">
        <v>7</v>
      </c>
      <c r="D1208" s="1009">
        <v>16049999</v>
      </c>
      <c r="E1208" s="1009">
        <v>16040500</v>
      </c>
      <c r="F1208" s="1007" t="s">
        <v>3450</v>
      </c>
      <c r="G1208" s="1007">
        <v>7</v>
      </c>
      <c r="H1208" s="1010">
        <v>99999999</v>
      </c>
      <c r="I1208" s="1009">
        <v>16040500</v>
      </c>
      <c r="J1208" s="1007" t="s">
        <v>3450</v>
      </c>
      <c r="O1208" s="1007" t="s">
        <v>648</v>
      </c>
      <c r="P1208" s="1007" t="s">
        <v>648</v>
      </c>
      <c r="S1208" s="1008" t="s">
        <v>650</v>
      </c>
      <c r="T1208" s="1008" t="s">
        <v>654</v>
      </c>
      <c r="U1208" s="1008" t="s">
        <v>649</v>
      </c>
      <c r="V1208" s="1008" t="s">
        <v>648</v>
      </c>
      <c r="W1208" s="1008" t="s">
        <v>546</v>
      </c>
      <c r="X1208" s="1008" t="s">
        <v>670</v>
      </c>
      <c r="Y1208" s="1008"/>
      <c r="Z1208" s="1008"/>
      <c r="AA1208" s="1008" t="s">
        <v>670</v>
      </c>
      <c r="AB1208" s="1008"/>
      <c r="AC1208" s="1008"/>
      <c r="AD1208" s="1008" t="s">
        <v>670</v>
      </c>
      <c r="AE1208" s="1008"/>
      <c r="AF1208" s="1008"/>
      <c r="AG1208" s="1008"/>
      <c r="AH1208" s="1008"/>
      <c r="AI1208" s="1008"/>
    </row>
    <row r="1209" spans="1:35">
      <c r="A1209" s="1008">
        <v>24047</v>
      </c>
      <c r="B1209" s="1008">
        <v>1603</v>
      </c>
      <c r="C1209" s="1008">
        <v>7</v>
      </c>
      <c r="D1209" s="1009">
        <v>16049999</v>
      </c>
      <c r="E1209" s="1009">
        <v>16040600</v>
      </c>
      <c r="F1209" s="1007" t="s">
        <v>3449</v>
      </c>
      <c r="G1209" s="1007">
        <v>7</v>
      </c>
      <c r="H1209" s="1010">
        <v>99999999</v>
      </c>
      <c r="I1209" s="1009">
        <v>16040600</v>
      </c>
      <c r="J1209" s="1007" t="s">
        <v>3449</v>
      </c>
      <c r="O1209" s="1007" t="s">
        <v>648</v>
      </c>
      <c r="P1209" s="1007" t="s">
        <v>648</v>
      </c>
      <c r="S1209" s="1008" t="s">
        <v>650</v>
      </c>
      <c r="T1209" s="1008" t="s">
        <v>654</v>
      </c>
      <c r="U1209" s="1008" t="s">
        <v>649</v>
      </c>
      <c r="V1209" s="1008" t="s">
        <v>648</v>
      </c>
      <c r="W1209" s="1008" t="s">
        <v>546</v>
      </c>
      <c r="X1209" s="1008" t="s">
        <v>670</v>
      </c>
      <c r="Y1209" s="1008"/>
      <c r="Z1209" s="1008"/>
      <c r="AA1209" s="1008" t="s">
        <v>670</v>
      </c>
      <c r="AB1209" s="1008"/>
      <c r="AC1209" s="1008"/>
      <c r="AD1209" s="1008" t="s">
        <v>670</v>
      </c>
      <c r="AE1209" s="1008"/>
      <c r="AF1209" s="1008"/>
      <c r="AG1209" s="1008"/>
      <c r="AH1209" s="1008"/>
      <c r="AI1209" s="1008"/>
    </row>
    <row r="1210" spans="1:35">
      <c r="A1210" s="1008">
        <v>24048</v>
      </c>
      <c r="B1210" s="1008">
        <v>4877</v>
      </c>
      <c r="C1210" s="1008">
        <v>7</v>
      </c>
      <c r="D1210" s="1009">
        <v>16049999</v>
      </c>
      <c r="E1210" s="1009">
        <v>16040800</v>
      </c>
      <c r="F1210" s="1007" t="s">
        <v>3448</v>
      </c>
      <c r="G1210" s="1007">
        <v>7</v>
      </c>
      <c r="H1210" s="1010">
        <v>99999999</v>
      </c>
      <c r="I1210" s="1009">
        <v>16040800</v>
      </c>
      <c r="J1210" s="1007" t="s">
        <v>3448</v>
      </c>
      <c r="O1210" s="1007" t="s">
        <v>648</v>
      </c>
      <c r="P1210" s="1007" t="s">
        <v>648</v>
      </c>
      <c r="S1210" s="1008" t="s">
        <v>650</v>
      </c>
      <c r="T1210" s="1008" t="s">
        <v>654</v>
      </c>
      <c r="U1210" s="1008" t="s">
        <v>649</v>
      </c>
      <c r="V1210" s="1008" t="s">
        <v>648</v>
      </c>
      <c r="W1210" s="1008" t="s">
        <v>546</v>
      </c>
      <c r="X1210" s="1008" t="s">
        <v>670</v>
      </c>
      <c r="Y1210" s="1008"/>
      <c r="Z1210" s="1008"/>
      <c r="AA1210" s="1008" t="s">
        <v>670</v>
      </c>
      <c r="AB1210" s="1008"/>
      <c r="AC1210" s="1008"/>
      <c r="AD1210" s="1008" t="s">
        <v>670</v>
      </c>
      <c r="AE1210" s="1008"/>
      <c r="AF1210" s="1008"/>
      <c r="AG1210" s="1008"/>
      <c r="AH1210" s="1008"/>
      <c r="AI1210" s="1008"/>
    </row>
    <row r="1211" spans="1:35">
      <c r="A1211" s="1008">
        <v>24049</v>
      </c>
      <c r="C1211" s="1008">
        <v>6</v>
      </c>
      <c r="D1211" s="1009">
        <v>16099999</v>
      </c>
      <c r="E1211" s="1009">
        <v>16049999</v>
      </c>
      <c r="F1211" s="1007" t="s">
        <v>3447</v>
      </c>
      <c r="O1211" s="1007" t="s">
        <v>648</v>
      </c>
      <c r="P1211" s="1007" t="s">
        <v>648</v>
      </c>
      <c r="S1211" s="1008" t="s">
        <v>650</v>
      </c>
      <c r="T1211" s="1008" t="s">
        <v>21</v>
      </c>
      <c r="U1211" s="1008" t="s">
        <v>649</v>
      </c>
      <c r="V1211" s="1008" t="s">
        <v>648</v>
      </c>
      <c r="W1211" s="1008" t="s">
        <v>546</v>
      </c>
      <c r="X1211" s="1008"/>
      <c r="Y1211" s="1008"/>
      <c r="Z1211" s="1008"/>
      <c r="AA1211" s="1008"/>
      <c r="AB1211" s="1008"/>
      <c r="AC1211" s="1008"/>
      <c r="AD1211" s="1008"/>
      <c r="AE1211" s="1008"/>
      <c r="AF1211" s="1008"/>
      <c r="AG1211" s="1008"/>
      <c r="AH1211" s="1008"/>
      <c r="AI1211" s="1008"/>
    </row>
    <row r="1212" spans="1:35">
      <c r="A1212" s="1008">
        <v>24050</v>
      </c>
      <c r="C1212" s="1008">
        <v>6</v>
      </c>
      <c r="D1212" s="1009">
        <v>16059999</v>
      </c>
      <c r="E1212" s="1009">
        <v>16050000</v>
      </c>
      <c r="F1212" s="1007" t="s">
        <v>3446</v>
      </c>
      <c r="O1212" s="1007" t="s">
        <v>648</v>
      </c>
      <c r="P1212" s="1007" t="s">
        <v>648</v>
      </c>
      <c r="S1212" s="1008" t="s">
        <v>650</v>
      </c>
      <c r="T1212" s="1008" t="s">
        <v>675</v>
      </c>
      <c r="U1212" s="1008" t="s">
        <v>649</v>
      </c>
      <c r="V1212" s="1008" t="s">
        <v>648</v>
      </c>
      <c r="W1212" s="1008" t="s">
        <v>546</v>
      </c>
      <c r="X1212" s="1008"/>
      <c r="Y1212" s="1008"/>
      <c r="Z1212" s="1008"/>
      <c r="AA1212" s="1008"/>
      <c r="AB1212" s="1008"/>
      <c r="AC1212" s="1008"/>
      <c r="AD1212" s="1008"/>
      <c r="AE1212" s="1008"/>
      <c r="AF1212" s="1008"/>
      <c r="AG1212" s="1008"/>
      <c r="AH1212" s="1008"/>
      <c r="AI1212" s="1008"/>
    </row>
    <row r="1213" spans="1:35">
      <c r="A1213" s="1008">
        <v>24051</v>
      </c>
      <c r="B1213" s="1008">
        <v>1605</v>
      </c>
      <c r="C1213" s="1008">
        <v>7</v>
      </c>
      <c r="D1213" s="1009">
        <v>16059999</v>
      </c>
      <c r="E1213" s="1009">
        <v>16050500</v>
      </c>
      <c r="F1213" s="1007" t="s">
        <v>3445</v>
      </c>
      <c r="G1213" s="1007">
        <v>7</v>
      </c>
      <c r="H1213" s="1010">
        <v>99999999</v>
      </c>
      <c r="I1213" s="1009">
        <v>16050500</v>
      </c>
      <c r="J1213" s="1007" t="s">
        <v>3445</v>
      </c>
      <c r="O1213" s="1007" t="s">
        <v>648</v>
      </c>
      <c r="P1213" s="1007" t="s">
        <v>648</v>
      </c>
      <c r="S1213" s="1008" t="s">
        <v>650</v>
      </c>
      <c r="T1213" s="1008" t="s">
        <v>654</v>
      </c>
      <c r="U1213" s="1008" t="s">
        <v>649</v>
      </c>
      <c r="V1213" s="1008" t="s">
        <v>648</v>
      </c>
      <c r="W1213" s="1008" t="s">
        <v>546</v>
      </c>
      <c r="X1213" s="1008" t="s">
        <v>670</v>
      </c>
      <c r="Y1213" s="1008"/>
      <c r="Z1213" s="1008"/>
      <c r="AA1213" s="1008" t="s">
        <v>670</v>
      </c>
      <c r="AB1213" s="1008"/>
      <c r="AC1213" s="1008"/>
      <c r="AD1213" s="1008" t="s">
        <v>670</v>
      </c>
      <c r="AE1213" s="1008"/>
      <c r="AF1213" s="1008"/>
      <c r="AG1213" s="1008"/>
      <c r="AH1213" s="1008"/>
      <c r="AI1213" s="1008"/>
    </row>
    <row r="1214" spans="1:35">
      <c r="A1214" s="1008">
        <v>24052</v>
      </c>
      <c r="B1214" s="1008">
        <v>1606</v>
      </c>
      <c r="C1214" s="1008">
        <v>7</v>
      </c>
      <c r="D1214" s="1009">
        <v>16059999</v>
      </c>
      <c r="E1214" s="1009">
        <v>16050600</v>
      </c>
      <c r="F1214" s="1007" t="s">
        <v>3444</v>
      </c>
      <c r="G1214" s="1007">
        <v>7</v>
      </c>
      <c r="H1214" s="1010">
        <v>99999999</v>
      </c>
      <c r="I1214" s="1009">
        <v>16050600</v>
      </c>
      <c r="J1214" s="1007" t="s">
        <v>3444</v>
      </c>
      <c r="O1214" s="1007" t="s">
        <v>648</v>
      </c>
      <c r="P1214" s="1007" t="s">
        <v>648</v>
      </c>
      <c r="S1214" s="1008" t="s">
        <v>650</v>
      </c>
      <c r="T1214" s="1008" t="s">
        <v>654</v>
      </c>
      <c r="U1214" s="1008" t="s">
        <v>649</v>
      </c>
      <c r="V1214" s="1008" t="s">
        <v>648</v>
      </c>
      <c r="W1214" s="1008" t="s">
        <v>546</v>
      </c>
      <c r="X1214" s="1008" t="s">
        <v>670</v>
      </c>
      <c r="Y1214" s="1008"/>
      <c r="Z1214" s="1008"/>
      <c r="AA1214" s="1008" t="s">
        <v>670</v>
      </c>
      <c r="AB1214" s="1008"/>
      <c r="AC1214" s="1008"/>
      <c r="AD1214" s="1008" t="s">
        <v>670</v>
      </c>
      <c r="AE1214" s="1008"/>
      <c r="AF1214" s="1008"/>
      <c r="AG1214" s="1008"/>
      <c r="AH1214" s="1008"/>
      <c r="AI1214" s="1008"/>
    </row>
    <row r="1215" spans="1:35">
      <c r="A1215" s="1008">
        <v>24053</v>
      </c>
      <c r="B1215" s="1008">
        <v>4879</v>
      </c>
      <c r="C1215" s="1008">
        <v>7</v>
      </c>
      <c r="D1215" s="1009">
        <v>16059999</v>
      </c>
      <c r="E1215" s="1009">
        <v>16050800</v>
      </c>
      <c r="F1215" s="1007" t="s">
        <v>3443</v>
      </c>
      <c r="G1215" s="1007">
        <v>7</v>
      </c>
      <c r="H1215" s="1010">
        <v>99999999</v>
      </c>
      <c r="I1215" s="1009">
        <v>16050800</v>
      </c>
      <c r="J1215" s="1007" t="s">
        <v>3443</v>
      </c>
      <c r="O1215" s="1007" t="s">
        <v>648</v>
      </c>
      <c r="P1215" s="1007" t="s">
        <v>648</v>
      </c>
      <c r="S1215" s="1008" t="s">
        <v>650</v>
      </c>
      <c r="T1215" s="1008" t="s">
        <v>654</v>
      </c>
      <c r="U1215" s="1008" t="s">
        <v>649</v>
      </c>
      <c r="V1215" s="1008" t="s">
        <v>648</v>
      </c>
      <c r="W1215" s="1008" t="s">
        <v>546</v>
      </c>
      <c r="X1215" s="1008" t="s">
        <v>670</v>
      </c>
      <c r="Y1215" s="1008"/>
      <c r="Z1215" s="1008"/>
      <c r="AA1215" s="1008" t="s">
        <v>670</v>
      </c>
      <c r="AB1215" s="1008"/>
      <c r="AC1215" s="1008"/>
      <c r="AD1215" s="1008" t="s">
        <v>670</v>
      </c>
      <c r="AE1215" s="1008"/>
      <c r="AF1215" s="1008"/>
      <c r="AG1215" s="1008"/>
      <c r="AH1215" s="1008"/>
      <c r="AI1215" s="1008"/>
    </row>
    <row r="1216" spans="1:35">
      <c r="A1216" s="1008">
        <v>24054</v>
      </c>
      <c r="C1216" s="1008">
        <v>6</v>
      </c>
      <c r="D1216" s="1009">
        <v>16099999</v>
      </c>
      <c r="E1216" s="1009">
        <v>16059999</v>
      </c>
      <c r="F1216" s="1007" t="s">
        <v>3442</v>
      </c>
      <c r="O1216" s="1007" t="s">
        <v>648</v>
      </c>
      <c r="P1216" s="1007" t="s">
        <v>648</v>
      </c>
      <c r="S1216" s="1008" t="s">
        <v>650</v>
      </c>
      <c r="T1216" s="1008" t="s">
        <v>21</v>
      </c>
      <c r="U1216" s="1008" t="s">
        <v>649</v>
      </c>
      <c r="V1216" s="1008" t="s">
        <v>648</v>
      </c>
      <c r="W1216" s="1008" t="s">
        <v>546</v>
      </c>
      <c r="X1216" s="1008"/>
      <c r="Y1216" s="1008"/>
      <c r="Z1216" s="1008"/>
      <c r="AA1216" s="1008"/>
      <c r="AB1216" s="1008"/>
      <c r="AC1216" s="1008"/>
      <c r="AD1216" s="1008"/>
      <c r="AE1216" s="1008"/>
      <c r="AF1216" s="1008"/>
      <c r="AG1216" s="1008"/>
      <c r="AH1216" s="1008"/>
      <c r="AI1216" s="1008"/>
    </row>
    <row r="1217" spans="1:35">
      <c r="A1217" s="1008">
        <v>24055</v>
      </c>
      <c r="C1217" s="1008">
        <v>5</v>
      </c>
      <c r="D1217" s="1009">
        <v>16399999</v>
      </c>
      <c r="E1217" s="1009">
        <v>16099999</v>
      </c>
      <c r="F1217" s="1007" t="s">
        <v>3441</v>
      </c>
      <c r="O1217" s="1007" t="s">
        <v>648</v>
      </c>
      <c r="P1217" s="1007" t="s">
        <v>648</v>
      </c>
      <c r="S1217" s="1008" t="s">
        <v>650</v>
      </c>
      <c r="T1217" s="1008" t="s">
        <v>21</v>
      </c>
      <c r="U1217" s="1008" t="s">
        <v>649</v>
      </c>
      <c r="V1217" s="1008" t="s">
        <v>648</v>
      </c>
      <c r="W1217" s="1008" t="s">
        <v>546</v>
      </c>
      <c r="X1217" s="1008"/>
      <c r="Y1217" s="1008"/>
      <c r="Z1217" s="1008"/>
      <c r="AA1217" s="1008"/>
      <c r="AB1217" s="1008"/>
      <c r="AC1217" s="1008"/>
      <c r="AD1217" s="1008"/>
      <c r="AE1217" s="1008"/>
      <c r="AF1217" s="1008"/>
      <c r="AG1217" s="1008"/>
      <c r="AH1217" s="1008"/>
      <c r="AI1217" s="1008"/>
    </row>
    <row r="1218" spans="1:35">
      <c r="A1218" s="1008">
        <v>24056</v>
      </c>
      <c r="C1218" s="1008">
        <v>5</v>
      </c>
      <c r="D1218" s="1009">
        <v>16199999</v>
      </c>
      <c r="E1218" s="1009">
        <v>16100000</v>
      </c>
      <c r="F1218" s="1007" t="s">
        <v>3440</v>
      </c>
      <c r="O1218" s="1007" t="s">
        <v>648</v>
      </c>
      <c r="P1218" s="1007" t="s">
        <v>648</v>
      </c>
      <c r="S1218" s="1008" t="s">
        <v>650</v>
      </c>
      <c r="T1218" s="1008" t="s">
        <v>675</v>
      </c>
      <c r="U1218" s="1008" t="s">
        <v>649</v>
      </c>
      <c r="V1218" s="1008" t="s">
        <v>648</v>
      </c>
      <c r="W1218" s="1008" t="s">
        <v>546</v>
      </c>
      <c r="X1218" s="1008"/>
      <c r="Y1218" s="1008"/>
      <c r="Z1218" s="1008"/>
      <c r="AA1218" s="1008"/>
      <c r="AB1218" s="1008"/>
      <c r="AC1218" s="1008"/>
      <c r="AD1218" s="1008"/>
      <c r="AE1218" s="1008"/>
      <c r="AF1218" s="1008"/>
      <c r="AG1218" s="1008"/>
      <c r="AH1218" s="1008"/>
      <c r="AI1218" s="1008"/>
    </row>
    <row r="1219" spans="1:35">
      <c r="A1219" s="1008">
        <v>24057</v>
      </c>
      <c r="C1219" s="1008">
        <v>6</v>
      </c>
      <c r="D1219" s="1009">
        <v>16119999</v>
      </c>
      <c r="E1219" s="1009">
        <v>16110000</v>
      </c>
      <c r="F1219" s="1007" t="s">
        <v>3439</v>
      </c>
      <c r="O1219" s="1007" t="s">
        <v>648</v>
      </c>
      <c r="P1219" s="1007" t="s">
        <v>648</v>
      </c>
      <c r="S1219" s="1008" t="s">
        <v>650</v>
      </c>
      <c r="T1219" s="1008" t="s">
        <v>675</v>
      </c>
      <c r="U1219" s="1008" t="s">
        <v>649</v>
      </c>
      <c r="V1219" s="1008" t="s">
        <v>648</v>
      </c>
      <c r="W1219" s="1008" t="s">
        <v>546</v>
      </c>
      <c r="X1219" s="1008"/>
      <c r="Y1219" s="1008"/>
      <c r="Z1219" s="1008"/>
      <c r="AA1219" s="1008"/>
      <c r="AB1219" s="1008"/>
      <c r="AC1219" s="1008"/>
      <c r="AD1219" s="1008"/>
      <c r="AE1219" s="1008"/>
      <c r="AF1219" s="1008"/>
      <c r="AG1219" s="1008"/>
      <c r="AH1219" s="1008"/>
      <c r="AI1219" s="1008"/>
    </row>
    <row r="1220" spans="1:35">
      <c r="A1220" s="1008">
        <v>26435</v>
      </c>
      <c r="B1220" s="1008">
        <v>1608</v>
      </c>
      <c r="C1220" s="1008">
        <v>7</v>
      </c>
      <c r="D1220" s="1009">
        <v>16119999</v>
      </c>
      <c r="E1220" s="1009">
        <v>16110100</v>
      </c>
      <c r="F1220" s="1007" t="s">
        <v>3438</v>
      </c>
      <c r="G1220" s="1007">
        <v>7</v>
      </c>
      <c r="H1220" s="1010">
        <v>99999999</v>
      </c>
      <c r="I1220" s="1009">
        <v>16110100</v>
      </c>
      <c r="J1220" s="1007" t="s">
        <v>3438</v>
      </c>
      <c r="O1220" s="1007" t="s">
        <v>648</v>
      </c>
      <c r="P1220" s="1007" t="s">
        <v>648</v>
      </c>
      <c r="S1220" s="1008" t="s">
        <v>650</v>
      </c>
      <c r="T1220" s="1008" t="s">
        <v>654</v>
      </c>
      <c r="U1220" s="1008" t="s">
        <v>649</v>
      </c>
      <c r="V1220" s="1008" t="s">
        <v>648</v>
      </c>
      <c r="W1220" s="1008" t="s">
        <v>546</v>
      </c>
      <c r="X1220" s="1008" t="s">
        <v>670</v>
      </c>
      <c r="Y1220" s="1008"/>
      <c r="Z1220" s="1008"/>
      <c r="AA1220" s="1008" t="s">
        <v>670</v>
      </c>
      <c r="AB1220" s="1008"/>
      <c r="AC1220" s="1008"/>
      <c r="AD1220" s="1008" t="s">
        <v>670</v>
      </c>
      <c r="AE1220" s="1008"/>
      <c r="AF1220" s="1008"/>
      <c r="AG1220" s="1008"/>
      <c r="AH1220" s="1008"/>
      <c r="AI1220" s="1008"/>
    </row>
    <row r="1221" spans="1:35">
      <c r="A1221" s="1008">
        <v>24058</v>
      </c>
      <c r="B1221" s="1008">
        <v>1609</v>
      </c>
      <c r="C1221" s="1008">
        <v>7</v>
      </c>
      <c r="D1221" s="1009">
        <v>16119999</v>
      </c>
      <c r="E1221" s="1009">
        <v>16110200</v>
      </c>
      <c r="F1221" s="1007" t="s">
        <v>3437</v>
      </c>
      <c r="G1221" s="1007">
        <v>7</v>
      </c>
      <c r="H1221" s="1010">
        <v>99999999</v>
      </c>
      <c r="I1221" s="1009">
        <v>16110200</v>
      </c>
      <c r="J1221" s="1007" t="s">
        <v>3437</v>
      </c>
      <c r="O1221" s="1007" t="s">
        <v>648</v>
      </c>
      <c r="P1221" s="1007" t="s">
        <v>648</v>
      </c>
      <c r="S1221" s="1008" t="s">
        <v>650</v>
      </c>
      <c r="T1221" s="1008" t="s">
        <v>654</v>
      </c>
      <c r="U1221" s="1008" t="s">
        <v>649</v>
      </c>
      <c r="V1221" s="1008" t="s">
        <v>648</v>
      </c>
      <c r="W1221" s="1008" t="s">
        <v>546</v>
      </c>
      <c r="X1221" s="1008" t="s">
        <v>670</v>
      </c>
      <c r="Y1221" s="1008"/>
      <c r="Z1221" s="1008"/>
      <c r="AA1221" s="1008" t="s">
        <v>670</v>
      </c>
      <c r="AB1221" s="1008"/>
      <c r="AC1221" s="1008"/>
      <c r="AD1221" s="1008" t="s">
        <v>670</v>
      </c>
      <c r="AE1221" s="1008"/>
      <c r="AF1221" s="1008"/>
      <c r="AG1221" s="1008"/>
      <c r="AH1221" s="1008"/>
      <c r="AI1221" s="1008"/>
    </row>
    <row r="1222" spans="1:35">
      <c r="A1222" s="1008">
        <v>24059</v>
      </c>
      <c r="B1222" s="1008">
        <v>1610</v>
      </c>
      <c r="C1222" s="1008">
        <v>7</v>
      </c>
      <c r="D1222" s="1009">
        <v>16119999</v>
      </c>
      <c r="E1222" s="1009">
        <v>16110400</v>
      </c>
      <c r="F1222" s="1007" t="s">
        <v>3436</v>
      </c>
      <c r="G1222" s="1007">
        <v>7</v>
      </c>
      <c r="H1222" s="1010">
        <v>99999999</v>
      </c>
      <c r="I1222" s="1009">
        <v>16110400</v>
      </c>
      <c r="J1222" s="1007" t="s">
        <v>3436</v>
      </c>
      <c r="O1222" s="1007" t="s">
        <v>648</v>
      </c>
      <c r="P1222" s="1007" t="s">
        <v>648</v>
      </c>
      <c r="S1222" s="1008" t="s">
        <v>650</v>
      </c>
      <c r="T1222" s="1008" t="s">
        <v>654</v>
      </c>
      <c r="U1222" s="1008" t="s">
        <v>649</v>
      </c>
      <c r="V1222" s="1008" t="s">
        <v>648</v>
      </c>
      <c r="W1222" s="1008" t="s">
        <v>546</v>
      </c>
      <c r="X1222" s="1008" t="s">
        <v>670</v>
      </c>
      <c r="Y1222" s="1008"/>
      <c r="Z1222" s="1008"/>
      <c r="AA1222" s="1008" t="s">
        <v>670</v>
      </c>
      <c r="AB1222" s="1008"/>
      <c r="AC1222" s="1008"/>
      <c r="AD1222" s="1008" t="s">
        <v>670</v>
      </c>
      <c r="AE1222" s="1008"/>
      <c r="AF1222" s="1008"/>
      <c r="AG1222" s="1008"/>
      <c r="AH1222" s="1008"/>
      <c r="AI1222" s="1008"/>
    </row>
    <row r="1223" spans="1:35">
      <c r="A1223" s="1008">
        <v>24060</v>
      </c>
      <c r="B1223" s="1008">
        <v>1611</v>
      </c>
      <c r="C1223" s="1008">
        <v>7</v>
      </c>
      <c r="D1223" s="1009">
        <v>16119999</v>
      </c>
      <c r="E1223" s="1009">
        <v>16110500</v>
      </c>
      <c r="F1223" s="1007" t="s">
        <v>3435</v>
      </c>
      <c r="G1223" s="1007">
        <v>7</v>
      </c>
      <c r="H1223" s="1010">
        <v>99999999</v>
      </c>
      <c r="I1223" s="1009">
        <v>16110500</v>
      </c>
      <c r="J1223" s="1007" t="s">
        <v>3435</v>
      </c>
      <c r="O1223" s="1007" t="s">
        <v>648</v>
      </c>
      <c r="P1223" s="1007" t="s">
        <v>648</v>
      </c>
      <c r="S1223" s="1008" t="s">
        <v>650</v>
      </c>
      <c r="T1223" s="1008" t="s">
        <v>654</v>
      </c>
      <c r="U1223" s="1008" t="s">
        <v>649</v>
      </c>
      <c r="V1223" s="1008" t="s">
        <v>648</v>
      </c>
      <c r="W1223" s="1008" t="s">
        <v>546</v>
      </c>
      <c r="X1223" s="1008" t="s">
        <v>670</v>
      </c>
      <c r="Y1223" s="1008"/>
      <c r="Z1223" s="1008"/>
      <c r="AA1223" s="1008" t="s">
        <v>670</v>
      </c>
      <c r="AB1223" s="1008"/>
      <c r="AC1223" s="1008"/>
      <c r="AD1223" s="1008" t="s">
        <v>670</v>
      </c>
      <c r="AE1223" s="1008"/>
      <c r="AF1223" s="1008"/>
      <c r="AG1223" s="1008"/>
      <c r="AH1223" s="1008"/>
      <c r="AI1223" s="1008"/>
    </row>
    <row r="1224" spans="1:35">
      <c r="A1224" s="1008">
        <v>24061</v>
      </c>
      <c r="B1224" s="1008">
        <v>1612</v>
      </c>
      <c r="C1224" s="1008">
        <v>7</v>
      </c>
      <c r="D1224" s="1009">
        <v>16119999</v>
      </c>
      <c r="E1224" s="1009">
        <v>16110600</v>
      </c>
      <c r="F1224" s="1007" t="s">
        <v>3434</v>
      </c>
      <c r="G1224" s="1007">
        <v>7</v>
      </c>
      <c r="H1224" s="1010">
        <v>99999999</v>
      </c>
      <c r="I1224" s="1009">
        <v>16110600</v>
      </c>
      <c r="J1224" s="1007" t="s">
        <v>3434</v>
      </c>
      <c r="O1224" s="1007" t="s">
        <v>648</v>
      </c>
      <c r="P1224" s="1007" t="s">
        <v>648</v>
      </c>
      <c r="S1224" s="1008" t="s">
        <v>650</v>
      </c>
      <c r="T1224" s="1008" t="s">
        <v>654</v>
      </c>
      <c r="U1224" s="1008" t="s">
        <v>649</v>
      </c>
      <c r="V1224" s="1008" t="s">
        <v>648</v>
      </c>
      <c r="W1224" s="1008" t="s">
        <v>546</v>
      </c>
      <c r="X1224" s="1008" t="s">
        <v>670</v>
      </c>
      <c r="Y1224" s="1008"/>
      <c r="Z1224" s="1008"/>
      <c r="AA1224" s="1008" t="s">
        <v>670</v>
      </c>
      <c r="AB1224" s="1008"/>
      <c r="AC1224" s="1008"/>
      <c r="AD1224" s="1008" t="s">
        <v>670</v>
      </c>
      <c r="AE1224" s="1008"/>
      <c r="AF1224" s="1008"/>
      <c r="AG1224" s="1008"/>
      <c r="AH1224" s="1008"/>
      <c r="AI1224" s="1008"/>
    </row>
    <row r="1225" spans="1:35">
      <c r="A1225" s="1008">
        <v>24062</v>
      </c>
      <c r="B1225" s="1008">
        <v>1613</v>
      </c>
      <c r="C1225" s="1008">
        <v>7</v>
      </c>
      <c r="D1225" s="1009">
        <v>16119999</v>
      </c>
      <c r="E1225" s="1009">
        <v>16110700</v>
      </c>
      <c r="F1225" s="1007" t="s">
        <v>3433</v>
      </c>
      <c r="G1225" s="1007">
        <v>7</v>
      </c>
      <c r="H1225" s="1010">
        <v>99999999</v>
      </c>
      <c r="I1225" s="1009">
        <v>16110700</v>
      </c>
      <c r="J1225" s="1007" t="s">
        <v>3433</v>
      </c>
      <c r="O1225" s="1007" t="s">
        <v>648</v>
      </c>
      <c r="P1225" s="1007" t="s">
        <v>648</v>
      </c>
      <c r="S1225" s="1008" t="s">
        <v>650</v>
      </c>
      <c r="T1225" s="1008" t="s">
        <v>654</v>
      </c>
      <c r="U1225" s="1008" t="s">
        <v>649</v>
      </c>
      <c r="V1225" s="1008" t="s">
        <v>648</v>
      </c>
      <c r="W1225" s="1008" t="s">
        <v>546</v>
      </c>
      <c r="X1225" s="1008" t="s">
        <v>670</v>
      </c>
      <c r="Y1225" s="1008"/>
      <c r="Z1225" s="1008"/>
      <c r="AA1225" s="1008" t="s">
        <v>670</v>
      </c>
      <c r="AB1225" s="1008"/>
      <c r="AC1225" s="1008"/>
      <c r="AD1225" s="1008" t="s">
        <v>670</v>
      </c>
      <c r="AE1225" s="1008"/>
      <c r="AF1225" s="1008"/>
      <c r="AG1225" s="1008"/>
      <c r="AH1225" s="1008"/>
      <c r="AI1225" s="1008"/>
    </row>
    <row r="1226" spans="1:35">
      <c r="A1226" s="1008">
        <v>24063</v>
      </c>
      <c r="B1226" s="1008">
        <v>4883</v>
      </c>
      <c r="C1226" s="1008">
        <v>7</v>
      </c>
      <c r="D1226" s="1009">
        <v>16119999</v>
      </c>
      <c r="E1226" s="1009">
        <v>16110800</v>
      </c>
      <c r="F1226" s="1007" t="s">
        <v>3432</v>
      </c>
      <c r="G1226" s="1007">
        <v>7</v>
      </c>
      <c r="H1226" s="1010">
        <v>99999999</v>
      </c>
      <c r="I1226" s="1009">
        <v>16110800</v>
      </c>
      <c r="J1226" s="1007" t="s">
        <v>3432</v>
      </c>
      <c r="O1226" s="1007" t="s">
        <v>648</v>
      </c>
      <c r="P1226" s="1007" t="s">
        <v>648</v>
      </c>
      <c r="S1226" s="1008" t="s">
        <v>650</v>
      </c>
      <c r="T1226" s="1008" t="s">
        <v>654</v>
      </c>
      <c r="U1226" s="1008" t="s">
        <v>649</v>
      </c>
      <c r="V1226" s="1008" t="s">
        <v>648</v>
      </c>
      <c r="W1226" s="1008" t="s">
        <v>546</v>
      </c>
      <c r="X1226" s="1008" t="s">
        <v>670</v>
      </c>
      <c r="Y1226" s="1008"/>
      <c r="Z1226" s="1008"/>
      <c r="AA1226" s="1008" t="s">
        <v>670</v>
      </c>
      <c r="AB1226" s="1008"/>
      <c r="AC1226" s="1008"/>
      <c r="AD1226" s="1008" t="s">
        <v>670</v>
      </c>
      <c r="AE1226" s="1008"/>
      <c r="AF1226" s="1008"/>
      <c r="AG1226" s="1008"/>
      <c r="AH1226" s="1008"/>
      <c r="AI1226" s="1008"/>
    </row>
    <row r="1227" spans="1:35">
      <c r="A1227" s="1008">
        <v>24064</v>
      </c>
      <c r="C1227" s="1008">
        <v>6</v>
      </c>
      <c r="D1227" s="1009">
        <v>16199999</v>
      </c>
      <c r="E1227" s="1009">
        <v>16119999</v>
      </c>
      <c r="F1227" s="1007" t="s">
        <v>3431</v>
      </c>
      <c r="O1227" s="1007" t="s">
        <v>648</v>
      </c>
      <c r="P1227" s="1007" t="s">
        <v>648</v>
      </c>
      <c r="S1227" s="1008" t="s">
        <v>650</v>
      </c>
      <c r="T1227" s="1008" t="s">
        <v>21</v>
      </c>
      <c r="U1227" s="1008" t="s">
        <v>649</v>
      </c>
      <c r="V1227" s="1008" t="s">
        <v>648</v>
      </c>
      <c r="W1227" s="1008" t="s">
        <v>546</v>
      </c>
      <c r="X1227" s="1008"/>
      <c r="Y1227" s="1008"/>
      <c r="Z1227" s="1008"/>
      <c r="AA1227" s="1008"/>
      <c r="AB1227" s="1008"/>
      <c r="AC1227" s="1008"/>
      <c r="AD1227" s="1008"/>
      <c r="AE1227" s="1008"/>
      <c r="AF1227" s="1008"/>
      <c r="AG1227" s="1008"/>
      <c r="AH1227" s="1008"/>
      <c r="AI1227" s="1008"/>
    </row>
    <row r="1228" spans="1:35">
      <c r="A1228" s="1008">
        <v>24065</v>
      </c>
      <c r="C1228" s="1008">
        <v>6</v>
      </c>
      <c r="D1228" s="1009">
        <v>16129999</v>
      </c>
      <c r="E1228" s="1009">
        <v>16120000</v>
      </c>
      <c r="F1228" s="1007" t="s">
        <v>3430</v>
      </c>
      <c r="O1228" s="1007" t="s">
        <v>648</v>
      </c>
      <c r="P1228" s="1007" t="s">
        <v>648</v>
      </c>
      <c r="S1228" s="1008" t="s">
        <v>650</v>
      </c>
      <c r="T1228" s="1008" t="s">
        <v>675</v>
      </c>
      <c r="U1228" s="1008" t="s">
        <v>649</v>
      </c>
      <c r="V1228" s="1008" t="s">
        <v>648</v>
      </c>
      <c r="W1228" s="1008" t="s">
        <v>546</v>
      </c>
      <c r="X1228" s="1008"/>
      <c r="Y1228" s="1008"/>
      <c r="Z1228" s="1008"/>
      <c r="AA1228" s="1008"/>
      <c r="AB1228" s="1008"/>
      <c r="AC1228" s="1008"/>
      <c r="AD1228" s="1008"/>
      <c r="AE1228" s="1008"/>
      <c r="AF1228" s="1008"/>
      <c r="AG1228" s="1008"/>
      <c r="AH1228" s="1008"/>
      <c r="AI1228" s="1008"/>
    </row>
    <row r="1229" spans="1:35">
      <c r="A1229" s="1008">
        <v>26434</v>
      </c>
      <c r="B1229" s="1008">
        <v>1615</v>
      </c>
      <c r="C1229" s="1008">
        <v>7</v>
      </c>
      <c r="D1229" s="1009">
        <v>16129999</v>
      </c>
      <c r="E1229" s="1009">
        <v>16120100</v>
      </c>
      <c r="F1229" s="1007" t="s">
        <v>3429</v>
      </c>
      <c r="G1229" s="1007">
        <v>7</v>
      </c>
      <c r="H1229" s="1010">
        <v>99999999</v>
      </c>
      <c r="I1229" s="1009">
        <v>16120100</v>
      </c>
      <c r="J1229" s="1007" t="s">
        <v>3429</v>
      </c>
      <c r="O1229" s="1007" t="s">
        <v>648</v>
      </c>
      <c r="P1229" s="1007" t="s">
        <v>648</v>
      </c>
      <c r="S1229" s="1008" t="s">
        <v>650</v>
      </c>
      <c r="T1229" s="1008" t="s">
        <v>654</v>
      </c>
      <c r="U1229" s="1008" t="s">
        <v>649</v>
      </c>
      <c r="V1229" s="1008" t="s">
        <v>648</v>
      </c>
      <c r="W1229" s="1008" t="s">
        <v>546</v>
      </c>
      <c r="X1229" s="1008" t="s">
        <v>670</v>
      </c>
      <c r="Y1229" s="1008"/>
      <c r="Z1229" s="1008"/>
      <c r="AA1229" s="1008" t="s">
        <v>670</v>
      </c>
      <c r="AB1229" s="1008"/>
      <c r="AC1229" s="1008"/>
      <c r="AD1229" s="1008" t="s">
        <v>670</v>
      </c>
      <c r="AE1229" s="1008"/>
      <c r="AF1229" s="1008"/>
      <c r="AG1229" s="1008"/>
      <c r="AH1229" s="1008"/>
      <c r="AI1229" s="1008"/>
    </row>
    <row r="1230" spans="1:35">
      <c r="A1230" s="1008">
        <v>24066</v>
      </c>
      <c r="B1230" s="1008">
        <v>148</v>
      </c>
      <c r="C1230" s="1008">
        <v>7</v>
      </c>
      <c r="D1230" s="1009">
        <v>16129999</v>
      </c>
      <c r="E1230" s="1009">
        <v>16120200</v>
      </c>
      <c r="F1230" s="1007" t="s">
        <v>3428</v>
      </c>
      <c r="G1230" s="1007">
        <v>8</v>
      </c>
      <c r="H1230" s="1010">
        <v>99999999</v>
      </c>
      <c r="I1230" s="1009">
        <v>16120200</v>
      </c>
      <c r="J1230" s="1007" t="s">
        <v>3427</v>
      </c>
      <c r="O1230" s="1007" t="s">
        <v>648</v>
      </c>
      <c r="P1230" s="1007" t="s">
        <v>648</v>
      </c>
      <c r="S1230" s="1008" t="s">
        <v>650</v>
      </c>
      <c r="T1230" s="1008" t="s">
        <v>654</v>
      </c>
      <c r="U1230" s="1008" t="s">
        <v>649</v>
      </c>
      <c r="V1230" s="1008" t="s">
        <v>648</v>
      </c>
      <c r="W1230" s="1008" t="s">
        <v>546</v>
      </c>
      <c r="X1230" s="1008" t="s">
        <v>670</v>
      </c>
      <c r="Y1230" s="1008"/>
      <c r="Z1230" s="1008"/>
      <c r="AA1230" s="1008" t="s">
        <v>670</v>
      </c>
      <c r="AB1230" s="1008"/>
      <c r="AC1230" s="1008"/>
      <c r="AD1230" s="1008" t="s">
        <v>670</v>
      </c>
      <c r="AE1230" s="1008"/>
      <c r="AF1230" s="1008"/>
      <c r="AG1230" s="1008"/>
      <c r="AH1230" s="1008"/>
      <c r="AI1230" s="1008"/>
    </row>
    <row r="1231" spans="1:35">
      <c r="A1231" s="1008">
        <v>24068</v>
      </c>
      <c r="B1231" s="1008">
        <v>1617</v>
      </c>
      <c r="C1231" s="1008">
        <v>7</v>
      </c>
      <c r="D1231" s="1009">
        <v>16129999</v>
      </c>
      <c r="E1231" s="1009">
        <v>16120400</v>
      </c>
      <c r="F1231" s="1007" t="s">
        <v>3426</v>
      </c>
      <c r="G1231" s="1007">
        <v>7</v>
      </c>
      <c r="H1231" s="1010">
        <v>99999999</v>
      </c>
      <c r="I1231" s="1009">
        <v>16120400</v>
      </c>
      <c r="J1231" s="1007" t="s">
        <v>3426</v>
      </c>
      <c r="O1231" s="1007" t="s">
        <v>648</v>
      </c>
      <c r="P1231" s="1007" t="s">
        <v>648</v>
      </c>
      <c r="S1231" s="1008" t="s">
        <v>650</v>
      </c>
      <c r="T1231" s="1008" t="s">
        <v>654</v>
      </c>
      <c r="U1231" s="1008" t="s">
        <v>649</v>
      </c>
      <c r="V1231" s="1008" t="s">
        <v>648</v>
      </c>
      <c r="W1231" s="1008" t="s">
        <v>546</v>
      </c>
      <c r="X1231" s="1008" t="s">
        <v>670</v>
      </c>
      <c r="Y1231" s="1008"/>
      <c r="Z1231" s="1008"/>
      <c r="AA1231" s="1008" t="s">
        <v>670</v>
      </c>
      <c r="AB1231" s="1008"/>
      <c r="AC1231" s="1008"/>
      <c r="AD1231" s="1008" t="s">
        <v>670</v>
      </c>
      <c r="AE1231" s="1008"/>
      <c r="AF1231" s="1008"/>
      <c r="AG1231" s="1008"/>
      <c r="AH1231" s="1008"/>
      <c r="AI1231" s="1008"/>
    </row>
    <row r="1232" spans="1:35">
      <c r="A1232" s="1008">
        <v>24069</v>
      </c>
      <c r="B1232" s="1008">
        <v>1618</v>
      </c>
      <c r="C1232" s="1008">
        <v>7</v>
      </c>
      <c r="D1232" s="1009">
        <v>16129999</v>
      </c>
      <c r="E1232" s="1009">
        <v>16120500</v>
      </c>
      <c r="F1232" s="1007" t="s">
        <v>3425</v>
      </c>
      <c r="G1232" s="1007">
        <v>7</v>
      </c>
      <c r="H1232" s="1010">
        <v>99999999</v>
      </c>
      <c r="I1232" s="1009">
        <v>16120500</v>
      </c>
      <c r="J1232" s="1007" t="s">
        <v>3425</v>
      </c>
      <c r="O1232" s="1007" t="s">
        <v>648</v>
      </c>
      <c r="P1232" s="1007" t="s">
        <v>648</v>
      </c>
      <c r="S1232" s="1008" t="s">
        <v>650</v>
      </c>
      <c r="T1232" s="1008" t="s">
        <v>654</v>
      </c>
      <c r="U1232" s="1008" t="s">
        <v>649</v>
      </c>
      <c r="V1232" s="1008" t="s">
        <v>648</v>
      </c>
      <c r="W1232" s="1008" t="s">
        <v>546</v>
      </c>
      <c r="X1232" s="1008" t="s">
        <v>670</v>
      </c>
      <c r="Y1232" s="1008"/>
      <c r="Z1232" s="1008"/>
      <c r="AA1232" s="1008" t="s">
        <v>670</v>
      </c>
      <c r="AB1232" s="1008"/>
      <c r="AC1232" s="1008"/>
      <c r="AD1232" s="1008" t="s">
        <v>670</v>
      </c>
      <c r="AE1232" s="1008"/>
      <c r="AF1232" s="1008"/>
      <c r="AG1232" s="1008"/>
      <c r="AH1232" s="1008"/>
      <c r="AI1232" s="1008"/>
    </row>
    <row r="1233" spans="1:35">
      <c r="A1233" s="1008">
        <v>24070</v>
      </c>
      <c r="B1233" s="1008">
        <v>1619</v>
      </c>
      <c r="C1233" s="1008">
        <v>7</v>
      </c>
      <c r="D1233" s="1009">
        <v>16129999</v>
      </c>
      <c r="E1233" s="1009">
        <v>16120600</v>
      </c>
      <c r="F1233" s="1007" t="s">
        <v>3424</v>
      </c>
      <c r="G1233" s="1007">
        <v>7</v>
      </c>
      <c r="H1233" s="1010">
        <v>99999999</v>
      </c>
      <c r="I1233" s="1009">
        <v>16120600</v>
      </c>
      <c r="J1233" s="1007" t="s">
        <v>3424</v>
      </c>
      <c r="O1233" s="1007" t="s">
        <v>648</v>
      </c>
      <c r="P1233" s="1007" t="s">
        <v>648</v>
      </c>
      <c r="S1233" s="1008" t="s">
        <v>650</v>
      </c>
      <c r="T1233" s="1008" t="s">
        <v>654</v>
      </c>
      <c r="U1233" s="1008" t="s">
        <v>649</v>
      </c>
      <c r="V1233" s="1008" t="s">
        <v>648</v>
      </c>
      <c r="W1233" s="1008" t="s">
        <v>546</v>
      </c>
      <c r="X1233" s="1008" t="s">
        <v>670</v>
      </c>
      <c r="Y1233" s="1008"/>
      <c r="Z1233" s="1008"/>
      <c r="AA1233" s="1008" t="s">
        <v>670</v>
      </c>
      <c r="AB1233" s="1008"/>
      <c r="AC1233" s="1008"/>
      <c r="AD1233" s="1008" t="s">
        <v>670</v>
      </c>
      <c r="AE1233" s="1008"/>
      <c r="AF1233" s="1008"/>
      <c r="AG1233" s="1008"/>
      <c r="AH1233" s="1008"/>
      <c r="AI1233" s="1008"/>
    </row>
    <row r="1234" spans="1:35">
      <c r="A1234" s="1008">
        <v>24071</v>
      </c>
      <c r="B1234" s="1008">
        <v>1620</v>
      </c>
      <c r="C1234" s="1008">
        <v>7</v>
      </c>
      <c r="D1234" s="1009">
        <v>16129999</v>
      </c>
      <c r="E1234" s="1009">
        <v>16120700</v>
      </c>
      <c r="F1234" s="1007" t="s">
        <v>3423</v>
      </c>
      <c r="G1234" s="1007">
        <v>7</v>
      </c>
      <c r="H1234" s="1010">
        <v>99999999</v>
      </c>
      <c r="I1234" s="1009">
        <v>16120700</v>
      </c>
      <c r="J1234" s="1007" t="s">
        <v>3423</v>
      </c>
      <c r="O1234" s="1007" t="s">
        <v>648</v>
      </c>
      <c r="P1234" s="1007" t="s">
        <v>648</v>
      </c>
      <c r="S1234" s="1008" t="s">
        <v>650</v>
      </c>
      <c r="T1234" s="1008" t="s">
        <v>654</v>
      </c>
      <c r="U1234" s="1008" t="s">
        <v>649</v>
      </c>
      <c r="V1234" s="1008" t="s">
        <v>648</v>
      </c>
      <c r="W1234" s="1008" t="s">
        <v>546</v>
      </c>
      <c r="X1234" s="1008" t="s">
        <v>670</v>
      </c>
      <c r="Y1234" s="1008"/>
      <c r="Z1234" s="1008"/>
      <c r="AA1234" s="1008" t="s">
        <v>670</v>
      </c>
      <c r="AB1234" s="1008"/>
      <c r="AC1234" s="1008"/>
      <c r="AD1234" s="1008" t="s">
        <v>670</v>
      </c>
      <c r="AE1234" s="1008"/>
      <c r="AF1234" s="1008"/>
      <c r="AG1234" s="1008"/>
      <c r="AH1234" s="1008"/>
      <c r="AI1234" s="1008"/>
    </row>
    <row r="1235" spans="1:35">
      <c r="A1235" s="1008">
        <v>24072</v>
      </c>
      <c r="B1235" s="1008">
        <v>4885</v>
      </c>
      <c r="C1235" s="1008">
        <v>7</v>
      </c>
      <c r="D1235" s="1009">
        <v>16129999</v>
      </c>
      <c r="E1235" s="1009">
        <v>16120800</v>
      </c>
      <c r="F1235" s="1007" t="s">
        <v>3422</v>
      </c>
      <c r="G1235" s="1007">
        <v>7</v>
      </c>
      <c r="H1235" s="1010">
        <v>99999999</v>
      </c>
      <c r="I1235" s="1009">
        <v>16120800</v>
      </c>
      <c r="J1235" s="1007" t="s">
        <v>3422</v>
      </c>
      <c r="O1235" s="1007" t="s">
        <v>648</v>
      </c>
      <c r="P1235" s="1007" t="s">
        <v>648</v>
      </c>
      <c r="S1235" s="1008" t="s">
        <v>650</v>
      </c>
      <c r="T1235" s="1008" t="s">
        <v>654</v>
      </c>
      <c r="U1235" s="1008" t="s">
        <v>649</v>
      </c>
      <c r="V1235" s="1008" t="s">
        <v>648</v>
      </c>
      <c r="W1235" s="1008" t="s">
        <v>546</v>
      </c>
      <c r="X1235" s="1008" t="s">
        <v>670</v>
      </c>
      <c r="Y1235" s="1008"/>
      <c r="Z1235" s="1008"/>
      <c r="AA1235" s="1008" t="s">
        <v>670</v>
      </c>
      <c r="AB1235" s="1008"/>
      <c r="AC1235" s="1008"/>
      <c r="AD1235" s="1008" t="s">
        <v>670</v>
      </c>
      <c r="AE1235" s="1008"/>
      <c r="AF1235" s="1008"/>
      <c r="AG1235" s="1008"/>
      <c r="AH1235" s="1008"/>
      <c r="AI1235" s="1008"/>
    </row>
    <row r="1236" spans="1:35">
      <c r="A1236" s="1008">
        <v>24073</v>
      </c>
      <c r="C1236" s="1008">
        <v>6</v>
      </c>
      <c r="D1236" s="1009">
        <v>16199999</v>
      </c>
      <c r="E1236" s="1009">
        <v>16129999</v>
      </c>
      <c r="F1236" s="1007" t="s">
        <v>3421</v>
      </c>
      <c r="O1236" s="1007" t="s">
        <v>648</v>
      </c>
      <c r="P1236" s="1007" t="s">
        <v>648</v>
      </c>
      <c r="S1236" s="1008" t="s">
        <v>650</v>
      </c>
      <c r="T1236" s="1008" t="s">
        <v>21</v>
      </c>
      <c r="U1236" s="1008" t="s">
        <v>649</v>
      </c>
      <c r="V1236" s="1008" t="s">
        <v>648</v>
      </c>
      <c r="W1236" s="1008" t="s">
        <v>546</v>
      </c>
      <c r="X1236" s="1008"/>
      <c r="Y1236" s="1008"/>
      <c r="Z1236" s="1008"/>
      <c r="AA1236" s="1008"/>
      <c r="AB1236" s="1008"/>
      <c r="AC1236" s="1008"/>
      <c r="AD1236" s="1008"/>
      <c r="AE1236" s="1008"/>
      <c r="AF1236" s="1008"/>
      <c r="AG1236" s="1008"/>
      <c r="AH1236" s="1008"/>
      <c r="AI1236" s="1008"/>
    </row>
    <row r="1237" spans="1:35">
      <c r="A1237" s="1008">
        <v>24074</v>
      </c>
      <c r="C1237" s="1008">
        <v>6</v>
      </c>
      <c r="D1237" s="1009">
        <v>16139999</v>
      </c>
      <c r="E1237" s="1009">
        <v>16130000</v>
      </c>
      <c r="F1237" s="1007" t="s">
        <v>3420</v>
      </c>
      <c r="O1237" s="1007" t="s">
        <v>648</v>
      </c>
      <c r="P1237" s="1007" t="s">
        <v>648</v>
      </c>
      <c r="S1237" s="1008" t="s">
        <v>650</v>
      </c>
      <c r="T1237" s="1008" t="s">
        <v>675</v>
      </c>
      <c r="U1237" s="1008" t="s">
        <v>649</v>
      </c>
      <c r="V1237" s="1008" t="s">
        <v>648</v>
      </c>
      <c r="W1237" s="1008" t="s">
        <v>546</v>
      </c>
      <c r="X1237" s="1008"/>
      <c r="Y1237" s="1008"/>
      <c r="Z1237" s="1008"/>
      <c r="AA1237" s="1008"/>
      <c r="AB1237" s="1008"/>
      <c r="AC1237" s="1008"/>
      <c r="AD1237" s="1008"/>
      <c r="AE1237" s="1008"/>
      <c r="AF1237" s="1008"/>
      <c r="AG1237" s="1008"/>
      <c r="AH1237" s="1008"/>
      <c r="AI1237" s="1008"/>
    </row>
    <row r="1238" spans="1:35">
      <c r="A1238" s="1008">
        <v>26433</v>
      </c>
      <c r="B1238" s="1008">
        <v>1622</v>
      </c>
      <c r="C1238" s="1008">
        <v>7</v>
      </c>
      <c r="D1238" s="1009">
        <v>16139999</v>
      </c>
      <c r="E1238" s="1009">
        <v>16130100</v>
      </c>
      <c r="F1238" s="1007" t="s">
        <v>3419</v>
      </c>
      <c r="G1238" s="1007">
        <v>7</v>
      </c>
      <c r="H1238" s="1010">
        <v>99999999</v>
      </c>
      <c r="I1238" s="1009">
        <v>16130100</v>
      </c>
      <c r="J1238" s="1007" t="s">
        <v>3419</v>
      </c>
      <c r="O1238" s="1007" t="s">
        <v>648</v>
      </c>
      <c r="P1238" s="1007" t="s">
        <v>648</v>
      </c>
      <c r="S1238" s="1008" t="s">
        <v>650</v>
      </c>
      <c r="T1238" s="1008" t="s">
        <v>654</v>
      </c>
      <c r="U1238" s="1008" t="s">
        <v>649</v>
      </c>
      <c r="V1238" s="1008" t="s">
        <v>648</v>
      </c>
      <c r="W1238" s="1008" t="s">
        <v>546</v>
      </c>
      <c r="X1238" s="1008" t="s">
        <v>670</v>
      </c>
      <c r="Y1238" s="1008"/>
      <c r="Z1238" s="1008"/>
      <c r="AA1238" s="1008" t="s">
        <v>670</v>
      </c>
      <c r="AB1238" s="1008"/>
      <c r="AC1238" s="1008"/>
      <c r="AD1238" s="1008" t="s">
        <v>670</v>
      </c>
      <c r="AE1238" s="1008"/>
      <c r="AF1238" s="1008"/>
      <c r="AG1238" s="1008"/>
      <c r="AH1238" s="1008"/>
      <c r="AI1238" s="1008"/>
    </row>
    <row r="1239" spans="1:35">
      <c r="A1239" s="1008">
        <v>24075</v>
      </c>
      <c r="B1239" s="1008">
        <v>1623</v>
      </c>
      <c r="C1239" s="1008">
        <v>7</v>
      </c>
      <c r="D1239" s="1009">
        <v>16139999</v>
      </c>
      <c r="E1239" s="1009">
        <v>16130200</v>
      </c>
      <c r="F1239" s="1007" t="s">
        <v>3418</v>
      </c>
      <c r="G1239" s="1007">
        <v>7</v>
      </c>
      <c r="H1239" s="1010">
        <v>99999999</v>
      </c>
      <c r="I1239" s="1009">
        <v>16130200</v>
      </c>
      <c r="J1239" s="1007" t="s">
        <v>3418</v>
      </c>
      <c r="O1239" s="1007" t="s">
        <v>648</v>
      </c>
      <c r="P1239" s="1007" t="s">
        <v>648</v>
      </c>
      <c r="S1239" s="1008" t="s">
        <v>650</v>
      </c>
      <c r="T1239" s="1008" t="s">
        <v>654</v>
      </c>
      <c r="U1239" s="1008" t="s">
        <v>649</v>
      </c>
      <c r="V1239" s="1008" t="s">
        <v>648</v>
      </c>
      <c r="W1239" s="1008" t="s">
        <v>546</v>
      </c>
      <c r="X1239" s="1008" t="s">
        <v>670</v>
      </c>
      <c r="Y1239" s="1008"/>
      <c r="Z1239" s="1008"/>
      <c r="AA1239" s="1008" t="s">
        <v>670</v>
      </c>
      <c r="AB1239" s="1008"/>
      <c r="AC1239" s="1008"/>
      <c r="AD1239" s="1008" t="s">
        <v>670</v>
      </c>
      <c r="AE1239" s="1008"/>
      <c r="AF1239" s="1008"/>
      <c r="AG1239" s="1008"/>
      <c r="AH1239" s="1008"/>
      <c r="AI1239" s="1008"/>
    </row>
    <row r="1240" spans="1:35">
      <c r="A1240" s="1008">
        <v>24076</v>
      </c>
      <c r="B1240" s="1008">
        <v>1624</v>
      </c>
      <c r="C1240" s="1008">
        <v>7</v>
      </c>
      <c r="D1240" s="1009">
        <v>16139999</v>
      </c>
      <c r="E1240" s="1009">
        <v>16130400</v>
      </c>
      <c r="F1240" s="1007" t="s">
        <v>3417</v>
      </c>
      <c r="G1240" s="1007">
        <v>7</v>
      </c>
      <c r="H1240" s="1010">
        <v>99999999</v>
      </c>
      <c r="I1240" s="1009">
        <v>16130400</v>
      </c>
      <c r="J1240" s="1007" t="s">
        <v>3417</v>
      </c>
      <c r="O1240" s="1007" t="s">
        <v>648</v>
      </c>
      <c r="P1240" s="1007" t="s">
        <v>648</v>
      </c>
      <c r="S1240" s="1008" t="s">
        <v>650</v>
      </c>
      <c r="T1240" s="1008" t="s">
        <v>654</v>
      </c>
      <c r="U1240" s="1008" t="s">
        <v>649</v>
      </c>
      <c r="V1240" s="1008" t="s">
        <v>648</v>
      </c>
      <c r="W1240" s="1008" t="s">
        <v>546</v>
      </c>
      <c r="X1240" s="1008" t="s">
        <v>670</v>
      </c>
      <c r="Y1240" s="1008"/>
      <c r="Z1240" s="1008"/>
      <c r="AA1240" s="1008" t="s">
        <v>670</v>
      </c>
      <c r="AB1240" s="1008"/>
      <c r="AC1240" s="1008"/>
      <c r="AD1240" s="1008" t="s">
        <v>670</v>
      </c>
      <c r="AE1240" s="1008"/>
      <c r="AF1240" s="1008"/>
      <c r="AG1240" s="1008"/>
      <c r="AH1240" s="1008"/>
      <c r="AI1240" s="1008"/>
    </row>
    <row r="1241" spans="1:35">
      <c r="A1241" s="1008">
        <v>24077</v>
      </c>
      <c r="B1241" s="1008">
        <v>1625</v>
      </c>
      <c r="C1241" s="1008">
        <v>7</v>
      </c>
      <c r="D1241" s="1009">
        <v>16139999</v>
      </c>
      <c r="E1241" s="1009">
        <v>16130500</v>
      </c>
      <c r="F1241" s="1007" t="s">
        <v>3416</v>
      </c>
      <c r="G1241" s="1007">
        <v>7</v>
      </c>
      <c r="H1241" s="1010">
        <v>99999999</v>
      </c>
      <c r="I1241" s="1009">
        <v>16130500</v>
      </c>
      <c r="J1241" s="1007" t="s">
        <v>3416</v>
      </c>
      <c r="O1241" s="1007" t="s">
        <v>648</v>
      </c>
      <c r="P1241" s="1007" t="s">
        <v>648</v>
      </c>
      <c r="S1241" s="1008" t="s">
        <v>650</v>
      </c>
      <c r="T1241" s="1008" t="s">
        <v>654</v>
      </c>
      <c r="U1241" s="1008" t="s">
        <v>649</v>
      </c>
      <c r="V1241" s="1008" t="s">
        <v>648</v>
      </c>
      <c r="W1241" s="1008" t="s">
        <v>546</v>
      </c>
      <c r="X1241" s="1008" t="s">
        <v>670</v>
      </c>
      <c r="Y1241" s="1008"/>
      <c r="Z1241" s="1008"/>
      <c r="AA1241" s="1008" t="s">
        <v>670</v>
      </c>
      <c r="AB1241" s="1008"/>
      <c r="AC1241" s="1008"/>
      <c r="AD1241" s="1008" t="s">
        <v>670</v>
      </c>
      <c r="AE1241" s="1008"/>
      <c r="AF1241" s="1008"/>
      <c r="AG1241" s="1008"/>
      <c r="AH1241" s="1008"/>
      <c r="AI1241" s="1008"/>
    </row>
    <row r="1242" spans="1:35">
      <c r="A1242" s="1008">
        <v>24078</v>
      </c>
      <c r="B1242" s="1008">
        <v>1626</v>
      </c>
      <c r="C1242" s="1008">
        <v>7</v>
      </c>
      <c r="D1242" s="1009">
        <v>16139999</v>
      </c>
      <c r="E1242" s="1009">
        <v>16130600</v>
      </c>
      <c r="F1242" s="1007" t="s">
        <v>3415</v>
      </c>
      <c r="G1242" s="1007">
        <v>7</v>
      </c>
      <c r="H1242" s="1010">
        <v>99999999</v>
      </c>
      <c r="I1242" s="1009">
        <v>16130600</v>
      </c>
      <c r="J1242" s="1007" t="s">
        <v>3415</v>
      </c>
      <c r="O1242" s="1007" t="s">
        <v>648</v>
      </c>
      <c r="P1242" s="1007" t="s">
        <v>648</v>
      </c>
      <c r="S1242" s="1008" t="s">
        <v>650</v>
      </c>
      <c r="T1242" s="1008" t="s">
        <v>654</v>
      </c>
      <c r="U1242" s="1008" t="s">
        <v>649</v>
      </c>
      <c r="V1242" s="1008" t="s">
        <v>648</v>
      </c>
      <c r="W1242" s="1008" t="s">
        <v>546</v>
      </c>
      <c r="X1242" s="1008" t="s">
        <v>670</v>
      </c>
      <c r="Y1242" s="1008"/>
      <c r="Z1242" s="1008"/>
      <c r="AA1242" s="1008" t="s">
        <v>670</v>
      </c>
      <c r="AB1242" s="1008"/>
      <c r="AC1242" s="1008"/>
      <c r="AD1242" s="1008" t="s">
        <v>670</v>
      </c>
      <c r="AE1242" s="1008"/>
      <c r="AF1242" s="1008"/>
      <c r="AG1242" s="1008"/>
      <c r="AH1242" s="1008"/>
      <c r="AI1242" s="1008"/>
    </row>
    <row r="1243" spans="1:35">
      <c r="A1243" s="1008">
        <v>24079</v>
      </c>
      <c r="B1243" s="1008">
        <v>1627</v>
      </c>
      <c r="C1243" s="1008">
        <v>7</v>
      </c>
      <c r="D1243" s="1009">
        <v>16139999</v>
      </c>
      <c r="E1243" s="1009">
        <v>16130700</v>
      </c>
      <c r="F1243" s="1007" t="s">
        <v>3414</v>
      </c>
      <c r="G1243" s="1007">
        <v>7</v>
      </c>
      <c r="H1243" s="1010">
        <v>99999999</v>
      </c>
      <c r="I1243" s="1009">
        <v>16130700</v>
      </c>
      <c r="J1243" s="1007" t="s">
        <v>3414</v>
      </c>
      <c r="O1243" s="1007" t="s">
        <v>648</v>
      </c>
      <c r="P1243" s="1007" t="s">
        <v>648</v>
      </c>
      <c r="S1243" s="1008" t="s">
        <v>650</v>
      </c>
      <c r="T1243" s="1008" t="s">
        <v>654</v>
      </c>
      <c r="U1243" s="1008" t="s">
        <v>649</v>
      </c>
      <c r="V1243" s="1008" t="s">
        <v>648</v>
      </c>
      <c r="W1243" s="1008" t="s">
        <v>546</v>
      </c>
      <c r="X1243" s="1008" t="s">
        <v>670</v>
      </c>
      <c r="Y1243" s="1008"/>
      <c r="Z1243" s="1008"/>
      <c r="AA1243" s="1008" t="s">
        <v>670</v>
      </c>
      <c r="AB1243" s="1008"/>
      <c r="AC1243" s="1008"/>
      <c r="AD1243" s="1008" t="s">
        <v>670</v>
      </c>
      <c r="AE1243" s="1008"/>
      <c r="AF1243" s="1008"/>
      <c r="AG1243" s="1008"/>
      <c r="AH1243" s="1008"/>
      <c r="AI1243" s="1008"/>
    </row>
    <row r="1244" spans="1:35">
      <c r="A1244" s="1008">
        <v>24080</v>
      </c>
      <c r="B1244" s="1008">
        <v>4887</v>
      </c>
      <c r="C1244" s="1008">
        <v>7</v>
      </c>
      <c r="D1244" s="1009">
        <v>16139999</v>
      </c>
      <c r="E1244" s="1009">
        <v>16130800</v>
      </c>
      <c r="F1244" s="1007" t="s">
        <v>3413</v>
      </c>
      <c r="G1244" s="1007">
        <v>7</v>
      </c>
      <c r="H1244" s="1010">
        <v>99999999</v>
      </c>
      <c r="I1244" s="1009">
        <v>16130800</v>
      </c>
      <c r="J1244" s="1007" t="s">
        <v>3413</v>
      </c>
      <c r="O1244" s="1007" t="s">
        <v>648</v>
      </c>
      <c r="P1244" s="1007" t="s">
        <v>648</v>
      </c>
      <c r="S1244" s="1008" t="s">
        <v>650</v>
      </c>
      <c r="T1244" s="1008" t="s">
        <v>654</v>
      </c>
      <c r="U1244" s="1008" t="s">
        <v>649</v>
      </c>
      <c r="V1244" s="1008" t="s">
        <v>648</v>
      </c>
      <c r="W1244" s="1008" t="s">
        <v>546</v>
      </c>
      <c r="X1244" s="1008" t="s">
        <v>670</v>
      </c>
      <c r="Y1244" s="1008"/>
      <c r="Z1244" s="1008"/>
      <c r="AA1244" s="1008" t="s">
        <v>670</v>
      </c>
      <c r="AB1244" s="1008"/>
      <c r="AC1244" s="1008"/>
      <c r="AD1244" s="1008" t="s">
        <v>670</v>
      </c>
      <c r="AE1244" s="1008"/>
      <c r="AF1244" s="1008"/>
      <c r="AG1244" s="1008"/>
      <c r="AH1244" s="1008"/>
      <c r="AI1244" s="1008"/>
    </row>
    <row r="1245" spans="1:35">
      <c r="A1245" s="1008">
        <v>24081</v>
      </c>
      <c r="C1245" s="1008">
        <v>6</v>
      </c>
      <c r="D1245" s="1009">
        <v>16199999</v>
      </c>
      <c r="E1245" s="1009">
        <v>16139999</v>
      </c>
      <c r="F1245" s="1007" t="s">
        <v>3412</v>
      </c>
      <c r="O1245" s="1007" t="s">
        <v>648</v>
      </c>
      <c r="P1245" s="1007" t="s">
        <v>648</v>
      </c>
      <c r="S1245" s="1008" t="s">
        <v>650</v>
      </c>
      <c r="T1245" s="1008" t="s">
        <v>21</v>
      </c>
      <c r="U1245" s="1008" t="s">
        <v>649</v>
      </c>
      <c r="V1245" s="1008" t="s">
        <v>648</v>
      </c>
      <c r="W1245" s="1008" t="s">
        <v>546</v>
      </c>
      <c r="X1245" s="1008"/>
      <c r="Y1245" s="1008"/>
      <c r="Z1245" s="1008"/>
      <c r="AA1245" s="1008"/>
      <c r="AB1245" s="1008"/>
      <c r="AC1245" s="1008"/>
      <c r="AD1245" s="1008"/>
      <c r="AE1245" s="1008"/>
      <c r="AF1245" s="1008"/>
      <c r="AG1245" s="1008"/>
      <c r="AH1245" s="1008"/>
      <c r="AI1245" s="1008"/>
    </row>
    <row r="1246" spans="1:35">
      <c r="A1246" s="1008">
        <v>24082</v>
      </c>
      <c r="C1246" s="1008">
        <v>5</v>
      </c>
      <c r="D1246" s="1009">
        <v>16399999</v>
      </c>
      <c r="E1246" s="1009">
        <v>16199999</v>
      </c>
      <c r="F1246" s="1007" t="s">
        <v>3411</v>
      </c>
      <c r="O1246" s="1007" t="s">
        <v>648</v>
      </c>
      <c r="P1246" s="1007" t="s">
        <v>648</v>
      </c>
      <c r="S1246" s="1008" t="s">
        <v>650</v>
      </c>
      <c r="T1246" s="1008" t="s">
        <v>21</v>
      </c>
      <c r="U1246" s="1008" t="s">
        <v>649</v>
      </c>
      <c r="V1246" s="1008" t="s">
        <v>648</v>
      </c>
      <c r="W1246" s="1008" t="s">
        <v>546</v>
      </c>
      <c r="X1246" s="1008"/>
      <c r="Y1246" s="1008"/>
      <c r="Z1246" s="1008"/>
      <c r="AA1246" s="1008"/>
      <c r="AB1246" s="1008"/>
      <c r="AC1246" s="1008"/>
      <c r="AD1246" s="1008"/>
      <c r="AE1246" s="1008"/>
      <c r="AF1246" s="1008"/>
      <c r="AG1246" s="1008"/>
      <c r="AH1246" s="1008"/>
      <c r="AI1246" s="1008"/>
    </row>
    <row r="1247" spans="1:35">
      <c r="A1247" s="1008">
        <v>24083</v>
      </c>
      <c r="C1247" s="1008">
        <v>5</v>
      </c>
      <c r="D1247" s="1009">
        <v>16299999</v>
      </c>
      <c r="E1247" s="1009">
        <v>16200000</v>
      </c>
      <c r="F1247" s="1007" t="s">
        <v>3410</v>
      </c>
      <c r="O1247" s="1007" t="s">
        <v>648</v>
      </c>
      <c r="P1247" s="1007" t="s">
        <v>648</v>
      </c>
      <c r="S1247" s="1008" t="s">
        <v>650</v>
      </c>
      <c r="T1247" s="1008" t="s">
        <v>675</v>
      </c>
      <c r="U1247" s="1008" t="s">
        <v>649</v>
      </c>
      <c r="V1247" s="1008" t="s">
        <v>648</v>
      </c>
      <c r="W1247" s="1008" t="s">
        <v>546</v>
      </c>
      <c r="X1247" s="1008"/>
      <c r="Y1247" s="1008"/>
      <c r="Z1247" s="1008"/>
      <c r="AA1247" s="1008"/>
      <c r="AB1247" s="1008"/>
      <c r="AC1247" s="1008"/>
      <c r="AD1247" s="1008"/>
      <c r="AE1247" s="1008"/>
      <c r="AF1247" s="1008"/>
      <c r="AG1247" s="1008"/>
      <c r="AH1247" s="1008"/>
      <c r="AI1247" s="1008"/>
    </row>
    <row r="1248" spans="1:35">
      <c r="A1248" s="1008">
        <v>24084</v>
      </c>
      <c r="C1248" s="1008">
        <v>6</v>
      </c>
      <c r="D1248" s="1009">
        <v>16219999</v>
      </c>
      <c r="E1248" s="1009">
        <v>16210000</v>
      </c>
      <c r="F1248" s="1007" t="s">
        <v>3409</v>
      </c>
      <c r="O1248" s="1007" t="s">
        <v>648</v>
      </c>
      <c r="P1248" s="1007" t="s">
        <v>648</v>
      </c>
      <c r="S1248" s="1008" t="s">
        <v>650</v>
      </c>
      <c r="T1248" s="1008" t="s">
        <v>675</v>
      </c>
      <c r="U1248" s="1008" t="s">
        <v>649</v>
      </c>
      <c r="V1248" s="1008" t="s">
        <v>648</v>
      </c>
      <c r="W1248" s="1008" t="s">
        <v>546</v>
      </c>
      <c r="X1248" s="1008"/>
      <c r="Y1248" s="1008"/>
      <c r="Z1248" s="1008"/>
      <c r="AA1248" s="1008"/>
      <c r="AB1248" s="1008"/>
      <c r="AC1248" s="1008"/>
      <c r="AD1248" s="1008"/>
      <c r="AE1248" s="1008"/>
      <c r="AF1248" s="1008"/>
      <c r="AG1248" s="1008"/>
      <c r="AH1248" s="1008"/>
      <c r="AI1248" s="1008"/>
    </row>
    <row r="1249" spans="1:35">
      <c r="A1249" s="1008">
        <v>24085</v>
      </c>
      <c r="B1249" s="1008">
        <v>1629</v>
      </c>
      <c r="C1249" s="1008">
        <v>7</v>
      </c>
      <c r="D1249" s="1009">
        <v>16219999</v>
      </c>
      <c r="E1249" s="1009">
        <v>16210600</v>
      </c>
      <c r="F1249" s="1007" t="s">
        <v>3408</v>
      </c>
      <c r="G1249" s="1007">
        <v>7</v>
      </c>
      <c r="H1249" s="1010">
        <v>99999999</v>
      </c>
      <c r="I1249" s="1009">
        <v>16210600</v>
      </c>
      <c r="J1249" s="1007" t="s">
        <v>3408</v>
      </c>
      <c r="O1249" s="1007" t="s">
        <v>648</v>
      </c>
      <c r="P1249" s="1007" t="s">
        <v>648</v>
      </c>
      <c r="S1249" s="1008" t="s">
        <v>650</v>
      </c>
      <c r="T1249" s="1008" t="s">
        <v>654</v>
      </c>
      <c r="U1249" s="1008" t="s">
        <v>649</v>
      </c>
      <c r="V1249" s="1008" t="s">
        <v>648</v>
      </c>
      <c r="W1249" s="1008" t="s">
        <v>546</v>
      </c>
      <c r="X1249" s="1008" t="s">
        <v>670</v>
      </c>
      <c r="Y1249" s="1008"/>
      <c r="Z1249" s="1008"/>
      <c r="AA1249" s="1008"/>
      <c r="AB1249" s="1008"/>
      <c r="AC1249" s="1008"/>
      <c r="AD1249" s="1008" t="s">
        <v>670</v>
      </c>
      <c r="AE1249" s="1008"/>
      <c r="AF1249" s="1008"/>
      <c r="AG1249" s="1008"/>
      <c r="AH1249" s="1008"/>
      <c r="AI1249" s="1008"/>
    </row>
    <row r="1250" spans="1:35">
      <c r="A1250" s="1008">
        <v>24086</v>
      </c>
      <c r="B1250" s="1008">
        <v>1206</v>
      </c>
      <c r="C1250" s="1008">
        <v>7</v>
      </c>
      <c r="D1250" s="1009">
        <v>16219999</v>
      </c>
      <c r="E1250" s="1009">
        <v>16210700</v>
      </c>
      <c r="F1250" s="1007" t="s">
        <v>3407</v>
      </c>
      <c r="G1250" s="1007">
        <v>8</v>
      </c>
      <c r="H1250" s="1010">
        <v>99999999</v>
      </c>
      <c r="I1250" s="1009">
        <v>16210700</v>
      </c>
      <c r="J1250" s="1007" t="s">
        <v>3407</v>
      </c>
      <c r="O1250" s="1007" t="s">
        <v>648</v>
      </c>
      <c r="P1250" s="1007" t="s">
        <v>648</v>
      </c>
      <c r="S1250" s="1008" t="s">
        <v>650</v>
      </c>
      <c r="T1250" s="1008" t="s">
        <v>654</v>
      </c>
      <c r="U1250" s="1008" t="s">
        <v>649</v>
      </c>
      <c r="V1250" s="1008" t="s">
        <v>648</v>
      </c>
      <c r="W1250" s="1008" t="s">
        <v>546</v>
      </c>
      <c r="X1250" s="1008" t="s">
        <v>670</v>
      </c>
      <c r="Y1250" s="1008"/>
      <c r="Z1250" s="1008"/>
      <c r="AA1250" s="1008"/>
      <c r="AB1250" s="1008"/>
      <c r="AC1250" s="1008"/>
      <c r="AD1250" s="1008" t="s">
        <v>670</v>
      </c>
      <c r="AE1250" s="1008"/>
      <c r="AF1250" s="1008"/>
      <c r="AG1250" s="1008"/>
      <c r="AH1250" s="1008"/>
      <c r="AI1250" s="1008"/>
    </row>
    <row r="1251" spans="1:35">
      <c r="A1251" s="1008">
        <v>24087</v>
      </c>
      <c r="B1251" s="1008">
        <v>4891</v>
      </c>
      <c r="C1251" s="1008">
        <v>7</v>
      </c>
      <c r="D1251" s="1009">
        <v>16219999</v>
      </c>
      <c r="E1251" s="1009">
        <v>16210800</v>
      </c>
      <c r="F1251" s="1007" t="s">
        <v>3406</v>
      </c>
      <c r="G1251" s="1007">
        <v>7</v>
      </c>
      <c r="H1251" s="1010">
        <v>99999999</v>
      </c>
      <c r="I1251" s="1009">
        <v>16210800</v>
      </c>
      <c r="J1251" s="1007" t="s">
        <v>3406</v>
      </c>
      <c r="O1251" s="1007" t="s">
        <v>648</v>
      </c>
      <c r="P1251" s="1007" t="s">
        <v>648</v>
      </c>
      <c r="S1251" s="1008" t="s">
        <v>650</v>
      </c>
      <c r="T1251" s="1008" t="s">
        <v>654</v>
      </c>
      <c r="U1251" s="1008" t="s">
        <v>649</v>
      </c>
      <c r="V1251" s="1008" t="s">
        <v>648</v>
      </c>
      <c r="W1251" s="1008" t="s">
        <v>546</v>
      </c>
      <c r="X1251" s="1008" t="s">
        <v>670</v>
      </c>
      <c r="Y1251" s="1008"/>
      <c r="Z1251" s="1008"/>
      <c r="AA1251" s="1008"/>
      <c r="AB1251" s="1008"/>
      <c r="AC1251" s="1008"/>
      <c r="AD1251" s="1008" t="s">
        <v>670</v>
      </c>
      <c r="AE1251" s="1008"/>
      <c r="AF1251" s="1008"/>
      <c r="AG1251" s="1008"/>
      <c r="AH1251" s="1008"/>
      <c r="AI1251" s="1008"/>
    </row>
    <row r="1252" spans="1:35">
      <c r="A1252" s="1008">
        <v>24088</v>
      </c>
      <c r="C1252" s="1008">
        <v>6</v>
      </c>
      <c r="D1252" s="1009">
        <v>16299999</v>
      </c>
      <c r="E1252" s="1009">
        <v>16219999</v>
      </c>
      <c r="F1252" s="1007" t="s">
        <v>3405</v>
      </c>
      <c r="O1252" s="1007" t="s">
        <v>648</v>
      </c>
      <c r="P1252" s="1007" t="s">
        <v>648</v>
      </c>
      <c r="S1252" s="1008" t="s">
        <v>650</v>
      </c>
      <c r="T1252" s="1008" t="s">
        <v>21</v>
      </c>
      <c r="U1252" s="1008" t="s">
        <v>649</v>
      </c>
      <c r="V1252" s="1008" t="s">
        <v>648</v>
      </c>
      <c r="W1252" s="1008" t="s">
        <v>546</v>
      </c>
      <c r="X1252" s="1008"/>
      <c r="Y1252" s="1008"/>
      <c r="Z1252" s="1008"/>
      <c r="AA1252" s="1008"/>
      <c r="AB1252" s="1008"/>
      <c r="AC1252" s="1008"/>
      <c r="AD1252" s="1008"/>
      <c r="AE1252" s="1008"/>
      <c r="AF1252" s="1008"/>
      <c r="AG1252" s="1008"/>
      <c r="AH1252" s="1008"/>
      <c r="AI1252" s="1008"/>
    </row>
    <row r="1253" spans="1:35">
      <c r="A1253" s="1008">
        <v>24089</v>
      </c>
      <c r="C1253" s="1008">
        <v>6</v>
      </c>
      <c r="D1253" s="1009">
        <v>16229999</v>
      </c>
      <c r="E1253" s="1009">
        <v>16220000</v>
      </c>
      <c r="F1253" s="1007" t="s">
        <v>3404</v>
      </c>
      <c r="O1253" s="1007" t="s">
        <v>648</v>
      </c>
      <c r="P1253" s="1007" t="s">
        <v>648</v>
      </c>
      <c r="S1253" s="1008" t="s">
        <v>650</v>
      </c>
      <c r="T1253" s="1008" t="s">
        <v>675</v>
      </c>
      <c r="U1253" s="1008" t="s">
        <v>649</v>
      </c>
      <c r="V1253" s="1008" t="s">
        <v>648</v>
      </c>
      <c r="W1253" s="1008" t="s">
        <v>546</v>
      </c>
      <c r="X1253" s="1008"/>
      <c r="Y1253" s="1008"/>
      <c r="Z1253" s="1008"/>
      <c r="AA1253" s="1008"/>
      <c r="AB1253" s="1008"/>
      <c r="AC1253" s="1008"/>
      <c r="AD1253" s="1008"/>
      <c r="AE1253" s="1008"/>
      <c r="AF1253" s="1008"/>
      <c r="AG1253" s="1008"/>
      <c r="AH1253" s="1008"/>
      <c r="AI1253" s="1008"/>
    </row>
    <row r="1254" spans="1:35">
      <c r="A1254" s="1008">
        <v>24090</v>
      </c>
      <c r="B1254" s="1008">
        <v>1632</v>
      </c>
      <c r="C1254" s="1008">
        <v>7</v>
      </c>
      <c r="D1254" s="1009">
        <v>16229999</v>
      </c>
      <c r="E1254" s="1009">
        <v>16220600</v>
      </c>
      <c r="F1254" s="1007" t="s">
        <v>3403</v>
      </c>
      <c r="G1254" s="1007">
        <v>7</v>
      </c>
      <c r="H1254" s="1010">
        <v>99999999</v>
      </c>
      <c r="I1254" s="1009">
        <v>16220600</v>
      </c>
      <c r="J1254" s="1007" t="s">
        <v>3403</v>
      </c>
      <c r="O1254" s="1007" t="s">
        <v>648</v>
      </c>
      <c r="P1254" s="1007" t="s">
        <v>648</v>
      </c>
      <c r="S1254" s="1008" t="s">
        <v>650</v>
      </c>
      <c r="T1254" s="1008" t="s">
        <v>654</v>
      </c>
      <c r="U1254" s="1008" t="s">
        <v>649</v>
      </c>
      <c r="V1254" s="1008" t="s">
        <v>648</v>
      </c>
      <c r="W1254" s="1008" t="s">
        <v>546</v>
      </c>
      <c r="X1254" s="1008" t="s">
        <v>670</v>
      </c>
      <c r="Y1254" s="1008"/>
      <c r="Z1254" s="1008"/>
      <c r="AA1254" s="1008"/>
      <c r="AB1254" s="1008"/>
      <c r="AC1254" s="1008"/>
      <c r="AD1254" s="1008" t="s">
        <v>670</v>
      </c>
      <c r="AE1254" s="1008"/>
      <c r="AF1254" s="1008"/>
      <c r="AG1254" s="1008"/>
      <c r="AH1254" s="1008"/>
      <c r="AI1254" s="1008"/>
    </row>
    <row r="1255" spans="1:35">
      <c r="A1255" s="1008">
        <v>24091</v>
      </c>
      <c r="B1255" s="1008">
        <v>709</v>
      </c>
      <c r="C1255" s="1008">
        <v>7</v>
      </c>
      <c r="D1255" s="1009">
        <v>16229999</v>
      </c>
      <c r="E1255" s="1009">
        <v>16220700</v>
      </c>
      <c r="F1255" s="1007" t="s">
        <v>3402</v>
      </c>
      <c r="G1255" s="1007">
        <v>8</v>
      </c>
      <c r="H1255" s="1010">
        <v>99999999</v>
      </c>
      <c r="I1255" s="1009">
        <v>16220700</v>
      </c>
      <c r="J1255" s="1007" t="s">
        <v>3402</v>
      </c>
      <c r="O1255" s="1007" t="s">
        <v>648</v>
      </c>
      <c r="P1255" s="1007" t="s">
        <v>648</v>
      </c>
      <c r="S1255" s="1008" t="s">
        <v>650</v>
      </c>
      <c r="T1255" s="1008" t="s">
        <v>654</v>
      </c>
      <c r="U1255" s="1008" t="s">
        <v>649</v>
      </c>
      <c r="V1255" s="1008" t="s">
        <v>648</v>
      </c>
      <c r="W1255" s="1008" t="s">
        <v>546</v>
      </c>
      <c r="X1255" s="1008" t="s">
        <v>670</v>
      </c>
      <c r="Y1255" s="1008" t="s">
        <v>670</v>
      </c>
      <c r="Z1255" s="1008" t="s">
        <v>670</v>
      </c>
      <c r="AA1255" s="1008"/>
      <c r="AB1255" s="1008" t="s">
        <v>670</v>
      </c>
      <c r="AC1255" s="1008" t="s">
        <v>670</v>
      </c>
      <c r="AD1255" s="1008" t="s">
        <v>670</v>
      </c>
      <c r="AE1255" s="1008" t="s">
        <v>670</v>
      </c>
      <c r="AF1255" s="1008" t="s">
        <v>670</v>
      </c>
      <c r="AG1255" s="1008"/>
      <c r="AH1255" s="1008"/>
      <c r="AI1255" s="1008"/>
    </row>
    <row r="1256" spans="1:35">
      <c r="A1256" s="1008">
        <v>24092</v>
      </c>
      <c r="B1256" s="1008">
        <v>4893</v>
      </c>
      <c r="C1256" s="1008">
        <v>7</v>
      </c>
      <c r="D1256" s="1009">
        <v>16229999</v>
      </c>
      <c r="E1256" s="1009">
        <v>16220800</v>
      </c>
      <c r="F1256" s="1007" t="s">
        <v>3401</v>
      </c>
      <c r="G1256" s="1007">
        <v>7</v>
      </c>
      <c r="H1256" s="1010">
        <v>99999999</v>
      </c>
      <c r="I1256" s="1009">
        <v>16220800</v>
      </c>
      <c r="J1256" s="1007" t="s">
        <v>3401</v>
      </c>
      <c r="O1256" s="1007" t="s">
        <v>648</v>
      </c>
      <c r="P1256" s="1007" t="s">
        <v>648</v>
      </c>
      <c r="S1256" s="1008" t="s">
        <v>650</v>
      </c>
      <c r="T1256" s="1008" t="s">
        <v>654</v>
      </c>
      <c r="U1256" s="1008" t="s">
        <v>649</v>
      </c>
      <c r="V1256" s="1008" t="s">
        <v>648</v>
      </c>
      <c r="W1256" s="1008" t="s">
        <v>546</v>
      </c>
      <c r="X1256" s="1008" t="s">
        <v>670</v>
      </c>
      <c r="Y1256" s="1008"/>
      <c r="Z1256" s="1008"/>
      <c r="AA1256" s="1008"/>
      <c r="AB1256" s="1008"/>
      <c r="AC1256" s="1008"/>
      <c r="AD1256" s="1008" t="s">
        <v>670</v>
      </c>
      <c r="AE1256" s="1008"/>
      <c r="AF1256" s="1008"/>
      <c r="AG1256" s="1008"/>
      <c r="AH1256" s="1008"/>
      <c r="AI1256" s="1008"/>
    </row>
    <row r="1257" spans="1:35">
      <c r="A1257" s="1008">
        <v>24093</v>
      </c>
      <c r="C1257" s="1008">
        <v>6</v>
      </c>
      <c r="D1257" s="1009">
        <v>16299999</v>
      </c>
      <c r="E1257" s="1009">
        <v>16229999</v>
      </c>
      <c r="F1257" s="1007" t="s">
        <v>3400</v>
      </c>
      <c r="O1257" s="1007" t="s">
        <v>648</v>
      </c>
      <c r="P1257" s="1007" t="s">
        <v>648</v>
      </c>
      <c r="S1257" s="1008" t="s">
        <v>650</v>
      </c>
      <c r="T1257" s="1008" t="s">
        <v>21</v>
      </c>
      <c r="U1257" s="1008" t="s">
        <v>649</v>
      </c>
      <c r="V1257" s="1008" t="s">
        <v>648</v>
      </c>
      <c r="W1257" s="1008" t="s">
        <v>546</v>
      </c>
      <c r="X1257" s="1008"/>
      <c r="Y1257" s="1008"/>
      <c r="Z1257" s="1008"/>
      <c r="AA1257" s="1008"/>
      <c r="AB1257" s="1008"/>
      <c r="AC1257" s="1008"/>
      <c r="AD1257" s="1008"/>
      <c r="AE1257" s="1008"/>
      <c r="AF1257" s="1008"/>
      <c r="AG1257" s="1008"/>
      <c r="AH1257" s="1008"/>
      <c r="AI1257" s="1008"/>
    </row>
    <row r="1258" spans="1:35">
      <c r="A1258" s="1008">
        <v>24094</v>
      </c>
      <c r="C1258" s="1008">
        <v>6</v>
      </c>
      <c r="D1258" s="1009">
        <v>16239999</v>
      </c>
      <c r="E1258" s="1009">
        <v>16230000</v>
      </c>
      <c r="F1258" s="1007" t="s">
        <v>3399</v>
      </c>
      <c r="O1258" s="1007" t="s">
        <v>648</v>
      </c>
      <c r="P1258" s="1007" t="s">
        <v>648</v>
      </c>
      <c r="S1258" s="1008" t="s">
        <v>650</v>
      </c>
      <c r="T1258" s="1008" t="s">
        <v>675</v>
      </c>
      <c r="U1258" s="1008" t="s">
        <v>649</v>
      </c>
      <c r="V1258" s="1008" t="s">
        <v>648</v>
      </c>
      <c r="W1258" s="1008" t="s">
        <v>546</v>
      </c>
      <c r="X1258" s="1008"/>
      <c r="Y1258" s="1008"/>
      <c r="Z1258" s="1008"/>
      <c r="AA1258" s="1008"/>
      <c r="AB1258" s="1008"/>
      <c r="AC1258" s="1008"/>
      <c r="AD1258" s="1008"/>
      <c r="AE1258" s="1008"/>
      <c r="AF1258" s="1008"/>
      <c r="AG1258" s="1008"/>
      <c r="AH1258" s="1008"/>
      <c r="AI1258" s="1008"/>
    </row>
    <row r="1259" spans="1:35">
      <c r="A1259" s="1008">
        <v>24095</v>
      </c>
      <c r="B1259" s="1008">
        <v>1635</v>
      </c>
      <c r="C1259" s="1008">
        <v>7</v>
      </c>
      <c r="D1259" s="1009">
        <v>16239999</v>
      </c>
      <c r="E1259" s="1009">
        <v>16230600</v>
      </c>
      <c r="F1259" s="1007" t="s">
        <v>3398</v>
      </c>
      <c r="G1259" s="1007">
        <v>7</v>
      </c>
      <c r="H1259" s="1010">
        <v>99999999</v>
      </c>
      <c r="I1259" s="1009">
        <v>16230600</v>
      </c>
      <c r="J1259" s="1007" t="s">
        <v>3398</v>
      </c>
      <c r="O1259" s="1007" t="s">
        <v>648</v>
      </c>
      <c r="P1259" s="1007" t="s">
        <v>648</v>
      </c>
      <c r="S1259" s="1008" t="s">
        <v>650</v>
      </c>
      <c r="T1259" s="1008" t="s">
        <v>654</v>
      </c>
      <c r="U1259" s="1008" t="s">
        <v>649</v>
      </c>
      <c r="V1259" s="1008" t="s">
        <v>648</v>
      </c>
      <c r="W1259" s="1008" t="s">
        <v>546</v>
      </c>
      <c r="X1259" s="1008" t="s">
        <v>670</v>
      </c>
      <c r="Y1259" s="1008"/>
      <c r="Z1259" s="1008"/>
      <c r="AA1259" s="1008"/>
      <c r="AB1259" s="1008"/>
      <c r="AC1259" s="1008"/>
      <c r="AD1259" s="1008" t="s">
        <v>670</v>
      </c>
      <c r="AE1259" s="1008"/>
      <c r="AF1259" s="1008"/>
      <c r="AG1259" s="1008"/>
      <c r="AH1259" s="1008"/>
      <c r="AI1259" s="1008"/>
    </row>
    <row r="1260" spans="1:35">
      <c r="A1260" s="1008">
        <v>24096</v>
      </c>
      <c r="B1260" s="1008">
        <v>1636</v>
      </c>
      <c r="C1260" s="1008">
        <v>7</v>
      </c>
      <c r="D1260" s="1009">
        <v>16239999</v>
      </c>
      <c r="E1260" s="1009">
        <v>16230700</v>
      </c>
      <c r="F1260" s="1007" t="s">
        <v>3397</v>
      </c>
      <c r="G1260" s="1007">
        <v>7</v>
      </c>
      <c r="H1260" s="1010">
        <v>99999999</v>
      </c>
      <c r="I1260" s="1009">
        <v>16230700</v>
      </c>
      <c r="J1260" s="1007" t="s">
        <v>3397</v>
      </c>
      <c r="O1260" s="1007" t="s">
        <v>648</v>
      </c>
      <c r="P1260" s="1007" t="s">
        <v>648</v>
      </c>
      <c r="S1260" s="1008" t="s">
        <v>650</v>
      </c>
      <c r="T1260" s="1008" t="s">
        <v>654</v>
      </c>
      <c r="U1260" s="1008" t="s">
        <v>649</v>
      </c>
      <c r="V1260" s="1008" t="s">
        <v>648</v>
      </c>
      <c r="W1260" s="1008" t="s">
        <v>546</v>
      </c>
      <c r="X1260" s="1008" t="s">
        <v>670</v>
      </c>
      <c r="Y1260" s="1008"/>
      <c r="Z1260" s="1008"/>
      <c r="AA1260" s="1008"/>
      <c r="AB1260" s="1008"/>
      <c r="AC1260" s="1008"/>
      <c r="AD1260" s="1008" t="s">
        <v>670</v>
      </c>
      <c r="AE1260" s="1008"/>
      <c r="AF1260" s="1008"/>
      <c r="AG1260" s="1008"/>
      <c r="AH1260" s="1008"/>
      <c r="AI1260" s="1008"/>
    </row>
    <row r="1261" spans="1:35">
      <c r="A1261" s="1008">
        <v>24097</v>
      </c>
      <c r="B1261" s="1008">
        <v>4895</v>
      </c>
      <c r="C1261" s="1008">
        <v>7</v>
      </c>
      <c r="D1261" s="1009">
        <v>16239999</v>
      </c>
      <c r="E1261" s="1009">
        <v>16230800</v>
      </c>
      <c r="F1261" s="1007" t="s">
        <v>3396</v>
      </c>
      <c r="G1261" s="1007">
        <v>7</v>
      </c>
      <c r="H1261" s="1010">
        <v>99999999</v>
      </c>
      <c r="I1261" s="1009">
        <v>16230800</v>
      </c>
      <c r="J1261" s="1007" t="s">
        <v>3396</v>
      </c>
      <c r="O1261" s="1007" t="s">
        <v>648</v>
      </c>
      <c r="P1261" s="1007" t="s">
        <v>648</v>
      </c>
      <c r="S1261" s="1008" t="s">
        <v>650</v>
      </c>
      <c r="T1261" s="1008" t="s">
        <v>654</v>
      </c>
      <c r="U1261" s="1008" t="s">
        <v>649</v>
      </c>
      <c r="V1261" s="1008" t="s">
        <v>648</v>
      </c>
      <c r="W1261" s="1008" t="s">
        <v>546</v>
      </c>
      <c r="X1261" s="1008" t="s">
        <v>670</v>
      </c>
      <c r="Y1261" s="1008"/>
      <c r="Z1261" s="1008"/>
      <c r="AA1261" s="1008"/>
      <c r="AB1261" s="1008"/>
      <c r="AC1261" s="1008"/>
      <c r="AD1261" s="1008" t="s">
        <v>670</v>
      </c>
      <c r="AE1261" s="1008"/>
      <c r="AF1261" s="1008"/>
      <c r="AG1261" s="1008"/>
      <c r="AH1261" s="1008"/>
      <c r="AI1261" s="1008"/>
    </row>
    <row r="1262" spans="1:35">
      <c r="A1262" s="1008">
        <v>24098</v>
      </c>
      <c r="C1262" s="1008">
        <v>6</v>
      </c>
      <c r="D1262" s="1009">
        <v>16299999</v>
      </c>
      <c r="E1262" s="1009">
        <v>16239999</v>
      </c>
      <c r="F1262" s="1007" t="s">
        <v>3395</v>
      </c>
      <c r="O1262" s="1007" t="s">
        <v>648</v>
      </c>
      <c r="P1262" s="1007" t="s">
        <v>648</v>
      </c>
      <c r="S1262" s="1008" t="s">
        <v>650</v>
      </c>
      <c r="T1262" s="1008" t="s">
        <v>21</v>
      </c>
      <c r="U1262" s="1008" t="s">
        <v>649</v>
      </c>
      <c r="V1262" s="1008" t="s">
        <v>648</v>
      </c>
      <c r="W1262" s="1008" t="s">
        <v>546</v>
      </c>
      <c r="X1262" s="1008"/>
      <c r="Y1262" s="1008"/>
      <c r="Z1262" s="1008"/>
      <c r="AA1262" s="1008"/>
      <c r="AB1262" s="1008"/>
      <c r="AC1262" s="1008"/>
      <c r="AD1262" s="1008"/>
      <c r="AE1262" s="1008"/>
      <c r="AF1262" s="1008"/>
      <c r="AG1262" s="1008"/>
      <c r="AH1262" s="1008"/>
      <c r="AI1262" s="1008"/>
    </row>
    <row r="1263" spans="1:35">
      <c r="A1263" s="1008">
        <v>24099</v>
      </c>
      <c r="C1263" s="1008">
        <v>6</v>
      </c>
      <c r="D1263" s="1009">
        <v>16249999</v>
      </c>
      <c r="E1263" s="1009">
        <v>16240000</v>
      </c>
      <c r="F1263" s="1007" t="s">
        <v>3394</v>
      </c>
      <c r="O1263" s="1007" t="s">
        <v>648</v>
      </c>
      <c r="P1263" s="1007" t="s">
        <v>648</v>
      </c>
      <c r="S1263" s="1008" t="s">
        <v>650</v>
      </c>
      <c r="T1263" s="1008" t="s">
        <v>675</v>
      </c>
      <c r="U1263" s="1008" t="s">
        <v>649</v>
      </c>
      <c r="V1263" s="1008" t="s">
        <v>648</v>
      </c>
      <c r="W1263" s="1008" t="s">
        <v>546</v>
      </c>
      <c r="X1263" s="1008"/>
      <c r="Y1263" s="1008"/>
      <c r="Z1263" s="1008"/>
      <c r="AA1263" s="1008"/>
      <c r="AB1263" s="1008"/>
      <c r="AC1263" s="1008"/>
      <c r="AD1263" s="1008"/>
      <c r="AE1263" s="1008"/>
      <c r="AF1263" s="1008"/>
      <c r="AG1263" s="1008"/>
      <c r="AH1263" s="1008"/>
      <c r="AI1263" s="1008"/>
    </row>
    <row r="1264" spans="1:35">
      <c r="A1264" s="1008">
        <v>24100</v>
      </c>
      <c r="B1264" s="1008">
        <v>1638</v>
      </c>
      <c r="C1264" s="1008">
        <v>7</v>
      </c>
      <c r="D1264" s="1009">
        <v>16249999</v>
      </c>
      <c r="E1264" s="1009">
        <v>16240600</v>
      </c>
      <c r="F1264" s="1007" t="s">
        <v>3393</v>
      </c>
      <c r="G1264" s="1007">
        <v>7</v>
      </c>
      <c r="H1264" s="1010">
        <v>99999999</v>
      </c>
      <c r="I1264" s="1009">
        <v>16240600</v>
      </c>
      <c r="J1264" s="1007" t="s">
        <v>3393</v>
      </c>
      <c r="O1264" s="1007" t="s">
        <v>648</v>
      </c>
      <c r="P1264" s="1007" t="s">
        <v>648</v>
      </c>
      <c r="S1264" s="1008" t="s">
        <v>650</v>
      </c>
      <c r="T1264" s="1008" t="s">
        <v>654</v>
      </c>
      <c r="U1264" s="1008" t="s">
        <v>649</v>
      </c>
      <c r="V1264" s="1008" t="s">
        <v>648</v>
      </c>
      <c r="W1264" s="1008" t="s">
        <v>546</v>
      </c>
      <c r="X1264" s="1008" t="s">
        <v>670</v>
      </c>
      <c r="Y1264" s="1008"/>
      <c r="Z1264" s="1008"/>
      <c r="AA1264" s="1008"/>
      <c r="AB1264" s="1008"/>
      <c r="AC1264" s="1008"/>
      <c r="AD1264" s="1008" t="s">
        <v>670</v>
      </c>
      <c r="AE1264" s="1008"/>
      <c r="AF1264" s="1008"/>
      <c r="AG1264" s="1008"/>
      <c r="AH1264" s="1008"/>
      <c r="AI1264" s="1008"/>
    </row>
    <row r="1265" spans="1:35">
      <c r="A1265" s="1008">
        <v>24101</v>
      </c>
      <c r="B1265" s="1008">
        <v>1639</v>
      </c>
      <c r="C1265" s="1008">
        <v>7</v>
      </c>
      <c r="D1265" s="1009">
        <v>16249999</v>
      </c>
      <c r="E1265" s="1009">
        <v>16240700</v>
      </c>
      <c r="F1265" s="1007" t="s">
        <v>3392</v>
      </c>
      <c r="G1265" s="1007">
        <v>7</v>
      </c>
      <c r="H1265" s="1010">
        <v>99999999</v>
      </c>
      <c r="I1265" s="1009">
        <v>16240700</v>
      </c>
      <c r="J1265" s="1007" t="s">
        <v>3392</v>
      </c>
      <c r="O1265" s="1007" t="s">
        <v>648</v>
      </c>
      <c r="P1265" s="1007" t="s">
        <v>648</v>
      </c>
      <c r="S1265" s="1008" t="s">
        <v>650</v>
      </c>
      <c r="T1265" s="1008" t="s">
        <v>654</v>
      </c>
      <c r="U1265" s="1008" t="s">
        <v>649</v>
      </c>
      <c r="V1265" s="1008" t="s">
        <v>648</v>
      </c>
      <c r="W1265" s="1008" t="s">
        <v>546</v>
      </c>
      <c r="X1265" s="1008" t="s">
        <v>670</v>
      </c>
      <c r="Y1265" s="1008" t="s">
        <v>670</v>
      </c>
      <c r="Z1265" s="1008"/>
      <c r="AA1265" s="1008"/>
      <c r="AB1265" s="1008"/>
      <c r="AC1265" s="1008"/>
      <c r="AD1265" s="1008" t="s">
        <v>670</v>
      </c>
      <c r="AE1265" s="1008"/>
      <c r="AF1265" s="1008" t="s">
        <v>670</v>
      </c>
      <c r="AG1265" s="1008"/>
      <c r="AH1265" s="1008"/>
      <c r="AI1265" s="1008"/>
    </row>
    <row r="1266" spans="1:35">
      <c r="A1266" s="1008">
        <v>24102</v>
      </c>
      <c r="B1266" s="1008">
        <v>4897</v>
      </c>
      <c r="C1266" s="1008">
        <v>7</v>
      </c>
      <c r="D1266" s="1009">
        <v>16249999</v>
      </c>
      <c r="E1266" s="1009">
        <v>16240800</v>
      </c>
      <c r="F1266" s="1007" t="s">
        <v>3391</v>
      </c>
      <c r="G1266" s="1007">
        <v>7</v>
      </c>
      <c r="H1266" s="1010">
        <v>99999999</v>
      </c>
      <c r="I1266" s="1009">
        <v>16240800</v>
      </c>
      <c r="J1266" s="1007" t="s">
        <v>3391</v>
      </c>
      <c r="O1266" s="1007" t="s">
        <v>648</v>
      </c>
      <c r="P1266" s="1007" t="s">
        <v>648</v>
      </c>
      <c r="S1266" s="1008" t="s">
        <v>650</v>
      </c>
      <c r="T1266" s="1008" t="s">
        <v>654</v>
      </c>
      <c r="U1266" s="1008" t="s">
        <v>649</v>
      </c>
      <c r="V1266" s="1008" t="s">
        <v>648</v>
      </c>
      <c r="W1266" s="1008" t="s">
        <v>546</v>
      </c>
      <c r="X1266" s="1008" t="s">
        <v>670</v>
      </c>
      <c r="Y1266" s="1008"/>
      <c r="Z1266" s="1008"/>
      <c r="AA1266" s="1008"/>
      <c r="AB1266" s="1008"/>
      <c r="AC1266" s="1008"/>
      <c r="AD1266" s="1008" t="s">
        <v>670</v>
      </c>
      <c r="AE1266" s="1008"/>
      <c r="AF1266" s="1008"/>
      <c r="AG1266" s="1008"/>
      <c r="AH1266" s="1008"/>
      <c r="AI1266" s="1008"/>
    </row>
    <row r="1267" spans="1:35">
      <c r="A1267" s="1008">
        <v>24103</v>
      </c>
      <c r="C1267" s="1008">
        <v>6</v>
      </c>
      <c r="D1267" s="1009">
        <v>16299999</v>
      </c>
      <c r="E1267" s="1009">
        <v>16249999</v>
      </c>
      <c r="F1267" s="1007" t="s">
        <v>3390</v>
      </c>
      <c r="O1267" s="1007" t="s">
        <v>648</v>
      </c>
      <c r="P1267" s="1007" t="s">
        <v>648</v>
      </c>
      <c r="S1267" s="1008" t="s">
        <v>650</v>
      </c>
      <c r="T1267" s="1008" t="s">
        <v>21</v>
      </c>
      <c r="U1267" s="1008" t="s">
        <v>649</v>
      </c>
      <c r="V1267" s="1008" t="s">
        <v>648</v>
      </c>
      <c r="W1267" s="1008" t="s">
        <v>546</v>
      </c>
      <c r="X1267" s="1008"/>
      <c r="Y1267" s="1008"/>
      <c r="Z1267" s="1008"/>
      <c r="AA1267" s="1008"/>
      <c r="AB1267" s="1008"/>
      <c r="AC1267" s="1008"/>
      <c r="AD1267" s="1008"/>
      <c r="AE1267" s="1008"/>
      <c r="AF1267" s="1008"/>
      <c r="AG1267" s="1008"/>
      <c r="AH1267" s="1008"/>
      <c r="AI1267" s="1008"/>
    </row>
    <row r="1268" spans="1:35">
      <c r="A1268" s="1008">
        <v>24104</v>
      </c>
      <c r="C1268" s="1008">
        <v>5</v>
      </c>
      <c r="D1268" s="1009">
        <v>16399999</v>
      </c>
      <c r="E1268" s="1009">
        <v>16299999</v>
      </c>
      <c r="F1268" s="1007" t="s">
        <v>3389</v>
      </c>
      <c r="O1268" s="1007" t="s">
        <v>648</v>
      </c>
      <c r="P1268" s="1007" t="s">
        <v>648</v>
      </c>
      <c r="S1268" s="1008" t="s">
        <v>650</v>
      </c>
      <c r="T1268" s="1008" t="s">
        <v>21</v>
      </c>
      <c r="U1268" s="1008" t="s">
        <v>649</v>
      </c>
      <c r="V1268" s="1008" t="s">
        <v>648</v>
      </c>
      <c r="W1268" s="1008" t="s">
        <v>546</v>
      </c>
      <c r="X1268" s="1008"/>
      <c r="Y1268" s="1008"/>
      <c r="Z1268" s="1008"/>
      <c r="AA1268" s="1008"/>
      <c r="AB1268" s="1008"/>
      <c r="AC1268" s="1008"/>
      <c r="AD1268" s="1008"/>
      <c r="AE1268" s="1008"/>
      <c r="AF1268" s="1008"/>
      <c r="AG1268" s="1008"/>
      <c r="AH1268" s="1008"/>
      <c r="AI1268" s="1008"/>
    </row>
    <row r="1269" spans="1:35">
      <c r="A1269" s="1008">
        <v>24105</v>
      </c>
      <c r="C1269" s="1008">
        <v>5</v>
      </c>
      <c r="D1269" s="1009">
        <v>16399900</v>
      </c>
      <c r="E1269" s="1009">
        <v>16300000</v>
      </c>
      <c r="F1269" s="1007" t="s">
        <v>3388</v>
      </c>
      <c r="O1269" s="1007" t="s">
        <v>648</v>
      </c>
      <c r="P1269" s="1007" t="s">
        <v>648</v>
      </c>
      <c r="S1269" s="1008" t="s">
        <v>650</v>
      </c>
      <c r="T1269" s="1008" t="s">
        <v>675</v>
      </c>
      <c r="U1269" s="1008" t="s">
        <v>649</v>
      </c>
      <c r="V1269" s="1008" t="s">
        <v>648</v>
      </c>
      <c r="W1269" s="1008" t="s">
        <v>546</v>
      </c>
      <c r="X1269" s="1008"/>
      <c r="Y1269" s="1008"/>
      <c r="Z1269" s="1008"/>
      <c r="AA1269" s="1008"/>
      <c r="AB1269" s="1008"/>
      <c r="AC1269" s="1008"/>
      <c r="AD1269" s="1008"/>
      <c r="AE1269" s="1008"/>
      <c r="AF1269" s="1008"/>
      <c r="AG1269" s="1008"/>
      <c r="AH1269" s="1008"/>
      <c r="AI1269" s="1008"/>
    </row>
    <row r="1270" spans="1:35">
      <c r="A1270" s="1008">
        <v>24106</v>
      </c>
      <c r="C1270" s="1008">
        <v>6</v>
      </c>
      <c r="D1270" s="1009">
        <v>16319999</v>
      </c>
      <c r="E1270" s="1009">
        <v>16310000</v>
      </c>
      <c r="F1270" s="1007" t="s">
        <v>3387</v>
      </c>
      <c r="O1270" s="1007" t="s">
        <v>648</v>
      </c>
      <c r="P1270" s="1007" t="s">
        <v>648</v>
      </c>
      <c r="S1270" s="1008" t="s">
        <v>650</v>
      </c>
      <c r="T1270" s="1008" t="s">
        <v>675</v>
      </c>
      <c r="U1270" s="1008" t="s">
        <v>649</v>
      </c>
      <c r="V1270" s="1008" t="s">
        <v>648</v>
      </c>
      <c r="W1270" s="1008" t="s">
        <v>546</v>
      </c>
      <c r="X1270" s="1008"/>
      <c r="Y1270" s="1008"/>
      <c r="Z1270" s="1008"/>
      <c r="AA1270" s="1008"/>
      <c r="AB1270" s="1008"/>
      <c r="AC1270" s="1008"/>
      <c r="AD1270" s="1008"/>
      <c r="AE1270" s="1008"/>
      <c r="AF1270" s="1008"/>
      <c r="AG1270" s="1008"/>
      <c r="AH1270" s="1008"/>
      <c r="AI1270" s="1008"/>
    </row>
    <row r="1271" spans="1:35">
      <c r="A1271" s="1008">
        <v>24107</v>
      </c>
      <c r="B1271" s="1008">
        <v>1641</v>
      </c>
      <c r="C1271" s="1008">
        <v>7</v>
      </c>
      <c r="D1271" s="1009">
        <v>16319999</v>
      </c>
      <c r="E1271" s="1009">
        <v>16310600</v>
      </c>
      <c r="F1271" s="1007" t="s">
        <v>3386</v>
      </c>
      <c r="G1271" s="1007">
        <v>7</v>
      </c>
      <c r="H1271" s="1010">
        <v>99999999</v>
      </c>
      <c r="I1271" s="1009">
        <v>16310600</v>
      </c>
      <c r="J1271" s="1007" t="s">
        <v>3386</v>
      </c>
      <c r="O1271" s="1007" t="s">
        <v>648</v>
      </c>
      <c r="P1271" s="1007" t="s">
        <v>648</v>
      </c>
      <c r="S1271" s="1008" t="s">
        <v>650</v>
      </c>
      <c r="T1271" s="1008" t="s">
        <v>654</v>
      </c>
      <c r="U1271" s="1008" t="s">
        <v>649</v>
      </c>
      <c r="V1271" s="1008" t="s">
        <v>648</v>
      </c>
      <c r="W1271" s="1008" t="s">
        <v>546</v>
      </c>
      <c r="X1271" s="1008" t="s">
        <v>670</v>
      </c>
      <c r="Y1271" s="1008"/>
      <c r="Z1271" s="1008"/>
      <c r="AA1271" s="1008" t="s">
        <v>670</v>
      </c>
      <c r="AB1271" s="1008"/>
      <c r="AC1271" s="1008"/>
      <c r="AD1271" s="1008" t="s">
        <v>670</v>
      </c>
      <c r="AE1271" s="1008"/>
      <c r="AF1271" s="1008"/>
      <c r="AG1271" s="1008"/>
      <c r="AH1271" s="1008"/>
      <c r="AI1271" s="1008"/>
    </row>
    <row r="1272" spans="1:35">
      <c r="A1272" s="1008">
        <v>24108</v>
      </c>
      <c r="B1272" s="1008">
        <v>1642</v>
      </c>
      <c r="C1272" s="1008">
        <v>7</v>
      </c>
      <c r="D1272" s="1009">
        <v>16319999</v>
      </c>
      <c r="E1272" s="1009">
        <v>16310700</v>
      </c>
      <c r="F1272" s="1007" t="s">
        <v>3385</v>
      </c>
      <c r="G1272" s="1007">
        <v>7</v>
      </c>
      <c r="H1272" s="1010">
        <v>99999999</v>
      </c>
      <c r="I1272" s="1009">
        <v>16310700</v>
      </c>
      <c r="J1272" s="1007" t="s">
        <v>3385</v>
      </c>
      <c r="O1272" s="1007" t="s">
        <v>648</v>
      </c>
      <c r="P1272" s="1007" t="s">
        <v>648</v>
      </c>
      <c r="S1272" s="1008" t="s">
        <v>650</v>
      </c>
      <c r="T1272" s="1008" t="s">
        <v>654</v>
      </c>
      <c r="U1272" s="1008" t="s">
        <v>649</v>
      </c>
      <c r="V1272" s="1008" t="s">
        <v>648</v>
      </c>
      <c r="W1272" s="1008" t="s">
        <v>546</v>
      </c>
      <c r="X1272" s="1008" t="s">
        <v>670</v>
      </c>
      <c r="Y1272" s="1008"/>
      <c r="Z1272" s="1008"/>
      <c r="AA1272" s="1008" t="s">
        <v>670</v>
      </c>
      <c r="AB1272" s="1008"/>
      <c r="AC1272" s="1008"/>
      <c r="AD1272" s="1008" t="s">
        <v>670</v>
      </c>
      <c r="AE1272" s="1008"/>
      <c r="AF1272" s="1008"/>
      <c r="AG1272" s="1008"/>
      <c r="AH1272" s="1008"/>
      <c r="AI1272" s="1008"/>
    </row>
    <row r="1273" spans="1:35">
      <c r="A1273" s="1008">
        <v>24109</v>
      </c>
      <c r="B1273" s="1008">
        <v>4901</v>
      </c>
      <c r="C1273" s="1008">
        <v>7</v>
      </c>
      <c r="D1273" s="1009">
        <v>16319999</v>
      </c>
      <c r="E1273" s="1009">
        <v>16310800</v>
      </c>
      <c r="F1273" s="1007" t="s">
        <v>3384</v>
      </c>
      <c r="G1273" s="1007">
        <v>7</v>
      </c>
      <c r="H1273" s="1010">
        <v>99999999</v>
      </c>
      <c r="I1273" s="1009">
        <v>16310800</v>
      </c>
      <c r="J1273" s="1007" t="s">
        <v>3384</v>
      </c>
      <c r="O1273" s="1007" t="s">
        <v>648</v>
      </c>
      <c r="P1273" s="1007" t="s">
        <v>648</v>
      </c>
      <c r="S1273" s="1008" t="s">
        <v>650</v>
      </c>
      <c r="T1273" s="1008" t="s">
        <v>654</v>
      </c>
      <c r="U1273" s="1008" t="s">
        <v>649</v>
      </c>
      <c r="V1273" s="1008" t="s">
        <v>648</v>
      </c>
      <c r="W1273" s="1008" t="s">
        <v>546</v>
      </c>
      <c r="X1273" s="1008" t="s">
        <v>670</v>
      </c>
      <c r="Y1273" s="1008"/>
      <c r="Z1273" s="1008"/>
      <c r="AA1273" s="1008" t="s">
        <v>670</v>
      </c>
      <c r="AB1273" s="1008"/>
      <c r="AC1273" s="1008"/>
      <c r="AD1273" s="1008" t="s">
        <v>670</v>
      </c>
      <c r="AE1273" s="1008"/>
      <c r="AF1273" s="1008"/>
      <c r="AG1273" s="1008"/>
      <c r="AH1273" s="1008"/>
      <c r="AI1273" s="1008"/>
    </row>
    <row r="1274" spans="1:35">
      <c r="A1274" s="1008">
        <v>24110</v>
      </c>
      <c r="C1274" s="1008">
        <v>6</v>
      </c>
      <c r="D1274" s="1009">
        <v>16399900</v>
      </c>
      <c r="E1274" s="1009">
        <v>16319999</v>
      </c>
      <c r="F1274" s="1007" t="s">
        <v>3383</v>
      </c>
      <c r="O1274" s="1007" t="s">
        <v>648</v>
      </c>
      <c r="P1274" s="1007" t="s">
        <v>648</v>
      </c>
      <c r="S1274" s="1008" t="s">
        <v>650</v>
      </c>
      <c r="T1274" s="1008" t="s">
        <v>21</v>
      </c>
      <c r="U1274" s="1008" t="s">
        <v>649</v>
      </c>
      <c r="V1274" s="1008" t="s">
        <v>648</v>
      </c>
      <c r="W1274" s="1008" t="s">
        <v>546</v>
      </c>
      <c r="X1274" s="1008"/>
      <c r="Y1274" s="1008"/>
      <c r="Z1274" s="1008"/>
      <c r="AA1274" s="1008"/>
      <c r="AB1274" s="1008"/>
      <c r="AC1274" s="1008"/>
      <c r="AD1274" s="1008"/>
      <c r="AE1274" s="1008"/>
      <c r="AF1274" s="1008"/>
      <c r="AG1274" s="1008"/>
      <c r="AH1274" s="1008"/>
      <c r="AI1274" s="1008"/>
    </row>
    <row r="1275" spans="1:35">
      <c r="A1275" s="1008">
        <v>24111</v>
      </c>
      <c r="C1275" s="1008">
        <v>5</v>
      </c>
      <c r="D1275" s="1009">
        <v>16399999</v>
      </c>
      <c r="E1275" s="1009">
        <v>16399900</v>
      </c>
      <c r="F1275" s="1007" t="s">
        <v>3382</v>
      </c>
      <c r="O1275" s="1007" t="s">
        <v>648</v>
      </c>
      <c r="P1275" s="1007" t="s">
        <v>648</v>
      </c>
      <c r="S1275" s="1008" t="s">
        <v>650</v>
      </c>
      <c r="T1275" s="1008" t="s">
        <v>21</v>
      </c>
      <c r="U1275" s="1008" t="s">
        <v>649</v>
      </c>
      <c r="V1275" s="1008" t="s">
        <v>648</v>
      </c>
      <c r="W1275" s="1008" t="s">
        <v>546</v>
      </c>
      <c r="X1275" s="1008"/>
      <c r="Y1275" s="1008"/>
      <c r="Z1275" s="1008"/>
      <c r="AA1275" s="1008"/>
      <c r="AB1275" s="1008"/>
      <c r="AC1275" s="1008"/>
      <c r="AD1275" s="1008"/>
      <c r="AE1275" s="1008"/>
      <c r="AF1275" s="1008"/>
      <c r="AG1275" s="1008"/>
      <c r="AH1275" s="1008"/>
      <c r="AI1275" s="1008"/>
    </row>
    <row r="1276" spans="1:35">
      <c r="A1276" s="1008">
        <v>24112</v>
      </c>
      <c r="C1276" s="1008">
        <v>4</v>
      </c>
      <c r="D1276" s="1009">
        <v>19999998</v>
      </c>
      <c r="E1276" s="1009">
        <v>16399999</v>
      </c>
      <c r="F1276" s="1007" t="s">
        <v>3381</v>
      </c>
      <c r="O1276" s="1007" t="s">
        <v>648</v>
      </c>
      <c r="P1276" s="1007" t="s">
        <v>648</v>
      </c>
      <c r="S1276" s="1008" t="s">
        <v>650</v>
      </c>
      <c r="T1276" s="1008" t="s">
        <v>21</v>
      </c>
      <c r="U1276" s="1008" t="s">
        <v>649</v>
      </c>
      <c r="V1276" s="1008" t="s">
        <v>648</v>
      </c>
      <c r="W1276" s="1008" t="s">
        <v>546</v>
      </c>
      <c r="X1276" s="1008"/>
      <c r="Y1276" s="1008"/>
      <c r="Z1276" s="1008"/>
      <c r="AA1276" s="1008"/>
      <c r="AB1276" s="1008"/>
      <c r="AC1276" s="1008"/>
      <c r="AD1276" s="1008"/>
      <c r="AE1276" s="1008"/>
      <c r="AF1276" s="1008"/>
      <c r="AG1276" s="1008"/>
      <c r="AH1276" s="1008"/>
      <c r="AI1276" s="1008"/>
    </row>
    <row r="1277" spans="1:35">
      <c r="A1277" s="1008">
        <v>24113</v>
      </c>
      <c r="C1277" s="1008">
        <v>4</v>
      </c>
      <c r="D1277" s="1009">
        <v>16699999</v>
      </c>
      <c r="E1277" s="1009">
        <v>16500000</v>
      </c>
      <c r="F1277" s="1007" t="s">
        <v>3380</v>
      </c>
      <c r="O1277" s="1007" t="s">
        <v>648</v>
      </c>
      <c r="P1277" s="1007" t="s">
        <v>648</v>
      </c>
      <c r="S1277" s="1008" t="s">
        <v>650</v>
      </c>
      <c r="T1277" s="1008" t="s">
        <v>675</v>
      </c>
      <c r="U1277" s="1008" t="s">
        <v>649</v>
      </c>
      <c r="V1277" s="1008" t="s">
        <v>648</v>
      </c>
      <c r="W1277" s="1008" t="s">
        <v>546</v>
      </c>
      <c r="X1277" s="1008"/>
      <c r="Y1277" s="1008"/>
      <c r="Z1277" s="1008"/>
      <c r="AA1277" s="1008"/>
      <c r="AB1277" s="1008"/>
      <c r="AC1277" s="1008"/>
      <c r="AD1277" s="1008"/>
      <c r="AE1277" s="1008"/>
      <c r="AF1277" s="1008"/>
      <c r="AG1277" s="1008"/>
      <c r="AH1277" s="1008"/>
      <c r="AI1277" s="1008"/>
    </row>
    <row r="1278" spans="1:35">
      <c r="A1278" s="1008">
        <v>24114</v>
      </c>
      <c r="C1278" s="1008">
        <v>5</v>
      </c>
      <c r="D1278" s="1009">
        <v>16599999</v>
      </c>
      <c r="E1278" s="1009">
        <v>16501000</v>
      </c>
      <c r="F1278" s="1007" t="s">
        <v>3379</v>
      </c>
      <c r="O1278" s="1007" t="s">
        <v>648</v>
      </c>
      <c r="P1278" s="1007" t="s">
        <v>648</v>
      </c>
      <c r="S1278" s="1008" t="s">
        <v>650</v>
      </c>
      <c r="T1278" s="1008" t="s">
        <v>675</v>
      </c>
      <c r="U1278" s="1008" t="s">
        <v>649</v>
      </c>
      <c r="V1278" s="1008" t="s">
        <v>648</v>
      </c>
      <c r="W1278" s="1008" t="s">
        <v>546</v>
      </c>
      <c r="X1278" s="1008"/>
      <c r="Y1278" s="1008"/>
      <c r="Z1278" s="1008"/>
      <c r="AA1278" s="1008"/>
      <c r="AB1278" s="1008"/>
      <c r="AC1278" s="1008"/>
      <c r="AD1278" s="1008"/>
      <c r="AE1278" s="1008"/>
      <c r="AF1278" s="1008"/>
      <c r="AG1278" s="1008"/>
      <c r="AH1278" s="1008"/>
      <c r="AI1278" s="1008"/>
    </row>
    <row r="1279" spans="1:35">
      <c r="A1279" s="1008">
        <v>24115</v>
      </c>
      <c r="C1279" s="1008">
        <v>6</v>
      </c>
      <c r="D1279" s="1009">
        <v>16519999</v>
      </c>
      <c r="E1279" s="1009">
        <v>16510000</v>
      </c>
      <c r="F1279" s="1007" t="s">
        <v>3378</v>
      </c>
      <c r="O1279" s="1007" t="s">
        <v>648</v>
      </c>
      <c r="P1279" s="1007" t="s">
        <v>648</v>
      </c>
      <c r="S1279" s="1008" t="s">
        <v>650</v>
      </c>
      <c r="T1279" s="1008" t="s">
        <v>675</v>
      </c>
      <c r="U1279" s="1008" t="s">
        <v>649</v>
      </c>
      <c r="V1279" s="1008" t="s">
        <v>648</v>
      </c>
      <c r="W1279" s="1008" t="s">
        <v>546</v>
      </c>
      <c r="X1279" s="1008"/>
      <c r="Y1279" s="1008"/>
      <c r="Z1279" s="1008"/>
      <c r="AA1279" s="1008"/>
      <c r="AB1279" s="1008"/>
      <c r="AC1279" s="1008"/>
      <c r="AD1279" s="1008"/>
      <c r="AE1279" s="1008"/>
      <c r="AF1279" s="1008"/>
      <c r="AG1279" s="1008"/>
      <c r="AH1279" s="1008"/>
      <c r="AI1279" s="1008"/>
    </row>
    <row r="1280" spans="1:35">
      <c r="A1280" s="1008">
        <v>26432</v>
      </c>
      <c r="B1280" s="1008">
        <v>1644</v>
      </c>
      <c r="C1280" s="1008">
        <v>7</v>
      </c>
      <c r="D1280" s="1009">
        <v>16519999</v>
      </c>
      <c r="E1280" s="1009">
        <v>16510100</v>
      </c>
      <c r="F1280" s="1007" t="s">
        <v>3377</v>
      </c>
      <c r="G1280" s="1007">
        <v>7</v>
      </c>
      <c r="H1280" s="1010">
        <v>99999999</v>
      </c>
      <c r="I1280" s="1009">
        <v>16510100</v>
      </c>
      <c r="J1280" s="1007" t="s">
        <v>3377</v>
      </c>
      <c r="O1280" s="1007" t="s">
        <v>648</v>
      </c>
      <c r="P1280" s="1007" t="s">
        <v>648</v>
      </c>
      <c r="S1280" s="1008" t="s">
        <v>650</v>
      </c>
      <c r="T1280" s="1008" t="s">
        <v>654</v>
      </c>
      <c r="U1280" s="1008" t="s">
        <v>649</v>
      </c>
      <c r="V1280" s="1008" t="s">
        <v>648</v>
      </c>
      <c r="W1280" s="1008" t="s">
        <v>546</v>
      </c>
      <c r="X1280" s="1008" t="s">
        <v>670</v>
      </c>
      <c r="Y1280" s="1008" t="s">
        <v>670</v>
      </c>
      <c r="Z1280" s="1008" t="s">
        <v>670</v>
      </c>
      <c r="AA1280" s="1008" t="s">
        <v>670</v>
      </c>
      <c r="AB1280" s="1008" t="s">
        <v>670</v>
      </c>
      <c r="AC1280" s="1008" t="s">
        <v>670</v>
      </c>
      <c r="AD1280" s="1008" t="s">
        <v>670</v>
      </c>
      <c r="AE1280" s="1008"/>
      <c r="AF1280" s="1008" t="s">
        <v>670</v>
      </c>
      <c r="AG1280" s="1008"/>
      <c r="AH1280" s="1008"/>
      <c r="AI1280" s="1008"/>
    </row>
    <row r="1281" spans="1:35">
      <c r="A1281" s="1008">
        <v>26431</v>
      </c>
      <c r="B1281" s="1008">
        <v>1645</v>
      </c>
      <c r="C1281" s="1008">
        <v>7</v>
      </c>
      <c r="D1281" s="1009">
        <v>16519999</v>
      </c>
      <c r="E1281" s="1009">
        <v>16510200</v>
      </c>
      <c r="F1281" s="1007" t="s">
        <v>3376</v>
      </c>
      <c r="G1281" s="1007">
        <v>7</v>
      </c>
      <c r="H1281" s="1010">
        <v>99999999</v>
      </c>
      <c r="I1281" s="1009">
        <v>16510200</v>
      </c>
      <c r="J1281" s="1007" t="s">
        <v>3376</v>
      </c>
      <c r="O1281" s="1007" t="s">
        <v>648</v>
      </c>
      <c r="P1281" s="1007" t="s">
        <v>648</v>
      </c>
      <c r="S1281" s="1008" t="s">
        <v>650</v>
      </c>
      <c r="T1281" s="1008" t="s">
        <v>654</v>
      </c>
      <c r="U1281" s="1008" t="s">
        <v>649</v>
      </c>
      <c r="V1281" s="1008" t="s">
        <v>648</v>
      </c>
      <c r="W1281" s="1008" t="s">
        <v>546</v>
      </c>
      <c r="X1281" s="1008" t="s">
        <v>670</v>
      </c>
      <c r="Y1281" s="1008" t="s">
        <v>670</v>
      </c>
      <c r="Z1281" s="1008" t="s">
        <v>670</v>
      </c>
      <c r="AA1281" s="1008"/>
      <c r="AB1281" s="1008" t="s">
        <v>670</v>
      </c>
      <c r="AC1281" s="1008"/>
      <c r="AD1281" s="1008" t="s">
        <v>670</v>
      </c>
      <c r="AE1281" s="1008"/>
      <c r="AF1281" s="1008" t="s">
        <v>670</v>
      </c>
      <c r="AG1281" s="1008"/>
      <c r="AH1281" s="1008"/>
      <c r="AI1281" s="1008"/>
    </row>
    <row r="1282" spans="1:35">
      <c r="A1282" s="1008">
        <v>24116</v>
      </c>
      <c r="B1282" s="1008">
        <v>784</v>
      </c>
      <c r="C1282" s="1008">
        <v>7</v>
      </c>
      <c r="D1282" s="1009">
        <v>16519999</v>
      </c>
      <c r="E1282" s="1009">
        <v>16510400</v>
      </c>
      <c r="F1282" s="1007" t="s">
        <v>3375</v>
      </c>
      <c r="G1282" s="1007">
        <v>8</v>
      </c>
      <c r="H1282" s="1010">
        <v>99999999</v>
      </c>
      <c r="I1282" s="1009">
        <v>16510400</v>
      </c>
      <c r="J1282" s="1007" t="s">
        <v>3375</v>
      </c>
      <c r="O1282" s="1007" t="s">
        <v>648</v>
      </c>
      <c r="P1282" s="1007" t="s">
        <v>648</v>
      </c>
      <c r="S1282" s="1008" t="s">
        <v>650</v>
      </c>
      <c r="T1282" s="1008" t="s">
        <v>654</v>
      </c>
      <c r="U1282" s="1008" t="s">
        <v>649</v>
      </c>
      <c r="V1282" s="1008" t="s">
        <v>648</v>
      </c>
      <c r="W1282" s="1008" t="s">
        <v>546</v>
      </c>
      <c r="X1282" s="1008" t="s">
        <v>670</v>
      </c>
      <c r="Y1282" s="1008" t="s">
        <v>670</v>
      </c>
      <c r="Z1282" s="1008" t="s">
        <v>670</v>
      </c>
      <c r="AA1282" s="1008" t="s">
        <v>670</v>
      </c>
      <c r="AB1282" s="1008" t="s">
        <v>670</v>
      </c>
      <c r="AC1282" s="1008" t="s">
        <v>670</v>
      </c>
      <c r="AD1282" s="1008" t="s">
        <v>670</v>
      </c>
      <c r="AE1282" s="1008"/>
      <c r="AF1282" s="1008" t="s">
        <v>670</v>
      </c>
      <c r="AG1282" s="1008"/>
      <c r="AH1282" s="1008"/>
      <c r="AI1282" s="1008"/>
    </row>
    <row r="1283" spans="1:35">
      <c r="A1283" s="1008">
        <v>24117</v>
      </c>
      <c r="B1283" s="1008">
        <v>4907</v>
      </c>
      <c r="C1283" s="1008">
        <v>7</v>
      </c>
      <c r="D1283" s="1009">
        <v>16519999</v>
      </c>
      <c r="E1283" s="1009">
        <v>16510800</v>
      </c>
      <c r="F1283" s="1007" t="s">
        <v>3374</v>
      </c>
      <c r="G1283" s="1007">
        <v>7</v>
      </c>
      <c r="H1283" s="1010">
        <v>99999999</v>
      </c>
      <c r="I1283" s="1009">
        <v>16510800</v>
      </c>
      <c r="J1283" s="1007" t="s">
        <v>3374</v>
      </c>
      <c r="O1283" s="1007" t="s">
        <v>648</v>
      </c>
      <c r="P1283" s="1007" t="s">
        <v>648</v>
      </c>
      <c r="S1283" s="1008" t="s">
        <v>650</v>
      </c>
      <c r="T1283" s="1008" t="s">
        <v>654</v>
      </c>
      <c r="U1283" s="1008" t="s">
        <v>649</v>
      </c>
      <c r="V1283" s="1008" t="s">
        <v>648</v>
      </c>
      <c r="W1283" s="1008" t="s">
        <v>546</v>
      </c>
      <c r="X1283" s="1008" t="s">
        <v>670</v>
      </c>
      <c r="Y1283" s="1008" t="s">
        <v>670</v>
      </c>
      <c r="Z1283" s="1008" t="s">
        <v>670</v>
      </c>
      <c r="AA1283" s="1008" t="s">
        <v>670</v>
      </c>
      <c r="AB1283" s="1008" t="s">
        <v>670</v>
      </c>
      <c r="AC1283" s="1008" t="s">
        <v>670</v>
      </c>
      <c r="AD1283" s="1008" t="s">
        <v>670</v>
      </c>
      <c r="AE1283" s="1008"/>
      <c r="AF1283" s="1008" t="s">
        <v>670</v>
      </c>
      <c r="AG1283" s="1008"/>
      <c r="AH1283" s="1008"/>
      <c r="AI1283" s="1008"/>
    </row>
    <row r="1284" spans="1:35">
      <c r="A1284" s="1008">
        <v>24118</v>
      </c>
      <c r="C1284" s="1008">
        <v>6</v>
      </c>
      <c r="D1284" s="1009">
        <v>16599999</v>
      </c>
      <c r="E1284" s="1009">
        <v>16519999</v>
      </c>
      <c r="F1284" s="1007" t="s">
        <v>3373</v>
      </c>
      <c r="O1284" s="1007" t="s">
        <v>648</v>
      </c>
      <c r="P1284" s="1007" t="s">
        <v>648</v>
      </c>
      <c r="S1284" s="1008" t="s">
        <v>650</v>
      </c>
      <c r="T1284" s="1008" t="s">
        <v>21</v>
      </c>
      <c r="U1284" s="1008" t="s">
        <v>649</v>
      </c>
      <c r="V1284" s="1008" t="s">
        <v>648</v>
      </c>
      <c r="W1284" s="1008" t="s">
        <v>546</v>
      </c>
      <c r="X1284" s="1008"/>
      <c r="Y1284" s="1008"/>
      <c r="Z1284" s="1008"/>
      <c r="AA1284" s="1008"/>
      <c r="AB1284" s="1008"/>
      <c r="AC1284" s="1008"/>
      <c r="AD1284" s="1008"/>
      <c r="AE1284" s="1008"/>
      <c r="AF1284" s="1008"/>
      <c r="AG1284" s="1008"/>
      <c r="AH1284" s="1008"/>
      <c r="AI1284" s="1008"/>
    </row>
    <row r="1285" spans="1:35">
      <c r="A1285" s="1008">
        <v>24119</v>
      </c>
      <c r="C1285" s="1008">
        <v>6</v>
      </c>
      <c r="D1285" s="1009">
        <v>16529999</v>
      </c>
      <c r="E1285" s="1009">
        <v>16520000</v>
      </c>
      <c r="F1285" s="1007" t="s">
        <v>3372</v>
      </c>
      <c r="O1285" s="1007" t="s">
        <v>648</v>
      </c>
      <c r="P1285" s="1007" t="s">
        <v>648</v>
      </c>
      <c r="S1285" s="1008" t="s">
        <v>650</v>
      </c>
      <c r="T1285" s="1008" t="s">
        <v>675</v>
      </c>
      <c r="U1285" s="1008" t="s">
        <v>649</v>
      </c>
      <c r="V1285" s="1008" t="s">
        <v>648</v>
      </c>
      <c r="W1285" s="1008" t="s">
        <v>546</v>
      </c>
      <c r="X1285" s="1008"/>
      <c r="Y1285" s="1008"/>
      <c r="Z1285" s="1008"/>
      <c r="AA1285" s="1008"/>
      <c r="AB1285" s="1008"/>
      <c r="AC1285" s="1008"/>
      <c r="AD1285" s="1008"/>
      <c r="AE1285" s="1008"/>
      <c r="AF1285" s="1008"/>
      <c r="AG1285" s="1008"/>
      <c r="AH1285" s="1008"/>
      <c r="AI1285" s="1008"/>
    </row>
    <row r="1286" spans="1:35">
      <c r="A1286" s="1008">
        <v>26430</v>
      </c>
      <c r="B1286" s="1008">
        <v>1648</v>
      </c>
      <c r="C1286" s="1008">
        <v>7</v>
      </c>
      <c r="D1286" s="1009">
        <v>16529999</v>
      </c>
      <c r="E1286" s="1009">
        <v>16520100</v>
      </c>
      <c r="F1286" s="1007" t="s">
        <v>3371</v>
      </c>
      <c r="G1286" s="1007">
        <v>7</v>
      </c>
      <c r="H1286" s="1010">
        <v>99999999</v>
      </c>
      <c r="I1286" s="1009">
        <v>16520100</v>
      </c>
      <c r="J1286" s="1007" t="s">
        <v>3371</v>
      </c>
      <c r="O1286" s="1007" t="s">
        <v>648</v>
      </c>
      <c r="P1286" s="1007" t="s">
        <v>648</v>
      </c>
      <c r="S1286" s="1008" t="s">
        <v>650</v>
      </c>
      <c r="T1286" s="1008" t="s">
        <v>654</v>
      </c>
      <c r="U1286" s="1008" t="s">
        <v>649</v>
      </c>
      <c r="V1286" s="1008" t="s">
        <v>648</v>
      </c>
      <c r="W1286" s="1008" t="s">
        <v>546</v>
      </c>
      <c r="X1286" s="1008" t="s">
        <v>670</v>
      </c>
      <c r="Y1286" s="1008" t="s">
        <v>670</v>
      </c>
      <c r="Z1286" s="1008" t="s">
        <v>670</v>
      </c>
      <c r="AA1286" s="1008" t="s">
        <v>670</v>
      </c>
      <c r="AB1286" s="1008" t="s">
        <v>670</v>
      </c>
      <c r="AC1286" s="1008" t="s">
        <v>670</v>
      </c>
      <c r="AD1286" s="1008" t="s">
        <v>670</v>
      </c>
      <c r="AE1286" s="1008"/>
      <c r="AF1286" s="1008" t="s">
        <v>670</v>
      </c>
      <c r="AG1286" s="1008"/>
      <c r="AH1286" s="1008"/>
      <c r="AI1286" s="1008"/>
    </row>
    <row r="1287" spans="1:35">
      <c r="A1287" s="1008">
        <v>26429</v>
      </c>
      <c r="B1287" s="1008">
        <v>1649</v>
      </c>
      <c r="C1287" s="1008">
        <v>7</v>
      </c>
      <c r="D1287" s="1009">
        <v>16529999</v>
      </c>
      <c r="E1287" s="1009">
        <v>16520200</v>
      </c>
      <c r="F1287" s="1007" t="s">
        <v>3370</v>
      </c>
      <c r="G1287" s="1007">
        <v>7</v>
      </c>
      <c r="H1287" s="1010">
        <v>99999999</v>
      </c>
      <c r="I1287" s="1009">
        <v>16520200</v>
      </c>
      <c r="J1287" s="1007" t="s">
        <v>3370</v>
      </c>
      <c r="O1287" s="1007" t="s">
        <v>648</v>
      </c>
      <c r="P1287" s="1007" t="s">
        <v>648</v>
      </c>
      <c r="S1287" s="1008" t="s">
        <v>650</v>
      </c>
      <c r="T1287" s="1008" t="s">
        <v>654</v>
      </c>
      <c r="U1287" s="1008" t="s">
        <v>649</v>
      </c>
      <c r="V1287" s="1008" t="s">
        <v>648</v>
      </c>
      <c r="W1287" s="1008" t="s">
        <v>546</v>
      </c>
      <c r="X1287" s="1008" t="s">
        <v>670</v>
      </c>
      <c r="Y1287" s="1008" t="s">
        <v>670</v>
      </c>
      <c r="Z1287" s="1008" t="s">
        <v>670</v>
      </c>
      <c r="AA1287" s="1008"/>
      <c r="AB1287" s="1008" t="s">
        <v>670</v>
      </c>
      <c r="AC1287" s="1008"/>
      <c r="AD1287" s="1008"/>
      <c r="AE1287" s="1008"/>
      <c r="AF1287" s="1008" t="s">
        <v>670</v>
      </c>
      <c r="AG1287" s="1008"/>
      <c r="AH1287" s="1008"/>
      <c r="AI1287" s="1008"/>
    </row>
    <row r="1288" spans="1:35">
      <c r="A1288" s="1008">
        <v>24120</v>
      </c>
      <c r="B1288" s="1008">
        <v>1650</v>
      </c>
      <c r="C1288" s="1008">
        <v>7</v>
      </c>
      <c r="D1288" s="1009">
        <v>16529999</v>
      </c>
      <c r="E1288" s="1009">
        <v>16520400</v>
      </c>
      <c r="F1288" s="1007" t="s">
        <v>3369</v>
      </c>
      <c r="G1288" s="1007">
        <v>7</v>
      </c>
      <c r="H1288" s="1010">
        <v>99999999</v>
      </c>
      <c r="I1288" s="1009">
        <v>16520400</v>
      </c>
      <c r="J1288" s="1007" t="s">
        <v>3369</v>
      </c>
      <c r="O1288" s="1007" t="s">
        <v>648</v>
      </c>
      <c r="P1288" s="1007" t="s">
        <v>648</v>
      </c>
      <c r="S1288" s="1008" t="s">
        <v>650</v>
      </c>
      <c r="T1288" s="1008" t="s">
        <v>654</v>
      </c>
      <c r="U1288" s="1008" t="s">
        <v>649</v>
      </c>
      <c r="V1288" s="1008" t="s">
        <v>648</v>
      </c>
      <c r="W1288" s="1008" t="s">
        <v>546</v>
      </c>
      <c r="X1288" s="1008" t="s">
        <v>670</v>
      </c>
      <c r="Y1288" s="1008" t="s">
        <v>670</v>
      </c>
      <c r="Z1288" s="1008" t="s">
        <v>670</v>
      </c>
      <c r="AA1288" s="1008" t="s">
        <v>670</v>
      </c>
      <c r="AB1288" s="1008" t="s">
        <v>670</v>
      </c>
      <c r="AC1288" s="1008" t="s">
        <v>670</v>
      </c>
      <c r="AD1288" s="1008" t="s">
        <v>670</v>
      </c>
      <c r="AE1288" s="1008"/>
      <c r="AF1288" s="1008" t="s">
        <v>670</v>
      </c>
      <c r="AG1288" s="1008"/>
      <c r="AH1288" s="1008"/>
      <c r="AI1288" s="1008"/>
    </row>
    <row r="1289" spans="1:35">
      <c r="A1289" s="1008">
        <v>24122</v>
      </c>
      <c r="B1289" s="1008">
        <v>4909</v>
      </c>
      <c r="C1289" s="1008">
        <v>7</v>
      </c>
      <c r="D1289" s="1009">
        <v>16529999</v>
      </c>
      <c r="E1289" s="1009">
        <v>16520800</v>
      </c>
      <c r="F1289" s="1007" t="s">
        <v>3368</v>
      </c>
      <c r="G1289" s="1007">
        <v>7</v>
      </c>
      <c r="H1289" s="1010">
        <v>99999999</v>
      </c>
      <c r="I1289" s="1009">
        <v>16520800</v>
      </c>
      <c r="J1289" s="1007" t="s">
        <v>3368</v>
      </c>
      <c r="O1289" s="1007" t="s">
        <v>648</v>
      </c>
      <c r="P1289" s="1007" t="s">
        <v>648</v>
      </c>
      <c r="S1289" s="1008" t="s">
        <v>650</v>
      </c>
      <c r="T1289" s="1008" t="s">
        <v>654</v>
      </c>
      <c r="U1289" s="1008" t="s">
        <v>649</v>
      </c>
      <c r="V1289" s="1008" t="s">
        <v>648</v>
      </c>
      <c r="W1289" s="1008" t="s">
        <v>546</v>
      </c>
      <c r="X1289" s="1008" t="s">
        <v>670</v>
      </c>
      <c r="Y1289" s="1008" t="s">
        <v>670</v>
      </c>
      <c r="Z1289" s="1008" t="s">
        <v>670</v>
      </c>
      <c r="AA1289" s="1008" t="s">
        <v>670</v>
      </c>
      <c r="AB1289" s="1008" t="s">
        <v>670</v>
      </c>
      <c r="AC1289" s="1008" t="s">
        <v>670</v>
      </c>
      <c r="AD1289" s="1008" t="s">
        <v>670</v>
      </c>
      <c r="AE1289" s="1008"/>
      <c r="AF1289" s="1008" t="s">
        <v>670</v>
      </c>
      <c r="AG1289" s="1008"/>
      <c r="AH1289" s="1008"/>
      <c r="AI1289" s="1008"/>
    </row>
    <row r="1290" spans="1:35">
      <c r="A1290" s="1008">
        <v>24123</v>
      </c>
      <c r="C1290" s="1008">
        <v>6</v>
      </c>
      <c r="D1290" s="1009">
        <v>16599999</v>
      </c>
      <c r="E1290" s="1009">
        <v>16529999</v>
      </c>
      <c r="F1290" s="1007" t="s">
        <v>3367</v>
      </c>
      <c r="O1290" s="1007" t="s">
        <v>648</v>
      </c>
      <c r="P1290" s="1007" t="s">
        <v>648</v>
      </c>
      <c r="S1290" s="1008" t="s">
        <v>650</v>
      </c>
      <c r="T1290" s="1008" t="s">
        <v>21</v>
      </c>
      <c r="U1290" s="1008" t="s">
        <v>649</v>
      </c>
      <c r="V1290" s="1008" t="s">
        <v>648</v>
      </c>
      <c r="W1290" s="1008" t="s">
        <v>546</v>
      </c>
      <c r="X1290" s="1008"/>
      <c r="Y1290" s="1008"/>
      <c r="Z1290" s="1008"/>
      <c r="AA1290" s="1008"/>
      <c r="AB1290" s="1008"/>
      <c r="AC1290" s="1008"/>
      <c r="AD1290" s="1008"/>
      <c r="AE1290" s="1008"/>
      <c r="AF1290" s="1008"/>
      <c r="AG1290" s="1008"/>
      <c r="AH1290" s="1008"/>
      <c r="AI1290" s="1008"/>
    </row>
    <row r="1291" spans="1:35">
      <c r="A1291" s="1008">
        <v>24124</v>
      </c>
      <c r="C1291" s="1008">
        <v>6</v>
      </c>
      <c r="D1291" s="1009">
        <v>16539999</v>
      </c>
      <c r="E1291" s="1009">
        <v>16530000</v>
      </c>
      <c r="F1291" s="1007" t="s">
        <v>3366</v>
      </c>
      <c r="O1291" s="1007" t="s">
        <v>648</v>
      </c>
      <c r="P1291" s="1007" t="s">
        <v>648</v>
      </c>
      <c r="S1291" s="1008" t="s">
        <v>650</v>
      </c>
      <c r="T1291" s="1008" t="s">
        <v>675</v>
      </c>
      <c r="U1291" s="1008" t="s">
        <v>649</v>
      </c>
      <c r="V1291" s="1008" t="s">
        <v>648</v>
      </c>
      <c r="W1291" s="1008" t="s">
        <v>546</v>
      </c>
      <c r="X1291" s="1008"/>
      <c r="Y1291" s="1008"/>
      <c r="Z1291" s="1008"/>
      <c r="AA1291" s="1008"/>
      <c r="AB1291" s="1008"/>
      <c r="AC1291" s="1008"/>
      <c r="AD1291" s="1008"/>
      <c r="AE1291" s="1008"/>
      <c r="AF1291" s="1008"/>
      <c r="AG1291" s="1008"/>
      <c r="AH1291" s="1008"/>
      <c r="AI1291" s="1008"/>
    </row>
    <row r="1292" spans="1:35">
      <c r="A1292" s="1008">
        <v>26428</v>
      </c>
      <c r="B1292" s="1008">
        <v>1652</v>
      </c>
      <c r="C1292" s="1008">
        <v>7</v>
      </c>
      <c r="D1292" s="1009">
        <v>16539999</v>
      </c>
      <c r="E1292" s="1009">
        <v>16530100</v>
      </c>
      <c r="F1292" s="1007" t="s">
        <v>3365</v>
      </c>
      <c r="G1292" s="1007">
        <v>7</v>
      </c>
      <c r="H1292" s="1010">
        <v>99999999</v>
      </c>
      <c r="I1292" s="1009">
        <v>16530100</v>
      </c>
      <c r="J1292" s="1007" t="s">
        <v>3365</v>
      </c>
      <c r="O1292" s="1007" t="s">
        <v>648</v>
      </c>
      <c r="P1292" s="1007" t="s">
        <v>648</v>
      </c>
      <c r="S1292" s="1008" t="s">
        <v>650</v>
      </c>
      <c r="T1292" s="1008" t="s">
        <v>654</v>
      </c>
      <c r="U1292" s="1008" t="s">
        <v>649</v>
      </c>
      <c r="V1292" s="1008" t="s">
        <v>648</v>
      </c>
      <c r="W1292" s="1008" t="s">
        <v>546</v>
      </c>
      <c r="X1292" s="1008" t="s">
        <v>670</v>
      </c>
      <c r="Y1292" s="1008" t="s">
        <v>670</v>
      </c>
      <c r="Z1292" s="1008" t="s">
        <v>670</v>
      </c>
      <c r="AA1292" s="1008" t="s">
        <v>670</v>
      </c>
      <c r="AB1292" s="1008" t="s">
        <v>670</v>
      </c>
      <c r="AC1292" s="1008" t="s">
        <v>670</v>
      </c>
      <c r="AD1292" s="1008" t="s">
        <v>670</v>
      </c>
      <c r="AE1292" s="1008"/>
      <c r="AF1292" s="1008" t="s">
        <v>670</v>
      </c>
      <c r="AG1292" s="1008"/>
      <c r="AH1292" s="1008"/>
      <c r="AI1292" s="1008"/>
    </row>
    <row r="1293" spans="1:35">
      <c r="A1293" s="1008">
        <v>26427</v>
      </c>
      <c r="B1293" s="1008">
        <v>1653</v>
      </c>
      <c r="C1293" s="1008">
        <v>7</v>
      </c>
      <c r="D1293" s="1009">
        <v>16539999</v>
      </c>
      <c r="E1293" s="1009">
        <v>16530200</v>
      </c>
      <c r="F1293" s="1007" t="s">
        <v>3364</v>
      </c>
      <c r="G1293" s="1007">
        <v>7</v>
      </c>
      <c r="H1293" s="1010">
        <v>99999999</v>
      </c>
      <c r="I1293" s="1009">
        <v>16530200</v>
      </c>
      <c r="J1293" s="1007" t="s">
        <v>3364</v>
      </c>
      <c r="O1293" s="1007" t="s">
        <v>648</v>
      </c>
      <c r="P1293" s="1007" t="s">
        <v>648</v>
      </c>
      <c r="S1293" s="1008" t="s">
        <v>650</v>
      </c>
      <c r="T1293" s="1008" t="s">
        <v>654</v>
      </c>
      <c r="U1293" s="1008" t="s">
        <v>649</v>
      </c>
      <c r="V1293" s="1008" t="s">
        <v>648</v>
      </c>
      <c r="W1293" s="1008" t="s">
        <v>546</v>
      </c>
      <c r="X1293" s="1008" t="s">
        <v>670</v>
      </c>
      <c r="Y1293" s="1008" t="s">
        <v>670</v>
      </c>
      <c r="Z1293" s="1008" t="s">
        <v>670</v>
      </c>
      <c r="AA1293" s="1008"/>
      <c r="AB1293" s="1008" t="s">
        <v>670</v>
      </c>
      <c r="AC1293" s="1008"/>
      <c r="AD1293" s="1008"/>
      <c r="AE1293" s="1008"/>
      <c r="AF1293" s="1008" t="s">
        <v>670</v>
      </c>
      <c r="AG1293" s="1008"/>
      <c r="AH1293" s="1008"/>
      <c r="AI1293" s="1008"/>
    </row>
    <row r="1294" spans="1:35">
      <c r="A1294" s="1008">
        <v>24125</v>
      </c>
      <c r="B1294" s="1008">
        <v>1654</v>
      </c>
      <c r="C1294" s="1008">
        <v>7</v>
      </c>
      <c r="D1294" s="1009">
        <v>16539999</v>
      </c>
      <c r="E1294" s="1009">
        <v>16530400</v>
      </c>
      <c r="F1294" s="1007" t="s">
        <v>3363</v>
      </c>
      <c r="G1294" s="1007">
        <v>7</v>
      </c>
      <c r="H1294" s="1010">
        <v>99999999</v>
      </c>
      <c r="I1294" s="1009">
        <v>16530400</v>
      </c>
      <c r="J1294" s="1007" t="s">
        <v>3363</v>
      </c>
      <c r="O1294" s="1007" t="s">
        <v>648</v>
      </c>
      <c r="P1294" s="1007" t="s">
        <v>648</v>
      </c>
      <c r="S1294" s="1008" t="s">
        <v>650</v>
      </c>
      <c r="T1294" s="1008" t="s">
        <v>654</v>
      </c>
      <c r="U1294" s="1008" t="s">
        <v>649</v>
      </c>
      <c r="V1294" s="1008" t="s">
        <v>648</v>
      </c>
      <c r="W1294" s="1008" t="s">
        <v>546</v>
      </c>
      <c r="X1294" s="1008" t="s">
        <v>670</v>
      </c>
      <c r="Y1294" s="1008" t="s">
        <v>670</v>
      </c>
      <c r="Z1294" s="1008" t="s">
        <v>670</v>
      </c>
      <c r="AA1294" s="1008" t="s">
        <v>670</v>
      </c>
      <c r="AB1294" s="1008" t="s">
        <v>670</v>
      </c>
      <c r="AC1294" s="1008" t="s">
        <v>670</v>
      </c>
      <c r="AD1294" s="1008" t="s">
        <v>670</v>
      </c>
      <c r="AE1294" s="1008"/>
      <c r="AF1294" s="1008" t="s">
        <v>670</v>
      </c>
      <c r="AG1294" s="1008"/>
      <c r="AH1294" s="1008"/>
      <c r="AI1294" s="1008"/>
    </row>
    <row r="1295" spans="1:35">
      <c r="A1295" s="1008">
        <v>24127</v>
      </c>
      <c r="B1295" s="1008">
        <v>4911</v>
      </c>
      <c r="C1295" s="1008">
        <v>7</v>
      </c>
      <c r="D1295" s="1009">
        <v>16539999</v>
      </c>
      <c r="E1295" s="1009">
        <v>16530800</v>
      </c>
      <c r="F1295" s="1007" t="s">
        <v>3362</v>
      </c>
      <c r="G1295" s="1007">
        <v>7</v>
      </c>
      <c r="H1295" s="1010">
        <v>99999999</v>
      </c>
      <c r="I1295" s="1009">
        <v>16530800</v>
      </c>
      <c r="J1295" s="1007" t="s">
        <v>3362</v>
      </c>
      <c r="O1295" s="1007" t="s">
        <v>648</v>
      </c>
      <c r="P1295" s="1007" t="s">
        <v>648</v>
      </c>
      <c r="S1295" s="1008" t="s">
        <v>650</v>
      </c>
      <c r="T1295" s="1008" t="s">
        <v>654</v>
      </c>
      <c r="U1295" s="1008" t="s">
        <v>649</v>
      </c>
      <c r="V1295" s="1008" t="s">
        <v>648</v>
      </c>
      <c r="W1295" s="1008" t="s">
        <v>546</v>
      </c>
      <c r="X1295" s="1008" t="s">
        <v>670</v>
      </c>
      <c r="Y1295" s="1008" t="s">
        <v>670</v>
      </c>
      <c r="Z1295" s="1008" t="s">
        <v>670</v>
      </c>
      <c r="AA1295" s="1008" t="s">
        <v>670</v>
      </c>
      <c r="AB1295" s="1008" t="s">
        <v>670</v>
      </c>
      <c r="AC1295" s="1008" t="s">
        <v>670</v>
      </c>
      <c r="AD1295" s="1008" t="s">
        <v>670</v>
      </c>
      <c r="AE1295" s="1008"/>
      <c r="AF1295" s="1008" t="s">
        <v>670</v>
      </c>
      <c r="AG1295" s="1008"/>
      <c r="AH1295" s="1008"/>
      <c r="AI1295" s="1008"/>
    </row>
    <row r="1296" spans="1:35">
      <c r="A1296" s="1008">
        <v>24128</v>
      </c>
      <c r="C1296" s="1008">
        <v>6</v>
      </c>
      <c r="D1296" s="1009">
        <v>16599999</v>
      </c>
      <c r="E1296" s="1009">
        <v>16539999</v>
      </c>
      <c r="F1296" s="1007" t="s">
        <v>3361</v>
      </c>
      <c r="O1296" s="1007" t="s">
        <v>648</v>
      </c>
      <c r="P1296" s="1007" t="s">
        <v>648</v>
      </c>
      <c r="S1296" s="1008" t="s">
        <v>650</v>
      </c>
      <c r="T1296" s="1008" t="s">
        <v>21</v>
      </c>
      <c r="U1296" s="1008" t="s">
        <v>649</v>
      </c>
      <c r="V1296" s="1008" t="s">
        <v>648</v>
      </c>
      <c r="W1296" s="1008" t="s">
        <v>546</v>
      </c>
      <c r="X1296" s="1008"/>
      <c r="Y1296" s="1008"/>
      <c r="Z1296" s="1008"/>
      <c r="AA1296" s="1008"/>
      <c r="AB1296" s="1008"/>
      <c r="AC1296" s="1008"/>
      <c r="AD1296" s="1008"/>
      <c r="AE1296" s="1008"/>
      <c r="AF1296" s="1008"/>
      <c r="AG1296" s="1008"/>
      <c r="AH1296" s="1008"/>
      <c r="AI1296" s="1008"/>
    </row>
    <row r="1297" spans="1:35">
      <c r="A1297" s="1008">
        <v>24129</v>
      </c>
      <c r="C1297" s="1008">
        <v>6</v>
      </c>
      <c r="D1297" s="1009">
        <v>16549999</v>
      </c>
      <c r="E1297" s="1009">
        <v>16540000</v>
      </c>
      <c r="F1297" s="1007" t="s">
        <v>3360</v>
      </c>
      <c r="O1297" s="1007" t="s">
        <v>648</v>
      </c>
      <c r="P1297" s="1007" t="s">
        <v>648</v>
      </c>
      <c r="S1297" s="1008" t="s">
        <v>650</v>
      </c>
      <c r="T1297" s="1008" t="s">
        <v>675</v>
      </c>
      <c r="U1297" s="1008" t="s">
        <v>649</v>
      </c>
      <c r="V1297" s="1008" t="s">
        <v>648</v>
      </c>
      <c r="W1297" s="1008" t="s">
        <v>546</v>
      </c>
      <c r="X1297" s="1008"/>
      <c r="Y1297" s="1008"/>
      <c r="Z1297" s="1008"/>
      <c r="AA1297" s="1008"/>
      <c r="AB1297" s="1008"/>
      <c r="AC1297" s="1008"/>
      <c r="AD1297" s="1008"/>
      <c r="AE1297" s="1008"/>
      <c r="AF1297" s="1008"/>
      <c r="AG1297" s="1008"/>
      <c r="AH1297" s="1008"/>
      <c r="AI1297" s="1008"/>
    </row>
    <row r="1298" spans="1:35">
      <c r="A1298" s="1008">
        <v>26426</v>
      </c>
      <c r="B1298" s="1008">
        <v>1144</v>
      </c>
      <c r="C1298" s="1008">
        <v>7</v>
      </c>
      <c r="D1298" s="1009">
        <v>16549999</v>
      </c>
      <c r="E1298" s="1009">
        <v>16540200</v>
      </c>
      <c r="F1298" s="1007" t="s">
        <v>3359</v>
      </c>
      <c r="G1298" s="1007">
        <v>8</v>
      </c>
      <c r="H1298" s="1010">
        <v>99999999</v>
      </c>
      <c r="I1298" s="1009">
        <v>16540200</v>
      </c>
      <c r="J1298" s="1007" t="s">
        <v>3359</v>
      </c>
      <c r="O1298" s="1007" t="s">
        <v>648</v>
      </c>
      <c r="P1298" s="1007" t="s">
        <v>648</v>
      </c>
      <c r="S1298" s="1008" t="s">
        <v>650</v>
      </c>
      <c r="T1298" s="1008" t="s">
        <v>654</v>
      </c>
      <c r="U1298" s="1008" t="s">
        <v>649</v>
      </c>
      <c r="V1298" s="1008" t="s">
        <v>648</v>
      </c>
      <c r="W1298" s="1008" t="s">
        <v>546</v>
      </c>
      <c r="X1298" s="1008" t="s">
        <v>670</v>
      </c>
      <c r="Y1298" s="1008" t="s">
        <v>670</v>
      </c>
      <c r="Z1298" s="1008" t="s">
        <v>670</v>
      </c>
      <c r="AA1298" s="1008"/>
      <c r="AB1298" s="1008" t="s">
        <v>670</v>
      </c>
      <c r="AC1298" s="1008"/>
      <c r="AD1298" s="1008"/>
      <c r="AE1298" s="1008"/>
      <c r="AF1298" s="1008" t="s">
        <v>670</v>
      </c>
      <c r="AG1298" s="1008"/>
      <c r="AH1298" s="1008"/>
      <c r="AI1298" s="1008"/>
    </row>
    <row r="1299" spans="1:35">
      <c r="A1299" s="1008">
        <v>24130</v>
      </c>
      <c r="B1299" s="1008">
        <v>1657</v>
      </c>
      <c r="C1299" s="1008">
        <v>7</v>
      </c>
      <c r="D1299" s="1009">
        <v>16549999</v>
      </c>
      <c r="E1299" s="1009">
        <v>16540400</v>
      </c>
      <c r="F1299" s="1007" t="s">
        <v>3358</v>
      </c>
      <c r="G1299" s="1007">
        <v>7</v>
      </c>
      <c r="H1299" s="1010">
        <v>99999999</v>
      </c>
      <c r="I1299" s="1009">
        <v>16540400</v>
      </c>
      <c r="J1299" s="1007" t="s">
        <v>3358</v>
      </c>
      <c r="O1299" s="1007" t="s">
        <v>648</v>
      </c>
      <c r="P1299" s="1007" t="s">
        <v>648</v>
      </c>
      <c r="S1299" s="1008" t="s">
        <v>650</v>
      </c>
      <c r="T1299" s="1008" t="s">
        <v>654</v>
      </c>
      <c r="U1299" s="1008" t="s">
        <v>649</v>
      </c>
      <c r="V1299" s="1008" t="s">
        <v>648</v>
      </c>
      <c r="W1299" s="1008" t="s">
        <v>546</v>
      </c>
      <c r="X1299" s="1008" t="s">
        <v>670</v>
      </c>
      <c r="Y1299" s="1008" t="s">
        <v>670</v>
      </c>
      <c r="Z1299" s="1008" t="s">
        <v>670</v>
      </c>
      <c r="AA1299" s="1008" t="s">
        <v>670</v>
      </c>
      <c r="AB1299" s="1008" t="s">
        <v>670</v>
      </c>
      <c r="AC1299" s="1008" t="s">
        <v>670</v>
      </c>
      <c r="AD1299" s="1008" t="s">
        <v>670</v>
      </c>
      <c r="AE1299" s="1008"/>
      <c r="AF1299" s="1008" t="s">
        <v>670</v>
      </c>
      <c r="AG1299" s="1008"/>
      <c r="AH1299" s="1008"/>
      <c r="AI1299" s="1008"/>
    </row>
    <row r="1300" spans="1:35">
      <c r="A1300" s="1008">
        <v>24132</v>
      </c>
      <c r="B1300" s="1008">
        <v>4913</v>
      </c>
      <c r="C1300" s="1008">
        <v>7</v>
      </c>
      <c r="D1300" s="1009">
        <v>16549999</v>
      </c>
      <c r="E1300" s="1009">
        <v>16540800</v>
      </c>
      <c r="F1300" s="1007" t="s">
        <v>3357</v>
      </c>
      <c r="G1300" s="1007">
        <v>7</v>
      </c>
      <c r="H1300" s="1010">
        <v>99999999</v>
      </c>
      <c r="I1300" s="1009">
        <v>16540800</v>
      </c>
      <c r="J1300" s="1007" t="s">
        <v>3357</v>
      </c>
      <c r="O1300" s="1007" t="s">
        <v>648</v>
      </c>
      <c r="P1300" s="1007" t="s">
        <v>648</v>
      </c>
      <c r="S1300" s="1008" t="s">
        <v>650</v>
      </c>
      <c r="T1300" s="1008" t="s">
        <v>654</v>
      </c>
      <c r="U1300" s="1008" t="s">
        <v>649</v>
      </c>
      <c r="V1300" s="1008" t="s">
        <v>648</v>
      </c>
      <c r="W1300" s="1008" t="s">
        <v>546</v>
      </c>
      <c r="X1300" s="1008" t="s">
        <v>670</v>
      </c>
      <c r="Y1300" s="1008" t="s">
        <v>670</v>
      </c>
      <c r="Z1300" s="1008" t="s">
        <v>670</v>
      </c>
      <c r="AA1300" s="1008" t="s">
        <v>670</v>
      </c>
      <c r="AB1300" s="1008" t="s">
        <v>670</v>
      </c>
      <c r="AC1300" s="1008" t="s">
        <v>670</v>
      </c>
      <c r="AD1300" s="1008" t="s">
        <v>670</v>
      </c>
      <c r="AE1300" s="1008"/>
      <c r="AF1300" s="1008" t="s">
        <v>670</v>
      </c>
      <c r="AG1300" s="1008"/>
      <c r="AH1300" s="1008"/>
      <c r="AI1300" s="1008"/>
    </row>
    <row r="1301" spans="1:35">
      <c r="A1301" s="1008">
        <v>24133</v>
      </c>
      <c r="C1301" s="1008">
        <v>6</v>
      </c>
      <c r="D1301" s="1009">
        <v>16599999</v>
      </c>
      <c r="E1301" s="1009">
        <v>16549999</v>
      </c>
      <c r="F1301" s="1007" t="s">
        <v>3356</v>
      </c>
      <c r="O1301" s="1007" t="s">
        <v>648</v>
      </c>
      <c r="P1301" s="1007" t="s">
        <v>648</v>
      </c>
      <c r="S1301" s="1008" t="s">
        <v>650</v>
      </c>
      <c r="T1301" s="1008" t="s">
        <v>21</v>
      </c>
      <c r="U1301" s="1008" t="s">
        <v>649</v>
      </c>
      <c r="V1301" s="1008" t="s">
        <v>648</v>
      </c>
      <c r="W1301" s="1008" t="s">
        <v>546</v>
      </c>
      <c r="X1301" s="1008"/>
      <c r="Y1301" s="1008"/>
      <c r="Z1301" s="1008"/>
      <c r="AA1301" s="1008"/>
      <c r="AB1301" s="1008"/>
      <c r="AC1301" s="1008"/>
      <c r="AD1301" s="1008"/>
      <c r="AE1301" s="1008"/>
      <c r="AF1301" s="1008"/>
      <c r="AG1301" s="1008"/>
      <c r="AH1301" s="1008"/>
      <c r="AI1301" s="1008"/>
    </row>
    <row r="1302" spans="1:35">
      <c r="A1302" s="1008">
        <v>24134</v>
      </c>
      <c r="C1302" s="1008">
        <v>6</v>
      </c>
      <c r="D1302" s="1009">
        <v>16559999</v>
      </c>
      <c r="E1302" s="1009">
        <v>16550000</v>
      </c>
      <c r="F1302" s="1007" t="s">
        <v>3355</v>
      </c>
      <c r="O1302" s="1007" t="s">
        <v>648</v>
      </c>
      <c r="P1302" s="1007" t="s">
        <v>648</v>
      </c>
      <c r="S1302" s="1008" t="s">
        <v>650</v>
      </c>
      <c r="T1302" s="1008" t="s">
        <v>675</v>
      </c>
      <c r="U1302" s="1008" t="s">
        <v>649</v>
      </c>
      <c r="V1302" s="1008" t="s">
        <v>648</v>
      </c>
      <c r="W1302" s="1008" t="s">
        <v>546</v>
      </c>
      <c r="X1302" s="1008"/>
      <c r="Y1302" s="1008"/>
      <c r="Z1302" s="1008"/>
      <c r="AA1302" s="1008"/>
      <c r="AB1302" s="1008"/>
      <c r="AC1302" s="1008"/>
      <c r="AD1302" s="1008"/>
      <c r="AE1302" s="1008"/>
      <c r="AF1302" s="1008"/>
      <c r="AG1302" s="1008"/>
      <c r="AH1302" s="1008"/>
      <c r="AI1302" s="1008"/>
    </row>
    <row r="1303" spans="1:35">
      <c r="A1303" s="1008">
        <v>24136</v>
      </c>
      <c r="B1303" s="1008">
        <v>1659</v>
      </c>
      <c r="C1303" s="1008">
        <v>7</v>
      </c>
      <c r="D1303" s="1009">
        <v>16559999</v>
      </c>
      <c r="E1303" s="1009">
        <v>16550400</v>
      </c>
      <c r="F1303" s="1007" t="s">
        <v>3354</v>
      </c>
      <c r="G1303" s="1007">
        <v>7</v>
      </c>
      <c r="H1303" s="1010">
        <v>99999999</v>
      </c>
      <c r="I1303" s="1009">
        <v>16550400</v>
      </c>
      <c r="J1303" s="1007" t="s">
        <v>3354</v>
      </c>
      <c r="O1303" s="1007" t="s">
        <v>648</v>
      </c>
      <c r="P1303" s="1007" t="s">
        <v>648</v>
      </c>
      <c r="S1303" s="1008" t="s">
        <v>650</v>
      </c>
      <c r="T1303" s="1008" t="s">
        <v>654</v>
      </c>
      <c r="U1303" s="1008" t="s">
        <v>649</v>
      </c>
      <c r="V1303" s="1008" t="s">
        <v>648</v>
      </c>
      <c r="W1303" s="1008" t="s">
        <v>546</v>
      </c>
      <c r="X1303" s="1008" t="s">
        <v>670</v>
      </c>
      <c r="Y1303" s="1008" t="s">
        <v>670</v>
      </c>
      <c r="Z1303" s="1008" t="s">
        <v>670</v>
      </c>
      <c r="AA1303" s="1008" t="s">
        <v>670</v>
      </c>
      <c r="AB1303" s="1008" t="s">
        <v>670</v>
      </c>
      <c r="AC1303" s="1008" t="s">
        <v>670</v>
      </c>
      <c r="AD1303" s="1008" t="s">
        <v>670</v>
      </c>
      <c r="AE1303" s="1008"/>
      <c r="AF1303" s="1008" t="s">
        <v>670</v>
      </c>
      <c r="AG1303" s="1008"/>
      <c r="AH1303" s="1008"/>
      <c r="AI1303" s="1008"/>
    </row>
    <row r="1304" spans="1:35">
      <c r="A1304" s="1008">
        <v>26425</v>
      </c>
      <c r="B1304" s="1008">
        <v>1660</v>
      </c>
      <c r="C1304" s="1008">
        <v>7</v>
      </c>
      <c r="D1304" s="1009">
        <v>16559999</v>
      </c>
      <c r="E1304" s="1009">
        <v>16550600</v>
      </c>
      <c r="F1304" s="1007" t="s">
        <v>3353</v>
      </c>
      <c r="G1304" s="1007">
        <v>7</v>
      </c>
      <c r="H1304" s="1010">
        <v>99999999</v>
      </c>
      <c r="I1304" s="1009">
        <v>16550600</v>
      </c>
      <c r="J1304" s="1007" t="s">
        <v>3353</v>
      </c>
      <c r="O1304" s="1007" t="s">
        <v>648</v>
      </c>
      <c r="P1304" s="1007" t="s">
        <v>648</v>
      </c>
      <c r="S1304" s="1008" t="s">
        <v>650</v>
      </c>
      <c r="T1304" s="1008" t="s">
        <v>654</v>
      </c>
      <c r="U1304" s="1008" t="s">
        <v>649</v>
      </c>
      <c r="V1304" s="1008" t="s">
        <v>648</v>
      </c>
      <c r="W1304" s="1008" t="s">
        <v>546</v>
      </c>
      <c r="X1304" s="1008" t="s">
        <v>670</v>
      </c>
      <c r="Y1304" s="1008" t="s">
        <v>670</v>
      </c>
      <c r="Z1304" s="1008" t="s">
        <v>670</v>
      </c>
      <c r="AA1304" s="1008" t="s">
        <v>670</v>
      </c>
      <c r="AB1304" s="1008" t="s">
        <v>670</v>
      </c>
      <c r="AC1304" s="1008" t="s">
        <v>670</v>
      </c>
      <c r="AD1304" s="1008" t="s">
        <v>670</v>
      </c>
      <c r="AE1304" s="1008"/>
      <c r="AF1304" s="1008" t="s">
        <v>670</v>
      </c>
      <c r="AG1304" s="1008"/>
      <c r="AH1304" s="1008"/>
      <c r="AI1304" s="1008"/>
    </row>
    <row r="1305" spans="1:35">
      <c r="A1305" s="1008">
        <v>24137</v>
      </c>
      <c r="B1305" s="1008">
        <v>4915</v>
      </c>
      <c r="C1305" s="1008">
        <v>7</v>
      </c>
      <c r="D1305" s="1009">
        <v>16559999</v>
      </c>
      <c r="E1305" s="1009">
        <v>16550800</v>
      </c>
      <c r="F1305" s="1007" t="s">
        <v>3352</v>
      </c>
      <c r="G1305" s="1007">
        <v>7</v>
      </c>
      <c r="H1305" s="1010">
        <v>99999999</v>
      </c>
      <c r="I1305" s="1009">
        <v>16550800</v>
      </c>
      <c r="J1305" s="1007" t="s">
        <v>3352</v>
      </c>
      <c r="O1305" s="1007" t="s">
        <v>648</v>
      </c>
      <c r="P1305" s="1007" t="s">
        <v>648</v>
      </c>
      <c r="S1305" s="1008" t="s">
        <v>650</v>
      </c>
      <c r="T1305" s="1008" t="s">
        <v>654</v>
      </c>
      <c r="U1305" s="1008" t="s">
        <v>649</v>
      </c>
      <c r="V1305" s="1008" t="s">
        <v>648</v>
      </c>
      <c r="W1305" s="1008" t="s">
        <v>546</v>
      </c>
      <c r="X1305" s="1008" t="s">
        <v>670</v>
      </c>
      <c r="Y1305" s="1008" t="s">
        <v>670</v>
      </c>
      <c r="Z1305" s="1008" t="s">
        <v>670</v>
      </c>
      <c r="AA1305" s="1008" t="s">
        <v>670</v>
      </c>
      <c r="AB1305" s="1008" t="s">
        <v>670</v>
      </c>
      <c r="AC1305" s="1008" t="s">
        <v>670</v>
      </c>
      <c r="AD1305" s="1008" t="s">
        <v>670</v>
      </c>
      <c r="AE1305" s="1008"/>
      <c r="AF1305" s="1008" t="s">
        <v>670</v>
      </c>
      <c r="AG1305" s="1008"/>
      <c r="AH1305" s="1008"/>
      <c r="AI1305" s="1008"/>
    </row>
    <row r="1306" spans="1:35">
      <c r="A1306" s="1008">
        <v>24138</v>
      </c>
      <c r="C1306" s="1008">
        <v>6</v>
      </c>
      <c r="D1306" s="1009">
        <v>16599999</v>
      </c>
      <c r="E1306" s="1009">
        <v>16559999</v>
      </c>
      <c r="F1306" s="1007" t="s">
        <v>3351</v>
      </c>
      <c r="O1306" s="1007" t="s">
        <v>648</v>
      </c>
      <c r="P1306" s="1007" t="s">
        <v>648</v>
      </c>
      <c r="S1306" s="1008" t="s">
        <v>650</v>
      </c>
      <c r="T1306" s="1008" t="s">
        <v>21</v>
      </c>
      <c r="U1306" s="1008" t="s">
        <v>649</v>
      </c>
      <c r="V1306" s="1008" t="s">
        <v>648</v>
      </c>
      <c r="W1306" s="1008" t="s">
        <v>546</v>
      </c>
      <c r="X1306" s="1008"/>
      <c r="Y1306" s="1008"/>
      <c r="Z1306" s="1008"/>
      <c r="AA1306" s="1008"/>
      <c r="AB1306" s="1008"/>
      <c r="AC1306" s="1008"/>
      <c r="AD1306" s="1008"/>
      <c r="AE1306" s="1008"/>
      <c r="AF1306" s="1008"/>
      <c r="AG1306" s="1008"/>
      <c r="AH1306" s="1008"/>
      <c r="AI1306" s="1008"/>
    </row>
    <row r="1307" spans="1:35">
      <c r="A1307" s="1008">
        <v>24139</v>
      </c>
      <c r="C1307" s="1008">
        <v>6</v>
      </c>
      <c r="D1307" s="1009">
        <v>16569999</v>
      </c>
      <c r="E1307" s="1009">
        <v>16560000</v>
      </c>
      <c r="F1307" s="1007" t="s">
        <v>3350</v>
      </c>
      <c r="O1307" s="1007" t="s">
        <v>648</v>
      </c>
      <c r="P1307" s="1007" t="s">
        <v>648</v>
      </c>
      <c r="S1307" s="1008" t="s">
        <v>650</v>
      </c>
      <c r="T1307" s="1008" t="s">
        <v>675</v>
      </c>
      <c r="U1307" s="1008" t="s">
        <v>649</v>
      </c>
      <c r="V1307" s="1008" t="s">
        <v>648</v>
      </c>
      <c r="W1307" s="1008" t="s">
        <v>546</v>
      </c>
      <c r="X1307" s="1008"/>
      <c r="Y1307" s="1008"/>
      <c r="Z1307" s="1008"/>
      <c r="AA1307" s="1008"/>
      <c r="AB1307" s="1008"/>
      <c r="AC1307" s="1008"/>
      <c r="AD1307" s="1008"/>
      <c r="AE1307" s="1008"/>
      <c r="AF1307" s="1008"/>
      <c r="AG1307" s="1008"/>
      <c r="AH1307" s="1008"/>
      <c r="AI1307" s="1008"/>
    </row>
    <row r="1308" spans="1:35">
      <c r="A1308" s="1008">
        <v>24141</v>
      </c>
      <c r="B1308" s="1008">
        <v>1662</v>
      </c>
      <c r="C1308" s="1008">
        <v>7</v>
      </c>
      <c r="D1308" s="1009">
        <v>16569999</v>
      </c>
      <c r="E1308" s="1009">
        <v>16560400</v>
      </c>
      <c r="F1308" s="1007" t="s">
        <v>3349</v>
      </c>
      <c r="G1308" s="1007">
        <v>7</v>
      </c>
      <c r="H1308" s="1010">
        <v>99999999</v>
      </c>
      <c r="I1308" s="1009">
        <v>16560400</v>
      </c>
      <c r="J1308" s="1007" t="s">
        <v>3349</v>
      </c>
      <c r="O1308" s="1007" t="s">
        <v>648</v>
      </c>
      <c r="P1308" s="1007" t="s">
        <v>648</v>
      </c>
      <c r="S1308" s="1008" t="s">
        <v>650</v>
      </c>
      <c r="T1308" s="1008" t="s">
        <v>654</v>
      </c>
      <c r="U1308" s="1008" t="s">
        <v>649</v>
      </c>
      <c r="V1308" s="1008" t="s">
        <v>648</v>
      </c>
      <c r="W1308" s="1008" t="s">
        <v>546</v>
      </c>
      <c r="X1308" s="1008" t="s">
        <v>670</v>
      </c>
      <c r="Y1308" s="1008" t="s">
        <v>670</v>
      </c>
      <c r="Z1308" s="1008" t="s">
        <v>670</v>
      </c>
      <c r="AA1308" s="1008" t="s">
        <v>670</v>
      </c>
      <c r="AB1308" s="1008" t="s">
        <v>670</v>
      </c>
      <c r="AC1308" s="1008" t="s">
        <v>670</v>
      </c>
      <c r="AD1308" s="1008" t="s">
        <v>670</v>
      </c>
      <c r="AE1308" s="1008"/>
      <c r="AF1308" s="1008" t="s">
        <v>670</v>
      </c>
      <c r="AG1308" s="1008"/>
      <c r="AH1308" s="1008"/>
      <c r="AI1308" s="1008"/>
    </row>
    <row r="1309" spans="1:35">
      <c r="A1309" s="1008">
        <v>26424</v>
      </c>
      <c r="B1309" s="1008">
        <v>1663</v>
      </c>
      <c r="C1309" s="1008">
        <v>7</v>
      </c>
      <c r="D1309" s="1009">
        <v>16569999</v>
      </c>
      <c r="E1309" s="1009">
        <v>16560600</v>
      </c>
      <c r="F1309" s="1007" t="s">
        <v>3348</v>
      </c>
      <c r="G1309" s="1007">
        <v>7</v>
      </c>
      <c r="H1309" s="1010">
        <v>99999999</v>
      </c>
      <c r="I1309" s="1009">
        <v>16560600</v>
      </c>
      <c r="J1309" s="1007" t="s">
        <v>3348</v>
      </c>
      <c r="O1309" s="1007" t="s">
        <v>648</v>
      </c>
      <c r="P1309" s="1007" t="s">
        <v>648</v>
      </c>
      <c r="S1309" s="1008" t="s">
        <v>650</v>
      </c>
      <c r="T1309" s="1008" t="s">
        <v>654</v>
      </c>
      <c r="U1309" s="1008" t="s">
        <v>649</v>
      </c>
      <c r="V1309" s="1008" t="s">
        <v>648</v>
      </c>
      <c r="W1309" s="1008" t="s">
        <v>546</v>
      </c>
      <c r="X1309" s="1008" t="s">
        <v>670</v>
      </c>
      <c r="Y1309" s="1008" t="s">
        <v>670</v>
      </c>
      <c r="Z1309" s="1008" t="s">
        <v>670</v>
      </c>
      <c r="AA1309" s="1008" t="s">
        <v>670</v>
      </c>
      <c r="AB1309" s="1008" t="s">
        <v>670</v>
      </c>
      <c r="AC1309" s="1008" t="s">
        <v>670</v>
      </c>
      <c r="AD1309" s="1008" t="s">
        <v>670</v>
      </c>
      <c r="AE1309" s="1008"/>
      <c r="AF1309" s="1008" t="s">
        <v>670</v>
      </c>
      <c r="AG1309" s="1008"/>
      <c r="AH1309" s="1008"/>
      <c r="AI1309" s="1008"/>
    </row>
    <row r="1310" spans="1:35">
      <c r="A1310" s="1008">
        <v>24142</v>
      </c>
      <c r="B1310" s="1008">
        <v>4917</v>
      </c>
      <c r="C1310" s="1008">
        <v>7</v>
      </c>
      <c r="D1310" s="1009">
        <v>16569999</v>
      </c>
      <c r="E1310" s="1009">
        <v>16560800</v>
      </c>
      <c r="F1310" s="1007" t="s">
        <v>3347</v>
      </c>
      <c r="G1310" s="1007">
        <v>7</v>
      </c>
      <c r="H1310" s="1010">
        <v>99999999</v>
      </c>
      <c r="I1310" s="1009">
        <v>16560800</v>
      </c>
      <c r="J1310" s="1007" t="s">
        <v>3347</v>
      </c>
      <c r="O1310" s="1007" t="s">
        <v>648</v>
      </c>
      <c r="P1310" s="1007" t="s">
        <v>648</v>
      </c>
      <c r="S1310" s="1008" t="s">
        <v>650</v>
      </c>
      <c r="T1310" s="1008" t="s">
        <v>654</v>
      </c>
      <c r="U1310" s="1008" t="s">
        <v>649</v>
      </c>
      <c r="V1310" s="1008" t="s">
        <v>648</v>
      </c>
      <c r="W1310" s="1008" t="s">
        <v>546</v>
      </c>
      <c r="X1310" s="1008" t="s">
        <v>670</v>
      </c>
      <c r="Y1310" s="1008" t="s">
        <v>670</v>
      </c>
      <c r="Z1310" s="1008" t="s">
        <v>670</v>
      </c>
      <c r="AA1310" s="1008" t="s">
        <v>670</v>
      </c>
      <c r="AB1310" s="1008" t="s">
        <v>670</v>
      </c>
      <c r="AC1310" s="1008" t="s">
        <v>670</v>
      </c>
      <c r="AD1310" s="1008" t="s">
        <v>670</v>
      </c>
      <c r="AE1310" s="1008"/>
      <c r="AF1310" s="1008" t="s">
        <v>670</v>
      </c>
      <c r="AG1310" s="1008"/>
      <c r="AH1310" s="1008"/>
      <c r="AI1310" s="1008"/>
    </row>
    <row r="1311" spans="1:35">
      <c r="A1311" s="1008">
        <v>24143</v>
      </c>
      <c r="C1311" s="1008">
        <v>6</v>
      </c>
      <c r="D1311" s="1009">
        <v>16599999</v>
      </c>
      <c r="E1311" s="1009">
        <v>16569999</v>
      </c>
      <c r="F1311" s="1007" t="s">
        <v>3346</v>
      </c>
      <c r="O1311" s="1007" t="s">
        <v>648</v>
      </c>
      <c r="P1311" s="1007" t="s">
        <v>648</v>
      </c>
      <c r="S1311" s="1008" t="s">
        <v>650</v>
      </c>
      <c r="T1311" s="1008" t="s">
        <v>21</v>
      </c>
      <c r="U1311" s="1008" t="s">
        <v>649</v>
      </c>
      <c r="V1311" s="1008" t="s">
        <v>648</v>
      </c>
      <c r="W1311" s="1008" t="s">
        <v>546</v>
      </c>
      <c r="X1311" s="1008"/>
      <c r="Y1311" s="1008"/>
      <c r="Z1311" s="1008"/>
      <c r="AA1311" s="1008"/>
      <c r="AB1311" s="1008"/>
      <c r="AC1311" s="1008"/>
      <c r="AD1311" s="1008"/>
      <c r="AE1311" s="1008"/>
      <c r="AF1311" s="1008"/>
      <c r="AG1311" s="1008"/>
      <c r="AH1311" s="1008"/>
      <c r="AI1311" s="1008"/>
    </row>
    <row r="1312" spans="1:35">
      <c r="A1312" s="1008">
        <v>24144</v>
      </c>
      <c r="C1312" s="1008">
        <v>6</v>
      </c>
      <c r="D1312" s="1009">
        <v>16579999</v>
      </c>
      <c r="E1312" s="1009">
        <v>16570000</v>
      </c>
      <c r="F1312" s="1007" t="s">
        <v>3345</v>
      </c>
      <c r="O1312" s="1007" t="s">
        <v>648</v>
      </c>
      <c r="P1312" s="1007" t="s">
        <v>648</v>
      </c>
      <c r="S1312" s="1008" t="s">
        <v>650</v>
      </c>
      <c r="T1312" s="1008" t="s">
        <v>675</v>
      </c>
      <c r="U1312" s="1008" t="s">
        <v>649</v>
      </c>
      <c r="V1312" s="1008" t="s">
        <v>648</v>
      </c>
      <c r="W1312" s="1008" t="s">
        <v>546</v>
      </c>
      <c r="X1312" s="1008"/>
      <c r="Y1312" s="1008"/>
      <c r="Z1312" s="1008"/>
      <c r="AA1312" s="1008"/>
      <c r="AB1312" s="1008"/>
      <c r="AC1312" s="1008"/>
      <c r="AD1312" s="1008"/>
      <c r="AE1312" s="1008"/>
      <c r="AF1312" s="1008"/>
      <c r="AG1312" s="1008"/>
      <c r="AH1312" s="1008"/>
      <c r="AI1312" s="1008"/>
    </row>
    <row r="1313" spans="1:35">
      <c r="A1313" s="1008">
        <v>24146</v>
      </c>
      <c r="B1313" s="1008">
        <v>1665</v>
      </c>
      <c r="C1313" s="1008">
        <v>7</v>
      </c>
      <c r="D1313" s="1009">
        <v>16579999</v>
      </c>
      <c r="E1313" s="1009">
        <v>16570400</v>
      </c>
      <c r="F1313" s="1007" t="s">
        <v>3344</v>
      </c>
      <c r="G1313" s="1007">
        <v>7</v>
      </c>
      <c r="H1313" s="1010">
        <v>99999999</v>
      </c>
      <c r="I1313" s="1009">
        <v>16570400</v>
      </c>
      <c r="J1313" s="1007" t="s">
        <v>3344</v>
      </c>
      <c r="O1313" s="1007" t="s">
        <v>648</v>
      </c>
      <c r="P1313" s="1007" t="s">
        <v>648</v>
      </c>
      <c r="S1313" s="1008" t="s">
        <v>650</v>
      </c>
      <c r="T1313" s="1008" t="s">
        <v>654</v>
      </c>
      <c r="U1313" s="1008" t="s">
        <v>649</v>
      </c>
      <c r="V1313" s="1008" t="s">
        <v>648</v>
      </c>
      <c r="W1313" s="1008" t="s">
        <v>546</v>
      </c>
      <c r="X1313" s="1008" t="s">
        <v>670</v>
      </c>
      <c r="Y1313" s="1008" t="s">
        <v>670</v>
      </c>
      <c r="Z1313" s="1008" t="s">
        <v>670</v>
      </c>
      <c r="AA1313" s="1008" t="s">
        <v>670</v>
      </c>
      <c r="AB1313" s="1008" t="s">
        <v>670</v>
      </c>
      <c r="AC1313" s="1008" t="s">
        <v>670</v>
      </c>
      <c r="AD1313" s="1008" t="s">
        <v>670</v>
      </c>
      <c r="AE1313" s="1008"/>
      <c r="AF1313" s="1008" t="s">
        <v>670</v>
      </c>
      <c r="AG1313" s="1008"/>
      <c r="AH1313" s="1008"/>
      <c r="AI1313" s="1008"/>
    </row>
    <row r="1314" spans="1:35">
      <c r="A1314" s="1008">
        <v>26423</v>
      </c>
      <c r="B1314" s="1008">
        <v>1666</v>
      </c>
      <c r="C1314" s="1008">
        <v>7</v>
      </c>
      <c r="D1314" s="1009">
        <v>16579999</v>
      </c>
      <c r="E1314" s="1009">
        <v>16570600</v>
      </c>
      <c r="F1314" s="1007" t="s">
        <v>3343</v>
      </c>
      <c r="G1314" s="1007">
        <v>7</v>
      </c>
      <c r="H1314" s="1010">
        <v>99999999</v>
      </c>
      <c r="I1314" s="1009">
        <v>16570600</v>
      </c>
      <c r="J1314" s="1007" t="s">
        <v>3343</v>
      </c>
      <c r="O1314" s="1007" t="s">
        <v>648</v>
      </c>
      <c r="P1314" s="1007" t="s">
        <v>648</v>
      </c>
      <c r="S1314" s="1008" t="s">
        <v>650</v>
      </c>
      <c r="T1314" s="1008" t="s">
        <v>654</v>
      </c>
      <c r="U1314" s="1008" t="s">
        <v>649</v>
      </c>
      <c r="V1314" s="1008" t="s">
        <v>648</v>
      </c>
      <c r="W1314" s="1008" t="s">
        <v>546</v>
      </c>
      <c r="X1314" s="1008" t="s">
        <v>670</v>
      </c>
      <c r="Y1314" s="1008" t="s">
        <v>670</v>
      </c>
      <c r="Z1314" s="1008" t="s">
        <v>670</v>
      </c>
      <c r="AA1314" s="1008" t="s">
        <v>670</v>
      </c>
      <c r="AB1314" s="1008" t="s">
        <v>670</v>
      </c>
      <c r="AC1314" s="1008" t="s">
        <v>670</v>
      </c>
      <c r="AD1314" s="1008" t="s">
        <v>670</v>
      </c>
      <c r="AE1314" s="1008"/>
      <c r="AF1314" s="1008" t="s">
        <v>670</v>
      </c>
      <c r="AG1314" s="1008"/>
      <c r="AH1314" s="1008"/>
      <c r="AI1314" s="1008"/>
    </row>
    <row r="1315" spans="1:35">
      <c r="A1315" s="1008">
        <v>24147</v>
      </c>
      <c r="B1315" s="1008">
        <v>4919</v>
      </c>
      <c r="C1315" s="1008">
        <v>7</v>
      </c>
      <c r="D1315" s="1009">
        <v>16579999</v>
      </c>
      <c r="E1315" s="1009">
        <v>16570800</v>
      </c>
      <c r="F1315" s="1007" t="s">
        <v>3342</v>
      </c>
      <c r="G1315" s="1007">
        <v>7</v>
      </c>
      <c r="H1315" s="1010">
        <v>99999999</v>
      </c>
      <c r="I1315" s="1009">
        <v>16570800</v>
      </c>
      <c r="J1315" s="1007" t="s">
        <v>3342</v>
      </c>
      <c r="O1315" s="1007" t="s">
        <v>648</v>
      </c>
      <c r="P1315" s="1007" t="s">
        <v>648</v>
      </c>
      <c r="S1315" s="1008" t="s">
        <v>650</v>
      </c>
      <c r="T1315" s="1008" t="s">
        <v>654</v>
      </c>
      <c r="U1315" s="1008" t="s">
        <v>649</v>
      </c>
      <c r="V1315" s="1008" t="s">
        <v>648</v>
      </c>
      <c r="W1315" s="1008" t="s">
        <v>546</v>
      </c>
      <c r="X1315" s="1008" t="s">
        <v>670</v>
      </c>
      <c r="Y1315" s="1008" t="s">
        <v>670</v>
      </c>
      <c r="Z1315" s="1008" t="s">
        <v>670</v>
      </c>
      <c r="AA1315" s="1008" t="s">
        <v>670</v>
      </c>
      <c r="AB1315" s="1008" t="s">
        <v>670</v>
      </c>
      <c r="AC1315" s="1008" t="s">
        <v>670</v>
      </c>
      <c r="AD1315" s="1008" t="s">
        <v>670</v>
      </c>
      <c r="AE1315" s="1008"/>
      <c r="AF1315" s="1008" t="s">
        <v>670</v>
      </c>
      <c r="AG1315" s="1008"/>
      <c r="AH1315" s="1008"/>
      <c r="AI1315" s="1008"/>
    </row>
    <row r="1316" spans="1:35">
      <c r="A1316" s="1008">
        <v>24148</v>
      </c>
      <c r="C1316" s="1008">
        <v>6</v>
      </c>
      <c r="D1316" s="1009">
        <v>16599999</v>
      </c>
      <c r="E1316" s="1009">
        <v>16579999</v>
      </c>
      <c r="F1316" s="1007" t="s">
        <v>3341</v>
      </c>
      <c r="O1316" s="1007" t="s">
        <v>648</v>
      </c>
      <c r="P1316" s="1007" t="s">
        <v>648</v>
      </c>
      <c r="S1316" s="1008" t="s">
        <v>650</v>
      </c>
      <c r="T1316" s="1008" t="s">
        <v>21</v>
      </c>
      <c r="U1316" s="1008" t="s">
        <v>649</v>
      </c>
      <c r="V1316" s="1008" t="s">
        <v>648</v>
      </c>
      <c r="W1316" s="1008" t="s">
        <v>546</v>
      </c>
      <c r="X1316" s="1008"/>
      <c r="Y1316" s="1008"/>
      <c r="Z1316" s="1008"/>
      <c r="AA1316" s="1008"/>
      <c r="AB1316" s="1008"/>
      <c r="AC1316" s="1008"/>
      <c r="AD1316" s="1008"/>
      <c r="AE1316" s="1008"/>
      <c r="AF1316" s="1008"/>
      <c r="AG1316" s="1008"/>
      <c r="AH1316" s="1008"/>
      <c r="AI1316" s="1008"/>
    </row>
    <row r="1317" spans="1:35">
      <c r="A1317" s="1008">
        <v>24149</v>
      </c>
      <c r="C1317" s="1008">
        <v>5</v>
      </c>
      <c r="D1317" s="1009">
        <v>16699999</v>
      </c>
      <c r="E1317" s="1009">
        <v>16599999</v>
      </c>
      <c r="F1317" s="1007" t="s">
        <v>3340</v>
      </c>
      <c r="O1317" s="1007" t="s">
        <v>648</v>
      </c>
      <c r="P1317" s="1007" t="s">
        <v>648</v>
      </c>
      <c r="S1317" s="1008" t="s">
        <v>650</v>
      </c>
      <c r="T1317" s="1008" t="s">
        <v>21</v>
      </c>
      <c r="U1317" s="1008" t="s">
        <v>649</v>
      </c>
      <c r="V1317" s="1008" t="s">
        <v>648</v>
      </c>
      <c r="W1317" s="1008" t="s">
        <v>546</v>
      </c>
      <c r="X1317" s="1008"/>
      <c r="Y1317" s="1008"/>
      <c r="Z1317" s="1008"/>
      <c r="AA1317" s="1008"/>
      <c r="AB1317" s="1008"/>
      <c r="AC1317" s="1008"/>
      <c r="AD1317" s="1008"/>
      <c r="AE1317" s="1008"/>
      <c r="AF1317" s="1008"/>
      <c r="AG1317" s="1008"/>
      <c r="AH1317" s="1008"/>
      <c r="AI1317" s="1008"/>
    </row>
    <row r="1318" spans="1:35">
      <c r="A1318" s="1008">
        <v>24150</v>
      </c>
      <c r="C1318" s="1008">
        <v>5</v>
      </c>
      <c r="D1318" s="1009">
        <v>16699900</v>
      </c>
      <c r="E1318" s="1009">
        <v>16600000</v>
      </c>
      <c r="F1318" s="1007" t="s">
        <v>2589</v>
      </c>
      <c r="O1318" s="1007" t="s">
        <v>648</v>
      </c>
      <c r="P1318" s="1007" t="s">
        <v>648</v>
      </c>
      <c r="S1318" s="1008" t="s">
        <v>650</v>
      </c>
      <c r="T1318" s="1008" t="s">
        <v>675</v>
      </c>
      <c r="U1318" s="1008" t="s">
        <v>649</v>
      </c>
      <c r="V1318" s="1008" t="s">
        <v>648</v>
      </c>
      <c r="W1318" s="1008" t="s">
        <v>546</v>
      </c>
      <c r="X1318" s="1008"/>
      <c r="Y1318" s="1008"/>
      <c r="Z1318" s="1008"/>
      <c r="AA1318" s="1008"/>
      <c r="AB1318" s="1008"/>
      <c r="AC1318" s="1008"/>
      <c r="AD1318" s="1008"/>
      <c r="AE1318" s="1008"/>
      <c r="AF1318" s="1008"/>
      <c r="AG1318" s="1008"/>
      <c r="AH1318" s="1008"/>
      <c r="AI1318" s="1008"/>
    </row>
    <row r="1319" spans="1:35">
      <c r="A1319" s="1008">
        <v>24151</v>
      </c>
      <c r="C1319" s="1008">
        <v>6</v>
      </c>
      <c r="D1319" s="1009">
        <v>16619999</v>
      </c>
      <c r="E1319" s="1009">
        <v>16610000</v>
      </c>
      <c r="F1319" s="1007" t="s">
        <v>3339</v>
      </c>
      <c r="O1319" s="1007" t="s">
        <v>648</v>
      </c>
      <c r="P1319" s="1007" t="s">
        <v>648</v>
      </c>
      <c r="S1319" s="1008" t="s">
        <v>650</v>
      </c>
      <c r="T1319" s="1008" t="s">
        <v>675</v>
      </c>
      <c r="U1319" s="1008" t="s">
        <v>649</v>
      </c>
      <c r="V1319" s="1008" t="s">
        <v>648</v>
      </c>
      <c r="W1319" s="1008" t="s">
        <v>546</v>
      </c>
      <c r="X1319" s="1008"/>
      <c r="Y1319" s="1008"/>
      <c r="Z1319" s="1008"/>
      <c r="AA1319" s="1008"/>
      <c r="AB1319" s="1008"/>
      <c r="AC1319" s="1008"/>
      <c r="AD1319" s="1008"/>
      <c r="AE1319" s="1008"/>
      <c r="AF1319" s="1008"/>
      <c r="AG1319" s="1008"/>
      <c r="AH1319" s="1008"/>
      <c r="AI1319" s="1008"/>
    </row>
    <row r="1320" spans="1:35">
      <c r="A1320" s="1008">
        <v>24152</v>
      </c>
      <c r="B1320" s="1008">
        <v>781</v>
      </c>
      <c r="C1320" s="1008">
        <v>7</v>
      </c>
      <c r="D1320" s="1009">
        <v>16619999</v>
      </c>
      <c r="E1320" s="1009">
        <v>16610400</v>
      </c>
      <c r="F1320" s="1007" t="s">
        <v>3338</v>
      </c>
      <c r="G1320" s="1007">
        <v>8</v>
      </c>
      <c r="H1320" s="1010">
        <v>99999999</v>
      </c>
      <c r="I1320" s="1009">
        <v>16610400</v>
      </c>
      <c r="J1320" s="1007" t="s">
        <v>3338</v>
      </c>
      <c r="O1320" s="1007" t="s">
        <v>648</v>
      </c>
      <c r="P1320" s="1007" t="s">
        <v>648</v>
      </c>
      <c r="S1320" s="1008" t="s">
        <v>650</v>
      </c>
      <c r="T1320" s="1008" t="s">
        <v>654</v>
      </c>
      <c r="U1320" s="1008" t="s">
        <v>649</v>
      </c>
      <c r="V1320" s="1008" t="s">
        <v>648</v>
      </c>
      <c r="W1320" s="1008" t="s">
        <v>546</v>
      </c>
      <c r="X1320" s="1008" t="s">
        <v>670</v>
      </c>
      <c r="Y1320" s="1008" t="s">
        <v>670</v>
      </c>
      <c r="Z1320" s="1008" t="s">
        <v>670</v>
      </c>
      <c r="AA1320" s="1008" t="s">
        <v>670</v>
      </c>
      <c r="AB1320" s="1008" t="s">
        <v>670</v>
      </c>
      <c r="AC1320" s="1008" t="s">
        <v>670</v>
      </c>
      <c r="AD1320" s="1008" t="s">
        <v>670</v>
      </c>
      <c r="AE1320" s="1008"/>
      <c r="AF1320" s="1008" t="s">
        <v>670</v>
      </c>
      <c r="AG1320" s="1008"/>
      <c r="AH1320" s="1008"/>
      <c r="AI1320" s="1008"/>
    </row>
    <row r="1321" spans="1:35">
      <c r="A1321" s="1008">
        <v>26422</v>
      </c>
      <c r="B1321" s="1008">
        <v>1669</v>
      </c>
      <c r="C1321" s="1008">
        <v>7</v>
      </c>
      <c r="D1321" s="1009">
        <v>16619999</v>
      </c>
      <c r="E1321" s="1009">
        <v>16610700</v>
      </c>
      <c r="F1321" s="1007" t="s">
        <v>3337</v>
      </c>
      <c r="G1321" s="1007">
        <v>7</v>
      </c>
      <c r="H1321" s="1010">
        <v>99999999</v>
      </c>
      <c r="I1321" s="1009">
        <v>16610700</v>
      </c>
      <c r="J1321" s="1007" t="s">
        <v>3337</v>
      </c>
      <c r="O1321" s="1007" t="s">
        <v>648</v>
      </c>
      <c r="P1321" s="1007" t="s">
        <v>648</v>
      </c>
      <c r="S1321" s="1008" t="s">
        <v>650</v>
      </c>
      <c r="T1321" s="1008" t="s">
        <v>654</v>
      </c>
      <c r="U1321" s="1008" t="s">
        <v>649</v>
      </c>
      <c r="V1321" s="1008" t="s">
        <v>648</v>
      </c>
      <c r="W1321" s="1008" t="s">
        <v>546</v>
      </c>
      <c r="X1321" s="1008" t="s">
        <v>670</v>
      </c>
      <c r="Y1321" s="1008" t="s">
        <v>670</v>
      </c>
      <c r="Z1321" s="1008" t="s">
        <v>670</v>
      </c>
      <c r="AA1321" s="1008" t="s">
        <v>670</v>
      </c>
      <c r="AB1321" s="1008" t="s">
        <v>670</v>
      </c>
      <c r="AC1321" s="1008" t="s">
        <v>670</v>
      </c>
      <c r="AD1321" s="1008" t="s">
        <v>670</v>
      </c>
      <c r="AE1321" s="1008"/>
      <c r="AF1321" s="1008" t="s">
        <v>670</v>
      </c>
      <c r="AG1321" s="1008"/>
      <c r="AH1321" s="1008"/>
      <c r="AI1321" s="1008"/>
    </row>
    <row r="1322" spans="1:35">
      <c r="A1322" s="1008">
        <v>24153</v>
      </c>
      <c r="B1322" s="1008">
        <v>4923</v>
      </c>
      <c r="C1322" s="1008">
        <v>7</v>
      </c>
      <c r="D1322" s="1009">
        <v>16619999</v>
      </c>
      <c r="E1322" s="1009">
        <v>16610800</v>
      </c>
      <c r="F1322" s="1007" t="s">
        <v>3336</v>
      </c>
      <c r="G1322" s="1007">
        <v>7</v>
      </c>
      <c r="H1322" s="1010">
        <v>99999999</v>
      </c>
      <c r="I1322" s="1009">
        <v>16610800</v>
      </c>
      <c r="J1322" s="1007" t="s">
        <v>3336</v>
      </c>
      <c r="O1322" s="1007" t="s">
        <v>648</v>
      </c>
      <c r="P1322" s="1007" t="s">
        <v>648</v>
      </c>
      <c r="S1322" s="1008" t="s">
        <v>650</v>
      </c>
      <c r="T1322" s="1008" t="s">
        <v>654</v>
      </c>
      <c r="U1322" s="1008" t="s">
        <v>649</v>
      </c>
      <c r="V1322" s="1008" t="s">
        <v>648</v>
      </c>
      <c r="W1322" s="1008" t="s">
        <v>546</v>
      </c>
      <c r="X1322" s="1008" t="s">
        <v>670</v>
      </c>
      <c r="Y1322" s="1008" t="s">
        <v>670</v>
      </c>
      <c r="Z1322" s="1008" t="s">
        <v>670</v>
      </c>
      <c r="AA1322" s="1008" t="s">
        <v>670</v>
      </c>
      <c r="AB1322" s="1008" t="s">
        <v>670</v>
      </c>
      <c r="AC1322" s="1008" t="s">
        <v>670</v>
      </c>
      <c r="AD1322" s="1008" t="s">
        <v>670</v>
      </c>
      <c r="AE1322" s="1008"/>
      <c r="AF1322" s="1008" t="s">
        <v>670</v>
      </c>
      <c r="AG1322" s="1008"/>
      <c r="AH1322" s="1008"/>
      <c r="AI1322" s="1008"/>
    </row>
    <row r="1323" spans="1:35">
      <c r="A1323" s="1008">
        <v>24154</v>
      </c>
      <c r="C1323" s="1008">
        <v>6</v>
      </c>
      <c r="D1323" s="1009">
        <v>16699900</v>
      </c>
      <c r="E1323" s="1009">
        <v>16619999</v>
      </c>
      <c r="F1323" s="1007" t="s">
        <v>3335</v>
      </c>
      <c r="O1323" s="1007" t="s">
        <v>648</v>
      </c>
      <c r="P1323" s="1007" t="s">
        <v>648</v>
      </c>
      <c r="S1323" s="1008" t="s">
        <v>650</v>
      </c>
      <c r="T1323" s="1008" t="s">
        <v>21</v>
      </c>
      <c r="U1323" s="1008" t="s">
        <v>649</v>
      </c>
      <c r="V1323" s="1008" t="s">
        <v>648</v>
      </c>
      <c r="W1323" s="1008" t="s">
        <v>546</v>
      </c>
      <c r="X1323" s="1008"/>
      <c r="Y1323" s="1008"/>
      <c r="Z1323" s="1008"/>
      <c r="AA1323" s="1008"/>
      <c r="AB1323" s="1008"/>
      <c r="AC1323" s="1008"/>
      <c r="AD1323" s="1008"/>
      <c r="AE1323" s="1008"/>
      <c r="AF1323" s="1008"/>
      <c r="AG1323" s="1008"/>
      <c r="AH1323" s="1008"/>
      <c r="AI1323" s="1008"/>
    </row>
    <row r="1324" spans="1:35">
      <c r="A1324" s="1008">
        <v>24155</v>
      </c>
      <c r="C1324" s="1008">
        <v>6</v>
      </c>
      <c r="D1324" s="1009">
        <v>16629999</v>
      </c>
      <c r="E1324" s="1009">
        <v>16620000</v>
      </c>
      <c r="F1324" s="1007" t="s">
        <v>3334</v>
      </c>
      <c r="O1324" s="1007" t="s">
        <v>648</v>
      </c>
      <c r="P1324" s="1007" t="s">
        <v>648</v>
      </c>
      <c r="S1324" s="1008" t="s">
        <v>650</v>
      </c>
      <c r="T1324" s="1008" t="s">
        <v>675</v>
      </c>
      <c r="U1324" s="1008" t="s">
        <v>649</v>
      </c>
      <c r="V1324" s="1008" t="s">
        <v>648</v>
      </c>
      <c r="W1324" s="1008" t="s">
        <v>546</v>
      </c>
      <c r="X1324" s="1008"/>
      <c r="Y1324" s="1008"/>
      <c r="Z1324" s="1008"/>
      <c r="AA1324" s="1008"/>
      <c r="AB1324" s="1008"/>
      <c r="AC1324" s="1008"/>
      <c r="AD1324" s="1008"/>
      <c r="AE1324" s="1008"/>
      <c r="AF1324" s="1008"/>
      <c r="AG1324" s="1008"/>
      <c r="AH1324" s="1008"/>
      <c r="AI1324" s="1008"/>
    </row>
    <row r="1325" spans="1:35">
      <c r="A1325" s="1008">
        <v>24156</v>
      </c>
      <c r="B1325" s="1008">
        <v>1671</v>
      </c>
      <c r="C1325" s="1008">
        <v>7</v>
      </c>
      <c r="D1325" s="1009">
        <v>16629999</v>
      </c>
      <c r="E1325" s="1009">
        <v>16620400</v>
      </c>
      <c r="F1325" s="1007" t="s">
        <v>3333</v>
      </c>
      <c r="G1325" s="1007">
        <v>7</v>
      </c>
      <c r="H1325" s="1010">
        <v>99999999</v>
      </c>
      <c r="I1325" s="1009">
        <v>16620400</v>
      </c>
      <c r="J1325" s="1007" t="s">
        <v>3333</v>
      </c>
      <c r="O1325" s="1007" t="s">
        <v>648</v>
      </c>
      <c r="P1325" s="1007" t="s">
        <v>648</v>
      </c>
      <c r="S1325" s="1008" t="s">
        <v>650</v>
      </c>
      <c r="T1325" s="1008" t="s">
        <v>654</v>
      </c>
      <c r="U1325" s="1008" t="s">
        <v>649</v>
      </c>
      <c r="V1325" s="1008" t="s">
        <v>648</v>
      </c>
      <c r="W1325" s="1008" t="s">
        <v>546</v>
      </c>
      <c r="X1325" s="1008" t="s">
        <v>670</v>
      </c>
      <c r="Y1325" s="1008" t="s">
        <v>670</v>
      </c>
      <c r="Z1325" s="1008" t="s">
        <v>670</v>
      </c>
      <c r="AA1325" s="1008" t="s">
        <v>670</v>
      </c>
      <c r="AB1325" s="1008" t="s">
        <v>670</v>
      </c>
      <c r="AC1325" s="1008" t="s">
        <v>670</v>
      </c>
      <c r="AD1325" s="1008" t="s">
        <v>670</v>
      </c>
      <c r="AE1325" s="1008"/>
      <c r="AF1325" s="1008" t="s">
        <v>670</v>
      </c>
      <c r="AG1325" s="1008"/>
      <c r="AH1325" s="1008"/>
      <c r="AI1325" s="1008"/>
    </row>
    <row r="1326" spans="1:35">
      <c r="A1326" s="1008">
        <v>24157</v>
      </c>
      <c r="B1326" s="1008">
        <v>1672</v>
      </c>
      <c r="C1326" s="1008">
        <v>7</v>
      </c>
      <c r="D1326" s="1009">
        <v>16629999</v>
      </c>
      <c r="E1326" s="1009">
        <v>16620700</v>
      </c>
      <c r="F1326" s="1007" t="s">
        <v>3332</v>
      </c>
      <c r="G1326" s="1007">
        <v>7</v>
      </c>
      <c r="H1326" s="1010">
        <v>99999999</v>
      </c>
      <c r="I1326" s="1009">
        <v>16620700</v>
      </c>
      <c r="J1326" s="1007" t="s">
        <v>3332</v>
      </c>
      <c r="O1326" s="1007" t="s">
        <v>648</v>
      </c>
      <c r="P1326" s="1007" t="s">
        <v>648</v>
      </c>
      <c r="S1326" s="1008" t="s">
        <v>650</v>
      </c>
      <c r="T1326" s="1008" t="s">
        <v>654</v>
      </c>
      <c r="U1326" s="1008" t="s">
        <v>649</v>
      </c>
      <c r="V1326" s="1008" t="s">
        <v>648</v>
      </c>
      <c r="W1326" s="1008" t="s">
        <v>546</v>
      </c>
      <c r="X1326" s="1008" t="s">
        <v>670</v>
      </c>
      <c r="Y1326" s="1008" t="s">
        <v>670</v>
      </c>
      <c r="Z1326" s="1008" t="s">
        <v>670</v>
      </c>
      <c r="AA1326" s="1008" t="s">
        <v>670</v>
      </c>
      <c r="AB1326" s="1008" t="s">
        <v>670</v>
      </c>
      <c r="AC1326" s="1008" t="s">
        <v>670</v>
      </c>
      <c r="AD1326" s="1008" t="s">
        <v>670</v>
      </c>
      <c r="AE1326" s="1008"/>
      <c r="AF1326" s="1008" t="s">
        <v>670</v>
      </c>
      <c r="AG1326" s="1008"/>
      <c r="AH1326" s="1008"/>
      <c r="AI1326" s="1008"/>
    </row>
    <row r="1327" spans="1:35">
      <c r="A1327" s="1008">
        <v>24158</v>
      </c>
      <c r="B1327" s="1008">
        <v>4925</v>
      </c>
      <c r="C1327" s="1008">
        <v>7</v>
      </c>
      <c r="D1327" s="1009">
        <v>16629999</v>
      </c>
      <c r="E1327" s="1009">
        <v>16620800</v>
      </c>
      <c r="F1327" s="1007" t="s">
        <v>3331</v>
      </c>
      <c r="G1327" s="1007">
        <v>7</v>
      </c>
      <c r="H1327" s="1010">
        <v>99999999</v>
      </c>
      <c r="I1327" s="1009">
        <v>16620800</v>
      </c>
      <c r="J1327" s="1007" t="s">
        <v>3331</v>
      </c>
      <c r="O1327" s="1007" t="s">
        <v>648</v>
      </c>
      <c r="P1327" s="1007" t="s">
        <v>648</v>
      </c>
      <c r="S1327" s="1008" t="s">
        <v>650</v>
      </c>
      <c r="T1327" s="1008" t="s">
        <v>654</v>
      </c>
      <c r="U1327" s="1008" t="s">
        <v>649</v>
      </c>
      <c r="V1327" s="1008" t="s">
        <v>648</v>
      </c>
      <c r="W1327" s="1008" t="s">
        <v>546</v>
      </c>
      <c r="X1327" s="1008" t="s">
        <v>670</v>
      </c>
      <c r="Y1327" s="1008" t="s">
        <v>670</v>
      </c>
      <c r="Z1327" s="1008" t="s">
        <v>670</v>
      </c>
      <c r="AA1327" s="1008" t="s">
        <v>670</v>
      </c>
      <c r="AB1327" s="1008" t="s">
        <v>670</v>
      </c>
      <c r="AC1327" s="1008" t="s">
        <v>670</v>
      </c>
      <c r="AD1327" s="1008" t="s">
        <v>670</v>
      </c>
      <c r="AE1327" s="1008"/>
      <c r="AF1327" s="1008" t="s">
        <v>670</v>
      </c>
      <c r="AG1327" s="1008"/>
      <c r="AH1327" s="1008"/>
      <c r="AI1327" s="1008"/>
    </row>
    <row r="1328" spans="1:35">
      <c r="A1328" s="1008">
        <v>24159</v>
      </c>
      <c r="C1328" s="1008">
        <v>6</v>
      </c>
      <c r="D1328" s="1009">
        <v>16699900</v>
      </c>
      <c r="E1328" s="1009">
        <v>16629999</v>
      </c>
      <c r="F1328" s="1007" t="s">
        <v>3330</v>
      </c>
      <c r="O1328" s="1007" t="s">
        <v>648</v>
      </c>
      <c r="P1328" s="1007" t="s">
        <v>648</v>
      </c>
      <c r="S1328" s="1008" t="s">
        <v>650</v>
      </c>
      <c r="T1328" s="1008" t="s">
        <v>21</v>
      </c>
      <c r="U1328" s="1008" t="s">
        <v>649</v>
      </c>
      <c r="V1328" s="1008" t="s">
        <v>648</v>
      </c>
      <c r="W1328" s="1008" t="s">
        <v>546</v>
      </c>
      <c r="X1328" s="1008"/>
      <c r="Y1328" s="1008"/>
      <c r="Z1328" s="1008"/>
      <c r="AA1328" s="1008"/>
      <c r="AB1328" s="1008"/>
      <c r="AC1328" s="1008"/>
      <c r="AD1328" s="1008"/>
      <c r="AE1328" s="1008"/>
      <c r="AF1328" s="1008"/>
      <c r="AG1328" s="1008"/>
      <c r="AH1328" s="1008"/>
      <c r="AI1328" s="1008"/>
    </row>
    <row r="1329" spans="1:35">
      <c r="A1329" s="1008">
        <v>24160</v>
      </c>
      <c r="C1329" s="1008">
        <v>6</v>
      </c>
      <c r="D1329" s="1009">
        <v>16639999</v>
      </c>
      <c r="E1329" s="1009">
        <v>16630000</v>
      </c>
      <c r="F1329" s="1007" t="s">
        <v>3329</v>
      </c>
      <c r="O1329" s="1007" t="s">
        <v>648</v>
      </c>
      <c r="P1329" s="1007" t="s">
        <v>648</v>
      </c>
      <c r="S1329" s="1008" t="s">
        <v>650</v>
      </c>
      <c r="T1329" s="1008" t="s">
        <v>675</v>
      </c>
      <c r="U1329" s="1008" t="s">
        <v>649</v>
      </c>
      <c r="V1329" s="1008" t="s">
        <v>648</v>
      </c>
      <c r="W1329" s="1008" t="s">
        <v>546</v>
      </c>
      <c r="X1329" s="1008"/>
      <c r="Y1329" s="1008"/>
      <c r="Z1329" s="1008"/>
      <c r="AA1329" s="1008"/>
      <c r="AB1329" s="1008"/>
      <c r="AC1329" s="1008"/>
      <c r="AD1329" s="1008"/>
      <c r="AE1329" s="1008"/>
      <c r="AF1329" s="1008"/>
      <c r="AG1329" s="1008"/>
      <c r="AH1329" s="1008"/>
      <c r="AI1329" s="1008"/>
    </row>
    <row r="1330" spans="1:35">
      <c r="A1330" s="1008">
        <v>24161</v>
      </c>
      <c r="B1330" s="1008">
        <v>1674</v>
      </c>
      <c r="C1330" s="1008">
        <v>7</v>
      </c>
      <c r="D1330" s="1009">
        <v>16639999</v>
      </c>
      <c r="E1330" s="1009">
        <v>16630400</v>
      </c>
      <c r="F1330" s="1007" t="s">
        <v>3328</v>
      </c>
      <c r="G1330" s="1007">
        <v>7</v>
      </c>
      <c r="H1330" s="1010">
        <v>99999999</v>
      </c>
      <c r="I1330" s="1009">
        <v>16630400</v>
      </c>
      <c r="J1330" s="1007" t="s">
        <v>3328</v>
      </c>
      <c r="O1330" s="1007" t="s">
        <v>648</v>
      </c>
      <c r="P1330" s="1007" t="s">
        <v>648</v>
      </c>
      <c r="S1330" s="1008" t="s">
        <v>650</v>
      </c>
      <c r="T1330" s="1008" t="s">
        <v>654</v>
      </c>
      <c r="U1330" s="1008" t="s">
        <v>649</v>
      </c>
      <c r="V1330" s="1008" t="s">
        <v>648</v>
      </c>
      <c r="W1330" s="1008" t="s">
        <v>546</v>
      </c>
      <c r="X1330" s="1008" t="s">
        <v>670</v>
      </c>
      <c r="Y1330" s="1008" t="s">
        <v>670</v>
      </c>
      <c r="Z1330" s="1008" t="s">
        <v>670</v>
      </c>
      <c r="AA1330" s="1008" t="s">
        <v>670</v>
      </c>
      <c r="AB1330" s="1008" t="s">
        <v>670</v>
      </c>
      <c r="AC1330" s="1008" t="s">
        <v>670</v>
      </c>
      <c r="AD1330" s="1008" t="s">
        <v>670</v>
      </c>
      <c r="AE1330" s="1008"/>
      <c r="AF1330" s="1008" t="s">
        <v>670</v>
      </c>
      <c r="AG1330" s="1008"/>
      <c r="AH1330" s="1008"/>
      <c r="AI1330" s="1008"/>
    </row>
    <row r="1331" spans="1:35">
      <c r="A1331" s="1008">
        <v>24162</v>
      </c>
      <c r="B1331" s="1008">
        <v>1675</v>
      </c>
      <c r="C1331" s="1008">
        <v>7</v>
      </c>
      <c r="D1331" s="1009">
        <v>16639999</v>
      </c>
      <c r="E1331" s="1009">
        <v>16630700</v>
      </c>
      <c r="F1331" s="1007" t="s">
        <v>3327</v>
      </c>
      <c r="G1331" s="1007">
        <v>7</v>
      </c>
      <c r="H1331" s="1010">
        <v>99999999</v>
      </c>
      <c r="I1331" s="1009">
        <v>16630700</v>
      </c>
      <c r="J1331" s="1007" t="s">
        <v>3327</v>
      </c>
      <c r="O1331" s="1007" t="s">
        <v>648</v>
      </c>
      <c r="P1331" s="1007" t="s">
        <v>648</v>
      </c>
      <c r="S1331" s="1008" t="s">
        <v>650</v>
      </c>
      <c r="T1331" s="1008" t="s">
        <v>654</v>
      </c>
      <c r="U1331" s="1008" t="s">
        <v>649</v>
      </c>
      <c r="V1331" s="1008" t="s">
        <v>648</v>
      </c>
      <c r="W1331" s="1008" t="s">
        <v>546</v>
      </c>
      <c r="X1331" s="1008" t="s">
        <v>670</v>
      </c>
      <c r="Y1331" s="1008" t="s">
        <v>670</v>
      </c>
      <c r="Z1331" s="1008" t="s">
        <v>670</v>
      </c>
      <c r="AA1331" s="1008" t="s">
        <v>670</v>
      </c>
      <c r="AB1331" s="1008" t="s">
        <v>670</v>
      </c>
      <c r="AC1331" s="1008" t="s">
        <v>670</v>
      </c>
      <c r="AD1331" s="1008" t="s">
        <v>670</v>
      </c>
      <c r="AE1331" s="1008"/>
      <c r="AF1331" s="1008" t="s">
        <v>670</v>
      </c>
      <c r="AG1331" s="1008"/>
      <c r="AH1331" s="1008"/>
      <c r="AI1331" s="1008"/>
    </row>
    <row r="1332" spans="1:35">
      <c r="A1332" s="1008">
        <v>24163</v>
      </c>
      <c r="B1332" s="1008">
        <v>4927</v>
      </c>
      <c r="C1332" s="1008">
        <v>7</v>
      </c>
      <c r="D1332" s="1009">
        <v>16639999</v>
      </c>
      <c r="E1332" s="1009">
        <v>16630800</v>
      </c>
      <c r="F1332" s="1007" t="s">
        <v>3326</v>
      </c>
      <c r="G1332" s="1007">
        <v>7</v>
      </c>
      <c r="H1332" s="1010">
        <v>99999999</v>
      </c>
      <c r="I1332" s="1009">
        <v>16630800</v>
      </c>
      <c r="J1332" s="1007" t="s">
        <v>3326</v>
      </c>
      <c r="O1332" s="1007" t="s">
        <v>648</v>
      </c>
      <c r="P1332" s="1007" t="s">
        <v>648</v>
      </c>
      <c r="S1332" s="1008" t="s">
        <v>650</v>
      </c>
      <c r="T1332" s="1008" t="s">
        <v>654</v>
      </c>
      <c r="U1332" s="1008" t="s">
        <v>649</v>
      </c>
      <c r="V1332" s="1008" t="s">
        <v>648</v>
      </c>
      <c r="W1332" s="1008" t="s">
        <v>546</v>
      </c>
      <c r="X1332" s="1008" t="s">
        <v>670</v>
      </c>
      <c r="Y1332" s="1008" t="s">
        <v>670</v>
      </c>
      <c r="Z1332" s="1008" t="s">
        <v>670</v>
      </c>
      <c r="AA1332" s="1008" t="s">
        <v>670</v>
      </c>
      <c r="AB1332" s="1008" t="s">
        <v>670</v>
      </c>
      <c r="AC1332" s="1008" t="s">
        <v>670</v>
      </c>
      <c r="AD1332" s="1008" t="s">
        <v>670</v>
      </c>
      <c r="AE1332" s="1008"/>
      <c r="AF1332" s="1008" t="s">
        <v>670</v>
      </c>
      <c r="AG1332" s="1008"/>
      <c r="AH1332" s="1008"/>
      <c r="AI1332" s="1008"/>
    </row>
    <row r="1333" spans="1:35">
      <c r="A1333" s="1008">
        <v>24164</v>
      </c>
      <c r="C1333" s="1008">
        <v>6</v>
      </c>
      <c r="D1333" s="1009">
        <v>16699900</v>
      </c>
      <c r="E1333" s="1009">
        <v>16639999</v>
      </c>
      <c r="F1333" s="1007" t="s">
        <v>3325</v>
      </c>
      <c r="O1333" s="1007" t="s">
        <v>648</v>
      </c>
      <c r="P1333" s="1007" t="s">
        <v>648</v>
      </c>
      <c r="S1333" s="1008" t="s">
        <v>650</v>
      </c>
      <c r="T1333" s="1008" t="s">
        <v>21</v>
      </c>
      <c r="U1333" s="1008" t="s">
        <v>649</v>
      </c>
      <c r="V1333" s="1008" t="s">
        <v>648</v>
      </c>
      <c r="W1333" s="1008" t="s">
        <v>546</v>
      </c>
      <c r="X1333" s="1008"/>
      <c r="Y1333" s="1008"/>
      <c r="Z1333" s="1008"/>
      <c r="AA1333" s="1008"/>
      <c r="AB1333" s="1008"/>
      <c r="AC1333" s="1008"/>
      <c r="AD1333" s="1008"/>
      <c r="AE1333" s="1008"/>
      <c r="AF1333" s="1008"/>
      <c r="AG1333" s="1008"/>
      <c r="AH1333" s="1008"/>
      <c r="AI1333" s="1008"/>
    </row>
    <row r="1334" spans="1:35">
      <c r="A1334" s="1008">
        <v>24165</v>
      </c>
      <c r="C1334" s="1008">
        <v>6</v>
      </c>
      <c r="D1334" s="1009">
        <v>16649999</v>
      </c>
      <c r="E1334" s="1009">
        <v>16640000</v>
      </c>
      <c r="F1334" s="1007" t="s">
        <v>3324</v>
      </c>
      <c r="O1334" s="1007" t="s">
        <v>648</v>
      </c>
      <c r="P1334" s="1007" t="s">
        <v>648</v>
      </c>
      <c r="S1334" s="1008" t="s">
        <v>650</v>
      </c>
      <c r="T1334" s="1008" t="s">
        <v>675</v>
      </c>
      <c r="U1334" s="1008" t="s">
        <v>649</v>
      </c>
      <c r="V1334" s="1008" t="s">
        <v>648</v>
      </c>
      <c r="W1334" s="1008" t="s">
        <v>546</v>
      </c>
      <c r="X1334" s="1008"/>
      <c r="Y1334" s="1008"/>
      <c r="Z1334" s="1008"/>
      <c r="AA1334" s="1008"/>
      <c r="AB1334" s="1008"/>
      <c r="AC1334" s="1008"/>
      <c r="AD1334" s="1008"/>
      <c r="AE1334" s="1008"/>
      <c r="AF1334" s="1008"/>
      <c r="AG1334" s="1008"/>
      <c r="AH1334" s="1008"/>
      <c r="AI1334" s="1008"/>
    </row>
    <row r="1335" spans="1:35">
      <c r="A1335" s="1008">
        <v>24166</v>
      </c>
      <c r="B1335" s="1008">
        <v>1677</v>
      </c>
      <c r="C1335" s="1008">
        <v>7</v>
      </c>
      <c r="D1335" s="1009">
        <v>16649999</v>
      </c>
      <c r="E1335" s="1009">
        <v>16640400</v>
      </c>
      <c r="F1335" s="1007" t="s">
        <v>3323</v>
      </c>
      <c r="G1335" s="1007">
        <v>7</v>
      </c>
      <c r="H1335" s="1010">
        <v>99999999</v>
      </c>
      <c r="I1335" s="1009">
        <v>16640400</v>
      </c>
      <c r="J1335" s="1007" t="s">
        <v>3323</v>
      </c>
      <c r="O1335" s="1007" t="s">
        <v>648</v>
      </c>
      <c r="P1335" s="1007" t="s">
        <v>648</v>
      </c>
      <c r="S1335" s="1008" t="s">
        <v>650</v>
      </c>
      <c r="T1335" s="1008" t="s">
        <v>654</v>
      </c>
      <c r="U1335" s="1008" t="s">
        <v>649</v>
      </c>
      <c r="V1335" s="1008" t="s">
        <v>648</v>
      </c>
      <c r="W1335" s="1008" t="s">
        <v>546</v>
      </c>
      <c r="X1335" s="1008" t="s">
        <v>670</v>
      </c>
      <c r="Y1335" s="1008" t="s">
        <v>670</v>
      </c>
      <c r="Z1335" s="1008" t="s">
        <v>670</v>
      </c>
      <c r="AA1335" s="1008" t="s">
        <v>670</v>
      </c>
      <c r="AB1335" s="1008" t="s">
        <v>670</v>
      </c>
      <c r="AC1335" s="1008" t="s">
        <v>670</v>
      </c>
      <c r="AD1335" s="1008" t="s">
        <v>670</v>
      </c>
      <c r="AE1335" s="1008"/>
      <c r="AF1335" s="1008" t="s">
        <v>670</v>
      </c>
      <c r="AG1335" s="1008"/>
      <c r="AH1335" s="1008"/>
      <c r="AI1335" s="1008"/>
    </row>
    <row r="1336" spans="1:35">
      <c r="A1336" s="1008">
        <v>24167</v>
      </c>
      <c r="B1336" s="1008">
        <v>702</v>
      </c>
      <c r="C1336" s="1008">
        <v>7</v>
      </c>
      <c r="D1336" s="1009">
        <v>16649999</v>
      </c>
      <c r="E1336" s="1009">
        <v>16640700</v>
      </c>
      <c r="F1336" s="1007" t="s">
        <v>3322</v>
      </c>
      <c r="G1336" s="1007">
        <v>8</v>
      </c>
      <c r="H1336" s="1010">
        <v>99999999</v>
      </c>
      <c r="I1336" s="1009">
        <v>16640700</v>
      </c>
      <c r="J1336" s="1007" t="s">
        <v>3322</v>
      </c>
      <c r="O1336" s="1007" t="s">
        <v>648</v>
      </c>
      <c r="P1336" s="1007" t="s">
        <v>648</v>
      </c>
      <c r="S1336" s="1008" t="s">
        <v>650</v>
      </c>
      <c r="T1336" s="1008" t="s">
        <v>654</v>
      </c>
      <c r="U1336" s="1008" t="s">
        <v>649</v>
      </c>
      <c r="V1336" s="1008" t="s">
        <v>648</v>
      </c>
      <c r="W1336" s="1008" t="s">
        <v>546</v>
      </c>
      <c r="X1336" s="1008" t="s">
        <v>670</v>
      </c>
      <c r="Y1336" s="1008" t="s">
        <v>670</v>
      </c>
      <c r="Z1336" s="1008" t="s">
        <v>670</v>
      </c>
      <c r="AA1336" s="1008" t="s">
        <v>670</v>
      </c>
      <c r="AB1336" s="1008" t="s">
        <v>670</v>
      </c>
      <c r="AC1336" s="1008" t="s">
        <v>670</v>
      </c>
      <c r="AD1336" s="1008" t="s">
        <v>670</v>
      </c>
      <c r="AE1336" s="1008"/>
      <c r="AF1336" s="1008" t="s">
        <v>670</v>
      </c>
      <c r="AG1336" s="1008"/>
      <c r="AH1336" s="1008"/>
      <c r="AI1336" s="1008"/>
    </row>
    <row r="1337" spans="1:35">
      <c r="A1337" s="1008">
        <v>24168</v>
      </c>
      <c r="B1337" s="1008">
        <v>4929</v>
      </c>
      <c r="C1337" s="1008">
        <v>7</v>
      </c>
      <c r="D1337" s="1009">
        <v>16649999</v>
      </c>
      <c r="E1337" s="1009">
        <v>16640800</v>
      </c>
      <c r="F1337" s="1007" t="s">
        <v>3321</v>
      </c>
      <c r="G1337" s="1007">
        <v>7</v>
      </c>
      <c r="H1337" s="1010">
        <v>99999999</v>
      </c>
      <c r="I1337" s="1009">
        <v>16640800</v>
      </c>
      <c r="J1337" s="1007" t="s">
        <v>3321</v>
      </c>
      <c r="O1337" s="1007" t="s">
        <v>648</v>
      </c>
      <c r="P1337" s="1007" t="s">
        <v>648</v>
      </c>
      <c r="S1337" s="1008" t="s">
        <v>650</v>
      </c>
      <c r="T1337" s="1008" t="s">
        <v>654</v>
      </c>
      <c r="U1337" s="1008" t="s">
        <v>649</v>
      </c>
      <c r="V1337" s="1008" t="s">
        <v>648</v>
      </c>
      <c r="W1337" s="1008" t="s">
        <v>546</v>
      </c>
      <c r="X1337" s="1008" t="s">
        <v>670</v>
      </c>
      <c r="Y1337" s="1008" t="s">
        <v>670</v>
      </c>
      <c r="Z1337" s="1008" t="s">
        <v>670</v>
      </c>
      <c r="AA1337" s="1008" t="s">
        <v>670</v>
      </c>
      <c r="AB1337" s="1008" t="s">
        <v>670</v>
      </c>
      <c r="AC1337" s="1008" t="s">
        <v>670</v>
      </c>
      <c r="AD1337" s="1008" t="s">
        <v>670</v>
      </c>
      <c r="AE1337" s="1008"/>
      <c r="AF1337" s="1008" t="s">
        <v>670</v>
      </c>
      <c r="AG1337" s="1008"/>
      <c r="AH1337" s="1008"/>
      <c r="AI1337" s="1008"/>
    </row>
    <row r="1338" spans="1:35">
      <c r="A1338" s="1008">
        <v>24169</v>
      </c>
      <c r="C1338" s="1008">
        <v>6</v>
      </c>
      <c r="D1338" s="1009">
        <v>16699900</v>
      </c>
      <c r="E1338" s="1009">
        <v>16649999</v>
      </c>
      <c r="F1338" s="1007" t="s">
        <v>3320</v>
      </c>
      <c r="O1338" s="1007" t="s">
        <v>648</v>
      </c>
      <c r="P1338" s="1007" t="s">
        <v>648</v>
      </c>
      <c r="S1338" s="1008" t="s">
        <v>650</v>
      </c>
      <c r="T1338" s="1008" t="s">
        <v>21</v>
      </c>
      <c r="U1338" s="1008" t="s">
        <v>649</v>
      </c>
      <c r="V1338" s="1008" t="s">
        <v>648</v>
      </c>
      <c r="W1338" s="1008" t="s">
        <v>546</v>
      </c>
      <c r="X1338" s="1008"/>
      <c r="Y1338" s="1008"/>
      <c r="Z1338" s="1008"/>
      <c r="AA1338" s="1008"/>
      <c r="AB1338" s="1008"/>
      <c r="AC1338" s="1008"/>
      <c r="AD1338" s="1008"/>
      <c r="AE1338" s="1008"/>
      <c r="AF1338" s="1008"/>
      <c r="AG1338" s="1008"/>
      <c r="AH1338" s="1008"/>
      <c r="AI1338" s="1008"/>
    </row>
    <row r="1339" spans="1:35">
      <c r="A1339" s="1008">
        <v>24170</v>
      </c>
      <c r="C1339" s="1008">
        <v>6</v>
      </c>
      <c r="D1339" s="1009">
        <v>16659999</v>
      </c>
      <c r="E1339" s="1009">
        <v>16650000</v>
      </c>
      <c r="F1339" s="1007" t="s">
        <v>3319</v>
      </c>
      <c r="O1339" s="1007" t="s">
        <v>648</v>
      </c>
      <c r="P1339" s="1007" t="s">
        <v>648</v>
      </c>
      <c r="S1339" s="1008" t="s">
        <v>650</v>
      </c>
      <c r="T1339" s="1008" t="s">
        <v>675</v>
      </c>
      <c r="U1339" s="1008" t="s">
        <v>649</v>
      </c>
      <c r="V1339" s="1008" t="s">
        <v>648</v>
      </c>
      <c r="W1339" s="1008" t="s">
        <v>546</v>
      </c>
      <c r="X1339" s="1008"/>
      <c r="Y1339" s="1008"/>
      <c r="Z1339" s="1008"/>
      <c r="AA1339" s="1008"/>
      <c r="AB1339" s="1008"/>
      <c r="AC1339" s="1008"/>
      <c r="AD1339" s="1008"/>
      <c r="AE1339" s="1008"/>
      <c r="AF1339" s="1008"/>
      <c r="AG1339" s="1008"/>
      <c r="AH1339" s="1008"/>
      <c r="AI1339" s="1008"/>
    </row>
    <row r="1340" spans="1:35">
      <c r="A1340" s="1008">
        <v>24171</v>
      </c>
      <c r="B1340" s="1008">
        <v>1680</v>
      </c>
      <c r="C1340" s="1008">
        <v>7</v>
      </c>
      <c r="D1340" s="1009">
        <v>16659999</v>
      </c>
      <c r="E1340" s="1009">
        <v>16650400</v>
      </c>
      <c r="F1340" s="1007" t="s">
        <v>3318</v>
      </c>
      <c r="G1340" s="1007">
        <v>7</v>
      </c>
      <c r="H1340" s="1010">
        <v>99999999</v>
      </c>
      <c r="I1340" s="1009">
        <v>16650400</v>
      </c>
      <c r="J1340" s="1007" t="s">
        <v>3318</v>
      </c>
      <c r="O1340" s="1007" t="s">
        <v>648</v>
      </c>
      <c r="P1340" s="1007" t="s">
        <v>648</v>
      </c>
      <c r="S1340" s="1008" t="s">
        <v>650</v>
      </c>
      <c r="T1340" s="1008" t="s">
        <v>654</v>
      </c>
      <c r="U1340" s="1008" t="s">
        <v>649</v>
      </c>
      <c r="V1340" s="1008" t="s">
        <v>648</v>
      </c>
      <c r="W1340" s="1008" t="s">
        <v>546</v>
      </c>
      <c r="X1340" s="1008" t="s">
        <v>670</v>
      </c>
      <c r="Y1340" s="1008" t="s">
        <v>670</v>
      </c>
      <c r="Z1340" s="1008" t="s">
        <v>670</v>
      </c>
      <c r="AA1340" s="1008" t="s">
        <v>670</v>
      </c>
      <c r="AB1340" s="1008" t="s">
        <v>670</v>
      </c>
      <c r="AC1340" s="1008" t="s">
        <v>670</v>
      </c>
      <c r="AD1340" s="1008" t="s">
        <v>670</v>
      </c>
      <c r="AE1340" s="1008"/>
      <c r="AF1340" s="1008" t="s">
        <v>670</v>
      </c>
      <c r="AG1340" s="1008"/>
      <c r="AH1340" s="1008"/>
      <c r="AI1340" s="1008"/>
    </row>
    <row r="1341" spans="1:35">
      <c r="A1341" s="1008">
        <v>24172</v>
      </c>
      <c r="B1341" s="1008">
        <v>1681</v>
      </c>
      <c r="C1341" s="1008">
        <v>7</v>
      </c>
      <c r="D1341" s="1009">
        <v>16659999</v>
      </c>
      <c r="E1341" s="1009">
        <v>16650700</v>
      </c>
      <c r="F1341" s="1007" t="s">
        <v>3317</v>
      </c>
      <c r="G1341" s="1007">
        <v>7</v>
      </c>
      <c r="H1341" s="1010">
        <v>99999999</v>
      </c>
      <c r="I1341" s="1009">
        <v>16650700</v>
      </c>
      <c r="J1341" s="1007" t="s">
        <v>3317</v>
      </c>
      <c r="O1341" s="1007" t="s">
        <v>648</v>
      </c>
      <c r="P1341" s="1007" t="s">
        <v>648</v>
      </c>
      <c r="S1341" s="1008" t="s">
        <v>650</v>
      </c>
      <c r="T1341" s="1008" t="s">
        <v>654</v>
      </c>
      <c r="U1341" s="1008" t="s">
        <v>649</v>
      </c>
      <c r="V1341" s="1008" t="s">
        <v>648</v>
      </c>
      <c r="W1341" s="1008" t="s">
        <v>546</v>
      </c>
      <c r="X1341" s="1008" t="s">
        <v>670</v>
      </c>
      <c r="Y1341" s="1008" t="s">
        <v>670</v>
      </c>
      <c r="Z1341" s="1008" t="s">
        <v>670</v>
      </c>
      <c r="AA1341" s="1008" t="s">
        <v>670</v>
      </c>
      <c r="AB1341" s="1008" t="s">
        <v>670</v>
      </c>
      <c r="AC1341" s="1008" t="s">
        <v>670</v>
      </c>
      <c r="AD1341" s="1008" t="s">
        <v>670</v>
      </c>
      <c r="AE1341" s="1008"/>
      <c r="AF1341" s="1008" t="s">
        <v>670</v>
      </c>
      <c r="AG1341" s="1008"/>
      <c r="AH1341" s="1008"/>
      <c r="AI1341" s="1008"/>
    </row>
    <row r="1342" spans="1:35">
      <c r="A1342" s="1008">
        <v>24173</v>
      </c>
      <c r="B1342" s="1008">
        <v>4931</v>
      </c>
      <c r="C1342" s="1008">
        <v>7</v>
      </c>
      <c r="D1342" s="1009">
        <v>16659999</v>
      </c>
      <c r="E1342" s="1009">
        <v>16650800</v>
      </c>
      <c r="F1342" s="1007" t="s">
        <v>3316</v>
      </c>
      <c r="G1342" s="1007">
        <v>7</v>
      </c>
      <c r="H1342" s="1010">
        <v>99999999</v>
      </c>
      <c r="I1342" s="1009">
        <v>16650800</v>
      </c>
      <c r="J1342" s="1007" t="s">
        <v>3316</v>
      </c>
      <c r="O1342" s="1007" t="s">
        <v>648</v>
      </c>
      <c r="P1342" s="1007" t="s">
        <v>648</v>
      </c>
      <c r="S1342" s="1008" t="s">
        <v>650</v>
      </c>
      <c r="T1342" s="1008" t="s">
        <v>654</v>
      </c>
      <c r="U1342" s="1008" t="s">
        <v>649</v>
      </c>
      <c r="V1342" s="1008" t="s">
        <v>648</v>
      </c>
      <c r="W1342" s="1008" t="s">
        <v>546</v>
      </c>
      <c r="X1342" s="1008" t="s">
        <v>670</v>
      </c>
      <c r="Y1342" s="1008" t="s">
        <v>670</v>
      </c>
      <c r="Z1342" s="1008" t="s">
        <v>670</v>
      </c>
      <c r="AA1342" s="1008" t="s">
        <v>670</v>
      </c>
      <c r="AB1342" s="1008" t="s">
        <v>670</v>
      </c>
      <c r="AC1342" s="1008" t="s">
        <v>670</v>
      </c>
      <c r="AD1342" s="1008" t="s">
        <v>670</v>
      </c>
      <c r="AE1342" s="1008"/>
      <c r="AF1342" s="1008" t="s">
        <v>670</v>
      </c>
      <c r="AG1342" s="1008"/>
      <c r="AH1342" s="1008"/>
      <c r="AI1342" s="1008"/>
    </row>
    <row r="1343" spans="1:35">
      <c r="A1343" s="1008">
        <v>24174</v>
      </c>
      <c r="C1343" s="1008">
        <v>6</v>
      </c>
      <c r="D1343" s="1009">
        <v>16699900</v>
      </c>
      <c r="E1343" s="1009">
        <v>16659999</v>
      </c>
      <c r="F1343" s="1007" t="s">
        <v>3315</v>
      </c>
      <c r="O1343" s="1007" t="s">
        <v>648</v>
      </c>
      <c r="P1343" s="1007" t="s">
        <v>648</v>
      </c>
      <c r="S1343" s="1008" t="s">
        <v>650</v>
      </c>
      <c r="T1343" s="1008" t="s">
        <v>21</v>
      </c>
      <c r="U1343" s="1008" t="s">
        <v>649</v>
      </c>
      <c r="V1343" s="1008" t="s">
        <v>648</v>
      </c>
      <c r="W1343" s="1008" t="s">
        <v>546</v>
      </c>
      <c r="X1343" s="1008"/>
      <c r="Y1343" s="1008"/>
      <c r="Z1343" s="1008"/>
      <c r="AA1343" s="1008"/>
      <c r="AB1343" s="1008"/>
      <c r="AC1343" s="1008"/>
      <c r="AD1343" s="1008"/>
      <c r="AE1343" s="1008"/>
      <c r="AF1343" s="1008"/>
      <c r="AG1343" s="1008"/>
      <c r="AH1343" s="1008"/>
      <c r="AI1343" s="1008"/>
    </row>
    <row r="1344" spans="1:35">
      <c r="A1344" s="1008">
        <v>24175</v>
      </c>
      <c r="C1344" s="1008">
        <v>6</v>
      </c>
      <c r="D1344" s="1009">
        <v>16669999</v>
      </c>
      <c r="E1344" s="1009">
        <v>16660000</v>
      </c>
      <c r="F1344" s="1007" t="s">
        <v>3314</v>
      </c>
      <c r="O1344" s="1007" t="s">
        <v>648</v>
      </c>
      <c r="P1344" s="1007" t="s">
        <v>648</v>
      </c>
      <c r="S1344" s="1008" t="s">
        <v>650</v>
      </c>
      <c r="T1344" s="1008" t="s">
        <v>675</v>
      </c>
      <c r="U1344" s="1008" t="s">
        <v>649</v>
      </c>
      <c r="V1344" s="1008" t="s">
        <v>648</v>
      </c>
      <c r="W1344" s="1008" t="s">
        <v>546</v>
      </c>
      <c r="X1344" s="1008"/>
      <c r="Y1344" s="1008"/>
      <c r="Z1344" s="1008"/>
      <c r="AA1344" s="1008"/>
      <c r="AB1344" s="1008"/>
      <c r="AC1344" s="1008"/>
      <c r="AD1344" s="1008"/>
      <c r="AE1344" s="1008"/>
      <c r="AF1344" s="1008"/>
      <c r="AG1344" s="1008"/>
      <c r="AH1344" s="1008"/>
      <c r="AI1344" s="1008"/>
    </row>
    <row r="1345" spans="1:35">
      <c r="A1345" s="1008">
        <v>24176</v>
      </c>
      <c r="B1345" s="1008">
        <v>1683</v>
      </c>
      <c r="C1345" s="1008">
        <v>7</v>
      </c>
      <c r="D1345" s="1009">
        <v>16669999</v>
      </c>
      <c r="E1345" s="1009">
        <v>16660400</v>
      </c>
      <c r="F1345" s="1007" t="s">
        <v>3313</v>
      </c>
      <c r="G1345" s="1007">
        <v>7</v>
      </c>
      <c r="H1345" s="1010">
        <v>99999999</v>
      </c>
      <c r="I1345" s="1009">
        <v>16660400</v>
      </c>
      <c r="J1345" s="1007" t="s">
        <v>3313</v>
      </c>
      <c r="O1345" s="1007" t="s">
        <v>648</v>
      </c>
      <c r="P1345" s="1007" t="s">
        <v>648</v>
      </c>
      <c r="S1345" s="1008" t="s">
        <v>650</v>
      </c>
      <c r="T1345" s="1008" t="s">
        <v>654</v>
      </c>
      <c r="U1345" s="1008" t="s">
        <v>649</v>
      </c>
      <c r="V1345" s="1008" t="s">
        <v>648</v>
      </c>
      <c r="W1345" s="1008" t="s">
        <v>546</v>
      </c>
      <c r="X1345" s="1008" t="s">
        <v>670</v>
      </c>
      <c r="Y1345" s="1008" t="s">
        <v>670</v>
      </c>
      <c r="Z1345" s="1008" t="s">
        <v>670</v>
      </c>
      <c r="AA1345" s="1008" t="s">
        <v>670</v>
      </c>
      <c r="AB1345" s="1008" t="s">
        <v>670</v>
      </c>
      <c r="AC1345" s="1008" t="s">
        <v>670</v>
      </c>
      <c r="AD1345" s="1008" t="s">
        <v>670</v>
      </c>
      <c r="AE1345" s="1008"/>
      <c r="AF1345" s="1008" t="s">
        <v>670</v>
      </c>
      <c r="AG1345" s="1008"/>
      <c r="AH1345" s="1008"/>
      <c r="AI1345" s="1008"/>
    </row>
    <row r="1346" spans="1:35">
      <c r="A1346" s="1008">
        <v>24177</v>
      </c>
      <c r="B1346" s="1008">
        <v>1684</v>
      </c>
      <c r="C1346" s="1008">
        <v>7</v>
      </c>
      <c r="D1346" s="1009">
        <v>16669999</v>
      </c>
      <c r="E1346" s="1009">
        <v>16660700</v>
      </c>
      <c r="F1346" s="1007" t="s">
        <v>3312</v>
      </c>
      <c r="G1346" s="1007">
        <v>7</v>
      </c>
      <c r="H1346" s="1010">
        <v>99999999</v>
      </c>
      <c r="I1346" s="1009">
        <v>16660700</v>
      </c>
      <c r="J1346" s="1007" t="s">
        <v>3312</v>
      </c>
      <c r="O1346" s="1007" t="s">
        <v>648</v>
      </c>
      <c r="P1346" s="1007" t="s">
        <v>648</v>
      </c>
      <c r="S1346" s="1008" t="s">
        <v>650</v>
      </c>
      <c r="T1346" s="1008" t="s">
        <v>654</v>
      </c>
      <c r="U1346" s="1008" t="s">
        <v>649</v>
      </c>
      <c r="V1346" s="1008" t="s">
        <v>648</v>
      </c>
      <c r="W1346" s="1008" t="s">
        <v>546</v>
      </c>
      <c r="X1346" s="1008" t="s">
        <v>670</v>
      </c>
      <c r="Y1346" s="1008" t="s">
        <v>670</v>
      </c>
      <c r="Z1346" s="1008" t="s">
        <v>670</v>
      </c>
      <c r="AA1346" s="1008" t="s">
        <v>670</v>
      </c>
      <c r="AB1346" s="1008" t="s">
        <v>670</v>
      </c>
      <c r="AC1346" s="1008" t="s">
        <v>670</v>
      </c>
      <c r="AD1346" s="1008" t="s">
        <v>670</v>
      </c>
      <c r="AE1346" s="1008"/>
      <c r="AF1346" s="1008" t="s">
        <v>670</v>
      </c>
      <c r="AG1346" s="1008"/>
      <c r="AH1346" s="1008"/>
      <c r="AI1346" s="1008"/>
    </row>
    <row r="1347" spans="1:35">
      <c r="A1347" s="1008">
        <v>24178</v>
      </c>
      <c r="B1347" s="1008">
        <v>4933</v>
      </c>
      <c r="C1347" s="1008">
        <v>7</v>
      </c>
      <c r="D1347" s="1009">
        <v>16669999</v>
      </c>
      <c r="E1347" s="1009">
        <v>16660800</v>
      </c>
      <c r="F1347" s="1007" t="s">
        <v>3311</v>
      </c>
      <c r="G1347" s="1007">
        <v>7</v>
      </c>
      <c r="H1347" s="1010">
        <v>99999999</v>
      </c>
      <c r="I1347" s="1009">
        <v>16660800</v>
      </c>
      <c r="J1347" s="1007" t="s">
        <v>3311</v>
      </c>
      <c r="O1347" s="1007" t="s">
        <v>648</v>
      </c>
      <c r="P1347" s="1007" t="s">
        <v>648</v>
      </c>
      <c r="S1347" s="1008" t="s">
        <v>650</v>
      </c>
      <c r="T1347" s="1008" t="s">
        <v>654</v>
      </c>
      <c r="U1347" s="1008" t="s">
        <v>649</v>
      </c>
      <c r="V1347" s="1008" t="s">
        <v>648</v>
      </c>
      <c r="W1347" s="1008" t="s">
        <v>546</v>
      </c>
      <c r="X1347" s="1008" t="s">
        <v>670</v>
      </c>
      <c r="Y1347" s="1008" t="s">
        <v>670</v>
      </c>
      <c r="Z1347" s="1008" t="s">
        <v>670</v>
      </c>
      <c r="AA1347" s="1008" t="s">
        <v>670</v>
      </c>
      <c r="AB1347" s="1008" t="s">
        <v>670</v>
      </c>
      <c r="AC1347" s="1008" t="s">
        <v>670</v>
      </c>
      <c r="AD1347" s="1008" t="s">
        <v>670</v>
      </c>
      <c r="AE1347" s="1008"/>
      <c r="AF1347" s="1008" t="s">
        <v>670</v>
      </c>
      <c r="AG1347" s="1008"/>
      <c r="AH1347" s="1008"/>
      <c r="AI1347" s="1008"/>
    </row>
    <row r="1348" spans="1:35">
      <c r="A1348" s="1008">
        <v>24179</v>
      </c>
      <c r="C1348" s="1008">
        <v>6</v>
      </c>
      <c r="D1348" s="1009">
        <v>16699900</v>
      </c>
      <c r="E1348" s="1009">
        <v>16669999</v>
      </c>
      <c r="F1348" s="1007" t="s">
        <v>3310</v>
      </c>
      <c r="O1348" s="1007" t="s">
        <v>648</v>
      </c>
      <c r="P1348" s="1007" t="s">
        <v>648</v>
      </c>
      <c r="S1348" s="1008" t="s">
        <v>650</v>
      </c>
      <c r="T1348" s="1008" t="s">
        <v>21</v>
      </c>
      <c r="U1348" s="1008" t="s">
        <v>649</v>
      </c>
      <c r="V1348" s="1008" t="s">
        <v>648</v>
      </c>
      <c r="W1348" s="1008" t="s">
        <v>546</v>
      </c>
      <c r="X1348" s="1008"/>
      <c r="Y1348" s="1008"/>
      <c r="Z1348" s="1008"/>
      <c r="AA1348" s="1008"/>
      <c r="AB1348" s="1008"/>
      <c r="AC1348" s="1008"/>
      <c r="AD1348" s="1008"/>
      <c r="AE1348" s="1008"/>
      <c r="AF1348" s="1008"/>
      <c r="AG1348" s="1008"/>
      <c r="AH1348" s="1008"/>
      <c r="AI1348" s="1008"/>
    </row>
    <row r="1349" spans="1:35">
      <c r="A1349" s="1008">
        <v>24180</v>
      </c>
      <c r="C1349" s="1008">
        <v>6</v>
      </c>
      <c r="D1349" s="1009">
        <v>16679999</v>
      </c>
      <c r="E1349" s="1009">
        <v>16670000</v>
      </c>
      <c r="F1349" s="1007" t="s">
        <v>3309</v>
      </c>
      <c r="O1349" s="1007" t="s">
        <v>648</v>
      </c>
      <c r="P1349" s="1007" t="s">
        <v>648</v>
      </c>
      <c r="S1349" s="1008" t="s">
        <v>650</v>
      </c>
      <c r="T1349" s="1008" t="s">
        <v>675</v>
      </c>
      <c r="U1349" s="1008" t="s">
        <v>649</v>
      </c>
      <c r="V1349" s="1008" t="s">
        <v>648</v>
      </c>
      <c r="W1349" s="1008" t="s">
        <v>546</v>
      </c>
      <c r="X1349" s="1008"/>
      <c r="Y1349" s="1008"/>
      <c r="Z1349" s="1008"/>
      <c r="AA1349" s="1008"/>
      <c r="AB1349" s="1008"/>
      <c r="AC1349" s="1008"/>
      <c r="AD1349" s="1008"/>
      <c r="AE1349" s="1008"/>
      <c r="AF1349" s="1008"/>
      <c r="AG1349" s="1008"/>
      <c r="AH1349" s="1008"/>
      <c r="AI1349" s="1008"/>
    </row>
    <row r="1350" spans="1:35">
      <c r="A1350" s="1008">
        <v>24181</v>
      </c>
      <c r="B1350" s="1008">
        <v>1686</v>
      </c>
      <c r="C1350" s="1008">
        <v>7</v>
      </c>
      <c r="D1350" s="1009">
        <v>16679999</v>
      </c>
      <c r="E1350" s="1009">
        <v>16670400</v>
      </c>
      <c r="F1350" s="1007" t="s">
        <v>3308</v>
      </c>
      <c r="G1350" s="1007">
        <v>7</v>
      </c>
      <c r="H1350" s="1010">
        <v>99999999</v>
      </c>
      <c r="I1350" s="1009">
        <v>16670400</v>
      </c>
      <c r="J1350" s="1007" t="s">
        <v>3308</v>
      </c>
      <c r="O1350" s="1007" t="s">
        <v>648</v>
      </c>
      <c r="P1350" s="1007" t="s">
        <v>648</v>
      </c>
      <c r="S1350" s="1008" t="s">
        <v>650</v>
      </c>
      <c r="T1350" s="1008" t="s">
        <v>654</v>
      </c>
      <c r="U1350" s="1008" t="s">
        <v>649</v>
      </c>
      <c r="V1350" s="1008" t="s">
        <v>648</v>
      </c>
      <c r="W1350" s="1008" t="s">
        <v>546</v>
      </c>
      <c r="X1350" s="1008" t="s">
        <v>670</v>
      </c>
      <c r="Y1350" s="1008" t="s">
        <v>670</v>
      </c>
      <c r="Z1350" s="1008" t="s">
        <v>670</v>
      </c>
      <c r="AA1350" s="1008" t="s">
        <v>670</v>
      </c>
      <c r="AB1350" s="1008" t="s">
        <v>670</v>
      </c>
      <c r="AC1350" s="1008" t="s">
        <v>670</v>
      </c>
      <c r="AD1350" s="1008" t="s">
        <v>670</v>
      </c>
      <c r="AE1350" s="1008"/>
      <c r="AF1350" s="1008" t="s">
        <v>670</v>
      </c>
      <c r="AG1350" s="1008"/>
      <c r="AH1350" s="1008"/>
      <c r="AI1350" s="1008"/>
    </row>
    <row r="1351" spans="1:35">
      <c r="A1351" s="1008">
        <v>24182</v>
      </c>
      <c r="B1351" s="1008">
        <v>1687</v>
      </c>
      <c r="C1351" s="1008">
        <v>7</v>
      </c>
      <c r="D1351" s="1009">
        <v>16679999</v>
      </c>
      <c r="E1351" s="1009">
        <v>16670700</v>
      </c>
      <c r="F1351" s="1007" t="s">
        <v>3307</v>
      </c>
      <c r="G1351" s="1007">
        <v>7</v>
      </c>
      <c r="H1351" s="1010">
        <v>99999999</v>
      </c>
      <c r="I1351" s="1009">
        <v>16670700</v>
      </c>
      <c r="J1351" s="1007" t="s">
        <v>3307</v>
      </c>
      <c r="O1351" s="1007" t="s">
        <v>648</v>
      </c>
      <c r="P1351" s="1007" t="s">
        <v>648</v>
      </c>
      <c r="S1351" s="1008" t="s">
        <v>650</v>
      </c>
      <c r="T1351" s="1008" t="s">
        <v>654</v>
      </c>
      <c r="U1351" s="1008" t="s">
        <v>649</v>
      </c>
      <c r="V1351" s="1008" t="s">
        <v>648</v>
      </c>
      <c r="W1351" s="1008" t="s">
        <v>546</v>
      </c>
      <c r="X1351" s="1008" t="s">
        <v>670</v>
      </c>
      <c r="Y1351" s="1008" t="s">
        <v>670</v>
      </c>
      <c r="Z1351" s="1008" t="s">
        <v>670</v>
      </c>
      <c r="AA1351" s="1008" t="s">
        <v>670</v>
      </c>
      <c r="AB1351" s="1008" t="s">
        <v>670</v>
      </c>
      <c r="AC1351" s="1008" t="s">
        <v>670</v>
      </c>
      <c r="AD1351" s="1008" t="s">
        <v>670</v>
      </c>
      <c r="AE1351" s="1008"/>
      <c r="AF1351" s="1008" t="s">
        <v>670</v>
      </c>
      <c r="AG1351" s="1008"/>
      <c r="AH1351" s="1008"/>
      <c r="AI1351" s="1008"/>
    </row>
    <row r="1352" spans="1:35">
      <c r="A1352" s="1008">
        <v>24183</v>
      </c>
      <c r="B1352" s="1008">
        <v>4935</v>
      </c>
      <c r="C1352" s="1008">
        <v>7</v>
      </c>
      <c r="D1352" s="1009">
        <v>16679999</v>
      </c>
      <c r="E1352" s="1009">
        <v>16670800</v>
      </c>
      <c r="F1352" s="1007" t="s">
        <v>3306</v>
      </c>
      <c r="G1352" s="1007">
        <v>7</v>
      </c>
      <c r="H1352" s="1010">
        <v>99999999</v>
      </c>
      <c r="I1352" s="1009">
        <v>16670800</v>
      </c>
      <c r="J1352" s="1007" t="s">
        <v>3306</v>
      </c>
      <c r="O1352" s="1007" t="s">
        <v>648</v>
      </c>
      <c r="P1352" s="1007" t="s">
        <v>648</v>
      </c>
      <c r="S1352" s="1008" t="s">
        <v>650</v>
      </c>
      <c r="T1352" s="1008" t="s">
        <v>654</v>
      </c>
      <c r="U1352" s="1008" t="s">
        <v>649</v>
      </c>
      <c r="V1352" s="1008" t="s">
        <v>648</v>
      </c>
      <c r="W1352" s="1008" t="s">
        <v>546</v>
      </c>
      <c r="X1352" s="1008" t="s">
        <v>670</v>
      </c>
      <c r="Y1352" s="1008" t="s">
        <v>670</v>
      </c>
      <c r="Z1352" s="1008" t="s">
        <v>670</v>
      </c>
      <c r="AA1352" s="1008" t="s">
        <v>670</v>
      </c>
      <c r="AB1352" s="1008" t="s">
        <v>670</v>
      </c>
      <c r="AC1352" s="1008" t="s">
        <v>670</v>
      </c>
      <c r="AD1352" s="1008" t="s">
        <v>670</v>
      </c>
      <c r="AE1352" s="1008"/>
      <c r="AF1352" s="1008" t="s">
        <v>670</v>
      </c>
      <c r="AG1352" s="1008"/>
      <c r="AH1352" s="1008"/>
      <c r="AI1352" s="1008"/>
    </row>
    <row r="1353" spans="1:35">
      <c r="A1353" s="1008">
        <v>24184</v>
      </c>
      <c r="C1353" s="1008">
        <v>6</v>
      </c>
      <c r="D1353" s="1009">
        <v>16699900</v>
      </c>
      <c r="E1353" s="1009">
        <v>16679999</v>
      </c>
      <c r="F1353" s="1007" t="s">
        <v>3305</v>
      </c>
      <c r="O1353" s="1007" t="s">
        <v>648</v>
      </c>
      <c r="P1353" s="1007" t="s">
        <v>648</v>
      </c>
      <c r="S1353" s="1008" t="s">
        <v>650</v>
      </c>
      <c r="T1353" s="1008" t="s">
        <v>21</v>
      </c>
      <c r="U1353" s="1008" t="s">
        <v>649</v>
      </c>
      <c r="V1353" s="1008" t="s">
        <v>648</v>
      </c>
      <c r="W1353" s="1008" t="s">
        <v>546</v>
      </c>
      <c r="X1353" s="1008"/>
      <c r="Y1353" s="1008"/>
      <c r="Z1353" s="1008"/>
      <c r="AA1353" s="1008"/>
      <c r="AB1353" s="1008"/>
      <c r="AC1353" s="1008"/>
      <c r="AD1353" s="1008"/>
      <c r="AE1353" s="1008"/>
      <c r="AF1353" s="1008"/>
      <c r="AG1353" s="1008"/>
      <c r="AH1353" s="1008"/>
      <c r="AI1353" s="1008"/>
    </row>
    <row r="1354" spans="1:35">
      <c r="A1354" s="1008">
        <v>24185</v>
      </c>
      <c r="C1354" s="1008">
        <v>5</v>
      </c>
      <c r="D1354" s="1009">
        <v>16699999</v>
      </c>
      <c r="E1354" s="1009">
        <v>16699900</v>
      </c>
      <c r="F1354" s="1007" t="s">
        <v>2578</v>
      </c>
      <c r="O1354" s="1007" t="s">
        <v>648</v>
      </c>
      <c r="P1354" s="1007" t="s">
        <v>648</v>
      </c>
      <c r="S1354" s="1008" t="s">
        <v>650</v>
      </c>
      <c r="T1354" s="1008" t="s">
        <v>21</v>
      </c>
      <c r="U1354" s="1008" t="s">
        <v>649</v>
      </c>
      <c r="V1354" s="1008" t="s">
        <v>648</v>
      </c>
      <c r="W1354" s="1008" t="s">
        <v>546</v>
      </c>
      <c r="X1354" s="1008"/>
      <c r="Y1354" s="1008"/>
      <c r="Z1354" s="1008"/>
      <c r="AA1354" s="1008"/>
      <c r="AB1354" s="1008"/>
      <c r="AC1354" s="1008"/>
      <c r="AD1354" s="1008"/>
      <c r="AE1354" s="1008"/>
      <c r="AF1354" s="1008"/>
      <c r="AG1354" s="1008"/>
      <c r="AH1354" s="1008"/>
      <c r="AI1354" s="1008"/>
    </row>
    <row r="1355" spans="1:35">
      <c r="A1355" s="1008">
        <v>24186</v>
      </c>
      <c r="C1355" s="1008">
        <v>4</v>
      </c>
      <c r="D1355" s="1009">
        <v>19999998</v>
      </c>
      <c r="E1355" s="1009">
        <v>16699999</v>
      </c>
      <c r="F1355" s="1007" t="s">
        <v>3304</v>
      </c>
      <c r="O1355" s="1007" t="s">
        <v>648</v>
      </c>
      <c r="P1355" s="1007" t="s">
        <v>648</v>
      </c>
      <c r="S1355" s="1008" t="s">
        <v>650</v>
      </c>
      <c r="T1355" s="1008" t="s">
        <v>21</v>
      </c>
      <c r="U1355" s="1008" t="s">
        <v>649</v>
      </c>
      <c r="V1355" s="1008" t="s">
        <v>648</v>
      </c>
      <c r="W1355" s="1008" t="s">
        <v>546</v>
      </c>
      <c r="X1355" s="1008"/>
      <c r="Y1355" s="1008"/>
      <c r="Z1355" s="1008"/>
      <c r="AA1355" s="1008"/>
      <c r="AB1355" s="1008"/>
      <c r="AC1355" s="1008"/>
      <c r="AD1355" s="1008"/>
      <c r="AE1355" s="1008"/>
      <c r="AF1355" s="1008"/>
      <c r="AG1355" s="1008"/>
      <c r="AH1355" s="1008"/>
      <c r="AI1355" s="1008"/>
    </row>
    <row r="1356" spans="1:35">
      <c r="A1356" s="1008">
        <v>24187</v>
      </c>
      <c r="C1356" s="1008">
        <v>4</v>
      </c>
      <c r="D1356" s="1009">
        <v>17299999</v>
      </c>
      <c r="E1356" s="1009">
        <v>17000000</v>
      </c>
      <c r="F1356" s="1007" t="s">
        <v>3303</v>
      </c>
      <c r="O1356" s="1007" t="s">
        <v>648</v>
      </c>
      <c r="P1356" s="1007" t="s">
        <v>648</v>
      </c>
      <c r="S1356" s="1008" t="s">
        <v>650</v>
      </c>
      <c r="T1356" s="1008" t="s">
        <v>675</v>
      </c>
      <c r="U1356" s="1008" t="s">
        <v>649</v>
      </c>
      <c r="V1356" s="1008" t="s">
        <v>648</v>
      </c>
      <c r="W1356" s="1008" t="s">
        <v>546</v>
      </c>
      <c r="X1356" s="1008"/>
      <c r="Y1356" s="1008"/>
      <c r="Z1356" s="1008"/>
      <c r="AA1356" s="1008"/>
      <c r="AB1356" s="1008"/>
      <c r="AC1356" s="1008"/>
      <c r="AD1356" s="1008"/>
      <c r="AE1356" s="1008"/>
      <c r="AF1356" s="1008"/>
      <c r="AG1356" s="1008"/>
      <c r="AH1356" s="1008"/>
      <c r="AI1356" s="1008"/>
    </row>
    <row r="1357" spans="1:35">
      <c r="A1357" s="1008">
        <v>24188</v>
      </c>
      <c r="C1357" s="1008">
        <v>5</v>
      </c>
      <c r="D1357" s="1009">
        <v>17099999</v>
      </c>
      <c r="E1357" s="1009">
        <v>17001000</v>
      </c>
      <c r="F1357" s="1007" t="s">
        <v>3302</v>
      </c>
      <c r="O1357" s="1007" t="s">
        <v>648</v>
      </c>
      <c r="P1357" s="1007" t="s">
        <v>648</v>
      </c>
      <c r="S1357" s="1008" t="s">
        <v>650</v>
      </c>
      <c r="T1357" s="1008" t="s">
        <v>675</v>
      </c>
      <c r="U1357" s="1008" t="s">
        <v>649</v>
      </c>
      <c r="V1357" s="1008" t="s">
        <v>648</v>
      </c>
      <c r="W1357" s="1008" t="s">
        <v>546</v>
      </c>
      <c r="X1357" s="1008"/>
      <c r="Y1357" s="1008"/>
      <c r="Z1357" s="1008"/>
      <c r="AA1357" s="1008"/>
      <c r="AB1357" s="1008"/>
      <c r="AC1357" s="1008"/>
      <c r="AD1357" s="1008"/>
      <c r="AE1357" s="1008"/>
      <c r="AF1357" s="1008"/>
      <c r="AG1357" s="1008"/>
      <c r="AH1357" s="1008"/>
      <c r="AI1357" s="1008"/>
    </row>
    <row r="1358" spans="1:35">
      <c r="A1358" s="1008">
        <v>24189</v>
      </c>
      <c r="C1358" s="1008">
        <v>6</v>
      </c>
      <c r="D1358" s="1009">
        <v>17019999</v>
      </c>
      <c r="E1358" s="1009">
        <v>17010000</v>
      </c>
      <c r="F1358" s="1007" t="s">
        <v>3301</v>
      </c>
      <c r="O1358" s="1007" t="s">
        <v>648</v>
      </c>
      <c r="P1358" s="1007" t="s">
        <v>648</v>
      </c>
      <c r="S1358" s="1008" t="s">
        <v>650</v>
      </c>
      <c r="T1358" s="1008" t="s">
        <v>675</v>
      </c>
      <c r="U1358" s="1008" t="s">
        <v>649</v>
      </c>
      <c r="V1358" s="1008" t="s">
        <v>648</v>
      </c>
      <c r="W1358" s="1008" t="s">
        <v>546</v>
      </c>
      <c r="X1358" s="1008"/>
      <c r="Y1358" s="1008"/>
      <c r="Z1358" s="1008"/>
      <c r="AA1358" s="1008"/>
      <c r="AB1358" s="1008"/>
      <c r="AC1358" s="1008"/>
      <c r="AD1358" s="1008"/>
      <c r="AE1358" s="1008"/>
      <c r="AF1358" s="1008"/>
      <c r="AG1358" s="1008"/>
      <c r="AH1358" s="1008"/>
      <c r="AI1358" s="1008"/>
    </row>
    <row r="1359" spans="1:35">
      <c r="A1359" s="1008">
        <v>26421</v>
      </c>
      <c r="B1359" s="1008">
        <v>1689</v>
      </c>
      <c r="C1359" s="1008">
        <v>7</v>
      </c>
      <c r="D1359" s="1009">
        <v>17019999</v>
      </c>
      <c r="E1359" s="1009">
        <v>17010100</v>
      </c>
      <c r="F1359" s="1007" t="s">
        <v>3300</v>
      </c>
      <c r="G1359" s="1007">
        <v>7</v>
      </c>
      <c r="H1359" s="1010">
        <v>99999999</v>
      </c>
      <c r="I1359" s="1009">
        <v>17010100</v>
      </c>
      <c r="J1359" s="1007" t="s">
        <v>3300</v>
      </c>
      <c r="O1359" s="1007" t="s">
        <v>648</v>
      </c>
      <c r="P1359" s="1007" t="s">
        <v>648</v>
      </c>
      <c r="S1359" s="1008" t="s">
        <v>650</v>
      </c>
      <c r="T1359" s="1008" t="s">
        <v>654</v>
      </c>
      <c r="U1359" s="1008" t="s">
        <v>649</v>
      </c>
      <c r="V1359" s="1008" t="s">
        <v>648</v>
      </c>
      <c r="W1359" s="1008" t="s">
        <v>546</v>
      </c>
      <c r="X1359" s="1008" t="s">
        <v>670</v>
      </c>
      <c r="Y1359" s="1008"/>
      <c r="Z1359" s="1008"/>
      <c r="AA1359" s="1008" t="s">
        <v>670</v>
      </c>
      <c r="AB1359" s="1008"/>
      <c r="AC1359" s="1008"/>
      <c r="AD1359" s="1008" t="s">
        <v>670</v>
      </c>
      <c r="AE1359" s="1008"/>
      <c r="AF1359" s="1008"/>
      <c r="AG1359" s="1008"/>
      <c r="AH1359" s="1008"/>
      <c r="AI1359" s="1008"/>
    </row>
    <row r="1360" spans="1:35">
      <c r="A1360" s="1008">
        <v>24190</v>
      </c>
      <c r="B1360" s="1008">
        <v>715</v>
      </c>
      <c r="C1360" s="1008">
        <v>7</v>
      </c>
      <c r="D1360" s="1009">
        <v>17019999</v>
      </c>
      <c r="E1360" s="1009">
        <v>17010200</v>
      </c>
      <c r="F1360" s="1007" t="s">
        <v>3299</v>
      </c>
      <c r="G1360" s="1007">
        <v>8</v>
      </c>
      <c r="H1360" s="1010">
        <v>99999999</v>
      </c>
      <c r="I1360" s="1009">
        <v>17010200</v>
      </c>
      <c r="J1360" s="1007" t="s">
        <v>3299</v>
      </c>
      <c r="O1360" s="1007" t="s">
        <v>648</v>
      </c>
      <c r="P1360" s="1007" t="s">
        <v>648</v>
      </c>
      <c r="S1360" s="1008" t="s">
        <v>650</v>
      </c>
      <c r="T1360" s="1008" t="s">
        <v>654</v>
      </c>
      <c r="U1360" s="1008" t="s">
        <v>649</v>
      </c>
      <c r="V1360" s="1008" t="s">
        <v>648</v>
      </c>
      <c r="W1360" s="1008" t="s">
        <v>546</v>
      </c>
      <c r="X1360" s="1008" t="s">
        <v>670</v>
      </c>
      <c r="Y1360" s="1008" t="s">
        <v>670</v>
      </c>
      <c r="Z1360" s="1008" t="s">
        <v>670</v>
      </c>
      <c r="AA1360" s="1008" t="s">
        <v>670</v>
      </c>
      <c r="AB1360" s="1008" t="s">
        <v>670</v>
      </c>
      <c r="AC1360" s="1008" t="s">
        <v>670</v>
      </c>
      <c r="AD1360" s="1008"/>
      <c r="AE1360" s="1008"/>
      <c r="AF1360" s="1008" t="s">
        <v>670</v>
      </c>
      <c r="AG1360" s="1008"/>
      <c r="AH1360" s="1008"/>
      <c r="AI1360" s="1008"/>
    </row>
    <row r="1361" spans="1:35">
      <c r="A1361" s="1008">
        <v>24191</v>
      </c>
      <c r="B1361" s="1008">
        <v>1691</v>
      </c>
      <c r="C1361" s="1008">
        <v>7</v>
      </c>
      <c r="D1361" s="1009">
        <v>17019999</v>
      </c>
      <c r="E1361" s="1009">
        <v>17010400</v>
      </c>
      <c r="F1361" s="1007" t="s">
        <v>3298</v>
      </c>
      <c r="G1361" s="1007">
        <v>7</v>
      </c>
      <c r="H1361" s="1010">
        <v>99999999</v>
      </c>
      <c r="I1361" s="1009">
        <v>17010400</v>
      </c>
      <c r="J1361" s="1007" t="s">
        <v>3298</v>
      </c>
      <c r="O1361" s="1007" t="s">
        <v>648</v>
      </c>
      <c r="P1361" s="1007" t="s">
        <v>648</v>
      </c>
      <c r="S1361" s="1008" t="s">
        <v>650</v>
      </c>
      <c r="T1361" s="1008" t="s">
        <v>654</v>
      </c>
      <c r="U1361" s="1008" t="s">
        <v>649</v>
      </c>
      <c r="V1361" s="1008" t="s">
        <v>648</v>
      </c>
      <c r="W1361" s="1008" t="s">
        <v>546</v>
      </c>
      <c r="X1361" s="1008" t="s">
        <v>670</v>
      </c>
      <c r="Y1361" s="1008"/>
      <c r="Z1361" s="1008"/>
      <c r="AA1361" s="1008" t="s">
        <v>670</v>
      </c>
      <c r="AB1361" s="1008"/>
      <c r="AC1361" s="1008"/>
      <c r="AD1361" s="1008" t="s">
        <v>670</v>
      </c>
      <c r="AE1361" s="1008"/>
      <c r="AF1361" s="1008"/>
      <c r="AG1361" s="1008"/>
      <c r="AH1361" s="1008"/>
      <c r="AI1361" s="1008"/>
    </row>
    <row r="1362" spans="1:35">
      <c r="A1362" s="1008">
        <v>24192</v>
      </c>
      <c r="B1362" s="1008">
        <v>4941</v>
      </c>
      <c r="C1362" s="1008">
        <v>7</v>
      </c>
      <c r="D1362" s="1009">
        <v>17019999</v>
      </c>
      <c r="E1362" s="1009">
        <v>17010800</v>
      </c>
      <c r="F1362" s="1007" t="s">
        <v>3297</v>
      </c>
      <c r="G1362" s="1007">
        <v>7</v>
      </c>
      <c r="H1362" s="1010">
        <v>99999999</v>
      </c>
      <c r="I1362" s="1009">
        <v>17010800</v>
      </c>
      <c r="J1362" s="1007" t="s">
        <v>3297</v>
      </c>
      <c r="O1362" s="1007" t="s">
        <v>648</v>
      </c>
      <c r="P1362" s="1007" t="s">
        <v>648</v>
      </c>
      <c r="S1362" s="1008" t="s">
        <v>650</v>
      </c>
      <c r="T1362" s="1008" t="s">
        <v>654</v>
      </c>
      <c r="U1362" s="1008" t="s">
        <v>649</v>
      </c>
      <c r="V1362" s="1008" t="s">
        <v>648</v>
      </c>
      <c r="W1362" s="1008" t="s">
        <v>546</v>
      </c>
      <c r="X1362" s="1008" t="s">
        <v>670</v>
      </c>
      <c r="Y1362" s="1008"/>
      <c r="Z1362" s="1008"/>
      <c r="AA1362" s="1008" t="s">
        <v>670</v>
      </c>
      <c r="AB1362" s="1008"/>
      <c r="AC1362" s="1008"/>
      <c r="AD1362" s="1008" t="s">
        <v>670</v>
      </c>
      <c r="AE1362" s="1008"/>
      <c r="AF1362" s="1008"/>
      <c r="AG1362" s="1008"/>
      <c r="AH1362" s="1008"/>
      <c r="AI1362" s="1008"/>
    </row>
    <row r="1363" spans="1:35">
      <c r="A1363" s="1008">
        <v>24193</v>
      </c>
      <c r="C1363" s="1008">
        <v>6</v>
      </c>
      <c r="D1363" s="1009">
        <v>17099999</v>
      </c>
      <c r="E1363" s="1009">
        <v>17019999</v>
      </c>
      <c r="F1363" s="1007" t="s">
        <v>3296</v>
      </c>
      <c r="O1363" s="1007" t="s">
        <v>648</v>
      </c>
      <c r="P1363" s="1007" t="s">
        <v>648</v>
      </c>
      <c r="S1363" s="1008" t="s">
        <v>650</v>
      </c>
      <c r="T1363" s="1008" t="s">
        <v>21</v>
      </c>
      <c r="U1363" s="1008" t="s">
        <v>649</v>
      </c>
      <c r="V1363" s="1008" t="s">
        <v>648</v>
      </c>
      <c r="W1363" s="1008" t="s">
        <v>546</v>
      </c>
      <c r="X1363" s="1008"/>
      <c r="Y1363" s="1008"/>
      <c r="Z1363" s="1008"/>
      <c r="AA1363" s="1008"/>
      <c r="AB1363" s="1008"/>
      <c r="AC1363" s="1008"/>
      <c r="AD1363" s="1008"/>
      <c r="AE1363" s="1008"/>
      <c r="AF1363" s="1008"/>
      <c r="AG1363" s="1008"/>
      <c r="AH1363" s="1008"/>
      <c r="AI1363" s="1008"/>
    </row>
    <row r="1364" spans="1:35">
      <c r="A1364" s="1008">
        <v>24194</v>
      </c>
      <c r="C1364" s="1008">
        <v>6</v>
      </c>
      <c r="D1364" s="1009">
        <v>17029999</v>
      </c>
      <c r="E1364" s="1009">
        <v>17020000</v>
      </c>
      <c r="F1364" s="1007" t="s">
        <v>3295</v>
      </c>
      <c r="O1364" s="1007" t="s">
        <v>648</v>
      </c>
      <c r="P1364" s="1007" t="s">
        <v>648</v>
      </c>
      <c r="S1364" s="1008" t="s">
        <v>650</v>
      </c>
      <c r="T1364" s="1008" t="s">
        <v>675</v>
      </c>
      <c r="U1364" s="1008" t="s">
        <v>649</v>
      </c>
      <c r="V1364" s="1008" t="s">
        <v>648</v>
      </c>
      <c r="W1364" s="1008" t="s">
        <v>546</v>
      </c>
      <c r="X1364" s="1008"/>
      <c r="Y1364" s="1008"/>
      <c r="Z1364" s="1008"/>
      <c r="AA1364" s="1008"/>
      <c r="AB1364" s="1008"/>
      <c r="AC1364" s="1008"/>
      <c r="AD1364" s="1008"/>
      <c r="AE1364" s="1008"/>
      <c r="AF1364" s="1008"/>
      <c r="AG1364" s="1008"/>
      <c r="AH1364" s="1008"/>
      <c r="AI1364" s="1008"/>
    </row>
    <row r="1365" spans="1:35">
      <c r="A1365" s="1008">
        <v>26420</v>
      </c>
      <c r="B1365" s="1008">
        <v>1693</v>
      </c>
      <c r="C1365" s="1008">
        <v>7</v>
      </c>
      <c r="D1365" s="1009">
        <v>17029999</v>
      </c>
      <c r="E1365" s="1009">
        <v>17020100</v>
      </c>
      <c r="F1365" s="1007" t="s">
        <v>3294</v>
      </c>
      <c r="G1365" s="1007">
        <v>7</v>
      </c>
      <c r="H1365" s="1010">
        <v>99999999</v>
      </c>
      <c r="I1365" s="1009">
        <v>17020100</v>
      </c>
      <c r="J1365" s="1007" t="s">
        <v>3294</v>
      </c>
      <c r="O1365" s="1007" t="s">
        <v>648</v>
      </c>
      <c r="P1365" s="1007" t="s">
        <v>648</v>
      </c>
      <c r="S1365" s="1008" t="s">
        <v>650</v>
      </c>
      <c r="T1365" s="1008" t="s">
        <v>654</v>
      </c>
      <c r="U1365" s="1008" t="s">
        <v>649</v>
      </c>
      <c r="V1365" s="1008" t="s">
        <v>648</v>
      </c>
      <c r="W1365" s="1008" t="s">
        <v>546</v>
      </c>
      <c r="X1365" s="1008" t="s">
        <v>670</v>
      </c>
      <c r="Y1365" s="1008" t="s">
        <v>670</v>
      </c>
      <c r="Z1365" s="1008" t="s">
        <v>670</v>
      </c>
      <c r="AA1365" s="1008" t="s">
        <v>670</v>
      </c>
      <c r="AB1365" s="1008" t="s">
        <v>670</v>
      </c>
      <c r="AC1365" s="1008" t="s">
        <v>670</v>
      </c>
      <c r="AD1365" s="1008" t="s">
        <v>670</v>
      </c>
      <c r="AE1365" s="1008"/>
      <c r="AF1365" s="1008" t="s">
        <v>670</v>
      </c>
      <c r="AG1365" s="1008"/>
      <c r="AH1365" s="1008"/>
      <c r="AI1365" s="1008"/>
    </row>
    <row r="1366" spans="1:35">
      <c r="A1366" s="1008">
        <v>24195</v>
      </c>
      <c r="B1366" s="1008">
        <v>714</v>
      </c>
      <c r="C1366" s="1008">
        <v>7</v>
      </c>
      <c r="D1366" s="1009">
        <v>17029999</v>
      </c>
      <c r="E1366" s="1009">
        <v>17020200</v>
      </c>
      <c r="F1366" s="1007" t="s">
        <v>3293</v>
      </c>
      <c r="G1366" s="1007">
        <v>8</v>
      </c>
      <c r="H1366" s="1010">
        <v>99999999</v>
      </c>
      <c r="I1366" s="1009">
        <v>17020200</v>
      </c>
      <c r="J1366" s="1007" t="s">
        <v>3293</v>
      </c>
      <c r="O1366" s="1007" t="s">
        <v>648</v>
      </c>
      <c r="P1366" s="1007" t="s">
        <v>648</v>
      </c>
      <c r="S1366" s="1008" t="s">
        <v>650</v>
      </c>
      <c r="T1366" s="1008" t="s">
        <v>654</v>
      </c>
      <c r="U1366" s="1008" t="s">
        <v>649</v>
      </c>
      <c r="V1366" s="1008" t="s">
        <v>648</v>
      </c>
      <c r="W1366" s="1008" t="s">
        <v>546</v>
      </c>
      <c r="X1366" s="1008" t="s">
        <v>670</v>
      </c>
      <c r="Y1366" s="1008" t="s">
        <v>670</v>
      </c>
      <c r="Z1366" s="1008" t="s">
        <v>670</v>
      </c>
      <c r="AA1366" s="1008" t="s">
        <v>670</v>
      </c>
      <c r="AB1366" s="1008" t="s">
        <v>670</v>
      </c>
      <c r="AC1366" s="1008" t="s">
        <v>670</v>
      </c>
      <c r="AD1366" s="1008"/>
      <c r="AE1366" s="1008"/>
      <c r="AF1366" s="1008" t="s">
        <v>670</v>
      </c>
      <c r="AG1366" s="1008"/>
      <c r="AH1366" s="1008"/>
      <c r="AI1366" s="1008"/>
    </row>
    <row r="1367" spans="1:35">
      <c r="A1367" s="1008">
        <v>24196</v>
      </c>
      <c r="B1367" s="1008">
        <v>1695</v>
      </c>
      <c r="C1367" s="1008">
        <v>7</v>
      </c>
      <c r="D1367" s="1009">
        <v>17029999</v>
      </c>
      <c r="E1367" s="1009">
        <v>17020400</v>
      </c>
      <c r="F1367" s="1007" t="s">
        <v>3292</v>
      </c>
      <c r="G1367" s="1007">
        <v>7</v>
      </c>
      <c r="H1367" s="1010">
        <v>99999999</v>
      </c>
      <c r="I1367" s="1009">
        <v>17020400</v>
      </c>
      <c r="J1367" s="1007" t="s">
        <v>3292</v>
      </c>
      <c r="O1367" s="1007" t="s">
        <v>648</v>
      </c>
      <c r="P1367" s="1007" t="s">
        <v>648</v>
      </c>
      <c r="S1367" s="1008" t="s">
        <v>650</v>
      </c>
      <c r="T1367" s="1008" t="s">
        <v>654</v>
      </c>
      <c r="U1367" s="1008" t="s">
        <v>649</v>
      </c>
      <c r="V1367" s="1008" t="s">
        <v>648</v>
      </c>
      <c r="W1367" s="1008" t="s">
        <v>546</v>
      </c>
      <c r="X1367" s="1008" t="s">
        <v>670</v>
      </c>
      <c r="Y1367" s="1008" t="s">
        <v>670</v>
      </c>
      <c r="Z1367" s="1008" t="s">
        <v>670</v>
      </c>
      <c r="AA1367" s="1008" t="s">
        <v>670</v>
      </c>
      <c r="AB1367" s="1008" t="s">
        <v>670</v>
      </c>
      <c r="AC1367" s="1008" t="s">
        <v>670</v>
      </c>
      <c r="AD1367" s="1008" t="s">
        <v>670</v>
      </c>
      <c r="AE1367" s="1008"/>
      <c r="AF1367" s="1008" t="s">
        <v>670</v>
      </c>
      <c r="AG1367" s="1008"/>
      <c r="AH1367" s="1008"/>
      <c r="AI1367" s="1008"/>
    </row>
    <row r="1368" spans="1:35">
      <c r="A1368" s="1008">
        <v>24197</v>
      </c>
      <c r="B1368" s="1008">
        <v>4943</v>
      </c>
      <c r="C1368" s="1008">
        <v>7</v>
      </c>
      <c r="D1368" s="1009">
        <v>17029999</v>
      </c>
      <c r="E1368" s="1009">
        <v>17020800</v>
      </c>
      <c r="F1368" s="1007" t="s">
        <v>3291</v>
      </c>
      <c r="G1368" s="1007">
        <v>7</v>
      </c>
      <c r="H1368" s="1010">
        <v>99999999</v>
      </c>
      <c r="I1368" s="1009">
        <v>17020800</v>
      </c>
      <c r="J1368" s="1007" t="s">
        <v>3291</v>
      </c>
      <c r="O1368" s="1007" t="s">
        <v>648</v>
      </c>
      <c r="P1368" s="1007" t="s">
        <v>648</v>
      </c>
      <c r="S1368" s="1008" t="s">
        <v>650</v>
      </c>
      <c r="T1368" s="1008" t="s">
        <v>654</v>
      </c>
      <c r="U1368" s="1008" t="s">
        <v>649</v>
      </c>
      <c r="V1368" s="1008" t="s">
        <v>648</v>
      </c>
      <c r="W1368" s="1008" t="s">
        <v>546</v>
      </c>
      <c r="X1368" s="1008" t="s">
        <v>670</v>
      </c>
      <c r="Y1368" s="1008" t="s">
        <v>670</v>
      </c>
      <c r="Z1368" s="1008" t="s">
        <v>670</v>
      </c>
      <c r="AA1368" s="1008" t="s">
        <v>670</v>
      </c>
      <c r="AB1368" s="1008" t="s">
        <v>670</v>
      </c>
      <c r="AC1368" s="1008" t="s">
        <v>670</v>
      </c>
      <c r="AD1368" s="1008" t="s">
        <v>670</v>
      </c>
      <c r="AE1368" s="1008"/>
      <c r="AF1368" s="1008" t="s">
        <v>670</v>
      </c>
      <c r="AG1368" s="1008"/>
      <c r="AH1368" s="1008"/>
      <c r="AI1368" s="1008"/>
    </row>
    <row r="1369" spans="1:35">
      <c r="A1369" s="1008">
        <v>24198</v>
      </c>
      <c r="C1369" s="1008">
        <v>6</v>
      </c>
      <c r="D1369" s="1009">
        <v>17099999</v>
      </c>
      <c r="E1369" s="1009">
        <v>17029999</v>
      </c>
      <c r="F1369" s="1007" t="s">
        <v>3290</v>
      </c>
      <c r="O1369" s="1007" t="s">
        <v>648</v>
      </c>
      <c r="P1369" s="1007" t="s">
        <v>648</v>
      </c>
      <c r="S1369" s="1008" t="s">
        <v>650</v>
      </c>
      <c r="T1369" s="1008" t="s">
        <v>21</v>
      </c>
      <c r="U1369" s="1008" t="s">
        <v>649</v>
      </c>
      <c r="V1369" s="1008" t="s">
        <v>648</v>
      </c>
      <c r="W1369" s="1008" t="s">
        <v>546</v>
      </c>
      <c r="X1369" s="1008"/>
      <c r="Y1369" s="1008"/>
      <c r="Z1369" s="1008"/>
      <c r="AA1369" s="1008"/>
      <c r="AB1369" s="1008"/>
      <c r="AC1369" s="1008"/>
      <c r="AD1369" s="1008"/>
      <c r="AE1369" s="1008"/>
      <c r="AF1369" s="1008"/>
      <c r="AG1369" s="1008"/>
      <c r="AH1369" s="1008"/>
      <c r="AI1369" s="1008"/>
    </row>
    <row r="1370" spans="1:35">
      <c r="A1370" s="1008">
        <v>24199</v>
      </c>
      <c r="C1370" s="1008">
        <v>6</v>
      </c>
      <c r="D1370" s="1009">
        <v>17039999</v>
      </c>
      <c r="E1370" s="1009">
        <v>17030000</v>
      </c>
      <c r="F1370" s="1007" t="s">
        <v>3289</v>
      </c>
      <c r="O1370" s="1007" t="s">
        <v>648</v>
      </c>
      <c r="P1370" s="1007" t="s">
        <v>648</v>
      </c>
      <c r="S1370" s="1008" t="s">
        <v>650</v>
      </c>
      <c r="T1370" s="1008" t="s">
        <v>675</v>
      </c>
      <c r="U1370" s="1008" t="s">
        <v>649</v>
      </c>
      <c r="V1370" s="1008" t="s">
        <v>648</v>
      </c>
      <c r="W1370" s="1008" t="s">
        <v>546</v>
      </c>
      <c r="X1370" s="1008"/>
      <c r="Y1370" s="1008"/>
      <c r="Z1370" s="1008"/>
      <c r="AA1370" s="1008"/>
      <c r="AB1370" s="1008"/>
      <c r="AC1370" s="1008"/>
      <c r="AD1370" s="1008"/>
      <c r="AE1370" s="1008"/>
      <c r="AF1370" s="1008"/>
      <c r="AG1370" s="1008"/>
      <c r="AH1370" s="1008"/>
      <c r="AI1370" s="1008"/>
    </row>
    <row r="1371" spans="1:35">
      <c r="A1371" s="1008">
        <v>26419</v>
      </c>
      <c r="B1371" s="1008">
        <v>1697</v>
      </c>
      <c r="C1371" s="1008">
        <v>7</v>
      </c>
      <c r="D1371" s="1009">
        <v>17039999</v>
      </c>
      <c r="E1371" s="1009">
        <v>17030100</v>
      </c>
      <c r="F1371" s="1007" t="s">
        <v>3288</v>
      </c>
      <c r="G1371" s="1007">
        <v>7</v>
      </c>
      <c r="H1371" s="1010">
        <v>99999999</v>
      </c>
      <c r="I1371" s="1009">
        <v>17030100</v>
      </c>
      <c r="J1371" s="1007" t="s">
        <v>3288</v>
      </c>
      <c r="O1371" s="1007" t="s">
        <v>648</v>
      </c>
      <c r="P1371" s="1007" t="s">
        <v>648</v>
      </c>
      <c r="S1371" s="1008" t="s">
        <v>650</v>
      </c>
      <c r="T1371" s="1008" t="s">
        <v>654</v>
      </c>
      <c r="U1371" s="1008" t="s">
        <v>649</v>
      </c>
      <c r="V1371" s="1008" t="s">
        <v>648</v>
      </c>
      <c r="W1371" s="1008" t="s">
        <v>546</v>
      </c>
      <c r="X1371" s="1008" t="s">
        <v>670</v>
      </c>
      <c r="Y1371" s="1008" t="s">
        <v>670</v>
      </c>
      <c r="Z1371" s="1008" t="s">
        <v>670</v>
      </c>
      <c r="AA1371" s="1008" t="s">
        <v>670</v>
      </c>
      <c r="AB1371" s="1008" t="s">
        <v>670</v>
      </c>
      <c r="AC1371" s="1008" t="s">
        <v>670</v>
      </c>
      <c r="AD1371" s="1008" t="s">
        <v>670</v>
      </c>
      <c r="AE1371" s="1008"/>
      <c r="AF1371" s="1008" t="s">
        <v>670</v>
      </c>
      <c r="AG1371" s="1008"/>
      <c r="AH1371" s="1008"/>
      <c r="AI1371" s="1008"/>
    </row>
    <row r="1372" spans="1:35">
      <c r="A1372" s="1008">
        <v>24200</v>
      </c>
      <c r="B1372" s="1008">
        <v>713</v>
      </c>
      <c r="C1372" s="1008">
        <v>7</v>
      </c>
      <c r="D1372" s="1009">
        <v>17039999</v>
      </c>
      <c r="E1372" s="1009">
        <v>17030200</v>
      </c>
      <c r="F1372" s="1007" t="s">
        <v>3287</v>
      </c>
      <c r="G1372" s="1007">
        <v>8</v>
      </c>
      <c r="H1372" s="1010">
        <v>99999999</v>
      </c>
      <c r="I1372" s="1009">
        <v>17030200</v>
      </c>
      <c r="J1372" s="1007" t="s">
        <v>3287</v>
      </c>
      <c r="O1372" s="1007" t="s">
        <v>648</v>
      </c>
      <c r="P1372" s="1007" t="s">
        <v>648</v>
      </c>
      <c r="S1372" s="1008" t="s">
        <v>650</v>
      </c>
      <c r="T1372" s="1008" t="s">
        <v>654</v>
      </c>
      <c r="U1372" s="1008" t="s">
        <v>649</v>
      </c>
      <c r="V1372" s="1008" t="s">
        <v>648</v>
      </c>
      <c r="W1372" s="1008" t="s">
        <v>546</v>
      </c>
      <c r="X1372" s="1008" t="s">
        <v>670</v>
      </c>
      <c r="Y1372" s="1008" t="s">
        <v>670</v>
      </c>
      <c r="Z1372" s="1008" t="s">
        <v>670</v>
      </c>
      <c r="AA1372" s="1008" t="s">
        <v>670</v>
      </c>
      <c r="AB1372" s="1008" t="s">
        <v>670</v>
      </c>
      <c r="AC1372" s="1008"/>
      <c r="AD1372" s="1008" t="s">
        <v>670</v>
      </c>
      <c r="AE1372" s="1008"/>
      <c r="AF1372" s="1008" t="s">
        <v>670</v>
      </c>
      <c r="AG1372" s="1008"/>
      <c r="AH1372" s="1008"/>
      <c r="AI1372" s="1008"/>
    </row>
    <row r="1373" spans="1:35">
      <c r="A1373" s="1008">
        <v>24201</v>
      </c>
      <c r="B1373" s="1008">
        <v>1699</v>
      </c>
      <c r="C1373" s="1008">
        <v>7</v>
      </c>
      <c r="D1373" s="1009">
        <v>17039999</v>
      </c>
      <c r="E1373" s="1009">
        <v>17030400</v>
      </c>
      <c r="F1373" s="1007" t="s">
        <v>3286</v>
      </c>
      <c r="G1373" s="1007">
        <v>7</v>
      </c>
      <c r="H1373" s="1010">
        <v>99999999</v>
      </c>
      <c r="I1373" s="1009">
        <v>17030400</v>
      </c>
      <c r="J1373" s="1007" t="s">
        <v>3286</v>
      </c>
      <c r="O1373" s="1007" t="s">
        <v>648</v>
      </c>
      <c r="P1373" s="1007" t="s">
        <v>648</v>
      </c>
      <c r="S1373" s="1008" t="s">
        <v>650</v>
      </c>
      <c r="T1373" s="1008" t="s">
        <v>654</v>
      </c>
      <c r="U1373" s="1008" t="s">
        <v>649</v>
      </c>
      <c r="V1373" s="1008" t="s">
        <v>648</v>
      </c>
      <c r="W1373" s="1008" t="s">
        <v>546</v>
      </c>
      <c r="X1373" s="1008" t="s">
        <v>670</v>
      </c>
      <c r="Y1373" s="1008" t="s">
        <v>670</v>
      </c>
      <c r="Z1373" s="1008" t="s">
        <v>670</v>
      </c>
      <c r="AA1373" s="1008" t="s">
        <v>670</v>
      </c>
      <c r="AB1373" s="1008" t="s">
        <v>670</v>
      </c>
      <c r="AC1373" s="1008" t="s">
        <v>670</v>
      </c>
      <c r="AD1373" s="1008" t="s">
        <v>670</v>
      </c>
      <c r="AE1373" s="1008"/>
      <c r="AF1373" s="1008" t="s">
        <v>670</v>
      </c>
      <c r="AG1373" s="1008"/>
      <c r="AH1373" s="1008"/>
      <c r="AI1373" s="1008"/>
    </row>
    <row r="1374" spans="1:35">
      <c r="A1374" s="1008">
        <v>24202</v>
      </c>
      <c r="B1374" s="1008">
        <v>4945</v>
      </c>
      <c r="C1374" s="1008">
        <v>7</v>
      </c>
      <c r="D1374" s="1009">
        <v>17039999</v>
      </c>
      <c r="E1374" s="1009">
        <v>17030800</v>
      </c>
      <c r="F1374" s="1007" t="s">
        <v>3285</v>
      </c>
      <c r="G1374" s="1007">
        <v>7</v>
      </c>
      <c r="H1374" s="1010">
        <v>99999999</v>
      </c>
      <c r="I1374" s="1009">
        <v>17030800</v>
      </c>
      <c r="J1374" s="1007" t="s">
        <v>3285</v>
      </c>
      <c r="O1374" s="1007" t="s">
        <v>648</v>
      </c>
      <c r="P1374" s="1007" t="s">
        <v>648</v>
      </c>
      <c r="S1374" s="1008" t="s">
        <v>650</v>
      </c>
      <c r="T1374" s="1008" t="s">
        <v>654</v>
      </c>
      <c r="U1374" s="1008" t="s">
        <v>649</v>
      </c>
      <c r="V1374" s="1008" t="s">
        <v>648</v>
      </c>
      <c r="W1374" s="1008" t="s">
        <v>546</v>
      </c>
      <c r="X1374" s="1008" t="s">
        <v>670</v>
      </c>
      <c r="Y1374" s="1008" t="s">
        <v>670</v>
      </c>
      <c r="Z1374" s="1008" t="s">
        <v>670</v>
      </c>
      <c r="AA1374" s="1008" t="s">
        <v>670</v>
      </c>
      <c r="AB1374" s="1008" t="s">
        <v>670</v>
      </c>
      <c r="AC1374" s="1008" t="s">
        <v>670</v>
      </c>
      <c r="AD1374" s="1008" t="s">
        <v>670</v>
      </c>
      <c r="AE1374" s="1008"/>
      <c r="AF1374" s="1008" t="s">
        <v>670</v>
      </c>
      <c r="AG1374" s="1008"/>
      <c r="AH1374" s="1008"/>
      <c r="AI1374" s="1008"/>
    </row>
    <row r="1375" spans="1:35">
      <c r="A1375" s="1008">
        <v>24203</v>
      </c>
      <c r="C1375" s="1008">
        <v>6</v>
      </c>
      <c r="D1375" s="1009">
        <v>17099999</v>
      </c>
      <c r="E1375" s="1009">
        <v>17039999</v>
      </c>
      <c r="F1375" s="1007" t="s">
        <v>3284</v>
      </c>
      <c r="O1375" s="1007" t="s">
        <v>648</v>
      </c>
      <c r="P1375" s="1007" t="s">
        <v>648</v>
      </c>
      <c r="S1375" s="1008" t="s">
        <v>650</v>
      </c>
      <c r="T1375" s="1008" t="s">
        <v>21</v>
      </c>
      <c r="U1375" s="1008" t="s">
        <v>649</v>
      </c>
      <c r="V1375" s="1008" t="s">
        <v>648</v>
      </c>
      <c r="W1375" s="1008" t="s">
        <v>546</v>
      </c>
      <c r="X1375" s="1008"/>
      <c r="Y1375" s="1008"/>
      <c r="Z1375" s="1008"/>
      <c r="AA1375" s="1008"/>
      <c r="AB1375" s="1008"/>
      <c r="AC1375" s="1008"/>
      <c r="AD1375" s="1008"/>
      <c r="AE1375" s="1008"/>
      <c r="AF1375" s="1008"/>
      <c r="AG1375" s="1008"/>
      <c r="AH1375" s="1008"/>
      <c r="AI1375" s="1008"/>
    </row>
    <row r="1376" spans="1:35">
      <c r="A1376" s="1008">
        <v>24204</v>
      </c>
      <c r="C1376" s="1008">
        <v>6</v>
      </c>
      <c r="D1376" s="1009">
        <v>17049999</v>
      </c>
      <c r="E1376" s="1009">
        <v>17040000</v>
      </c>
      <c r="F1376" s="1007" t="s">
        <v>3283</v>
      </c>
      <c r="O1376" s="1007" t="s">
        <v>648</v>
      </c>
      <c r="P1376" s="1007" t="s">
        <v>648</v>
      </c>
      <c r="S1376" s="1008" t="s">
        <v>650</v>
      </c>
      <c r="T1376" s="1008" t="s">
        <v>675</v>
      </c>
      <c r="U1376" s="1008" t="s">
        <v>649</v>
      </c>
      <c r="V1376" s="1008" t="s">
        <v>648</v>
      </c>
      <c r="W1376" s="1008" t="s">
        <v>546</v>
      </c>
      <c r="X1376" s="1008"/>
      <c r="Y1376" s="1008"/>
      <c r="Z1376" s="1008"/>
      <c r="AA1376" s="1008"/>
      <c r="AB1376" s="1008"/>
      <c r="AC1376" s="1008"/>
      <c r="AD1376" s="1008"/>
      <c r="AE1376" s="1008"/>
      <c r="AF1376" s="1008"/>
      <c r="AG1376" s="1008"/>
      <c r="AH1376" s="1008"/>
      <c r="AI1376" s="1008"/>
    </row>
    <row r="1377" spans="1:35">
      <c r="A1377" s="1008">
        <v>26418</v>
      </c>
      <c r="B1377" s="1008">
        <v>1701</v>
      </c>
      <c r="C1377" s="1008">
        <v>7</v>
      </c>
      <c r="D1377" s="1009">
        <v>17049999</v>
      </c>
      <c r="E1377" s="1009">
        <v>17040100</v>
      </c>
      <c r="F1377" s="1007" t="s">
        <v>3282</v>
      </c>
      <c r="G1377" s="1007">
        <v>7</v>
      </c>
      <c r="H1377" s="1010">
        <v>99999999</v>
      </c>
      <c r="I1377" s="1009">
        <v>17040100</v>
      </c>
      <c r="J1377" s="1007" t="s">
        <v>3282</v>
      </c>
      <c r="O1377" s="1007" t="s">
        <v>648</v>
      </c>
      <c r="P1377" s="1007" t="s">
        <v>648</v>
      </c>
      <c r="S1377" s="1008" t="s">
        <v>650</v>
      </c>
      <c r="T1377" s="1008" t="s">
        <v>654</v>
      </c>
      <c r="U1377" s="1008" t="s">
        <v>649</v>
      </c>
      <c r="V1377" s="1008" t="s">
        <v>648</v>
      </c>
      <c r="W1377" s="1008" t="s">
        <v>546</v>
      </c>
      <c r="X1377" s="1008" t="s">
        <v>670</v>
      </c>
      <c r="Y1377" s="1008" t="s">
        <v>670</v>
      </c>
      <c r="Z1377" s="1008" t="s">
        <v>670</v>
      </c>
      <c r="AA1377" s="1008" t="s">
        <v>670</v>
      </c>
      <c r="AB1377" s="1008" t="s">
        <v>670</v>
      </c>
      <c r="AC1377" s="1008" t="s">
        <v>670</v>
      </c>
      <c r="AD1377" s="1008" t="s">
        <v>670</v>
      </c>
      <c r="AE1377" s="1008"/>
      <c r="AF1377" s="1008" t="s">
        <v>670</v>
      </c>
      <c r="AG1377" s="1008"/>
      <c r="AH1377" s="1008"/>
      <c r="AI1377" s="1008"/>
    </row>
    <row r="1378" spans="1:35">
      <c r="A1378" s="1008">
        <v>24205</v>
      </c>
      <c r="B1378" s="1008">
        <v>711</v>
      </c>
      <c r="C1378" s="1008">
        <v>7</v>
      </c>
      <c r="D1378" s="1009">
        <v>17049999</v>
      </c>
      <c r="E1378" s="1009">
        <v>17040200</v>
      </c>
      <c r="F1378" s="1007" t="s">
        <v>3281</v>
      </c>
      <c r="G1378" s="1007">
        <v>8</v>
      </c>
      <c r="H1378" s="1010">
        <v>99999999</v>
      </c>
      <c r="I1378" s="1009">
        <v>17040200</v>
      </c>
      <c r="J1378" s="1007" t="s">
        <v>3281</v>
      </c>
      <c r="O1378" s="1007" t="s">
        <v>648</v>
      </c>
      <c r="P1378" s="1007" t="s">
        <v>648</v>
      </c>
      <c r="S1378" s="1008" t="s">
        <v>650</v>
      </c>
      <c r="T1378" s="1008" t="s">
        <v>654</v>
      </c>
      <c r="U1378" s="1008" t="s">
        <v>649</v>
      </c>
      <c r="V1378" s="1008" t="s">
        <v>648</v>
      </c>
      <c r="W1378" s="1008" t="s">
        <v>546</v>
      </c>
      <c r="X1378" s="1008" t="s">
        <v>670</v>
      </c>
      <c r="Y1378" s="1008" t="s">
        <v>670</v>
      </c>
      <c r="Z1378" s="1008" t="s">
        <v>670</v>
      </c>
      <c r="AA1378" s="1008" t="s">
        <v>670</v>
      </c>
      <c r="AB1378" s="1008" t="s">
        <v>670</v>
      </c>
      <c r="AC1378" s="1008" t="s">
        <v>670</v>
      </c>
      <c r="AD1378" s="1008"/>
      <c r="AE1378" s="1008"/>
      <c r="AF1378" s="1008" t="s">
        <v>670</v>
      </c>
      <c r="AG1378" s="1008"/>
      <c r="AH1378" s="1008"/>
      <c r="AI1378" s="1008"/>
    </row>
    <row r="1379" spans="1:35">
      <c r="A1379" s="1008">
        <v>24206</v>
      </c>
      <c r="B1379" s="1008">
        <v>1703</v>
      </c>
      <c r="C1379" s="1008">
        <v>7</v>
      </c>
      <c r="D1379" s="1009">
        <v>17049999</v>
      </c>
      <c r="E1379" s="1009">
        <v>17040400</v>
      </c>
      <c r="F1379" s="1007" t="s">
        <v>3280</v>
      </c>
      <c r="G1379" s="1007">
        <v>7</v>
      </c>
      <c r="H1379" s="1010">
        <v>99999999</v>
      </c>
      <c r="I1379" s="1009">
        <v>17040400</v>
      </c>
      <c r="J1379" s="1007" t="s">
        <v>3280</v>
      </c>
      <c r="O1379" s="1007" t="s">
        <v>648</v>
      </c>
      <c r="P1379" s="1007" t="s">
        <v>648</v>
      </c>
      <c r="S1379" s="1008" t="s">
        <v>650</v>
      </c>
      <c r="T1379" s="1008" t="s">
        <v>654</v>
      </c>
      <c r="U1379" s="1008" t="s">
        <v>649</v>
      </c>
      <c r="V1379" s="1008" t="s">
        <v>648</v>
      </c>
      <c r="W1379" s="1008" t="s">
        <v>546</v>
      </c>
      <c r="X1379" s="1008" t="s">
        <v>670</v>
      </c>
      <c r="Y1379" s="1008" t="s">
        <v>670</v>
      </c>
      <c r="Z1379" s="1008" t="s">
        <v>670</v>
      </c>
      <c r="AA1379" s="1008" t="s">
        <v>670</v>
      </c>
      <c r="AB1379" s="1008" t="s">
        <v>670</v>
      </c>
      <c r="AC1379" s="1008" t="s">
        <v>670</v>
      </c>
      <c r="AD1379" s="1008" t="s">
        <v>670</v>
      </c>
      <c r="AE1379" s="1008"/>
      <c r="AF1379" s="1008" t="s">
        <v>670</v>
      </c>
      <c r="AG1379" s="1008"/>
      <c r="AH1379" s="1008"/>
      <c r="AI1379" s="1008"/>
    </row>
    <row r="1380" spans="1:35">
      <c r="A1380" s="1008">
        <v>24207</v>
      </c>
      <c r="B1380" s="1008">
        <v>4947</v>
      </c>
      <c r="C1380" s="1008">
        <v>7</v>
      </c>
      <c r="D1380" s="1009">
        <v>17049999</v>
      </c>
      <c r="E1380" s="1009">
        <v>17040800</v>
      </c>
      <c r="F1380" s="1007" t="s">
        <v>3279</v>
      </c>
      <c r="G1380" s="1007">
        <v>7</v>
      </c>
      <c r="H1380" s="1010">
        <v>99999999</v>
      </c>
      <c r="I1380" s="1009">
        <v>17040800</v>
      </c>
      <c r="J1380" s="1007" t="s">
        <v>3279</v>
      </c>
      <c r="O1380" s="1007" t="s">
        <v>648</v>
      </c>
      <c r="P1380" s="1007" t="s">
        <v>648</v>
      </c>
      <c r="S1380" s="1008" t="s">
        <v>650</v>
      </c>
      <c r="T1380" s="1008" t="s">
        <v>654</v>
      </c>
      <c r="U1380" s="1008" t="s">
        <v>649</v>
      </c>
      <c r="V1380" s="1008" t="s">
        <v>648</v>
      </c>
      <c r="W1380" s="1008" t="s">
        <v>546</v>
      </c>
      <c r="X1380" s="1008" t="s">
        <v>670</v>
      </c>
      <c r="Y1380" s="1008" t="s">
        <v>670</v>
      </c>
      <c r="Z1380" s="1008" t="s">
        <v>670</v>
      </c>
      <c r="AA1380" s="1008" t="s">
        <v>670</v>
      </c>
      <c r="AB1380" s="1008" t="s">
        <v>670</v>
      </c>
      <c r="AC1380" s="1008" t="s">
        <v>670</v>
      </c>
      <c r="AD1380" s="1008" t="s">
        <v>670</v>
      </c>
      <c r="AE1380" s="1008"/>
      <c r="AF1380" s="1008" t="s">
        <v>670</v>
      </c>
      <c r="AG1380" s="1008"/>
      <c r="AH1380" s="1008"/>
      <c r="AI1380" s="1008"/>
    </row>
    <row r="1381" spans="1:35">
      <c r="A1381" s="1008">
        <v>24208</v>
      </c>
      <c r="C1381" s="1008">
        <v>6</v>
      </c>
      <c r="D1381" s="1009">
        <v>17099999</v>
      </c>
      <c r="E1381" s="1009">
        <v>17049999</v>
      </c>
      <c r="F1381" s="1007" t="s">
        <v>3278</v>
      </c>
      <c r="O1381" s="1007" t="s">
        <v>648</v>
      </c>
      <c r="P1381" s="1007" t="s">
        <v>648</v>
      </c>
      <c r="S1381" s="1008" t="s">
        <v>650</v>
      </c>
      <c r="T1381" s="1008" t="s">
        <v>21</v>
      </c>
      <c r="U1381" s="1008" t="s">
        <v>649</v>
      </c>
      <c r="V1381" s="1008" t="s">
        <v>648</v>
      </c>
      <c r="W1381" s="1008" t="s">
        <v>546</v>
      </c>
      <c r="X1381" s="1008"/>
      <c r="Y1381" s="1008"/>
      <c r="Z1381" s="1008"/>
      <c r="AA1381" s="1008"/>
      <c r="AB1381" s="1008"/>
      <c r="AC1381" s="1008"/>
      <c r="AD1381" s="1008"/>
      <c r="AE1381" s="1008"/>
      <c r="AF1381" s="1008"/>
      <c r="AG1381" s="1008"/>
      <c r="AH1381" s="1008"/>
      <c r="AI1381" s="1008"/>
    </row>
    <row r="1382" spans="1:35">
      <c r="A1382" s="1008">
        <v>24209</v>
      </c>
      <c r="C1382" s="1008">
        <v>6</v>
      </c>
      <c r="D1382" s="1009">
        <v>17059999</v>
      </c>
      <c r="E1382" s="1009">
        <v>17050000</v>
      </c>
      <c r="F1382" s="1007" t="s">
        <v>3277</v>
      </c>
      <c r="O1382" s="1007" t="s">
        <v>648</v>
      </c>
      <c r="P1382" s="1007" t="s">
        <v>648</v>
      </c>
      <c r="S1382" s="1008" t="s">
        <v>650</v>
      </c>
      <c r="T1382" s="1008" t="s">
        <v>675</v>
      </c>
      <c r="U1382" s="1008" t="s">
        <v>649</v>
      </c>
      <c r="V1382" s="1008" t="s">
        <v>648</v>
      </c>
      <c r="W1382" s="1008" t="s">
        <v>546</v>
      </c>
      <c r="X1382" s="1008"/>
      <c r="Y1382" s="1008"/>
      <c r="Z1382" s="1008"/>
      <c r="AA1382" s="1008"/>
      <c r="AB1382" s="1008"/>
      <c r="AC1382" s="1008"/>
      <c r="AD1382" s="1008"/>
      <c r="AE1382" s="1008"/>
      <c r="AF1382" s="1008"/>
      <c r="AG1382" s="1008"/>
      <c r="AH1382" s="1008"/>
      <c r="AI1382" s="1008"/>
    </row>
    <row r="1383" spans="1:35">
      <c r="A1383" s="1008">
        <v>26417</v>
      </c>
      <c r="B1383" s="1008">
        <v>1705</v>
      </c>
      <c r="C1383" s="1008">
        <v>7</v>
      </c>
      <c r="D1383" s="1009">
        <v>17059999</v>
      </c>
      <c r="E1383" s="1009">
        <v>17050100</v>
      </c>
      <c r="F1383" s="1007" t="s">
        <v>3276</v>
      </c>
      <c r="G1383" s="1007">
        <v>7</v>
      </c>
      <c r="H1383" s="1010">
        <v>99999999</v>
      </c>
      <c r="I1383" s="1009">
        <v>17050100</v>
      </c>
      <c r="J1383" s="1007" t="s">
        <v>3276</v>
      </c>
      <c r="O1383" s="1007" t="s">
        <v>648</v>
      </c>
      <c r="P1383" s="1007" t="s">
        <v>648</v>
      </c>
      <c r="S1383" s="1008" t="s">
        <v>650</v>
      </c>
      <c r="T1383" s="1008" t="s">
        <v>654</v>
      </c>
      <c r="U1383" s="1008" t="s">
        <v>649</v>
      </c>
      <c r="V1383" s="1008" t="s">
        <v>648</v>
      </c>
      <c r="W1383" s="1008" t="s">
        <v>546</v>
      </c>
      <c r="X1383" s="1008" t="s">
        <v>670</v>
      </c>
      <c r="Y1383" s="1008" t="s">
        <v>670</v>
      </c>
      <c r="Z1383" s="1008" t="s">
        <v>670</v>
      </c>
      <c r="AA1383" s="1008" t="s">
        <v>670</v>
      </c>
      <c r="AB1383" s="1008" t="s">
        <v>670</v>
      </c>
      <c r="AC1383" s="1008" t="s">
        <v>670</v>
      </c>
      <c r="AD1383" s="1008" t="s">
        <v>670</v>
      </c>
      <c r="AE1383" s="1008"/>
      <c r="AF1383" s="1008" t="s">
        <v>670</v>
      </c>
      <c r="AG1383" s="1008"/>
      <c r="AH1383" s="1008"/>
      <c r="AI1383" s="1008"/>
    </row>
    <row r="1384" spans="1:35">
      <c r="A1384" s="1008">
        <v>24210</v>
      </c>
      <c r="B1384" s="1008">
        <v>712</v>
      </c>
      <c r="C1384" s="1008">
        <v>7</v>
      </c>
      <c r="D1384" s="1009">
        <v>17059999</v>
      </c>
      <c r="E1384" s="1009">
        <v>17050200</v>
      </c>
      <c r="F1384" s="1007" t="s">
        <v>3275</v>
      </c>
      <c r="G1384" s="1007">
        <v>8</v>
      </c>
      <c r="H1384" s="1010">
        <v>99999999</v>
      </c>
      <c r="I1384" s="1009">
        <v>17050200</v>
      </c>
      <c r="J1384" s="1007" t="s">
        <v>3275</v>
      </c>
      <c r="O1384" s="1007" t="s">
        <v>648</v>
      </c>
      <c r="P1384" s="1007" t="s">
        <v>648</v>
      </c>
      <c r="S1384" s="1008" t="s">
        <v>650</v>
      </c>
      <c r="T1384" s="1008" t="s">
        <v>654</v>
      </c>
      <c r="U1384" s="1008" t="s">
        <v>649</v>
      </c>
      <c r="V1384" s="1008" t="s">
        <v>648</v>
      </c>
      <c r="W1384" s="1008" t="s">
        <v>546</v>
      </c>
      <c r="X1384" s="1008" t="s">
        <v>670</v>
      </c>
      <c r="Y1384" s="1008" t="s">
        <v>670</v>
      </c>
      <c r="Z1384" s="1008" t="s">
        <v>670</v>
      </c>
      <c r="AA1384" s="1008"/>
      <c r="AB1384" s="1008" t="s">
        <v>670</v>
      </c>
      <c r="AC1384" s="1008"/>
      <c r="AD1384" s="1008"/>
      <c r="AE1384" s="1008"/>
      <c r="AF1384" s="1008" t="s">
        <v>670</v>
      </c>
      <c r="AG1384" s="1008"/>
      <c r="AH1384" s="1008"/>
      <c r="AI1384" s="1008"/>
    </row>
    <row r="1385" spans="1:35">
      <c r="A1385" s="1008">
        <v>24211</v>
      </c>
      <c r="B1385" s="1008">
        <v>1707</v>
      </c>
      <c r="C1385" s="1008">
        <v>7</v>
      </c>
      <c r="D1385" s="1009">
        <v>17059999</v>
      </c>
      <c r="E1385" s="1009">
        <v>17050400</v>
      </c>
      <c r="F1385" s="1007" t="s">
        <v>3274</v>
      </c>
      <c r="G1385" s="1007">
        <v>7</v>
      </c>
      <c r="H1385" s="1010">
        <v>99999999</v>
      </c>
      <c r="I1385" s="1009">
        <v>17050400</v>
      </c>
      <c r="J1385" s="1007" t="s">
        <v>3274</v>
      </c>
      <c r="O1385" s="1007" t="s">
        <v>648</v>
      </c>
      <c r="P1385" s="1007" t="s">
        <v>648</v>
      </c>
      <c r="S1385" s="1008" t="s">
        <v>650</v>
      </c>
      <c r="T1385" s="1008" t="s">
        <v>654</v>
      </c>
      <c r="U1385" s="1008" t="s">
        <v>649</v>
      </c>
      <c r="V1385" s="1008" t="s">
        <v>648</v>
      </c>
      <c r="W1385" s="1008" t="s">
        <v>546</v>
      </c>
      <c r="X1385" s="1008" t="s">
        <v>670</v>
      </c>
      <c r="Y1385" s="1008" t="s">
        <v>670</v>
      </c>
      <c r="Z1385" s="1008" t="s">
        <v>670</v>
      </c>
      <c r="AA1385" s="1008" t="s">
        <v>670</v>
      </c>
      <c r="AB1385" s="1008" t="s">
        <v>670</v>
      </c>
      <c r="AC1385" s="1008" t="s">
        <v>670</v>
      </c>
      <c r="AD1385" s="1008" t="s">
        <v>670</v>
      </c>
      <c r="AE1385" s="1008"/>
      <c r="AF1385" s="1008" t="s">
        <v>670</v>
      </c>
      <c r="AG1385" s="1008"/>
      <c r="AH1385" s="1008"/>
      <c r="AI1385" s="1008"/>
    </row>
    <row r="1386" spans="1:35">
      <c r="A1386" s="1008">
        <v>24212</v>
      </c>
      <c r="B1386" s="1008">
        <v>4949</v>
      </c>
      <c r="C1386" s="1008">
        <v>7</v>
      </c>
      <c r="D1386" s="1009">
        <v>17059999</v>
      </c>
      <c r="E1386" s="1009">
        <v>17050800</v>
      </c>
      <c r="F1386" s="1007" t="s">
        <v>3273</v>
      </c>
      <c r="G1386" s="1007">
        <v>7</v>
      </c>
      <c r="H1386" s="1010">
        <v>99999999</v>
      </c>
      <c r="I1386" s="1009">
        <v>17050800</v>
      </c>
      <c r="J1386" s="1007" t="s">
        <v>3273</v>
      </c>
      <c r="O1386" s="1007" t="s">
        <v>648</v>
      </c>
      <c r="P1386" s="1007" t="s">
        <v>648</v>
      </c>
      <c r="S1386" s="1008" t="s">
        <v>650</v>
      </c>
      <c r="T1386" s="1008" t="s">
        <v>654</v>
      </c>
      <c r="U1386" s="1008" t="s">
        <v>649</v>
      </c>
      <c r="V1386" s="1008" t="s">
        <v>648</v>
      </c>
      <c r="W1386" s="1008" t="s">
        <v>546</v>
      </c>
      <c r="X1386" s="1008" t="s">
        <v>670</v>
      </c>
      <c r="Y1386" s="1008" t="s">
        <v>670</v>
      </c>
      <c r="Z1386" s="1008" t="s">
        <v>670</v>
      </c>
      <c r="AA1386" s="1008" t="s">
        <v>670</v>
      </c>
      <c r="AB1386" s="1008" t="s">
        <v>670</v>
      </c>
      <c r="AC1386" s="1008" t="s">
        <v>670</v>
      </c>
      <c r="AD1386" s="1008" t="s">
        <v>670</v>
      </c>
      <c r="AE1386" s="1008"/>
      <c r="AF1386" s="1008" t="s">
        <v>670</v>
      </c>
      <c r="AG1386" s="1008"/>
      <c r="AH1386" s="1008"/>
      <c r="AI1386" s="1008"/>
    </row>
    <row r="1387" spans="1:35">
      <c r="A1387" s="1008">
        <v>24213</v>
      </c>
      <c r="C1387" s="1008">
        <v>6</v>
      </c>
      <c r="D1387" s="1009">
        <v>17099999</v>
      </c>
      <c r="E1387" s="1009">
        <v>17059999</v>
      </c>
      <c r="F1387" s="1007" t="s">
        <v>3272</v>
      </c>
      <c r="O1387" s="1007" t="s">
        <v>648</v>
      </c>
      <c r="P1387" s="1007" t="s">
        <v>648</v>
      </c>
      <c r="S1387" s="1008" t="s">
        <v>650</v>
      </c>
      <c r="T1387" s="1008" t="s">
        <v>21</v>
      </c>
      <c r="U1387" s="1008" t="s">
        <v>649</v>
      </c>
      <c r="V1387" s="1008" t="s">
        <v>648</v>
      </c>
      <c r="W1387" s="1008" t="s">
        <v>546</v>
      </c>
      <c r="X1387" s="1008"/>
      <c r="Y1387" s="1008"/>
      <c r="Z1387" s="1008"/>
      <c r="AA1387" s="1008"/>
      <c r="AB1387" s="1008"/>
      <c r="AC1387" s="1008"/>
      <c r="AD1387" s="1008"/>
      <c r="AE1387" s="1008"/>
      <c r="AF1387" s="1008"/>
      <c r="AG1387" s="1008"/>
      <c r="AH1387" s="1008"/>
      <c r="AI1387" s="1008"/>
    </row>
    <row r="1388" spans="1:35">
      <c r="A1388" s="1008">
        <v>24214</v>
      </c>
      <c r="C1388" s="1008">
        <v>6</v>
      </c>
      <c r="D1388" s="1009">
        <v>17069999</v>
      </c>
      <c r="E1388" s="1009">
        <v>17060000</v>
      </c>
      <c r="F1388" s="1007" t="s">
        <v>3271</v>
      </c>
      <c r="O1388" s="1007" t="s">
        <v>648</v>
      </c>
      <c r="P1388" s="1007" t="s">
        <v>648</v>
      </c>
      <c r="S1388" s="1008" t="s">
        <v>650</v>
      </c>
      <c r="T1388" s="1008" t="s">
        <v>675</v>
      </c>
      <c r="U1388" s="1008" t="s">
        <v>649</v>
      </c>
      <c r="V1388" s="1008" t="s">
        <v>648</v>
      </c>
      <c r="W1388" s="1008" t="s">
        <v>546</v>
      </c>
      <c r="X1388" s="1008"/>
      <c r="Y1388" s="1008"/>
      <c r="Z1388" s="1008"/>
      <c r="AA1388" s="1008"/>
      <c r="AB1388" s="1008"/>
      <c r="AC1388" s="1008"/>
      <c r="AD1388" s="1008"/>
      <c r="AE1388" s="1008"/>
      <c r="AF1388" s="1008"/>
      <c r="AG1388" s="1008"/>
      <c r="AH1388" s="1008"/>
      <c r="AI1388" s="1008"/>
    </row>
    <row r="1389" spans="1:35">
      <c r="A1389" s="1008">
        <v>26416</v>
      </c>
      <c r="B1389" s="1008">
        <v>1709</v>
      </c>
      <c r="C1389" s="1008">
        <v>7</v>
      </c>
      <c r="D1389" s="1009">
        <v>17069999</v>
      </c>
      <c r="E1389" s="1009">
        <v>17060100</v>
      </c>
      <c r="F1389" s="1007" t="s">
        <v>3270</v>
      </c>
      <c r="G1389" s="1007">
        <v>7</v>
      </c>
      <c r="H1389" s="1010">
        <v>99999999</v>
      </c>
      <c r="I1389" s="1009">
        <v>17060100</v>
      </c>
      <c r="J1389" s="1007" t="s">
        <v>3270</v>
      </c>
      <c r="O1389" s="1007" t="s">
        <v>648</v>
      </c>
      <c r="P1389" s="1007" t="s">
        <v>648</v>
      </c>
      <c r="S1389" s="1008" t="s">
        <v>650</v>
      </c>
      <c r="T1389" s="1008" t="s">
        <v>654</v>
      </c>
      <c r="U1389" s="1008" t="s">
        <v>649</v>
      </c>
      <c r="V1389" s="1008" t="s">
        <v>648</v>
      </c>
      <c r="W1389" s="1008" t="s">
        <v>546</v>
      </c>
      <c r="X1389" s="1008" t="s">
        <v>670</v>
      </c>
      <c r="Y1389" s="1008" t="s">
        <v>670</v>
      </c>
      <c r="Z1389" s="1008" t="s">
        <v>670</v>
      </c>
      <c r="AA1389" s="1008" t="s">
        <v>670</v>
      </c>
      <c r="AB1389" s="1008" t="s">
        <v>670</v>
      </c>
      <c r="AC1389" s="1008" t="s">
        <v>670</v>
      </c>
      <c r="AD1389" s="1008" t="s">
        <v>670</v>
      </c>
      <c r="AE1389" s="1008"/>
      <c r="AF1389" s="1008" t="s">
        <v>670</v>
      </c>
      <c r="AG1389" s="1008"/>
      <c r="AH1389" s="1008"/>
      <c r="AI1389" s="1008"/>
    </row>
    <row r="1390" spans="1:35">
      <c r="A1390" s="1008">
        <v>24215</v>
      </c>
      <c r="B1390" s="1008">
        <v>716</v>
      </c>
      <c r="C1390" s="1008">
        <v>7</v>
      </c>
      <c r="D1390" s="1009">
        <v>17069999</v>
      </c>
      <c r="E1390" s="1009">
        <v>17060200</v>
      </c>
      <c r="F1390" s="1007" t="s">
        <v>3269</v>
      </c>
      <c r="G1390" s="1007">
        <v>8</v>
      </c>
      <c r="H1390" s="1010">
        <v>99999999</v>
      </c>
      <c r="I1390" s="1009">
        <v>17060200</v>
      </c>
      <c r="J1390" s="1007" t="s">
        <v>3269</v>
      </c>
      <c r="O1390" s="1007" t="s">
        <v>648</v>
      </c>
      <c r="P1390" s="1007" t="s">
        <v>648</v>
      </c>
      <c r="S1390" s="1008" t="s">
        <v>650</v>
      </c>
      <c r="T1390" s="1008" t="s">
        <v>654</v>
      </c>
      <c r="U1390" s="1008" t="s">
        <v>649</v>
      </c>
      <c r="V1390" s="1008" t="s">
        <v>648</v>
      </c>
      <c r="W1390" s="1008" t="s">
        <v>546</v>
      </c>
      <c r="X1390" s="1008" t="s">
        <v>670</v>
      </c>
      <c r="Y1390" s="1008" t="s">
        <v>670</v>
      </c>
      <c r="Z1390" s="1008" t="s">
        <v>670</v>
      </c>
      <c r="AA1390" s="1008"/>
      <c r="AB1390" s="1008" t="s">
        <v>670</v>
      </c>
      <c r="AC1390" s="1008"/>
      <c r="AD1390" s="1008"/>
      <c r="AE1390" s="1008"/>
      <c r="AF1390" s="1008" t="s">
        <v>670</v>
      </c>
      <c r="AG1390" s="1008"/>
      <c r="AH1390" s="1008"/>
      <c r="AI1390" s="1008"/>
    </row>
    <row r="1391" spans="1:35">
      <c r="A1391" s="1008">
        <v>24216</v>
      </c>
      <c r="B1391" s="1008">
        <v>1711</v>
      </c>
      <c r="C1391" s="1008">
        <v>7</v>
      </c>
      <c r="D1391" s="1009">
        <v>17069999</v>
      </c>
      <c r="E1391" s="1009">
        <v>17060400</v>
      </c>
      <c r="F1391" s="1007" t="s">
        <v>3268</v>
      </c>
      <c r="G1391" s="1007">
        <v>7</v>
      </c>
      <c r="H1391" s="1010">
        <v>99999999</v>
      </c>
      <c r="I1391" s="1009">
        <v>17060400</v>
      </c>
      <c r="J1391" s="1007" t="s">
        <v>3268</v>
      </c>
      <c r="O1391" s="1007" t="s">
        <v>648</v>
      </c>
      <c r="P1391" s="1007" t="s">
        <v>648</v>
      </c>
      <c r="S1391" s="1008" t="s">
        <v>650</v>
      </c>
      <c r="T1391" s="1008" t="s">
        <v>654</v>
      </c>
      <c r="U1391" s="1008" t="s">
        <v>649</v>
      </c>
      <c r="V1391" s="1008" t="s">
        <v>648</v>
      </c>
      <c r="W1391" s="1008" t="s">
        <v>546</v>
      </c>
      <c r="X1391" s="1008" t="s">
        <v>670</v>
      </c>
      <c r="Y1391" s="1008" t="s">
        <v>670</v>
      </c>
      <c r="Z1391" s="1008" t="s">
        <v>670</v>
      </c>
      <c r="AA1391" s="1008" t="s">
        <v>670</v>
      </c>
      <c r="AB1391" s="1008" t="s">
        <v>670</v>
      </c>
      <c r="AC1391" s="1008" t="s">
        <v>670</v>
      </c>
      <c r="AD1391" s="1008" t="s">
        <v>670</v>
      </c>
      <c r="AE1391" s="1008"/>
      <c r="AF1391" s="1008" t="s">
        <v>670</v>
      </c>
      <c r="AG1391" s="1008"/>
      <c r="AH1391" s="1008"/>
      <c r="AI1391" s="1008"/>
    </row>
    <row r="1392" spans="1:35">
      <c r="A1392" s="1008">
        <v>24217</v>
      </c>
      <c r="B1392" s="1008">
        <v>4951</v>
      </c>
      <c r="C1392" s="1008">
        <v>7</v>
      </c>
      <c r="D1392" s="1009">
        <v>17069999</v>
      </c>
      <c r="E1392" s="1009">
        <v>17060800</v>
      </c>
      <c r="F1392" s="1007" t="s">
        <v>3267</v>
      </c>
      <c r="G1392" s="1007">
        <v>7</v>
      </c>
      <c r="H1392" s="1010">
        <v>99999999</v>
      </c>
      <c r="I1392" s="1009">
        <v>17060800</v>
      </c>
      <c r="J1392" s="1007" t="s">
        <v>3267</v>
      </c>
      <c r="O1392" s="1007" t="s">
        <v>648</v>
      </c>
      <c r="P1392" s="1007" t="s">
        <v>648</v>
      </c>
      <c r="S1392" s="1008" t="s">
        <v>650</v>
      </c>
      <c r="T1392" s="1008" t="s">
        <v>654</v>
      </c>
      <c r="U1392" s="1008" t="s">
        <v>649</v>
      </c>
      <c r="V1392" s="1008" t="s">
        <v>648</v>
      </c>
      <c r="W1392" s="1008" t="s">
        <v>546</v>
      </c>
      <c r="X1392" s="1008" t="s">
        <v>670</v>
      </c>
      <c r="Y1392" s="1008" t="s">
        <v>670</v>
      </c>
      <c r="Z1392" s="1008" t="s">
        <v>670</v>
      </c>
      <c r="AA1392" s="1008" t="s">
        <v>670</v>
      </c>
      <c r="AB1392" s="1008" t="s">
        <v>670</v>
      </c>
      <c r="AC1392" s="1008" t="s">
        <v>670</v>
      </c>
      <c r="AD1392" s="1008" t="s">
        <v>670</v>
      </c>
      <c r="AE1392" s="1008"/>
      <c r="AF1392" s="1008" t="s">
        <v>670</v>
      </c>
      <c r="AG1392" s="1008"/>
      <c r="AH1392" s="1008"/>
      <c r="AI1392" s="1008"/>
    </row>
    <row r="1393" spans="1:35">
      <c r="A1393" s="1008">
        <v>24218</v>
      </c>
      <c r="C1393" s="1008">
        <v>6</v>
      </c>
      <c r="D1393" s="1009">
        <v>17099999</v>
      </c>
      <c r="E1393" s="1009">
        <v>17069999</v>
      </c>
      <c r="F1393" s="1007" t="s">
        <v>3266</v>
      </c>
      <c r="O1393" s="1007" t="s">
        <v>648</v>
      </c>
      <c r="P1393" s="1007" t="s">
        <v>648</v>
      </c>
      <c r="S1393" s="1008" t="s">
        <v>650</v>
      </c>
      <c r="T1393" s="1008" t="s">
        <v>21</v>
      </c>
      <c r="U1393" s="1008" t="s">
        <v>649</v>
      </c>
      <c r="V1393" s="1008" t="s">
        <v>648</v>
      </c>
      <c r="W1393" s="1008" t="s">
        <v>546</v>
      </c>
      <c r="X1393" s="1008"/>
      <c r="Y1393" s="1008"/>
      <c r="Z1393" s="1008"/>
      <c r="AA1393" s="1008"/>
      <c r="AB1393" s="1008"/>
      <c r="AC1393" s="1008"/>
      <c r="AD1393" s="1008"/>
      <c r="AE1393" s="1008"/>
      <c r="AF1393" s="1008"/>
      <c r="AG1393" s="1008"/>
      <c r="AH1393" s="1008"/>
      <c r="AI1393" s="1008"/>
    </row>
    <row r="1394" spans="1:35">
      <c r="A1394" s="1008">
        <v>27750</v>
      </c>
      <c r="C1394" s="1008">
        <v>6</v>
      </c>
      <c r="D1394" s="1009">
        <v>17072999</v>
      </c>
      <c r="E1394" s="1009">
        <v>17070000</v>
      </c>
      <c r="F1394" s="1007" t="s">
        <v>3265</v>
      </c>
      <c r="O1394" s="1007" t="s">
        <v>648</v>
      </c>
      <c r="P1394" s="1007" t="s">
        <v>648</v>
      </c>
      <c r="S1394" s="1008" t="s">
        <v>650</v>
      </c>
      <c r="T1394" s="1008" t="s">
        <v>675</v>
      </c>
      <c r="U1394" s="1008" t="s">
        <v>649</v>
      </c>
      <c r="V1394" s="1008" t="s">
        <v>648</v>
      </c>
      <c r="W1394" s="1008" t="s">
        <v>546</v>
      </c>
      <c r="X1394" s="1008"/>
      <c r="Y1394" s="1008"/>
      <c r="Z1394" s="1008"/>
      <c r="AA1394" s="1008"/>
      <c r="AB1394" s="1008"/>
      <c r="AC1394" s="1008"/>
      <c r="AD1394" s="1008"/>
      <c r="AE1394" s="1008"/>
      <c r="AF1394" s="1008"/>
      <c r="AG1394" s="1008"/>
      <c r="AH1394" s="1008"/>
      <c r="AI1394" s="1008"/>
    </row>
    <row r="1395" spans="1:35">
      <c r="A1395" s="1008">
        <v>27754</v>
      </c>
      <c r="B1395" s="1008">
        <v>6567</v>
      </c>
      <c r="C1395" s="1008">
        <v>7</v>
      </c>
      <c r="D1395" s="1009">
        <v>17072999</v>
      </c>
      <c r="E1395" s="1009">
        <v>17071200</v>
      </c>
      <c r="F1395" s="1007" t="s">
        <v>3264</v>
      </c>
      <c r="G1395" s="1007">
        <v>8</v>
      </c>
      <c r="H1395" s="1010">
        <v>99999999</v>
      </c>
      <c r="I1395" s="1009">
        <v>17071200</v>
      </c>
      <c r="J1395" s="1007" t="s">
        <v>3264</v>
      </c>
      <c r="O1395" s="1007" t="s">
        <v>648</v>
      </c>
      <c r="P1395" s="1007" t="s">
        <v>648</v>
      </c>
      <c r="S1395" s="1008" t="s">
        <v>650</v>
      </c>
      <c r="T1395" s="1008" t="s">
        <v>654</v>
      </c>
      <c r="U1395" s="1008" t="s">
        <v>649</v>
      </c>
      <c r="V1395" s="1008" t="s">
        <v>648</v>
      </c>
      <c r="W1395" s="1008" t="s">
        <v>546</v>
      </c>
      <c r="X1395" s="1008" t="s">
        <v>670</v>
      </c>
      <c r="Y1395" s="1008"/>
      <c r="Z1395" s="1008"/>
      <c r="AA1395" s="1008" t="s">
        <v>670</v>
      </c>
      <c r="AB1395" s="1008"/>
      <c r="AC1395" s="1008"/>
      <c r="AD1395" s="1008"/>
      <c r="AE1395" s="1008"/>
      <c r="AF1395" s="1008"/>
      <c r="AG1395" s="1008"/>
      <c r="AH1395" s="1008"/>
      <c r="AI1395" s="1008"/>
    </row>
    <row r="1396" spans="1:35">
      <c r="A1396" s="1008">
        <v>27749</v>
      </c>
      <c r="C1396" s="1008">
        <v>6</v>
      </c>
      <c r="D1396" s="1009">
        <v>17099999</v>
      </c>
      <c r="E1396" s="1009">
        <v>17072999</v>
      </c>
      <c r="F1396" s="1007" t="s">
        <v>3263</v>
      </c>
      <c r="O1396" s="1007" t="s">
        <v>648</v>
      </c>
      <c r="P1396" s="1007" t="s">
        <v>648</v>
      </c>
      <c r="S1396" s="1008" t="s">
        <v>650</v>
      </c>
      <c r="T1396" s="1008" t="s">
        <v>21</v>
      </c>
      <c r="U1396" s="1008" t="s">
        <v>649</v>
      </c>
      <c r="V1396" s="1008" t="s">
        <v>648</v>
      </c>
      <c r="W1396" s="1008" t="s">
        <v>546</v>
      </c>
      <c r="X1396" s="1008"/>
      <c r="Y1396" s="1008"/>
      <c r="Z1396" s="1008"/>
      <c r="AA1396" s="1008"/>
      <c r="AB1396" s="1008"/>
      <c r="AC1396" s="1008"/>
      <c r="AD1396" s="1008"/>
      <c r="AE1396" s="1008"/>
      <c r="AF1396" s="1008"/>
      <c r="AG1396" s="1008"/>
      <c r="AH1396" s="1008"/>
      <c r="AI1396" s="1008"/>
    </row>
    <row r="1397" spans="1:35">
      <c r="A1397" s="1008">
        <v>27756</v>
      </c>
      <c r="C1397" s="1008">
        <v>6</v>
      </c>
      <c r="D1397" s="1009">
        <v>17075999</v>
      </c>
      <c r="E1397" s="1009">
        <v>17073000</v>
      </c>
      <c r="F1397" s="1007" t="s">
        <v>3262</v>
      </c>
      <c r="O1397" s="1007" t="s">
        <v>648</v>
      </c>
      <c r="P1397" s="1007" t="s">
        <v>648</v>
      </c>
      <c r="S1397" s="1008" t="s">
        <v>650</v>
      </c>
      <c r="T1397" s="1008" t="s">
        <v>675</v>
      </c>
      <c r="U1397" s="1008" t="s">
        <v>649</v>
      </c>
      <c r="V1397" s="1008" t="s">
        <v>648</v>
      </c>
      <c r="W1397" s="1008" t="s">
        <v>546</v>
      </c>
      <c r="X1397" s="1008"/>
      <c r="Y1397" s="1008"/>
      <c r="Z1397" s="1008"/>
      <c r="AA1397" s="1008"/>
      <c r="AB1397" s="1008"/>
      <c r="AC1397" s="1008"/>
      <c r="AD1397" s="1008"/>
      <c r="AE1397" s="1008"/>
      <c r="AF1397" s="1008"/>
      <c r="AG1397" s="1008"/>
      <c r="AH1397" s="1008"/>
      <c r="AI1397" s="1008"/>
    </row>
    <row r="1398" spans="1:35">
      <c r="A1398" s="1008">
        <v>27757</v>
      </c>
      <c r="B1398" s="1008">
        <v>6568</v>
      </c>
      <c r="C1398" s="1008">
        <v>7</v>
      </c>
      <c r="D1398" s="1009">
        <v>17075999</v>
      </c>
      <c r="E1398" s="1009">
        <v>17074200</v>
      </c>
      <c r="F1398" s="1007" t="s">
        <v>3262</v>
      </c>
      <c r="G1398" s="1007">
        <v>8</v>
      </c>
      <c r="H1398" s="1010">
        <v>99999999</v>
      </c>
      <c r="I1398" s="1009">
        <v>17074200</v>
      </c>
      <c r="J1398" s="1007" t="s">
        <v>3262</v>
      </c>
      <c r="O1398" s="1007" t="s">
        <v>648</v>
      </c>
      <c r="P1398" s="1007" t="s">
        <v>648</v>
      </c>
      <c r="S1398" s="1008" t="s">
        <v>650</v>
      </c>
      <c r="T1398" s="1008" t="s">
        <v>654</v>
      </c>
      <c r="U1398" s="1008" t="s">
        <v>649</v>
      </c>
      <c r="V1398" s="1008" t="s">
        <v>648</v>
      </c>
      <c r="W1398" s="1008" t="s">
        <v>546</v>
      </c>
      <c r="X1398" s="1008" t="s">
        <v>670</v>
      </c>
      <c r="Y1398" s="1008"/>
      <c r="Z1398" s="1008"/>
      <c r="AA1398" s="1008" t="s">
        <v>670</v>
      </c>
      <c r="AB1398" s="1008"/>
      <c r="AC1398" s="1008"/>
      <c r="AD1398" s="1008"/>
      <c r="AE1398" s="1008"/>
      <c r="AF1398" s="1008"/>
      <c r="AG1398" s="1008"/>
      <c r="AH1398" s="1008"/>
      <c r="AI1398" s="1008"/>
    </row>
    <row r="1399" spans="1:35">
      <c r="A1399" s="1008">
        <v>27755</v>
      </c>
      <c r="C1399" s="1008">
        <v>6</v>
      </c>
      <c r="D1399" s="1009">
        <v>17099999</v>
      </c>
      <c r="E1399" s="1009">
        <v>17075999</v>
      </c>
      <c r="F1399" s="1007" t="s">
        <v>3261</v>
      </c>
      <c r="O1399" s="1007" t="s">
        <v>648</v>
      </c>
      <c r="P1399" s="1007" t="s">
        <v>648</v>
      </c>
      <c r="S1399" s="1008" t="s">
        <v>650</v>
      </c>
      <c r="T1399" s="1008" t="s">
        <v>21</v>
      </c>
      <c r="U1399" s="1008" t="s">
        <v>649</v>
      </c>
      <c r="V1399" s="1008" t="s">
        <v>648</v>
      </c>
      <c r="W1399" s="1008" t="s">
        <v>546</v>
      </c>
      <c r="X1399" s="1008"/>
      <c r="Y1399" s="1008"/>
      <c r="Z1399" s="1008"/>
      <c r="AA1399" s="1008"/>
      <c r="AB1399" s="1008"/>
      <c r="AC1399" s="1008"/>
      <c r="AD1399" s="1008"/>
      <c r="AE1399" s="1008"/>
      <c r="AF1399" s="1008"/>
      <c r="AG1399" s="1008"/>
      <c r="AH1399" s="1008"/>
      <c r="AI1399" s="1008"/>
    </row>
    <row r="1400" spans="1:35">
      <c r="A1400" s="1008">
        <v>24219</v>
      </c>
      <c r="C1400" s="1008">
        <v>5</v>
      </c>
      <c r="D1400" s="1009">
        <v>17299999</v>
      </c>
      <c r="E1400" s="1009">
        <v>17099999</v>
      </c>
      <c r="F1400" s="1007" t="s">
        <v>3260</v>
      </c>
      <c r="O1400" s="1007" t="s">
        <v>648</v>
      </c>
      <c r="P1400" s="1007" t="s">
        <v>648</v>
      </c>
      <c r="S1400" s="1008" t="s">
        <v>650</v>
      </c>
      <c r="T1400" s="1008" t="s">
        <v>21</v>
      </c>
      <c r="U1400" s="1008" t="s">
        <v>649</v>
      </c>
      <c r="V1400" s="1008" t="s">
        <v>648</v>
      </c>
      <c r="W1400" s="1008" t="s">
        <v>546</v>
      </c>
      <c r="X1400" s="1008"/>
      <c r="Y1400" s="1008"/>
      <c r="Z1400" s="1008"/>
      <c r="AA1400" s="1008"/>
      <c r="AB1400" s="1008"/>
      <c r="AC1400" s="1008"/>
      <c r="AD1400" s="1008"/>
      <c r="AE1400" s="1008"/>
      <c r="AF1400" s="1008"/>
      <c r="AG1400" s="1008"/>
      <c r="AH1400" s="1008"/>
      <c r="AI1400" s="1008"/>
    </row>
    <row r="1401" spans="1:35">
      <c r="A1401" s="1008">
        <v>24220</v>
      </c>
      <c r="C1401" s="1008">
        <v>5</v>
      </c>
      <c r="D1401" s="1009">
        <v>17199999</v>
      </c>
      <c r="E1401" s="1009">
        <v>17100000</v>
      </c>
      <c r="F1401" s="1007" t="s">
        <v>3259</v>
      </c>
      <c r="O1401" s="1007" t="s">
        <v>648</v>
      </c>
      <c r="P1401" s="1007" t="s">
        <v>648</v>
      </c>
      <c r="S1401" s="1008" t="s">
        <v>650</v>
      </c>
      <c r="T1401" s="1008" t="s">
        <v>675</v>
      </c>
      <c r="U1401" s="1008" t="s">
        <v>649</v>
      </c>
      <c r="V1401" s="1008" t="s">
        <v>648</v>
      </c>
      <c r="W1401" s="1008" t="s">
        <v>546</v>
      </c>
      <c r="X1401" s="1008"/>
      <c r="Y1401" s="1008"/>
      <c r="Z1401" s="1008"/>
      <c r="AA1401" s="1008"/>
      <c r="AB1401" s="1008"/>
      <c r="AC1401" s="1008"/>
      <c r="AD1401" s="1008"/>
      <c r="AE1401" s="1008"/>
      <c r="AF1401" s="1008"/>
      <c r="AG1401" s="1008"/>
      <c r="AH1401" s="1008"/>
      <c r="AI1401" s="1008"/>
    </row>
    <row r="1402" spans="1:35">
      <c r="A1402" s="1008">
        <v>24221</v>
      </c>
      <c r="C1402" s="1008">
        <v>6</v>
      </c>
      <c r="D1402" s="1009">
        <v>17119999</v>
      </c>
      <c r="E1402" s="1009">
        <v>17110000</v>
      </c>
      <c r="F1402" s="1007" t="s">
        <v>3258</v>
      </c>
      <c r="O1402" s="1007" t="s">
        <v>648</v>
      </c>
      <c r="P1402" s="1007" t="s">
        <v>648</v>
      </c>
      <c r="S1402" s="1008" t="s">
        <v>650</v>
      </c>
      <c r="T1402" s="1008" t="s">
        <v>675</v>
      </c>
      <c r="U1402" s="1008" t="s">
        <v>649</v>
      </c>
      <c r="V1402" s="1008" t="s">
        <v>648</v>
      </c>
      <c r="W1402" s="1008" t="s">
        <v>546</v>
      </c>
      <c r="X1402" s="1008"/>
      <c r="Y1402" s="1008"/>
      <c r="Z1402" s="1008"/>
      <c r="AA1402" s="1008"/>
      <c r="AB1402" s="1008"/>
      <c r="AC1402" s="1008"/>
      <c r="AD1402" s="1008"/>
      <c r="AE1402" s="1008"/>
      <c r="AF1402" s="1008"/>
      <c r="AG1402" s="1008"/>
      <c r="AH1402" s="1008"/>
      <c r="AI1402" s="1008"/>
    </row>
    <row r="1403" spans="1:35">
      <c r="A1403" s="1008">
        <v>24222</v>
      </c>
      <c r="B1403" s="1008">
        <v>707</v>
      </c>
      <c r="C1403" s="1008">
        <v>7</v>
      </c>
      <c r="D1403" s="1009">
        <v>17119999</v>
      </c>
      <c r="E1403" s="1009">
        <v>17110400</v>
      </c>
      <c r="F1403" s="1007" t="s">
        <v>3257</v>
      </c>
      <c r="G1403" s="1007">
        <v>8</v>
      </c>
      <c r="H1403" s="1010">
        <v>99999999</v>
      </c>
      <c r="I1403" s="1009">
        <v>17110400</v>
      </c>
      <c r="J1403" s="1007" t="s">
        <v>3257</v>
      </c>
      <c r="O1403" s="1007" t="s">
        <v>648</v>
      </c>
      <c r="P1403" s="1007" t="s">
        <v>648</v>
      </c>
      <c r="S1403" s="1008" t="s">
        <v>650</v>
      </c>
      <c r="T1403" s="1008" t="s">
        <v>654</v>
      </c>
      <c r="U1403" s="1008" t="s">
        <v>649</v>
      </c>
      <c r="V1403" s="1008" t="s">
        <v>648</v>
      </c>
      <c r="W1403" s="1008" t="s">
        <v>546</v>
      </c>
      <c r="X1403" s="1008" t="s">
        <v>670</v>
      </c>
      <c r="Y1403" s="1008" t="s">
        <v>670</v>
      </c>
      <c r="Z1403" s="1008" t="s">
        <v>670</v>
      </c>
      <c r="AA1403" s="1008" t="s">
        <v>670</v>
      </c>
      <c r="AB1403" s="1008" t="s">
        <v>670</v>
      </c>
      <c r="AC1403" s="1008" t="s">
        <v>670</v>
      </c>
      <c r="AD1403" s="1008" t="s">
        <v>670</v>
      </c>
      <c r="AE1403" s="1008"/>
      <c r="AF1403" s="1008" t="s">
        <v>670</v>
      </c>
      <c r="AG1403" s="1008"/>
      <c r="AH1403" s="1008"/>
      <c r="AI1403" s="1008"/>
    </row>
    <row r="1404" spans="1:35">
      <c r="A1404" s="1008">
        <v>24223</v>
      </c>
      <c r="B1404" s="1008">
        <v>1714</v>
      </c>
      <c r="C1404" s="1008">
        <v>7</v>
      </c>
      <c r="D1404" s="1009">
        <v>17119999</v>
      </c>
      <c r="E1404" s="1009">
        <v>17110700</v>
      </c>
      <c r="F1404" s="1007" t="s">
        <v>3256</v>
      </c>
      <c r="G1404" s="1007">
        <v>7</v>
      </c>
      <c r="H1404" s="1010">
        <v>99999999</v>
      </c>
      <c r="I1404" s="1009">
        <v>17110700</v>
      </c>
      <c r="J1404" s="1007" t="s">
        <v>3256</v>
      </c>
      <c r="O1404" s="1007" t="s">
        <v>648</v>
      </c>
      <c r="P1404" s="1007" t="s">
        <v>648</v>
      </c>
      <c r="S1404" s="1008" t="s">
        <v>650</v>
      </c>
      <c r="T1404" s="1008" t="s">
        <v>654</v>
      </c>
      <c r="U1404" s="1008" t="s">
        <v>649</v>
      </c>
      <c r="V1404" s="1008" t="s">
        <v>648</v>
      </c>
      <c r="W1404" s="1008" t="s">
        <v>546</v>
      </c>
      <c r="X1404" s="1008" t="s">
        <v>670</v>
      </c>
      <c r="Y1404" s="1008" t="s">
        <v>670</v>
      </c>
      <c r="Z1404" s="1008" t="s">
        <v>670</v>
      </c>
      <c r="AA1404" s="1008" t="s">
        <v>670</v>
      </c>
      <c r="AB1404" s="1008" t="s">
        <v>670</v>
      </c>
      <c r="AC1404" s="1008" t="s">
        <v>670</v>
      </c>
      <c r="AD1404" s="1008" t="s">
        <v>670</v>
      </c>
      <c r="AE1404" s="1008"/>
      <c r="AF1404" s="1008" t="s">
        <v>670</v>
      </c>
      <c r="AG1404" s="1008"/>
      <c r="AH1404" s="1008"/>
      <c r="AI1404" s="1008"/>
    </row>
    <row r="1405" spans="1:35">
      <c r="A1405" s="1008">
        <v>24224</v>
      </c>
      <c r="B1405" s="1008">
        <v>4955</v>
      </c>
      <c r="C1405" s="1008">
        <v>7</v>
      </c>
      <c r="D1405" s="1009">
        <v>17119999</v>
      </c>
      <c r="E1405" s="1009">
        <v>17110800</v>
      </c>
      <c r="F1405" s="1007" t="s">
        <v>3255</v>
      </c>
      <c r="G1405" s="1007">
        <v>7</v>
      </c>
      <c r="H1405" s="1010">
        <v>99999999</v>
      </c>
      <c r="I1405" s="1009">
        <v>17110800</v>
      </c>
      <c r="J1405" s="1007" t="s">
        <v>3255</v>
      </c>
      <c r="O1405" s="1007" t="s">
        <v>648</v>
      </c>
      <c r="P1405" s="1007" t="s">
        <v>648</v>
      </c>
      <c r="S1405" s="1008" t="s">
        <v>650</v>
      </c>
      <c r="T1405" s="1008" t="s">
        <v>654</v>
      </c>
      <c r="U1405" s="1008" t="s">
        <v>649</v>
      </c>
      <c r="V1405" s="1008" t="s">
        <v>648</v>
      </c>
      <c r="W1405" s="1008" t="s">
        <v>546</v>
      </c>
      <c r="X1405" s="1008" t="s">
        <v>670</v>
      </c>
      <c r="Y1405" s="1008" t="s">
        <v>670</v>
      </c>
      <c r="Z1405" s="1008" t="s">
        <v>670</v>
      </c>
      <c r="AA1405" s="1008" t="s">
        <v>670</v>
      </c>
      <c r="AB1405" s="1008" t="s">
        <v>670</v>
      </c>
      <c r="AC1405" s="1008" t="s">
        <v>670</v>
      </c>
      <c r="AD1405" s="1008" t="s">
        <v>670</v>
      </c>
      <c r="AE1405" s="1008"/>
      <c r="AF1405" s="1008" t="s">
        <v>670</v>
      </c>
      <c r="AG1405" s="1008"/>
      <c r="AH1405" s="1008"/>
      <c r="AI1405" s="1008"/>
    </row>
    <row r="1406" spans="1:35">
      <c r="A1406" s="1008">
        <v>24225</v>
      </c>
      <c r="C1406" s="1008">
        <v>6</v>
      </c>
      <c r="D1406" s="1009">
        <v>17199999</v>
      </c>
      <c r="E1406" s="1009">
        <v>17119999</v>
      </c>
      <c r="F1406" s="1007" t="s">
        <v>3254</v>
      </c>
      <c r="O1406" s="1007" t="s">
        <v>648</v>
      </c>
      <c r="P1406" s="1007" t="s">
        <v>648</v>
      </c>
      <c r="S1406" s="1008" t="s">
        <v>650</v>
      </c>
      <c r="T1406" s="1008" t="s">
        <v>21</v>
      </c>
      <c r="U1406" s="1008" t="s">
        <v>649</v>
      </c>
      <c r="V1406" s="1008" t="s">
        <v>648</v>
      </c>
      <c r="W1406" s="1008" t="s">
        <v>546</v>
      </c>
      <c r="X1406" s="1008"/>
      <c r="Y1406" s="1008"/>
      <c r="Z1406" s="1008"/>
      <c r="AA1406" s="1008"/>
      <c r="AB1406" s="1008"/>
      <c r="AC1406" s="1008"/>
      <c r="AD1406" s="1008"/>
      <c r="AE1406" s="1008"/>
      <c r="AF1406" s="1008"/>
      <c r="AG1406" s="1008"/>
      <c r="AH1406" s="1008"/>
      <c r="AI1406" s="1008"/>
    </row>
    <row r="1407" spans="1:35">
      <c r="A1407" s="1008">
        <v>24226</v>
      </c>
      <c r="C1407" s="1008">
        <v>6</v>
      </c>
      <c r="D1407" s="1009">
        <v>17129999</v>
      </c>
      <c r="E1407" s="1009">
        <v>17120000</v>
      </c>
      <c r="F1407" s="1007" t="s">
        <v>3253</v>
      </c>
      <c r="O1407" s="1007" t="s">
        <v>648</v>
      </c>
      <c r="P1407" s="1007" t="s">
        <v>648</v>
      </c>
      <c r="S1407" s="1008" t="s">
        <v>650</v>
      </c>
      <c r="T1407" s="1008" t="s">
        <v>675</v>
      </c>
      <c r="U1407" s="1008" t="s">
        <v>649</v>
      </c>
      <c r="V1407" s="1008" t="s">
        <v>648</v>
      </c>
      <c r="W1407" s="1008" t="s">
        <v>546</v>
      </c>
      <c r="X1407" s="1008"/>
      <c r="Y1407" s="1008"/>
      <c r="Z1407" s="1008"/>
      <c r="AA1407" s="1008"/>
      <c r="AB1407" s="1008"/>
      <c r="AC1407" s="1008"/>
      <c r="AD1407" s="1008"/>
      <c r="AE1407" s="1008"/>
      <c r="AF1407" s="1008"/>
      <c r="AG1407" s="1008"/>
      <c r="AH1407" s="1008"/>
      <c r="AI1407" s="1008"/>
    </row>
    <row r="1408" spans="1:35">
      <c r="A1408" s="1008">
        <v>24227</v>
      </c>
      <c r="B1408" s="1008">
        <v>1716</v>
      </c>
      <c r="C1408" s="1008">
        <v>7</v>
      </c>
      <c r="D1408" s="1009">
        <v>17129999</v>
      </c>
      <c r="E1408" s="1009">
        <v>17120400</v>
      </c>
      <c r="F1408" s="1007" t="s">
        <v>3252</v>
      </c>
      <c r="G1408" s="1007">
        <v>7</v>
      </c>
      <c r="H1408" s="1010">
        <v>99999999</v>
      </c>
      <c r="I1408" s="1009">
        <v>17120400</v>
      </c>
      <c r="J1408" s="1007" t="s">
        <v>3252</v>
      </c>
      <c r="O1408" s="1007" t="s">
        <v>648</v>
      </c>
      <c r="P1408" s="1007" t="s">
        <v>648</v>
      </c>
      <c r="S1408" s="1008" t="s">
        <v>650</v>
      </c>
      <c r="T1408" s="1008" t="s">
        <v>654</v>
      </c>
      <c r="U1408" s="1008" t="s">
        <v>649</v>
      </c>
      <c r="V1408" s="1008" t="s">
        <v>648</v>
      </c>
      <c r="W1408" s="1008" t="s">
        <v>546</v>
      </c>
      <c r="X1408" s="1008" t="s">
        <v>670</v>
      </c>
      <c r="Y1408" s="1008" t="s">
        <v>670</v>
      </c>
      <c r="Z1408" s="1008" t="s">
        <v>670</v>
      </c>
      <c r="AA1408" s="1008" t="s">
        <v>670</v>
      </c>
      <c r="AB1408" s="1008" t="s">
        <v>670</v>
      </c>
      <c r="AC1408" s="1008" t="s">
        <v>670</v>
      </c>
      <c r="AD1408" s="1008" t="s">
        <v>670</v>
      </c>
      <c r="AE1408" s="1008"/>
      <c r="AF1408" s="1008" t="s">
        <v>670</v>
      </c>
      <c r="AG1408" s="1008"/>
      <c r="AH1408" s="1008"/>
      <c r="AI1408" s="1008"/>
    </row>
    <row r="1409" spans="1:35">
      <c r="A1409" s="1008">
        <v>24228</v>
      </c>
      <c r="B1409" s="1008">
        <v>706</v>
      </c>
      <c r="C1409" s="1008">
        <v>7</v>
      </c>
      <c r="D1409" s="1009">
        <v>17129999</v>
      </c>
      <c r="E1409" s="1009">
        <v>17120700</v>
      </c>
      <c r="F1409" s="1007" t="s">
        <v>3251</v>
      </c>
      <c r="G1409" s="1007">
        <v>8</v>
      </c>
      <c r="H1409" s="1010">
        <v>99999999</v>
      </c>
      <c r="I1409" s="1009">
        <v>17120700</v>
      </c>
      <c r="J1409" s="1007" t="s">
        <v>3251</v>
      </c>
      <c r="O1409" s="1007" t="s">
        <v>648</v>
      </c>
      <c r="P1409" s="1007" t="s">
        <v>648</v>
      </c>
      <c r="S1409" s="1008" t="s">
        <v>650</v>
      </c>
      <c r="T1409" s="1008" t="s">
        <v>654</v>
      </c>
      <c r="U1409" s="1008" t="s">
        <v>649</v>
      </c>
      <c r="V1409" s="1008" t="s">
        <v>648</v>
      </c>
      <c r="W1409" s="1008" t="s">
        <v>546</v>
      </c>
      <c r="X1409" s="1008" t="s">
        <v>670</v>
      </c>
      <c r="Y1409" s="1008" t="s">
        <v>670</v>
      </c>
      <c r="Z1409" s="1008" t="s">
        <v>670</v>
      </c>
      <c r="AA1409" s="1008" t="s">
        <v>670</v>
      </c>
      <c r="AB1409" s="1008" t="s">
        <v>670</v>
      </c>
      <c r="AC1409" s="1008" t="s">
        <v>670</v>
      </c>
      <c r="AD1409" s="1008" t="s">
        <v>670</v>
      </c>
      <c r="AE1409" s="1008"/>
      <c r="AF1409" s="1008" t="s">
        <v>670</v>
      </c>
      <c r="AG1409" s="1008"/>
      <c r="AH1409" s="1008"/>
      <c r="AI1409" s="1008"/>
    </row>
    <row r="1410" spans="1:35">
      <c r="A1410" s="1008">
        <v>24229</v>
      </c>
      <c r="B1410" s="1008">
        <v>4957</v>
      </c>
      <c r="C1410" s="1008">
        <v>7</v>
      </c>
      <c r="D1410" s="1009">
        <v>17129999</v>
      </c>
      <c r="E1410" s="1009">
        <v>17120800</v>
      </c>
      <c r="F1410" s="1007" t="s">
        <v>3250</v>
      </c>
      <c r="G1410" s="1007">
        <v>7</v>
      </c>
      <c r="H1410" s="1010">
        <v>99999999</v>
      </c>
      <c r="I1410" s="1009">
        <v>17120800</v>
      </c>
      <c r="J1410" s="1007" t="s">
        <v>3250</v>
      </c>
      <c r="O1410" s="1007" t="s">
        <v>648</v>
      </c>
      <c r="P1410" s="1007" t="s">
        <v>648</v>
      </c>
      <c r="S1410" s="1008" t="s">
        <v>650</v>
      </c>
      <c r="T1410" s="1008" t="s">
        <v>654</v>
      </c>
      <c r="U1410" s="1008" t="s">
        <v>649</v>
      </c>
      <c r="V1410" s="1008" t="s">
        <v>648</v>
      </c>
      <c r="W1410" s="1008" t="s">
        <v>546</v>
      </c>
      <c r="X1410" s="1008" t="s">
        <v>670</v>
      </c>
      <c r="Y1410" s="1008" t="s">
        <v>670</v>
      </c>
      <c r="Z1410" s="1008" t="s">
        <v>670</v>
      </c>
      <c r="AA1410" s="1008" t="s">
        <v>670</v>
      </c>
      <c r="AB1410" s="1008" t="s">
        <v>670</v>
      </c>
      <c r="AC1410" s="1008" t="s">
        <v>670</v>
      </c>
      <c r="AD1410" s="1008" t="s">
        <v>670</v>
      </c>
      <c r="AE1410" s="1008"/>
      <c r="AF1410" s="1008" t="s">
        <v>670</v>
      </c>
      <c r="AG1410" s="1008"/>
      <c r="AH1410" s="1008"/>
      <c r="AI1410" s="1008"/>
    </row>
    <row r="1411" spans="1:35">
      <c r="A1411" s="1008">
        <v>24230</v>
      </c>
      <c r="C1411" s="1008">
        <v>6</v>
      </c>
      <c r="D1411" s="1009">
        <v>17199999</v>
      </c>
      <c r="E1411" s="1009">
        <v>17129999</v>
      </c>
      <c r="F1411" s="1007" t="s">
        <v>3249</v>
      </c>
      <c r="O1411" s="1007" t="s">
        <v>648</v>
      </c>
      <c r="P1411" s="1007" t="s">
        <v>648</v>
      </c>
      <c r="S1411" s="1008" t="s">
        <v>650</v>
      </c>
      <c r="T1411" s="1008" t="s">
        <v>21</v>
      </c>
      <c r="U1411" s="1008" t="s">
        <v>649</v>
      </c>
      <c r="V1411" s="1008" t="s">
        <v>648</v>
      </c>
      <c r="W1411" s="1008" t="s">
        <v>546</v>
      </c>
      <c r="X1411" s="1008"/>
      <c r="Y1411" s="1008"/>
      <c r="Z1411" s="1008"/>
      <c r="AA1411" s="1008"/>
      <c r="AB1411" s="1008"/>
      <c r="AC1411" s="1008"/>
      <c r="AD1411" s="1008"/>
      <c r="AE1411" s="1008"/>
      <c r="AF1411" s="1008"/>
      <c r="AG1411" s="1008"/>
      <c r="AH1411" s="1008"/>
      <c r="AI1411" s="1008"/>
    </row>
    <row r="1412" spans="1:35">
      <c r="A1412" s="1008">
        <v>24231</v>
      </c>
      <c r="C1412" s="1008">
        <v>6</v>
      </c>
      <c r="D1412" s="1009">
        <v>17139999</v>
      </c>
      <c r="E1412" s="1009">
        <v>17130000</v>
      </c>
      <c r="F1412" s="1007" t="s">
        <v>3248</v>
      </c>
      <c r="O1412" s="1007" t="s">
        <v>648</v>
      </c>
      <c r="P1412" s="1007" t="s">
        <v>648</v>
      </c>
      <c r="S1412" s="1008" t="s">
        <v>650</v>
      </c>
      <c r="T1412" s="1008" t="s">
        <v>675</v>
      </c>
      <c r="U1412" s="1008" t="s">
        <v>649</v>
      </c>
      <c r="V1412" s="1008" t="s">
        <v>648</v>
      </c>
      <c r="W1412" s="1008" t="s">
        <v>546</v>
      </c>
      <c r="X1412" s="1008"/>
      <c r="Y1412" s="1008"/>
      <c r="Z1412" s="1008"/>
      <c r="AA1412" s="1008"/>
      <c r="AB1412" s="1008"/>
      <c r="AC1412" s="1008"/>
      <c r="AD1412" s="1008"/>
      <c r="AE1412" s="1008"/>
      <c r="AF1412" s="1008"/>
      <c r="AG1412" s="1008"/>
      <c r="AH1412" s="1008"/>
      <c r="AI1412" s="1008"/>
    </row>
    <row r="1413" spans="1:35">
      <c r="A1413" s="1008">
        <v>24232</v>
      </c>
      <c r="B1413" s="1008">
        <v>1719</v>
      </c>
      <c r="C1413" s="1008">
        <v>7</v>
      </c>
      <c r="D1413" s="1009">
        <v>17139999</v>
      </c>
      <c r="E1413" s="1009">
        <v>17130400</v>
      </c>
      <c r="F1413" s="1007" t="s">
        <v>3247</v>
      </c>
      <c r="G1413" s="1007">
        <v>7</v>
      </c>
      <c r="H1413" s="1010">
        <v>99999999</v>
      </c>
      <c r="I1413" s="1009">
        <v>17130400</v>
      </c>
      <c r="J1413" s="1007" t="s">
        <v>3247</v>
      </c>
      <c r="O1413" s="1007" t="s">
        <v>648</v>
      </c>
      <c r="P1413" s="1007" t="s">
        <v>648</v>
      </c>
      <c r="S1413" s="1008" t="s">
        <v>650</v>
      </c>
      <c r="T1413" s="1008" t="s">
        <v>654</v>
      </c>
      <c r="U1413" s="1008" t="s">
        <v>649</v>
      </c>
      <c r="V1413" s="1008" t="s">
        <v>648</v>
      </c>
      <c r="W1413" s="1008" t="s">
        <v>546</v>
      </c>
      <c r="X1413" s="1008" t="s">
        <v>670</v>
      </c>
      <c r="Y1413" s="1008" t="s">
        <v>670</v>
      </c>
      <c r="Z1413" s="1008" t="s">
        <v>670</v>
      </c>
      <c r="AA1413" s="1008" t="s">
        <v>670</v>
      </c>
      <c r="AB1413" s="1008" t="s">
        <v>670</v>
      </c>
      <c r="AC1413" s="1008" t="s">
        <v>670</v>
      </c>
      <c r="AD1413" s="1008" t="s">
        <v>670</v>
      </c>
      <c r="AE1413" s="1008"/>
      <c r="AF1413" s="1008" t="s">
        <v>670</v>
      </c>
      <c r="AG1413" s="1008"/>
      <c r="AH1413" s="1008"/>
      <c r="AI1413" s="1008"/>
    </row>
    <row r="1414" spans="1:35">
      <c r="A1414" s="1008">
        <v>24233</v>
      </c>
      <c r="B1414" s="1008">
        <v>705</v>
      </c>
      <c r="C1414" s="1008">
        <v>7</v>
      </c>
      <c r="D1414" s="1009">
        <v>17139999</v>
      </c>
      <c r="E1414" s="1009">
        <v>17130700</v>
      </c>
      <c r="F1414" s="1007" t="s">
        <v>3246</v>
      </c>
      <c r="G1414" s="1007">
        <v>8</v>
      </c>
      <c r="H1414" s="1010">
        <v>99999999</v>
      </c>
      <c r="I1414" s="1009">
        <v>17130700</v>
      </c>
      <c r="J1414" s="1007" t="s">
        <v>3246</v>
      </c>
      <c r="O1414" s="1007" t="s">
        <v>648</v>
      </c>
      <c r="P1414" s="1007" t="s">
        <v>648</v>
      </c>
      <c r="S1414" s="1008" t="s">
        <v>650</v>
      </c>
      <c r="T1414" s="1008" t="s">
        <v>654</v>
      </c>
      <c r="U1414" s="1008" t="s">
        <v>649</v>
      </c>
      <c r="V1414" s="1008" t="s">
        <v>648</v>
      </c>
      <c r="W1414" s="1008" t="s">
        <v>546</v>
      </c>
      <c r="X1414" s="1008" t="s">
        <v>670</v>
      </c>
      <c r="Y1414" s="1008" t="s">
        <v>670</v>
      </c>
      <c r="Z1414" s="1008" t="s">
        <v>670</v>
      </c>
      <c r="AA1414" s="1008" t="s">
        <v>670</v>
      </c>
      <c r="AB1414" s="1008" t="s">
        <v>670</v>
      </c>
      <c r="AC1414" s="1008" t="s">
        <v>670</v>
      </c>
      <c r="AD1414" s="1008" t="s">
        <v>670</v>
      </c>
      <c r="AE1414" s="1008"/>
      <c r="AF1414" s="1008" t="s">
        <v>670</v>
      </c>
      <c r="AG1414" s="1008"/>
      <c r="AH1414" s="1008"/>
      <c r="AI1414" s="1008"/>
    </row>
    <row r="1415" spans="1:35">
      <c r="A1415" s="1008">
        <v>24234</v>
      </c>
      <c r="B1415" s="1008">
        <v>4959</v>
      </c>
      <c r="C1415" s="1008">
        <v>7</v>
      </c>
      <c r="D1415" s="1009">
        <v>17139999</v>
      </c>
      <c r="E1415" s="1009">
        <v>17130800</v>
      </c>
      <c r="F1415" s="1007" t="s">
        <v>3245</v>
      </c>
      <c r="G1415" s="1007">
        <v>7</v>
      </c>
      <c r="H1415" s="1010">
        <v>99999999</v>
      </c>
      <c r="I1415" s="1009">
        <v>17130800</v>
      </c>
      <c r="J1415" s="1007" t="s">
        <v>3245</v>
      </c>
      <c r="O1415" s="1007" t="s">
        <v>648</v>
      </c>
      <c r="P1415" s="1007" t="s">
        <v>648</v>
      </c>
      <c r="S1415" s="1008" t="s">
        <v>650</v>
      </c>
      <c r="T1415" s="1008" t="s">
        <v>654</v>
      </c>
      <c r="U1415" s="1008" t="s">
        <v>649</v>
      </c>
      <c r="V1415" s="1008" t="s">
        <v>648</v>
      </c>
      <c r="W1415" s="1008" t="s">
        <v>546</v>
      </c>
      <c r="X1415" s="1008" t="s">
        <v>670</v>
      </c>
      <c r="Y1415" s="1008" t="s">
        <v>670</v>
      </c>
      <c r="Z1415" s="1008" t="s">
        <v>670</v>
      </c>
      <c r="AA1415" s="1008" t="s">
        <v>670</v>
      </c>
      <c r="AB1415" s="1008" t="s">
        <v>670</v>
      </c>
      <c r="AC1415" s="1008" t="s">
        <v>670</v>
      </c>
      <c r="AD1415" s="1008" t="s">
        <v>670</v>
      </c>
      <c r="AE1415" s="1008"/>
      <c r="AF1415" s="1008" t="s">
        <v>670</v>
      </c>
      <c r="AG1415" s="1008"/>
      <c r="AH1415" s="1008"/>
      <c r="AI1415" s="1008"/>
    </row>
    <row r="1416" spans="1:35">
      <c r="A1416" s="1008">
        <v>24235</v>
      </c>
      <c r="C1416" s="1008">
        <v>6</v>
      </c>
      <c r="D1416" s="1009">
        <v>17199999</v>
      </c>
      <c r="E1416" s="1009">
        <v>17139999</v>
      </c>
      <c r="F1416" s="1007" t="s">
        <v>3244</v>
      </c>
      <c r="O1416" s="1007" t="s">
        <v>648</v>
      </c>
      <c r="P1416" s="1007" t="s">
        <v>648</v>
      </c>
      <c r="S1416" s="1008" t="s">
        <v>650</v>
      </c>
      <c r="T1416" s="1008" t="s">
        <v>21</v>
      </c>
      <c r="U1416" s="1008" t="s">
        <v>649</v>
      </c>
      <c r="V1416" s="1008" t="s">
        <v>648</v>
      </c>
      <c r="W1416" s="1008" t="s">
        <v>546</v>
      </c>
      <c r="X1416" s="1008"/>
      <c r="Y1416" s="1008"/>
      <c r="Z1416" s="1008"/>
      <c r="AA1416" s="1008"/>
      <c r="AB1416" s="1008"/>
      <c r="AC1416" s="1008"/>
      <c r="AD1416" s="1008"/>
      <c r="AE1416" s="1008"/>
      <c r="AF1416" s="1008"/>
      <c r="AG1416" s="1008"/>
      <c r="AH1416" s="1008"/>
      <c r="AI1416" s="1008"/>
    </row>
    <row r="1417" spans="1:35">
      <c r="A1417" s="1008">
        <v>24236</v>
      </c>
      <c r="C1417" s="1008">
        <v>6</v>
      </c>
      <c r="D1417" s="1009">
        <v>17149999</v>
      </c>
      <c r="E1417" s="1009">
        <v>17140000</v>
      </c>
      <c r="F1417" s="1007" t="s">
        <v>3243</v>
      </c>
      <c r="O1417" s="1007" t="s">
        <v>648</v>
      </c>
      <c r="P1417" s="1007" t="s">
        <v>648</v>
      </c>
      <c r="S1417" s="1008" t="s">
        <v>650</v>
      </c>
      <c r="T1417" s="1008" t="s">
        <v>675</v>
      </c>
      <c r="U1417" s="1008" t="s">
        <v>649</v>
      </c>
      <c r="V1417" s="1008" t="s">
        <v>648</v>
      </c>
      <c r="W1417" s="1008" t="s">
        <v>546</v>
      </c>
      <c r="X1417" s="1008"/>
      <c r="Y1417" s="1008"/>
      <c r="Z1417" s="1008"/>
      <c r="AA1417" s="1008"/>
      <c r="AB1417" s="1008"/>
      <c r="AC1417" s="1008"/>
      <c r="AD1417" s="1008"/>
      <c r="AE1417" s="1008"/>
      <c r="AF1417" s="1008"/>
      <c r="AG1417" s="1008"/>
      <c r="AH1417" s="1008"/>
      <c r="AI1417" s="1008"/>
    </row>
    <row r="1418" spans="1:35">
      <c r="A1418" s="1008">
        <v>24237</v>
      </c>
      <c r="B1418" s="1008">
        <v>1722</v>
      </c>
      <c r="C1418" s="1008">
        <v>7</v>
      </c>
      <c r="D1418" s="1009">
        <v>17149999</v>
      </c>
      <c r="E1418" s="1009">
        <v>17140400</v>
      </c>
      <c r="F1418" s="1007" t="s">
        <v>3242</v>
      </c>
      <c r="G1418" s="1007">
        <v>7</v>
      </c>
      <c r="H1418" s="1010">
        <v>99999999</v>
      </c>
      <c r="I1418" s="1009">
        <v>17140400</v>
      </c>
      <c r="J1418" s="1007" t="s">
        <v>3242</v>
      </c>
      <c r="O1418" s="1007" t="s">
        <v>648</v>
      </c>
      <c r="P1418" s="1007" t="s">
        <v>648</v>
      </c>
      <c r="S1418" s="1008" t="s">
        <v>650</v>
      </c>
      <c r="T1418" s="1008" t="s">
        <v>654</v>
      </c>
      <c r="U1418" s="1008" t="s">
        <v>649</v>
      </c>
      <c r="V1418" s="1008" t="s">
        <v>648</v>
      </c>
      <c r="W1418" s="1008" t="s">
        <v>546</v>
      </c>
      <c r="X1418" s="1008" t="s">
        <v>670</v>
      </c>
      <c r="Y1418" s="1008" t="s">
        <v>670</v>
      </c>
      <c r="Z1418" s="1008" t="s">
        <v>670</v>
      </c>
      <c r="AA1418" s="1008" t="s">
        <v>670</v>
      </c>
      <c r="AB1418" s="1008" t="s">
        <v>670</v>
      </c>
      <c r="AC1418" s="1008" t="s">
        <v>670</v>
      </c>
      <c r="AD1418" s="1008" t="s">
        <v>670</v>
      </c>
      <c r="AE1418" s="1008"/>
      <c r="AF1418" s="1008" t="s">
        <v>670</v>
      </c>
      <c r="AG1418" s="1008"/>
      <c r="AH1418" s="1008"/>
      <c r="AI1418" s="1008"/>
    </row>
    <row r="1419" spans="1:35">
      <c r="A1419" s="1008">
        <v>24238</v>
      </c>
      <c r="B1419" s="1008">
        <v>704</v>
      </c>
      <c r="C1419" s="1008">
        <v>7</v>
      </c>
      <c r="D1419" s="1009">
        <v>17149999</v>
      </c>
      <c r="E1419" s="1009">
        <v>17140700</v>
      </c>
      <c r="F1419" s="1007" t="s">
        <v>3241</v>
      </c>
      <c r="G1419" s="1007">
        <v>8</v>
      </c>
      <c r="H1419" s="1010">
        <v>99999999</v>
      </c>
      <c r="I1419" s="1009">
        <v>17140700</v>
      </c>
      <c r="J1419" s="1007" t="s">
        <v>3241</v>
      </c>
      <c r="O1419" s="1007" t="s">
        <v>648</v>
      </c>
      <c r="P1419" s="1007" t="s">
        <v>648</v>
      </c>
      <c r="S1419" s="1008" t="s">
        <v>650</v>
      </c>
      <c r="T1419" s="1008" t="s">
        <v>654</v>
      </c>
      <c r="U1419" s="1008" t="s">
        <v>649</v>
      </c>
      <c r="V1419" s="1008" t="s">
        <v>648</v>
      </c>
      <c r="W1419" s="1008" t="s">
        <v>546</v>
      </c>
      <c r="X1419" s="1008" t="s">
        <v>670</v>
      </c>
      <c r="Y1419" s="1008" t="s">
        <v>670</v>
      </c>
      <c r="Z1419" s="1008" t="s">
        <v>670</v>
      </c>
      <c r="AA1419" s="1008" t="s">
        <v>670</v>
      </c>
      <c r="AB1419" s="1008" t="s">
        <v>670</v>
      </c>
      <c r="AC1419" s="1008" t="s">
        <v>670</v>
      </c>
      <c r="AD1419" s="1008" t="s">
        <v>670</v>
      </c>
      <c r="AE1419" s="1008"/>
      <c r="AF1419" s="1008" t="s">
        <v>670</v>
      </c>
      <c r="AG1419" s="1008"/>
      <c r="AH1419" s="1008"/>
      <c r="AI1419" s="1008"/>
    </row>
    <row r="1420" spans="1:35">
      <c r="A1420" s="1008">
        <v>24239</v>
      </c>
      <c r="B1420" s="1008">
        <v>4961</v>
      </c>
      <c r="C1420" s="1008">
        <v>7</v>
      </c>
      <c r="D1420" s="1009">
        <v>17149999</v>
      </c>
      <c r="E1420" s="1009">
        <v>17140800</v>
      </c>
      <c r="F1420" s="1007" t="s">
        <v>3240</v>
      </c>
      <c r="G1420" s="1007">
        <v>7</v>
      </c>
      <c r="H1420" s="1010">
        <v>99999999</v>
      </c>
      <c r="I1420" s="1009">
        <v>17140800</v>
      </c>
      <c r="J1420" s="1007" t="s">
        <v>3240</v>
      </c>
      <c r="O1420" s="1007" t="s">
        <v>648</v>
      </c>
      <c r="P1420" s="1007" t="s">
        <v>648</v>
      </c>
      <c r="S1420" s="1008" t="s">
        <v>650</v>
      </c>
      <c r="T1420" s="1008" t="s">
        <v>654</v>
      </c>
      <c r="U1420" s="1008" t="s">
        <v>649</v>
      </c>
      <c r="V1420" s="1008" t="s">
        <v>648</v>
      </c>
      <c r="W1420" s="1008" t="s">
        <v>546</v>
      </c>
      <c r="X1420" s="1008" t="s">
        <v>670</v>
      </c>
      <c r="Y1420" s="1008" t="s">
        <v>670</v>
      </c>
      <c r="Z1420" s="1008" t="s">
        <v>670</v>
      </c>
      <c r="AA1420" s="1008" t="s">
        <v>670</v>
      </c>
      <c r="AB1420" s="1008" t="s">
        <v>670</v>
      </c>
      <c r="AC1420" s="1008" t="s">
        <v>670</v>
      </c>
      <c r="AD1420" s="1008" t="s">
        <v>670</v>
      </c>
      <c r="AE1420" s="1008"/>
      <c r="AF1420" s="1008" t="s">
        <v>670</v>
      </c>
      <c r="AG1420" s="1008"/>
      <c r="AH1420" s="1008"/>
      <c r="AI1420" s="1008"/>
    </row>
    <row r="1421" spans="1:35">
      <c r="A1421" s="1008">
        <v>24240</v>
      </c>
      <c r="C1421" s="1008">
        <v>6</v>
      </c>
      <c r="D1421" s="1009">
        <v>17199999</v>
      </c>
      <c r="E1421" s="1009">
        <v>17149999</v>
      </c>
      <c r="F1421" s="1007" t="s">
        <v>3239</v>
      </c>
      <c r="O1421" s="1007" t="s">
        <v>648</v>
      </c>
      <c r="P1421" s="1007" t="s">
        <v>648</v>
      </c>
      <c r="S1421" s="1008" t="s">
        <v>650</v>
      </c>
      <c r="T1421" s="1008" t="s">
        <v>21</v>
      </c>
      <c r="U1421" s="1008" t="s">
        <v>649</v>
      </c>
      <c r="V1421" s="1008" t="s">
        <v>648</v>
      </c>
      <c r="W1421" s="1008" t="s">
        <v>546</v>
      </c>
      <c r="X1421" s="1008"/>
      <c r="Y1421" s="1008"/>
      <c r="Z1421" s="1008"/>
      <c r="AA1421" s="1008"/>
      <c r="AB1421" s="1008"/>
      <c r="AC1421" s="1008"/>
      <c r="AD1421" s="1008"/>
      <c r="AE1421" s="1008"/>
      <c r="AF1421" s="1008"/>
      <c r="AG1421" s="1008"/>
      <c r="AH1421" s="1008"/>
      <c r="AI1421" s="1008"/>
    </row>
    <row r="1422" spans="1:35">
      <c r="A1422" s="1008">
        <v>24241</v>
      </c>
      <c r="C1422" s="1008">
        <v>6</v>
      </c>
      <c r="D1422" s="1009">
        <v>17159999</v>
      </c>
      <c r="E1422" s="1009">
        <v>17150000</v>
      </c>
      <c r="F1422" s="1007" t="s">
        <v>3238</v>
      </c>
      <c r="O1422" s="1007" t="s">
        <v>648</v>
      </c>
      <c r="P1422" s="1007" t="s">
        <v>648</v>
      </c>
      <c r="S1422" s="1008" t="s">
        <v>650</v>
      </c>
      <c r="T1422" s="1008" t="s">
        <v>675</v>
      </c>
      <c r="U1422" s="1008" t="s">
        <v>649</v>
      </c>
      <c r="V1422" s="1008" t="s">
        <v>648</v>
      </c>
      <c r="W1422" s="1008" t="s">
        <v>546</v>
      </c>
      <c r="X1422" s="1008"/>
      <c r="Y1422" s="1008"/>
      <c r="Z1422" s="1008"/>
      <c r="AA1422" s="1008"/>
      <c r="AB1422" s="1008"/>
      <c r="AC1422" s="1008"/>
      <c r="AD1422" s="1008"/>
      <c r="AE1422" s="1008"/>
      <c r="AF1422" s="1008"/>
      <c r="AG1422" s="1008"/>
      <c r="AH1422" s="1008"/>
      <c r="AI1422" s="1008"/>
    </row>
    <row r="1423" spans="1:35">
      <c r="A1423" s="1008">
        <v>24242</v>
      </c>
      <c r="B1423" s="1008">
        <v>1725</v>
      </c>
      <c r="C1423" s="1008">
        <v>7</v>
      </c>
      <c r="D1423" s="1009">
        <v>17159999</v>
      </c>
      <c r="E1423" s="1009">
        <v>17150400</v>
      </c>
      <c r="F1423" s="1007" t="s">
        <v>3237</v>
      </c>
      <c r="G1423" s="1007">
        <v>7</v>
      </c>
      <c r="H1423" s="1010">
        <v>99999999</v>
      </c>
      <c r="I1423" s="1009">
        <v>17150400</v>
      </c>
      <c r="J1423" s="1007" t="s">
        <v>3237</v>
      </c>
      <c r="O1423" s="1007" t="s">
        <v>648</v>
      </c>
      <c r="P1423" s="1007" t="s">
        <v>648</v>
      </c>
      <c r="S1423" s="1008" t="s">
        <v>650</v>
      </c>
      <c r="T1423" s="1008" t="s">
        <v>654</v>
      </c>
      <c r="U1423" s="1008" t="s">
        <v>649</v>
      </c>
      <c r="V1423" s="1008" t="s">
        <v>648</v>
      </c>
      <c r="W1423" s="1008" t="s">
        <v>546</v>
      </c>
      <c r="X1423" s="1008" t="s">
        <v>670</v>
      </c>
      <c r="Y1423" s="1008" t="s">
        <v>670</v>
      </c>
      <c r="Z1423" s="1008" t="s">
        <v>670</v>
      </c>
      <c r="AA1423" s="1008" t="s">
        <v>670</v>
      </c>
      <c r="AB1423" s="1008" t="s">
        <v>670</v>
      </c>
      <c r="AC1423" s="1008" t="s">
        <v>670</v>
      </c>
      <c r="AD1423" s="1008" t="s">
        <v>670</v>
      </c>
      <c r="AE1423" s="1008"/>
      <c r="AF1423" s="1008" t="s">
        <v>670</v>
      </c>
      <c r="AG1423" s="1008"/>
      <c r="AH1423" s="1008"/>
      <c r="AI1423" s="1008"/>
    </row>
    <row r="1424" spans="1:35">
      <c r="A1424" s="1008">
        <v>24243</v>
      </c>
      <c r="B1424" s="1008">
        <v>701</v>
      </c>
      <c r="C1424" s="1008">
        <v>7</v>
      </c>
      <c r="D1424" s="1009">
        <v>17159999</v>
      </c>
      <c r="E1424" s="1009">
        <v>17150700</v>
      </c>
      <c r="F1424" s="1007" t="s">
        <v>3236</v>
      </c>
      <c r="G1424" s="1007">
        <v>8</v>
      </c>
      <c r="H1424" s="1010">
        <v>99999999</v>
      </c>
      <c r="I1424" s="1009">
        <v>17150700</v>
      </c>
      <c r="J1424" s="1007" t="s">
        <v>3236</v>
      </c>
      <c r="O1424" s="1007" t="s">
        <v>648</v>
      </c>
      <c r="P1424" s="1007" t="s">
        <v>648</v>
      </c>
      <c r="S1424" s="1008" t="s">
        <v>650</v>
      </c>
      <c r="T1424" s="1008" t="s">
        <v>654</v>
      </c>
      <c r="U1424" s="1008" t="s">
        <v>649</v>
      </c>
      <c r="V1424" s="1008" t="s">
        <v>648</v>
      </c>
      <c r="W1424" s="1008" t="s">
        <v>546</v>
      </c>
      <c r="X1424" s="1008" t="s">
        <v>670</v>
      </c>
      <c r="Y1424" s="1008" t="s">
        <v>670</v>
      </c>
      <c r="Z1424" s="1008" t="s">
        <v>670</v>
      </c>
      <c r="AA1424" s="1008" t="s">
        <v>670</v>
      </c>
      <c r="AB1424" s="1008" t="s">
        <v>670</v>
      </c>
      <c r="AC1424" s="1008" t="s">
        <v>670</v>
      </c>
      <c r="AD1424" s="1008" t="s">
        <v>670</v>
      </c>
      <c r="AE1424" s="1008"/>
      <c r="AF1424" s="1008" t="s">
        <v>670</v>
      </c>
      <c r="AG1424" s="1008"/>
      <c r="AH1424" s="1008"/>
      <c r="AI1424" s="1008"/>
    </row>
    <row r="1425" spans="1:35">
      <c r="A1425" s="1008">
        <v>24244</v>
      </c>
      <c r="B1425" s="1008">
        <v>4963</v>
      </c>
      <c r="C1425" s="1008">
        <v>7</v>
      </c>
      <c r="D1425" s="1009">
        <v>17159999</v>
      </c>
      <c r="E1425" s="1009">
        <v>17150800</v>
      </c>
      <c r="F1425" s="1007" t="s">
        <v>3235</v>
      </c>
      <c r="G1425" s="1007">
        <v>7</v>
      </c>
      <c r="H1425" s="1010">
        <v>99999999</v>
      </c>
      <c r="I1425" s="1009">
        <v>17150800</v>
      </c>
      <c r="J1425" s="1007" t="s">
        <v>3235</v>
      </c>
      <c r="O1425" s="1007" t="s">
        <v>648</v>
      </c>
      <c r="P1425" s="1007" t="s">
        <v>648</v>
      </c>
      <c r="S1425" s="1008" t="s">
        <v>650</v>
      </c>
      <c r="T1425" s="1008" t="s">
        <v>654</v>
      </c>
      <c r="U1425" s="1008" t="s">
        <v>649</v>
      </c>
      <c r="V1425" s="1008" t="s">
        <v>648</v>
      </c>
      <c r="W1425" s="1008" t="s">
        <v>546</v>
      </c>
      <c r="X1425" s="1008" t="s">
        <v>670</v>
      </c>
      <c r="Y1425" s="1008" t="s">
        <v>670</v>
      </c>
      <c r="Z1425" s="1008" t="s">
        <v>670</v>
      </c>
      <c r="AA1425" s="1008" t="s">
        <v>670</v>
      </c>
      <c r="AB1425" s="1008" t="s">
        <v>670</v>
      </c>
      <c r="AC1425" s="1008" t="s">
        <v>670</v>
      </c>
      <c r="AD1425" s="1008" t="s">
        <v>670</v>
      </c>
      <c r="AE1425" s="1008"/>
      <c r="AF1425" s="1008" t="s">
        <v>670</v>
      </c>
      <c r="AG1425" s="1008"/>
      <c r="AH1425" s="1008"/>
      <c r="AI1425" s="1008"/>
    </row>
    <row r="1426" spans="1:35">
      <c r="A1426" s="1008">
        <v>24245</v>
      </c>
      <c r="C1426" s="1008">
        <v>6</v>
      </c>
      <c r="D1426" s="1009">
        <v>17199999</v>
      </c>
      <c r="E1426" s="1009">
        <v>17159999</v>
      </c>
      <c r="F1426" s="1007" t="s">
        <v>3234</v>
      </c>
      <c r="O1426" s="1007" t="s">
        <v>648</v>
      </c>
      <c r="P1426" s="1007" t="s">
        <v>648</v>
      </c>
      <c r="S1426" s="1008" t="s">
        <v>650</v>
      </c>
      <c r="T1426" s="1008" t="s">
        <v>21</v>
      </c>
      <c r="U1426" s="1008" t="s">
        <v>649</v>
      </c>
      <c r="V1426" s="1008" t="s">
        <v>648</v>
      </c>
      <c r="W1426" s="1008" t="s">
        <v>546</v>
      </c>
      <c r="X1426" s="1008"/>
      <c r="Y1426" s="1008"/>
      <c r="Z1426" s="1008"/>
      <c r="AA1426" s="1008"/>
      <c r="AB1426" s="1008"/>
      <c r="AC1426" s="1008"/>
      <c r="AD1426" s="1008"/>
      <c r="AE1426" s="1008"/>
      <c r="AF1426" s="1008"/>
      <c r="AG1426" s="1008"/>
      <c r="AH1426" s="1008"/>
      <c r="AI1426" s="1008"/>
    </row>
    <row r="1427" spans="1:35">
      <c r="A1427" s="1008">
        <v>24246</v>
      </c>
      <c r="C1427" s="1008">
        <v>6</v>
      </c>
      <c r="D1427" s="1009">
        <v>17169999</v>
      </c>
      <c r="E1427" s="1009">
        <v>17160000</v>
      </c>
      <c r="F1427" s="1007" t="s">
        <v>3233</v>
      </c>
      <c r="O1427" s="1007" t="s">
        <v>648</v>
      </c>
      <c r="P1427" s="1007" t="s">
        <v>648</v>
      </c>
      <c r="S1427" s="1008" t="s">
        <v>650</v>
      </c>
      <c r="T1427" s="1008" t="s">
        <v>675</v>
      </c>
      <c r="U1427" s="1008" t="s">
        <v>649</v>
      </c>
      <c r="V1427" s="1008" t="s">
        <v>648</v>
      </c>
      <c r="W1427" s="1008" t="s">
        <v>546</v>
      </c>
      <c r="X1427" s="1008"/>
      <c r="Y1427" s="1008"/>
      <c r="Z1427" s="1008"/>
      <c r="AA1427" s="1008"/>
      <c r="AB1427" s="1008"/>
      <c r="AC1427" s="1008"/>
      <c r="AD1427" s="1008"/>
      <c r="AE1427" s="1008"/>
      <c r="AF1427" s="1008"/>
      <c r="AG1427" s="1008"/>
      <c r="AH1427" s="1008"/>
      <c r="AI1427" s="1008"/>
    </row>
    <row r="1428" spans="1:35">
      <c r="A1428" s="1008">
        <v>24247</v>
      </c>
      <c r="B1428" s="1008">
        <v>1728</v>
      </c>
      <c r="C1428" s="1008">
        <v>7</v>
      </c>
      <c r="D1428" s="1009">
        <v>17169999</v>
      </c>
      <c r="E1428" s="1009">
        <v>17160400</v>
      </c>
      <c r="F1428" s="1007" t="s">
        <v>3232</v>
      </c>
      <c r="G1428" s="1007">
        <v>7</v>
      </c>
      <c r="H1428" s="1010">
        <v>99999999</v>
      </c>
      <c r="I1428" s="1009">
        <v>17160400</v>
      </c>
      <c r="J1428" s="1007" t="s">
        <v>3232</v>
      </c>
      <c r="O1428" s="1007" t="s">
        <v>648</v>
      </c>
      <c r="P1428" s="1007" t="s">
        <v>648</v>
      </c>
      <c r="S1428" s="1008" t="s">
        <v>650</v>
      </c>
      <c r="T1428" s="1008" t="s">
        <v>654</v>
      </c>
      <c r="U1428" s="1008" t="s">
        <v>649</v>
      </c>
      <c r="V1428" s="1008" t="s">
        <v>648</v>
      </c>
      <c r="W1428" s="1008" t="s">
        <v>546</v>
      </c>
      <c r="X1428" s="1008" t="s">
        <v>670</v>
      </c>
      <c r="Y1428" s="1008" t="s">
        <v>670</v>
      </c>
      <c r="Z1428" s="1008" t="s">
        <v>670</v>
      </c>
      <c r="AA1428" s="1008" t="s">
        <v>670</v>
      </c>
      <c r="AB1428" s="1008" t="s">
        <v>670</v>
      </c>
      <c r="AC1428" s="1008" t="s">
        <v>670</v>
      </c>
      <c r="AD1428" s="1008" t="s">
        <v>670</v>
      </c>
      <c r="AE1428" s="1008"/>
      <c r="AF1428" s="1008" t="s">
        <v>670</v>
      </c>
      <c r="AG1428" s="1008"/>
      <c r="AH1428" s="1008"/>
      <c r="AI1428" s="1008"/>
    </row>
    <row r="1429" spans="1:35">
      <c r="A1429" s="1008">
        <v>24248</v>
      </c>
      <c r="B1429" s="1008">
        <v>708</v>
      </c>
      <c r="C1429" s="1008">
        <v>7</v>
      </c>
      <c r="D1429" s="1009">
        <v>17169999</v>
      </c>
      <c r="E1429" s="1009">
        <v>17160700</v>
      </c>
      <c r="F1429" s="1007" t="s">
        <v>3231</v>
      </c>
      <c r="G1429" s="1007">
        <v>8</v>
      </c>
      <c r="H1429" s="1010">
        <v>99999999</v>
      </c>
      <c r="I1429" s="1009">
        <v>17160700</v>
      </c>
      <c r="J1429" s="1007" t="s">
        <v>3231</v>
      </c>
      <c r="O1429" s="1007" t="s">
        <v>648</v>
      </c>
      <c r="P1429" s="1007" t="s">
        <v>648</v>
      </c>
      <c r="S1429" s="1008" t="s">
        <v>650</v>
      </c>
      <c r="T1429" s="1008" t="s">
        <v>654</v>
      </c>
      <c r="U1429" s="1008" t="s">
        <v>649</v>
      </c>
      <c r="V1429" s="1008" t="s">
        <v>648</v>
      </c>
      <c r="W1429" s="1008" t="s">
        <v>546</v>
      </c>
      <c r="X1429" s="1008" t="s">
        <v>670</v>
      </c>
      <c r="Y1429" s="1008" t="s">
        <v>670</v>
      </c>
      <c r="Z1429" s="1008" t="s">
        <v>670</v>
      </c>
      <c r="AA1429" s="1008" t="s">
        <v>670</v>
      </c>
      <c r="AB1429" s="1008" t="s">
        <v>670</v>
      </c>
      <c r="AC1429" s="1008" t="s">
        <v>670</v>
      </c>
      <c r="AD1429" s="1008" t="s">
        <v>670</v>
      </c>
      <c r="AE1429" s="1008"/>
      <c r="AF1429" s="1008" t="s">
        <v>670</v>
      </c>
      <c r="AG1429" s="1008"/>
      <c r="AH1429" s="1008"/>
      <c r="AI1429" s="1008"/>
    </row>
    <row r="1430" spans="1:35">
      <c r="A1430" s="1008">
        <v>24249</v>
      </c>
      <c r="B1430" s="1008">
        <v>4965</v>
      </c>
      <c r="C1430" s="1008">
        <v>7</v>
      </c>
      <c r="D1430" s="1009">
        <v>17169999</v>
      </c>
      <c r="E1430" s="1009">
        <v>17160800</v>
      </c>
      <c r="F1430" s="1007" t="s">
        <v>3230</v>
      </c>
      <c r="G1430" s="1007">
        <v>7</v>
      </c>
      <c r="H1430" s="1010">
        <v>99999999</v>
      </c>
      <c r="I1430" s="1009">
        <v>17160800</v>
      </c>
      <c r="J1430" s="1007" t="s">
        <v>3230</v>
      </c>
      <c r="O1430" s="1007" t="s">
        <v>648</v>
      </c>
      <c r="P1430" s="1007" t="s">
        <v>648</v>
      </c>
      <c r="S1430" s="1008" t="s">
        <v>650</v>
      </c>
      <c r="T1430" s="1008" t="s">
        <v>654</v>
      </c>
      <c r="U1430" s="1008" t="s">
        <v>649</v>
      </c>
      <c r="V1430" s="1008" t="s">
        <v>648</v>
      </c>
      <c r="W1430" s="1008" t="s">
        <v>546</v>
      </c>
      <c r="X1430" s="1008" t="s">
        <v>670</v>
      </c>
      <c r="Y1430" s="1008" t="s">
        <v>670</v>
      </c>
      <c r="Z1430" s="1008" t="s">
        <v>670</v>
      </c>
      <c r="AA1430" s="1008" t="s">
        <v>670</v>
      </c>
      <c r="AB1430" s="1008" t="s">
        <v>670</v>
      </c>
      <c r="AC1430" s="1008" t="s">
        <v>670</v>
      </c>
      <c r="AD1430" s="1008" t="s">
        <v>670</v>
      </c>
      <c r="AE1430" s="1008"/>
      <c r="AF1430" s="1008" t="s">
        <v>670</v>
      </c>
      <c r="AG1430" s="1008"/>
      <c r="AH1430" s="1008"/>
      <c r="AI1430" s="1008"/>
    </row>
    <row r="1431" spans="1:35">
      <c r="A1431" s="1008">
        <v>24250</v>
      </c>
      <c r="C1431" s="1008">
        <v>6</v>
      </c>
      <c r="D1431" s="1009">
        <v>17199999</v>
      </c>
      <c r="E1431" s="1009">
        <v>17169999</v>
      </c>
      <c r="F1431" s="1007" t="s">
        <v>3229</v>
      </c>
      <c r="O1431" s="1007" t="s">
        <v>648</v>
      </c>
      <c r="P1431" s="1007" t="s">
        <v>648</v>
      </c>
      <c r="S1431" s="1008" t="s">
        <v>650</v>
      </c>
      <c r="T1431" s="1008" t="s">
        <v>21</v>
      </c>
      <c r="U1431" s="1008" t="s">
        <v>649</v>
      </c>
      <c r="V1431" s="1008" t="s">
        <v>648</v>
      </c>
      <c r="W1431" s="1008" t="s">
        <v>546</v>
      </c>
      <c r="X1431" s="1008"/>
      <c r="Y1431" s="1008"/>
      <c r="Z1431" s="1008"/>
      <c r="AA1431" s="1008"/>
      <c r="AB1431" s="1008"/>
      <c r="AC1431" s="1008"/>
      <c r="AD1431" s="1008"/>
      <c r="AE1431" s="1008"/>
      <c r="AF1431" s="1008"/>
      <c r="AG1431" s="1008"/>
      <c r="AH1431" s="1008"/>
      <c r="AI1431" s="1008"/>
    </row>
    <row r="1432" spans="1:35">
      <c r="A1432" s="1008">
        <v>27759</v>
      </c>
      <c r="C1432" s="1008">
        <v>6</v>
      </c>
      <c r="D1432" s="1009">
        <v>17171999</v>
      </c>
      <c r="E1432" s="1009">
        <v>17170000</v>
      </c>
      <c r="F1432" s="1007" t="s">
        <v>3228</v>
      </c>
      <c r="O1432" s="1007" t="s">
        <v>648</v>
      </c>
      <c r="P1432" s="1007" t="s">
        <v>648</v>
      </c>
      <c r="S1432" s="1008" t="s">
        <v>650</v>
      </c>
      <c r="T1432" s="1008" t="s">
        <v>675</v>
      </c>
      <c r="U1432" s="1008" t="s">
        <v>649</v>
      </c>
      <c r="V1432" s="1008" t="s">
        <v>648</v>
      </c>
      <c r="W1432" s="1008" t="s">
        <v>546</v>
      </c>
      <c r="X1432" s="1008"/>
      <c r="Y1432" s="1008"/>
      <c r="Z1432" s="1008"/>
      <c r="AA1432" s="1008"/>
      <c r="AB1432" s="1008"/>
      <c r="AC1432" s="1008"/>
      <c r="AD1432" s="1008"/>
      <c r="AE1432" s="1008"/>
      <c r="AF1432" s="1008"/>
      <c r="AG1432" s="1008"/>
      <c r="AH1432" s="1008"/>
      <c r="AI1432" s="1008"/>
    </row>
    <row r="1433" spans="1:35">
      <c r="A1433" s="1008">
        <v>27760</v>
      </c>
      <c r="B1433" s="1008">
        <v>6569</v>
      </c>
      <c r="C1433" s="1008">
        <v>7</v>
      </c>
      <c r="D1433" s="1009">
        <v>17171999</v>
      </c>
      <c r="E1433" s="1009">
        <v>17170400</v>
      </c>
      <c r="F1433" s="1007" t="s">
        <v>3227</v>
      </c>
      <c r="G1433" s="1007">
        <v>8</v>
      </c>
      <c r="H1433" s="1010">
        <v>99999999</v>
      </c>
      <c r="I1433" s="1009">
        <v>17170400</v>
      </c>
      <c r="J1433" s="1007" t="s">
        <v>3227</v>
      </c>
      <c r="O1433" s="1007" t="s">
        <v>648</v>
      </c>
      <c r="P1433" s="1007" t="s">
        <v>648</v>
      </c>
      <c r="S1433" s="1008" t="s">
        <v>650</v>
      </c>
      <c r="T1433" s="1008" t="s">
        <v>654</v>
      </c>
      <c r="U1433" s="1008" t="s">
        <v>649</v>
      </c>
      <c r="V1433" s="1008" t="s">
        <v>648</v>
      </c>
      <c r="W1433" s="1008" t="s">
        <v>546</v>
      </c>
      <c r="X1433" s="1008" t="s">
        <v>670</v>
      </c>
      <c r="Y1433" s="1008"/>
      <c r="Z1433" s="1008"/>
      <c r="AA1433" s="1008" t="s">
        <v>670</v>
      </c>
      <c r="AB1433" s="1008"/>
      <c r="AC1433" s="1008"/>
      <c r="AD1433" s="1008"/>
      <c r="AE1433" s="1008"/>
      <c r="AF1433" s="1008"/>
      <c r="AG1433" s="1008"/>
      <c r="AH1433" s="1008"/>
      <c r="AI1433" s="1008"/>
    </row>
    <row r="1434" spans="1:35">
      <c r="A1434" s="1008">
        <v>27761</v>
      </c>
      <c r="B1434" s="1008">
        <v>6570</v>
      </c>
      <c r="C1434" s="1008">
        <v>7</v>
      </c>
      <c r="D1434" s="1009">
        <v>17171999</v>
      </c>
      <c r="E1434" s="1009">
        <v>17170700</v>
      </c>
      <c r="F1434" s="1007" t="s">
        <v>3226</v>
      </c>
      <c r="G1434" s="1007">
        <v>8</v>
      </c>
      <c r="H1434" s="1010">
        <v>99999999</v>
      </c>
      <c r="I1434" s="1009">
        <v>17170700</v>
      </c>
      <c r="J1434" s="1007" t="s">
        <v>3226</v>
      </c>
      <c r="O1434" s="1007" t="s">
        <v>648</v>
      </c>
      <c r="P1434" s="1007" t="s">
        <v>648</v>
      </c>
      <c r="S1434" s="1008" t="s">
        <v>650</v>
      </c>
      <c r="T1434" s="1008" t="s">
        <v>654</v>
      </c>
      <c r="U1434" s="1008" t="s">
        <v>649</v>
      </c>
      <c r="V1434" s="1008" t="s">
        <v>648</v>
      </c>
      <c r="W1434" s="1008" t="s">
        <v>546</v>
      </c>
      <c r="X1434" s="1008" t="s">
        <v>670</v>
      </c>
      <c r="Y1434" s="1008"/>
      <c r="Z1434" s="1008"/>
      <c r="AA1434" s="1008" t="s">
        <v>670</v>
      </c>
      <c r="AB1434" s="1008"/>
      <c r="AC1434" s="1008"/>
      <c r="AD1434" s="1008"/>
      <c r="AE1434" s="1008"/>
      <c r="AF1434" s="1008"/>
      <c r="AG1434" s="1008"/>
      <c r="AH1434" s="1008"/>
      <c r="AI1434" s="1008"/>
    </row>
    <row r="1435" spans="1:35">
      <c r="A1435" s="1008">
        <v>27762</v>
      </c>
      <c r="B1435" s="1008">
        <v>6571</v>
      </c>
      <c r="C1435" s="1008">
        <v>7</v>
      </c>
      <c r="D1435" s="1009">
        <v>17171999</v>
      </c>
      <c r="E1435" s="1009">
        <v>17170800</v>
      </c>
      <c r="F1435" s="1007" t="s">
        <v>3225</v>
      </c>
      <c r="G1435" s="1007">
        <v>8</v>
      </c>
      <c r="H1435" s="1010">
        <v>99999999</v>
      </c>
      <c r="I1435" s="1009">
        <v>17170800</v>
      </c>
      <c r="J1435" s="1007" t="s">
        <v>3225</v>
      </c>
      <c r="O1435" s="1007" t="s">
        <v>648</v>
      </c>
      <c r="P1435" s="1007" t="s">
        <v>648</v>
      </c>
      <c r="S1435" s="1008" t="s">
        <v>650</v>
      </c>
      <c r="T1435" s="1008" t="s">
        <v>654</v>
      </c>
      <c r="U1435" s="1008" t="s">
        <v>649</v>
      </c>
      <c r="V1435" s="1008" t="s">
        <v>648</v>
      </c>
      <c r="W1435" s="1008" t="s">
        <v>546</v>
      </c>
      <c r="X1435" s="1008" t="s">
        <v>670</v>
      </c>
      <c r="Y1435" s="1008"/>
      <c r="Z1435" s="1008"/>
      <c r="AA1435" s="1008" t="s">
        <v>670</v>
      </c>
      <c r="AB1435" s="1008"/>
      <c r="AC1435" s="1008"/>
      <c r="AD1435" s="1008"/>
      <c r="AE1435" s="1008"/>
      <c r="AF1435" s="1008"/>
      <c r="AG1435" s="1008"/>
      <c r="AH1435" s="1008"/>
      <c r="AI1435" s="1008"/>
    </row>
    <row r="1436" spans="1:35">
      <c r="A1436" s="1008">
        <v>27758</v>
      </c>
      <c r="C1436" s="1008">
        <v>6</v>
      </c>
      <c r="D1436" s="1009">
        <v>17199999</v>
      </c>
      <c r="E1436" s="1009">
        <v>17171999</v>
      </c>
      <c r="F1436" s="1007" t="s">
        <v>3224</v>
      </c>
      <c r="O1436" s="1007" t="s">
        <v>648</v>
      </c>
      <c r="P1436" s="1007" t="s">
        <v>648</v>
      </c>
      <c r="S1436" s="1008" t="s">
        <v>650</v>
      </c>
      <c r="T1436" s="1008" t="s">
        <v>21</v>
      </c>
      <c r="U1436" s="1008" t="s">
        <v>649</v>
      </c>
      <c r="V1436" s="1008" t="s">
        <v>648</v>
      </c>
      <c r="W1436" s="1008" t="s">
        <v>546</v>
      </c>
      <c r="X1436" s="1008"/>
      <c r="Y1436" s="1008"/>
      <c r="Z1436" s="1008"/>
      <c r="AA1436" s="1008"/>
      <c r="AB1436" s="1008"/>
      <c r="AC1436" s="1008"/>
      <c r="AD1436" s="1008"/>
      <c r="AE1436" s="1008"/>
      <c r="AF1436" s="1008"/>
      <c r="AG1436" s="1008"/>
      <c r="AH1436" s="1008"/>
      <c r="AI1436" s="1008"/>
    </row>
    <row r="1437" spans="1:35">
      <c r="A1437" s="1008">
        <v>24251</v>
      </c>
      <c r="C1437" s="1008">
        <v>5</v>
      </c>
      <c r="D1437" s="1009">
        <v>17299999</v>
      </c>
      <c r="E1437" s="1009">
        <v>17199999</v>
      </c>
      <c r="F1437" s="1007" t="s">
        <v>3223</v>
      </c>
      <c r="O1437" s="1007" t="s">
        <v>648</v>
      </c>
      <c r="P1437" s="1007" t="s">
        <v>648</v>
      </c>
      <c r="S1437" s="1008" t="s">
        <v>650</v>
      </c>
      <c r="T1437" s="1008" t="s">
        <v>21</v>
      </c>
      <c r="U1437" s="1008" t="s">
        <v>649</v>
      </c>
      <c r="V1437" s="1008" t="s">
        <v>648</v>
      </c>
      <c r="W1437" s="1008" t="s">
        <v>546</v>
      </c>
      <c r="X1437" s="1008"/>
      <c r="Y1437" s="1008"/>
      <c r="Z1437" s="1008"/>
      <c r="AA1437" s="1008"/>
      <c r="AB1437" s="1008"/>
      <c r="AC1437" s="1008"/>
      <c r="AD1437" s="1008"/>
      <c r="AE1437" s="1008"/>
      <c r="AF1437" s="1008"/>
      <c r="AG1437" s="1008"/>
      <c r="AH1437" s="1008"/>
      <c r="AI1437" s="1008"/>
    </row>
    <row r="1438" spans="1:35">
      <c r="A1438" s="1008">
        <v>24252</v>
      </c>
      <c r="C1438" s="1008">
        <v>5</v>
      </c>
      <c r="D1438" s="1009">
        <v>17299900</v>
      </c>
      <c r="E1438" s="1009">
        <v>17200000</v>
      </c>
      <c r="F1438" s="1007" t="s">
        <v>3222</v>
      </c>
      <c r="O1438" s="1007" t="s">
        <v>648</v>
      </c>
      <c r="P1438" s="1007" t="s">
        <v>648</v>
      </c>
      <c r="S1438" s="1008" t="s">
        <v>650</v>
      </c>
      <c r="T1438" s="1008" t="s">
        <v>675</v>
      </c>
      <c r="U1438" s="1008" t="s">
        <v>649</v>
      </c>
      <c r="V1438" s="1008" t="s">
        <v>648</v>
      </c>
      <c r="W1438" s="1008" t="s">
        <v>546</v>
      </c>
      <c r="X1438" s="1008"/>
      <c r="Y1438" s="1008"/>
      <c r="Z1438" s="1008"/>
      <c r="AA1438" s="1008"/>
      <c r="AB1438" s="1008"/>
      <c r="AC1438" s="1008"/>
      <c r="AD1438" s="1008"/>
      <c r="AE1438" s="1008"/>
      <c r="AF1438" s="1008"/>
      <c r="AG1438" s="1008"/>
      <c r="AH1438" s="1008"/>
      <c r="AI1438" s="1008"/>
    </row>
    <row r="1439" spans="1:35">
      <c r="A1439" s="1008">
        <v>24253</v>
      </c>
      <c r="C1439" s="1008">
        <v>6</v>
      </c>
      <c r="D1439" s="1009">
        <v>17219999</v>
      </c>
      <c r="E1439" s="1009">
        <v>17210000</v>
      </c>
      <c r="F1439" s="1007" t="s">
        <v>3222</v>
      </c>
      <c r="O1439" s="1007" t="s">
        <v>648</v>
      </c>
      <c r="P1439" s="1007" t="s">
        <v>648</v>
      </c>
      <c r="S1439" s="1008" t="s">
        <v>650</v>
      </c>
      <c r="T1439" s="1008" t="s">
        <v>675</v>
      </c>
      <c r="U1439" s="1008" t="s">
        <v>649</v>
      </c>
      <c r="V1439" s="1008" t="s">
        <v>648</v>
      </c>
      <c r="W1439" s="1008" t="s">
        <v>546</v>
      </c>
      <c r="X1439" s="1008"/>
      <c r="Y1439" s="1008"/>
      <c r="Z1439" s="1008"/>
      <c r="AA1439" s="1008"/>
      <c r="AB1439" s="1008"/>
      <c r="AC1439" s="1008"/>
      <c r="AD1439" s="1008"/>
      <c r="AE1439" s="1008"/>
      <c r="AF1439" s="1008"/>
      <c r="AG1439" s="1008"/>
      <c r="AH1439" s="1008"/>
      <c r="AI1439" s="1008"/>
    </row>
    <row r="1440" spans="1:35">
      <c r="A1440" s="1008">
        <v>24254</v>
      </c>
      <c r="B1440" s="1008">
        <v>1731</v>
      </c>
      <c r="C1440" s="1008">
        <v>7</v>
      </c>
      <c r="D1440" s="1009">
        <v>17219999</v>
      </c>
      <c r="E1440" s="1009">
        <v>17210400</v>
      </c>
      <c r="F1440" s="1007" t="s">
        <v>3221</v>
      </c>
      <c r="G1440" s="1007">
        <v>7</v>
      </c>
      <c r="H1440" s="1010">
        <v>99999999</v>
      </c>
      <c r="I1440" s="1009">
        <v>17210400</v>
      </c>
      <c r="J1440" s="1007" t="s">
        <v>3221</v>
      </c>
      <c r="O1440" s="1007" t="s">
        <v>648</v>
      </c>
      <c r="P1440" s="1007" t="s">
        <v>648</v>
      </c>
      <c r="S1440" s="1008" t="s">
        <v>650</v>
      </c>
      <c r="T1440" s="1008" t="s">
        <v>654</v>
      </c>
      <c r="U1440" s="1008" t="s">
        <v>649</v>
      </c>
      <c r="V1440" s="1008" t="s">
        <v>648</v>
      </c>
      <c r="W1440" s="1008" t="s">
        <v>546</v>
      </c>
      <c r="X1440" s="1008" t="s">
        <v>670</v>
      </c>
      <c r="Y1440" s="1008" t="s">
        <v>670</v>
      </c>
      <c r="Z1440" s="1008" t="s">
        <v>670</v>
      </c>
      <c r="AA1440" s="1008" t="s">
        <v>670</v>
      </c>
      <c r="AB1440" s="1008" t="s">
        <v>670</v>
      </c>
      <c r="AC1440" s="1008" t="s">
        <v>670</v>
      </c>
      <c r="AD1440" s="1008" t="s">
        <v>670</v>
      </c>
      <c r="AE1440" s="1008"/>
      <c r="AF1440" s="1008" t="s">
        <v>670</v>
      </c>
      <c r="AG1440" s="1008"/>
      <c r="AH1440" s="1008"/>
      <c r="AI1440" s="1008"/>
    </row>
    <row r="1441" spans="1:35">
      <c r="A1441" s="1008">
        <v>24255</v>
      </c>
      <c r="B1441" s="1008">
        <v>1732</v>
      </c>
      <c r="C1441" s="1008">
        <v>7</v>
      </c>
      <c r="D1441" s="1009">
        <v>17219999</v>
      </c>
      <c r="E1441" s="1009">
        <v>17210700</v>
      </c>
      <c r="F1441" s="1007" t="s">
        <v>3220</v>
      </c>
      <c r="G1441" s="1007">
        <v>7</v>
      </c>
      <c r="H1441" s="1010">
        <v>99999999</v>
      </c>
      <c r="I1441" s="1009">
        <v>17210700</v>
      </c>
      <c r="J1441" s="1007" t="s">
        <v>3220</v>
      </c>
      <c r="O1441" s="1007" t="s">
        <v>648</v>
      </c>
      <c r="P1441" s="1007" t="s">
        <v>648</v>
      </c>
      <c r="S1441" s="1008" t="s">
        <v>650</v>
      </c>
      <c r="T1441" s="1008" t="s">
        <v>654</v>
      </c>
      <c r="U1441" s="1008" t="s">
        <v>649</v>
      </c>
      <c r="V1441" s="1008" t="s">
        <v>648</v>
      </c>
      <c r="W1441" s="1008" t="s">
        <v>546</v>
      </c>
      <c r="X1441" s="1008" t="s">
        <v>670</v>
      </c>
      <c r="Y1441" s="1008" t="s">
        <v>670</v>
      </c>
      <c r="Z1441" s="1008" t="s">
        <v>670</v>
      </c>
      <c r="AA1441" s="1008" t="s">
        <v>670</v>
      </c>
      <c r="AB1441" s="1008" t="s">
        <v>670</v>
      </c>
      <c r="AC1441" s="1008" t="s">
        <v>670</v>
      </c>
      <c r="AD1441" s="1008" t="s">
        <v>670</v>
      </c>
      <c r="AE1441" s="1008"/>
      <c r="AF1441" s="1008" t="s">
        <v>670</v>
      </c>
      <c r="AG1441" s="1008"/>
      <c r="AH1441" s="1008"/>
      <c r="AI1441" s="1008"/>
    </row>
    <row r="1442" spans="1:35">
      <c r="A1442" s="1008">
        <v>24256</v>
      </c>
      <c r="B1442" s="1008">
        <v>4969</v>
      </c>
      <c r="C1442" s="1008">
        <v>7</v>
      </c>
      <c r="D1442" s="1009">
        <v>17219999</v>
      </c>
      <c r="E1442" s="1009">
        <v>17210800</v>
      </c>
      <c r="F1442" s="1007" t="s">
        <v>3219</v>
      </c>
      <c r="G1442" s="1007">
        <v>7</v>
      </c>
      <c r="H1442" s="1010">
        <v>99999999</v>
      </c>
      <c r="I1442" s="1009">
        <v>17210800</v>
      </c>
      <c r="J1442" s="1007" t="s">
        <v>3219</v>
      </c>
      <c r="O1442" s="1007" t="s">
        <v>648</v>
      </c>
      <c r="P1442" s="1007" t="s">
        <v>648</v>
      </c>
      <c r="S1442" s="1008" t="s">
        <v>650</v>
      </c>
      <c r="T1442" s="1008" t="s">
        <v>654</v>
      </c>
      <c r="U1442" s="1008" t="s">
        <v>649</v>
      </c>
      <c r="V1442" s="1008" t="s">
        <v>648</v>
      </c>
      <c r="W1442" s="1008" t="s">
        <v>546</v>
      </c>
      <c r="X1442" s="1008" t="s">
        <v>670</v>
      </c>
      <c r="Y1442" s="1008" t="s">
        <v>670</v>
      </c>
      <c r="Z1442" s="1008" t="s">
        <v>670</v>
      </c>
      <c r="AA1442" s="1008" t="s">
        <v>670</v>
      </c>
      <c r="AB1442" s="1008" t="s">
        <v>670</v>
      </c>
      <c r="AC1442" s="1008" t="s">
        <v>670</v>
      </c>
      <c r="AD1442" s="1008" t="s">
        <v>670</v>
      </c>
      <c r="AE1442" s="1008"/>
      <c r="AF1442" s="1008" t="s">
        <v>670</v>
      </c>
      <c r="AG1442" s="1008"/>
      <c r="AH1442" s="1008"/>
      <c r="AI1442" s="1008"/>
    </row>
    <row r="1443" spans="1:35">
      <c r="A1443" s="1008">
        <v>24257</v>
      </c>
      <c r="C1443" s="1008">
        <v>6</v>
      </c>
      <c r="D1443" s="1009">
        <v>17299900</v>
      </c>
      <c r="E1443" s="1009">
        <v>17219999</v>
      </c>
      <c r="F1443" s="1007" t="s">
        <v>3218</v>
      </c>
      <c r="O1443" s="1007" t="s">
        <v>648</v>
      </c>
      <c r="P1443" s="1007" t="s">
        <v>648</v>
      </c>
      <c r="S1443" s="1008" t="s">
        <v>650</v>
      </c>
      <c r="T1443" s="1008" t="s">
        <v>21</v>
      </c>
      <c r="U1443" s="1008" t="s">
        <v>649</v>
      </c>
      <c r="V1443" s="1008" t="s">
        <v>648</v>
      </c>
      <c r="W1443" s="1008" t="s">
        <v>546</v>
      </c>
      <c r="X1443" s="1008"/>
      <c r="Y1443" s="1008"/>
      <c r="Z1443" s="1008"/>
      <c r="AA1443" s="1008"/>
      <c r="AB1443" s="1008"/>
      <c r="AC1443" s="1008"/>
      <c r="AD1443" s="1008"/>
      <c r="AE1443" s="1008"/>
      <c r="AF1443" s="1008"/>
      <c r="AG1443" s="1008"/>
      <c r="AH1443" s="1008"/>
      <c r="AI1443" s="1008"/>
    </row>
    <row r="1444" spans="1:35">
      <c r="A1444" s="1008">
        <v>24258</v>
      </c>
      <c r="C1444" s="1008">
        <v>5</v>
      </c>
      <c r="D1444" s="1009">
        <v>17299999</v>
      </c>
      <c r="E1444" s="1009">
        <v>17299900</v>
      </c>
      <c r="F1444" s="1007" t="s">
        <v>3218</v>
      </c>
      <c r="O1444" s="1007" t="s">
        <v>648</v>
      </c>
      <c r="P1444" s="1007" t="s">
        <v>648</v>
      </c>
      <c r="S1444" s="1008" t="s">
        <v>650</v>
      </c>
      <c r="T1444" s="1008" t="s">
        <v>21</v>
      </c>
      <c r="U1444" s="1008" t="s">
        <v>649</v>
      </c>
      <c r="V1444" s="1008" t="s">
        <v>648</v>
      </c>
      <c r="W1444" s="1008" t="s">
        <v>546</v>
      </c>
      <c r="X1444" s="1008"/>
      <c r="Y1444" s="1008"/>
      <c r="Z1444" s="1008"/>
      <c r="AA1444" s="1008"/>
      <c r="AB1444" s="1008"/>
      <c r="AC1444" s="1008"/>
      <c r="AD1444" s="1008"/>
      <c r="AE1444" s="1008"/>
      <c r="AF1444" s="1008"/>
      <c r="AG1444" s="1008"/>
      <c r="AH1444" s="1008"/>
      <c r="AI1444" s="1008"/>
    </row>
    <row r="1445" spans="1:35">
      <c r="A1445" s="1008">
        <v>24259</v>
      </c>
      <c r="C1445" s="1008">
        <v>4</v>
      </c>
      <c r="D1445" s="1009">
        <v>19999998</v>
      </c>
      <c r="E1445" s="1009">
        <v>17299999</v>
      </c>
      <c r="F1445" s="1007" t="s">
        <v>3217</v>
      </c>
      <c r="O1445" s="1007" t="s">
        <v>648</v>
      </c>
      <c r="P1445" s="1007" t="s">
        <v>648</v>
      </c>
      <c r="S1445" s="1008" t="s">
        <v>650</v>
      </c>
      <c r="T1445" s="1008" t="s">
        <v>21</v>
      </c>
      <c r="U1445" s="1008" t="s">
        <v>649</v>
      </c>
      <c r="V1445" s="1008" t="s">
        <v>648</v>
      </c>
      <c r="W1445" s="1008" t="s">
        <v>546</v>
      </c>
      <c r="X1445" s="1008"/>
      <c r="Y1445" s="1008"/>
      <c r="Z1445" s="1008"/>
      <c r="AA1445" s="1008"/>
      <c r="AB1445" s="1008"/>
      <c r="AC1445" s="1008"/>
      <c r="AD1445" s="1008"/>
      <c r="AE1445" s="1008"/>
      <c r="AF1445" s="1008"/>
      <c r="AG1445" s="1008"/>
      <c r="AH1445" s="1008"/>
      <c r="AI1445" s="1008"/>
    </row>
    <row r="1446" spans="1:35">
      <c r="A1446" s="1008">
        <v>24260</v>
      </c>
      <c r="C1446" s="1008">
        <v>4</v>
      </c>
      <c r="D1446" s="1009">
        <v>17699999</v>
      </c>
      <c r="E1446" s="1009">
        <v>17500000</v>
      </c>
      <c r="F1446" s="1007" t="s">
        <v>2602</v>
      </c>
      <c r="O1446" s="1007" t="s">
        <v>648</v>
      </c>
      <c r="P1446" s="1007" t="s">
        <v>648</v>
      </c>
      <c r="S1446" s="1008" t="s">
        <v>650</v>
      </c>
      <c r="T1446" s="1008" t="s">
        <v>675</v>
      </c>
      <c r="U1446" s="1008" t="s">
        <v>649</v>
      </c>
      <c r="V1446" s="1008" t="s">
        <v>648</v>
      </c>
      <c r="W1446" s="1008" t="s">
        <v>546</v>
      </c>
      <c r="X1446" s="1008"/>
      <c r="Y1446" s="1008"/>
      <c r="Z1446" s="1008"/>
      <c r="AA1446" s="1008"/>
      <c r="AB1446" s="1008"/>
      <c r="AC1446" s="1008"/>
      <c r="AD1446" s="1008"/>
      <c r="AE1446" s="1008"/>
      <c r="AF1446" s="1008"/>
      <c r="AG1446" s="1008"/>
      <c r="AH1446" s="1008"/>
      <c r="AI1446" s="1008"/>
    </row>
    <row r="1447" spans="1:35">
      <c r="A1447" s="1008">
        <v>24261</v>
      </c>
      <c r="C1447" s="1008">
        <v>5</v>
      </c>
      <c r="D1447" s="1009">
        <v>17599999</v>
      </c>
      <c r="E1447" s="1009">
        <v>17501000</v>
      </c>
      <c r="F1447" s="1007" t="s">
        <v>2601</v>
      </c>
      <c r="O1447" s="1007" t="s">
        <v>648</v>
      </c>
      <c r="P1447" s="1007" t="s">
        <v>648</v>
      </c>
      <c r="S1447" s="1008" t="s">
        <v>650</v>
      </c>
      <c r="T1447" s="1008" t="s">
        <v>675</v>
      </c>
      <c r="U1447" s="1008" t="s">
        <v>649</v>
      </c>
      <c r="V1447" s="1008" t="s">
        <v>648</v>
      </c>
      <c r="W1447" s="1008" t="s">
        <v>546</v>
      </c>
      <c r="X1447" s="1008"/>
      <c r="Y1447" s="1008"/>
      <c r="Z1447" s="1008"/>
      <c r="AA1447" s="1008"/>
      <c r="AB1447" s="1008"/>
      <c r="AC1447" s="1008"/>
      <c r="AD1447" s="1008"/>
      <c r="AE1447" s="1008"/>
      <c r="AF1447" s="1008"/>
      <c r="AG1447" s="1008"/>
      <c r="AH1447" s="1008"/>
      <c r="AI1447" s="1008"/>
    </row>
    <row r="1448" spans="1:35">
      <c r="A1448" s="1008">
        <v>24262</v>
      </c>
      <c r="C1448" s="1008">
        <v>6</v>
      </c>
      <c r="D1448" s="1009">
        <v>17519999</v>
      </c>
      <c r="E1448" s="1009">
        <v>17510000</v>
      </c>
      <c r="F1448" s="1007" t="s">
        <v>3216</v>
      </c>
      <c r="O1448" s="1007" t="s">
        <v>648</v>
      </c>
      <c r="P1448" s="1007" t="s">
        <v>648</v>
      </c>
      <c r="S1448" s="1008" t="s">
        <v>650</v>
      </c>
      <c r="T1448" s="1008" t="s">
        <v>675</v>
      </c>
      <c r="U1448" s="1008" t="s">
        <v>649</v>
      </c>
      <c r="V1448" s="1008" t="s">
        <v>648</v>
      </c>
      <c r="W1448" s="1008" t="s">
        <v>546</v>
      </c>
      <c r="X1448" s="1008"/>
      <c r="Y1448" s="1008"/>
      <c r="Z1448" s="1008"/>
      <c r="AA1448" s="1008"/>
      <c r="AB1448" s="1008"/>
      <c r="AC1448" s="1008"/>
      <c r="AD1448" s="1008"/>
      <c r="AE1448" s="1008"/>
      <c r="AF1448" s="1008"/>
      <c r="AG1448" s="1008"/>
      <c r="AH1448" s="1008"/>
      <c r="AI1448" s="1008"/>
    </row>
    <row r="1449" spans="1:35">
      <c r="A1449" s="1008">
        <v>26992</v>
      </c>
      <c r="C1449" s="1008">
        <v>8</v>
      </c>
      <c r="D1449" s="1009">
        <v>17510299</v>
      </c>
      <c r="E1449" s="1009">
        <v>17510200</v>
      </c>
      <c r="F1449" s="1007" t="s">
        <v>3215</v>
      </c>
      <c r="O1449" s="1007" t="s">
        <v>648</v>
      </c>
      <c r="P1449" s="1007" t="s">
        <v>648</v>
      </c>
      <c r="S1449" s="1008" t="s">
        <v>650</v>
      </c>
      <c r="T1449" s="1008" t="s">
        <v>675</v>
      </c>
      <c r="U1449" s="1008" t="s">
        <v>649</v>
      </c>
      <c r="V1449" s="1008" t="s">
        <v>648</v>
      </c>
      <c r="W1449" s="1008" t="s">
        <v>546</v>
      </c>
      <c r="X1449" s="1008"/>
      <c r="Y1449" s="1008"/>
      <c r="Z1449" s="1008"/>
      <c r="AA1449" s="1008"/>
      <c r="AB1449" s="1008"/>
      <c r="AC1449" s="1008"/>
      <c r="AD1449" s="1008"/>
      <c r="AE1449" s="1008"/>
      <c r="AF1449" s="1008"/>
      <c r="AG1449" s="1008"/>
      <c r="AH1449" s="1008"/>
      <c r="AI1449" s="1008"/>
    </row>
    <row r="1450" spans="1:35">
      <c r="A1450" s="1008">
        <v>26993</v>
      </c>
      <c r="B1450" s="1008">
        <v>238</v>
      </c>
      <c r="C1450" s="1008">
        <v>9</v>
      </c>
      <c r="D1450" s="1009">
        <v>17510299</v>
      </c>
      <c r="E1450" s="1009">
        <v>17510202</v>
      </c>
      <c r="F1450" s="1007" t="s">
        <v>3214</v>
      </c>
      <c r="G1450" s="1007">
        <v>8</v>
      </c>
      <c r="H1450" s="1010">
        <v>99999999</v>
      </c>
      <c r="I1450" s="1009">
        <v>17510202</v>
      </c>
      <c r="J1450" s="1007" t="s">
        <v>3214</v>
      </c>
      <c r="O1450" s="1007" t="s">
        <v>648</v>
      </c>
      <c r="P1450" s="1007" t="s">
        <v>648</v>
      </c>
      <c r="S1450" s="1008" t="s">
        <v>650</v>
      </c>
      <c r="T1450" s="1008" t="s">
        <v>654</v>
      </c>
      <c r="U1450" s="1008" t="s">
        <v>649</v>
      </c>
      <c r="V1450" s="1008" t="s">
        <v>648</v>
      </c>
      <c r="W1450" s="1008" t="s">
        <v>546</v>
      </c>
      <c r="X1450" s="1008" t="s">
        <v>670</v>
      </c>
      <c r="Y1450" s="1008" t="s">
        <v>670</v>
      </c>
      <c r="Z1450" s="1008" t="s">
        <v>670</v>
      </c>
      <c r="AA1450" s="1008"/>
      <c r="AB1450" s="1008" t="s">
        <v>670</v>
      </c>
      <c r="AC1450" s="1008"/>
      <c r="AD1450" s="1008"/>
      <c r="AE1450" s="1008"/>
      <c r="AF1450" s="1008" t="s">
        <v>670</v>
      </c>
      <c r="AG1450" s="1008"/>
      <c r="AH1450" s="1008"/>
      <c r="AI1450" s="1008"/>
    </row>
    <row r="1451" spans="1:35">
      <c r="A1451" s="1008">
        <v>26994</v>
      </c>
      <c r="B1451" s="1008">
        <v>239</v>
      </c>
      <c r="C1451" s="1008">
        <v>9</v>
      </c>
      <c r="D1451" s="1009">
        <v>17510299</v>
      </c>
      <c r="E1451" s="1009">
        <v>17510204</v>
      </c>
      <c r="F1451" s="1007" t="s">
        <v>3213</v>
      </c>
      <c r="G1451" s="1007">
        <v>8</v>
      </c>
      <c r="H1451" s="1010">
        <v>99999999</v>
      </c>
      <c r="I1451" s="1009">
        <v>17510204</v>
      </c>
      <c r="J1451" s="1007" t="s">
        <v>3213</v>
      </c>
      <c r="O1451" s="1007" t="s">
        <v>648</v>
      </c>
      <c r="P1451" s="1007" t="s">
        <v>648</v>
      </c>
      <c r="S1451" s="1008" t="s">
        <v>650</v>
      </c>
      <c r="T1451" s="1008" t="s">
        <v>654</v>
      </c>
      <c r="U1451" s="1008" t="s">
        <v>649</v>
      </c>
      <c r="V1451" s="1008" t="s">
        <v>648</v>
      </c>
      <c r="W1451" s="1008" t="s">
        <v>546</v>
      </c>
      <c r="X1451" s="1008" t="s">
        <v>670</v>
      </c>
      <c r="Y1451" s="1008" t="s">
        <v>670</v>
      </c>
      <c r="Z1451" s="1008" t="s">
        <v>670</v>
      </c>
      <c r="AA1451" s="1008"/>
      <c r="AB1451" s="1008" t="s">
        <v>670</v>
      </c>
      <c r="AC1451" s="1008"/>
      <c r="AD1451" s="1008"/>
      <c r="AE1451" s="1008"/>
      <c r="AF1451" s="1008" t="s">
        <v>670</v>
      </c>
      <c r="AG1451" s="1008"/>
      <c r="AH1451" s="1008"/>
      <c r="AI1451" s="1008"/>
    </row>
    <row r="1452" spans="1:35">
      <c r="A1452" s="1008">
        <v>26995</v>
      </c>
      <c r="B1452" s="1008">
        <v>240</v>
      </c>
      <c r="C1452" s="1008">
        <v>9</v>
      </c>
      <c r="D1452" s="1009">
        <v>17510299</v>
      </c>
      <c r="E1452" s="1009">
        <v>17510206</v>
      </c>
      <c r="F1452" s="1007" t="s">
        <v>3212</v>
      </c>
      <c r="G1452" s="1007">
        <v>8</v>
      </c>
      <c r="H1452" s="1010">
        <v>99999999</v>
      </c>
      <c r="I1452" s="1009">
        <v>17510206</v>
      </c>
      <c r="J1452" s="1007" t="s">
        <v>3212</v>
      </c>
      <c r="O1452" s="1007" t="s">
        <v>648</v>
      </c>
      <c r="P1452" s="1007" t="s">
        <v>648</v>
      </c>
      <c r="S1452" s="1008" t="s">
        <v>650</v>
      </c>
      <c r="T1452" s="1008" t="s">
        <v>654</v>
      </c>
      <c r="U1452" s="1008" t="s">
        <v>649</v>
      </c>
      <c r="V1452" s="1008" t="s">
        <v>648</v>
      </c>
      <c r="W1452" s="1008" t="s">
        <v>546</v>
      </c>
      <c r="X1452" s="1008" t="s">
        <v>670</v>
      </c>
      <c r="Y1452" s="1008" t="s">
        <v>670</v>
      </c>
      <c r="Z1452" s="1008" t="s">
        <v>670</v>
      </c>
      <c r="AA1452" s="1008"/>
      <c r="AB1452" s="1008" t="s">
        <v>670</v>
      </c>
      <c r="AC1452" s="1008"/>
      <c r="AD1452" s="1008"/>
      <c r="AE1452" s="1008"/>
      <c r="AF1452" s="1008" t="s">
        <v>670</v>
      </c>
      <c r="AG1452" s="1008"/>
      <c r="AH1452" s="1008"/>
      <c r="AI1452" s="1008"/>
    </row>
    <row r="1453" spans="1:35">
      <c r="A1453" s="1008">
        <v>26996</v>
      </c>
      <c r="B1453" s="1008">
        <v>242</v>
      </c>
      <c r="C1453" s="1008">
        <v>9</v>
      </c>
      <c r="D1453" s="1009">
        <v>17510299</v>
      </c>
      <c r="E1453" s="1009">
        <v>17510208</v>
      </c>
      <c r="F1453" s="1007" t="s">
        <v>3211</v>
      </c>
      <c r="G1453" s="1007">
        <v>8</v>
      </c>
      <c r="H1453" s="1010">
        <v>99999999</v>
      </c>
      <c r="I1453" s="1009">
        <v>17510208</v>
      </c>
      <c r="J1453" s="1007" t="s">
        <v>3211</v>
      </c>
      <c r="O1453" s="1007" t="s">
        <v>648</v>
      </c>
      <c r="P1453" s="1007" t="s">
        <v>648</v>
      </c>
      <c r="S1453" s="1008" t="s">
        <v>650</v>
      </c>
      <c r="T1453" s="1008" t="s">
        <v>654</v>
      </c>
      <c r="U1453" s="1008" t="s">
        <v>649</v>
      </c>
      <c r="V1453" s="1008" t="s">
        <v>648</v>
      </c>
      <c r="W1453" s="1008" t="s">
        <v>546</v>
      </c>
      <c r="X1453" s="1008" t="s">
        <v>670</v>
      </c>
      <c r="Y1453" s="1008" t="s">
        <v>670</v>
      </c>
      <c r="Z1453" s="1008" t="s">
        <v>670</v>
      </c>
      <c r="AA1453" s="1008"/>
      <c r="AB1453" s="1008" t="s">
        <v>670</v>
      </c>
      <c r="AC1453" s="1008"/>
      <c r="AD1453" s="1008"/>
      <c r="AE1453" s="1008"/>
      <c r="AF1453" s="1008" t="s">
        <v>670</v>
      </c>
      <c r="AG1453" s="1008"/>
      <c r="AH1453" s="1008"/>
      <c r="AI1453" s="1008"/>
    </row>
    <row r="1454" spans="1:35">
      <c r="A1454" s="1008">
        <v>27663</v>
      </c>
      <c r="B1454" s="1008">
        <v>6493</v>
      </c>
      <c r="C1454" s="1008">
        <v>9</v>
      </c>
      <c r="D1454" s="1009">
        <v>17510299</v>
      </c>
      <c r="E1454" s="1009">
        <v>17510209</v>
      </c>
      <c r="F1454" s="1007" t="s">
        <v>3210</v>
      </c>
      <c r="G1454" s="1007">
        <v>8</v>
      </c>
      <c r="H1454" s="1010">
        <v>99999999</v>
      </c>
      <c r="I1454" s="1009">
        <v>17510209</v>
      </c>
      <c r="J1454" s="1007" t="s">
        <v>3210</v>
      </c>
      <c r="O1454" s="1007" t="s">
        <v>648</v>
      </c>
      <c r="P1454" s="1007" t="s">
        <v>648</v>
      </c>
      <c r="S1454" s="1008" t="s">
        <v>650</v>
      </c>
      <c r="T1454" s="1008" t="s">
        <v>654</v>
      </c>
      <c r="U1454" s="1008" t="s">
        <v>649</v>
      </c>
      <c r="V1454" s="1008" t="s">
        <v>648</v>
      </c>
      <c r="W1454" s="1008" t="s">
        <v>546</v>
      </c>
      <c r="X1454" s="1008" t="s">
        <v>670</v>
      </c>
      <c r="Y1454" s="1008" t="s">
        <v>670</v>
      </c>
      <c r="Z1454" s="1008" t="s">
        <v>670</v>
      </c>
      <c r="AA1454" s="1008"/>
      <c r="AB1454" s="1008"/>
      <c r="AC1454" s="1008"/>
      <c r="AD1454" s="1008"/>
      <c r="AE1454" s="1008"/>
      <c r="AF1454" s="1008" t="s">
        <v>670</v>
      </c>
      <c r="AG1454" s="1008"/>
      <c r="AH1454" s="1008"/>
      <c r="AI1454" s="1008"/>
    </row>
    <row r="1455" spans="1:35">
      <c r="A1455" s="1008">
        <v>26997</v>
      </c>
      <c r="B1455" s="1008">
        <v>1276</v>
      </c>
      <c r="C1455" s="1008">
        <v>9</v>
      </c>
      <c r="D1455" s="1009">
        <v>17510299</v>
      </c>
      <c r="E1455" s="1009">
        <v>17510210</v>
      </c>
      <c r="F1455" s="1007" t="s">
        <v>3209</v>
      </c>
      <c r="G1455" s="1007">
        <v>8</v>
      </c>
      <c r="H1455" s="1010">
        <v>99999999</v>
      </c>
      <c r="I1455" s="1009">
        <v>17510210</v>
      </c>
      <c r="J1455" s="1007" t="s">
        <v>3209</v>
      </c>
      <c r="O1455" s="1007" t="s">
        <v>648</v>
      </c>
      <c r="P1455" s="1007" t="s">
        <v>648</v>
      </c>
      <c r="S1455" s="1008" t="s">
        <v>650</v>
      </c>
      <c r="T1455" s="1008" t="s">
        <v>654</v>
      </c>
      <c r="U1455" s="1008" t="s">
        <v>649</v>
      </c>
      <c r="V1455" s="1008" t="s">
        <v>648</v>
      </c>
      <c r="W1455" s="1008" t="s">
        <v>546</v>
      </c>
      <c r="X1455" s="1008" t="s">
        <v>670</v>
      </c>
      <c r="Y1455" s="1008" t="s">
        <v>670</v>
      </c>
      <c r="Z1455" s="1008" t="s">
        <v>670</v>
      </c>
      <c r="AA1455" s="1008"/>
      <c r="AB1455" s="1008" t="s">
        <v>670</v>
      </c>
      <c r="AC1455" s="1008"/>
      <c r="AD1455" s="1008"/>
      <c r="AE1455" s="1008"/>
      <c r="AF1455" s="1008" t="s">
        <v>670</v>
      </c>
      <c r="AG1455" s="1008"/>
      <c r="AH1455" s="1008"/>
      <c r="AI1455" s="1008"/>
    </row>
    <row r="1456" spans="1:35">
      <c r="A1456" s="1008">
        <v>26998</v>
      </c>
      <c r="B1456" s="1008">
        <v>244</v>
      </c>
      <c r="C1456" s="1008">
        <v>9</v>
      </c>
      <c r="D1456" s="1009">
        <v>17510299</v>
      </c>
      <c r="E1456" s="1009">
        <v>17510212</v>
      </c>
      <c r="F1456" s="1007" t="s">
        <v>3208</v>
      </c>
      <c r="G1456" s="1007">
        <v>8</v>
      </c>
      <c r="H1456" s="1010">
        <v>99999999</v>
      </c>
      <c r="I1456" s="1009">
        <v>17510212</v>
      </c>
      <c r="J1456" s="1007" t="s">
        <v>3208</v>
      </c>
      <c r="O1456" s="1007" t="s">
        <v>648</v>
      </c>
      <c r="P1456" s="1007" t="s">
        <v>648</v>
      </c>
      <c r="S1456" s="1008" t="s">
        <v>650</v>
      </c>
      <c r="T1456" s="1008" t="s">
        <v>654</v>
      </c>
      <c r="U1456" s="1008" t="s">
        <v>649</v>
      </c>
      <c r="V1456" s="1008" t="s">
        <v>648</v>
      </c>
      <c r="W1456" s="1008" t="s">
        <v>546</v>
      </c>
      <c r="X1456" s="1008" t="s">
        <v>670</v>
      </c>
      <c r="Y1456" s="1008" t="s">
        <v>670</v>
      </c>
      <c r="Z1456" s="1008" t="s">
        <v>670</v>
      </c>
      <c r="AA1456" s="1008"/>
      <c r="AB1456" s="1008" t="s">
        <v>670</v>
      </c>
      <c r="AC1456" s="1008"/>
      <c r="AD1456" s="1008"/>
      <c r="AE1456" s="1008"/>
      <c r="AF1456" s="1008" t="s">
        <v>670</v>
      </c>
      <c r="AG1456" s="1008"/>
      <c r="AH1456" s="1008"/>
      <c r="AI1456" s="1008"/>
    </row>
    <row r="1457" spans="1:35">
      <c r="A1457" s="1008">
        <v>26999</v>
      </c>
      <c r="B1457" s="1008">
        <v>245</v>
      </c>
      <c r="C1457" s="1008">
        <v>9</v>
      </c>
      <c r="D1457" s="1009">
        <v>17510299</v>
      </c>
      <c r="E1457" s="1009">
        <v>17510214</v>
      </c>
      <c r="F1457" s="1007" t="s">
        <v>3207</v>
      </c>
      <c r="G1457" s="1007">
        <v>8</v>
      </c>
      <c r="H1457" s="1010">
        <v>99999999</v>
      </c>
      <c r="I1457" s="1009">
        <v>17510214</v>
      </c>
      <c r="J1457" s="1007" t="s">
        <v>3207</v>
      </c>
      <c r="O1457" s="1007" t="s">
        <v>648</v>
      </c>
      <c r="P1457" s="1007" t="s">
        <v>648</v>
      </c>
      <c r="S1457" s="1008" t="s">
        <v>650</v>
      </c>
      <c r="T1457" s="1008" t="s">
        <v>654</v>
      </c>
      <c r="U1457" s="1008" t="s">
        <v>649</v>
      </c>
      <c r="V1457" s="1008" t="s">
        <v>648</v>
      </c>
      <c r="W1457" s="1008" t="s">
        <v>546</v>
      </c>
      <c r="X1457" s="1008" t="s">
        <v>670</v>
      </c>
      <c r="Y1457" s="1008" t="s">
        <v>670</v>
      </c>
      <c r="Z1457" s="1008" t="s">
        <v>670</v>
      </c>
      <c r="AA1457" s="1008"/>
      <c r="AB1457" s="1008" t="s">
        <v>670</v>
      </c>
      <c r="AC1457" s="1008"/>
      <c r="AD1457" s="1008"/>
      <c r="AE1457" s="1008"/>
      <c r="AF1457" s="1008" t="s">
        <v>670</v>
      </c>
      <c r="AG1457" s="1008"/>
      <c r="AH1457" s="1008"/>
      <c r="AI1457" s="1008"/>
    </row>
    <row r="1458" spans="1:35">
      <c r="A1458" s="1008">
        <v>27000</v>
      </c>
      <c r="B1458" s="1008">
        <v>246</v>
      </c>
      <c r="C1458" s="1008">
        <v>9</v>
      </c>
      <c r="D1458" s="1009">
        <v>17510299</v>
      </c>
      <c r="E1458" s="1009">
        <v>17510216</v>
      </c>
      <c r="F1458" s="1007" t="s">
        <v>3206</v>
      </c>
      <c r="G1458" s="1007">
        <v>8</v>
      </c>
      <c r="H1458" s="1010">
        <v>99999999</v>
      </c>
      <c r="I1458" s="1009">
        <v>17510216</v>
      </c>
      <c r="J1458" s="1007" t="s">
        <v>3206</v>
      </c>
      <c r="O1458" s="1007" t="s">
        <v>648</v>
      </c>
      <c r="P1458" s="1007" t="s">
        <v>648</v>
      </c>
      <c r="S1458" s="1008" t="s">
        <v>650</v>
      </c>
      <c r="T1458" s="1008" t="s">
        <v>654</v>
      </c>
      <c r="U1458" s="1008" t="s">
        <v>649</v>
      </c>
      <c r="V1458" s="1008" t="s">
        <v>648</v>
      </c>
      <c r="W1458" s="1008" t="s">
        <v>546</v>
      </c>
      <c r="X1458" s="1008" t="s">
        <v>670</v>
      </c>
      <c r="Y1458" s="1008" t="s">
        <v>670</v>
      </c>
      <c r="Z1458" s="1008" t="s">
        <v>670</v>
      </c>
      <c r="AA1458" s="1008"/>
      <c r="AB1458" s="1008" t="s">
        <v>670</v>
      </c>
      <c r="AC1458" s="1008"/>
      <c r="AD1458" s="1008"/>
      <c r="AE1458" s="1008"/>
      <c r="AF1458" s="1008" t="s">
        <v>670</v>
      </c>
      <c r="AG1458" s="1008"/>
      <c r="AH1458" s="1008"/>
      <c r="AI1458" s="1008"/>
    </row>
    <row r="1459" spans="1:35">
      <c r="A1459" s="1008">
        <v>27001</v>
      </c>
      <c r="B1459" s="1008">
        <v>247</v>
      </c>
      <c r="C1459" s="1008">
        <v>9</v>
      </c>
      <c r="D1459" s="1009">
        <v>17510299</v>
      </c>
      <c r="E1459" s="1009">
        <v>17510218</v>
      </c>
      <c r="F1459" s="1007" t="s">
        <v>3205</v>
      </c>
      <c r="G1459" s="1007">
        <v>8</v>
      </c>
      <c r="H1459" s="1010">
        <v>99999999</v>
      </c>
      <c r="I1459" s="1009">
        <v>17510218</v>
      </c>
      <c r="J1459" s="1007" t="s">
        <v>3205</v>
      </c>
      <c r="O1459" s="1007" t="s">
        <v>648</v>
      </c>
      <c r="P1459" s="1007" t="s">
        <v>648</v>
      </c>
      <c r="S1459" s="1008" t="s">
        <v>650</v>
      </c>
      <c r="T1459" s="1008" t="s">
        <v>654</v>
      </c>
      <c r="U1459" s="1008" t="s">
        <v>649</v>
      </c>
      <c r="V1459" s="1008" t="s">
        <v>648</v>
      </c>
      <c r="W1459" s="1008" t="s">
        <v>546</v>
      </c>
      <c r="X1459" s="1008" t="s">
        <v>670</v>
      </c>
      <c r="Y1459" s="1008" t="s">
        <v>670</v>
      </c>
      <c r="Z1459" s="1008" t="s">
        <v>670</v>
      </c>
      <c r="AA1459" s="1008"/>
      <c r="AB1459" s="1008" t="s">
        <v>670</v>
      </c>
      <c r="AC1459" s="1008"/>
      <c r="AD1459" s="1008"/>
      <c r="AE1459" s="1008"/>
      <c r="AF1459" s="1008" t="s">
        <v>670</v>
      </c>
      <c r="AG1459" s="1008"/>
      <c r="AH1459" s="1008"/>
      <c r="AI1459" s="1008"/>
    </row>
    <row r="1460" spans="1:35">
      <c r="A1460" s="1008">
        <v>27002</v>
      </c>
      <c r="B1460" s="1008">
        <v>248</v>
      </c>
      <c r="C1460" s="1008">
        <v>9</v>
      </c>
      <c r="D1460" s="1009">
        <v>17510299</v>
      </c>
      <c r="E1460" s="1009">
        <v>17510220</v>
      </c>
      <c r="F1460" s="1007" t="s">
        <v>3204</v>
      </c>
      <c r="G1460" s="1007">
        <v>8</v>
      </c>
      <c r="H1460" s="1010">
        <v>99999999</v>
      </c>
      <c r="I1460" s="1009">
        <v>17510220</v>
      </c>
      <c r="J1460" s="1007" t="s">
        <v>3204</v>
      </c>
      <c r="O1460" s="1007" t="s">
        <v>648</v>
      </c>
      <c r="P1460" s="1007" t="s">
        <v>648</v>
      </c>
      <c r="S1460" s="1008" t="s">
        <v>650</v>
      </c>
      <c r="T1460" s="1008" t="s">
        <v>654</v>
      </c>
      <c r="U1460" s="1008" t="s">
        <v>649</v>
      </c>
      <c r="V1460" s="1008" t="s">
        <v>648</v>
      </c>
      <c r="W1460" s="1008" t="s">
        <v>546</v>
      </c>
      <c r="X1460" s="1008" t="s">
        <v>670</v>
      </c>
      <c r="Y1460" s="1008" t="s">
        <v>670</v>
      </c>
      <c r="Z1460" s="1008" t="s">
        <v>670</v>
      </c>
      <c r="AA1460" s="1008"/>
      <c r="AB1460" s="1008" t="s">
        <v>670</v>
      </c>
      <c r="AC1460" s="1008"/>
      <c r="AD1460" s="1008"/>
      <c r="AE1460" s="1008"/>
      <c r="AF1460" s="1008" t="s">
        <v>670</v>
      </c>
      <c r="AG1460" s="1008"/>
      <c r="AH1460" s="1008"/>
      <c r="AI1460" s="1008"/>
    </row>
    <row r="1461" spans="1:35">
      <c r="A1461" s="1008">
        <v>27003</v>
      </c>
      <c r="B1461" s="1008">
        <v>249</v>
      </c>
      <c r="C1461" s="1008">
        <v>9</v>
      </c>
      <c r="D1461" s="1009">
        <v>17510299</v>
      </c>
      <c r="E1461" s="1009">
        <v>17510222</v>
      </c>
      <c r="F1461" s="1007" t="s">
        <v>3203</v>
      </c>
      <c r="G1461" s="1007">
        <v>8</v>
      </c>
      <c r="H1461" s="1010">
        <v>99999999</v>
      </c>
      <c r="I1461" s="1009">
        <v>17510222</v>
      </c>
      <c r="J1461" s="1007" t="s">
        <v>3203</v>
      </c>
      <c r="O1461" s="1007" t="s">
        <v>648</v>
      </c>
      <c r="P1461" s="1007" t="s">
        <v>648</v>
      </c>
      <c r="S1461" s="1008" t="s">
        <v>650</v>
      </c>
      <c r="T1461" s="1008" t="s">
        <v>654</v>
      </c>
      <c r="U1461" s="1008" t="s">
        <v>649</v>
      </c>
      <c r="V1461" s="1008" t="s">
        <v>648</v>
      </c>
      <c r="W1461" s="1008" t="s">
        <v>546</v>
      </c>
      <c r="X1461" s="1008" t="s">
        <v>670</v>
      </c>
      <c r="Y1461" s="1008" t="s">
        <v>670</v>
      </c>
      <c r="Z1461" s="1008" t="s">
        <v>670</v>
      </c>
      <c r="AA1461" s="1008"/>
      <c r="AB1461" s="1008" t="s">
        <v>670</v>
      </c>
      <c r="AC1461" s="1008"/>
      <c r="AD1461" s="1008"/>
      <c r="AE1461" s="1008"/>
      <c r="AF1461" s="1008" t="s">
        <v>670</v>
      </c>
      <c r="AG1461" s="1008"/>
      <c r="AH1461" s="1008"/>
      <c r="AI1461" s="1008"/>
    </row>
    <row r="1462" spans="1:35">
      <c r="A1462" s="1008">
        <v>27004</v>
      </c>
      <c r="B1462" s="1008">
        <v>250</v>
      </c>
      <c r="C1462" s="1008">
        <v>9</v>
      </c>
      <c r="D1462" s="1009">
        <v>17510299</v>
      </c>
      <c r="E1462" s="1009">
        <v>17510224</v>
      </c>
      <c r="F1462" s="1007" t="s">
        <v>3202</v>
      </c>
      <c r="G1462" s="1007">
        <v>8</v>
      </c>
      <c r="H1462" s="1010">
        <v>99999999</v>
      </c>
      <c r="I1462" s="1009">
        <v>17510224</v>
      </c>
      <c r="J1462" s="1007" t="s">
        <v>3202</v>
      </c>
      <c r="O1462" s="1007" t="s">
        <v>648</v>
      </c>
      <c r="P1462" s="1007" t="s">
        <v>648</v>
      </c>
      <c r="S1462" s="1008" t="s">
        <v>650</v>
      </c>
      <c r="T1462" s="1008" t="s">
        <v>654</v>
      </c>
      <c r="U1462" s="1008" t="s">
        <v>649</v>
      </c>
      <c r="V1462" s="1008" t="s">
        <v>648</v>
      </c>
      <c r="W1462" s="1008" t="s">
        <v>546</v>
      </c>
      <c r="X1462" s="1008" t="s">
        <v>670</v>
      </c>
      <c r="Y1462" s="1008" t="s">
        <v>670</v>
      </c>
      <c r="Z1462" s="1008" t="s">
        <v>670</v>
      </c>
      <c r="AA1462" s="1008"/>
      <c r="AB1462" s="1008" t="s">
        <v>670</v>
      </c>
      <c r="AC1462" s="1008"/>
      <c r="AD1462" s="1008"/>
      <c r="AE1462" s="1008"/>
      <c r="AF1462" s="1008" t="s">
        <v>670</v>
      </c>
      <c r="AG1462" s="1008"/>
      <c r="AH1462" s="1008"/>
      <c r="AI1462" s="1008"/>
    </row>
    <row r="1463" spans="1:35">
      <c r="A1463" s="1008">
        <v>27005</v>
      </c>
      <c r="B1463" s="1008">
        <v>251</v>
      </c>
      <c r="C1463" s="1008">
        <v>9</v>
      </c>
      <c r="D1463" s="1009">
        <v>17510299</v>
      </c>
      <c r="E1463" s="1009">
        <v>17510226</v>
      </c>
      <c r="F1463" s="1007" t="s">
        <v>3201</v>
      </c>
      <c r="G1463" s="1007">
        <v>8</v>
      </c>
      <c r="H1463" s="1010">
        <v>99999999</v>
      </c>
      <c r="I1463" s="1009">
        <v>17510226</v>
      </c>
      <c r="J1463" s="1007" t="s">
        <v>3201</v>
      </c>
      <c r="O1463" s="1007" t="s">
        <v>648</v>
      </c>
      <c r="P1463" s="1007" t="s">
        <v>648</v>
      </c>
      <c r="S1463" s="1008" t="s">
        <v>650</v>
      </c>
      <c r="T1463" s="1008" t="s">
        <v>654</v>
      </c>
      <c r="U1463" s="1008" t="s">
        <v>649</v>
      </c>
      <c r="V1463" s="1008" t="s">
        <v>648</v>
      </c>
      <c r="W1463" s="1008" t="s">
        <v>546</v>
      </c>
      <c r="X1463" s="1008" t="s">
        <v>670</v>
      </c>
      <c r="Y1463" s="1008" t="s">
        <v>670</v>
      </c>
      <c r="Z1463" s="1008" t="s">
        <v>670</v>
      </c>
      <c r="AA1463" s="1008"/>
      <c r="AB1463" s="1008" t="s">
        <v>670</v>
      </c>
      <c r="AC1463" s="1008"/>
      <c r="AD1463" s="1008"/>
      <c r="AE1463" s="1008"/>
      <c r="AF1463" s="1008" t="s">
        <v>670</v>
      </c>
      <c r="AG1463" s="1008"/>
      <c r="AH1463" s="1008"/>
      <c r="AI1463" s="1008"/>
    </row>
    <row r="1464" spans="1:35">
      <c r="A1464" s="1008">
        <v>27006</v>
      </c>
      <c r="B1464" s="1008">
        <v>252</v>
      </c>
      <c r="C1464" s="1008">
        <v>9</v>
      </c>
      <c r="D1464" s="1009">
        <v>17510299</v>
      </c>
      <c r="E1464" s="1009">
        <v>17510228</v>
      </c>
      <c r="F1464" s="1007" t="s">
        <v>3200</v>
      </c>
      <c r="G1464" s="1007">
        <v>8</v>
      </c>
      <c r="H1464" s="1010">
        <v>99999999</v>
      </c>
      <c r="I1464" s="1009">
        <v>17510228</v>
      </c>
      <c r="J1464" s="1007" t="s">
        <v>3200</v>
      </c>
      <c r="O1464" s="1007" t="s">
        <v>648</v>
      </c>
      <c r="P1464" s="1007" t="s">
        <v>648</v>
      </c>
      <c r="S1464" s="1008" t="s">
        <v>650</v>
      </c>
      <c r="T1464" s="1008" t="s">
        <v>654</v>
      </c>
      <c r="U1464" s="1008" t="s">
        <v>649</v>
      </c>
      <c r="V1464" s="1008" t="s">
        <v>648</v>
      </c>
      <c r="W1464" s="1008" t="s">
        <v>546</v>
      </c>
      <c r="X1464" s="1008" t="s">
        <v>670</v>
      </c>
      <c r="Y1464" s="1008" t="s">
        <v>670</v>
      </c>
      <c r="Z1464" s="1008" t="s">
        <v>670</v>
      </c>
      <c r="AA1464" s="1008"/>
      <c r="AB1464" s="1008" t="s">
        <v>670</v>
      </c>
      <c r="AC1464" s="1008"/>
      <c r="AD1464" s="1008"/>
      <c r="AE1464" s="1008"/>
      <c r="AF1464" s="1008" t="s">
        <v>670</v>
      </c>
      <c r="AG1464" s="1008"/>
      <c r="AH1464" s="1008"/>
      <c r="AI1464" s="1008"/>
    </row>
    <row r="1465" spans="1:35">
      <c r="A1465" s="1008">
        <v>27007</v>
      </c>
      <c r="B1465" s="1008">
        <v>253</v>
      </c>
      <c r="C1465" s="1008">
        <v>9</v>
      </c>
      <c r="D1465" s="1009">
        <v>17510299</v>
      </c>
      <c r="E1465" s="1009">
        <v>17510230</v>
      </c>
      <c r="F1465" s="1007" t="s">
        <v>3199</v>
      </c>
      <c r="G1465" s="1007">
        <v>8</v>
      </c>
      <c r="H1465" s="1010">
        <v>99999999</v>
      </c>
      <c r="I1465" s="1009">
        <v>17510230</v>
      </c>
      <c r="J1465" s="1007" t="s">
        <v>3199</v>
      </c>
      <c r="O1465" s="1007" t="s">
        <v>648</v>
      </c>
      <c r="P1465" s="1007" t="s">
        <v>648</v>
      </c>
      <c r="S1465" s="1008" t="s">
        <v>650</v>
      </c>
      <c r="T1465" s="1008" t="s">
        <v>654</v>
      </c>
      <c r="U1465" s="1008" t="s">
        <v>649</v>
      </c>
      <c r="V1465" s="1008" t="s">
        <v>648</v>
      </c>
      <c r="W1465" s="1008" t="s">
        <v>546</v>
      </c>
      <c r="X1465" s="1008" t="s">
        <v>670</v>
      </c>
      <c r="Y1465" s="1008" t="s">
        <v>670</v>
      </c>
      <c r="Z1465" s="1008" t="s">
        <v>670</v>
      </c>
      <c r="AA1465" s="1008"/>
      <c r="AB1465" s="1008" t="s">
        <v>670</v>
      </c>
      <c r="AC1465" s="1008"/>
      <c r="AD1465" s="1008"/>
      <c r="AE1465" s="1008"/>
      <c r="AF1465" s="1008" t="s">
        <v>670</v>
      </c>
      <c r="AG1465" s="1008"/>
      <c r="AH1465" s="1008"/>
      <c r="AI1465" s="1008"/>
    </row>
    <row r="1466" spans="1:35">
      <c r="A1466" s="1008">
        <v>27008</v>
      </c>
      <c r="B1466" s="1008">
        <v>254</v>
      </c>
      <c r="C1466" s="1008">
        <v>9</v>
      </c>
      <c r="D1466" s="1009">
        <v>17510299</v>
      </c>
      <c r="E1466" s="1009">
        <v>17510232</v>
      </c>
      <c r="F1466" s="1007" t="s">
        <v>3198</v>
      </c>
      <c r="G1466" s="1007">
        <v>8</v>
      </c>
      <c r="H1466" s="1010">
        <v>99999999</v>
      </c>
      <c r="I1466" s="1009">
        <v>17510232</v>
      </c>
      <c r="J1466" s="1007" t="s">
        <v>3198</v>
      </c>
      <c r="O1466" s="1007" t="s">
        <v>648</v>
      </c>
      <c r="P1466" s="1007" t="s">
        <v>648</v>
      </c>
      <c r="S1466" s="1008" t="s">
        <v>650</v>
      </c>
      <c r="T1466" s="1008" t="s">
        <v>654</v>
      </c>
      <c r="U1466" s="1008" t="s">
        <v>649</v>
      </c>
      <c r="V1466" s="1008" t="s">
        <v>648</v>
      </c>
      <c r="W1466" s="1008" t="s">
        <v>546</v>
      </c>
      <c r="X1466" s="1008" t="s">
        <v>670</v>
      </c>
      <c r="Y1466" s="1008" t="s">
        <v>670</v>
      </c>
      <c r="Z1466" s="1008" t="s">
        <v>670</v>
      </c>
      <c r="AA1466" s="1008"/>
      <c r="AB1466" s="1008" t="s">
        <v>670</v>
      </c>
      <c r="AC1466" s="1008"/>
      <c r="AD1466" s="1008"/>
      <c r="AE1466" s="1008"/>
      <c r="AF1466" s="1008" t="s">
        <v>670</v>
      </c>
      <c r="AG1466" s="1008"/>
      <c r="AH1466" s="1008"/>
      <c r="AI1466" s="1008"/>
    </row>
    <row r="1467" spans="1:35">
      <c r="A1467" s="1008">
        <v>27009</v>
      </c>
      <c r="B1467" s="1008">
        <v>255</v>
      </c>
      <c r="C1467" s="1008">
        <v>9</v>
      </c>
      <c r="D1467" s="1009">
        <v>17510299</v>
      </c>
      <c r="E1467" s="1009">
        <v>17510234</v>
      </c>
      <c r="F1467" s="1007" t="s">
        <v>3197</v>
      </c>
      <c r="G1467" s="1007">
        <v>8</v>
      </c>
      <c r="H1467" s="1010">
        <v>99999999</v>
      </c>
      <c r="I1467" s="1009">
        <v>17510234</v>
      </c>
      <c r="J1467" s="1007" t="s">
        <v>3197</v>
      </c>
      <c r="O1467" s="1007" t="s">
        <v>648</v>
      </c>
      <c r="P1467" s="1007" t="s">
        <v>648</v>
      </c>
      <c r="S1467" s="1008" t="s">
        <v>650</v>
      </c>
      <c r="T1467" s="1008" t="s">
        <v>654</v>
      </c>
      <c r="U1467" s="1008" t="s">
        <v>649</v>
      </c>
      <c r="V1467" s="1008" t="s">
        <v>648</v>
      </c>
      <c r="W1467" s="1008" t="s">
        <v>546</v>
      </c>
      <c r="X1467" s="1008" t="s">
        <v>670</v>
      </c>
      <c r="Y1467" s="1008" t="s">
        <v>670</v>
      </c>
      <c r="Z1467" s="1008" t="s">
        <v>670</v>
      </c>
      <c r="AA1467" s="1008"/>
      <c r="AB1467" s="1008" t="s">
        <v>670</v>
      </c>
      <c r="AC1467" s="1008"/>
      <c r="AD1467" s="1008"/>
      <c r="AE1467" s="1008"/>
      <c r="AF1467" s="1008" t="s">
        <v>670</v>
      </c>
      <c r="AG1467" s="1008"/>
      <c r="AH1467" s="1008"/>
      <c r="AI1467" s="1008"/>
    </row>
    <row r="1468" spans="1:35" ht="17.25" customHeight="1">
      <c r="A1468" s="1008">
        <v>27010</v>
      </c>
      <c r="B1468" s="1008">
        <v>256</v>
      </c>
      <c r="C1468" s="1008">
        <v>9</v>
      </c>
      <c r="D1468" s="1009">
        <v>17510299</v>
      </c>
      <c r="E1468" s="1009">
        <v>17510236</v>
      </c>
      <c r="F1468" s="1007" t="s">
        <v>3196</v>
      </c>
      <c r="G1468" s="1007">
        <v>8</v>
      </c>
      <c r="H1468" s="1010">
        <v>99999999</v>
      </c>
      <c r="I1468" s="1009">
        <v>17510236</v>
      </c>
      <c r="J1468" s="1007" t="s">
        <v>3196</v>
      </c>
      <c r="O1468" s="1007" t="s">
        <v>648</v>
      </c>
      <c r="P1468" s="1007" t="s">
        <v>648</v>
      </c>
      <c r="S1468" s="1008" t="s">
        <v>650</v>
      </c>
      <c r="T1468" s="1008" t="s">
        <v>654</v>
      </c>
      <c r="U1468" s="1008" t="s">
        <v>649</v>
      </c>
      <c r="V1468" s="1008" t="s">
        <v>648</v>
      </c>
      <c r="W1468" s="1008" t="s">
        <v>546</v>
      </c>
      <c r="X1468" s="1008" t="s">
        <v>670</v>
      </c>
      <c r="Y1468" s="1008" t="s">
        <v>670</v>
      </c>
      <c r="Z1468" s="1008" t="s">
        <v>670</v>
      </c>
      <c r="AA1468" s="1008"/>
      <c r="AB1468" s="1008" t="s">
        <v>670</v>
      </c>
      <c r="AC1468" s="1008"/>
      <c r="AD1468" s="1008"/>
      <c r="AE1468" s="1008"/>
      <c r="AF1468" s="1008" t="s">
        <v>670</v>
      </c>
      <c r="AG1468" s="1008"/>
      <c r="AH1468" s="1008"/>
      <c r="AI1468" s="1008"/>
    </row>
    <row r="1469" spans="1:35">
      <c r="A1469" s="1008">
        <v>27011</v>
      </c>
      <c r="B1469" s="1008">
        <v>257</v>
      </c>
      <c r="C1469" s="1008">
        <v>9</v>
      </c>
      <c r="D1469" s="1009">
        <v>17510299</v>
      </c>
      <c r="E1469" s="1009">
        <v>17510238</v>
      </c>
      <c r="F1469" s="1007" t="s">
        <v>3195</v>
      </c>
      <c r="G1469" s="1007">
        <v>8</v>
      </c>
      <c r="H1469" s="1010">
        <v>99999999</v>
      </c>
      <c r="I1469" s="1009">
        <v>17510238</v>
      </c>
      <c r="J1469" s="1007" t="s">
        <v>3195</v>
      </c>
      <c r="O1469" s="1007" t="s">
        <v>648</v>
      </c>
      <c r="P1469" s="1007" t="s">
        <v>648</v>
      </c>
      <c r="S1469" s="1008" t="s">
        <v>650</v>
      </c>
      <c r="T1469" s="1008" t="s">
        <v>654</v>
      </c>
      <c r="U1469" s="1008" t="s">
        <v>649</v>
      </c>
      <c r="V1469" s="1008" t="s">
        <v>648</v>
      </c>
      <c r="W1469" s="1008" t="s">
        <v>546</v>
      </c>
      <c r="X1469" s="1008" t="s">
        <v>670</v>
      </c>
      <c r="Y1469" s="1008" t="s">
        <v>670</v>
      </c>
      <c r="Z1469" s="1008" t="s">
        <v>670</v>
      </c>
      <c r="AA1469" s="1008"/>
      <c r="AB1469" s="1008" t="s">
        <v>670</v>
      </c>
      <c r="AC1469" s="1008"/>
      <c r="AD1469" s="1008"/>
      <c r="AE1469" s="1008"/>
      <c r="AF1469" s="1008" t="s">
        <v>670</v>
      </c>
      <c r="AG1469" s="1008"/>
      <c r="AH1469" s="1008"/>
      <c r="AI1469" s="1008"/>
    </row>
    <row r="1470" spans="1:35">
      <c r="A1470" s="1008">
        <v>27012</v>
      </c>
      <c r="B1470" s="1008">
        <v>258</v>
      </c>
      <c r="C1470" s="1008">
        <v>9</v>
      </c>
      <c r="D1470" s="1009">
        <v>17510299</v>
      </c>
      <c r="E1470" s="1009">
        <v>17510240</v>
      </c>
      <c r="F1470" s="1007" t="s">
        <v>3194</v>
      </c>
      <c r="G1470" s="1007">
        <v>8</v>
      </c>
      <c r="H1470" s="1010">
        <v>99999999</v>
      </c>
      <c r="I1470" s="1009">
        <v>17510240</v>
      </c>
      <c r="J1470" s="1007" t="s">
        <v>3194</v>
      </c>
      <c r="O1470" s="1007" t="s">
        <v>648</v>
      </c>
      <c r="P1470" s="1007" t="s">
        <v>648</v>
      </c>
      <c r="S1470" s="1008" t="s">
        <v>650</v>
      </c>
      <c r="T1470" s="1008" t="s">
        <v>654</v>
      </c>
      <c r="U1470" s="1008" t="s">
        <v>649</v>
      </c>
      <c r="V1470" s="1008" t="s">
        <v>648</v>
      </c>
      <c r="W1470" s="1008" t="s">
        <v>546</v>
      </c>
      <c r="X1470" s="1008" t="s">
        <v>670</v>
      </c>
      <c r="Y1470" s="1008" t="s">
        <v>670</v>
      </c>
      <c r="Z1470" s="1008" t="s">
        <v>670</v>
      </c>
      <c r="AA1470" s="1008"/>
      <c r="AB1470" s="1008" t="s">
        <v>670</v>
      </c>
      <c r="AC1470" s="1008"/>
      <c r="AD1470" s="1008"/>
      <c r="AE1470" s="1008"/>
      <c r="AF1470" s="1008" t="s">
        <v>670</v>
      </c>
      <c r="AG1470" s="1008"/>
      <c r="AH1470" s="1008"/>
      <c r="AI1470" s="1008"/>
    </row>
    <row r="1471" spans="1:35">
      <c r="A1471" s="1008">
        <v>27013</v>
      </c>
      <c r="B1471" s="1008">
        <v>259</v>
      </c>
      <c r="C1471" s="1008">
        <v>9</v>
      </c>
      <c r="D1471" s="1009">
        <v>17510299</v>
      </c>
      <c r="E1471" s="1009">
        <v>17510242</v>
      </c>
      <c r="F1471" s="1007" t="s">
        <v>3193</v>
      </c>
      <c r="G1471" s="1007">
        <v>8</v>
      </c>
      <c r="H1471" s="1010">
        <v>99999999</v>
      </c>
      <c r="I1471" s="1009">
        <v>17510242</v>
      </c>
      <c r="J1471" s="1007" t="s">
        <v>3193</v>
      </c>
      <c r="O1471" s="1007" t="s">
        <v>648</v>
      </c>
      <c r="P1471" s="1007" t="s">
        <v>648</v>
      </c>
      <c r="S1471" s="1008" t="s">
        <v>650</v>
      </c>
      <c r="T1471" s="1008" t="s">
        <v>654</v>
      </c>
      <c r="U1471" s="1008" t="s">
        <v>649</v>
      </c>
      <c r="V1471" s="1008" t="s">
        <v>648</v>
      </c>
      <c r="W1471" s="1008" t="s">
        <v>546</v>
      </c>
      <c r="X1471" s="1008" t="s">
        <v>670</v>
      </c>
      <c r="Y1471" s="1008" t="s">
        <v>670</v>
      </c>
      <c r="Z1471" s="1008" t="s">
        <v>670</v>
      </c>
      <c r="AA1471" s="1008"/>
      <c r="AB1471" s="1008" t="s">
        <v>670</v>
      </c>
      <c r="AC1471" s="1008"/>
      <c r="AD1471" s="1008"/>
      <c r="AE1471" s="1008"/>
      <c r="AF1471" s="1008" t="s">
        <v>670</v>
      </c>
      <c r="AG1471" s="1008"/>
      <c r="AH1471" s="1008"/>
      <c r="AI1471" s="1008"/>
    </row>
    <row r="1472" spans="1:35">
      <c r="A1472" s="1008">
        <v>27014</v>
      </c>
      <c r="B1472" s="1008">
        <v>260</v>
      </c>
      <c r="C1472" s="1008">
        <v>9</v>
      </c>
      <c r="D1472" s="1009">
        <v>17510299</v>
      </c>
      <c r="E1472" s="1009">
        <v>17510244</v>
      </c>
      <c r="F1472" s="1007" t="s">
        <v>3192</v>
      </c>
      <c r="G1472" s="1007">
        <v>8</v>
      </c>
      <c r="H1472" s="1010">
        <v>99999999</v>
      </c>
      <c r="I1472" s="1009">
        <v>17510244</v>
      </c>
      <c r="J1472" s="1007" t="s">
        <v>3192</v>
      </c>
      <c r="O1472" s="1007" t="s">
        <v>648</v>
      </c>
      <c r="P1472" s="1007" t="s">
        <v>648</v>
      </c>
      <c r="S1472" s="1008" t="s">
        <v>650</v>
      </c>
      <c r="T1472" s="1008" t="s">
        <v>654</v>
      </c>
      <c r="U1472" s="1008" t="s">
        <v>649</v>
      </c>
      <c r="V1472" s="1008" t="s">
        <v>648</v>
      </c>
      <c r="W1472" s="1008" t="s">
        <v>546</v>
      </c>
      <c r="X1472" s="1008" t="s">
        <v>670</v>
      </c>
      <c r="Y1472" s="1008" t="s">
        <v>670</v>
      </c>
      <c r="Z1472" s="1008" t="s">
        <v>670</v>
      </c>
      <c r="AA1472" s="1008"/>
      <c r="AB1472" s="1008" t="s">
        <v>670</v>
      </c>
      <c r="AC1472" s="1008"/>
      <c r="AD1472" s="1008"/>
      <c r="AE1472" s="1008"/>
      <c r="AF1472" s="1008" t="s">
        <v>670</v>
      </c>
      <c r="AG1472" s="1008"/>
      <c r="AH1472" s="1008"/>
      <c r="AI1472" s="1008"/>
    </row>
    <row r="1473" spans="1:35">
      <c r="A1473" s="1008">
        <v>27015</v>
      </c>
      <c r="B1473" s="1008">
        <v>261</v>
      </c>
      <c r="C1473" s="1008">
        <v>9</v>
      </c>
      <c r="D1473" s="1009">
        <v>17510299</v>
      </c>
      <c r="E1473" s="1009">
        <v>17510246</v>
      </c>
      <c r="F1473" s="1007" t="s">
        <v>3191</v>
      </c>
      <c r="G1473" s="1007">
        <v>8</v>
      </c>
      <c r="H1473" s="1010">
        <v>99999999</v>
      </c>
      <c r="I1473" s="1009">
        <v>17510246</v>
      </c>
      <c r="J1473" s="1007" t="s">
        <v>3191</v>
      </c>
      <c r="O1473" s="1007" t="s">
        <v>648</v>
      </c>
      <c r="P1473" s="1007" t="s">
        <v>648</v>
      </c>
      <c r="S1473" s="1008" t="s">
        <v>650</v>
      </c>
      <c r="T1473" s="1008" t="s">
        <v>654</v>
      </c>
      <c r="U1473" s="1008" t="s">
        <v>649</v>
      </c>
      <c r="V1473" s="1008" t="s">
        <v>648</v>
      </c>
      <c r="W1473" s="1008" t="s">
        <v>546</v>
      </c>
      <c r="X1473" s="1008" t="s">
        <v>670</v>
      </c>
      <c r="Y1473" s="1008" t="s">
        <v>670</v>
      </c>
      <c r="Z1473" s="1008" t="s">
        <v>670</v>
      </c>
      <c r="AA1473" s="1008"/>
      <c r="AB1473" s="1008" t="s">
        <v>670</v>
      </c>
      <c r="AC1473" s="1008"/>
      <c r="AD1473" s="1008"/>
      <c r="AE1473" s="1008"/>
      <c r="AF1473" s="1008" t="s">
        <v>670</v>
      </c>
      <c r="AG1473" s="1008"/>
      <c r="AH1473" s="1008"/>
      <c r="AI1473" s="1008"/>
    </row>
    <row r="1474" spans="1:35">
      <c r="A1474" s="1008">
        <v>27112</v>
      </c>
      <c r="B1474" s="1008">
        <v>5945</v>
      </c>
      <c r="C1474" s="1008">
        <v>9</v>
      </c>
      <c r="D1474" s="1009">
        <v>17510299</v>
      </c>
      <c r="E1474" s="1009">
        <v>17510247</v>
      </c>
      <c r="F1474" s="1007" t="s">
        <v>3190</v>
      </c>
      <c r="G1474" s="1007">
        <v>8</v>
      </c>
      <c r="H1474" s="1010">
        <v>99999999</v>
      </c>
      <c r="I1474" s="1009">
        <v>17510247</v>
      </c>
      <c r="J1474" s="1007" t="s">
        <v>3189</v>
      </c>
      <c r="O1474" s="1007" t="s">
        <v>648</v>
      </c>
      <c r="P1474" s="1007" t="s">
        <v>648</v>
      </c>
      <c r="S1474" s="1008" t="s">
        <v>650</v>
      </c>
      <c r="T1474" s="1008" t="s">
        <v>654</v>
      </c>
      <c r="U1474" s="1008" t="s">
        <v>649</v>
      </c>
      <c r="V1474" s="1008" t="s">
        <v>648</v>
      </c>
      <c r="W1474" s="1008" t="s">
        <v>546</v>
      </c>
      <c r="X1474" s="1008" t="s">
        <v>670</v>
      </c>
      <c r="Y1474" s="1008" t="s">
        <v>670</v>
      </c>
      <c r="Z1474" s="1008" t="s">
        <v>670</v>
      </c>
      <c r="AA1474" s="1008"/>
      <c r="AB1474" s="1008" t="s">
        <v>670</v>
      </c>
      <c r="AC1474" s="1008"/>
      <c r="AD1474" s="1008"/>
      <c r="AE1474" s="1008"/>
      <c r="AF1474" s="1008" t="s">
        <v>670</v>
      </c>
      <c r="AG1474" s="1008"/>
      <c r="AH1474" s="1008"/>
      <c r="AI1474" s="1008"/>
    </row>
    <row r="1475" spans="1:35">
      <c r="A1475" s="1008">
        <v>27016</v>
      </c>
      <c r="B1475" s="1008">
        <v>262</v>
      </c>
      <c r="C1475" s="1008">
        <v>9</v>
      </c>
      <c r="D1475" s="1009">
        <v>17510299</v>
      </c>
      <c r="E1475" s="1009">
        <v>17510248</v>
      </c>
      <c r="F1475" s="1007" t="s">
        <v>3188</v>
      </c>
      <c r="G1475" s="1007">
        <v>8</v>
      </c>
      <c r="H1475" s="1010">
        <v>99999999</v>
      </c>
      <c r="I1475" s="1009">
        <v>17510248</v>
      </c>
      <c r="J1475" s="1007" t="s">
        <v>3188</v>
      </c>
      <c r="O1475" s="1007" t="s">
        <v>648</v>
      </c>
      <c r="P1475" s="1007" t="s">
        <v>648</v>
      </c>
      <c r="S1475" s="1008" t="s">
        <v>650</v>
      </c>
      <c r="T1475" s="1008" t="s">
        <v>654</v>
      </c>
      <c r="U1475" s="1008" t="s">
        <v>649</v>
      </c>
      <c r="V1475" s="1008" t="s">
        <v>648</v>
      </c>
      <c r="W1475" s="1008" t="s">
        <v>546</v>
      </c>
      <c r="X1475" s="1008" t="s">
        <v>670</v>
      </c>
      <c r="Y1475" s="1008" t="s">
        <v>670</v>
      </c>
      <c r="Z1475" s="1008" t="s">
        <v>670</v>
      </c>
      <c r="AA1475" s="1008"/>
      <c r="AB1475" s="1008" t="s">
        <v>670</v>
      </c>
      <c r="AC1475" s="1008"/>
      <c r="AD1475" s="1008"/>
      <c r="AE1475" s="1008"/>
      <c r="AF1475" s="1008" t="s">
        <v>670</v>
      </c>
      <c r="AG1475" s="1008"/>
      <c r="AH1475" s="1008"/>
      <c r="AI1475" s="1008"/>
    </row>
    <row r="1476" spans="1:35">
      <c r="A1476" s="1008">
        <v>27107</v>
      </c>
      <c r="B1476" s="1008">
        <v>5940</v>
      </c>
      <c r="C1476" s="1008">
        <v>9</v>
      </c>
      <c r="D1476" s="1009">
        <v>17510299</v>
      </c>
      <c r="E1476" s="1009">
        <v>17510249</v>
      </c>
      <c r="F1476" s="1007" t="s">
        <v>3187</v>
      </c>
      <c r="G1476" s="1007">
        <v>8</v>
      </c>
      <c r="H1476" s="1010">
        <v>99999999</v>
      </c>
      <c r="I1476" s="1009">
        <v>17510249</v>
      </c>
      <c r="J1476" s="1007" t="s">
        <v>3187</v>
      </c>
      <c r="O1476" s="1007" t="s">
        <v>648</v>
      </c>
      <c r="P1476" s="1007" t="s">
        <v>648</v>
      </c>
      <c r="S1476" s="1008" t="s">
        <v>650</v>
      </c>
      <c r="T1476" s="1008" t="s">
        <v>654</v>
      </c>
      <c r="U1476" s="1008" t="s">
        <v>649</v>
      </c>
      <c r="V1476" s="1008" t="s">
        <v>648</v>
      </c>
      <c r="W1476" s="1008" t="s">
        <v>546</v>
      </c>
      <c r="X1476" s="1008" t="s">
        <v>670</v>
      </c>
      <c r="Y1476" s="1008" t="s">
        <v>670</v>
      </c>
      <c r="Z1476" s="1008" t="s">
        <v>670</v>
      </c>
      <c r="AA1476" s="1008"/>
      <c r="AB1476" s="1008" t="s">
        <v>670</v>
      </c>
      <c r="AC1476" s="1008"/>
      <c r="AD1476" s="1008" t="s">
        <v>670</v>
      </c>
      <c r="AE1476" s="1008"/>
      <c r="AF1476" s="1008" t="s">
        <v>670</v>
      </c>
      <c r="AG1476" s="1008"/>
      <c r="AH1476" s="1008"/>
      <c r="AI1476" s="1008"/>
    </row>
    <row r="1477" spans="1:35">
      <c r="A1477" s="1008">
        <v>27017</v>
      </c>
      <c r="B1477" s="1008">
        <v>263</v>
      </c>
      <c r="C1477" s="1008">
        <v>9</v>
      </c>
      <c r="D1477" s="1009">
        <v>17510299</v>
      </c>
      <c r="E1477" s="1009">
        <v>17510250</v>
      </c>
      <c r="F1477" s="1007" t="s">
        <v>3186</v>
      </c>
      <c r="G1477" s="1007">
        <v>8</v>
      </c>
      <c r="H1477" s="1010">
        <v>99999999</v>
      </c>
      <c r="I1477" s="1009">
        <v>17510250</v>
      </c>
      <c r="J1477" s="1007" t="s">
        <v>3186</v>
      </c>
      <c r="O1477" s="1007" t="s">
        <v>648</v>
      </c>
      <c r="P1477" s="1007" t="s">
        <v>648</v>
      </c>
      <c r="S1477" s="1008" t="s">
        <v>650</v>
      </c>
      <c r="T1477" s="1008" t="s">
        <v>654</v>
      </c>
      <c r="U1477" s="1008" t="s">
        <v>649</v>
      </c>
      <c r="V1477" s="1008" t="s">
        <v>648</v>
      </c>
      <c r="W1477" s="1008" t="s">
        <v>546</v>
      </c>
      <c r="X1477" s="1008" t="s">
        <v>670</v>
      </c>
      <c r="Y1477" s="1008" t="s">
        <v>670</v>
      </c>
      <c r="Z1477" s="1008" t="s">
        <v>670</v>
      </c>
      <c r="AA1477" s="1008"/>
      <c r="AB1477" s="1008" t="s">
        <v>670</v>
      </c>
      <c r="AC1477" s="1008"/>
      <c r="AD1477" s="1008"/>
      <c r="AE1477" s="1008"/>
      <c r="AF1477" s="1008" t="s">
        <v>670</v>
      </c>
      <c r="AG1477" s="1008"/>
      <c r="AH1477" s="1008"/>
      <c r="AI1477" s="1008"/>
    </row>
    <row r="1478" spans="1:35">
      <c r="A1478" s="1008">
        <v>24263</v>
      </c>
      <c r="B1478" s="1008">
        <v>517</v>
      </c>
      <c r="C1478" s="1008">
        <v>9</v>
      </c>
      <c r="D1478" s="1009">
        <v>17510299</v>
      </c>
      <c r="E1478" s="1009">
        <v>17510252</v>
      </c>
      <c r="F1478" s="1007" t="s">
        <v>3185</v>
      </c>
      <c r="G1478" s="1007">
        <v>8</v>
      </c>
      <c r="H1478" s="1010">
        <v>99999999</v>
      </c>
      <c r="I1478" s="1009">
        <v>17510252</v>
      </c>
      <c r="J1478" s="1007" t="s">
        <v>3185</v>
      </c>
      <c r="O1478" s="1007" t="s">
        <v>648</v>
      </c>
      <c r="P1478" s="1007" t="s">
        <v>648</v>
      </c>
      <c r="S1478" s="1008" t="s">
        <v>650</v>
      </c>
      <c r="T1478" s="1008" t="s">
        <v>654</v>
      </c>
      <c r="U1478" s="1008" t="s">
        <v>649</v>
      </c>
      <c r="V1478" s="1008" t="s">
        <v>648</v>
      </c>
      <c r="W1478" s="1008" t="s">
        <v>546</v>
      </c>
      <c r="X1478" s="1008" t="s">
        <v>670</v>
      </c>
      <c r="Y1478" s="1008" t="s">
        <v>670</v>
      </c>
      <c r="Z1478" s="1008" t="s">
        <v>670</v>
      </c>
      <c r="AA1478" s="1008"/>
      <c r="AB1478" s="1008" t="s">
        <v>670</v>
      </c>
      <c r="AC1478" s="1008"/>
      <c r="AD1478" s="1008"/>
      <c r="AE1478" s="1008"/>
      <c r="AF1478" s="1008" t="s">
        <v>670</v>
      </c>
      <c r="AG1478" s="1008"/>
      <c r="AH1478" s="1008"/>
      <c r="AI1478" s="1008"/>
    </row>
    <row r="1479" spans="1:35">
      <c r="A1479" s="1008">
        <v>27664</v>
      </c>
      <c r="B1479" s="1008">
        <v>6494</v>
      </c>
      <c r="C1479" s="1008">
        <v>9</v>
      </c>
      <c r="D1479" s="1009">
        <v>17510299</v>
      </c>
      <c r="E1479" s="1009">
        <v>17510270</v>
      </c>
      <c r="F1479" s="1007" t="s">
        <v>3184</v>
      </c>
      <c r="G1479" s="1007">
        <v>8</v>
      </c>
      <c r="H1479" s="1010">
        <v>99999999</v>
      </c>
      <c r="I1479" s="1009">
        <v>17510270</v>
      </c>
      <c r="J1479" s="1007" t="s">
        <v>3184</v>
      </c>
      <c r="O1479" s="1007" t="s">
        <v>648</v>
      </c>
      <c r="P1479" s="1007" t="s">
        <v>648</v>
      </c>
      <c r="S1479" s="1008" t="s">
        <v>650</v>
      </c>
      <c r="T1479" s="1008" t="s">
        <v>654</v>
      </c>
      <c r="U1479" s="1008" t="s">
        <v>649</v>
      </c>
      <c r="V1479" s="1008" t="s">
        <v>648</v>
      </c>
      <c r="W1479" s="1008" t="s">
        <v>546</v>
      </c>
      <c r="X1479" s="1008" t="s">
        <v>670</v>
      </c>
      <c r="Y1479" s="1008"/>
      <c r="Z1479" s="1008" t="s">
        <v>670</v>
      </c>
      <c r="AA1479" s="1008"/>
      <c r="AB1479" s="1008"/>
      <c r="AC1479" s="1008"/>
      <c r="AD1479" s="1008"/>
      <c r="AE1479" s="1008"/>
      <c r="AF1479" s="1008"/>
      <c r="AG1479" s="1008"/>
      <c r="AH1479" s="1008"/>
      <c r="AI1479" s="1008"/>
    </row>
    <row r="1480" spans="1:35">
      <c r="A1480" s="1008">
        <v>27665</v>
      </c>
      <c r="B1480" s="1008">
        <v>6495</v>
      </c>
      <c r="C1480" s="1008">
        <v>9</v>
      </c>
      <c r="D1480" s="1009">
        <v>17510299</v>
      </c>
      <c r="E1480" s="1009">
        <v>17510272</v>
      </c>
      <c r="F1480" s="1007" t="s">
        <v>3183</v>
      </c>
      <c r="G1480" s="1007">
        <v>8</v>
      </c>
      <c r="H1480" s="1010">
        <v>99999999</v>
      </c>
      <c r="I1480" s="1009">
        <v>17510272</v>
      </c>
      <c r="J1480" s="1007" t="s">
        <v>3183</v>
      </c>
      <c r="O1480" s="1007" t="s">
        <v>648</v>
      </c>
      <c r="P1480" s="1007" t="s">
        <v>648</v>
      </c>
      <c r="S1480" s="1008" t="s">
        <v>650</v>
      </c>
      <c r="T1480" s="1008" t="s">
        <v>654</v>
      </c>
      <c r="U1480" s="1008" t="s">
        <v>649</v>
      </c>
      <c r="V1480" s="1008" t="s">
        <v>648</v>
      </c>
      <c r="W1480" s="1008" t="s">
        <v>546</v>
      </c>
      <c r="X1480" s="1008" t="s">
        <v>670</v>
      </c>
      <c r="Y1480" s="1008"/>
      <c r="Z1480" s="1008" t="s">
        <v>670</v>
      </c>
      <c r="AA1480" s="1008"/>
      <c r="AB1480" s="1008"/>
      <c r="AC1480" s="1008"/>
      <c r="AD1480" s="1008"/>
      <c r="AE1480" s="1008"/>
      <c r="AF1480" s="1008"/>
      <c r="AG1480" s="1008"/>
      <c r="AH1480" s="1008"/>
      <c r="AI1480" s="1008"/>
    </row>
    <row r="1481" spans="1:35">
      <c r="A1481" s="1008">
        <v>27018</v>
      </c>
      <c r="C1481" s="1008">
        <v>8</v>
      </c>
      <c r="D1481" s="1009">
        <v>17519999</v>
      </c>
      <c r="E1481" s="1009">
        <v>17510299</v>
      </c>
      <c r="F1481" s="1007" t="s">
        <v>3182</v>
      </c>
      <c r="O1481" s="1007" t="s">
        <v>648</v>
      </c>
      <c r="P1481" s="1007" t="s">
        <v>648</v>
      </c>
      <c r="S1481" s="1008" t="s">
        <v>650</v>
      </c>
      <c r="T1481" s="1008" t="s">
        <v>21</v>
      </c>
      <c r="U1481" s="1008" t="s">
        <v>649</v>
      </c>
      <c r="V1481" s="1008" t="s">
        <v>648</v>
      </c>
      <c r="W1481" s="1008" t="s">
        <v>546</v>
      </c>
      <c r="X1481" s="1008"/>
      <c r="Y1481" s="1008"/>
      <c r="Z1481" s="1008"/>
      <c r="AA1481" s="1008"/>
      <c r="AB1481" s="1008"/>
      <c r="AC1481" s="1008"/>
      <c r="AD1481" s="1008"/>
      <c r="AE1481" s="1008"/>
      <c r="AF1481" s="1008"/>
      <c r="AG1481" s="1008"/>
      <c r="AH1481" s="1008"/>
      <c r="AI1481" s="1008"/>
    </row>
    <row r="1482" spans="1:35">
      <c r="A1482" s="1008">
        <v>24264</v>
      </c>
      <c r="B1482" s="1008">
        <v>1735</v>
      </c>
      <c r="C1482" s="1008">
        <v>7</v>
      </c>
      <c r="D1482" s="1009">
        <v>17519999</v>
      </c>
      <c r="E1482" s="1009">
        <v>17510400</v>
      </c>
      <c r="F1482" s="1007" t="s">
        <v>3181</v>
      </c>
      <c r="G1482" s="1007">
        <v>7</v>
      </c>
      <c r="H1482" s="1010">
        <v>99999999</v>
      </c>
      <c r="I1482" s="1009">
        <v>17510400</v>
      </c>
      <c r="J1482" s="1007" t="s">
        <v>3181</v>
      </c>
      <c r="O1482" s="1007" t="s">
        <v>648</v>
      </c>
      <c r="P1482" s="1007" t="s">
        <v>648</v>
      </c>
      <c r="S1482" s="1008" t="s">
        <v>650</v>
      </c>
      <c r="T1482" s="1008" t="s">
        <v>654</v>
      </c>
      <c r="U1482" s="1008" t="s">
        <v>649</v>
      </c>
      <c r="V1482" s="1008" t="s">
        <v>648</v>
      </c>
      <c r="W1482" s="1008" t="s">
        <v>546</v>
      </c>
      <c r="X1482" s="1008" t="s">
        <v>670</v>
      </c>
      <c r="Y1482" s="1008" t="s">
        <v>670</v>
      </c>
      <c r="Z1482" s="1008" t="s">
        <v>670</v>
      </c>
      <c r="AA1482" s="1008" t="s">
        <v>670</v>
      </c>
      <c r="AB1482" s="1008" t="s">
        <v>670</v>
      </c>
      <c r="AC1482" s="1008" t="s">
        <v>670</v>
      </c>
      <c r="AD1482" s="1008" t="s">
        <v>670</v>
      </c>
      <c r="AE1482" s="1008"/>
      <c r="AF1482" s="1008" t="s">
        <v>670</v>
      </c>
      <c r="AG1482" s="1008"/>
      <c r="AH1482" s="1008"/>
      <c r="AI1482" s="1008"/>
    </row>
    <row r="1483" spans="1:35">
      <c r="A1483" s="1008">
        <v>24265</v>
      </c>
      <c r="B1483" s="1008">
        <v>4975</v>
      </c>
      <c r="C1483" s="1008">
        <v>7</v>
      </c>
      <c r="D1483" s="1009">
        <v>17519999</v>
      </c>
      <c r="E1483" s="1009">
        <v>17510800</v>
      </c>
      <c r="F1483" s="1007" t="s">
        <v>3180</v>
      </c>
      <c r="G1483" s="1007">
        <v>7</v>
      </c>
      <c r="H1483" s="1010">
        <v>99999999</v>
      </c>
      <c r="I1483" s="1009">
        <v>17510800</v>
      </c>
      <c r="J1483" s="1007" t="s">
        <v>3180</v>
      </c>
      <c r="O1483" s="1007" t="s">
        <v>648</v>
      </c>
      <c r="P1483" s="1007" t="s">
        <v>648</v>
      </c>
      <c r="S1483" s="1008" t="s">
        <v>650</v>
      </c>
      <c r="T1483" s="1008" t="s">
        <v>654</v>
      </c>
      <c r="U1483" s="1008" t="s">
        <v>649</v>
      </c>
      <c r="V1483" s="1008" t="s">
        <v>648</v>
      </c>
      <c r="W1483" s="1008" t="s">
        <v>546</v>
      </c>
      <c r="X1483" s="1008" t="s">
        <v>670</v>
      </c>
      <c r="Y1483" s="1008" t="s">
        <v>670</v>
      </c>
      <c r="Z1483" s="1008" t="s">
        <v>670</v>
      </c>
      <c r="AA1483" s="1008" t="s">
        <v>670</v>
      </c>
      <c r="AB1483" s="1008" t="s">
        <v>670</v>
      </c>
      <c r="AC1483" s="1008" t="s">
        <v>670</v>
      </c>
      <c r="AD1483" s="1008" t="s">
        <v>670</v>
      </c>
      <c r="AE1483" s="1008"/>
      <c r="AF1483" s="1008" t="s">
        <v>670</v>
      </c>
      <c r="AG1483" s="1008"/>
      <c r="AH1483" s="1008"/>
      <c r="AI1483" s="1008"/>
    </row>
    <row r="1484" spans="1:35">
      <c r="A1484" s="1008">
        <v>24266</v>
      </c>
      <c r="C1484" s="1008">
        <v>6</v>
      </c>
      <c r="D1484" s="1009">
        <v>17599999</v>
      </c>
      <c r="E1484" s="1009">
        <v>17519999</v>
      </c>
      <c r="F1484" s="1007" t="s">
        <v>3179</v>
      </c>
      <c r="O1484" s="1007" t="s">
        <v>648</v>
      </c>
      <c r="P1484" s="1007" t="s">
        <v>648</v>
      </c>
      <c r="S1484" s="1008" t="s">
        <v>650</v>
      </c>
      <c r="T1484" s="1008" t="s">
        <v>21</v>
      </c>
      <c r="U1484" s="1008" t="s">
        <v>649</v>
      </c>
      <c r="V1484" s="1008" t="s">
        <v>648</v>
      </c>
      <c r="W1484" s="1008" t="s">
        <v>546</v>
      </c>
      <c r="X1484" s="1008"/>
      <c r="Y1484" s="1008"/>
      <c r="Z1484" s="1008"/>
      <c r="AA1484" s="1008"/>
      <c r="AB1484" s="1008"/>
      <c r="AC1484" s="1008"/>
      <c r="AD1484" s="1008"/>
      <c r="AE1484" s="1008"/>
      <c r="AF1484" s="1008"/>
      <c r="AG1484" s="1008"/>
      <c r="AH1484" s="1008"/>
      <c r="AI1484" s="1008"/>
    </row>
    <row r="1485" spans="1:35">
      <c r="A1485" s="1008">
        <v>24267</v>
      </c>
      <c r="C1485" s="1008">
        <v>6</v>
      </c>
      <c r="D1485" s="1009">
        <v>17529999</v>
      </c>
      <c r="E1485" s="1009">
        <v>17520000</v>
      </c>
      <c r="F1485" s="1007" t="s">
        <v>3178</v>
      </c>
      <c r="O1485" s="1007" t="s">
        <v>648</v>
      </c>
      <c r="P1485" s="1007" t="s">
        <v>648</v>
      </c>
      <c r="S1485" s="1008" t="s">
        <v>650</v>
      </c>
      <c r="T1485" s="1008" t="s">
        <v>675</v>
      </c>
      <c r="U1485" s="1008" t="s">
        <v>649</v>
      </c>
      <c r="V1485" s="1008" t="s">
        <v>648</v>
      </c>
      <c r="W1485" s="1008" t="s">
        <v>546</v>
      </c>
      <c r="X1485" s="1008"/>
      <c r="Y1485" s="1008"/>
      <c r="Z1485" s="1008"/>
      <c r="AA1485" s="1008"/>
      <c r="AB1485" s="1008"/>
      <c r="AC1485" s="1008"/>
      <c r="AD1485" s="1008"/>
      <c r="AE1485" s="1008"/>
      <c r="AF1485" s="1008"/>
      <c r="AG1485" s="1008"/>
      <c r="AH1485" s="1008"/>
      <c r="AI1485" s="1008"/>
    </row>
    <row r="1486" spans="1:35">
      <c r="A1486" s="1008">
        <v>24268</v>
      </c>
      <c r="B1486" s="1008">
        <v>1737</v>
      </c>
      <c r="C1486" s="1008">
        <v>7</v>
      </c>
      <c r="D1486" s="1009">
        <v>17529999</v>
      </c>
      <c r="E1486" s="1009">
        <v>17520200</v>
      </c>
      <c r="F1486" s="1007" t="s">
        <v>3177</v>
      </c>
      <c r="G1486" s="1007">
        <v>7</v>
      </c>
      <c r="H1486" s="1010">
        <v>99999999</v>
      </c>
      <c r="I1486" s="1009">
        <v>17520200</v>
      </c>
      <c r="J1486" s="1007" t="s">
        <v>3177</v>
      </c>
      <c r="O1486" s="1007" t="s">
        <v>648</v>
      </c>
      <c r="P1486" s="1007" t="s">
        <v>648</v>
      </c>
      <c r="S1486" s="1008" t="s">
        <v>650</v>
      </c>
      <c r="T1486" s="1008" t="s">
        <v>654</v>
      </c>
      <c r="U1486" s="1008" t="s">
        <v>649</v>
      </c>
      <c r="V1486" s="1008" t="s">
        <v>648</v>
      </c>
      <c r="W1486" s="1008" t="s">
        <v>546</v>
      </c>
      <c r="X1486" s="1008" t="s">
        <v>670</v>
      </c>
      <c r="Y1486" s="1008" t="s">
        <v>670</v>
      </c>
      <c r="Z1486" s="1008" t="s">
        <v>670</v>
      </c>
      <c r="AA1486" s="1008"/>
      <c r="AB1486" s="1008" t="s">
        <v>670</v>
      </c>
      <c r="AC1486" s="1008"/>
      <c r="AD1486" s="1008"/>
      <c r="AE1486" s="1008"/>
      <c r="AF1486" s="1008" t="s">
        <v>670</v>
      </c>
      <c r="AG1486" s="1008"/>
      <c r="AH1486" s="1008"/>
      <c r="AI1486" s="1008"/>
    </row>
    <row r="1487" spans="1:35">
      <c r="A1487" s="1008">
        <v>24269</v>
      </c>
      <c r="B1487" s="1008">
        <v>1738</v>
      </c>
      <c r="C1487" s="1008">
        <v>7</v>
      </c>
      <c r="D1487" s="1009">
        <v>17529999</v>
      </c>
      <c r="E1487" s="1009">
        <v>17520400</v>
      </c>
      <c r="F1487" s="1007" t="s">
        <v>3176</v>
      </c>
      <c r="G1487" s="1007">
        <v>7</v>
      </c>
      <c r="H1487" s="1010">
        <v>99999999</v>
      </c>
      <c r="I1487" s="1009">
        <v>17520400</v>
      </c>
      <c r="J1487" s="1007" t="s">
        <v>3176</v>
      </c>
      <c r="O1487" s="1007" t="s">
        <v>648</v>
      </c>
      <c r="P1487" s="1007" t="s">
        <v>648</v>
      </c>
      <c r="S1487" s="1008" t="s">
        <v>650</v>
      </c>
      <c r="T1487" s="1008" t="s">
        <v>654</v>
      </c>
      <c r="U1487" s="1008" t="s">
        <v>649</v>
      </c>
      <c r="V1487" s="1008" t="s">
        <v>648</v>
      </c>
      <c r="W1487" s="1008" t="s">
        <v>546</v>
      </c>
      <c r="X1487" s="1008" t="s">
        <v>670</v>
      </c>
      <c r="Y1487" s="1008" t="s">
        <v>670</v>
      </c>
      <c r="Z1487" s="1008" t="s">
        <v>670</v>
      </c>
      <c r="AA1487" s="1008" t="s">
        <v>670</v>
      </c>
      <c r="AB1487" s="1008" t="s">
        <v>670</v>
      </c>
      <c r="AC1487" s="1008" t="s">
        <v>670</v>
      </c>
      <c r="AD1487" s="1008" t="s">
        <v>670</v>
      </c>
      <c r="AE1487" s="1008"/>
      <c r="AF1487" s="1008" t="s">
        <v>670</v>
      </c>
      <c r="AG1487" s="1008"/>
      <c r="AH1487" s="1008"/>
      <c r="AI1487" s="1008"/>
    </row>
    <row r="1488" spans="1:35">
      <c r="A1488" s="1008">
        <v>24270</v>
      </c>
      <c r="B1488" s="1008">
        <v>4977</v>
      </c>
      <c r="C1488" s="1008">
        <v>7</v>
      </c>
      <c r="D1488" s="1009">
        <v>17529999</v>
      </c>
      <c r="E1488" s="1009">
        <v>17520800</v>
      </c>
      <c r="F1488" s="1007" t="s">
        <v>3175</v>
      </c>
      <c r="G1488" s="1007">
        <v>7</v>
      </c>
      <c r="H1488" s="1010">
        <v>99999999</v>
      </c>
      <c r="I1488" s="1009">
        <v>17520800</v>
      </c>
      <c r="J1488" s="1007" t="s">
        <v>3175</v>
      </c>
      <c r="O1488" s="1007" t="s">
        <v>648</v>
      </c>
      <c r="P1488" s="1007" t="s">
        <v>648</v>
      </c>
      <c r="S1488" s="1008" t="s">
        <v>650</v>
      </c>
      <c r="T1488" s="1008" t="s">
        <v>654</v>
      </c>
      <c r="U1488" s="1008" t="s">
        <v>649</v>
      </c>
      <c r="V1488" s="1008" t="s">
        <v>648</v>
      </c>
      <c r="W1488" s="1008" t="s">
        <v>546</v>
      </c>
      <c r="X1488" s="1008" t="s">
        <v>670</v>
      </c>
      <c r="Y1488" s="1008" t="s">
        <v>670</v>
      </c>
      <c r="Z1488" s="1008" t="s">
        <v>670</v>
      </c>
      <c r="AA1488" s="1008" t="s">
        <v>670</v>
      </c>
      <c r="AB1488" s="1008" t="s">
        <v>670</v>
      </c>
      <c r="AC1488" s="1008" t="s">
        <v>670</v>
      </c>
      <c r="AD1488" s="1008" t="s">
        <v>670</v>
      </c>
      <c r="AE1488" s="1008"/>
      <c r="AF1488" s="1008" t="s">
        <v>670</v>
      </c>
      <c r="AG1488" s="1008"/>
      <c r="AH1488" s="1008"/>
      <c r="AI1488" s="1008"/>
    </row>
    <row r="1489" spans="1:35">
      <c r="A1489" s="1008">
        <v>24271</v>
      </c>
      <c r="C1489" s="1008">
        <v>6</v>
      </c>
      <c r="D1489" s="1009">
        <v>17599999</v>
      </c>
      <c r="E1489" s="1009">
        <v>17529999</v>
      </c>
      <c r="F1489" s="1007" t="s">
        <v>3174</v>
      </c>
      <c r="O1489" s="1007" t="s">
        <v>648</v>
      </c>
      <c r="P1489" s="1007" t="s">
        <v>648</v>
      </c>
      <c r="S1489" s="1008" t="s">
        <v>650</v>
      </c>
      <c r="T1489" s="1008" t="s">
        <v>21</v>
      </c>
      <c r="U1489" s="1008" t="s">
        <v>649</v>
      </c>
      <c r="V1489" s="1008" t="s">
        <v>648</v>
      </c>
      <c r="W1489" s="1008" t="s">
        <v>546</v>
      </c>
      <c r="X1489" s="1008"/>
      <c r="Y1489" s="1008"/>
      <c r="Z1489" s="1008"/>
      <c r="AA1489" s="1008"/>
      <c r="AB1489" s="1008"/>
      <c r="AC1489" s="1008"/>
      <c r="AD1489" s="1008"/>
      <c r="AE1489" s="1008"/>
      <c r="AF1489" s="1008"/>
      <c r="AG1489" s="1008"/>
      <c r="AH1489" s="1008"/>
      <c r="AI1489" s="1008"/>
    </row>
    <row r="1490" spans="1:35">
      <c r="A1490" s="1008">
        <v>24272</v>
      </c>
      <c r="C1490" s="1008">
        <v>6</v>
      </c>
      <c r="D1490" s="1009">
        <v>17539999</v>
      </c>
      <c r="E1490" s="1009">
        <v>17530000</v>
      </c>
      <c r="F1490" s="1007" t="s">
        <v>3173</v>
      </c>
      <c r="O1490" s="1007" t="s">
        <v>648</v>
      </c>
      <c r="P1490" s="1007" t="s">
        <v>648</v>
      </c>
      <c r="S1490" s="1008" t="s">
        <v>650</v>
      </c>
      <c r="T1490" s="1008" t="s">
        <v>675</v>
      </c>
      <c r="U1490" s="1008" t="s">
        <v>649</v>
      </c>
      <c r="V1490" s="1008" t="s">
        <v>648</v>
      </c>
      <c r="W1490" s="1008" t="s">
        <v>546</v>
      </c>
      <c r="X1490" s="1008"/>
      <c r="Y1490" s="1008"/>
      <c r="Z1490" s="1008"/>
      <c r="AA1490" s="1008"/>
      <c r="AB1490" s="1008"/>
      <c r="AC1490" s="1008"/>
      <c r="AD1490" s="1008"/>
      <c r="AE1490" s="1008"/>
      <c r="AF1490" s="1008"/>
      <c r="AG1490" s="1008"/>
      <c r="AH1490" s="1008"/>
      <c r="AI1490" s="1008"/>
    </row>
    <row r="1491" spans="1:35">
      <c r="A1491" s="1008">
        <v>24274</v>
      </c>
      <c r="B1491" s="1008">
        <v>1740</v>
      </c>
      <c r="C1491" s="1008">
        <v>7</v>
      </c>
      <c r="D1491" s="1009">
        <v>17539999</v>
      </c>
      <c r="E1491" s="1009">
        <v>17530200</v>
      </c>
      <c r="F1491" s="1007" t="s">
        <v>3172</v>
      </c>
      <c r="G1491" s="1007">
        <v>7</v>
      </c>
      <c r="H1491" s="1010">
        <v>99999999</v>
      </c>
      <c r="I1491" s="1009">
        <v>17530200</v>
      </c>
      <c r="J1491" s="1007" t="s">
        <v>3172</v>
      </c>
      <c r="O1491" s="1007" t="s">
        <v>648</v>
      </c>
      <c r="P1491" s="1007" t="s">
        <v>648</v>
      </c>
      <c r="S1491" s="1008" t="s">
        <v>650</v>
      </c>
      <c r="T1491" s="1008" t="s">
        <v>654</v>
      </c>
      <c r="U1491" s="1008" t="s">
        <v>649</v>
      </c>
      <c r="V1491" s="1008" t="s">
        <v>648</v>
      </c>
      <c r="W1491" s="1008" t="s">
        <v>546</v>
      </c>
      <c r="X1491" s="1008" t="s">
        <v>670</v>
      </c>
      <c r="Y1491" s="1008" t="s">
        <v>670</v>
      </c>
      <c r="Z1491" s="1008" t="s">
        <v>670</v>
      </c>
      <c r="AA1491" s="1008"/>
      <c r="AB1491" s="1008" t="s">
        <v>670</v>
      </c>
      <c r="AC1491" s="1008"/>
      <c r="AD1491" s="1008"/>
      <c r="AE1491" s="1008"/>
      <c r="AF1491" s="1008" t="s">
        <v>670</v>
      </c>
      <c r="AG1491" s="1008"/>
      <c r="AH1491" s="1008"/>
      <c r="AI1491" s="1008"/>
    </row>
    <row r="1492" spans="1:35">
      <c r="A1492" s="1008">
        <v>24275</v>
      </c>
      <c r="B1492" s="1008">
        <v>1741</v>
      </c>
      <c r="C1492" s="1008">
        <v>7</v>
      </c>
      <c r="D1492" s="1009">
        <v>17539999</v>
      </c>
      <c r="E1492" s="1009">
        <v>17530400</v>
      </c>
      <c r="F1492" s="1007" t="s">
        <v>3171</v>
      </c>
      <c r="G1492" s="1007">
        <v>7</v>
      </c>
      <c r="H1492" s="1010">
        <v>99999999</v>
      </c>
      <c r="I1492" s="1009">
        <v>17530400</v>
      </c>
      <c r="J1492" s="1007" t="s">
        <v>3171</v>
      </c>
      <c r="O1492" s="1007" t="s">
        <v>648</v>
      </c>
      <c r="P1492" s="1007" t="s">
        <v>648</v>
      </c>
      <c r="S1492" s="1008" t="s">
        <v>650</v>
      </c>
      <c r="T1492" s="1008" t="s">
        <v>654</v>
      </c>
      <c r="U1492" s="1008" t="s">
        <v>649</v>
      </c>
      <c r="V1492" s="1008" t="s">
        <v>648</v>
      </c>
      <c r="W1492" s="1008" t="s">
        <v>546</v>
      </c>
      <c r="X1492" s="1008" t="s">
        <v>670</v>
      </c>
      <c r="Y1492" s="1008" t="s">
        <v>670</v>
      </c>
      <c r="Z1492" s="1008" t="s">
        <v>670</v>
      </c>
      <c r="AA1492" s="1008" t="s">
        <v>670</v>
      </c>
      <c r="AB1492" s="1008" t="s">
        <v>670</v>
      </c>
      <c r="AC1492" s="1008" t="s">
        <v>670</v>
      </c>
      <c r="AD1492" s="1008" t="s">
        <v>670</v>
      </c>
      <c r="AE1492" s="1008"/>
      <c r="AF1492" s="1008" t="s">
        <v>670</v>
      </c>
      <c r="AG1492" s="1008"/>
      <c r="AH1492" s="1008"/>
      <c r="AI1492" s="1008"/>
    </row>
    <row r="1493" spans="1:35">
      <c r="A1493" s="1008">
        <v>24276</v>
      </c>
      <c r="B1493" s="1008">
        <v>4979</v>
      </c>
      <c r="C1493" s="1008">
        <v>7</v>
      </c>
      <c r="D1493" s="1009">
        <v>17539999</v>
      </c>
      <c r="E1493" s="1009">
        <v>17530800</v>
      </c>
      <c r="F1493" s="1007" t="s">
        <v>3170</v>
      </c>
      <c r="G1493" s="1007">
        <v>7</v>
      </c>
      <c r="H1493" s="1010">
        <v>99999999</v>
      </c>
      <c r="I1493" s="1009">
        <v>17530800</v>
      </c>
      <c r="J1493" s="1007" t="s">
        <v>3170</v>
      </c>
      <c r="O1493" s="1007" t="s">
        <v>648</v>
      </c>
      <c r="P1493" s="1007" t="s">
        <v>648</v>
      </c>
      <c r="S1493" s="1008" t="s">
        <v>650</v>
      </c>
      <c r="T1493" s="1008" t="s">
        <v>654</v>
      </c>
      <c r="U1493" s="1008" t="s">
        <v>649</v>
      </c>
      <c r="V1493" s="1008" t="s">
        <v>648</v>
      </c>
      <c r="W1493" s="1008" t="s">
        <v>546</v>
      </c>
      <c r="X1493" s="1008" t="s">
        <v>670</v>
      </c>
      <c r="Y1493" s="1008" t="s">
        <v>670</v>
      </c>
      <c r="Z1493" s="1008" t="s">
        <v>670</v>
      </c>
      <c r="AA1493" s="1008" t="s">
        <v>670</v>
      </c>
      <c r="AB1493" s="1008" t="s">
        <v>670</v>
      </c>
      <c r="AC1493" s="1008" t="s">
        <v>670</v>
      </c>
      <c r="AD1493" s="1008" t="s">
        <v>670</v>
      </c>
      <c r="AE1493" s="1008"/>
      <c r="AF1493" s="1008" t="s">
        <v>670</v>
      </c>
      <c r="AG1493" s="1008"/>
      <c r="AH1493" s="1008"/>
      <c r="AI1493" s="1008"/>
    </row>
    <row r="1494" spans="1:35">
      <c r="A1494" s="1008">
        <v>24277</v>
      </c>
      <c r="C1494" s="1008">
        <v>6</v>
      </c>
      <c r="D1494" s="1009">
        <v>17599999</v>
      </c>
      <c r="E1494" s="1009">
        <v>17539999</v>
      </c>
      <c r="F1494" s="1007" t="s">
        <v>3169</v>
      </c>
      <c r="O1494" s="1007" t="s">
        <v>648</v>
      </c>
      <c r="P1494" s="1007" t="s">
        <v>648</v>
      </c>
      <c r="S1494" s="1008" t="s">
        <v>650</v>
      </c>
      <c r="T1494" s="1008" t="s">
        <v>21</v>
      </c>
      <c r="U1494" s="1008" t="s">
        <v>649</v>
      </c>
      <c r="V1494" s="1008" t="s">
        <v>648</v>
      </c>
      <c r="W1494" s="1008" t="s">
        <v>546</v>
      </c>
      <c r="X1494" s="1008"/>
      <c r="Y1494" s="1008"/>
      <c r="Z1494" s="1008"/>
      <c r="AA1494" s="1008"/>
      <c r="AB1494" s="1008"/>
      <c r="AC1494" s="1008"/>
      <c r="AD1494" s="1008"/>
      <c r="AE1494" s="1008"/>
      <c r="AF1494" s="1008"/>
      <c r="AG1494" s="1008"/>
      <c r="AH1494" s="1008"/>
      <c r="AI1494" s="1008"/>
    </row>
    <row r="1495" spans="1:35">
      <c r="A1495" s="1008">
        <v>24278</v>
      </c>
      <c r="C1495" s="1008">
        <v>6</v>
      </c>
      <c r="D1495" s="1009">
        <v>17549999</v>
      </c>
      <c r="E1495" s="1009">
        <v>17540000</v>
      </c>
      <c r="F1495" s="1007" t="s">
        <v>3168</v>
      </c>
      <c r="O1495" s="1007" t="s">
        <v>648</v>
      </c>
      <c r="P1495" s="1007" t="s">
        <v>648</v>
      </c>
      <c r="S1495" s="1008" t="s">
        <v>650</v>
      </c>
      <c r="T1495" s="1008" t="s">
        <v>675</v>
      </c>
      <c r="U1495" s="1008" t="s">
        <v>649</v>
      </c>
      <c r="V1495" s="1008" t="s">
        <v>648</v>
      </c>
      <c r="W1495" s="1008" t="s">
        <v>546</v>
      </c>
      <c r="X1495" s="1008"/>
      <c r="Y1495" s="1008"/>
      <c r="Z1495" s="1008"/>
      <c r="AA1495" s="1008"/>
      <c r="AB1495" s="1008"/>
      <c r="AC1495" s="1008"/>
      <c r="AD1495" s="1008"/>
      <c r="AE1495" s="1008"/>
      <c r="AF1495" s="1008"/>
      <c r="AG1495" s="1008"/>
      <c r="AH1495" s="1008"/>
      <c r="AI1495" s="1008"/>
    </row>
    <row r="1496" spans="1:35">
      <c r="A1496" s="1008">
        <v>24280</v>
      </c>
      <c r="B1496" s="1008">
        <v>1743</v>
      </c>
      <c r="C1496" s="1008">
        <v>7</v>
      </c>
      <c r="D1496" s="1009">
        <v>17549999</v>
      </c>
      <c r="E1496" s="1009">
        <v>17540200</v>
      </c>
      <c r="F1496" s="1007" t="s">
        <v>3167</v>
      </c>
      <c r="G1496" s="1007">
        <v>7</v>
      </c>
      <c r="H1496" s="1010">
        <v>99999999</v>
      </c>
      <c r="I1496" s="1009">
        <v>17540200</v>
      </c>
      <c r="J1496" s="1007" t="s">
        <v>3167</v>
      </c>
      <c r="O1496" s="1007" t="s">
        <v>648</v>
      </c>
      <c r="P1496" s="1007" t="s">
        <v>648</v>
      </c>
      <c r="S1496" s="1008" t="s">
        <v>650</v>
      </c>
      <c r="T1496" s="1008" t="s">
        <v>654</v>
      </c>
      <c r="U1496" s="1008" t="s">
        <v>649</v>
      </c>
      <c r="V1496" s="1008" t="s">
        <v>648</v>
      </c>
      <c r="W1496" s="1008" t="s">
        <v>546</v>
      </c>
      <c r="X1496" s="1008" t="s">
        <v>670</v>
      </c>
      <c r="Y1496" s="1008" t="s">
        <v>670</v>
      </c>
      <c r="Z1496" s="1008" t="s">
        <v>670</v>
      </c>
      <c r="AA1496" s="1008"/>
      <c r="AB1496" s="1008" t="s">
        <v>670</v>
      </c>
      <c r="AC1496" s="1008"/>
      <c r="AD1496" s="1008"/>
      <c r="AE1496" s="1008"/>
      <c r="AF1496" s="1008" t="s">
        <v>670</v>
      </c>
      <c r="AG1496" s="1008"/>
      <c r="AH1496" s="1008"/>
      <c r="AI1496" s="1008"/>
    </row>
    <row r="1497" spans="1:35">
      <c r="A1497" s="1008">
        <v>24281</v>
      </c>
      <c r="B1497" s="1008">
        <v>1744</v>
      </c>
      <c r="C1497" s="1008">
        <v>7</v>
      </c>
      <c r="D1497" s="1009">
        <v>17549999</v>
      </c>
      <c r="E1497" s="1009">
        <v>17540400</v>
      </c>
      <c r="F1497" s="1007" t="s">
        <v>3166</v>
      </c>
      <c r="G1497" s="1007">
        <v>7</v>
      </c>
      <c r="H1497" s="1010">
        <v>99999999</v>
      </c>
      <c r="I1497" s="1009">
        <v>17540400</v>
      </c>
      <c r="J1497" s="1007" t="s">
        <v>3166</v>
      </c>
      <c r="O1497" s="1007" t="s">
        <v>648</v>
      </c>
      <c r="P1497" s="1007" t="s">
        <v>648</v>
      </c>
      <c r="S1497" s="1008" t="s">
        <v>650</v>
      </c>
      <c r="T1497" s="1008" t="s">
        <v>654</v>
      </c>
      <c r="U1497" s="1008" t="s">
        <v>649</v>
      </c>
      <c r="V1497" s="1008" t="s">
        <v>648</v>
      </c>
      <c r="W1497" s="1008" t="s">
        <v>546</v>
      </c>
      <c r="X1497" s="1008" t="s">
        <v>670</v>
      </c>
      <c r="Y1497" s="1008" t="s">
        <v>670</v>
      </c>
      <c r="Z1497" s="1008" t="s">
        <v>670</v>
      </c>
      <c r="AA1497" s="1008" t="s">
        <v>670</v>
      </c>
      <c r="AB1497" s="1008" t="s">
        <v>670</v>
      </c>
      <c r="AC1497" s="1008" t="s">
        <v>670</v>
      </c>
      <c r="AD1497" s="1008" t="s">
        <v>670</v>
      </c>
      <c r="AE1497" s="1008"/>
      <c r="AF1497" s="1008" t="s">
        <v>670</v>
      </c>
      <c r="AG1497" s="1008"/>
      <c r="AH1497" s="1008"/>
      <c r="AI1497" s="1008"/>
    </row>
    <row r="1498" spans="1:35">
      <c r="A1498" s="1008">
        <v>24282</v>
      </c>
      <c r="B1498" s="1008">
        <v>4981</v>
      </c>
      <c r="C1498" s="1008">
        <v>7</v>
      </c>
      <c r="D1498" s="1009">
        <v>17549999</v>
      </c>
      <c r="E1498" s="1009">
        <v>17540800</v>
      </c>
      <c r="F1498" s="1007" t="s">
        <v>3165</v>
      </c>
      <c r="G1498" s="1007">
        <v>7</v>
      </c>
      <c r="H1498" s="1010">
        <v>99999999</v>
      </c>
      <c r="I1498" s="1009">
        <v>17540800</v>
      </c>
      <c r="J1498" s="1007" t="s">
        <v>3165</v>
      </c>
      <c r="O1498" s="1007" t="s">
        <v>648</v>
      </c>
      <c r="P1498" s="1007" t="s">
        <v>648</v>
      </c>
      <c r="S1498" s="1008" t="s">
        <v>650</v>
      </c>
      <c r="T1498" s="1008" t="s">
        <v>654</v>
      </c>
      <c r="U1498" s="1008" t="s">
        <v>649</v>
      </c>
      <c r="V1498" s="1008" t="s">
        <v>648</v>
      </c>
      <c r="W1498" s="1008" t="s">
        <v>546</v>
      </c>
      <c r="X1498" s="1008" t="s">
        <v>670</v>
      </c>
      <c r="Y1498" s="1008" t="s">
        <v>670</v>
      </c>
      <c r="Z1498" s="1008" t="s">
        <v>670</v>
      </c>
      <c r="AA1498" s="1008" t="s">
        <v>670</v>
      </c>
      <c r="AB1498" s="1008" t="s">
        <v>670</v>
      </c>
      <c r="AC1498" s="1008" t="s">
        <v>670</v>
      </c>
      <c r="AD1498" s="1008" t="s">
        <v>670</v>
      </c>
      <c r="AE1498" s="1008"/>
      <c r="AF1498" s="1008" t="s">
        <v>670</v>
      </c>
      <c r="AG1498" s="1008"/>
      <c r="AH1498" s="1008"/>
      <c r="AI1498" s="1008"/>
    </row>
    <row r="1499" spans="1:35">
      <c r="A1499" s="1008">
        <v>24283</v>
      </c>
      <c r="C1499" s="1008">
        <v>6</v>
      </c>
      <c r="D1499" s="1009">
        <v>17599999</v>
      </c>
      <c r="E1499" s="1009">
        <v>17549999</v>
      </c>
      <c r="F1499" s="1007" t="s">
        <v>3164</v>
      </c>
      <c r="O1499" s="1007" t="s">
        <v>648</v>
      </c>
      <c r="P1499" s="1007" t="s">
        <v>648</v>
      </c>
      <c r="S1499" s="1008" t="s">
        <v>650</v>
      </c>
      <c r="T1499" s="1008" t="s">
        <v>21</v>
      </c>
      <c r="U1499" s="1008" t="s">
        <v>649</v>
      </c>
      <c r="V1499" s="1008" t="s">
        <v>648</v>
      </c>
      <c r="W1499" s="1008" t="s">
        <v>546</v>
      </c>
      <c r="X1499" s="1008"/>
      <c r="Y1499" s="1008"/>
      <c r="Z1499" s="1008"/>
      <c r="AA1499" s="1008"/>
      <c r="AB1499" s="1008"/>
      <c r="AC1499" s="1008"/>
      <c r="AD1499" s="1008"/>
      <c r="AE1499" s="1008"/>
      <c r="AF1499" s="1008"/>
      <c r="AG1499" s="1008"/>
      <c r="AH1499" s="1008"/>
      <c r="AI1499" s="1008"/>
    </row>
    <row r="1500" spans="1:35">
      <c r="A1500" s="1008">
        <v>24284</v>
      </c>
      <c r="C1500" s="1008">
        <v>6</v>
      </c>
      <c r="D1500" s="1009">
        <v>17559999</v>
      </c>
      <c r="E1500" s="1009">
        <v>17550000</v>
      </c>
      <c r="F1500" s="1007" t="s">
        <v>3163</v>
      </c>
      <c r="O1500" s="1007" t="s">
        <v>648</v>
      </c>
      <c r="P1500" s="1007" t="s">
        <v>648</v>
      </c>
      <c r="S1500" s="1008" t="s">
        <v>650</v>
      </c>
      <c r="T1500" s="1008" t="s">
        <v>675</v>
      </c>
      <c r="U1500" s="1008" t="s">
        <v>649</v>
      </c>
      <c r="V1500" s="1008" t="s">
        <v>648</v>
      </c>
      <c r="W1500" s="1008" t="s">
        <v>546</v>
      </c>
      <c r="X1500" s="1008"/>
      <c r="Y1500" s="1008"/>
      <c r="Z1500" s="1008"/>
      <c r="AA1500" s="1008"/>
      <c r="AB1500" s="1008"/>
      <c r="AC1500" s="1008"/>
      <c r="AD1500" s="1008"/>
      <c r="AE1500" s="1008"/>
      <c r="AF1500" s="1008"/>
      <c r="AG1500" s="1008"/>
      <c r="AH1500" s="1008"/>
      <c r="AI1500" s="1008"/>
    </row>
    <row r="1501" spans="1:35">
      <c r="A1501" s="1008">
        <v>24286</v>
      </c>
      <c r="B1501" s="1008">
        <v>1746</v>
      </c>
      <c r="C1501" s="1008">
        <v>7</v>
      </c>
      <c r="D1501" s="1009">
        <v>17559999</v>
      </c>
      <c r="E1501" s="1009">
        <v>17550200</v>
      </c>
      <c r="F1501" s="1007" t="s">
        <v>3162</v>
      </c>
      <c r="G1501" s="1007">
        <v>7</v>
      </c>
      <c r="H1501" s="1010">
        <v>99999999</v>
      </c>
      <c r="I1501" s="1009">
        <v>17550200</v>
      </c>
      <c r="J1501" s="1007" t="s">
        <v>3162</v>
      </c>
      <c r="O1501" s="1007" t="s">
        <v>648</v>
      </c>
      <c r="P1501" s="1007" t="s">
        <v>648</v>
      </c>
      <c r="S1501" s="1008" t="s">
        <v>650</v>
      </c>
      <c r="T1501" s="1008" t="s">
        <v>654</v>
      </c>
      <c r="U1501" s="1008" t="s">
        <v>649</v>
      </c>
      <c r="V1501" s="1008" t="s">
        <v>648</v>
      </c>
      <c r="W1501" s="1008" t="s">
        <v>546</v>
      </c>
      <c r="X1501" s="1008" t="s">
        <v>670</v>
      </c>
      <c r="Y1501" s="1008" t="s">
        <v>670</v>
      </c>
      <c r="Z1501" s="1008" t="s">
        <v>670</v>
      </c>
      <c r="AA1501" s="1008"/>
      <c r="AB1501" s="1008" t="s">
        <v>670</v>
      </c>
      <c r="AC1501" s="1008"/>
      <c r="AD1501" s="1008"/>
      <c r="AE1501" s="1008"/>
      <c r="AF1501" s="1008" t="s">
        <v>670</v>
      </c>
      <c r="AG1501" s="1008"/>
      <c r="AH1501" s="1008"/>
      <c r="AI1501" s="1008"/>
    </row>
    <row r="1502" spans="1:35">
      <c r="A1502" s="1008">
        <v>24287</v>
      </c>
      <c r="B1502" s="1008">
        <v>1747</v>
      </c>
      <c r="C1502" s="1008">
        <v>7</v>
      </c>
      <c r="D1502" s="1009">
        <v>17559999</v>
      </c>
      <c r="E1502" s="1009">
        <v>17550400</v>
      </c>
      <c r="F1502" s="1007" t="s">
        <v>3161</v>
      </c>
      <c r="G1502" s="1007">
        <v>7</v>
      </c>
      <c r="H1502" s="1010">
        <v>99999999</v>
      </c>
      <c r="I1502" s="1009">
        <v>17550400</v>
      </c>
      <c r="J1502" s="1007" t="s">
        <v>3161</v>
      </c>
      <c r="O1502" s="1007" t="s">
        <v>648</v>
      </c>
      <c r="P1502" s="1007" t="s">
        <v>648</v>
      </c>
      <c r="S1502" s="1008" t="s">
        <v>650</v>
      </c>
      <c r="T1502" s="1008" t="s">
        <v>654</v>
      </c>
      <c r="U1502" s="1008" t="s">
        <v>649</v>
      </c>
      <c r="V1502" s="1008" t="s">
        <v>648</v>
      </c>
      <c r="W1502" s="1008" t="s">
        <v>546</v>
      </c>
      <c r="X1502" s="1008" t="s">
        <v>670</v>
      </c>
      <c r="Y1502" s="1008" t="s">
        <v>670</v>
      </c>
      <c r="Z1502" s="1008" t="s">
        <v>670</v>
      </c>
      <c r="AA1502" s="1008" t="s">
        <v>670</v>
      </c>
      <c r="AB1502" s="1008" t="s">
        <v>670</v>
      </c>
      <c r="AC1502" s="1008" t="s">
        <v>670</v>
      </c>
      <c r="AD1502" s="1008" t="s">
        <v>670</v>
      </c>
      <c r="AE1502" s="1008"/>
      <c r="AF1502" s="1008" t="s">
        <v>670</v>
      </c>
      <c r="AG1502" s="1008"/>
      <c r="AH1502" s="1008"/>
      <c r="AI1502" s="1008"/>
    </row>
    <row r="1503" spans="1:35">
      <c r="A1503" s="1008">
        <v>24288</v>
      </c>
      <c r="B1503" s="1008">
        <v>4983</v>
      </c>
      <c r="C1503" s="1008">
        <v>7</v>
      </c>
      <c r="D1503" s="1009">
        <v>17559999</v>
      </c>
      <c r="E1503" s="1009">
        <v>17550800</v>
      </c>
      <c r="F1503" s="1007" t="s">
        <v>3160</v>
      </c>
      <c r="G1503" s="1007">
        <v>7</v>
      </c>
      <c r="H1503" s="1010">
        <v>99999999</v>
      </c>
      <c r="I1503" s="1009">
        <v>17550800</v>
      </c>
      <c r="J1503" s="1007" t="s">
        <v>3160</v>
      </c>
      <c r="O1503" s="1007" t="s">
        <v>648</v>
      </c>
      <c r="P1503" s="1007" t="s">
        <v>648</v>
      </c>
      <c r="S1503" s="1008" t="s">
        <v>650</v>
      </c>
      <c r="T1503" s="1008" t="s">
        <v>654</v>
      </c>
      <c r="U1503" s="1008" t="s">
        <v>649</v>
      </c>
      <c r="V1503" s="1008" t="s">
        <v>648</v>
      </c>
      <c r="W1503" s="1008" t="s">
        <v>546</v>
      </c>
      <c r="X1503" s="1008" t="s">
        <v>670</v>
      </c>
      <c r="Y1503" s="1008" t="s">
        <v>670</v>
      </c>
      <c r="Z1503" s="1008" t="s">
        <v>670</v>
      </c>
      <c r="AA1503" s="1008" t="s">
        <v>670</v>
      </c>
      <c r="AB1503" s="1008" t="s">
        <v>670</v>
      </c>
      <c r="AC1503" s="1008" t="s">
        <v>670</v>
      </c>
      <c r="AD1503" s="1008" t="s">
        <v>670</v>
      </c>
      <c r="AE1503" s="1008"/>
      <c r="AF1503" s="1008" t="s">
        <v>670</v>
      </c>
      <c r="AG1503" s="1008"/>
      <c r="AH1503" s="1008"/>
      <c r="AI1503" s="1008"/>
    </row>
    <row r="1504" spans="1:35">
      <c r="A1504" s="1008">
        <v>24289</v>
      </c>
      <c r="C1504" s="1008">
        <v>6</v>
      </c>
      <c r="D1504" s="1009">
        <v>17599999</v>
      </c>
      <c r="E1504" s="1009">
        <v>17559999</v>
      </c>
      <c r="F1504" s="1007" t="s">
        <v>3159</v>
      </c>
      <c r="O1504" s="1007" t="s">
        <v>648</v>
      </c>
      <c r="P1504" s="1007" t="s">
        <v>648</v>
      </c>
      <c r="S1504" s="1008" t="s">
        <v>650</v>
      </c>
      <c r="T1504" s="1008" t="s">
        <v>21</v>
      </c>
      <c r="U1504" s="1008" t="s">
        <v>649</v>
      </c>
      <c r="V1504" s="1008" t="s">
        <v>648</v>
      </c>
      <c r="W1504" s="1008" t="s">
        <v>546</v>
      </c>
      <c r="X1504" s="1008"/>
      <c r="Y1504" s="1008"/>
      <c r="Z1504" s="1008"/>
      <c r="AA1504" s="1008"/>
      <c r="AB1504" s="1008"/>
      <c r="AC1504" s="1008"/>
      <c r="AD1504" s="1008"/>
      <c r="AE1504" s="1008"/>
      <c r="AF1504" s="1008"/>
      <c r="AG1504" s="1008"/>
      <c r="AH1504" s="1008"/>
      <c r="AI1504" s="1008"/>
    </row>
    <row r="1505" spans="1:35">
      <c r="A1505" s="1008">
        <v>24290</v>
      </c>
      <c r="C1505" s="1008">
        <v>5</v>
      </c>
      <c r="D1505" s="1009">
        <v>17699999</v>
      </c>
      <c r="E1505" s="1009">
        <v>17599999</v>
      </c>
      <c r="F1505" s="1007" t="s">
        <v>2590</v>
      </c>
      <c r="O1505" s="1007" t="s">
        <v>648</v>
      </c>
      <c r="P1505" s="1007" t="s">
        <v>648</v>
      </c>
      <c r="S1505" s="1008" t="s">
        <v>650</v>
      </c>
      <c r="T1505" s="1008" t="s">
        <v>21</v>
      </c>
      <c r="U1505" s="1008" t="s">
        <v>649</v>
      </c>
      <c r="V1505" s="1008" t="s">
        <v>648</v>
      </c>
      <c r="W1505" s="1008" t="s">
        <v>546</v>
      </c>
      <c r="X1505" s="1008"/>
      <c r="Y1505" s="1008"/>
      <c r="Z1505" s="1008"/>
      <c r="AA1505" s="1008"/>
      <c r="AB1505" s="1008"/>
      <c r="AC1505" s="1008"/>
      <c r="AD1505" s="1008"/>
      <c r="AE1505" s="1008"/>
      <c r="AF1505" s="1008"/>
      <c r="AG1505" s="1008"/>
      <c r="AH1505" s="1008"/>
      <c r="AI1505" s="1008"/>
    </row>
    <row r="1506" spans="1:35">
      <c r="A1506" s="1008">
        <v>24291</v>
      </c>
      <c r="C1506" s="1008">
        <v>5</v>
      </c>
      <c r="D1506" s="1009">
        <v>17699900</v>
      </c>
      <c r="E1506" s="1009">
        <v>17600000</v>
      </c>
      <c r="F1506" s="1007" t="s">
        <v>2589</v>
      </c>
      <c r="O1506" s="1007" t="s">
        <v>648</v>
      </c>
      <c r="P1506" s="1007" t="s">
        <v>648</v>
      </c>
      <c r="S1506" s="1008" t="s">
        <v>650</v>
      </c>
      <c r="T1506" s="1008" t="s">
        <v>675</v>
      </c>
      <c r="U1506" s="1008" t="s">
        <v>649</v>
      </c>
      <c r="V1506" s="1008" t="s">
        <v>648</v>
      </c>
      <c r="W1506" s="1008" t="s">
        <v>546</v>
      </c>
      <c r="X1506" s="1008"/>
      <c r="Y1506" s="1008"/>
      <c r="Z1506" s="1008"/>
      <c r="AA1506" s="1008"/>
      <c r="AB1506" s="1008"/>
      <c r="AC1506" s="1008"/>
      <c r="AD1506" s="1008"/>
      <c r="AE1506" s="1008"/>
      <c r="AF1506" s="1008"/>
      <c r="AG1506" s="1008"/>
      <c r="AH1506" s="1008"/>
      <c r="AI1506" s="1008"/>
    </row>
    <row r="1507" spans="1:35">
      <c r="A1507" s="1008">
        <v>24292</v>
      </c>
      <c r="C1507" s="1008">
        <v>6</v>
      </c>
      <c r="D1507" s="1009">
        <v>17619999</v>
      </c>
      <c r="E1507" s="1009">
        <v>17610000</v>
      </c>
      <c r="F1507" s="1007" t="s">
        <v>3158</v>
      </c>
      <c r="O1507" s="1007" t="s">
        <v>648</v>
      </c>
      <c r="P1507" s="1007" t="s">
        <v>648</v>
      </c>
      <c r="S1507" s="1008" t="s">
        <v>650</v>
      </c>
      <c r="T1507" s="1008" t="s">
        <v>675</v>
      </c>
      <c r="U1507" s="1008" t="s">
        <v>649</v>
      </c>
      <c r="V1507" s="1008" t="s">
        <v>648</v>
      </c>
      <c r="W1507" s="1008" t="s">
        <v>546</v>
      </c>
      <c r="X1507" s="1008"/>
      <c r="Y1507" s="1008"/>
      <c r="Z1507" s="1008"/>
      <c r="AA1507" s="1008"/>
      <c r="AB1507" s="1008"/>
      <c r="AC1507" s="1008"/>
      <c r="AD1507" s="1008"/>
      <c r="AE1507" s="1008"/>
      <c r="AF1507" s="1008"/>
      <c r="AG1507" s="1008"/>
      <c r="AH1507" s="1008"/>
      <c r="AI1507" s="1008"/>
    </row>
    <row r="1508" spans="1:35">
      <c r="A1508" s="1008">
        <v>24293</v>
      </c>
      <c r="B1508" s="1008">
        <v>1749</v>
      </c>
      <c r="C1508" s="1008">
        <v>7</v>
      </c>
      <c r="D1508" s="1009">
        <v>17619999</v>
      </c>
      <c r="E1508" s="1009">
        <v>17610400</v>
      </c>
      <c r="F1508" s="1007" t="s">
        <v>3157</v>
      </c>
      <c r="G1508" s="1007">
        <v>7</v>
      </c>
      <c r="H1508" s="1010">
        <v>99999999</v>
      </c>
      <c r="I1508" s="1009">
        <v>17610400</v>
      </c>
      <c r="J1508" s="1007" t="s">
        <v>3157</v>
      </c>
      <c r="O1508" s="1007" t="s">
        <v>648</v>
      </c>
      <c r="P1508" s="1007" t="s">
        <v>648</v>
      </c>
      <c r="S1508" s="1008" t="s">
        <v>650</v>
      </c>
      <c r="T1508" s="1008" t="s">
        <v>654</v>
      </c>
      <c r="U1508" s="1008" t="s">
        <v>649</v>
      </c>
      <c r="V1508" s="1008" t="s">
        <v>648</v>
      </c>
      <c r="W1508" s="1008" t="s">
        <v>546</v>
      </c>
      <c r="X1508" s="1008" t="s">
        <v>670</v>
      </c>
      <c r="Y1508" s="1008" t="s">
        <v>670</v>
      </c>
      <c r="Z1508" s="1008" t="s">
        <v>670</v>
      </c>
      <c r="AA1508" s="1008" t="s">
        <v>670</v>
      </c>
      <c r="AB1508" s="1008" t="s">
        <v>670</v>
      </c>
      <c r="AC1508" s="1008" t="s">
        <v>670</v>
      </c>
      <c r="AD1508" s="1008" t="s">
        <v>670</v>
      </c>
      <c r="AE1508" s="1008"/>
      <c r="AF1508" s="1008" t="s">
        <v>670</v>
      </c>
      <c r="AG1508" s="1008"/>
      <c r="AH1508" s="1008"/>
      <c r="AI1508" s="1008"/>
    </row>
    <row r="1509" spans="1:35">
      <c r="A1509" s="1008">
        <v>24294</v>
      </c>
      <c r="B1509" s="1008">
        <v>241</v>
      </c>
      <c r="C1509" s="1008">
        <v>7</v>
      </c>
      <c r="D1509" s="1009">
        <v>17619999</v>
      </c>
      <c r="E1509" s="1009">
        <v>17610700</v>
      </c>
      <c r="F1509" s="1007" t="s">
        <v>3156</v>
      </c>
      <c r="G1509" s="1007">
        <v>8</v>
      </c>
      <c r="H1509" s="1010">
        <v>99999999</v>
      </c>
      <c r="I1509" s="1009">
        <v>17610700</v>
      </c>
      <c r="J1509" s="1007" t="s">
        <v>3156</v>
      </c>
      <c r="O1509" s="1007" t="s">
        <v>648</v>
      </c>
      <c r="P1509" s="1007" t="s">
        <v>648</v>
      </c>
      <c r="S1509" s="1008" t="s">
        <v>650</v>
      </c>
      <c r="T1509" s="1008" t="s">
        <v>654</v>
      </c>
      <c r="U1509" s="1008" t="s">
        <v>649</v>
      </c>
      <c r="V1509" s="1008" t="s">
        <v>648</v>
      </c>
      <c r="W1509" s="1008" t="s">
        <v>546</v>
      </c>
      <c r="X1509" s="1008" t="s">
        <v>670</v>
      </c>
      <c r="Y1509" s="1008" t="s">
        <v>670</v>
      </c>
      <c r="Z1509" s="1008" t="s">
        <v>670</v>
      </c>
      <c r="AA1509" s="1008" t="s">
        <v>670</v>
      </c>
      <c r="AB1509" s="1008" t="s">
        <v>670</v>
      </c>
      <c r="AC1509" s="1008" t="s">
        <v>670</v>
      </c>
      <c r="AD1509" s="1008" t="s">
        <v>670</v>
      </c>
      <c r="AE1509" s="1008"/>
      <c r="AF1509" s="1008" t="s">
        <v>670</v>
      </c>
      <c r="AG1509" s="1008"/>
      <c r="AH1509" s="1008"/>
      <c r="AI1509" s="1008"/>
    </row>
    <row r="1510" spans="1:35">
      <c r="A1510" s="1008">
        <v>24295</v>
      </c>
      <c r="B1510" s="1008">
        <v>1135</v>
      </c>
      <c r="C1510" s="1008">
        <v>7</v>
      </c>
      <c r="D1510" s="1009">
        <v>17619999</v>
      </c>
      <c r="E1510" s="1009">
        <v>17610800</v>
      </c>
      <c r="F1510" s="1007" t="s">
        <v>3155</v>
      </c>
      <c r="G1510" s="1007">
        <v>8</v>
      </c>
      <c r="H1510" s="1010">
        <v>99999999</v>
      </c>
      <c r="I1510" s="1009">
        <v>17610800</v>
      </c>
      <c r="J1510" s="1007" t="s">
        <v>3155</v>
      </c>
      <c r="O1510" s="1007" t="s">
        <v>648</v>
      </c>
      <c r="P1510" s="1007" t="s">
        <v>648</v>
      </c>
      <c r="S1510" s="1008" t="s">
        <v>650</v>
      </c>
      <c r="T1510" s="1008" t="s">
        <v>654</v>
      </c>
      <c r="U1510" s="1008" t="s">
        <v>649</v>
      </c>
      <c r="V1510" s="1008" t="s">
        <v>648</v>
      </c>
      <c r="W1510" s="1008" t="s">
        <v>546</v>
      </c>
      <c r="X1510" s="1008" t="s">
        <v>670</v>
      </c>
      <c r="Y1510" s="1008" t="s">
        <v>670</v>
      </c>
      <c r="Z1510" s="1008" t="s">
        <v>670</v>
      </c>
      <c r="AA1510" s="1008" t="s">
        <v>670</v>
      </c>
      <c r="AB1510" s="1008" t="s">
        <v>670</v>
      </c>
      <c r="AC1510" s="1008" t="s">
        <v>670</v>
      </c>
      <c r="AD1510" s="1008" t="s">
        <v>670</v>
      </c>
      <c r="AE1510" s="1008"/>
      <c r="AF1510" s="1008" t="s">
        <v>670</v>
      </c>
      <c r="AG1510" s="1008"/>
      <c r="AH1510" s="1008"/>
      <c r="AI1510" s="1008"/>
    </row>
    <row r="1511" spans="1:35">
      <c r="A1511" s="1008">
        <v>24296</v>
      </c>
      <c r="C1511" s="1008">
        <v>6</v>
      </c>
      <c r="D1511" s="1009">
        <v>17699900</v>
      </c>
      <c r="E1511" s="1009">
        <v>17619999</v>
      </c>
      <c r="F1511" s="1007" t="s">
        <v>3154</v>
      </c>
      <c r="O1511" s="1007" t="s">
        <v>648</v>
      </c>
      <c r="P1511" s="1007" t="s">
        <v>648</v>
      </c>
      <c r="S1511" s="1008" t="s">
        <v>650</v>
      </c>
      <c r="T1511" s="1008" t="s">
        <v>21</v>
      </c>
      <c r="U1511" s="1008" t="s">
        <v>649</v>
      </c>
      <c r="V1511" s="1008" t="s">
        <v>648</v>
      </c>
      <c r="W1511" s="1008" t="s">
        <v>546</v>
      </c>
      <c r="X1511" s="1008"/>
      <c r="Y1511" s="1008"/>
      <c r="Z1511" s="1008"/>
      <c r="AA1511" s="1008"/>
      <c r="AB1511" s="1008"/>
      <c r="AC1511" s="1008"/>
      <c r="AD1511" s="1008"/>
      <c r="AE1511" s="1008"/>
      <c r="AF1511" s="1008"/>
      <c r="AG1511" s="1008"/>
      <c r="AH1511" s="1008"/>
      <c r="AI1511" s="1008"/>
    </row>
    <row r="1512" spans="1:35">
      <c r="A1512" s="1008">
        <v>24297</v>
      </c>
      <c r="C1512" s="1008">
        <v>6</v>
      </c>
      <c r="D1512" s="1009">
        <v>17629999</v>
      </c>
      <c r="E1512" s="1009">
        <v>17620000</v>
      </c>
      <c r="F1512" s="1007" t="s">
        <v>3153</v>
      </c>
      <c r="O1512" s="1007" t="s">
        <v>648</v>
      </c>
      <c r="P1512" s="1007" t="s">
        <v>648</v>
      </c>
      <c r="S1512" s="1008" t="s">
        <v>650</v>
      </c>
      <c r="T1512" s="1008" t="s">
        <v>675</v>
      </c>
      <c r="U1512" s="1008" t="s">
        <v>649</v>
      </c>
      <c r="V1512" s="1008" t="s">
        <v>648</v>
      </c>
      <c r="W1512" s="1008" t="s">
        <v>546</v>
      </c>
      <c r="X1512" s="1008"/>
      <c r="Y1512" s="1008"/>
      <c r="Z1512" s="1008"/>
      <c r="AA1512" s="1008"/>
      <c r="AB1512" s="1008"/>
      <c r="AC1512" s="1008"/>
      <c r="AD1512" s="1008"/>
      <c r="AE1512" s="1008"/>
      <c r="AF1512" s="1008"/>
      <c r="AG1512" s="1008"/>
      <c r="AH1512" s="1008"/>
      <c r="AI1512" s="1008"/>
    </row>
    <row r="1513" spans="1:35">
      <c r="A1513" s="1008">
        <v>24298</v>
      </c>
      <c r="B1513" s="1008">
        <v>1752</v>
      </c>
      <c r="C1513" s="1008">
        <v>7</v>
      </c>
      <c r="D1513" s="1009">
        <v>17629999</v>
      </c>
      <c r="E1513" s="1009">
        <v>17620400</v>
      </c>
      <c r="F1513" s="1007" t="s">
        <v>3152</v>
      </c>
      <c r="G1513" s="1007">
        <v>7</v>
      </c>
      <c r="H1513" s="1010">
        <v>99999999</v>
      </c>
      <c r="I1513" s="1009">
        <v>17620400</v>
      </c>
      <c r="J1513" s="1007" t="s">
        <v>3152</v>
      </c>
      <c r="O1513" s="1007" t="s">
        <v>648</v>
      </c>
      <c r="P1513" s="1007" t="s">
        <v>648</v>
      </c>
      <c r="S1513" s="1008" t="s">
        <v>650</v>
      </c>
      <c r="T1513" s="1008" t="s">
        <v>654</v>
      </c>
      <c r="U1513" s="1008" t="s">
        <v>649</v>
      </c>
      <c r="V1513" s="1008" t="s">
        <v>648</v>
      </c>
      <c r="W1513" s="1008" t="s">
        <v>546</v>
      </c>
      <c r="X1513" s="1008" t="s">
        <v>670</v>
      </c>
      <c r="Y1513" s="1008" t="s">
        <v>670</v>
      </c>
      <c r="Z1513" s="1008" t="s">
        <v>670</v>
      </c>
      <c r="AA1513" s="1008" t="s">
        <v>670</v>
      </c>
      <c r="AB1513" s="1008" t="s">
        <v>670</v>
      </c>
      <c r="AC1513" s="1008" t="s">
        <v>670</v>
      </c>
      <c r="AD1513" s="1008" t="s">
        <v>670</v>
      </c>
      <c r="AE1513" s="1008"/>
      <c r="AF1513" s="1008" t="s">
        <v>670</v>
      </c>
      <c r="AG1513" s="1008"/>
      <c r="AH1513" s="1008"/>
      <c r="AI1513" s="1008"/>
    </row>
    <row r="1514" spans="1:35">
      <c r="A1514" s="1008">
        <v>24299</v>
      </c>
      <c r="B1514" s="1008">
        <v>1753</v>
      </c>
      <c r="C1514" s="1008">
        <v>7</v>
      </c>
      <c r="D1514" s="1009">
        <v>17629999</v>
      </c>
      <c r="E1514" s="1009">
        <v>17620700</v>
      </c>
      <c r="F1514" s="1007" t="s">
        <v>3151</v>
      </c>
      <c r="G1514" s="1007">
        <v>7</v>
      </c>
      <c r="H1514" s="1010">
        <v>99999999</v>
      </c>
      <c r="I1514" s="1009">
        <v>17620700</v>
      </c>
      <c r="J1514" s="1007" t="s">
        <v>3151</v>
      </c>
      <c r="O1514" s="1007" t="s">
        <v>648</v>
      </c>
      <c r="P1514" s="1007" t="s">
        <v>648</v>
      </c>
      <c r="S1514" s="1008" t="s">
        <v>650</v>
      </c>
      <c r="T1514" s="1008" t="s">
        <v>654</v>
      </c>
      <c r="U1514" s="1008" t="s">
        <v>649</v>
      </c>
      <c r="V1514" s="1008" t="s">
        <v>648</v>
      </c>
      <c r="W1514" s="1008" t="s">
        <v>546</v>
      </c>
      <c r="X1514" s="1008" t="s">
        <v>670</v>
      </c>
      <c r="Y1514" s="1008" t="s">
        <v>670</v>
      </c>
      <c r="Z1514" s="1008" t="s">
        <v>670</v>
      </c>
      <c r="AA1514" s="1008" t="s">
        <v>670</v>
      </c>
      <c r="AB1514" s="1008" t="s">
        <v>670</v>
      </c>
      <c r="AC1514" s="1008" t="s">
        <v>670</v>
      </c>
      <c r="AD1514" s="1008" t="s">
        <v>670</v>
      </c>
      <c r="AE1514" s="1008"/>
      <c r="AF1514" s="1008" t="s">
        <v>670</v>
      </c>
      <c r="AG1514" s="1008"/>
      <c r="AH1514" s="1008"/>
      <c r="AI1514" s="1008"/>
    </row>
    <row r="1515" spans="1:35">
      <c r="A1515" s="1008">
        <v>24300</v>
      </c>
      <c r="B1515" s="1008">
        <v>4989</v>
      </c>
      <c r="C1515" s="1008">
        <v>7</v>
      </c>
      <c r="D1515" s="1009">
        <v>17629999</v>
      </c>
      <c r="E1515" s="1009">
        <v>17620800</v>
      </c>
      <c r="F1515" s="1007" t="s">
        <v>3150</v>
      </c>
      <c r="G1515" s="1007">
        <v>7</v>
      </c>
      <c r="H1515" s="1010">
        <v>99999999</v>
      </c>
      <c r="I1515" s="1009">
        <v>17620800</v>
      </c>
      <c r="J1515" s="1007" t="s">
        <v>3150</v>
      </c>
      <c r="O1515" s="1007" t="s">
        <v>648</v>
      </c>
      <c r="P1515" s="1007" t="s">
        <v>648</v>
      </c>
      <c r="S1515" s="1008" t="s">
        <v>650</v>
      </c>
      <c r="T1515" s="1008" t="s">
        <v>654</v>
      </c>
      <c r="U1515" s="1008" t="s">
        <v>649</v>
      </c>
      <c r="V1515" s="1008" t="s">
        <v>648</v>
      </c>
      <c r="W1515" s="1008" t="s">
        <v>546</v>
      </c>
      <c r="X1515" s="1008" t="s">
        <v>670</v>
      </c>
      <c r="Y1515" s="1008" t="s">
        <v>670</v>
      </c>
      <c r="Z1515" s="1008" t="s">
        <v>670</v>
      </c>
      <c r="AA1515" s="1008" t="s">
        <v>670</v>
      </c>
      <c r="AB1515" s="1008" t="s">
        <v>670</v>
      </c>
      <c r="AC1515" s="1008" t="s">
        <v>670</v>
      </c>
      <c r="AD1515" s="1008" t="s">
        <v>670</v>
      </c>
      <c r="AE1515" s="1008"/>
      <c r="AF1515" s="1008" t="s">
        <v>670</v>
      </c>
      <c r="AG1515" s="1008"/>
      <c r="AH1515" s="1008"/>
      <c r="AI1515" s="1008"/>
    </row>
    <row r="1516" spans="1:35">
      <c r="A1516" s="1008">
        <v>24301</v>
      </c>
      <c r="C1516" s="1008">
        <v>6</v>
      </c>
      <c r="D1516" s="1009">
        <v>17699900</v>
      </c>
      <c r="E1516" s="1009">
        <v>17629999</v>
      </c>
      <c r="F1516" s="1007" t="s">
        <v>3149</v>
      </c>
      <c r="O1516" s="1007" t="s">
        <v>648</v>
      </c>
      <c r="P1516" s="1007" t="s">
        <v>648</v>
      </c>
      <c r="S1516" s="1008" t="s">
        <v>650</v>
      </c>
      <c r="T1516" s="1008" t="s">
        <v>21</v>
      </c>
      <c r="U1516" s="1008" t="s">
        <v>649</v>
      </c>
      <c r="V1516" s="1008" t="s">
        <v>648</v>
      </c>
      <c r="W1516" s="1008" t="s">
        <v>546</v>
      </c>
      <c r="X1516" s="1008"/>
      <c r="Y1516" s="1008"/>
      <c r="Z1516" s="1008"/>
      <c r="AA1516" s="1008"/>
      <c r="AB1516" s="1008"/>
      <c r="AC1516" s="1008"/>
      <c r="AD1516" s="1008"/>
      <c r="AE1516" s="1008"/>
      <c r="AF1516" s="1008"/>
      <c r="AG1516" s="1008"/>
      <c r="AH1516" s="1008"/>
      <c r="AI1516" s="1008"/>
    </row>
    <row r="1517" spans="1:35">
      <c r="A1517" s="1008">
        <v>24302</v>
      </c>
      <c r="C1517" s="1008">
        <v>6</v>
      </c>
      <c r="D1517" s="1009">
        <v>17639999</v>
      </c>
      <c r="E1517" s="1009">
        <v>17630000</v>
      </c>
      <c r="F1517" s="1007" t="s">
        <v>3148</v>
      </c>
      <c r="O1517" s="1007" t="s">
        <v>648</v>
      </c>
      <c r="P1517" s="1007" t="s">
        <v>648</v>
      </c>
      <c r="S1517" s="1008" t="s">
        <v>650</v>
      </c>
      <c r="T1517" s="1008" t="s">
        <v>675</v>
      </c>
      <c r="U1517" s="1008" t="s">
        <v>649</v>
      </c>
      <c r="V1517" s="1008" t="s">
        <v>648</v>
      </c>
      <c r="W1517" s="1008" t="s">
        <v>546</v>
      </c>
      <c r="X1517" s="1008"/>
      <c r="Y1517" s="1008"/>
      <c r="Z1517" s="1008"/>
      <c r="AA1517" s="1008"/>
      <c r="AB1517" s="1008"/>
      <c r="AC1517" s="1008"/>
      <c r="AD1517" s="1008"/>
      <c r="AE1517" s="1008"/>
      <c r="AF1517" s="1008"/>
      <c r="AG1517" s="1008"/>
      <c r="AH1517" s="1008"/>
      <c r="AI1517" s="1008"/>
    </row>
    <row r="1518" spans="1:35">
      <c r="A1518" s="1008">
        <v>24303</v>
      </c>
      <c r="B1518" s="1008">
        <v>1755</v>
      </c>
      <c r="C1518" s="1008">
        <v>7</v>
      </c>
      <c r="D1518" s="1009">
        <v>17639999</v>
      </c>
      <c r="E1518" s="1009">
        <v>17630400</v>
      </c>
      <c r="F1518" s="1007" t="s">
        <v>3147</v>
      </c>
      <c r="G1518" s="1007">
        <v>7</v>
      </c>
      <c r="H1518" s="1010">
        <v>99999999</v>
      </c>
      <c r="I1518" s="1009">
        <v>17630400</v>
      </c>
      <c r="J1518" s="1007" t="s">
        <v>3147</v>
      </c>
      <c r="O1518" s="1007" t="s">
        <v>648</v>
      </c>
      <c r="P1518" s="1007" t="s">
        <v>648</v>
      </c>
      <c r="S1518" s="1008" t="s">
        <v>650</v>
      </c>
      <c r="T1518" s="1008" t="s">
        <v>654</v>
      </c>
      <c r="U1518" s="1008" t="s">
        <v>649</v>
      </c>
      <c r="V1518" s="1008" t="s">
        <v>648</v>
      </c>
      <c r="W1518" s="1008" t="s">
        <v>546</v>
      </c>
      <c r="X1518" s="1008" t="s">
        <v>670</v>
      </c>
      <c r="Y1518" s="1008" t="s">
        <v>670</v>
      </c>
      <c r="Z1518" s="1008" t="s">
        <v>670</v>
      </c>
      <c r="AA1518" s="1008" t="s">
        <v>670</v>
      </c>
      <c r="AB1518" s="1008" t="s">
        <v>670</v>
      </c>
      <c r="AC1518" s="1008" t="s">
        <v>670</v>
      </c>
      <c r="AD1518" s="1008" t="s">
        <v>670</v>
      </c>
      <c r="AE1518" s="1008"/>
      <c r="AF1518" s="1008" t="s">
        <v>670</v>
      </c>
      <c r="AG1518" s="1008"/>
      <c r="AH1518" s="1008"/>
      <c r="AI1518" s="1008"/>
    </row>
    <row r="1519" spans="1:35">
      <c r="A1519" s="1008">
        <v>24304</v>
      </c>
      <c r="B1519" s="1008">
        <v>1756</v>
      </c>
      <c r="C1519" s="1008">
        <v>7</v>
      </c>
      <c r="D1519" s="1009">
        <v>17639999</v>
      </c>
      <c r="E1519" s="1009">
        <v>17630700</v>
      </c>
      <c r="F1519" s="1007" t="s">
        <v>3146</v>
      </c>
      <c r="G1519" s="1007">
        <v>7</v>
      </c>
      <c r="H1519" s="1010">
        <v>99999999</v>
      </c>
      <c r="I1519" s="1009">
        <v>17630700</v>
      </c>
      <c r="J1519" s="1007" t="s">
        <v>3146</v>
      </c>
      <c r="O1519" s="1007" t="s">
        <v>648</v>
      </c>
      <c r="P1519" s="1007" t="s">
        <v>648</v>
      </c>
      <c r="S1519" s="1008" t="s">
        <v>650</v>
      </c>
      <c r="T1519" s="1008" t="s">
        <v>654</v>
      </c>
      <c r="U1519" s="1008" t="s">
        <v>649</v>
      </c>
      <c r="V1519" s="1008" t="s">
        <v>648</v>
      </c>
      <c r="W1519" s="1008" t="s">
        <v>546</v>
      </c>
      <c r="X1519" s="1008" t="s">
        <v>670</v>
      </c>
      <c r="Y1519" s="1008" t="s">
        <v>670</v>
      </c>
      <c r="Z1519" s="1008" t="s">
        <v>670</v>
      </c>
      <c r="AA1519" s="1008" t="s">
        <v>670</v>
      </c>
      <c r="AB1519" s="1008" t="s">
        <v>670</v>
      </c>
      <c r="AC1519" s="1008" t="s">
        <v>670</v>
      </c>
      <c r="AD1519" s="1008" t="s">
        <v>670</v>
      </c>
      <c r="AE1519" s="1008"/>
      <c r="AF1519" s="1008" t="s">
        <v>670</v>
      </c>
      <c r="AG1519" s="1008"/>
      <c r="AH1519" s="1008"/>
      <c r="AI1519" s="1008"/>
    </row>
    <row r="1520" spans="1:35">
      <c r="A1520" s="1008">
        <v>24305</v>
      </c>
      <c r="B1520" s="1008">
        <v>4991</v>
      </c>
      <c r="C1520" s="1008">
        <v>7</v>
      </c>
      <c r="D1520" s="1009">
        <v>17639999</v>
      </c>
      <c r="E1520" s="1009">
        <v>17630800</v>
      </c>
      <c r="F1520" s="1007" t="s">
        <v>3145</v>
      </c>
      <c r="G1520" s="1007">
        <v>7</v>
      </c>
      <c r="H1520" s="1010">
        <v>99999999</v>
      </c>
      <c r="I1520" s="1009">
        <v>17630800</v>
      </c>
      <c r="J1520" s="1007" t="s">
        <v>3145</v>
      </c>
      <c r="O1520" s="1007" t="s">
        <v>648</v>
      </c>
      <c r="P1520" s="1007" t="s">
        <v>648</v>
      </c>
      <c r="S1520" s="1008" t="s">
        <v>650</v>
      </c>
      <c r="T1520" s="1008" t="s">
        <v>654</v>
      </c>
      <c r="U1520" s="1008" t="s">
        <v>649</v>
      </c>
      <c r="V1520" s="1008" t="s">
        <v>648</v>
      </c>
      <c r="W1520" s="1008" t="s">
        <v>546</v>
      </c>
      <c r="X1520" s="1008" t="s">
        <v>670</v>
      </c>
      <c r="Y1520" s="1008" t="s">
        <v>670</v>
      </c>
      <c r="Z1520" s="1008" t="s">
        <v>670</v>
      </c>
      <c r="AA1520" s="1008" t="s">
        <v>670</v>
      </c>
      <c r="AB1520" s="1008" t="s">
        <v>670</v>
      </c>
      <c r="AC1520" s="1008" t="s">
        <v>670</v>
      </c>
      <c r="AD1520" s="1008" t="s">
        <v>670</v>
      </c>
      <c r="AE1520" s="1008"/>
      <c r="AF1520" s="1008" t="s">
        <v>670</v>
      </c>
      <c r="AG1520" s="1008"/>
      <c r="AH1520" s="1008"/>
      <c r="AI1520" s="1008"/>
    </row>
    <row r="1521" spans="1:35">
      <c r="A1521" s="1008">
        <v>24306</v>
      </c>
      <c r="C1521" s="1008">
        <v>6</v>
      </c>
      <c r="D1521" s="1009">
        <v>17699900</v>
      </c>
      <c r="E1521" s="1009">
        <v>17639999</v>
      </c>
      <c r="F1521" s="1007" t="s">
        <v>3144</v>
      </c>
      <c r="O1521" s="1007" t="s">
        <v>648</v>
      </c>
      <c r="P1521" s="1007" t="s">
        <v>648</v>
      </c>
      <c r="S1521" s="1008" t="s">
        <v>650</v>
      </c>
      <c r="T1521" s="1008" t="s">
        <v>21</v>
      </c>
      <c r="U1521" s="1008" t="s">
        <v>649</v>
      </c>
      <c r="V1521" s="1008" t="s">
        <v>648</v>
      </c>
      <c r="W1521" s="1008" t="s">
        <v>546</v>
      </c>
      <c r="X1521" s="1008"/>
      <c r="Y1521" s="1008"/>
      <c r="Z1521" s="1008"/>
      <c r="AA1521" s="1008"/>
      <c r="AB1521" s="1008"/>
      <c r="AC1521" s="1008"/>
      <c r="AD1521" s="1008"/>
      <c r="AE1521" s="1008"/>
      <c r="AF1521" s="1008"/>
      <c r="AG1521" s="1008"/>
      <c r="AH1521" s="1008"/>
      <c r="AI1521" s="1008"/>
    </row>
    <row r="1522" spans="1:35">
      <c r="A1522" s="1008">
        <v>24307</v>
      </c>
      <c r="C1522" s="1008">
        <v>6</v>
      </c>
      <c r="D1522" s="1009">
        <v>17649999</v>
      </c>
      <c r="E1522" s="1009">
        <v>17640000</v>
      </c>
      <c r="F1522" s="1007" t="s">
        <v>3143</v>
      </c>
      <c r="O1522" s="1007" t="s">
        <v>648</v>
      </c>
      <c r="P1522" s="1007" t="s">
        <v>648</v>
      </c>
      <c r="S1522" s="1008" t="s">
        <v>650</v>
      </c>
      <c r="T1522" s="1008" t="s">
        <v>675</v>
      </c>
      <c r="U1522" s="1008" t="s">
        <v>649</v>
      </c>
      <c r="V1522" s="1008" t="s">
        <v>648</v>
      </c>
      <c r="W1522" s="1008" t="s">
        <v>546</v>
      </c>
      <c r="X1522" s="1008"/>
      <c r="Y1522" s="1008"/>
      <c r="Z1522" s="1008"/>
      <c r="AA1522" s="1008"/>
      <c r="AB1522" s="1008"/>
      <c r="AC1522" s="1008"/>
      <c r="AD1522" s="1008"/>
      <c r="AE1522" s="1008"/>
      <c r="AF1522" s="1008"/>
      <c r="AG1522" s="1008"/>
      <c r="AH1522" s="1008"/>
      <c r="AI1522" s="1008"/>
    </row>
    <row r="1523" spans="1:35">
      <c r="A1523" s="1008">
        <v>24308</v>
      </c>
      <c r="B1523" s="1008">
        <v>1758</v>
      </c>
      <c r="C1523" s="1008">
        <v>7</v>
      </c>
      <c r="D1523" s="1009">
        <v>17649999</v>
      </c>
      <c r="E1523" s="1009">
        <v>17640400</v>
      </c>
      <c r="F1523" s="1007" t="s">
        <v>3142</v>
      </c>
      <c r="G1523" s="1007">
        <v>7</v>
      </c>
      <c r="H1523" s="1010">
        <v>99999999</v>
      </c>
      <c r="I1523" s="1009">
        <v>17640400</v>
      </c>
      <c r="J1523" s="1007" t="s">
        <v>3142</v>
      </c>
      <c r="O1523" s="1007" t="s">
        <v>648</v>
      </c>
      <c r="P1523" s="1007" t="s">
        <v>648</v>
      </c>
      <c r="S1523" s="1008" t="s">
        <v>650</v>
      </c>
      <c r="T1523" s="1008" t="s">
        <v>654</v>
      </c>
      <c r="U1523" s="1008" t="s">
        <v>649</v>
      </c>
      <c r="V1523" s="1008" t="s">
        <v>648</v>
      </c>
      <c r="W1523" s="1008" t="s">
        <v>546</v>
      </c>
      <c r="X1523" s="1008" t="s">
        <v>670</v>
      </c>
      <c r="Y1523" s="1008" t="s">
        <v>670</v>
      </c>
      <c r="Z1523" s="1008" t="s">
        <v>670</v>
      </c>
      <c r="AA1523" s="1008" t="s">
        <v>670</v>
      </c>
      <c r="AB1523" s="1008" t="s">
        <v>670</v>
      </c>
      <c r="AC1523" s="1008" t="s">
        <v>670</v>
      </c>
      <c r="AD1523" s="1008" t="s">
        <v>670</v>
      </c>
      <c r="AE1523" s="1008"/>
      <c r="AF1523" s="1008" t="s">
        <v>670</v>
      </c>
      <c r="AG1523" s="1008"/>
      <c r="AH1523" s="1008"/>
      <c r="AI1523" s="1008"/>
    </row>
    <row r="1524" spans="1:35">
      <c r="A1524" s="1008">
        <v>24309</v>
      </c>
      <c r="B1524" s="1008">
        <v>1759</v>
      </c>
      <c r="C1524" s="1008">
        <v>7</v>
      </c>
      <c r="D1524" s="1009">
        <v>17649999</v>
      </c>
      <c r="E1524" s="1009">
        <v>17640700</v>
      </c>
      <c r="F1524" s="1007" t="s">
        <v>3141</v>
      </c>
      <c r="G1524" s="1007">
        <v>7</v>
      </c>
      <c r="H1524" s="1010">
        <v>99999999</v>
      </c>
      <c r="I1524" s="1009">
        <v>17640700</v>
      </c>
      <c r="J1524" s="1007" t="s">
        <v>3141</v>
      </c>
      <c r="O1524" s="1007" t="s">
        <v>648</v>
      </c>
      <c r="P1524" s="1007" t="s">
        <v>648</v>
      </c>
      <c r="S1524" s="1008" t="s">
        <v>650</v>
      </c>
      <c r="T1524" s="1008" t="s">
        <v>654</v>
      </c>
      <c r="U1524" s="1008" t="s">
        <v>649</v>
      </c>
      <c r="V1524" s="1008" t="s">
        <v>648</v>
      </c>
      <c r="W1524" s="1008" t="s">
        <v>546</v>
      </c>
      <c r="X1524" s="1008" t="s">
        <v>670</v>
      </c>
      <c r="Y1524" s="1008" t="s">
        <v>670</v>
      </c>
      <c r="Z1524" s="1008" t="s">
        <v>670</v>
      </c>
      <c r="AA1524" s="1008" t="s">
        <v>670</v>
      </c>
      <c r="AB1524" s="1008" t="s">
        <v>670</v>
      </c>
      <c r="AC1524" s="1008" t="s">
        <v>670</v>
      </c>
      <c r="AD1524" s="1008" t="s">
        <v>670</v>
      </c>
      <c r="AE1524" s="1008"/>
      <c r="AF1524" s="1008" t="s">
        <v>670</v>
      </c>
      <c r="AG1524" s="1008"/>
      <c r="AH1524" s="1008"/>
      <c r="AI1524" s="1008"/>
    </row>
    <row r="1525" spans="1:35">
      <c r="A1525" s="1008">
        <v>24310</v>
      </c>
      <c r="B1525" s="1008">
        <v>4993</v>
      </c>
      <c r="C1525" s="1008">
        <v>7</v>
      </c>
      <c r="D1525" s="1009">
        <v>17649999</v>
      </c>
      <c r="E1525" s="1009">
        <v>17640800</v>
      </c>
      <c r="F1525" s="1007" t="s">
        <v>3140</v>
      </c>
      <c r="G1525" s="1007">
        <v>7</v>
      </c>
      <c r="H1525" s="1010">
        <v>99999999</v>
      </c>
      <c r="I1525" s="1009">
        <v>17640800</v>
      </c>
      <c r="J1525" s="1007" t="s">
        <v>3140</v>
      </c>
      <c r="O1525" s="1007" t="s">
        <v>648</v>
      </c>
      <c r="P1525" s="1007" t="s">
        <v>648</v>
      </c>
      <c r="S1525" s="1008" t="s">
        <v>650</v>
      </c>
      <c r="T1525" s="1008" t="s">
        <v>654</v>
      </c>
      <c r="U1525" s="1008" t="s">
        <v>649</v>
      </c>
      <c r="V1525" s="1008" t="s">
        <v>648</v>
      </c>
      <c r="W1525" s="1008" t="s">
        <v>546</v>
      </c>
      <c r="X1525" s="1008" t="s">
        <v>670</v>
      </c>
      <c r="Y1525" s="1008" t="s">
        <v>670</v>
      </c>
      <c r="Z1525" s="1008" t="s">
        <v>670</v>
      </c>
      <c r="AA1525" s="1008" t="s">
        <v>670</v>
      </c>
      <c r="AB1525" s="1008" t="s">
        <v>670</v>
      </c>
      <c r="AC1525" s="1008" t="s">
        <v>670</v>
      </c>
      <c r="AD1525" s="1008" t="s">
        <v>670</v>
      </c>
      <c r="AE1525" s="1008"/>
      <c r="AF1525" s="1008" t="s">
        <v>670</v>
      </c>
      <c r="AG1525" s="1008"/>
      <c r="AH1525" s="1008"/>
      <c r="AI1525" s="1008"/>
    </row>
    <row r="1526" spans="1:35">
      <c r="A1526" s="1008">
        <v>24311</v>
      </c>
      <c r="C1526" s="1008">
        <v>6</v>
      </c>
      <c r="D1526" s="1009">
        <v>17699900</v>
      </c>
      <c r="E1526" s="1009">
        <v>17649999</v>
      </c>
      <c r="F1526" s="1007" t="s">
        <v>3139</v>
      </c>
      <c r="O1526" s="1007" t="s">
        <v>648</v>
      </c>
      <c r="P1526" s="1007" t="s">
        <v>648</v>
      </c>
      <c r="S1526" s="1008" t="s">
        <v>650</v>
      </c>
      <c r="T1526" s="1008" t="s">
        <v>21</v>
      </c>
      <c r="U1526" s="1008" t="s">
        <v>649</v>
      </c>
      <c r="V1526" s="1008" t="s">
        <v>648</v>
      </c>
      <c r="W1526" s="1008" t="s">
        <v>546</v>
      </c>
      <c r="X1526" s="1008"/>
      <c r="Y1526" s="1008"/>
      <c r="Z1526" s="1008"/>
      <c r="AA1526" s="1008"/>
      <c r="AB1526" s="1008"/>
      <c r="AC1526" s="1008"/>
      <c r="AD1526" s="1008"/>
      <c r="AE1526" s="1008"/>
      <c r="AF1526" s="1008"/>
      <c r="AG1526" s="1008"/>
      <c r="AH1526" s="1008"/>
      <c r="AI1526" s="1008"/>
    </row>
    <row r="1527" spans="1:35">
      <c r="A1527" s="1008">
        <v>24312</v>
      </c>
      <c r="C1527" s="1008">
        <v>6</v>
      </c>
      <c r="D1527" s="1009">
        <v>17659999</v>
      </c>
      <c r="E1527" s="1009">
        <v>17650000</v>
      </c>
      <c r="F1527" s="1007" t="s">
        <v>3138</v>
      </c>
      <c r="O1527" s="1007" t="s">
        <v>648</v>
      </c>
      <c r="P1527" s="1007" t="s">
        <v>648</v>
      </c>
      <c r="S1527" s="1008" t="s">
        <v>650</v>
      </c>
      <c r="T1527" s="1008" t="s">
        <v>675</v>
      </c>
      <c r="U1527" s="1008" t="s">
        <v>649</v>
      </c>
      <c r="V1527" s="1008" t="s">
        <v>648</v>
      </c>
      <c r="W1527" s="1008" t="s">
        <v>546</v>
      </c>
      <c r="X1527" s="1008"/>
      <c r="Y1527" s="1008"/>
      <c r="Z1527" s="1008"/>
      <c r="AA1527" s="1008"/>
      <c r="AB1527" s="1008"/>
      <c r="AC1527" s="1008"/>
      <c r="AD1527" s="1008"/>
      <c r="AE1527" s="1008"/>
      <c r="AF1527" s="1008"/>
      <c r="AG1527" s="1008"/>
      <c r="AH1527" s="1008"/>
      <c r="AI1527" s="1008"/>
    </row>
    <row r="1528" spans="1:35">
      <c r="A1528" s="1008">
        <v>24313</v>
      </c>
      <c r="B1528" s="1008">
        <v>1761</v>
      </c>
      <c r="C1528" s="1008">
        <v>7</v>
      </c>
      <c r="D1528" s="1009">
        <v>17659999</v>
      </c>
      <c r="E1528" s="1009">
        <v>17650400</v>
      </c>
      <c r="F1528" s="1007" t="s">
        <v>3137</v>
      </c>
      <c r="G1528" s="1007">
        <v>7</v>
      </c>
      <c r="H1528" s="1010">
        <v>99999999</v>
      </c>
      <c r="I1528" s="1009">
        <v>17650400</v>
      </c>
      <c r="J1528" s="1007" t="s">
        <v>3137</v>
      </c>
      <c r="O1528" s="1007" t="s">
        <v>648</v>
      </c>
      <c r="P1528" s="1007" t="s">
        <v>648</v>
      </c>
      <c r="S1528" s="1008" t="s">
        <v>650</v>
      </c>
      <c r="T1528" s="1008" t="s">
        <v>654</v>
      </c>
      <c r="U1528" s="1008" t="s">
        <v>649</v>
      </c>
      <c r="V1528" s="1008" t="s">
        <v>648</v>
      </c>
      <c r="W1528" s="1008" t="s">
        <v>546</v>
      </c>
      <c r="X1528" s="1008" t="s">
        <v>670</v>
      </c>
      <c r="Y1528" s="1008" t="s">
        <v>670</v>
      </c>
      <c r="Z1528" s="1008" t="s">
        <v>670</v>
      </c>
      <c r="AA1528" s="1008" t="s">
        <v>670</v>
      </c>
      <c r="AB1528" s="1008" t="s">
        <v>670</v>
      </c>
      <c r="AC1528" s="1008" t="s">
        <v>670</v>
      </c>
      <c r="AD1528" s="1008" t="s">
        <v>670</v>
      </c>
      <c r="AE1528" s="1008"/>
      <c r="AF1528" s="1008" t="s">
        <v>670</v>
      </c>
      <c r="AG1528" s="1008"/>
      <c r="AH1528" s="1008"/>
      <c r="AI1528" s="1008"/>
    </row>
    <row r="1529" spans="1:35">
      <c r="A1529" s="1008">
        <v>24314</v>
      </c>
      <c r="B1529" s="1008">
        <v>1762</v>
      </c>
      <c r="C1529" s="1008">
        <v>7</v>
      </c>
      <c r="D1529" s="1009">
        <v>17659999</v>
      </c>
      <c r="E1529" s="1009">
        <v>17650700</v>
      </c>
      <c r="F1529" s="1007" t="s">
        <v>3136</v>
      </c>
      <c r="G1529" s="1007">
        <v>7</v>
      </c>
      <c r="H1529" s="1010">
        <v>99999999</v>
      </c>
      <c r="I1529" s="1009">
        <v>17650700</v>
      </c>
      <c r="J1529" s="1007" t="s">
        <v>3136</v>
      </c>
      <c r="O1529" s="1007" t="s">
        <v>648</v>
      </c>
      <c r="P1529" s="1007" t="s">
        <v>648</v>
      </c>
      <c r="S1529" s="1008" t="s">
        <v>650</v>
      </c>
      <c r="T1529" s="1008" t="s">
        <v>654</v>
      </c>
      <c r="U1529" s="1008" t="s">
        <v>649</v>
      </c>
      <c r="V1529" s="1008" t="s">
        <v>648</v>
      </c>
      <c r="W1529" s="1008" t="s">
        <v>546</v>
      </c>
      <c r="X1529" s="1008" t="s">
        <v>670</v>
      </c>
      <c r="Y1529" s="1008" t="s">
        <v>670</v>
      </c>
      <c r="Z1529" s="1008" t="s">
        <v>670</v>
      </c>
      <c r="AA1529" s="1008" t="s">
        <v>670</v>
      </c>
      <c r="AB1529" s="1008" t="s">
        <v>670</v>
      </c>
      <c r="AC1529" s="1008" t="s">
        <v>670</v>
      </c>
      <c r="AD1529" s="1008" t="s">
        <v>670</v>
      </c>
      <c r="AE1529" s="1008"/>
      <c r="AF1529" s="1008" t="s">
        <v>670</v>
      </c>
      <c r="AG1529" s="1008"/>
      <c r="AH1529" s="1008"/>
      <c r="AI1529" s="1008"/>
    </row>
    <row r="1530" spans="1:35">
      <c r="A1530" s="1008">
        <v>24315</v>
      </c>
      <c r="B1530" s="1008">
        <v>4995</v>
      </c>
      <c r="C1530" s="1008">
        <v>7</v>
      </c>
      <c r="D1530" s="1009">
        <v>17659999</v>
      </c>
      <c r="E1530" s="1009">
        <v>17650800</v>
      </c>
      <c r="F1530" s="1007" t="s">
        <v>3135</v>
      </c>
      <c r="G1530" s="1007">
        <v>7</v>
      </c>
      <c r="H1530" s="1010">
        <v>99999999</v>
      </c>
      <c r="I1530" s="1009">
        <v>17650800</v>
      </c>
      <c r="J1530" s="1007" t="s">
        <v>3135</v>
      </c>
      <c r="O1530" s="1007" t="s">
        <v>648</v>
      </c>
      <c r="P1530" s="1007" t="s">
        <v>648</v>
      </c>
      <c r="S1530" s="1008" t="s">
        <v>650</v>
      </c>
      <c r="T1530" s="1008" t="s">
        <v>654</v>
      </c>
      <c r="U1530" s="1008" t="s">
        <v>649</v>
      </c>
      <c r="V1530" s="1008" t="s">
        <v>648</v>
      </c>
      <c r="W1530" s="1008" t="s">
        <v>546</v>
      </c>
      <c r="X1530" s="1008" t="s">
        <v>670</v>
      </c>
      <c r="Y1530" s="1008" t="s">
        <v>670</v>
      </c>
      <c r="Z1530" s="1008" t="s">
        <v>670</v>
      </c>
      <c r="AA1530" s="1008" t="s">
        <v>670</v>
      </c>
      <c r="AB1530" s="1008" t="s">
        <v>670</v>
      </c>
      <c r="AC1530" s="1008" t="s">
        <v>670</v>
      </c>
      <c r="AD1530" s="1008" t="s">
        <v>670</v>
      </c>
      <c r="AE1530" s="1008"/>
      <c r="AF1530" s="1008" t="s">
        <v>670</v>
      </c>
      <c r="AG1530" s="1008"/>
      <c r="AH1530" s="1008"/>
      <c r="AI1530" s="1008"/>
    </row>
    <row r="1531" spans="1:35">
      <c r="A1531" s="1008">
        <v>24316</v>
      </c>
      <c r="C1531" s="1008">
        <v>6</v>
      </c>
      <c r="D1531" s="1009">
        <v>17699900</v>
      </c>
      <c r="E1531" s="1009">
        <v>17659999</v>
      </c>
      <c r="F1531" s="1007" t="s">
        <v>3134</v>
      </c>
      <c r="O1531" s="1007" t="s">
        <v>648</v>
      </c>
      <c r="P1531" s="1007" t="s">
        <v>648</v>
      </c>
      <c r="S1531" s="1008" t="s">
        <v>650</v>
      </c>
      <c r="T1531" s="1008" t="s">
        <v>21</v>
      </c>
      <c r="U1531" s="1008" t="s">
        <v>649</v>
      </c>
      <c r="V1531" s="1008" t="s">
        <v>648</v>
      </c>
      <c r="W1531" s="1008" t="s">
        <v>546</v>
      </c>
      <c r="X1531" s="1008"/>
      <c r="Y1531" s="1008"/>
      <c r="Z1531" s="1008"/>
      <c r="AA1531" s="1008"/>
      <c r="AB1531" s="1008"/>
      <c r="AC1531" s="1008"/>
      <c r="AD1531" s="1008"/>
      <c r="AE1531" s="1008"/>
      <c r="AF1531" s="1008"/>
      <c r="AG1531" s="1008"/>
      <c r="AH1531" s="1008"/>
      <c r="AI1531" s="1008"/>
    </row>
    <row r="1532" spans="1:35">
      <c r="A1532" s="1008">
        <v>24317</v>
      </c>
      <c r="C1532" s="1008">
        <v>5</v>
      </c>
      <c r="D1532" s="1009">
        <v>17699999</v>
      </c>
      <c r="E1532" s="1009">
        <v>17699900</v>
      </c>
      <c r="F1532" s="1007" t="s">
        <v>2578</v>
      </c>
      <c r="O1532" s="1007" t="s">
        <v>648</v>
      </c>
      <c r="P1532" s="1007" t="s">
        <v>648</v>
      </c>
      <c r="S1532" s="1008" t="s">
        <v>650</v>
      </c>
      <c r="T1532" s="1008" t="s">
        <v>21</v>
      </c>
      <c r="U1532" s="1008" t="s">
        <v>649</v>
      </c>
      <c r="V1532" s="1008" t="s">
        <v>648</v>
      </c>
      <c r="W1532" s="1008" t="s">
        <v>546</v>
      </c>
      <c r="X1532" s="1008"/>
      <c r="Y1532" s="1008"/>
      <c r="Z1532" s="1008"/>
      <c r="AA1532" s="1008"/>
      <c r="AB1532" s="1008"/>
      <c r="AC1532" s="1008"/>
      <c r="AD1532" s="1008"/>
      <c r="AE1532" s="1008"/>
      <c r="AF1532" s="1008"/>
      <c r="AG1532" s="1008"/>
      <c r="AH1532" s="1008"/>
      <c r="AI1532" s="1008"/>
    </row>
    <row r="1533" spans="1:35">
      <c r="A1533" s="1008">
        <v>24318</v>
      </c>
      <c r="C1533" s="1008">
        <v>4</v>
      </c>
      <c r="D1533" s="1009">
        <v>19999998</v>
      </c>
      <c r="E1533" s="1009">
        <v>17699999</v>
      </c>
      <c r="F1533" s="1007" t="s">
        <v>3133</v>
      </c>
      <c r="O1533" s="1007" t="s">
        <v>648</v>
      </c>
      <c r="P1533" s="1007" t="s">
        <v>648</v>
      </c>
      <c r="S1533" s="1008" t="s">
        <v>650</v>
      </c>
      <c r="T1533" s="1008" t="s">
        <v>21</v>
      </c>
      <c r="U1533" s="1008" t="s">
        <v>649</v>
      </c>
      <c r="V1533" s="1008" t="s">
        <v>648</v>
      </c>
      <c r="W1533" s="1008" t="s">
        <v>546</v>
      </c>
      <c r="X1533" s="1008"/>
      <c r="Y1533" s="1008"/>
      <c r="Z1533" s="1008"/>
      <c r="AA1533" s="1008"/>
      <c r="AB1533" s="1008"/>
      <c r="AC1533" s="1008"/>
      <c r="AD1533" s="1008"/>
      <c r="AE1533" s="1008"/>
      <c r="AF1533" s="1008"/>
      <c r="AG1533" s="1008"/>
      <c r="AH1533" s="1008"/>
      <c r="AI1533" s="1008"/>
    </row>
    <row r="1534" spans="1:35">
      <c r="A1534" s="1008">
        <v>24319</v>
      </c>
      <c r="C1534" s="1008">
        <v>4</v>
      </c>
      <c r="D1534" s="1009">
        <v>17729999</v>
      </c>
      <c r="E1534" s="1009">
        <v>17700000</v>
      </c>
      <c r="F1534" s="1007" t="s">
        <v>3132</v>
      </c>
      <c r="O1534" s="1007" t="s">
        <v>648</v>
      </c>
      <c r="P1534" s="1007" t="s">
        <v>648</v>
      </c>
      <c r="S1534" s="1008" t="s">
        <v>650</v>
      </c>
      <c r="T1534" s="1008" t="s">
        <v>675</v>
      </c>
      <c r="U1534" s="1008" t="s">
        <v>649</v>
      </c>
      <c r="V1534" s="1008" t="s">
        <v>648</v>
      </c>
      <c r="W1534" s="1008" t="s">
        <v>546</v>
      </c>
      <c r="X1534" s="1008"/>
      <c r="Y1534" s="1008"/>
      <c r="Z1534" s="1008"/>
      <c r="AA1534" s="1008"/>
      <c r="AB1534" s="1008"/>
      <c r="AC1534" s="1008"/>
      <c r="AD1534" s="1008"/>
      <c r="AE1534" s="1008"/>
      <c r="AF1534" s="1008"/>
      <c r="AG1534" s="1008"/>
      <c r="AH1534" s="1008"/>
      <c r="AI1534" s="1008"/>
    </row>
    <row r="1535" spans="1:35">
      <c r="A1535" s="1008">
        <v>24320</v>
      </c>
      <c r="C1535" s="1008">
        <v>5</v>
      </c>
      <c r="D1535" s="1009">
        <v>17711990</v>
      </c>
      <c r="E1535" s="1009">
        <v>17710000</v>
      </c>
      <c r="F1535" s="1007" t="s">
        <v>3131</v>
      </c>
      <c r="O1535" s="1007" t="s">
        <v>648</v>
      </c>
      <c r="P1535" s="1007" t="s">
        <v>648</v>
      </c>
      <c r="S1535" s="1008" t="s">
        <v>650</v>
      </c>
      <c r="T1535" s="1008" t="s">
        <v>675</v>
      </c>
      <c r="U1535" s="1008" t="s">
        <v>649</v>
      </c>
      <c r="V1535" s="1008" t="s">
        <v>648</v>
      </c>
      <c r="W1535" s="1008" t="s">
        <v>546</v>
      </c>
      <c r="X1535" s="1008"/>
      <c r="Y1535" s="1008"/>
      <c r="Z1535" s="1008"/>
      <c r="AA1535" s="1008"/>
      <c r="AB1535" s="1008"/>
      <c r="AC1535" s="1008"/>
      <c r="AD1535" s="1008"/>
      <c r="AE1535" s="1008"/>
      <c r="AF1535" s="1008"/>
      <c r="AG1535" s="1008"/>
      <c r="AH1535" s="1008"/>
      <c r="AI1535" s="1008"/>
    </row>
    <row r="1536" spans="1:35">
      <c r="A1536" s="1008">
        <v>24321</v>
      </c>
      <c r="C1536" s="1008">
        <v>6</v>
      </c>
      <c r="D1536" s="1009">
        <v>17711900</v>
      </c>
      <c r="E1536" s="1009">
        <v>17711000</v>
      </c>
      <c r="F1536" s="1007" t="s">
        <v>3130</v>
      </c>
      <c r="O1536" s="1007" t="s">
        <v>648</v>
      </c>
      <c r="P1536" s="1007" t="s">
        <v>648</v>
      </c>
      <c r="S1536" s="1008" t="s">
        <v>650</v>
      </c>
      <c r="T1536" s="1008" t="s">
        <v>675</v>
      </c>
      <c r="U1536" s="1008" t="s">
        <v>649</v>
      </c>
      <c r="V1536" s="1008" t="s">
        <v>648</v>
      </c>
      <c r="W1536" s="1008" t="s">
        <v>546</v>
      </c>
      <c r="X1536" s="1008"/>
      <c r="Y1536" s="1008"/>
      <c r="Z1536" s="1008"/>
      <c r="AA1536" s="1008"/>
      <c r="AB1536" s="1008"/>
      <c r="AC1536" s="1008"/>
      <c r="AD1536" s="1008"/>
      <c r="AE1536" s="1008"/>
      <c r="AF1536" s="1008"/>
      <c r="AG1536" s="1008"/>
      <c r="AH1536" s="1008"/>
      <c r="AI1536" s="1008"/>
    </row>
    <row r="1537" spans="1:35">
      <c r="A1537" s="1008">
        <v>27019</v>
      </c>
      <c r="C1537" s="1008">
        <v>8</v>
      </c>
      <c r="D1537" s="1009">
        <v>17711299</v>
      </c>
      <c r="E1537" s="1009">
        <v>17711200</v>
      </c>
      <c r="F1537" s="1007" t="s">
        <v>3129</v>
      </c>
      <c r="O1537" s="1007" t="s">
        <v>648</v>
      </c>
      <c r="P1537" s="1007" t="s">
        <v>648</v>
      </c>
      <c r="S1537" s="1008" t="s">
        <v>650</v>
      </c>
      <c r="T1537" s="1008" t="s">
        <v>675</v>
      </c>
      <c r="U1537" s="1008" t="s">
        <v>649</v>
      </c>
      <c r="V1537" s="1008" t="s">
        <v>648</v>
      </c>
      <c r="W1537" s="1008" t="s">
        <v>546</v>
      </c>
      <c r="X1537" s="1008"/>
      <c r="Y1537" s="1008"/>
      <c r="Z1537" s="1008"/>
      <c r="AA1537" s="1008"/>
      <c r="AB1537" s="1008"/>
      <c r="AC1537" s="1008"/>
      <c r="AD1537" s="1008"/>
      <c r="AE1537" s="1008"/>
      <c r="AF1537" s="1008"/>
      <c r="AG1537" s="1008"/>
      <c r="AH1537" s="1008"/>
      <c r="AI1537" s="1008"/>
    </row>
    <row r="1538" spans="1:35">
      <c r="A1538" s="1008">
        <v>27020</v>
      </c>
      <c r="B1538" s="1008">
        <v>416</v>
      </c>
      <c r="C1538" s="1008">
        <v>9</v>
      </c>
      <c r="D1538" s="1009">
        <v>17711299</v>
      </c>
      <c r="E1538" s="1009">
        <v>17711205</v>
      </c>
      <c r="F1538" s="1007" t="s">
        <v>3128</v>
      </c>
      <c r="G1538" s="1007">
        <v>8</v>
      </c>
      <c r="H1538" s="1010">
        <v>99999999</v>
      </c>
      <c r="I1538" s="1009">
        <v>17711205</v>
      </c>
      <c r="J1538" s="1007" t="s">
        <v>3128</v>
      </c>
      <c r="O1538" s="1007" t="s">
        <v>648</v>
      </c>
      <c r="P1538" s="1007" t="s">
        <v>648</v>
      </c>
      <c r="S1538" s="1008" t="s">
        <v>650</v>
      </c>
      <c r="T1538" s="1008" t="s">
        <v>654</v>
      </c>
      <c r="U1538" s="1008" t="s">
        <v>649</v>
      </c>
      <c r="V1538" s="1008" t="s">
        <v>648</v>
      </c>
      <c r="W1538" s="1008" t="s">
        <v>546</v>
      </c>
      <c r="X1538" s="1008" t="s">
        <v>670</v>
      </c>
      <c r="Y1538" s="1008" t="s">
        <v>670</v>
      </c>
      <c r="Z1538" s="1008" t="s">
        <v>670</v>
      </c>
      <c r="AA1538" s="1008"/>
      <c r="AB1538" s="1008"/>
      <c r="AC1538" s="1008"/>
      <c r="AD1538" s="1008" t="s">
        <v>670</v>
      </c>
      <c r="AE1538" s="1008"/>
      <c r="AF1538" s="1008" t="s">
        <v>670</v>
      </c>
      <c r="AG1538" s="1008"/>
      <c r="AH1538" s="1008"/>
      <c r="AI1538" s="1008"/>
    </row>
    <row r="1539" spans="1:35">
      <c r="A1539" s="1008">
        <v>27021</v>
      </c>
      <c r="B1539" s="1008">
        <v>417</v>
      </c>
      <c r="C1539" s="1008">
        <v>9</v>
      </c>
      <c r="D1539" s="1009">
        <v>17711299</v>
      </c>
      <c r="E1539" s="1009">
        <v>17711210</v>
      </c>
      <c r="F1539" s="1007" t="s">
        <v>3127</v>
      </c>
      <c r="G1539" s="1007">
        <v>8</v>
      </c>
      <c r="H1539" s="1010">
        <v>99999999</v>
      </c>
      <c r="I1539" s="1009">
        <v>17711210</v>
      </c>
      <c r="J1539" s="1007" t="s">
        <v>3127</v>
      </c>
      <c r="O1539" s="1007" t="s">
        <v>648</v>
      </c>
      <c r="P1539" s="1007" t="s">
        <v>648</v>
      </c>
      <c r="S1539" s="1008" t="s">
        <v>650</v>
      </c>
      <c r="T1539" s="1008" t="s">
        <v>654</v>
      </c>
      <c r="U1539" s="1008" t="s">
        <v>649</v>
      </c>
      <c r="V1539" s="1008" t="s">
        <v>648</v>
      </c>
      <c r="W1539" s="1008" t="s">
        <v>546</v>
      </c>
      <c r="X1539" s="1008" t="s">
        <v>670</v>
      </c>
      <c r="Y1539" s="1008" t="s">
        <v>670</v>
      </c>
      <c r="Z1539" s="1008" t="s">
        <v>670</v>
      </c>
      <c r="AA1539" s="1008"/>
      <c r="AB1539" s="1008"/>
      <c r="AC1539" s="1008"/>
      <c r="AD1539" s="1008" t="s">
        <v>670</v>
      </c>
      <c r="AE1539" s="1008"/>
      <c r="AF1539" s="1008" t="s">
        <v>670</v>
      </c>
      <c r="AG1539" s="1008"/>
      <c r="AH1539" s="1008"/>
      <c r="AI1539" s="1008"/>
    </row>
    <row r="1540" spans="1:35">
      <c r="A1540" s="1008">
        <v>27022</v>
      </c>
      <c r="B1540" s="1008">
        <v>418</v>
      </c>
      <c r="C1540" s="1008">
        <v>9</v>
      </c>
      <c r="D1540" s="1009">
        <v>17711299</v>
      </c>
      <c r="E1540" s="1009">
        <v>17711215</v>
      </c>
      <c r="F1540" s="1007" t="s">
        <v>3126</v>
      </c>
      <c r="G1540" s="1007">
        <v>8</v>
      </c>
      <c r="H1540" s="1010">
        <v>99999999</v>
      </c>
      <c r="I1540" s="1009">
        <v>17711215</v>
      </c>
      <c r="J1540" s="1007" t="s">
        <v>3126</v>
      </c>
      <c r="O1540" s="1007" t="s">
        <v>648</v>
      </c>
      <c r="P1540" s="1007" t="s">
        <v>648</v>
      </c>
      <c r="S1540" s="1008" t="s">
        <v>650</v>
      </c>
      <c r="T1540" s="1008" t="s">
        <v>654</v>
      </c>
      <c r="U1540" s="1008" t="s">
        <v>649</v>
      </c>
      <c r="V1540" s="1008" t="s">
        <v>648</v>
      </c>
      <c r="W1540" s="1008" t="s">
        <v>546</v>
      </c>
      <c r="X1540" s="1008" t="s">
        <v>670</v>
      </c>
      <c r="Y1540" s="1008" t="s">
        <v>670</v>
      </c>
      <c r="Z1540" s="1008" t="s">
        <v>670</v>
      </c>
      <c r="AA1540" s="1008"/>
      <c r="AB1540" s="1008"/>
      <c r="AC1540" s="1008"/>
      <c r="AD1540" s="1008"/>
      <c r="AE1540" s="1008"/>
      <c r="AF1540" s="1008" t="s">
        <v>670</v>
      </c>
      <c r="AG1540" s="1008"/>
      <c r="AH1540" s="1008"/>
      <c r="AI1540" s="1008"/>
    </row>
    <row r="1541" spans="1:35">
      <c r="A1541" s="1008">
        <v>24322</v>
      </c>
      <c r="B1541" s="1008">
        <v>1764</v>
      </c>
      <c r="C1541" s="1008">
        <v>9</v>
      </c>
      <c r="D1541" s="1009">
        <v>17711299</v>
      </c>
      <c r="E1541" s="1009">
        <v>17711220</v>
      </c>
      <c r="F1541" s="1007" t="s">
        <v>3125</v>
      </c>
      <c r="G1541" s="1007">
        <v>7</v>
      </c>
      <c r="H1541" s="1010">
        <v>99999999</v>
      </c>
      <c r="I1541" s="1009">
        <v>17711220</v>
      </c>
      <c r="J1541" s="1007" t="s">
        <v>3125</v>
      </c>
      <c r="O1541" s="1007" t="s">
        <v>648</v>
      </c>
      <c r="P1541" s="1007" t="s">
        <v>648</v>
      </c>
      <c r="S1541" s="1008" t="s">
        <v>650</v>
      </c>
      <c r="T1541" s="1008" t="s">
        <v>654</v>
      </c>
      <c r="U1541" s="1008" t="s">
        <v>649</v>
      </c>
      <c r="V1541" s="1008" t="s">
        <v>648</v>
      </c>
      <c r="W1541" s="1008" t="s">
        <v>546</v>
      </c>
      <c r="X1541" s="1008" t="s">
        <v>670</v>
      </c>
      <c r="Y1541" s="1008" t="s">
        <v>670</v>
      </c>
      <c r="Z1541" s="1008" t="s">
        <v>670</v>
      </c>
      <c r="AA1541" s="1008"/>
      <c r="AB1541" s="1008"/>
      <c r="AC1541" s="1008"/>
      <c r="AD1541" s="1008"/>
      <c r="AE1541" s="1008"/>
      <c r="AF1541" s="1008" t="s">
        <v>670</v>
      </c>
      <c r="AG1541" s="1008"/>
      <c r="AH1541" s="1008"/>
      <c r="AI1541" s="1008"/>
    </row>
    <row r="1542" spans="1:35">
      <c r="A1542" s="1008">
        <v>27023</v>
      </c>
      <c r="C1542" s="1008">
        <v>8</v>
      </c>
      <c r="D1542" s="1009">
        <v>17711900</v>
      </c>
      <c r="E1542" s="1009">
        <v>17711299</v>
      </c>
      <c r="F1542" s="1007" t="s">
        <v>3124</v>
      </c>
      <c r="O1542" s="1007" t="s">
        <v>648</v>
      </c>
      <c r="P1542" s="1007" t="s">
        <v>648</v>
      </c>
      <c r="S1542" s="1008" t="s">
        <v>650</v>
      </c>
      <c r="T1542" s="1008" t="s">
        <v>21</v>
      </c>
      <c r="U1542" s="1008" t="s">
        <v>649</v>
      </c>
      <c r="V1542" s="1008" t="s">
        <v>648</v>
      </c>
      <c r="W1542" s="1008" t="s">
        <v>546</v>
      </c>
      <c r="X1542" s="1008"/>
      <c r="Y1542" s="1008"/>
      <c r="Z1542" s="1008"/>
      <c r="AA1542" s="1008"/>
      <c r="AB1542" s="1008"/>
      <c r="AC1542" s="1008"/>
      <c r="AD1542" s="1008"/>
      <c r="AE1542" s="1008"/>
      <c r="AF1542" s="1008"/>
      <c r="AG1542" s="1008"/>
      <c r="AH1542" s="1008"/>
      <c r="AI1542" s="1008"/>
    </row>
    <row r="1543" spans="1:35">
      <c r="A1543" s="1008">
        <v>27024</v>
      </c>
      <c r="B1543" s="1008">
        <v>5905</v>
      </c>
      <c r="C1543" s="1008">
        <v>7</v>
      </c>
      <c r="D1543" s="1009">
        <v>17711900</v>
      </c>
      <c r="E1543" s="1009">
        <v>17711600</v>
      </c>
      <c r="F1543" s="1007" t="s">
        <v>3123</v>
      </c>
      <c r="G1543" s="1007" t="s">
        <v>648</v>
      </c>
      <c r="H1543" s="1010">
        <v>99999999</v>
      </c>
      <c r="I1543" s="1009">
        <v>17711600</v>
      </c>
      <c r="J1543" s="1007" t="s">
        <v>3123</v>
      </c>
      <c r="O1543" s="1007" t="s">
        <v>648</v>
      </c>
      <c r="P1543" s="1007" t="s">
        <v>648</v>
      </c>
      <c r="S1543" s="1008" t="s">
        <v>650</v>
      </c>
      <c r="T1543" s="1008" t="s">
        <v>654</v>
      </c>
      <c r="U1543" s="1008" t="s">
        <v>649</v>
      </c>
      <c r="V1543" s="1008" t="s">
        <v>648</v>
      </c>
      <c r="W1543" s="1008" t="s">
        <v>546</v>
      </c>
      <c r="X1543" s="1008" t="s">
        <v>670</v>
      </c>
      <c r="Y1543" s="1008" t="s">
        <v>670</v>
      </c>
      <c r="Z1543" s="1008" t="s">
        <v>670</v>
      </c>
      <c r="AA1543" s="1008"/>
      <c r="AB1543" s="1008" t="s">
        <v>670</v>
      </c>
      <c r="AC1543" s="1008"/>
      <c r="AD1543" s="1008"/>
      <c r="AE1543" s="1008"/>
      <c r="AF1543" s="1008" t="s">
        <v>670</v>
      </c>
      <c r="AG1543" s="1008"/>
      <c r="AH1543" s="1008"/>
      <c r="AI1543" s="1008"/>
    </row>
    <row r="1544" spans="1:35">
      <c r="A1544" s="1008">
        <v>27025</v>
      </c>
      <c r="B1544" s="1008">
        <v>5906</v>
      </c>
      <c r="C1544" s="1008">
        <v>7</v>
      </c>
      <c r="D1544" s="1009">
        <v>17711900</v>
      </c>
      <c r="E1544" s="1009">
        <v>17711650</v>
      </c>
      <c r="F1544" s="1007" t="s">
        <v>3122</v>
      </c>
      <c r="G1544" s="1007" t="s">
        <v>648</v>
      </c>
      <c r="H1544" s="1010">
        <v>99999999</v>
      </c>
      <c r="I1544" s="1009">
        <v>17711650</v>
      </c>
      <c r="J1544" s="1007" t="s">
        <v>3122</v>
      </c>
      <c r="O1544" s="1007" t="s">
        <v>648</v>
      </c>
      <c r="P1544" s="1007" t="s">
        <v>648</v>
      </c>
      <c r="S1544" s="1008" t="s">
        <v>650</v>
      </c>
      <c r="T1544" s="1008" t="s">
        <v>654</v>
      </c>
      <c r="U1544" s="1008" t="s">
        <v>649</v>
      </c>
      <c r="V1544" s="1008" t="s">
        <v>648</v>
      </c>
      <c r="W1544" s="1008" t="s">
        <v>546</v>
      </c>
      <c r="X1544" s="1008" t="s">
        <v>670</v>
      </c>
      <c r="Y1544" s="1008" t="s">
        <v>670</v>
      </c>
      <c r="Z1544" s="1008" t="s">
        <v>670</v>
      </c>
      <c r="AA1544" s="1008"/>
      <c r="AB1544" s="1008" t="s">
        <v>670</v>
      </c>
      <c r="AC1544" s="1008"/>
      <c r="AD1544" s="1008"/>
      <c r="AE1544" s="1008"/>
      <c r="AF1544" s="1008" t="s">
        <v>670</v>
      </c>
      <c r="AG1544" s="1008"/>
      <c r="AH1544" s="1008"/>
      <c r="AI1544" s="1008"/>
    </row>
    <row r="1545" spans="1:35">
      <c r="A1545" s="1008">
        <v>24323</v>
      </c>
      <c r="B1545" s="1008">
        <v>744</v>
      </c>
      <c r="C1545" s="1008">
        <v>7</v>
      </c>
      <c r="D1545" s="1009">
        <v>17711900</v>
      </c>
      <c r="E1545" s="1009">
        <v>17711700</v>
      </c>
      <c r="F1545" s="1007" t="s">
        <v>3121</v>
      </c>
      <c r="G1545" s="1007">
        <v>8</v>
      </c>
      <c r="H1545" s="1010">
        <v>99999999</v>
      </c>
      <c r="I1545" s="1009">
        <v>17711700</v>
      </c>
      <c r="J1545" s="1007" t="s">
        <v>3121</v>
      </c>
      <c r="O1545" s="1007" t="s">
        <v>648</v>
      </c>
      <c r="P1545" s="1007" t="s">
        <v>648</v>
      </c>
      <c r="S1545" s="1008" t="s">
        <v>650</v>
      </c>
      <c r="T1545" s="1008" t="s">
        <v>654</v>
      </c>
      <c r="U1545" s="1008" t="s">
        <v>649</v>
      </c>
      <c r="V1545" s="1008" t="s">
        <v>648</v>
      </c>
      <c r="W1545" s="1008" t="s">
        <v>546</v>
      </c>
      <c r="X1545" s="1008" t="s">
        <v>670</v>
      </c>
      <c r="Y1545" s="1008" t="s">
        <v>670</v>
      </c>
      <c r="Z1545" s="1008" t="s">
        <v>670</v>
      </c>
      <c r="AA1545" s="1008" t="s">
        <v>670</v>
      </c>
      <c r="AB1545" s="1008" t="s">
        <v>670</v>
      </c>
      <c r="AC1545" s="1008" t="s">
        <v>670</v>
      </c>
      <c r="AD1545" s="1008" t="s">
        <v>670</v>
      </c>
      <c r="AE1545" s="1008"/>
      <c r="AF1545" s="1008" t="s">
        <v>670</v>
      </c>
      <c r="AG1545" s="1008"/>
      <c r="AH1545" s="1008"/>
      <c r="AI1545" s="1008"/>
    </row>
    <row r="1546" spans="1:35">
      <c r="A1546" s="1008">
        <v>24324</v>
      </c>
      <c r="B1546" s="1008">
        <v>763</v>
      </c>
      <c r="C1546" s="1008">
        <v>7</v>
      </c>
      <c r="D1546" s="1009">
        <v>17711900</v>
      </c>
      <c r="E1546" s="1009">
        <v>17711800</v>
      </c>
      <c r="F1546" s="1007" t="s">
        <v>3120</v>
      </c>
      <c r="G1546" s="1007">
        <v>8</v>
      </c>
      <c r="H1546" s="1010">
        <v>99999999</v>
      </c>
      <c r="I1546" s="1009">
        <v>17711800</v>
      </c>
      <c r="J1546" s="1007" t="s">
        <v>3120</v>
      </c>
      <c r="O1546" s="1007" t="s">
        <v>648</v>
      </c>
      <c r="P1546" s="1007" t="s">
        <v>648</v>
      </c>
      <c r="S1546" s="1008" t="s">
        <v>650</v>
      </c>
      <c r="T1546" s="1008" t="s">
        <v>654</v>
      </c>
      <c r="U1546" s="1008" t="s">
        <v>649</v>
      </c>
      <c r="V1546" s="1008" t="s">
        <v>648</v>
      </c>
      <c r="W1546" s="1008" t="s">
        <v>546</v>
      </c>
      <c r="X1546" s="1008" t="s">
        <v>670</v>
      </c>
      <c r="Y1546" s="1008" t="s">
        <v>670</v>
      </c>
      <c r="Z1546" s="1008" t="s">
        <v>670</v>
      </c>
      <c r="AA1546" s="1008"/>
      <c r="AB1546" s="1008"/>
      <c r="AC1546" s="1008"/>
      <c r="AD1546" s="1008"/>
      <c r="AE1546" s="1008"/>
      <c r="AF1546" s="1008" t="s">
        <v>670</v>
      </c>
      <c r="AG1546" s="1008"/>
      <c r="AH1546" s="1008"/>
      <c r="AI1546" s="1008"/>
    </row>
    <row r="1547" spans="1:35">
      <c r="A1547" s="1008">
        <v>24325</v>
      </c>
      <c r="C1547" s="1008">
        <v>6</v>
      </c>
      <c r="D1547" s="1009">
        <v>17711990</v>
      </c>
      <c r="E1547" s="1009">
        <v>17711900</v>
      </c>
      <c r="F1547" s="1007" t="s">
        <v>3119</v>
      </c>
      <c r="O1547" s="1007" t="s">
        <v>648</v>
      </c>
      <c r="P1547" s="1007" t="s">
        <v>648</v>
      </c>
      <c r="S1547" s="1008" t="s">
        <v>650</v>
      </c>
      <c r="T1547" s="1008" t="s">
        <v>21</v>
      </c>
      <c r="U1547" s="1008" t="s">
        <v>649</v>
      </c>
      <c r="V1547" s="1008" t="s">
        <v>648</v>
      </c>
      <c r="W1547" s="1008" t="s">
        <v>546</v>
      </c>
      <c r="X1547" s="1008"/>
      <c r="Y1547" s="1008"/>
      <c r="Z1547" s="1008"/>
      <c r="AA1547" s="1008"/>
      <c r="AB1547" s="1008"/>
      <c r="AC1547" s="1008"/>
      <c r="AD1547" s="1008"/>
      <c r="AE1547" s="1008"/>
      <c r="AF1547" s="1008"/>
      <c r="AG1547" s="1008"/>
      <c r="AH1547" s="1008"/>
      <c r="AI1547" s="1008"/>
    </row>
    <row r="1548" spans="1:35">
      <c r="A1548" s="1008">
        <v>24326</v>
      </c>
      <c r="C1548" s="1008">
        <v>5</v>
      </c>
      <c r="D1548" s="1009">
        <v>17729999</v>
      </c>
      <c r="E1548" s="1009">
        <v>17711990</v>
      </c>
      <c r="F1548" s="1007" t="s">
        <v>3118</v>
      </c>
      <c r="O1548" s="1007" t="s">
        <v>648</v>
      </c>
      <c r="P1548" s="1007" t="s">
        <v>648</v>
      </c>
      <c r="S1548" s="1008" t="s">
        <v>650</v>
      </c>
      <c r="T1548" s="1008" t="s">
        <v>21</v>
      </c>
      <c r="U1548" s="1008" t="s">
        <v>649</v>
      </c>
      <c r="V1548" s="1008" t="s">
        <v>648</v>
      </c>
      <c r="W1548" s="1008" t="s">
        <v>546</v>
      </c>
      <c r="X1548" s="1008"/>
      <c r="Y1548" s="1008"/>
      <c r="Z1548" s="1008"/>
      <c r="AA1548" s="1008"/>
      <c r="AB1548" s="1008"/>
      <c r="AC1548" s="1008"/>
      <c r="AD1548" s="1008"/>
      <c r="AE1548" s="1008"/>
      <c r="AF1548" s="1008"/>
      <c r="AG1548" s="1008"/>
      <c r="AH1548" s="1008"/>
      <c r="AI1548" s="1008"/>
    </row>
    <row r="1549" spans="1:35">
      <c r="A1549" s="1008">
        <v>24327</v>
      </c>
      <c r="C1549" s="1008">
        <v>5</v>
      </c>
      <c r="D1549" s="1009">
        <v>17729000</v>
      </c>
      <c r="E1549" s="1009">
        <v>17720000</v>
      </c>
      <c r="F1549" s="1007" t="s">
        <v>3117</v>
      </c>
      <c r="O1549" s="1007" t="s">
        <v>648</v>
      </c>
      <c r="P1549" s="1007" t="s">
        <v>648</v>
      </c>
      <c r="S1549" s="1008" t="s">
        <v>650</v>
      </c>
      <c r="T1549" s="1008" t="s">
        <v>675</v>
      </c>
      <c r="U1549" s="1008" t="s">
        <v>649</v>
      </c>
      <c r="V1549" s="1008" t="s">
        <v>648</v>
      </c>
      <c r="W1549" s="1008" t="s">
        <v>546</v>
      </c>
      <c r="X1549" s="1008"/>
      <c r="Y1549" s="1008"/>
      <c r="Z1549" s="1008"/>
      <c r="AA1549" s="1008"/>
      <c r="AB1549" s="1008"/>
      <c r="AC1549" s="1008"/>
      <c r="AD1549" s="1008"/>
      <c r="AE1549" s="1008"/>
      <c r="AF1549" s="1008"/>
      <c r="AG1549" s="1008"/>
      <c r="AH1549" s="1008"/>
      <c r="AI1549" s="1008"/>
    </row>
    <row r="1550" spans="1:35">
      <c r="A1550" s="1008">
        <v>24328</v>
      </c>
      <c r="C1550" s="1008">
        <v>6</v>
      </c>
      <c r="D1550" s="1009">
        <v>17722900</v>
      </c>
      <c r="E1550" s="1009">
        <v>17721000</v>
      </c>
      <c r="F1550" s="1007" t="s">
        <v>3116</v>
      </c>
      <c r="O1550" s="1007" t="s">
        <v>648</v>
      </c>
      <c r="P1550" s="1007" t="s">
        <v>648</v>
      </c>
      <c r="S1550" s="1008" t="s">
        <v>650</v>
      </c>
      <c r="T1550" s="1008" t="s">
        <v>675</v>
      </c>
      <c r="U1550" s="1008" t="s">
        <v>649</v>
      </c>
      <c r="V1550" s="1008" t="s">
        <v>648</v>
      </c>
      <c r="W1550" s="1008" t="s">
        <v>546</v>
      </c>
      <c r="X1550" s="1008"/>
      <c r="Y1550" s="1008"/>
      <c r="Z1550" s="1008"/>
      <c r="AA1550" s="1008"/>
      <c r="AB1550" s="1008"/>
      <c r="AC1550" s="1008"/>
      <c r="AD1550" s="1008"/>
      <c r="AE1550" s="1008"/>
      <c r="AF1550" s="1008"/>
      <c r="AG1550" s="1008"/>
      <c r="AH1550" s="1008"/>
      <c r="AI1550" s="1008"/>
    </row>
    <row r="1551" spans="1:35">
      <c r="A1551" s="1008">
        <v>24329</v>
      </c>
      <c r="B1551" s="1008">
        <v>757</v>
      </c>
      <c r="C1551" s="1008">
        <v>7</v>
      </c>
      <c r="D1551" s="1009">
        <v>17722900</v>
      </c>
      <c r="E1551" s="1009">
        <v>17722700</v>
      </c>
      <c r="F1551" s="1007" t="s">
        <v>3116</v>
      </c>
      <c r="G1551" s="1007">
        <v>8</v>
      </c>
      <c r="H1551" s="1010">
        <v>99999999</v>
      </c>
      <c r="I1551" s="1009">
        <v>17722700</v>
      </c>
      <c r="J1551" s="1007" t="s">
        <v>3116</v>
      </c>
      <c r="O1551" s="1007" t="s">
        <v>648</v>
      </c>
      <c r="P1551" s="1007" t="s">
        <v>648</v>
      </c>
      <c r="S1551" s="1008" t="s">
        <v>650</v>
      </c>
      <c r="T1551" s="1008" t="s">
        <v>654</v>
      </c>
      <c r="U1551" s="1008" t="s">
        <v>649</v>
      </c>
      <c r="V1551" s="1008" t="s">
        <v>648</v>
      </c>
      <c r="W1551" s="1008" t="s">
        <v>546</v>
      </c>
      <c r="X1551" s="1008" t="s">
        <v>670</v>
      </c>
      <c r="Y1551" s="1008" t="s">
        <v>670</v>
      </c>
      <c r="Z1551" s="1008" t="s">
        <v>670</v>
      </c>
      <c r="AA1551" s="1008" t="s">
        <v>670</v>
      </c>
      <c r="AB1551" s="1008" t="s">
        <v>670</v>
      </c>
      <c r="AC1551" s="1008" t="s">
        <v>670</v>
      </c>
      <c r="AD1551" s="1008" t="s">
        <v>670</v>
      </c>
      <c r="AE1551" s="1008"/>
      <c r="AF1551" s="1008" t="s">
        <v>670</v>
      </c>
      <c r="AG1551" s="1008"/>
      <c r="AH1551" s="1008"/>
      <c r="AI1551" s="1008"/>
    </row>
    <row r="1552" spans="1:35">
      <c r="A1552" s="1008">
        <v>24330</v>
      </c>
      <c r="C1552" s="1008">
        <v>6</v>
      </c>
      <c r="D1552" s="1009">
        <v>17729000</v>
      </c>
      <c r="E1552" s="1009">
        <v>17722900</v>
      </c>
      <c r="F1552" s="1007" t="s">
        <v>3115</v>
      </c>
      <c r="O1552" s="1007" t="s">
        <v>648</v>
      </c>
      <c r="P1552" s="1007" t="s">
        <v>648</v>
      </c>
      <c r="S1552" s="1008" t="s">
        <v>650</v>
      </c>
      <c r="T1552" s="1008" t="s">
        <v>21</v>
      </c>
      <c r="U1552" s="1008" t="s">
        <v>649</v>
      </c>
      <c r="V1552" s="1008" t="s">
        <v>648</v>
      </c>
      <c r="W1552" s="1008" t="s">
        <v>546</v>
      </c>
      <c r="X1552" s="1008"/>
      <c r="Y1552" s="1008"/>
      <c r="Z1552" s="1008"/>
      <c r="AA1552" s="1008"/>
      <c r="AB1552" s="1008"/>
      <c r="AC1552" s="1008"/>
      <c r="AD1552" s="1008"/>
      <c r="AE1552" s="1008"/>
      <c r="AF1552" s="1008"/>
      <c r="AG1552" s="1008"/>
      <c r="AH1552" s="1008"/>
      <c r="AI1552" s="1008"/>
    </row>
    <row r="1553" spans="1:35">
      <c r="A1553" s="1008">
        <v>24331</v>
      </c>
      <c r="C1553" s="1008">
        <v>5</v>
      </c>
      <c r="D1553" s="1009">
        <v>17729999</v>
      </c>
      <c r="E1553" s="1009">
        <v>17729000</v>
      </c>
      <c r="F1553" s="1007" t="s">
        <v>3114</v>
      </c>
      <c r="O1553" s="1007" t="s">
        <v>648</v>
      </c>
      <c r="P1553" s="1007" t="s">
        <v>648</v>
      </c>
      <c r="S1553" s="1008" t="s">
        <v>650</v>
      </c>
      <c r="T1553" s="1008" t="s">
        <v>21</v>
      </c>
      <c r="U1553" s="1008" t="s">
        <v>649</v>
      </c>
      <c r="V1553" s="1008" t="s">
        <v>648</v>
      </c>
      <c r="W1553" s="1008" t="s">
        <v>546</v>
      </c>
      <c r="X1553" s="1008"/>
      <c r="Y1553" s="1008"/>
      <c r="Z1553" s="1008"/>
      <c r="AA1553" s="1008"/>
      <c r="AB1553" s="1008"/>
      <c r="AC1553" s="1008"/>
      <c r="AD1553" s="1008"/>
      <c r="AE1553" s="1008"/>
      <c r="AF1553" s="1008"/>
      <c r="AG1553" s="1008"/>
      <c r="AH1553" s="1008"/>
      <c r="AI1553" s="1008"/>
    </row>
    <row r="1554" spans="1:35">
      <c r="A1554" s="1008">
        <v>24332</v>
      </c>
      <c r="C1554" s="1008">
        <v>4</v>
      </c>
      <c r="D1554" s="1009">
        <v>19999998</v>
      </c>
      <c r="E1554" s="1009">
        <v>17729999</v>
      </c>
      <c r="F1554" s="1007" t="s">
        <v>3113</v>
      </c>
      <c r="O1554" s="1007" t="s">
        <v>648</v>
      </c>
      <c r="P1554" s="1007" t="s">
        <v>648</v>
      </c>
      <c r="S1554" s="1008" t="s">
        <v>650</v>
      </c>
      <c r="T1554" s="1008" t="s">
        <v>21</v>
      </c>
      <c r="U1554" s="1008" t="s">
        <v>649</v>
      </c>
      <c r="V1554" s="1008" t="s">
        <v>648</v>
      </c>
      <c r="W1554" s="1008" t="s">
        <v>546</v>
      </c>
      <c r="X1554" s="1008"/>
      <c r="Y1554" s="1008"/>
      <c r="Z1554" s="1008"/>
      <c r="AA1554" s="1008"/>
      <c r="AB1554" s="1008"/>
      <c r="AC1554" s="1008"/>
      <c r="AD1554" s="1008"/>
      <c r="AE1554" s="1008"/>
      <c r="AF1554" s="1008"/>
      <c r="AG1554" s="1008"/>
      <c r="AH1554" s="1008"/>
      <c r="AI1554" s="1008"/>
    </row>
    <row r="1555" spans="1:35">
      <c r="A1555" s="1008">
        <v>24333</v>
      </c>
      <c r="C1555" s="1008">
        <v>4</v>
      </c>
      <c r="D1555" s="1009">
        <v>18199999</v>
      </c>
      <c r="E1555" s="1009">
        <v>18000000</v>
      </c>
      <c r="F1555" s="1007" t="s">
        <v>3112</v>
      </c>
      <c r="O1555" s="1007" t="s">
        <v>648</v>
      </c>
      <c r="P1555" s="1007" t="s">
        <v>648</v>
      </c>
      <c r="S1555" s="1008" t="s">
        <v>650</v>
      </c>
      <c r="T1555" s="1008" t="s">
        <v>675</v>
      </c>
      <c r="U1555" s="1008" t="s">
        <v>649</v>
      </c>
      <c r="V1555" s="1008" t="s">
        <v>648</v>
      </c>
      <c r="W1555" s="1008" t="s">
        <v>546</v>
      </c>
      <c r="X1555" s="1008"/>
      <c r="Y1555" s="1008"/>
      <c r="Z1555" s="1008"/>
      <c r="AA1555" s="1008"/>
      <c r="AB1555" s="1008"/>
      <c r="AC1555" s="1008"/>
      <c r="AD1555" s="1008"/>
      <c r="AE1555" s="1008"/>
      <c r="AF1555" s="1008"/>
      <c r="AG1555" s="1008"/>
      <c r="AH1555" s="1008"/>
      <c r="AI1555" s="1008"/>
    </row>
    <row r="1556" spans="1:35">
      <c r="A1556" s="1008">
        <v>24334</v>
      </c>
      <c r="C1556" s="1008">
        <v>5</v>
      </c>
      <c r="D1556" s="1009">
        <v>18099999</v>
      </c>
      <c r="E1556" s="1009">
        <v>18001000</v>
      </c>
      <c r="F1556" s="1007" t="s">
        <v>3111</v>
      </c>
      <c r="O1556" s="1007" t="s">
        <v>648</v>
      </c>
      <c r="P1556" s="1007" t="s">
        <v>648</v>
      </c>
      <c r="S1556" s="1008" t="s">
        <v>650</v>
      </c>
      <c r="T1556" s="1008" t="s">
        <v>675</v>
      </c>
      <c r="U1556" s="1008" t="s">
        <v>649</v>
      </c>
      <c r="V1556" s="1008" t="s">
        <v>648</v>
      </c>
      <c r="W1556" s="1008" t="s">
        <v>546</v>
      </c>
      <c r="X1556" s="1008"/>
      <c r="Y1556" s="1008"/>
      <c r="Z1556" s="1008"/>
      <c r="AA1556" s="1008"/>
      <c r="AB1556" s="1008"/>
      <c r="AC1556" s="1008"/>
      <c r="AD1556" s="1008"/>
      <c r="AE1556" s="1008"/>
      <c r="AF1556" s="1008"/>
      <c r="AG1556" s="1008"/>
      <c r="AH1556" s="1008"/>
      <c r="AI1556" s="1008"/>
    </row>
    <row r="1557" spans="1:35">
      <c r="A1557" s="1008">
        <v>24335</v>
      </c>
      <c r="C1557" s="1008">
        <v>6</v>
      </c>
      <c r="D1557" s="1009">
        <v>18019999</v>
      </c>
      <c r="E1557" s="1009">
        <v>18010000</v>
      </c>
      <c r="F1557" s="1007" t="s">
        <v>3110</v>
      </c>
      <c r="O1557" s="1007" t="s">
        <v>648</v>
      </c>
      <c r="P1557" s="1007" t="s">
        <v>648</v>
      </c>
      <c r="S1557" s="1008" t="s">
        <v>650</v>
      </c>
      <c r="T1557" s="1008" t="s">
        <v>675</v>
      </c>
      <c r="U1557" s="1008" t="s">
        <v>649</v>
      </c>
      <c r="V1557" s="1008" t="s">
        <v>648</v>
      </c>
      <c r="W1557" s="1008" t="s">
        <v>546</v>
      </c>
      <c r="X1557" s="1008"/>
      <c r="Y1557" s="1008"/>
      <c r="Z1557" s="1008"/>
      <c r="AA1557" s="1008"/>
      <c r="AB1557" s="1008"/>
      <c r="AC1557" s="1008"/>
      <c r="AD1557" s="1008"/>
      <c r="AE1557" s="1008"/>
      <c r="AF1557" s="1008"/>
      <c r="AG1557" s="1008"/>
      <c r="AH1557" s="1008"/>
      <c r="AI1557" s="1008"/>
    </row>
    <row r="1558" spans="1:35">
      <c r="A1558" s="1008">
        <v>24336</v>
      </c>
      <c r="B1558" s="1008">
        <v>5011</v>
      </c>
      <c r="C1558" s="1008">
        <v>7</v>
      </c>
      <c r="D1558" s="1009">
        <v>18019999</v>
      </c>
      <c r="E1558" s="1009">
        <v>18010200</v>
      </c>
      <c r="F1558" s="1007" t="s">
        <v>3109</v>
      </c>
      <c r="G1558" s="1007">
        <v>7</v>
      </c>
      <c r="H1558" s="1010">
        <v>99999999</v>
      </c>
      <c r="I1558" s="1009">
        <v>18010200</v>
      </c>
      <c r="J1558" s="1007" t="s">
        <v>3109</v>
      </c>
      <c r="O1558" s="1007" t="s">
        <v>648</v>
      </c>
      <c r="P1558" s="1007" t="s">
        <v>648</v>
      </c>
      <c r="S1558" s="1008" t="s">
        <v>650</v>
      </c>
      <c r="T1558" s="1008" t="s">
        <v>654</v>
      </c>
      <c r="U1558" s="1008" t="s">
        <v>649</v>
      </c>
      <c r="V1558" s="1008" t="s">
        <v>648</v>
      </c>
      <c r="W1558" s="1008" t="s">
        <v>546</v>
      </c>
      <c r="X1558" s="1008" t="s">
        <v>670</v>
      </c>
      <c r="Y1558" s="1008" t="s">
        <v>670</v>
      </c>
      <c r="Z1558" s="1008" t="s">
        <v>670</v>
      </c>
      <c r="AA1558" s="1008"/>
      <c r="AB1558" s="1008" t="s">
        <v>670</v>
      </c>
      <c r="AC1558" s="1008"/>
      <c r="AD1558" s="1008"/>
      <c r="AE1558" s="1008"/>
      <c r="AF1558" s="1008" t="s">
        <v>670</v>
      </c>
      <c r="AG1558" s="1008"/>
      <c r="AH1558" s="1008"/>
      <c r="AI1558" s="1008"/>
    </row>
    <row r="1559" spans="1:35">
      <c r="A1559" s="1008">
        <v>24338</v>
      </c>
      <c r="C1559" s="1008">
        <v>6</v>
      </c>
      <c r="D1559" s="1009">
        <v>18099999</v>
      </c>
      <c r="E1559" s="1009">
        <v>18019999</v>
      </c>
      <c r="F1559" s="1007" t="s">
        <v>3108</v>
      </c>
      <c r="O1559" s="1007" t="s">
        <v>648</v>
      </c>
      <c r="P1559" s="1007" t="s">
        <v>648</v>
      </c>
      <c r="S1559" s="1008" t="s">
        <v>650</v>
      </c>
      <c r="T1559" s="1008" t="s">
        <v>21</v>
      </c>
      <c r="U1559" s="1008" t="s">
        <v>649</v>
      </c>
      <c r="V1559" s="1008" t="s">
        <v>648</v>
      </c>
      <c r="W1559" s="1008" t="s">
        <v>546</v>
      </c>
      <c r="X1559" s="1008"/>
      <c r="Y1559" s="1008"/>
      <c r="Z1559" s="1008"/>
      <c r="AA1559" s="1008"/>
      <c r="AB1559" s="1008"/>
      <c r="AC1559" s="1008"/>
      <c r="AD1559" s="1008"/>
      <c r="AE1559" s="1008"/>
      <c r="AF1559" s="1008"/>
      <c r="AG1559" s="1008"/>
      <c r="AH1559" s="1008"/>
      <c r="AI1559" s="1008"/>
    </row>
    <row r="1560" spans="1:35">
      <c r="A1560" s="1008">
        <v>24339</v>
      </c>
      <c r="C1560" s="1008">
        <v>5</v>
      </c>
      <c r="D1560" s="1009">
        <v>18199999</v>
      </c>
      <c r="E1560" s="1009">
        <v>18099999</v>
      </c>
      <c r="F1560" s="1007" t="s">
        <v>3107</v>
      </c>
      <c r="O1560" s="1007" t="s">
        <v>648</v>
      </c>
      <c r="P1560" s="1007" t="s">
        <v>648</v>
      </c>
      <c r="S1560" s="1008" t="s">
        <v>650</v>
      </c>
      <c r="T1560" s="1008" t="s">
        <v>21</v>
      </c>
      <c r="U1560" s="1008" t="s">
        <v>649</v>
      </c>
      <c r="V1560" s="1008" t="s">
        <v>648</v>
      </c>
      <c r="W1560" s="1008" t="s">
        <v>546</v>
      </c>
      <c r="X1560" s="1008"/>
      <c r="Y1560" s="1008"/>
      <c r="Z1560" s="1008"/>
      <c r="AA1560" s="1008"/>
      <c r="AB1560" s="1008"/>
      <c r="AC1560" s="1008"/>
      <c r="AD1560" s="1008"/>
      <c r="AE1560" s="1008"/>
      <c r="AF1560" s="1008"/>
      <c r="AG1560" s="1008"/>
      <c r="AH1560" s="1008"/>
      <c r="AI1560" s="1008"/>
    </row>
    <row r="1561" spans="1:35">
      <c r="A1561" s="1008">
        <v>24340</v>
      </c>
      <c r="C1561" s="1008">
        <v>5</v>
      </c>
      <c r="D1561" s="1009">
        <v>18199900</v>
      </c>
      <c r="E1561" s="1009">
        <v>18100000</v>
      </c>
      <c r="F1561" s="1007" t="s">
        <v>3106</v>
      </c>
      <c r="O1561" s="1007" t="s">
        <v>648</v>
      </c>
      <c r="P1561" s="1007" t="s">
        <v>648</v>
      </c>
      <c r="S1561" s="1008" t="s">
        <v>650</v>
      </c>
      <c r="T1561" s="1008" t="s">
        <v>675</v>
      </c>
      <c r="U1561" s="1008" t="s">
        <v>649</v>
      </c>
      <c r="V1561" s="1008" t="s">
        <v>648</v>
      </c>
      <c r="W1561" s="1008" t="s">
        <v>546</v>
      </c>
      <c r="X1561" s="1008"/>
      <c r="Y1561" s="1008"/>
      <c r="Z1561" s="1008"/>
      <c r="AA1561" s="1008"/>
      <c r="AB1561" s="1008"/>
      <c r="AC1561" s="1008"/>
      <c r="AD1561" s="1008"/>
      <c r="AE1561" s="1008"/>
      <c r="AF1561" s="1008"/>
      <c r="AG1561" s="1008"/>
      <c r="AH1561" s="1008"/>
      <c r="AI1561" s="1008"/>
    </row>
    <row r="1562" spans="1:35">
      <c r="A1562" s="1008">
        <v>24341</v>
      </c>
      <c r="C1562" s="1008">
        <v>6</v>
      </c>
      <c r="D1562" s="1009">
        <v>18119999</v>
      </c>
      <c r="E1562" s="1009">
        <v>18110000</v>
      </c>
      <c r="F1562" s="1007" t="s">
        <v>3105</v>
      </c>
      <c r="O1562" s="1007" t="s">
        <v>648</v>
      </c>
      <c r="P1562" s="1007" t="s">
        <v>648</v>
      </c>
      <c r="S1562" s="1008" t="s">
        <v>650</v>
      </c>
      <c r="T1562" s="1008" t="s">
        <v>675</v>
      </c>
      <c r="U1562" s="1008" t="s">
        <v>649</v>
      </c>
      <c r="V1562" s="1008" t="s">
        <v>648</v>
      </c>
      <c r="W1562" s="1008" t="s">
        <v>546</v>
      </c>
      <c r="X1562" s="1008"/>
      <c r="Y1562" s="1008"/>
      <c r="Z1562" s="1008"/>
      <c r="AA1562" s="1008"/>
      <c r="AB1562" s="1008"/>
      <c r="AC1562" s="1008"/>
      <c r="AD1562" s="1008"/>
      <c r="AE1562" s="1008"/>
      <c r="AF1562" s="1008"/>
      <c r="AG1562" s="1008"/>
      <c r="AH1562" s="1008"/>
      <c r="AI1562" s="1008"/>
    </row>
    <row r="1563" spans="1:35">
      <c r="A1563" s="1008">
        <v>24342</v>
      </c>
      <c r="B1563" s="1008">
        <v>1769</v>
      </c>
      <c r="C1563" s="1008">
        <v>7</v>
      </c>
      <c r="D1563" s="1009">
        <v>18119999</v>
      </c>
      <c r="E1563" s="1009">
        <v>18110700</v>
      </c>
      <c r="F1563" s="1007" t="s">
        <v>3104</v>
      </c>
      <c r="G1563" s="1007">
        <v>7</v>
      </c>
      <c r="H1563" s="1010">
        <v>99999999</v>
      </c>
      <c r="I1563" s="1009">
        <v>18110700</v>
      </c>
      <c r="J1563" s="1007" t="s">
        <v>3104</v>
      </c>
      <c r="O1563" s="1007" t="s">
        <v>648</v>
      </c>
      <c r="P1563" s="1007" t="s">
        <v>648</v>
      </c>
      <c r="S1563" s="1008" t="s">
        <v>650</v>
      </c>
      <c r="T1563" s="1008" t="s">
        <v>654</v>
      </c>
      <c r="U1563" s="1008" t="s">
        <v>649</v>
      </c>
      <c r="V1563" s="1008" t="s">
        <v>648</v>
      </c>
      <c r="W1563" s="1008" t="s">
        <v>546</v>
      </c>
      <c r="X1563" s="1008" t="s">
        <v>670</v>
      </c>
      <c r="Y1563" s="1008" t="s">
        <v>670</v>
      </c>
      <c r="Z1563" s="1008" t="s">
        <v>670</v>
      </c>
      <c r="AA1563" s="1008" t="s">
        <v>670</v>
      </c>
      <c r="AB1563" s="1008" t="s">
        <v>670</v>
      </c>
      <c r="AC1563" s="1008" t="s">
        <v>670</v>
      </c>
      <c r="AD1563" s="1008" t="s">
        <v>670</v>
      </c>
      <c r="AE1563" s="1008"/>
      <c r="AF1563" s="1008" t="s">
        <v>670</v>
      </c>
      <c r="AG1563" s="1008"/>
      <c r="AH1563" s="1008"/>
      <c r="AI1563" s="1008"/>
    </row>
    <row r="1564" spans="1:35">
      <c r="A1564" s="1008">
        <v>24343</v>
      </c>
      <c r="B1564" s="1008">
        <v>5015</v>
      </c>
      <c r="C1564" s="1008">
        <v>7</v>
      </c>
      <c r="D1564" s="1009">
        <v>18119999</v>
      </c>
      <c r="E1564" s="1009">
        <v>18110800</v>
      </c>
      <c r="F1564" s="1007" t="s">
        <v>3103</v>
      </c>
      <c r="G1564" s="1007">
        <v>7</v>
      </c>
      <c r="H1564" s="1010">
        <v>99999999</v>
      </c>
      <c r="I1564" s="1009">
        <v>18110800</v>
      </c>
      <c r="J1564" s="1007" t="s">
        <v>3103</v>
      </c>
      <c r="O1564" s="1007" t="s">
        <v>648</v>
      </c>
      <c r="P1564" s="1007" t="s">
        <v>648</v>
      </c>
      <c r="S1564" s="1008" t="s">
        <v>650</v>
      </c>
      <c r="T1564" s="1008" t="s">
        <v>654</v>
      </c>
      <c r="U1564" s="1008" t="s">
        <v>649</v>
      </c>
      <c r="V1564" s="1008" t="s">
        <v>648</v>
      </c>
      <c r="W1564" s="1008" t="s">
        <v>546</v>
      </c>
      <c r="X1564" s="1008" t="s">
        <v>670</v>
      </c>
      <c r="Y1564" s="1008" t="s">
        <v>670</v>
      </c>
      <c r="Z1564" s="1008" t="s">
        <v>670</v>
      </c>
      <c r="AA1564" s="1008" t="s">
        <v>670</v>
      </c>
      <c r="AB1564" s="1008" t="s">
        <v>670</v>
      </c>
      <c r="AC1564" s="1008" t="s">
        <v>670</v>
      </c>
      <c r="AD1564" s="1008" t="s">
        <v>670</v>
      </c>
      <c r="AE1564" s="1008"/>
      <c r="AF1564" s="1008" t="s">
        <v>670</v>
      </c>
      <c r="AG1564" s="1008"/>
      <c r="AH1564" s="1008"/>
      <c r="AI1564" s="1008"/>
    </row>
    <row r="1565" spans="1:35">
      <c r="A1565" s="1008">
        <v>24344</v>
      </c>
      <c r="C1565" s="1008">
        <v>6</v>
      </c>
      <c r="D1565" s="1009">
        <v>18199900</v>
      </c>
      <c r="E1565" s="1009">
        <v>18119999</v>
      </c>
      <c r="F1565" s="1007" t="s">
        <v>3102</v>
      </c>
      <c r="O1565" s="1007" t="s">
        <v>648</v>
      </c>
      <c r="P1565" s="1007" t="s">
        <v>648</v>
      </c>
      <c r="S1565" s="1008" t="s">
        <v>650</v>
      </c>
      <c r="T1565" s="1008" t="s">
        <v>21</v>
      </c>
      <c r="U1565" s="1008" t="s">
        <v>649</v>
      </c>
      <c r="V1565" s="1008" t="s">
        <v>648</v>
      </c>
      <c r="W1565" s="1008" t="s">
        <v>546</v>
      </c>
      <c r="X1565" s="1008"/>
      <c r="Y1565" s="1008"/>
      <c r="Z1565" s="1008"/>
      <c r="AA1565" s="1008"/>
      <c r="AB1565" s="1008"/>
      <c r="AC1565" s="1008"/>
      <c r="AD1565" s="1008"/>
      <c r="AE1565" s="1008"/>
      <c r="AF1565" s="1008"/>
      <c r="AG1565" s="1008"/>
      <c r="AH1565" s="1008"/>
      <c r="AI1565" s="1008"/>
    </row>
    <row r="1566" spans="1:35">
      <c r="A1566" s="1008">
        <v>24345</v>
      </c>
      <c r="C1566" s="1008">
        <v>6</v>
      </c>
      <c r="D1566" s="1009">
        <v>18129999</v>
      </c>
      <c r="E1566" s="1009">
        <v>18120000</v>
      </c>
      <c r="F1566" s="1007" t="s">
        <v>3101</v>
      </c>
      <c r="O1566" s="1007" t="s">
        <v>648</v>
      </c>
      <c r="P1566" s="1007" t="s">
        <v>648</v>
      </c>
      <c r="S1566" s="1008" t="s">
        <v>650</v>
      </c>
      <c r="T1566" s="1008" t="s">
        <v>675</v>
      </c>
      <c r="U1566" s="1008" t="s">
        <v>649</v>
      </c>
      <c r="V1566" s="1008" t="s">
        <v>648</v>
      </c>
      <c r="W1566" s="1008" t="s">
        <v>546</v>
      </c>
      <c r="X1566" s="1008"/>
      <c r="Y1566" s="1008"/>
      <c r="Z1566" s="1008"/>
      <c r="AA1566" s="1008"/>
      <c r="AB1566" s="1008"/>
      <c r="AC1566" s="1008"/>
      <c r="AD1566" s="1008"/>
      <c r="AE1566" s="1008"/>
      <c r="AF1566" s="1008"/>
      <c r="AG1566" s="1008"/>
      <c r="AH1566" s="1008"/>
      <c r="AI1566" s="1008"/>
    </row>
    <row r="1567" spans="1:35">
      <c r="A1567" s="1008">
        <v>24346</v>
      </c>
      <c r="B1567" s="1008">
        <v>746</v>
      </c>
      <c r="C1567" s="1008">
        <v>7</v>
      </c>
      <c r="D1567" s="1009">
        <v>18129999</v>
      </c>
      <c r="E1567" s="1009">
        <v>18120700</v>
      </c>
      <c r="F1567" s="1007" t="s">
        <v>3100</v>
      </c>
      <c r="G1567" s="1007">
        <v>8</v>
      </c>
      <c r="H1567" s="1010">
        <v>99999999</v>
      </c>
      <c r="I1567" s="1009">
        <v>18120700</v>
      </c>
      <c r="J1567" s="1007" t="s">
        <v>3100</v>
      </c>
      <c r="O1567" s="1007" t="s">
        <v>648</v>
      </c>
      <c r="P1567" s="1007" t="s">
        <v>648</v>
      </c>
      <c r="S1567" s="1008" t="s">
        <v>650</v>
      </c>
      <c r="T1567" s="1008" t="s">
        <v>654</v>
      </c>
      <c r="U1567" s="1008" t="s">
        <v>649</v>
      </c>
      <c r="V1567" s="1008" t="s">
        <v>648</v>
      </c>
      <c r="W1567" s="1008" t="s">
        <v>546</v>
      </c>
      <c r="X1567" s="1008" t="s">
        <v>670</v>
      </c>
      <c r="Y1567" s="1008" t="s">
        <v>670</v>
      </c>
      <c r="Z1567" s="1008" t="s">
        <v>670</v>
      </c>
      <c r="AA1567" s="1008" t="s">
        <v>670</v>
      </c>
      <c r="AB1567" s="1008" t="s">
        <v>670</v>
      </c>
      <c r="AC1567" s="1008" t="s">
        <v>670</v>
      </c>
      <c r="AD1567" s="1008" t="s">
        <v>670</v>
      </c>
      <c r="AE1567" s="1008"/>
      <c r="AF1567" s="1008" t="s">
        <v>670</v>
      </c>
      <c r="AG1567" s="1008"/>
      <c r="AH1567" s="1008"/>
      <c r="AI1567" s="1008"/>
    </row>
    <row r="1568" spans="1:35">
      <c r="A1568" s="1008">
        <v>24347</v>
      </c>
      <c r="B1568" s="1008">
        <v>5017</v>
      </c>
      <c r="C1568" s="1008">
        <v>7</v>
      </c>
      <c r="D1568" s="1009">
        <v>18129999</v>
      </c>
      <c r="E1568" s="1009">
        <v>18120800</v>
      </c>
      <c r="F1568" s="1007" t="s">
        <v>3099</v>
      </c>
      <c r="G1568" s="1007">
        <v>7</v>
      </c>
      <c r="H1568" s="1010">
        <v>99999999</v>
      </c>
      <c r="I1568" s="1009">
        <v>18120800</v>
      </c>
      <c r="J1568" s="1007" t="s">
        <v>3099</v>
      </c>
      <c r="O1568" s="1007" t="s">
        <v>648</v>
      </c>
      <c r="P1568" s="1007" t="s">
        <v>648</v>
      </c>
      <c r="S1568" s="1008" t="s">
        <v>650</v>
      </c>
      <c r="T1568" s="1008" t="s">
        <v>654</v>
      </c>
      <c r="U1568" s="1008" t="s">
        <v>649</v>
      </c>
      <c r="V1568" s="1008" t="s">
        <v>648</v>
      </c>
      <c r="W1568" s="1008" t="s">
        <v>546</v>
      </c>
      <c r="X1568" s="1008" t="s">
        <v>670</v>
      </c>
      <c r="Y1568" s="1008" t="s">
        <v>670</v>
      </c>
      <c r="Z1568" s="1008" t="s">
        <v>670</v>
      </c>
      <c r="AA1568" s="1008" t="s">
        <v>670</v>
      </c>
      <c r="AB1568" s="1008" t="s">
        <v>670</v>
      </c>
      <c r="AC1568" s="1008" t="s">
        <v>670</v>
      </c>
      <c r="AD1568" s="1008" t="s">
        <v>670</v>
      </c>
      <c r="AE1568" s="1008"/>
      <c r="AF1568" s="1008" t="s">
        <v>670</v>
      </c>
      <c r="AG1568" s="1008"/>
      <c r="AH1568" s="1008"/>
      <c r="AI1568" s="1008"/>
    </row>
    <row r="1569" spans="1:35">
      <c r="A1569" s="1008">
        <v>24348</v>
      </c>
      <c r="C1569" s="1008">
        <v>6</v>
      </c>
      <c r="D1569" s="1009">
        <v>18199900</v>
      </c>
      <c r="E1569" s="1009">
        <v>18129999</v>
      </c>
      <c r="F1569" s="1007" t="s">
        <v>3098</v>
      </c>
      <c r="O1569" s="1007" t="s">
        <v>648</v>
      </c>
      <c r="P1569" s="1007" t="s">
        <v>648</v>
      </c>
      <c r="S1569" s="1008" t="s">
        <v>650</v>
      </c>
      <c r="T1569" s="1008" t="s">
        <v>21</v>
      </c>
      <c r="U1569" s="1008" t="s">
        <v>649</v>
      </c>
      <c r="V1569" s="1008" t="s">
        <v>648</v>
      </c>
      <c r="W1569" s="1008" t="s">
        <v>546</v>
      </c>
      <c r="X1569" s="1008"/>
      <c r="Y1569" s="1008"/>
      <c r="Z1569" s="1008"/>
      <c r="AA1569" s="1008"/>
      <c r="AB1569" s="1008"/>
      <c r="AC1569" s="1008"/>
      <c r="AD1569" s="1008"/>
      <c r="AE1569" s="1008"/>
      <c r="AF1569" s="1008"/>
      <c r="AG1569" s="1008"/>
      <c r="AH1569" s="1008"/>
      <c r="AI1569" s="1008"/>
    </row>
    <row r="1570" spans="1:35">
      <c r="A1570" s="1008">
        <v>24349</v>
      </c>
      <c r="C1570" s="1008">
        <v>5</v>
      </c>
      <c r="D1570" s="1009">
        <v>18199999</v>
      </c>
      <c r="E1570" s="1009">
        <v>18199900</v>
      </c>
      <c r="F1570" s="1007" t="s">
        <v>3097</v>
      </c>
      <c r="O1570" s="1007" t="s">
        <v>648</v>
      </c>
      <c r="P1570" s="1007" t="s">
        <v>648</v>
      </c>
      <c r="S1570" s="1008" t="s">
        <v>650</v>
      </c>
      <c r="T1570" s="1008" t="s">
        <v>21</v>
      </c>
      <c r="U1570" s="1008" t="s">
        <v>649</v>
      </c>
      <c r="V1570" s="1008" t="s">
        <v>648</v>
      </c>
      <c r="W1570" s="1008" t="s">
        <v>546</v>
      </c>
      <c r="X1570" s="1008"/>
      <c r="Y1570" s="1008"/>
      <c r="Z1570" s="1008"/>
      <c r="AA1570" s="1008"/>
      <c r="AB1570" s="1008"/>
      <c r="AC1570" s="1008"/>
      <c r="AD1570" s="1008"/>
      <c r="AE1570" s="1008"/>
      <c r="AF1570" s="1008"/>
      <c r="AG1570" s="1008"/>
      <c r="AH1570" s="1008"/>
      <c r="AI1570" s="1008"/>
    </row>
    <row r="1571" spans="1:35">
      <c r="A1571" s="1008">
        <v>24350</v>
      </c>
      <c r="C1571" s="1008">
        <v>4</v>
      </c>
      <c r="D1571" s="1009">
        <v>19999998</v>
      </c>
      <c r="E1571" s="1009">
        <v>18199999</v>
      </c>
      <c r="F1571" s="1007" t="s">
        <v>3096</v>
      </c>
      <c r="O1571" s="1007" t="s">
        <v>648</v>
      </c>
      <c r="P1571" s="1007" t="s">
        <v>648</v>
      </c>
      <c r="S1571" s="1008" t="s">
        <v>650</v>
      </c>
      <c r="T1571" s="1008" t="s">
        <v>21</v>
      </c>
      <c r="U1571" s="1008" t="s">
        <v>649</v>
      </c>
      <c r="V1571" s="1008" t="s">
        <v>648</v>
      </c>
      <c r="W1571" s="1008" t="s">
        <v>546</v>
      </c>
      <c r="X1571" s="1008"/>
      <c r="Y1571" s="1008"/>
      <c r="Z1571" s="1008"/>
      <c r="AA1571" s="1008"/>
      <c r="AB1571" s="1008"/>
      <c r="AC1571" s="1008"/>
      <c r="AD1571" s="1008"/>
      <c r="AE1571" s="1008"/>
      <c r="AF1571" s="1008"/>
      <c r="AG1571" s="1008"/>
      <c r="AH1571" s="1008"/>
      <c r="AI1571" s="1008"/>
    </row>
    <row r="1572" spans="1:35">
      <c r="A1572" s="1008">
        <v>24351</v>
      </c>
      <c r="C1572" s="1008">
        <v>4</v>
      </c>
      <c r="D1572" s="1009">
        <v>18699999</v>
      </c>
      <c r="E1572" s="1009">
        <v>18500000</v>
      </c>
      <c r="F1572" s="1007" t="s">
        <v>3095</v>
      </c>
      <c r="O1572" s="1007" t="s">
        <v>648</v>
      </c>
      <c r="P1572" s="1007" t="s">
        <v>648</v>
      </c>
      <c r="S1572" s="1008" t="s">
        <v>650</v>
      </c>
      <c r="T1572" s="1008" t="s">
        <v>675</v>
      </c>
      <c r="U1572" s="1008" t="s">
        <v>649</v>
      </c>
      <c r="V1572" s="1008" t="s">
        <v>648</v>
      </c>
      <c r="W1572" s="1008" t="s">
        <v>546</v>
      </c>
      <c r="X1572" s="1008"/>
      <c r="Y1572" s="1008"/>
      <c r="Z1572" s="1008"/>
      <c r="AA1572" s="1008"/>
      <c r="AB1572" s="1008"/>
      <c r="AC1572" s="1008"/>
      <c r="AD1572" s="1008"/>
      <c r="AE1572" s="1008"/>
      <c r="AF1572" s="1008"/>
      <c r="AG1572" s="1008"/>
      <c r="AH1572" s="1008"/>
      <c r="AI1572" s="1008"/>
    </row>
    <row r="1573" spans="1:35">
      <c r="A1573" s="1008">
        <v>24352</v>
      </c>
      <c r="C1573" s="1008">
        <v>5</v>
      </c>
      <c r="D1573" s="1009">
        <v>18599990</v>
      </c>
      <c r="E1573" s="1009">
        <v>18501000</v>
      </c>
      <c r="F1573" s="1007" t="s">
        <v>3094</v>
      </c>
      <c r="O1573" s="1007" t="s">
        <v>648</v>
      </c>
      <c r="P1573" s="1007" t="s">
        <v>648</v>
      </c>
      <c r="S1573" s="1008" t="s">
        <v>650</v>
      </c>
      <c r="T1573" s="1008" t="s">
        <v>675</v>
      </c>
      <c r="U1573" s="1008" t="s">
        <v>649</v>
      </c>
      <c r="V1573" s="1008" t="s">
        <v>648</v>
      </c>
      <c r="W1573" s="1008" t="s">
        <v>546</v>
      </c>
      <c r="X1573" s="1008"/>
      <c r="Y1573" s="1008"/>
      <c r="Z1573" s="1008"/>
      <c r="AA1573" s="1008"/>
      <c r="AB1573" s="1008"/>
      <c r="AC1573" s="1008"/>
      <c r="AD1573" s="1008"/>
      <c r="AE1573" s="1008"/>
      <c r="AF1573" s="1008"/>
      <c r="AG1573" s="1008"/>
      <c r="AH1573" s="1008"/>
      <c r="AI1573" s="1008"/>
    </row>
    <row r="1574" spans="1:35">
      <c r="A1574" s="1008">
        <v>24353</v>
      </c>
      <c r="B1574" s="1008">
        <v>460</v>
      </c>
      <c r="C1574" s="1008">
        <v>6</v>
      </c>
      <c r="D1574" s="1009">
        <v>18599990</v>
      </c>
      <c r="E1574" s="1009">
        <v>18510200</v>
      </c>
      <c r="F1574" s="1007" t="s">
        <v>3093</v>
      </c>
      <c r="G1574" s="1007">
        <v>8</v>
      </c>
      <c r="H1574" s="1010">
        <v>99999999</v>
      </c>
      <c r="I1574" s="1009">
        <v>18510200</v>
      </c>
      <c r="J1574" s="1007" t="s">
        <v>3093</v>
      </c>
      <c r="O1574" s="1007" t="s">
        <v>648</v>
      </c>
      <c r="P1574" s="1007" t="s">
        <v>648</v>
      </c>
      <c r="S1574" s="1008" t="s">
        <v>650</v>
      </c>
      <c r="T1574" s="1008" t="s">
        <v>654</v>
      </c>
      <c r="U1574" s="1008" t="s">
        <v>649</v>
      </c>
      <c r="V1574" s="1008" t="s">
        <v>648</v>
      </c>
      <c r="W1574" s="1008" t="s">
        <v>546</v>
      </c>
      <c r="X1574" s="1008" t="s">
        <v>670</v>
      </c>
      <c r="Y1574" s="1008" t="s">
        <v>670</v>
      </c>
      <c r="Z1574" s="1008"/>
      <c r="AA1574" s="1008" t="s">
        <v>670</v>
      </c>
      <c r="AB1574" s="1008" t="s">
        <v>670</v>
      </c>
      <c r="AC1574" s="1008"/>
      <c r="AD1574" s="1008" t="s">
        <v>670</v>
      </c>
      <c r="AE1574" s="1008"/>
      <c r="AF1574" s="1008" t="s">
        <v>670</v>
      </c>
      <c r="AG1574" s="1008"/>
      <c r="AH1574" s="1008"/>
      <c r="AI1574" s="1008"/>
    </row>
    <row r="1575" spans="1:35">
      <c r="A1575" s="1008">
        <v>24354</v>
      </c>
      <c r="B1575" s="1008">
        <v>461</v>
      </c>
      <c r="C1575" s="1008">
        <v>6</v>
      </c>
      <c r="D1575" s="1009">
        <v>18599990</v>
      </c>
      <c r="E1575" s="1009">
        <v>18510210</v>
      </c>
      <c r="F1575" s="1007" t="s">
        <v>3092</v>
      </c>
      <c r="G1575" s="1007">
        <v>8</v>
      </c>
      <c r="H1575" s="1010">
        <v>99999999</v>
      </c>
      <c r="I1575" s="1009">
        <v>18510210</v>
      </c>
      <c r="J1575" s="1007" t="s">
        <v>3092</v>
      </c>
      <c r="O1575" s="1007" t="s">
        <v>648</v>
      </c>
      <c r="P1575" s="1007" t="s">
        <v>648</v>
      </c>
      <c r="S1575" s="1008" t="s">
        <v>650</v>
      </c>
      <c r="T1575" s="1008" t="s">
        <v>654</v>
      </c>
      <c r="U1575" s="1008" t="s">
        <v>649</v>
      </c>
      <c r="V1575" s="1008" t="s">
        <v>648</v>
      </c>
      <c r="W1575" s="1008" t="s">
        <v>546</v>
      </c>
      <c r="X1575" s="1008" t="s">
        <v>670</v>
      </c>
      <c r="Y1575" s="1008" t="s">
        <v>670</v>
      </c>
      <c r="Z1575" s="1008"/>
      <c r="AA1575" s="1008" t="s">
        <v>670</v>
      </c>
      <c r="AB1575" s="1008" t="s">
        <v>670</v>
      </c>
      <c r="AC1575" s="1008"/>
      <c r="AD1575" s="1008" t="s">
        <v>670</v>
      </c>
      <c r="AE1575" s="1008"/>
      <c r="AF1575" s="1008" t="s">
        <v>670</v>
      </c>
      <c r="AG1575" s="1008"/>
      <c r="AH1575" s="1008"/>
      <c r="AI1575" s="1008"/>
    </row>
    <row r="1576" spans="1:35">
      <c r="A1576" s="1008">
        <v>24355</v>
      </c>
      <c r="B1576" s="1008">
        <v>458</v>
      </c>
      <c r="C1576" s="1008">
        <v>6</v>
      </c>
      <c r="D1576" s="1009">
        <v>18599990</v>
      </c>
      <c r="E1576" s="1009">
        <v>18510300</v>
      </c>
      <c r="F1576" s="1007" t="s">
        <v>3089</v>
      </c>
      <c r="G1576" s="1007">
        <v>8</v>
      </c>
      <c r="H1576" s="1010">
        <v>99999999</v>
      </c>
      <c r="I1576" s="1009">
        <v>6211330</v>
      </c>
      <c r="J1576" s="1007" t="s">
        <v>3091</v>
      </c>
      <c r="O1576" s="1007" t="s">
        <v>648</v>
      </c>
      <c r="P1576" s="1007" t="s">
        <v>648</v>
      </c>
      <c r="S1576" s="1008" t="s">
        <v>650</v>
      </c>
      <c r="T1576" s="1008" t="s">
        <v>654</v>
      </c>
      <c r="U1576" s="1008" t="s">
        <v>649</v>
      </c>
      <c r="V1576" s="1008" t="s">
        <v>648</v>
      </c>
      <c r="W1576" s="1008" t="s">
        <v>546</v>
      </c>
      <c r="X1576" s="1008" t="s">
        <v>670</v>
      </c>
      <c r="Y1576" s="1008"/>
      <c r="Z1576" s="1008"/>
      <c r="AA1576" s="1008"/>
      <c r="AB1576" s="1008" t="s">
        <v>670</v>
      </c>
      <c r="AC1576" s="1008"/>
      <c r="AD1576" s="1008"/>
      <c r="AE1576" s="1008"/>
      <c r="AF1576" s="1008"/>
      <c r="AG1576" s="1008"/>
      <c r="AH1576" s="1008"/>
      <c r="AI1576" s="1008"/>
    </row>
    <row r="1577" spans="1:35">
      <c r="A1577" s="1008">
        <v>24355</v>
      </c>
      <c r="B1577" s="1008">
        <v>462</v>
      </c>
      <c r="C1577" s="1008">
        <v>6</v>
      </c>
      <c r="D1577" s="1009">
        <v>18599990</v>
      </c>
      <c r="E1577" s="1009">
        <v>18510300</v>
      </c>
      <c r="F1577" s="1007" t="s">
        <v>3089</v>
      </c>
      <c r="G1577" s="1007">
        <v>8</v>
      </c>
      <c r="H1577" s="1010">
        <v>99999999</v>
      </c>
      <c r="I1577" s="1009">
        <v>6211600</v>
      </c>
      <c r="J1577" s="1007" t="s">
        <v>3090</v>
      </c>
      <c r="O1577" s="1007" t="s">
        <v>648</v>
      </c>
      <c r="P1577" s="1007" t="s">
        <v>648</v>
      </c>
      <c r="S1577" s="1008" t="s">
        <v>650</v>
      </c>
      <c r="T1577" s="1008" t="s">
        <v>654</v>
      </c>
      <c r="U1577" s="1008" t="s">
        <v>649</v>
      </c>
      <c r="V1577" s="1008" t="s">
        <v>648</v>
      </c>
      <c r="W1577" s="1008" t="s">
        <v>546</v>
      </c>
      <c r="X1577" s="1008" t="s">
        <v>670</v>
      </c>
      <c r="Y1577" s="1008"/>
      <c r="Z1577" s="1008"/>
      <c r="AA1577" s="1008"/>
      <c r="AB1577" s="1008" t="s">
        <v>670</v>
      </c>
      <c r="AC1577" s="1008"/>
      <c r="AD1577" s="1008"/>
      <c r="AE1577" s="1008"/>
      <c r="AF1577" s="1008"/>
      <c r="AG1577" s="1008"/>
      <c r="AH1577" s="1008"/>
      <c r="AI1577" s="1008"/>
    </row>
    <row r="1578" spans="1:35">
      <c r="A1578" s="1008">
        <v>24355</v>
      </c>
      <c r="B1578" s="1008">
        <v>5022</v>
      </c>
      <c r="C1578" s="1008">
        <v>6</v>
      </c>
      <c r="D1578" s="1009">
        <v>18599990</v>
      </c>
      <c r="E1578" s="1009">
        <v>18510300</v>
      </c>
      <c r="F1578" s="1007" t="s">
        <v>3089</v>
      </c>
      <c r="G1578" s="1007">
        <v>6</v>
      </c>
      <c r="H1578" s="1010">
        <v>99999999</v>
      </c>
      <c r="I1578" s="1009">
        <v>18510300</v>
      </c>
      <c r="J1578" s="1007" t="s">
        <v>3089</v>
      </c>
      <c r="O1578" s="1007" t="s">
        <v>648</v>
      </c>
      <c r="P1578" s="1007" t="s">
        <v>648</v>
      </c>
      <c r="S1578" s="1008" t="s">
        <v>650</v>
      </c>
      <c r="T1578" s="1008" t="s">
        <v>654</v>
      </c>
      <c r="U1578" s="1008" t="s">
        <v>649</v>
      </c>
      <c r="V1578" s="1008" t="s">
        <v>648</v>
      </c>
      <c r="W1578" s="1008" t="s">
        <v>546</v>
      </c>
      <c r="X1578" s="1008" t="s">
        <v>670</v>
      </c>
      <c r="Y1578" s="1008"/>
      <c r="Z1578" s="1008"/>
      <c r="AA1578" s="1008" t="s">
        <v>670</v>
      </c>
      <c r="AB1578" s="1008" t="s">
        <v>670</v>
      </c>
      <c r="AC1578" s="1008"/>
      <c r="AD1578" s="1008" t="s">
        <v>670</v>
      </c>
      <c r="AE1578" s="1008"/>
      <c r="AF1578" s="1008"/>
      <c r="AG1578" s="1008"/>
      <c r="AH1578" s="1008"/>
      <c r="AI1578" s="1008"/>
    </row>
    <row r="1579" spans="1:35">
      <c r="A1579" s="1008">
        <v>24356</v>
      </c>
      <c r="C1579" s="1008">
        <v>5</v>
      </c>
      <c r="D1579" s="1009">
        <v>18699999</v>
      </c>
      <c r="E1579" s="1009">
        <v>18599990</v>
      </c>
      <c r="F1579" s="1007" t="s">
        <v>3088</v>
      </c>
      <c r="O1579" s="1007" t="s">
        <v>648</v>
      </c>
      <c r="P1579" s="1007" t="s">
        <v>648</v>
      </c>
      <c r="S1579" s="1008" t="s">
        <v>650</v>
      </c>
      <c r="T1579" s="1008" t="s">
        <v>21</v>
      </c>
      <c r="U1579" s="1008" t="s">
        <v>649</v>
      </c>
      <c r="V1579" s="1008" t="s">
        <v>648</v>
      </c>
      <c r="W1579" s="1008" t="s">
        <v>546</v>
      </c>
      <c r="X1579" s="1008"/>
      <c r="Y1579" s="1008"/>
      <c r="Z1579" s="1008"/>
      <c r="AA1579" s="1008"/>
      <c r="AB1579" s="1008"/>
      <c r="AC1579" s="1008"/>
      <c r="AD1579" s="1008"/>
      <c r="AE1579" s="1008"/>
      <c r="AF1579" s="1008"/>
      <c r="AG1579" s="1008"/>
      <c r="AH1579" s="1008"/>
      <c r="AI1579" s="1008"/>
    </row>
    <row r="1580" spans="1:35">
      <c r="A1580" s="1008">
        <v>24357</v>
      </c>
      <c r="C1580" s="1008">
        <v>5</v>
      </c>
      <c r="D1580" s="1009">
        <v>18619999</v>
      </c>
      <c r="E1580" s="1009">
        <v>18600000</v>
      </c>
      <c r="F1580" s="1007" t="s">
        <v>3087</v>
      </c>
      <c r="O1580" s="1007" t="s">
        <v>648</v>
      </c>
      <c r="P1580" s="1007" t="s">
        <v>648</v>
      </c>
      <c r="S1580" s="1008" t="s">
        <v>650</v>
      </c>
      <c r="T1580" s="1008" t="s">
        <v>675</v>
      </c>
      <c r="U1580" s="1008" t="s">
        <v>649</v>
      </c>
      <c r="V1580" s="1008" t="s">
        <v>648</v>
      </c>
      <c r="W1580" s="1008" t="s">
        <v>546</v>
      </c>
      <c r="X1580" s="1008"/>
      <c r="Y1580" s="1008"/>
      <c r="Z1580" s="1008"/>
      <c r="AA1580" s="1008"/>
      <c r="AB1580" s="1008"/>
      <c r="AC1580" s="1008"/>
      <c r="AD1580" s="1008"/>
      <c r="AE1580" s="1008"/>
      <c r="AF1580" s="1008"/>
      <c r="AG1580" s="1008"/>
      <c r="AH1580" s="1008"/>
      <c r="AI1580" s="1008"/>
    </row>
    <row r="1581" spans="1:35">
      <c r="A1581" s="1008">
        <v>24358</v>
      </c>
      <c r="B1581" s="1008">
        <v>5024</v>
      </c>
      <c r="C1581" s="1008">
        <v>6</v>
      </c>
      <c r="D1581" s="1009">
        <v>18619999</v>
      </c>
      <c r="E1581" s="1009">
        <v>18610000</v>
      </c>
      <c r="F1581" s="1007" t="s">
        <v>3086</v>
      </c>
      <c r="G1581" s="1007">
        <v>6</v>
      </c>
      <c r="H1581" s="1010">
        <v>99999999</v>
      </c>
      <c r="I1581" s="1009">
        <v>18610000</v>
      </c>
      <c r="J1581" s="1007" t="s">
        <v>3086</v>
      </c>
      <c r="O1581" s="1007" t="s">
        <v>648</v>
      </c>
      <c r="P1581" s="1007" t="s">
        <v>648</v>
      </c>
      <c r="S1581" s="1008" t="s">
        <v>650</v>
      </c>
      <c r="T1581" s="1008" t="s">
        <v>654</v>
      </c>
      <c r="U1581" s="1008" t="s">
        <v>649</v>
      </c>
      <c r="V1581" s="1008" t="s">
        <v>648</v>
      </c>
      <c r="W1581" s="1008" t="s">
        <v>546</v>
      </c>
      <c r="X1581" s="1008" t="s">
        <v>670</v>
      </c>
      <c r="Y1581" s="1008" t="s">
        <v>670</v>
      </c>
      <c r="Z1581" s="1008" t="s">
        <v>670</v>
      </c>
      <c r="AA1581" s="1008"/>
      <c r="AB1581" s="1008" t="s">
        <v>670</v>
      </c>
      <c r="AC1581" s="1008"/>
      <c r="AD1581" s="1008"/>
      <c r="AE1581" s="1008"/>
      <c r="AF1581" s="1008" t="s">
        <v>670</v>
      </c>
      <c r="AG1581" s="1008"/>
      <c r="AH1581" s="1008"/>
      <c r="AI1581" s="1008"/>
    </row>
    <row r="1582" spans="1:35">
      <c r="A1582" s="1008">
        <v>24359</v>
      </c>
      <c r="C1582" s="1008">
        <v>5</v>
      </c>
      <c r="D1582" s="1009">
        <v>18699999</v>
      </c>
      <c r="E1582" s="1009">
        <v>18619999</v>
      </c>
      <c r="F1582" s="1007" t="s">
        <v>3085</v>
      </c>
      <c r="O1582" s="1007" t="s">
        <v>648</v>
      </c>
      <c r="P1582" s="1007" t="s">
        <v>648</v>
      </c>
      <c r="S1582" s="1008" t="s">
        <v>650</v>
      </c>
      <c r="T1582" s="1008" t="s">
        <v>21</v>
      </c>
      <c r="U1582" s="1008" t="s">
        <v>649</v>
      </c>
      <c r="V1582" s="1008" t="s">
        <v>648</v>
      </c>
      <c r="W1582" s="1008" t="s">
        <v>546</v>
      </c>
      <c r="X1582" s="1008"/>
      <c r="Y1582" s="1008"/>
      <c r="Z1582" s="1008"/>
      <c r="AA1582" s="1008"/>
      <c r="AB1582" s="1008"/>
      <c r="AC1582" s="1008"/>
      <c r="AD1582" s="1008"/>
      <c r="AE1582" s="1008"/>
      <c r="AF1582" s="1008"/>
      <c r="AG1582" s="1008"/>
      <c r="AH1582" s="1008"/>
      <c r="AI1582" s="1008"/>
    </row>
    <row r="1583" spans="1:35">
      <c r="A1583" s="1008">
        <v>27643</v>
      </c>
      <c r="C1583" s="1008">
        <v>5</v>
      </c>
      <c r="D1583" s="1009">
        <v>18199999</v>
      </c>
      <c r="E1583" s="1009">
        <v>18620000</v>
      </c>
      <c r="F1583" s="1007" t="s">
        <v>3084</v>
      </c>
      <c r="O1583" s="1007" t="s">
        <v>648</v>
      </c>
      <c r="P1583" s="1007" t="s">
        <v>648</v>
      </c>
      <c r="S1583" s="1008" t="s">
        <v>650</v>
      </c>
      <c r="T1583" s="1008" t="s">
        <v>675</v>
      </c>
      <c r="U1583" s="1008" t="s">
        <v>649</v>
      </c>
      <c r="V1583" s="1008" t="s">
        <v>648</v>
      </c>
      <c r="W1583" s="1008" t="s">
        <v>546</v>
      </c>
      <c r="X1583" s="1008"/>
      <c r="Y1583" s="1008"/>
      <c r="Z1583" s="1008"/>
      <c r="AA1583" s="1008"/>
      <c r="AB1583" s="1008"/>
      <c r="AC1583" s="1008"/>
      <c r="AD1583" s="1008"/>
      <c r="AE1583" s="1008"/>
      <c r="AF1583" s="1008"/>
      <c r="AG1583" s="1008"/>
      <c r="AH1583" s="1008"/>
      <c r="AI1583" s="1008"/>
    </row>
    <row r="1584" spans="1:35">
      <c r="A1584" s="1008">
        <v>27644</v>
      </c>
      <c r="B1584" s="1008">
        <v>6474</v>
      </c>
      <c r="C1584" s="1008">
        <v>6</v>
      </c>
      <c r="D1584" s="1009">
        <v>18620999</v>
      </c>
      <c r="E1584" s="1009">
        <v>18620100</v>
      </c>
      <c r="F1584" s="1007" t="s">
        <v>3083</v>
      </c>
      <c r="G1584" s="1007">
        <v>8</v>
      </c>
      <c r="H1584" s="1010">
        <v>99999999</v>
      </c>
      <c r="I1584" s="1009">
        <v>18620100</v>
      </c>
      <c r="J1584" s="1007" t="s">
        <v>3083</v>
      </c>
      <c r="O1584" s="1007" t="s">
        <v>648</v>
      </c>
      <c r="P1584" s="1007" t="s">
        <v>648</v>
      </c>
      <c r="S1584" s="1008" t="s">
        <v>650</v>
      </c>
      <c r="T1584" s="1008" t="s">
        <v>654</v>
      </c>
      <c r="U1584" s="1008" t="s">
        <v>649</v>
      </c>
      <c r="V1584" s="1008" t="s">
        <v>648</v>
      </c>
      <c r="W1584" s="1008" t="s">
        <v>546</v>
      </c>
      <c r="X1584" s="1008" t="s">
        <v>670</v>
      </c>
      <c r="Y1584" s="1008" t="s">
        <v>670</v>
      </c>
      <c r="Z1584" s="1008"/>
      <c r="AA1584" s="1008" t="s">
        <v>670</v>
      </c>
      <c r="AB1584" s="1008"/>
      <c r="AC1584" s="1008"/>
      <c r="AD1584" s="1008"/>
      <c r="AE1584" s="1008"/>
      <c r="AF1584" s="1008" t="s">
        <v>670</v>
      </c>
      <c r="AG1584" s="1008"/>
      <c r="AH1584" s="1008"/>
      <c r="AI1584" s="1008"/>
    </row>
    <row r="1585" spans="1:35">
      <c r="A1585" s="1008">
        <v>27718</v>
      </c>
      <c r="B1585" s="1008">
        <v>6540</v>
      </c>
      <c r="C1585" s="1008">
        <v>6</v>
      </c>
      <c r="D1585" s="1009">
        <v>18620999</v>
      </c>
      <c r="E1585" s="1009">
        <v>18620101</v>
      </c>
      <c r="F1585" s="1007" t="s">
        <v>3082</v>
      </c>
      <c r="G1585" s="1007">
        <v>8</v>
      </c>
      <c r="H1585" s="1010">
        <v>99999999</v>
      </c>
      <c r="I1585" s="1009">
        <v>18620101</v>
      </c>
      <c r="J1585" s="1007" t="s">
        <v>3081</v>
      </c>
      <c r="O1585" s="1007" t="s">
        <v>648</v>
      </c>
      <c r="P1585" s="1007" t="s">
        <v>648</v>
      </c>
      <c r="S1585" s="1008" t="s">
        <v>650</v>
      </c>
      <c r="T1585" s="1008" t="s">
        <v>654</v>
      </c>
      <c r="U1585" s="1008" t="s">
        <v>649</v>
      </c>
      <c r="V1585" s="1008" t="s">
        <v>648</v>
      </c>
      <c r="W1585" s="1008" t="s">
        <v>546</v>
      </c>
      <c r="X1585" s="1008" t="s">
        <v>670</v>
      </c>
      <c r="Y1585" s="1008" t="s">
        <v>670</v>
      </c>
      <c r="Z1585" s="1008"/>
      <c r="AA1585" s="1008" t="s">
        <v>670</v>
      </c>
      <c r="AB1585" s="1008"/>
      <c r="AC1585" s="1008"/>
      <c r="AD1585" s="1008"/>
      <c r="AE1585" s="1008"/>
      <c r="AF1585" s="1008" t="s">
        <v>670</v>
      </c>
      <c r="AG1585" s="1008"/>
      <c r="AH1585" s="1008"/>
      <c r="AI1585" s="1008"/>
    </row>
    <row r="1586" spans="1:35">
      <c r="A1586" s="1008">
        <v>27687</v>
      </c>
      <c r="B1586" s="1008">
        <v>6513</v>
      </c>
      <c r="C1586" s="1008">
        <v>6</v>
      </c>
      <c r="D1586" s="1009">
        <v>18620999</v>
      </c>
      <c r="E1586" s="1009">
        <v>18620102</v>
      </c>
      <c r="F1586" s="1007" t="s">
        <v>3080</v>
      </c>
      <c r="G1586" s="1007" t="s">
        <v>648</v>
      </c>
      <c r="H1586" s="1010">
        <v>99999999</v>
      </c>
      <c r="I1586" s="1009">
        <v>18620102</v>
      </c>
      <c r="J1586" s="1007" t="s">
        <v>3080</v>
      </c>
      <c r="O1586" s="1007" t="s">
        <v>648</v>
      </c>
      <c r="P1586" s="1007" t="s">
        <v>648</v>
      </c>
      <c r="S1586" s="1008" t="s">
        <v>650</v>
      </c>
      <c r="T1586" s="1008" t="s">
        <v>654</v>
      </c>
      <c r="U1586" s="1008" t="s">
        <v>649</v>
      </c>
      <c r="V1586" s="1008" t="s">
        <v>648</v>
      </c>
      <c r="W1586" s="1008" t="s">
        <v>546</v>
      </c>
      <c r="X1586" s="1008" t="s">
        <v>670</v>
      </c>
      <c r="Y1586" s="1008" t="s">
        <v>670</v>
      </c>
      <c r="Z1586" s="1008"/>
      <c r="AA1586" s="1008"/>
      <c r="AB1586" s="1008"/>
      <c r="AC1586" s="1008"/>
      <c r="AD1586" s="1008"/>
      <c r="AE1586" s="1008"/>
      <c r="AF1586" s="1008" t="s">
        <v>670</v>
      </c>
      <c r="AG1586" s="1008"/>
      <c r="AH1586" s="1008"/>
      <c r="AI1586" s="1008"/>
    </row>
    <row r="1587" spans="1:35">
      <c r="A1587" s="1008">
        <v>27688</v>
      </c>
      <c r="B1587" s="1008">
        <v>6514</v>
      </c>
      <c r="C1587" s="1008">
        <v>6</v>
      </c>
      <c r="D1587" s="1009">
        <v>18620999</v>
      </c>
      <c r="E1587" s="1009">
        <v>18620104</v>
      </c>
      <c r="F1587" s="1007" t="s">
        <v>3079</v>
      </c>
      <c r="G1587" s="1007" t="s">
        <v>648</v>
      </c>
      <c r="H1587" s="1010">
        <v>99999999</v>
      </c>
      <c r="I1587" s="1009">
        <v>18620104</v>
      </c>
      <c r="J1587" s="1007" t="s">
        <v>3078</v>
      </c>
      <c r="O1587" s="1007" t="s">
        <v>648</v>
      </c>
      <c r="P1587" s="1007" t="s">
        <v>648</v>
      </c>
      <c r="S1587" s="1008" t="s">
        <v>650</v>
      </c>
      <c r="T1587" s="1008" t="s">
        <v>654</v>
      </c>
      <c r="U1587" s="1008" t="s">
        <v>649</v>
      </c>
      <c r="V1587" s="1008" t="s">
        <v>648</v>
      </c>
      <c r="W1587" s="1008" t="s">
        <v>546</v>
      </c>
      <c r="X1587" s="1008" t="s">
        <v>670</v>
      </c>
      <c r="Y1587" s="1008" t="s">
        <v>670</v>
      </c>
      <c r="Z1587" s="1008"/>
      <c r="AA1587" s="1008"/>
      <c r="AB1587" s="1008"/>
      <c r="AC1587" s="1008"/>
      <c r="AD1587" s="1008"/>
      <c r="AE1587" s="1008"/>
      <c r="AF1587" s="1008" t="s">
        <v>670</v>
      </c>
      <c r="AG1587" s="1008"/>
      <c r="AH1587" s="1008"/>
      <c r="AI1587" s="1008"/>
    </row>
    <row r="1588" spans="1:35">
      <c r="A1588" s="1008">
        <v>27733</v>
      </c>
      <c r="B1588" s="1008">
        <v>6551</v>
      </c>
      <c r="C1588" s="1008">
        <v>6</v>
      </c>
      <c r="D1588" s="1009">
        <v>18620999</v>
      </c>
      <c r="E1588" s="1009">
        <v>18620190</v>
      </c>
      <c r="F1588" s="1007" t="s">
        <v>3077</v>
      </c>
      <c r="G1588" s="1007" t="s">
        <v>648</v>
      </c>
      <c r="H1588" s="1010">
        <v>99999999</v>
      </c>
      <c r="I1588" s="1009">
        <v>18620190</v>
      </c>
      <c r="J1588" s="1007" t="s">
        <v>3077</v>
      </c>
      <c r="O1588" s="1007" t="s">
        <v>648</v>
      </c>
      <c r="P1588" s="1007" t="s">
        <v>648</v>
      </c>
      <c r="S1588" s="1008" t="s">
        <v>650</v>
      </c>
      <c r="T1588" s="1008" t="s">
        <v>654</v>
      </c>
      <c r="U1588" s="1008" t="s">
        <v>649</v>
      </c>
      <c r="V1588" s="1008" t="s">
        <v>648</v>
      </c>
      <c r="W1588" s="1008" t="s">
        <v>546</v>
      </c>
      <c r="X1588" s="1008" t="s">
        <v>670</v>
      </c>
      <c r="Y1588" s="1008" t="s">
        <v>670</v>
      </c>
      <c r="Z1588" s="1008"/>
      <c r="AA1588" s="1008"/>
      <c r="AB1588" s="1008"/>
      <c r="AC1588" s="1008"/>
      <c r="AD1588" s="1008"/>
      <c r="AE1588" s="1008"/>
      <c r="AF1588" s="1008" t="s">
        <v>670</v>
      </c>
      <c r="AG1588" s="1008"/>
      <c r="AH1588" s="1008"/>
      <c r="AI1588" s="1008"/>
    </row>
    <row r="1589" spans="1:35">
      <c r="A1589" s="1008">
        <v>27642</v>
      </c>
      <c r="C1589" s="1008">
        <v>5</v>
      </c>
      <c r="D1589" s="1009">
        <v>18199999</v>
      </c>
      <c r="E1589" s="1009">
        <v>18620999</v>
      </c>
      <c r="F1589" s="1007" t="s">
        <v>3076</v>
      </c>
      <c r="O1589" s="1007" t="s">
        <v>648</v>
      </c>
      <c r="P1589" s="1007" t="s">
        <v>648</v>
      </c>
      <c r="S1589" s="1008" t="s">
        <v>650</v>
      </c>
      <c r="T1589" s="1008" t="s">
        <v>21</v>
      </c>
      <c r="U1589" s="1008" t="s">
        <v>649</v>
      </c>
      <c r="V1589" s="1008" t="s">
        <v>648</v>
      </c>
      <c r="W1589" s="1008" t="s">
        <v>546</v>
      </c>
      <c r="X1589" s="1008"/>
      <c r="Y1589" s="1008"/>
      <c r="Z1589" s="1008"/>
      <c r="AA1589" s="1008"/>
      <c r="AB1589" s="1008"/>
      <c r="AC1589" s="1008"/>
      <c r="AD1589" s="1008"/>
      <c r="AE1589" s="1008"/>
      <c r="AF1589" s="1008"/>
      <c r="AG1589" s="1008"/>
      <c r="AH1589" s="1008"/>
      <c r="AI1589" s="1008"/>
    </row>
    <row r="1590" spans="1:35">
      <c r="A1590" s="1008">
        <v>27696</v>
      </c>
      <c r="C1590" s="1008">
        <v>5</v>
      </c>
      <c r="D1590" s="1009">
        <v>18621999</v>
      </c>
      <c r="E1590" s="1009">
        <v>18621000</v>
      </c>
      <c r="F1590" s="1007" t="s">
        <v>3075</v>
      </c>
      <c r="O1590" s="1007" t="s">
        <v>648</v>
      </c>
      <c r="P1590" s="1007" t="s">
        <v>648</v>
      </c>
      <c r="S1590" s="1008" t="s">
        <v>650</v>
      </c>
      <c r="T1590" s="1008" t="s">
        <v>675</v>
      </c>
      <c r="U1590" s="1008" t="s">
        <v>649</v>
      </c>
      <c r="V1590" s="1008" t="s">
        <v>648</v>
      </c>
      <c r="W1590" s="1008" t="s">
        <v>546</v>
      </c>
      <c r="X1590" s="1008"/>
      <c r="Y1590" s="1008"/>
      <c r="Z1590" s="1008"/>
      <c r="AA1590" s="1008"/>
      <c r="AB1590" s="1008"/>
      <c r="AC1590" s="1008"/>
      <c r="AD1590" s="1008"/>
      <c r="AE1590" s="1008"/>
      <c r="AF1590" s="1008"/>
      <c r="AG1590" s="1008"/>
      <c r="AH1590" s="1008"/>
      <c r="AI1590" s="1008"/>
    </row>
    <row r="1591" spans="1:35">
      <c r="A1591" s="1008">
        <v>27697</v>
      </c>
      <c r="B1591" s="1008">
        <v>6519</v>
      </c>
      <c r="C1591" s="1008">
        <v>6</v>
      </c>
      <c r="D1591" s="1009">
        <v>18621999</v>
      </c>
      <c r="E1591" s="1009">
        <v>18621100</v>
      </c>
      <c r="F1591" s="1007" t="s">
        <v>3074</v>
      </c>
      <c r="G1591" s="1007">
        <v>8</v>
      </c>
      <c r="H1591" s="1010">
        <v>99999999</v>
      </c>
      <c r="I1591" s="1009">
        <v>18621100</v>
      </c>
      <c r="J1591" s="1007" t="s">
        <v>3074</v>
      </c>
      <c r="O1591" s="1007" t="s">
        <v>648</v>
      </c>
      <c r="P1591" s="1007" t="s">
        <v>648</v>
      </c>
      <c r="S1591" s="1008" t="s">
        <v>650</v>
      </c>
      <c r="T1591" s="1008" t="s">
        <v>654</v>
      </c>
      <c r="U1591" s="1008" t="s">
        <v>649</v>
      </c>
      <c r="V1591" s="1008" t="s">
        <v>648</v>
      </c>
      <c r="W1591" s="1008" t="s">
        <v>546</v>
      </c>
      <c r="X1591" s="1008" t="s">
        <v>670</v>
      </c>
      <c r="Y1591" s="1008" t="s">
        <v>670</v>
      </c>
      <c r="Z1591" s="1008"/>
      <c r="AA1591" s="1008"/>
      <c r="AB1591" s="1008"/>
      <c r="AC1591" s="1008"/>
      <c r="AD1591" s="1008"/>
      <c r="AE1591" s="1008"/>
      <c r="AF1591" s="1008" t="s">
        <v>670</v>
      </c>
      <c r="AG1591" s="1008"/>
      <c r="AH1591" s="1008"/>
      <c r="AI1591" s="1008"/>
    </row>
    <row r="1592" spans="1:35">
      <c r="A1592" s="1008">
        <v>27698</v>
      </c>
      <c r="B1592" s="1008">
        <v>6520</v>
      </c>
      <c r="C1592" s="1008">
        <v>6</v>
      </c>
      <c r="D1592" s="1009">
        <v>18621999</v>
      </c>
      <c r="E1592" s="1009">
        <v>18621102</v>
      </c>
      <c r="F1592" s="1007" t="s">
        <v>3073</v>
      </c>
      <c r="G1592" s="1007">
        <v>8</v>
      </c>
      <c r="H1592" s="1010">
        <v>99999999</v>
      </c>
      <c r="I1592" s="1009">
        <v>18621102</v>
      </c>
      <c r="J1592" s="1007" t="s">
        <v>3073</v>
      </c>
      <c r="O1592" s="1007" t="s">
        <v>648</v>
      </c>
      <c r="P1592" s="1007" t="s">
        <v>648</v>
      </c>
      <c r="S1592" s="1008" t="s">
        <v>650</v>
      </c>
      <c r="T1592" s="1008" t="s">
        <v>654</v>
      </c>
      <c r="U1592" s="1008" t="s">
        <v>649</v>
      </c>
      <c r="V1592" s="1008" t="s">
        <v>648</v>
      </c>
      <c r="W1592" s="1008" t="s">
        <v>546</v>
      </c>
      <c r="X1592" s="1008" t="s">
        <v>670</v>
      </c>
      <c r="Y1592" s="1008" t="s">
        <v>670</v>
      </c>
      <c r="Z1592" s="1008"/>
      <c r="AA1592" s="1008"/>
      <c r="AB1592" s="1008"/>
      <c r="AC1592" s="1008"/>
      <c r="AD1592" s="1008"/>
      <c r="AE1592" s="1008"/>
      <c r="AF1592" s="1008" t="s">
        <v>670</v>
      </c>
      <c r="AG1592" s="1008"/>
      <c r="AH1592" s="1008"/>
      <c r="AI1592" s="1008"/>
    </row>
    <row r="1593" spans="1:35">
      <c r="A1593" s="1008">
        <v>27699</v>
      </c>
      <c r="B1593" s="1008">
        <v>6521</v>
      </c>
      <c r="C1593" s="1008">
        <v>6</v>
      </c>
      <c r="D1593" s="1009">
        <v>18621999</v>
      </c>
      <c r="E1593" s="1009">
        <v>18621104</v>
      </c>
      <c r="F1593" s="1007" t="s">
        <v>3072</v>
      </c>
      <c r="G1593" s="1007">
        <v>8</v>
      </c>
      <c r="H1593" s="1010">
        <v>99999999</v>
      </c>
      <c r="I1593" s="1009">
        <v>18621104</v>
      </c>
      <c r="J1593" s="1007" t="s">
        <v>3072</v>
      </c>
      <c r="O1593" s="1007" t="s">
        <v>648</v>
      </c>
      <c r="P1593" s="1007" t="s">
        <v>648</v>
      </c>
      <c r="S1593" s="1008" t="s">
        <v>650</v>
      </c>
      <c r="T1593" s="1008" t="s">
        <v>654</v>
      </c>
      <c r="U1593" s="1008" t="s">
        <v>649</v>
      </c>
      <c r="V1593" s="1008" t="s">
        <v>648</v>
      </c>
      <c r="W1593" s="1008" t="s">
        <v>546</v>
      </c>
      <c r="X1593" s="1008" t="s">
        <v>670</v>
      </c>
      <c r="Y1593" s="1008" t="s">
        <v>670</v>
      </c>
      <c r="Z1593" s="1008"/>
      <c r="AA1593" s="1008"/>
      <c r="AB1593" s="1008"/>
      <c r="AC1593" s="1008"/>
      <c r="AD1593" s="1008"/>
      <c r="AE1593" s="1008"/>
      <c r="AF1593" s="1008" t="s">
        <v>670</v>
      </c>
      <c r="AG1593" s="1008"/>
      <c r="AH1593" s="1008"/>
      <c r="AI1593" s="1008"/>
    </row>
    <row r="1594" spans="1:35">
      <c r="A1594" s="1008">
        <v>27700</v>
      </c>
      <c r="B1594" s="1008">
        <v>6522</v>
      </c>
      <c r="C1594" s="1008">
        <v>6</v>
      </c>
      <c r="D1594" s="1009">
        <v>18621999</v>
      </c>
      <c r="E1594" s="1009">
        <v>18621106</v>
      </c>
      <c r="F1594" s="1007" t="s">
        <v>3071</v>
      </c>
      <c r="G1594" s="1007">
        <v>8</v>
      </c>
      <c r="H1594" s="1010">
        <v>99999999</v>
      </c>
      <c r="I1594" s="1009">
        <v>18621106</v>
      </c>
      <c r="J1594" s="1007" t="s">
        <v>3071</v>
      </c>
      <c r="O1594" s="1007" t="s">
        <v>648</v>
      </c>
      <c r="P1594" s="1007" t="s">
        <v>648</v>
      </c>
      <c r="S1594" s="1008" t="s">
        <v>650</v>
      </c>
      <c r="T1594" s="1008" t="s">
        <v>654</v>
      </c>
      <c r="U1594" s="1008" t="s">
        <v>649</v>
      </c>
      <c r="V1594" s="1008" t="s">
        <v>648</v>
      </c>
      <c r="W1594" s="1008" t="s">
        <v>546</v>
      </c>
      <c r="X1594" s="1008" t="s">
        <v>670</v>
      </c>
      <c r="Y1594" s="1008" t="s">
        <v>670</v>
      </c>
      <c r="Z1594" s="1008"/>
      <c r="AA1594" s="1008"/>
      <c r="AB1594" s="1008"/>
      <c r="AC1594" s="1008"/>
      <c r="AD1594" s="1008"/>
      <c r="AE1594" s="1008"/>
      <c r="AF1594" s="1008" t="s">
        <v>670</v>
      </c>
      <c r="AG1594" s="1008"/>
      <c r="AH1594" s="1008"/>
      <c r="AI1594" s="1008"/>
    </row>
    <row r="1595" spans="1:35">
      <c r="A1595" s="1008">
        <v>27701</v>
      </c>
      <c r="B1595" s="1008">
        <v>6523</v>
      </c>
      <c r="C1595" s="1008">
        <v>6</v>
      </c>
      <c r="D1595" s="1009">
        <v>18621999</v>
      </c>
      <c r="E1595" s="1009">
        <v>18621108</v>
      </c>
      <c r="F1595" s="1007" t="s">
        <v>3070</v>
      </c>
      <c r="G1595" s="1007">
        <v>8</v>
      </c>
      <c r="H1595" s="1010">
        <v>99999999</v>
      </c>
      <c r="I1595" s="1009">
        <v>18621108</v>
      </c>
      <c r="J1595" s="1007" t="s">
        <v>3070</v>
      </c>
      <c r="O1595" s="1007" t="s">
        <v>648</v>
      </c>
      <c r="P1595" s="1007" t="s">
        <v>648</v>
      </c>
      <c r="S1595" s="1008" t="s">
        <v>650</v>
      </c>
      <c r="T1595" s="1008" t="s">
        <v>654</v>
      </c>
      <c r="U1595" s="1008" t="s">
        <v>649</v>
      </c>
      <c r="V1595" s="1008" t="s">
        <v>648</v>
      </c>
      <c r="W1595" s="1008" t="s">
        <v>546</v>
      </c>
      <c r="X1595" s="1008" t="s">
        <v>670</v>
      </c>
      <c r="Y1595" s="1008" t="s">
        <v>670</v>
      </c>
      <c r="Z1595" s="1008"/>
      <c r="AA1595" s="1008"/>
      <c r="AB1595" s="1008"/>
      <c r="AC1595" s="1008"/>
      <c r="AD1595" s="1008"/>
      <c r="AE1595" s="1008"/>
      <c r="AF1595" s="1008" t="s">
        <v>670</v>
      </c>
      <c r="AG1595" s="1008"/>
      <c r="AH1595" s="1008"/>
      <c r="AI1595" s="1008"/>
    </row>
    <row r="1596" spans="1:35">
      <c r="A1596" s="1008">
        <v>27702</v>
      </c>
      <c r="B1596" s="1008">
        <v>6524</v>
      </c>
      <c r="C1596" s="1008">
        <v>6</v>
      </c>
      <c r="D1596" s="1009">
        <v>18621999</v>
      </c>
      <c r="E1596" s="1009">
        <v>18621110</v>
      </c>
      <c r="F1596" s="1007" t="s">
        <v>3069</v>
      </c>
      <c r="G1596" s="1007">
        <v>8</v>
      </c>
      <c r="H1596" s="1010">
        <v>99999999</v>
      </c>
      <c r="I1596" s="1009">
        <v>18621110</v>
      </c>
      <c r="J1596" s="1007" t="s">
        <v>3069</v>
      </c>
      <c r="O1596" s="1007" t="s">
        <v>648</v>
      </c>
      <c r="P1596" s="1007" t="s">
        <v>648</v>
      </c>
      <c r="S1596" s="1008" t="s">
        <v>650</v>
      </c>
      <c r="T1596" s="1008" t="s">
        <v>654</v>
      </c>
      <c r="U1596" s="1008" t="s">
        <v>649</v>
      </c>
      <c r="V1596" s="1008" t="s">
        <v>648</v>
      </c>
      <c r="W1596" s="1008" t="s">
        <v>546</v>
      </c>
      <c r="X1596" s="1008" t="s">
        <v>670</v>
      </c>
      <c r="Y1596" s="1008" t="s">
        <v>670</v>
      </c>
      <c r="Z1596" s="1008"/>
      <c r="AA1596" s="1008"/>
      <c r="AB1596" s="1008"/>
      <c r="AC1596" s="1008"/>
      <c r="AD1596" s="1008"/>
      <c r="AE1596" s="1008"/>
      <c r="AF1596" s="1008" t="s">
        <v>670</v>
      </c>
      <c r="AG1596" s="1008"/>
      <c r="AH1596" s="1008"/>
      <c r="AI1596" s="1008"/>
    </row>
    <row r="1597" spans="1:35">
      <c r="A1597" s="1008">
        <v>27703</v>
      </c>
      <c r="B1597" s="1008">
        <v>6525</v>
      </c>
      <c r="C1597" s="1008">
        <v>6</v>
      </c>
      <c r="D1597" s="1009">
        <v>18621999</v>
      </c>
      <c r="E1597" s="1009">
        <v>18621112</v>
      </c>
      <c r="F1597" s="1007" t="s">
        <v>3068</v>
      </c>
      <c r="G1597" s="1007">
        <v>8</v>
      </c>
      <c r="H1597" s="1010">
        <v>99999999</v>
      </c>
      <c r="I1597" s="1009">
        <v>18621112</v>
      </c>
      <c r="J1597" s="1007" t="s">
        <v>3068</v>
      </c>
      <c r="O1597" s="1007" t="s">
        <v>648</v>
      </c>
      <c r="P1597" s="1007" t="s">
        <v>648</v>
      </c>
      <c r="S1597" s="1008" t="s">
        <v>650</v>
      </c>
      <c r="T1597" s="1008" t="s">
        <v>654</v>
      </c>
      <c r="U1597" s="1008" t="s">
        <v>649</v>
      </c>
      <c r="V1597" s="1008" t="s">
        <v>648</v>
      </c>
      <c r="W1597" s="1008" t="s">
        <v>546</v>
      </c>
      <c r="X1597" s="1008" t="s">
        <v>670</v>
      </c>
      <c r="Y1597" s="1008" t="s">
        <v>670</v>
      </c>
      <c r="Z1597" s="1008"/>
      <c r="AA1597" s="1008"/>
      <c r="AB1597" s="1008"/>
      <c r="AC1597" s="1008"/>
      <c r="AD1597" s="1008"/>
      <c r="AE1597" s="1008"/>
      <c r="AF1597" s="1008" t="s">
        <v>670</v>
      </c>
      <c r="AG1597" s="1008"/>
      <c r="AH1597" s="1008"/>
      <c r="AI1597" s="1008"/>
    </row>
    <row r="1598" spans="1:35">
      <c r="A1598" s="1008">
        <v>27704</v>
      </c>
      <c r="B1598" s="1008">
        <v>6526</v>
      </c>
      <c r="C1598" s="1008">
        <v>6</v>
      </c>
      <c r="D1598" s="1009">
        <v>18621999</v>
      </c>
      <c r="E1598" s="1009">
        <v>18621114</v>
      </c>
      <c r="F1598" s="1007" t="s">
        <v>3067</v>
      </c>
      <c r="G1598" s="1007">
        <v>8</v>
      </c>
      <c r="H1598" s="1010">
        <v>99999999</v>
      </c>
      <c r="I1598" s="1009">
        <v>18621114</v>
      </c>
      <c r="J1598" s="1007" t="s">
        <v>3067</v>
      </c>
      <c r="O1598" s="1007" t="s">
        <v>648</v>
      </c>
      <c r="P1598" s="1007" t="s">
        <v>648</v>
      </c>
      <c r="S1598" s="1008" t="s">
        <v>650</v>
      </c>
      <c r="T1598" s="1008" t="s">
        <v>654</v>
      </c>
      <c r="U1598" s="1008" t="s">
        <v>649</v>
      </c>
      <c r="V1598" s="1008" t="s">
        <v>648</v>
      </c>
      <c r="W1598" s="1008" t="s">
        <v>546</v>
      </c>
      <c r="X1598" s="1008" t="s">
        <v>670</v>
      </c>
      <c r="Y1598" s="1008" t="s">
        <v>670</v>
      </c>
      <c r="Z1598" s="1008"/>
      <c r="AA1598" s="1008"/>
      <c r="AB1598" s="1008"/>
      <c r="AC1598" s="1008"/>
      <c r="AD1598" s="1008"/>
      <c r="AE1598" s="1008"/>
      <c r="AF1598" s="1008" t="s">
        <v>670</v>
      </c>
      <c r="AG1598" s="1008"/>
      <c r="AH1598" s="1008"/>
      <c r="AI1598" s="1008"/>
    </row>
    <row r="1599" spans="1:35">
      <c r="A1599" s="1008">
        <v>27705</v>
      </c>
      <c r="B1599" s="1008">
        <v>6527</v>
      </c>
      <c r="C1599" s="1008">
        <v>6</v>
      </c>
      <c r="D1599" s="1009">
        <v>18621999</v>
      </c>
      <c r="E1599" s="1009">
        <v>18621116</v>
      </c>
      <c r="F1599" s="1007" t="s">
        <v>3066</v>
      </c>
      <c r="G1599" s="1007">
        <v>8</v>
      </c>
      <c r="H1599" s="1010">
        <v>99999999</v>
      </c>
      <c r="I1599" s="1009">
        <v>18621116</v>
      </c>
      <c r="J1599" s="1007" t="s">
        <v>3066</v>
      </c>
      <c r="O1599" s="1007" t="s">
        <v>648</v>
      </c>
      <c r="P1599" s="1007" t="s">
        <v>648</v>
      </c>
      <c r="S1599" s="1008" t="s">
        <v>650</v>
      </c>
      <c r="T1599" s="1008" t="s">
        <v>654</v>
      </c>
      <c r="U1599" s="1008" t="s">
        <v>649</v>
      </c>
      <c r="V1599" s="1008" t="s">
        <v>648</v>
      </c>
      <c r="W1599" s="1008" t="s">
        <v>546</v>
      </c>
      <c r="X1599" s="1008" t="s">
        <v>670</v>
      </c>
      <c r="Y1599" s="1008" t="s">
        <v>670</v>
      </c>
      <c r="Z1599" s="1008"/>
      <c r="AA1599" s="1008"/>
      <c r="AB1599" s="1008"/>
      <c r="AC1599" s="1008"/>
      <c r="AD1599" s="1008"/>
      <c r="AE1599" s="1008"/>
      <c r="AF1599" s="1008" t="s">
        <v>670</v>
      </c>
      <c r="AG1599" s="1008"/>
      <c r="AH1599" s="1008"/>
      <c r="AI1599" s="1008"/>
    </row>
    <row r="1600" spans="1:35">
      <c r="A1600" s="1008">
        <v>27706</v>
      </c>
      <c r="B1600" s="1008">
        <v>6528</v>
      </c>
      <c r="C1600" s="1008">
        <v>6</v>
      </c>
      <c r="D1600" s="1009">
        <v>18621999</v>
      </c>
      <c r="E1600" s="1009">
        <v>18621118</v>
      </c>
      <c r="F1600" s="1007" t="s">
        <v>3065</v>
      </c>
      <c r="G1600" s="1007">
        <v>8</v>
      </c>
      <c r="H1600" s="1010">
        <v>99999999</v>
      </c>
      <c r="I1600" s="1009">
        <v>18621118</v>
      </c>
      <c r="J1600" s="1007" t="s">
        <v>3064</v>
      </c>
      <c r="O1600" s="1007" t="s">
        <v>648</v>
      </c>
      <c r="P1600" s="1007" t="s">
        <v>648</v>
      </c>
      <c r="S1600" s="1008" t="s">
        <v>650</v>
      </c>
      <c r="T1600" s="1008" t="s">
        <v>654</v>
      </c>
      <c r="U1600" s="1008" t="s">
        <v>649</v>
      </c>
      <c r="V1600" s="1008" t="s">
        <v>648</v>
      </c>
      <c r="W1600" s="1008" t="s">
        <v>546</v>
      </c>
      <c r="X1600" s="1008" t="s">
        <v>670</v>
      </c>
      <c r="Y1600" s="1008" t="s">
        <v>670</v>
      </c>
      <c r="Z1600" s="1008"/>
      <c r="AA1600" s="1008"/>
      <c r="AB1600" s="1008"/>
      <c r="AC1600" s="1008"/>
      <c r="AD1600" s="1008"/>
      <c r="AE1600" s="1008"/>
      <c r="AF1600" s="1008" t="s">
        <v>670</v>
      </c>
      <c r="AG1600" s="1008"/>
      <c r="AH1600" s="1008"/>
      <c r="AI1600" s="1008"/>
    </row>
    <row r="1601" spans="1:35">
      <c r="A1601" s="1008">
        <v>27707</v>
      </c>
      <c r="B1601" s="1008">
        <v>6529</v>
      </c>
      <c r="C1601" s="1008">
        <v>6</v>
      </c>
      <c r="D1601" s="1009">
        <v>18621999</v>
      </c>
      <c r="E1601" s="1009">
        <v>18621120</v>
      </c>
      <c r="F1601" s="1007" t="s">
        <v>3063</v>
      </c>
      <c r="G1601" s="1007">
        <v>8</v>
      </c>
      <c r="H1601" s="1010">
        <v>99999999</v>
      </c>
      <c r="I1601" s="1009">
        <v>18621120</v>
      </c>
      <c r="J1601" s="1007" t="s">
        <v>3063</v>
      </c>
      <c r="O1601" s="1007" t="s">
        <v>648</v>
      </c>
      <c r="P1601" s="1007" t="s">
        <v>648</v>
      </c>
      <c r="S1601" s="1008" t="s">
        <v>650</v>
      </c>
      <c r="T1601" s="1008" t="s">
        <v>654</v>
      </c>
      <c r="U1601" s="1008" t="s">
        <v>649</v>
      </c>
      <c r="V1601" s="1008" t="s">
        <v>648</v>
      </c>
      <c r="W1601" s="1008" t="s">
        <v>546</v>
      </c>
      <c r="X1601" s="1008" t="s">
        <v>670</v>
      </c>
      <c r="Y1601" s="1008" t="s">
        <v>670</v>
      </c>
      <c r="Z1601" s="1008"/>
      <c r="AA1601" s="1008"/>
      <c r="AB1601" s="1008"/>
      <c r="AC1601" s="1008"/>
      <c r="AD1601" s="1008"/>
      <c r="AE1601" s="1008"/>
      <c r="AF1601" s="1008" t="s">
        <v>670</v>
      </c>
      <c r="AG1601" s="1008"/>
      <c r="AH1601" s="1008"/>
      <c r="AI1601" s="1008"/>
    </row>
    <row r="1602" spans="1:35">
      <c r="A1602" s="1008">
        <v>27708</v>
      </c>
      <c r="B1602" s="1008">
        <v>6530</v>
      </c>
      <c r="C1602" s="1008">
        <v>6</v>
      </c>
      <c r="D1602" s="1009">
        <v>18621999</v>
      </c>
      <c r="E1602" s="1009">
        <v>18621122</v>
      </c>
      <c r="F1602" s="1007" t="s">
        <v>3062</v>
      </c>
      <c r="G1602" s="1007">
        <v>8</v>
      </c>
      <c r="H1602" s="1010">
        <v>99999999</v>
      </c>
      <c r="I1602" s="1009">
        <v>18621122</v>
      </c>
      <c r="J1602" s="1007" t="s">
        <v>3062</v>
      </c>
      <c r="O1602" s="1007" t="s">
        <v>648</v>
      </c>
      <c r="P1602" s="1007" t="s">
        <v>648</v>
      </c>
      <c r="S1602" s="1008" t="s">
        <v>650</v>
      </c>
      <c r="T1602" s="1008" t="s">
        <v>654</v>
      </c>
      <c r="U1602" s="1008" t="s">
        <v>649</v>
      </c>
      <c r="V1602" s="1008" t="s">
        <v>648</v>
      </c>
      <c r="W1602" s="1008" t="s">
        <v>546</v>
      </c>
      <c r="X1602" s="1008" t="s">
        <v>670</v>
      </c>
      <c r="Y1602" s="1008" t="s">
        <v>670</v>
      </c>
      <c r="Z1602" s="1008"/>
      <c r="AA1602" s="1008"/>
      <c r="AB1602" s="1008"/>
      <c r="AC1602" s="1008"/>
      <c r="AD1602" s="1008"/>
      <c r="AE1602" s="1008"/>
      <c r="AF1602" s="1008" t="s">
        <v>670</v>
      </c>
      <c r="AG1602" s="1008"/>
      <c r="AH1602" s="1008"/>
      <c r="AI1602" s="1008"/>
    </row>
    <row r="1603" spans="1:35">
      <c r="A1603" s="1008">
        <v>27709</v>
      </c>
      <c r="B1603" s="1008">
        <v>6531</v>
      </c>
      <c r="C1603" s="1008">
        <v>6</v>
      </c>
      <c r="D1603" s="1009">
        <v>18621999</v>
      </c>
      <c r="E1603" s="1009">
        <v>18621124</v>
      </c>
      <c r="F1603" s="1007" t="s">
        <v>3061</v>
      </c>
      <c r="G1603" s="1007">
        <v>8</v>
      </c>
      <c r="H1603" s="1010">
        <v>99999999</v>
      </c>
      <c r="I1603" s="1009">
        <v>18621124</v>
      </c>
      <c r="J1603" s="1007" t="s">
        <v>3061</v>
      </c>
      <c r="O1603" s="1007" t="s">
        <v>648</v>
      </c>
      <c r="P1603" s="1007" t="s">
        <v>648</v>
      </c>
      <c r="S1603" s="1008" t="s">
        <v>650</v>
      </c>
      <c r="T1603" s="1008" t="s">
        <v>654</v>
      </c>
      <c r="U1603" s="1008" t="s">
        <v>649</v>
      </c>
      <c r="V1603" s="1008" t="s">
        <v>648</v>
      </c>
      <c r="W1603" s="1008" t="s">
        <v>546</v>
      </c>
      <c r="X1603" s="1008" t="s">
        <v>670</v>
      </c>
      <c r="Y1603" s="1008" t="s">
        <v>670</v>
      </c>
      <c r="Z1603" s="1008"/>
      <c r="AA1603" s="1008"/>
      <c r="AB1603" s="1008"/>
      <c r="AC1603" s="1008"/>
      <c r="AD1603" s="1008"/>
      <c r="AE1603" s="1008"/>
      <c r="AF1603" s="1008" t="s">
        <v>670</v>
      </c>
      <c r="AG1603" s="1008"/>
      <c r="AH1603" s="1008"/>
      <c r="AI1603" s="1008"/>
    </row>
    <row r="1604" spans="1:35">
      <c r="A1604" s="1008">
        <v>27710</v>
      </c>
      <c r="B1604" s="1008">
        <v>6532</v>
      </c>
      <c r="C1604" s="1008">
        <v>6</v>
      </c>
      <c r="D1604" s="1009">
        <v>18621999</v>
      </c>
      <c r="E1604" s="1009">
        <v>18621126</v>
      </c>
      <c r="F1604" s="1007" t="s">
        <v>3060</v>
      </c>
      <c r="G1604" s="1007">
        <v>8</v>
      </c>
      <c r="H1604" s="1010">
        <v>99999999</v>
      </c>
      <c r="I1604" s="1009">
        <v>18621126</v>
      </c>
      <c r="J1604" s="1007" t="s">
        <v>3060</v>
      </c>
      <c r="O1604" s="1007" t="s">
        <v>648</v>
      </c>
      <c r="P1604" s="1007" t="s">
        <v>648</v>
      </c>
      <c r="S1604" s="1008" t="s">
        <v>650</v>
      </c>
      <c r="T1604" s="1008" t="s">
        <v>654</v>
      </c>
      <c r="U1604" s="1008" t="s">
        <v>649</v>
      </c>
      <c r="V1604" s="1008" t="s">
        <v>648</v>
      </c>
      <c r="W1604" s="1008" t="s">
        <v>546</v>
      </c>
      <c r="X1604" s="1008" t="s">
        <v>670</v>
      </c>
      <c r="Y1604" s="1008" t="s">
        <v>670</v>
      </c>
      <c r="Z1604" s="1008"/>
      <c r="AA1604" s="1008"/>
      <c r="AB1604" s="1008"/>
      <c r="AC1604" s="1008"/>
      <c r="AD1604" s="1008"/>
      <c r="AE1604" s="1008"/>
      <c r="AF1604" s="1008" t="s">
        <v>670</v>
      </c>
      <c r="AG1604" s="1008"/>
      <c r="AH1604" s="1008"/>
      <c r="AI1604" s="1008"/>
    </row>
    <row r="1605" spans="1:35">
      <c r="A1605" s="1008">
        <v>27695</v>
      </c>
      <c r="C1605" s="1008">
        <v>5</v>
      </c>
      <c r="D1605" s="1009">
        <v>18699999</v>
      </c>
      <c r="E1605" s="1009">
        <v>18621999</v>
      </c>
      <c r="F1605" s="1007" t="s">
        <v>3059</v>
      </c>
      <c r="O1605" s="1007" t="s">
        <v>648</v>
      </c>
      <c r="P1605" s="1007" t="s">
        <v>648</v>
      </c>
      <c r="S1605" s="1008" t="s">
        <v>650</v>
      </c>
      <c r="T1605" s="1008" t="s">
        <v>21</v>
      </c>
      <c r="U1605" s="1008" t="s">
        <v>649</v>
      </c>
      <c r="V1605" s="1008" t="s">
        <v>648</v>
      </c>
      <c r="W1605" s="1008" t="s">
        <v>546</v>
      </c>
      <c r="X1605" s="1008"/>
      <c r="Y1605" s="1008"/>
      <c r="Z1605" s="1008"/>
      <c r="AA1605" s="1008"/>
      <c r="AB1605" s="1008"/>
      <c r="AC1605" s="1008"/>
      <c r="AD1605" s="1008"/>
      <c r="AE1605" s="1008"/>
      <c r="AF1605" s="1008"/>
      <c r="AG1605" s="1008"/>
      <c r="AH1605" s="1008"/>
      <c r="AI1605" s="1008"/>
    </row>
    <row r="1606" spans="1:35">
      <c r="A1606" s="1008">
        <v>27795</v>
      </c>
      <c r="C1606" s="1008">
        <v>5</v>
      </c>
      <c r="D1606" s="1009">
        <v>18199999</v>
      </c>
      <c r="E1606" s="1009">
        <v>18625000</v>
      </c>
      <c r="F1606" s="1007" t="s">
        <v>3058</v>
      </c>
      <c r="O1606" s="1007" t="s">
        <v>648</v>
      </c>
      <c r="P1606" s="1007" t="s">
        <v>648</v>
      </c>
      <c r="S1606" s="1008" t="s">
        <v>650</v>
      </c>
      <c r="T1606" s="1008" t="s">
        <v>675</v>
      </c>
      <c r="U1606" s="1008" t="s">
        <v>649</v>
      </c>
      <c r="V1606" s="1008" t="s">
        <v>648</v>
      </c>
      <c r="W1606" s="1008" t="s">
        <v>546</v>
      </c>
      <c r="X1606" s="1008"/>
      <c r="Y1606" s="1008"/>
      <c r="Z1606" s="1008"/>
      <c r="AA1606" s="1008"/>
      <c r="AB1606" s="1008"/>
      <c r="AC1606" s="1008"/>
      <c r="AD1606" s="1008"/>
      <c r="AE1606" s="1008"/>
      <c r="AF1606" s="1008"/>
      <c r="AG1606" s="1008"/>
      <c r="AH1606" s="1008"/>
      <c r="AI1606" s="1008"/>
    </row>
    <row r="1607" spans="1:35">
      <c r="A1607" s="1008">
        <v>27797</v>
      </c>
      <c r="B1607" s="1008">
        <v>6596</v>
      </c>
      <c r="C1607" s="1008">
        <v>6</v>
      </c>
      <c r="D1607" s="1009">
        <v>18625999</v>
      </c>
      <c r="E1607" s="1009">
        <v>18625101</v>
      </c>
      <c r="F1607" s="1007" t="s">
        <v>3057</v>
      </c>
      <c r="G1607" s="1007">
        <v>8</v>
      </c>
      <c r="H1607" s="1010">
        <v>99999999</v>
      </c>
      <c r="I1607" s="1009">
        <v>18625101</v>
      </c>
      <c r="J1607" s="1007" t="s">
        <v>3057</v>
      </c>
      <c r="O1607" s="1007" t="s">
        <v>648</v>
      </c>
      <c r="P1607" s="1007" t="s">
        <v>648</v>
      </c>
      <c r="S1607" s="1008" t="s">
        <v>650</v>
      </c>
      <c r="T1607" s="1008" t="s">
        <v>654</v>
      </c>
      <c r="U1607" s="1008" t="s">
        <v>649</v>
      </c>
      <c r="V1607" s="1008" t="s">
        <v>648</v>
      </c>
      <c r="W1607" s="1008" t="s">
        <v>546</v>
      </c>
      <c r="X1607" s="1008" t="s">
        <v>670</v>
      </c>
      <c r="Y1607" s="1008" t="s">
        <v>670</v>
      </c>
      <c r="Z1607" s="1008"/>
      <c r="AA1607" s="1008" t="s">
        <v>670</v>
      </c>
      <c r="AB1607" s="1008"/>
      <c r="AC1607" s="1008"/>
      <c r="AD1607" s="1008"/>
      <c r="AE1607" s="1008"/>
      <c r="AF1607" s="1008" t="s">
        <v>670</v>
      </c>
      <c r="AG1607" s="1008"/>
      <c r="AH1607" s="1008"/>
      <c r="AI1607" s="1008"/>
    </row>
    <row r="1608" spans="1:35">
      <c r="A1608" s="1008">
        <v>27798</v>
      </c>
      <c r="B1608" s="1008">
        <v>6597</v>
      </c>
      <c r="C1608" s="1008">
        <v>6</v>
      </c>
      <c r="D1608" s="1009">
        <v>18625999</v>
      </c>
      <c r="E1608" s="1009">
        <v>18625102</v>
      </c>
      <c r="F1608" s="1007" t="s">
        <v>3056</v>
      </c>
      <c r="G1608" s="1007">
        <v>8</v>
      </c>
      <c r="H1608" s="1010">
        <v>99999999</v>
      </c>
      <c r="I1608" s="1009">
        <v>18625102</v>
      </c>
      <c r="J1608" s="1007" t="s">
        <v>3056</v>
      </c>
      <c r="O1608" s="1007" t="s">
        <v>648</v>
      </c>
      <c r="P1608" s="1007" t="s">
        <v>648</v>
      </c>
      <c r="S1608" s="1008" t="s">
        <v>650</v>
      </c>
      <c r="T1608" s="1008" t="s">
        <v>654</v>
      </c>
      <c r="U1608" s="1008" t="s">
        <v>649</v>
      </c>
      <c r="V1608" s="1008" t="s">
        <v>648</v>
      </c>
      <c r="W1608" s="1008" t="s">
        <v>546</v>
      </c>
      <c r="X1608" s="1008" t="s">
        <v>670</v>
      </c>
      <c r="Y1608" s="1008" t="s">
        <v>670</v>
      </c>
      <c r="Z1608" s="1008"/>
      <c r="AA1608" s="1008" t="s">
        <v>670</v>
      </c>
      <c r="AB1608" s="1008"/>
      <c r="AC1608" s="1008"/>
      <c r="AD1608" s="1008"/>
      <c r="AE1608" s="1008"/>
      <c r="AF1608" s="1008" t="s">
        <v>670</v>
      </c>
      <c r="AG1608" s="1008"/>
      <c r="AH1608" s="1008"/>
      <c r="AI1608" s="1008"/>
    </row>
    <row r="1609" spans="1:35">
      <c r="A1609" s="1008">
        <v>27810</v>
      </c>
      <c r="B1609" s="1008">
        <v>6616</v>
      </c>
      <c r="C1609" s="1008">
        <v>6</v>
      </c>
      <c r="D1609" s="1009">
        <v>18625999</v>
      </c>
      <c r="E1609" s="1009">
        <v>18625112</v>
      </c>
      <c r="F1609" s="1007" t="s">
        <v>3055</v>
      </c>
      <c r="G1609" s="1007">
        <v>8</v>
      </c>
      <c r="H1609" s="1010">
        <v>99999999</v>
      </c>
      <c r="I1609" s="1009">
        <v>18625112</v>
      </c>
      <c r="J1609" s="1007" t="s">
        <v>3055</v>
      </c>
      <c r="O1609" s="1007" t="s">
        <v>648</v>
      </c>
      <c r="P1609" s="1007" t="s">
        <v>648</v>
      </c>
      <c r="S1609" s="1008" t="s">
        <v>650</v>
      </c>
      <c r="T1609" s="1008" t="s">
        <v>654</v>
      </c>
      <c r="U1609" s="1008" t="s">
        <v>649</v>
      </c>
      <c r="V1609" s="1008" t="s">
        <v>648</v>
      </c>
      <c r="W1609" s="1008" t="s">
        <v>546</v>
      </c>
      <c r="X1609" s="1008" t="s">
        <v>670</v>
      </c>
      <c r="Y1609" s="1008" t="s">
        <v>670</v>
      </c>
      <c r="Z1609" s="1008"/>
      <c r="AA1609" s="1008" t="s">
        <v>670</v>
      </c>
      <c r="AB1609" s="1008"/>
      <c r="AC1609" s="1008"/>
      <c r="AD1609" s="1008"/>
      <c r="AE1609" s="1008"/>
      <c r="AF1609" s="1008" t="s">
        <v>670</v>
      </c>
      <c r="AG1609" s="1008"/>
      <c r="AH1609" s="1008"/>
      <c r="AI1609" s="1008"/>
    </row>
    <row r="1610" spans="1:35">
      <c r="A1610" s="1008">
        <v>27796</v>
      </c>
      <c r="C1610" s="1008">
        <v>5</v>
      </c>
      <c r="D1610" s="1009">
        <v>18199999</v>
      </c>
      <c r="E1610" s="1009">
        <v>18625999</v>
      </c>
      <c r="F1610" s="1007" t="s">
        <v>3054</v>
      </c>
      <c r="O1610" s="1007" t="s">
        <v>648</v>
      </c>
      <c r="P1610" s="1007" t="s">
        <v>648</v>
      </c>
      <c r="S1610" s="1008" t="s">
        <v>650</v>
      </c>
      <c r="T1610" s="1008" t="s">
        <v>21</v>
      </c>
      <c r="U1610" s="1008" t="s">
        <v>649</v>
      </c>
      <c r="V1610" s="1008" t="s">
        <v>648</v>
      </c>
      <c r="W1610" s="1008" t="s">
        <v>546</v>
      </c>
      <c r="X1610" s="1008"/>
      <c r="Y1610" s="1008"/>
      <c r="Z1610" s="1008"/>
      <c r="AA1610" s="1008"/>
      <c r="AB1610" s="1008"/>
      <c r="AC1610" s="1008"/>
      <c r="AD1610" s="1008"/>
      <c r="AE1610" s="1008"/>
      <c r="AF1610" s="1008"/>
      <c r="AG1610" s="1008"/>
      <c r="AH1610" s="1008"/>
      <c r="AI1610" s="1008"/>
    </row>
    <row r="1611" spans="1:35">
      <c r="A1611" s="1008">
        <v>27752</v>
      </c>
      <c r="C1611" s="1008">
        <v>5</v>
      </c>
      <c r="D1611" s="1009">
        <v>18639000</v>
      </c>
      <c r="E1611" s="1009">
        <v>18630000</v>
      </c>
      <c r="F1611" s="1007" t="s">
        <v>3053</v>
      </c>
      <c r="O1611" s="1007" t="s">
        <v>648</v>
      </c>
      <c r="P1611" s="1007" t="s">
        <v>648</v>
      </c>
      <c r="S1611" s="1008" t="s">
        <v>650</v>
      </c>
      <c r="T1611" s="1008" t="s">
        <v>675</v>
      </c>
      <c r="U1611" s="1008" t="s">
        <v>649</v>
      </c>
      <c r="V1611" s="1008" t="s">
        <v>648</v>
      </c>
      <c r="W1611" s="1008" t="s">
        <v>546</v>
      </c>
      <c r="X1611" s="1008"/>
      <c r="Y1611" s="1008"/>
      <c r="Z1611" s="1008"/>
      <c r="AA1611" s="1008"/>
      <c r="AB1611" s="1008"/>
      <c r="AC1611" s="1008"/>
      <c r="AD1611" s="1008"/>
      <c r="AE1611" s="1008"/>
      <c r="AF1611" s="1008"/>
      <c r="AG1611" s="1008"/>
      <c r="AH1611" s="1008"/>
      <c r="AI1611" s="1008"/>
    </row>
    <row r="1612" spans="1:35">
      <c r="A1612" s="1008">
        <v>27753</v>
      </c>
      <c r="B1612" s="1008">
        <v>6566</v>
      </c>
      <c r="C1612" s="1008">
        <v>6</v>
      </c>
      <c r="D1612" s="1009">
        <v>18639000</v>
      </c>
      <c r="E1612" s="1009">
        <v>18631000</v>
      </c>
      <c r="F1612" s="1007" t="s">
        <v>3052</v>
      </c>
      <c r="G1612" s="1007">
        <v>8</v>
      </c>
      <c r="H1612" s="1010">
        <v>99999999</v>
      </c>
      <c r="I1612" s="1009">
        <v>18631000</v>
      </c>
      <c r="J1612" s="1007" t="s">
        <v>3052</v>
      </c>
      <c r="O1612" s="1007" t="s">
        <v>648</v>
      </c>
      <c r="P1612" s="1007" t="s">
        <v>648</v>
      </c>
      <c r="S1612" s="1008" t="s">
        <v>650</v>
      </c>
      <c r="T1612" s="1008" t="s">
        <v>654</v>
      </c>
      <c r="U1612" s="1008" t="s">
        <v>649</v>
      </c>
      <c r="V1612" s="1008" t="s">
        <v>648</v>
      </c>
      <c r="W1612" s="1008" t="s">
        <v>546</v>
      </c>
      <c r="X1612" s="1008" t="s">
        <v>670</v>
      </c>
      <c r="Y1612" s="1008"/>
      <c r="Z1612" s="1008"/>
      <c r="AA1612" s="1008" t="s">
        <v>670</v>
      </c>
      <c r="AB1612" s="1008"/>
      <c r="AC1612" s="1008"/>
      <c r="AD1612" s="1008"/>
      <c r="AE1612" s="1008"/>
      <c r="AF1612" s="1008"/>
      <c r="AG1612" s="1008"/>
      <c r="AH1612" s="1008"/>
      <c r="AI1612" s="1008"/>
    </row>
    <row r="1613" spans="1:35">
      <c r="A1613" s="1008">
        <v>27751</v>
      </c>
      <c r="C1613" s="1008">
        <v>5</v>
      </c>
      <c r="D1613" s="1009">
        <v>18699999</v>
      </c>
      <c r="E1613" s="1009">
        <v>18639000</v>
      </c>
      <c r="F1613" s="1007" t="s">
        <v>3051</v>
      </c>
      <c r="O1613" s="1007" t="s">
        <v>648</v>
      </c>
      <c r="P1613" s="1007" t="s">
        <v>648</v>
      </c>
      <c r="S1613" s="1008" t="s">
        <v>650</v>
      </c>
      <c r="T1613" s="1008" t="s">
        <v>21</v>
      </c>
      <c r="U1613" s="1008" t="s">
        <v>649</v>
      </c>
      <c r="V1613" s="1008" t="s">
        <v>648</v>
      </c>
      <c r="W1613" s="1008" t="s">
        <v>546</v>
      </c>
      <c r="X1613" s="1008"/>
      <c r="Y1613" s="1008"/>
      <c r="Z1613" s="1008"/>
      <c r="AA1613" s="1008"/>
      <c r="AB1613" s="1008"/>
      <c r="AC1613" s="1008"/>
      <c r="AD1613" s="1008"/>
      <c r="AE1613" s="1008"/>
      <c r="AF1613" s="1008"/>
      <c r="AG1613" s="1008"/>
      <c r="AH1613" s="1008"/>
      <c r="AI1613" s="1008"/>
    </row>
    <row r="1614" spans="1:35">
      <c r="A1614" s="1008">
        <v>24360</v>
      </c>
      <c r="C1614" s="1008">
        <v>4</v>
      </c>
      <c r="D1614" s="1009">
        <v>19999998</v>
      </c>
      <c r="E1614" s="1009">
        <v>18699999</v>
      </c>
      <c r="F1614" s="1007" t="s">
        <v>3050</v>
      </c>
      <c r="O1614" s="1007" t="s">
        <v>648</v>
      </c>
      <c r="P1614" s="1007" t="s">
        <v>648</v>
      </c>
      <c r="S1614" s="1008" t="s">
        <v>650</v>
      </c>
      <c r="T1614" s="1008" t="s">
        <v>21</v>
      </c>
      <c r="U1614" s="1008" t="s">
        <v>649</v>
      </c>
      <c r="V1614" s="1008" t="s">
        <v>648</v>
      </c>
      <c r="W1614" s="1008" t="s">
        <v>546</v>
      </c>
      <c r="X1614" s="1008"/>
      <c r="Y1614" s="1008"/>
      <c r="Z1614" s="1008"/>
      <c r="AA1614" s="1008"/>
      <c r="AB1614" s="1008"/>
      <c r="AC1614" s="1008"/>
      <c r="AD1614" s="1008"/>
      <c r="AE1614" s="1008"/>
      <c r="AF1614" s="1008"/>
      <c r="AG1614" s="1008"/>
      <c r="AH1614" s="1008"/>
      <c r="AI1614" s="1008"/>
    </row>
    <row r="1615" spans="1:35">
      <c r="A1615" s="1008">
        <v>24361</v>
      </c>
      <c r="C1615" s="1008">
        <v>4</v>
      </c>
      <c r="D1615" s="1009">
        <v>19499999</v>
      </c>
      <c r="E1615" s="1009">
        <v>19000000</v>
      </c>
      <c r="F1615" s="1007" t="s">
        <v>3049</v>
      </c>
      <c r="O1615" s="1007" t="s">
        <v>648</v>
      </c>
      <c r="P1615" s="1007" t="s">
        <v>648</v>
      </c>
      <c r="S1615" s="1008" t="s">
        <v>650</v>
      </c>
      <c r="T1615" s="1008" t="s">
        <v>675</v>
      </c>
      <c r="U1615" s="1008" t="s">
        <v>649</v>
      </c>
      <c r="V1615" s="1008" t="s">
        <v>648</v>
      </c>
      <c r="W1615" s="1008" t="s">
        <v>546</v>
      </c>
      <c r="X1615" s="1008"/>
      <c r="Y1615" s="1008"/>
      <c r="Z1615" s="1008"/>
      <c r="AA1615" s="1008"/>
      <c r="AB1615" s="1008"/>
      <c r="AC1615" s="1008"/>
      <c r="AD1615" s="1008"/>
      <c r="AE1615" s="1008"/>
      <c r="AF1615" s="1008"/>
      <c r="AG1615" s="1008"/>
      <c r="AH1615" s="1008"/>
      <c r="AI1615" s="1008"/>
    </row>
    <row r="1616" spans="1:35">
      <c r="A1616" s="1008">
        <v>24362</v>
      </c>
      <c r="C1616" s="1008">
        <v>5</v>
      </c>
      <c r="D1616" s="1009">
        <v>19099999</v>
      </c>
      <c r="E1616" s="1009">
        <v>19001000</v>
      </c>
      <c r="F1616" s="1007" t="s">
        <v>3048</v>
      </c>
      <c r="O1616" s="1007" t="s">
        <v>648</v>
      </c>
      <c r="P1616" s="1007" t="s">
        <v>648</v>
      </c>
      <c r="S1616" s="1008" t="s">
        <v>650</v>
      </c>
      <c r="T1616" s="1008" t="s">
        <v>675</v>
      </c>
      <c r="U1616" s="1008" t="s">
        <v>649</v>
      </c>
      <c r="V1616" s="1008" t="s">
        <v>648</v>
      </c>
      <c r="W1616" s="1008" t="s">
        <v>546</v>
      </c>
      <c r="X1616" s="1008"/>
      <c r="Y1616" s="1008"/>
      <c r="Z1616" s="1008"/>
      <c r="AA1616" s="1008"/>
      <c r="AB1616" s="1008"/>
      <c r="AC1616" s="1008"/>
      <c r="AD1616" s="1008"/>
      <c r="AE1616" s="1008"/>
      <c r="AF1616" s="1008"/>
      <c r="AG1616" s="1008"/>
      <c r="AH1616" s="1008"/>
      <c r="AI1616" s="1008"/>
    </row>
    <row r="1617" spans="1:35">
      <c r="A1617" s="1008">
        <v>24363</v>
      </c>
      <c r="C1617" s="1008">
        <v>6</v>
      </c>
      <c r="D1617" s="1009">
        <v>19019999</v>
      </c>
      <c r="E1617" s="1009">
        <v>19010000</v>
      </c>
      <c r="F1617" s="1007" t="s">
        <v>3047</v>
      </c>
      <c r="O1617" s="1007" t="s">
        <v>648</v>
      </c>
      <c r="P1617" s="1007" t="s">
        <v>648</v>
      </c>
      <c r="S1617" s="1008" t="s">
        <v>650</v>
      </c>
      <c r="T1617" s="1008" t="s">
        <v>675</v>
      </c>
      <c r="U1617" s="1008" t="s">
        <v>649</v>
      </c>
      <c r="V1617" s="1008" t="s">
        <v>648</v>
      </c>
      <c r="W1617" s="1008" t="s">
        <v>546</v>
      </c>
      <c r="X1617" s="1008"/>
      <c r="Y1617" s="1008"/>
      <c r="Z1617" s="1008"/>
      <c r="AA1617" s="1008"/>
      <c r="AB1617" s="1008"/>
      <c r="AC1617" s="1008"/>
      <c r="AD1617" s="1008"/>
      <c r="AE1617" s="1008"/>
      <c r="AF1617" s="1008"/>
      <c r="AG1617" s="1008"/>
      <c r="AH1617" s="1008"/>
      <c r="AI1617" s="1008"/>
    </row>
    <row r="1618" spans="1:35">
      <c r="A1618" s="1008">
        <v>24364</v>
      </c>
      <c r="B1618" s="1008">
        <v>1777</v>
      </c>
      <c r="C1618" s="1008">
        <v>7</v>
      </c>
      <c r="D1618" s="1009">
        <v>19019999</v>
      </c>
      <c r="E1618" s="1009">
        <v>19010100</v>
      </c>
      <c r="F1618" s="1007" t="s">
        <v>3046</v>
      </c>
      <c r="G1618" s="1007">
        <v>7</v>
      </c>
      <c r="H1618" s="1010">
        <v>99999999</v>
      </c>
      <c r="I1618" s="1009">
        <v>19010100</v>
      </c>
      <c r="J1618" s="1007" t="s">
        <v>3046</v>
      </c>
      <c r="O1618" s="1007" t="s">
        <v>648</v>
      </c>
      <c r="P1618" s="1007" t="s">
        <v>648</v>
      </c>
      <c r="S1618" s="1008" t="s">
        <v>650</v>
      </c>
      <c r="T1618" s="1008" t="s">
        <v>654</v>
      </c>
      <c r="U1618" s="1008" t="s">
        <v>649</v>
      </c>
      <c r="V1618" s="1008" t="s">
        <v>648</v>
      </c>
      <c r="W1618" s="1008" t="s">
        <v>546</v>
      </c>
      <c r="X1618" s="1008" t="s">
        <v>670</v>
      </c>
      <c r="Y1618" s="1008" t="s">
        <v>670</v>
      </c>
      <c r="Z1618" s="1008" t="s">
        <v>670</v>
      </c>
      <c r="AA1618" s="1008"/>
      <c r="AB1618" s="1008" t="s">
        <v>670</v>
      </c>
      <c r="AC1618" s="1008"/>
      <c r="AD1618" s="1008"/>
      <c r="AE1618" s="1008"/>
      <c r="AF1618" s="1008" t="s">
        <v>670</v>
      </c>
      <c r="AG1618" s="1008"/>
      <c r="AH1618" s="1008"/>
      <c r="AI1618" s="1008"/>
    </row>
    <row r="1619" spans="1:35">
      <c r="A1619" s="1008">
        <v>24365</v>
      </c>
      <c r="B1619" s="1008">
        <v>5029</v>
      </c>
      <c r="C1619" s="1008">
        <v>7</v>
      </c>
      <c r="D1619" s="1009">
        <v>19019999</v>
      </c>
      <c r="E1619" s="1009">
        <v>19010800</v>
      </c>
      <c r="F1619" s="1007" t="s">
        <v>3045</v>
      </c>
      <c r="G1619" s="1007">
        <v>7</v>
      </c>
      <c r="H1619" s="1010">
        <v>99999999</v>
      </c>
      <c r="I1619" s="1009">
        <v>19010800</v>
      </c>
      <c r="J1619" s="1007" t="s">
        <v>3045</v>
      </c>
      <c r="O1619" s="1007" t="s">
        <v>648</v>
      </c>
      <c r="P1619" s="1007" t="s">
        <v>648</v>
      </c>
      <c r="S1619" s="1008" t="s">
        <v>650</v>
      </c>
      <c r="T1619" s="1008" t="s">
        <v>654</v>
      </c>
      <c r="U1619" s="1008" t="s">
        <v>649</v>
      </c>
      <c r="V1619" s="1008" t="s">
        <v>648</v>
      </c>
      <c r="W1619" s="1008" t="s">
        <v>546</v>
      </c>
      <c r="X1619" s="1008" t="s">
        <v>670</v>
      </c>
      <c r="Y1619" s="1008" t="s">
        <v>670</v>
      </c>
      <c r="Z1619" s="1008" t="s">
        <v>670</v>
      </c>
      <c r="AA1619" s="1008" t="s">
        <v>670</v>
      </c>
      <c r="AB1619" s="1008" t="s">
        <v>670</v>
      </c>
      <c r="AC1619" s="1008" t="s">
        <v>670</v>
      </c>
      <c r="AD1619" s="1008" t="s">
        <v>670</v>
      </c>
      <c r="AE1619" s="1008"/>
      <c r="AF1619" s="1008" t="s">
        <v>670</v>
      </c>
      <c r="AG1619" s="1008"/>
      <c r="AH1619" s="1008"/>
      <c r="AI1619" s="1008"/>
    </row>
    <row r="1620" spans="1:35">
      <c r="A1620" s="1008">
        <v>24366</v>
      </c>
      <c r="C1620" s="1008">
        <v>6</v>
      </c>
      <c r="D1620" s="1009">
        <v>19099999</v>
      </c>
      <c r="E1620" s="1009">
        <v>19019999</v>
      </c>
      <c r="F1620" s="1007" t="s">
        <v>3044</v>
      </c>
      <c r="O1620" s="1007" t="s">
        <v>648</v>
      </c>
      <c r="P1620" s="1007" t="s">
        <v>648</v>
      </c>
      <c r="S1620" s="1008" t="s">
        <v>650</v>
      </c>
      <c r="T1620" s="1008" t="s">
        <v>21</v>
      </c>
      <c r="U1620" s="1008" t="s">
        <v>649</v>
      </c>
      <c r="V1620" s="1008" t="s">
        <v>648</v>
      </c>
      <c r="W1620" s="1008" t="s">
        <v>546</v>
      </c>
      <c r="X1620" s="1008"/>
      <c r="Y1620" s="1008"/>
      <c r="Z1620" s="1008"/>
      <c r="AA1620" s="1008"/>
      <c r="AB1620" s="1008"/>
      <c r="AC1620" s="1008"/>
      <c r="AD1620" s="1008"/>
      <c r="AE1620" s="1008"/>
      <c r="AF1620" s="1008"/>
      <c r="AG1620" s="1008"/>
      <c r="AH1620" s="1008"/>
      <c r="AI1620" s="1008"/>
    </row>
    <row r="1621" spans="1:35">
      <c r="A1621" s="1008">
        <v>24367</v>
      </c>
      <c r="C1621" s="1008">
        <v>6</v>
      </c>
      <c r="D1621" s="1009">
        <v>19029999</v>
      </c>
      <c r="E1621" s="1009">
        <v>19020000</v>
      </c>
      <c r="F1621" s="1007" t="s">
        <v>3043</v>
      </c>
      <c r="O1621" s="1007" t="s">
        <v>648</v>
      </c>
      <c r="P1621" s="1007" t="s">
        <v>648</v>
      </c>
      <c r="S1621" s="1008" t="s">
        <v>650</v>
      </c>
      <c r="T1621" s="1008" t="s">
        <v>675</v>
      </c>
      <c r="U1621" s="1008" t="s">
        <v>649</v>
      </c>
      <c r="V1621" s="1008" t="s">
        <v>648</v>
      </c>
      <c r="W1621" s="1008" t="s">
        <v>546</v>
      </c>
      <c r="X1621" s="1008"/>
      <c r="Y1621" s="1008"/>
      <c r="Z1621" s="1008"/>
      <c r="AA1621" s="1008"/>
      <c r="AB1621" s="1008"/>
      <c r="AC1621" s="1008"/>
      <c r="AD1621" s="1008"/>
      <c r="AE1621" s="1008"/>
      <c r="AF1621" s="1008"/>
      <c r="AG1621" s="1008"/>
      <c r="AH1621" s="1008"/>
      <c r="AI1621" s="1008"/>
    </row>
    <row r="1622" spans="1:35">
      <c r="A1622" s="1008">
        <v>24368</v>
      </c>
      <c r="B1622" s="1008">
        <v>1779</v>
      </c>
      <c r="C1622" s="1008">
        <v>7</v>
      </c>
      <c r="D1622" s="1009">
        <v>19029999</v>
      </c>
      <c r="E1622" s="1009">
        <v>19020100</v>
      </c>
      <c r="F1622" s="1007" t="s">
        <v>3042</v>
      </c>
      <c r="G1622" s="1007">
        <v>7</v>
      </c>
      <c r="H1622" s="1010">
        <v>99999999</v>
      </c>
      <c r="I1622" s="1009">
        <v>19020100</v>
      </c>
      <c r="J1622" s="1007" t="s">
        <v>3042</v>
      </c>
      <c r="O1622" s="1007" t="s">
        <v>648</v>
      </c>
      <c r="P1622" s="1007" t="s">
        <v>648</v>
      </c>
      <c r="S1622" s="1008" t="s">
        <v>650</v>
      </c>
      <c r="T1622" s="1008" t="s">
        <v>654</v>
      </c>
      <c r="U1622" s="1008" t="s">
        <v>649</v>
      </c>
      <c r="V1622" s="1008" t="s">
        <v>648</v>
      </c>
      <c r="W1622" s="1008" t="s">
        <v>546</v>
      </c>
      <c r="X1622" s="1008" t="s">
        <v>670</v>
      </c>
      <c r="Y1622" s="1008" t="s">
        <v>670</v>
      </c>
      <c r="Z1622" s="1008" t="s">
        <v>670</v>
      </c>
      <c r="AA1622" s="1008"/>
      <c r="AB1622" s="1008" t="s">
        <v>670</v>
      </c>
      <c r="AC1622" s="1008"/>
      <c r="AD1622" s="1008"/>
      <c r="AE1622" s="1008"/>
      <c r="AF1622" s="1008" t="s">
        <v>670</v>
      </c>
      <c r="AG1622" s="1008"/>
      <c r="AH1622" s="1008"/>
      <c r="AI1622" s="1008"/>
    </row>
    <row r="1623" spans="1:35">
      <c r="A1623" s="1008">
        <v>24369</v>
      </c>
      <c r="B1623" s="1008">
        <v>5031</v>
      </c>
      <c r="C1623" s="1008">
        <v>7</v>
      </c>
      <c r="D1623" s="1009">
        <v>19029999</v>
      </c>
      <c r="E1623" s="1009">
        <v>19020800</v>
      </c>
      <c r="F1623" s="1007" t="s">
        <v>3041</v>
      </c>
      <c r="G1623" s="1007">
        <v>7</v>
      </c>
      <c r="H1623" s="1010">
        <v>99999999</v>
      </c>
      <c r="I1623" s="1009">
        <v>19020800</v>
      </c>
      <c r="J1623" s="1007" t="s">
        <v>3041</v>
      </c>
      <c r="O1623" s="1007" t="s">
        <v>648</v>
      </c>
      <c r="P1623" s="1007" t="s">
        <v>648</v>
      </c>
      <c r="S1623" s="1008" t="s">
        <v>650</v>
      </c>
      <c r="T1623" s="1008" t="s">
        <v>654</v>
      </c>
      <c r="U1623" s="1008" t="s">
        <v>649</v>
      </c>
      <c r="V1623" s="1008" t="s">
        <v>648</v>
      </c>
      <c r="W1623" s="1008" t="s">
        <v>546</v>
      </c>
      <c r="X1623" s="1008" t="s">
        <v>670</v>
      </c>
      <c r="Y1623" s="1008" t="s">
        <v>670</v>
      </c>
      <c r="Z1623" s="1008" t="s">
        <v>670</v>
      </c>
      <c r="AA1623" s="1008" t="s">
        <v>670</v>
      </c>
      <c r="AB1623" s="1008" t="s">
        <v>670</v>
      </c>
      <c r="AC1623" s="1008" t="s">
        <v>670</v>
      </c>
      <c r="AD1623" s="1008" t="s">
        <v>670</v>
      </c>
      <c r="AE1623" s="1008"/>
      <c r="AF1623" s="1008" t="s">
        <v>670</v>
      </c>
      <c r="AG1623" s="1008"/>
      <c r="AH1623" s="1008"/>
      <c r="AI1623" s="1008"/>
    </row>
    <row r="1624" spans="1:35">
      <c r="A1624" s="1008">
        <v>24370</v>
      </c>
      <c r="C1624" s="1008">
        <v>6</v>
      </c>
      <c r="D1624" s="1009">
        <v>19099999</v>
      </c>
      <c r="E1624" s="1009">
        <v>19029999</v>
      </c>
      <c r="F1624" s="1007" t="s">
        <v>3040</v>
      </c>
      <c r="O1624" s="1007" t="s">
        <v>648</v>
      </c>
      <c r="P1624" s="1007" t="s">
        <v>648</v>
      </c>
      <c r="S1624" s="1008" t="s">
        <v>650</v>
      </c>
      <c r="T1624" s="1008" t="s">
        <v>21</v>
      </c>
      <c r="U1624" s="1008" t="s">
        <v>649</v>
      </c>
      <c r="V1624" s="1008" t="s">
        <v>648</v>
      </c>
      <c r="W1624" s="1008" t="s">
        <v>546</v>
      </c>
      <c r="X1624" s="1008"/>
      <c r="Y1624" s="1008"/>
      <c r="Z1624" s="1008"/>
      <c r="AA1624" s="1008"/>
      <c r="AB1624" s="1008"/>
      <c r="AC1624" s="1008"/>
      <c r="AD1624" s="1008"/>
      <c r="AE1624" s="1008"/>
      <c r="AF1624" s="1008"/>
      <c r="AG1624" s="1008"/>
      <c r="AH1624" s="1008"/>
      <c r="AI1624" s="1008"/>
    </row>
    <row r="1625" spans="1:35">
      <c r="A1625" s="1008">
        <v>24371</v>
      </c>
      <c r="C1625" s="1008">
        <v>5</v>
      </c>
      <c r="D1625" s="1009">
        <v>19499999</v>
      </c>
      <c r="E1625" s="1009">
        <v>19099999</v>
      </c>
      <c r="F1625" s="1007" t="s">
        <v>3039</v>
      </c>
      <c r="O1625" s="1007" t="s">
        <v>648</v>
      </c>
      <c r="P1625" s="1007" t="s">
        <v>648</v>
      </c>
      <c r="S1625" s="1008" t="s">
        <v>650</v>
      </c>
      <c r="T1625" s="1008" t="s">
        <v>21</v>
      </c>
      <c r="U1625" s="1008" t="s">
        <v>649</v>
      </c>
      <c r="V1625" s="1008" t="s">
        <v>648</v>
      </c>
      <c r="W1625" s="1008" t="s">
        <v>546</v>
      </c>
      <c r="X1625" s="1008"/>
      <c r="Y1625" s="1008"/>
      <c r="Z1625" s="1008"/>
      <c r="AA1625" s="1008"/>
      <c r="AB1625" s="1008"/>
      <c r="AC1625" s="1008"/>
      <c r="AD1625" s="1008"/>
      <c r="AE1625" s="1008"/>
      <c r="AF1625" s="1008"/>
      <c r="AG1625" s="1008"/>
      <c r="AH1625" s="1008"/>
      <c r="AI1625" s="1008"/>
    </row>
    <row r="1626" spans="1:35">
      <c r="A1626" s="1008">
        <v>24372</v>
      </c>
      <c r="C1626" s="1008">
        <v>5</v>
      </c>
      <c r="D1626" s="1009">
        <v>19199999</v>
      </c>
      <c r="E1626" s="1009">
        <v>19100000</v>
      </c>
      <c r="F1626" s="1007" t="s">
        <v>3038</v>
      </c>
      <c r="O1626" s="1007" t="s">
        <v>648</v>
      </c>
      <c r="P1626" s="1007" t="s">
        <v>648</v>
      </c>
      <c r="S1626" s="1008" t="s">
        <v>650</v>
      </c>
      <c r="T1626" s="1008" t="s">
        <v>675</v>
      </c>
      <c r="U1626" s="1008" t="s">
        <v>649</v>
      </c>
      <c r="V1626" s="1008" t="s">
        <v>648</v>
      </c>
      <c r="W1626" s="1008" t="s">
        <v>546</v>
      </c>
      <c r="X1626" s="1008"/>
      <c r="Y1626" s="1008"/>
      <c r="Z1626" s="1008"/>
      <c r="AA1626" s="1008"/>
      <c r="AB1626" s="1008"/>
      <c r="AC1626" s="1008"/>
      <c r="AD1626" s="1008"/>
      <c r="AE1626" s="1008"/>
      <c r="AF1626" s="1008"/>
      <c r="AG1626" s="1008"/>
      <c r="AH1626" s="1008"/>
      <c r="AI1626" s="1008"/>
    </row>
    <row r="1627" spans="1:35">
      <c r="A1627" s="1008">
        <v>24373</v>
      </c>
      <c r="C1627" s="1008">
        <v>6</v>
      </c>
      <c r="D1627" s="1009">
        <v>19119999</v>
      </c>
      <c r="E1627" s="1009">
        <v>19110000</v>
      </c>
      <c r="F1627" s="1007" t="s">
        <v>3037</v>
      </c>
      <c r="O1627" s="1007" t="s">
        <v>648</v>
      </c>
      <c r="P1627" s="1007" t="s">
        <v>648</v>
      </c>
      <c r="S1627" s="1008" t="s">
        <v>650</v>
      </c>
      <c r="T1627" s="1008" t="s">
        <v>675</v>
      </c>
      <c r="U1627" s="1008" t="s">
        <v>649</v>
      </c>
      <c r="V1627" s="1008" t="s">
        <v>648</v>
      </c>
      <c r="W1627" s="1008" t="s">
        <v>546</v>
      </c>
      <c r="X1627" s="1008"/>
      <c r="Y1627" s="1008"/>
      <c r="Z1627" s="1008"/>
      <c r="AA1627" s="1008"/>
      <c r="AB1627" s="1008"/>
      <c r="AC1627" s="1008"/>
      <c r="AD1627" s="1008"/>
      <c r="AE1627" s="1008"/>
      <c r="AF1627" s="1008"/>
      <c r="AG1627" s="1008"/>
      <c r="AH1627" s="1008"/>
      <c r="AI1627" s="1008"/>
    </row>
    <row r="1628" spans="1:35">
      <c r="A1628" s="1008">
        <v>24374</v>
      </c>
      <c r="B1628" s="1008">
        <v>1781</v>
      </c>
      <c r="C1628" s="1008">
        <v>7</v>
      </c>
      <c r="D1628" s="1009">
        <v>19119999</v>
      </c>
      <c r="E1628" s="1009">
        <v>19110700</v>
      </c>
      <c r="F1628" s="1007" t="s">
        <v>3036</v>
      </c>
      <c r="G1628" s="1007">
        <v>7</v>
      </c>
      <c r="H1628" s="1010">
        <v>99999999</v>
      </c>
      <c r="I1628" s="1009">
        <v>19110700</v>
      </c>
      <c r="J1628" s="1007" t="s">
        <v>3036</v>
      </c>
      <c r="O1628" s="1007" t="s">
        <v>648</v>
      </c>
      <c r="P1628" s="1007" t="s">
        <v>648</v>
      </c>
      <c r="S1628" s="1008" t="s">
        <v>650</v>
      </c>
      <c r="T1628" s="1008" t="s">
        <v>654</v>
      </c>
      <c r="U1628" s="1008" t="s">
        <v>649</v>
      </c>
      <c r="V1628" s="1008" t="s">
        <v>648</v>
      </c>
      <c r="W1628" s="1008" t="s">
        <v>546</v>
      </c>
      <c r="X1628" s="1008" t="s">
        <v>670</v>
      </c>
      <c r="Y1628" s="1008" t="s">
        <v>670</v>
      </c>
      <c r="Z1628" s="1008" t="s">
        <v>670</v>
      </c>
      <c r="AA1628" s="1008" t="s">
        <v>670</v>
      </c>
      <c r="AB1628" s="1008" t="s">
        <v>670</v>
      </c>
      <c r="AC1628" s="1008" t="s">
        <v>670</v>
      </c>
      <c r="AD1628" s="1008" t="s">
        <v>670</v>
      </c>
      <c r="AE1628" s="1008"/>
      <c r="AF1628" s="1008" t="s">
        <v>670</v>
      </c>
      <c r="AG1628" s="1008"/>
      <c r="AH1628" s="1008"/>
      <c r="AI1628" s="1008"/>
    </row>
    <row r="1629" spans="1:35">
      <c r="A1629" s="1008">
        <v>24375</v>
      </c>
      <c r="B1629" s="1008">
        <v>5035</v>
      </c>
      <c r="C1629" s="1008">
        <v>7</v>
      </c>
      <c r="D1629" s="1009">
        <v>19119999</v>
      </c>
      <c r="E1629" s="1009">
        <v>19110800</v>
      </c>
      <c r="F1629" s="1007" t="s">
        <v>3035</v>
      </c>
      <c r="G1629" s="1007">
        <v>7</v>
      </c>
      <c r="H1629" s="1010">
        <v>99999999</v>
      </c>
      <c r="I1629" s="1009">
        <v>19110800</v>
      </c>
      <c r="J1629" s="1007" t="s">
        <v>3035</v>
      </c>
      <c r="O1629" s="1007" t="s">
        <v>648</v>
      </c>
      <c r="P1629" s="1007" t="s">
        <v>648</v>
      </c>
      <c r="S1629" s="1008" t="s">
        <v>650</v>
      </c>
      <c r="T1629" s="1008" t="s">
        <v>654</v>
      </c>
      <c r="U1629" s="1008" t="s">
        <v>649</v>
      </c>
      <c r="V1629" s="1008" t="s">
        <v>648</v>
      </c>
      <c r="W1629" s="1008" t="s">
        <v>546</v>
      </c>
      <c r="X1629" s="1008" t="s">
        <v>670</v>
      </c>
      <c r="Y1629" s="1008" t="s">
        <v>670</v>
      </c>
      <c r="Z1629" s="1008" t="s">
        <v>670</v>
      </c>
      <c r="AA1629" s="1008" t="s">
        <v>670</v>
      </c>
      <c r="AB1629" s="1008" t="s">
        <v>670</v>
      </c>
      <c r="AC1629" s="1008" t="s">
        <v>670</v>
      </c>
      <c r="AD1629" s="1008" t="s">
        <v>670</v>
      </c>
      <c r="AE1629" s="1008"/>
      <c r="AF1629" s="1008" t="s">
        <v>670</v>
      </c>
      <c r="AG1629" s="1008"/>
      <c r="AH1629" s="1008"/>
      <c r="AI1629" s="1008"/>
    </row>
    <row r="1630" spans="1:35">
      <c r="A1630" s="1008">
        <v>24376</v>
      </c>
      <c r="C1630" s="1008">
        <v>6</v>
      </c>
      <c r="D1630" s="1009">
        <v>19199999</v>
      </c>
      <c r="E1630" s="1009">
        <v>19119999</v>
      </c>
      <c r="F1630" s="1007" t="s">
        <v>3034</v>
      </c>
      <c r="O1630" s="1007" t="s">
        <v>648</v>
      </c>
      <c r="P1630" s="1007" t="s">
        <v>648</v>
      </c>
      <c r="S1630" s="1008" t="s">
        <v>650</v>
      </c>
      <c r="T1630" s="1008" t="s">
        <v>21</v>
      </c>
      <c r="U1630" s="1008" t="s">
        <v>649</v>
      </c>
      <c r="V1630" s="1008" t="s">
        <v>648</v>
      </c>
      <c r="W1630" s="1008" t="s">
        <v>546</v>
      </c>
      <c r="X1630" s="1008"/>
      <c r="Y1630" s="1008"/>
      <c r="Z1630" s="1008"/>
      <c r="AA1630" s="1008"/>
      <c r="AB1630" s="1008"/>
      <c r="AC1630" s="1008"/>
      <c r="AD1630" s="1008"/>
      <c r="AE1630" s="1008"/>
      <c r="AF1630" s="1008"/>
      <c r="AG1630" s="1008"/>
      <c r="AH1630" s="1008"/>
      <c r="AI1630" s="1008"/>
    </row>
    <row r="1631" spans="1:35">
      <c r="A1631" s="1008">
        <v>24377</v>
      </c>
      <c r="C1631" s="1008">
        <v>6</v>
      </c>
      <c r="D1631" s="1009">
        <v>19129999</v>
      </c>
      <c r="E1631" s="1009">
        <v>19120000</v>
      </c>
      <c r="F1631" s="1007" t="s">
        <v>3033</v>
      </c>
      <c r="O1631" s="1007" t="s">
        <v>648</v>
      </c>
      <c r="P1631" s="1007" t="s">
        <v>648</v>
      </c>
      <c r="S1631" s="1008" t="s">
        <v>650</v>
      </c>
      <c r="T1631" s="1008" t="s">
        <v>675</v>
      </c>
      <c r="U1631" s="1008" t="s">
        <v>649</v>
      </c>
      <c r="V1631" s="1008" t="s">
        <v>648</v>
      </c>
      <c r="W1631" s="1008" t="s">
        <v>546</v>
      </c>
      <c r="X1631" s="1008"/>
      <c r="Y1631" s="1008"/>
      <c r="Z1631" s="1008"/>
      <c r="AA1631" s="1008"/>
      <c r="AB1631" s="1008"/>
      <c r="AC1631" s="1008"/>
      <c r="AD1631" s="1008"/>
      <c r="AE1631" s="1008"/>
      <c r="AF1631" s="1008"/>
      <c r="AG1631" s="1008"/>
      <c r="AH1631" s="1008"/>
      <c r="AI1631" s="1008"/>
    </row>
    <row r="1632" spans="1:35">
      <c r="A1632" s="1008">
        <v>24378</v>
      </c>
      <c r="B1632" s="1008">
        <v>1783</v>
      </c>
      <c r="C1632" s="1008">
        <v>7</v>
      </c>
      <c r="D1632" s="1009">
        <v>19129999</v>
      </c>
      <c r="E1632" s="1009">
        <v>19120700</v>
      </c>
      <c r="F1632" s="1007" t="s">
        <v>3032</v>
      </c>
      <c r="G1632" s="1007">
        <v>7</v>
      </c>
      <c r="H1632" s="1010">
        <v>99999999</v>
      </c>
      <c r="I1632" s="1009">
        <v>19120700</v>
      </c>
      <c r="J1632" s="1007" t="s">
        <v>3032</v>
      </c>
      <c r="O1632" s="1007" t="s">
        <v>648</v>
      </c>
      <c r="P1632" s="1007" t="s">
        <v>648</v>
      </c>
      <c r="S1632" s="1008" t="s">
        <v>650</v>
      </c>
      <c r="T1632" s="1008" t="s">
        <v>654</v>
      </c>
      <c r="U1632" s="1008" t="s">
        <v>649</v>
      </c>
      <c r="V1632" s="1008" t="s">
        <v>648</v>
      </c>
      <c r="W1632" s="1008" t="s">
        <v>546</v>
      </c>
      <c r="X1632" s="1008" t="s">
        <v>670</v>
      </c>
      <c r="Y1632" s="1008" t="s">
        <v>670</v>
      </c>
      <c r="Z1632" s="1008" t="s">
        <v>670</v>
      </c>
      <c r="AA1632" s="1008" t="s">
        <v>670</v>
      </c>
      <c r="AB1632" s="1008" t="s">
        <v>670</v>
      </c>
      <c r="AC1632" s="1008" t="s">
        <v>670</v>
      </c>
      <c r="AD1632" s="1008" t="s">
        <v>670</v>
      </c>
      <c r="AE1632" s="1008"/>
      <c r="AF1632" s="1008" t="s">
        <v>670</v>
      </c>
      <c r="AG1632" s="1008"/>
      <c r="AH1632" s="1008"/>
      <c r="AI1632" s="1008"/>
    </row>
    <row r="1633" spans="1:35">
      <c r="A1633" s="1008">
        <v>24379</v>
      </c>
      <c r="B1633" s="1008">
        <v>5037</v>
      </c>
      <c r="C1633" s="1008">
        <v>7</v>
      </c>
      <c r="D1633" s="1009">
        <v>19129999</v>
      </c>
      <c r="E1633" s="1009">
        <v>19120800</v>
      </c>
      <c r="F1633" s="1007" t="s">
        <v>3031</v>
      </c>
      <c r="G1633" s="1007">
        <v>7</v>
      </c>
      <c r="H1633" s="1010">
        <v>99999999</v>
      </c>
      <c r="I1633" s="1009">
        <v>19120800</v>
      </c>
      <c r="J1633" s="1007" t="s">
        <v>3031</v>
      </c>
      <c r="O1633" s="1007" t="s">
        <v>648</v>
      </c>
      <c r="P1633" s="1007" t="s">
        <v>648</v>
      </c>
      <c r="S1633" s="1008" t="s">
        <v>650</v>
      </c>
      <c r="T1633" s="1008" t="s">
        <v>654</v>
      </c>
      <c r="U1633" s="1008" t="s">
        <v>649</v>
      </c>
      <c r="V1633" s="1008" t="s">
        <v>648</v>
      </c>
      <c r="W1633" s="1008" t="s">
        <v>546</v>
      </c>
      <c r="X1633" s="1008" t="s">
        <v>670</v>
      </c>
      <c r="Y1633" s="1008" t="s">
        <v>670</v>
      </c>
      <c r="Z1633" s="1008" t="s">
        <v>670</v>
      </c>
      <c r="AA1633" s="1008" t="s">
        <v>670</v>
      </c>
      <c r="AB1633" s="1008" t="s">
        <v>670</v>
      </c>
      <c r="AC1633" s="1008" t="s">
        <v>670</v>
      </c>
      <c r="AD1633" s="1008" t="s">
        <v>670</v>
      </c>
      <c r="AE1633" s="1008"/>
      <c r="AF1633" s="1008" t="s">
        <v>670</v>
      </c>
      <c r="AG1633" s="1008"/>
      <c r="AH1633" s="1008"/>
      <c r="AI1633" s="1008"/>
    </row>
    <row r="1634" spans="1:35">
      <c r="A1634" s="1008">
        <v>24380</v>
      </c>
      <c r="C1634" s="1008">
        <v>6</v>
      </c>
      <c r="D1634" s="1009">
        <v>19199999</v>
      </c>
      <c r="E1634" s="1009">
        <v>19129999</v>
      </c>
      <c r="F1634" s="1007" t="s">
        <v>3030</v>
      </c>
      <c r="O1634" s="1007" t="s">
        <v>648</v>
      </c>
      <c r="P1634" s="1007" t="s">
        <v>648</v>
      </c>
      <c r="S1634" s="1008" t="s">
        <v>650</v>
      </c>
      <c r="T1634" s="1008" t="s">
        <v>21</v>
      </c>
      <c r="U1634" s="1008" t="s">
        <v>649</v>
      </c>
      <c r="V1634" s="1008" t="s">
        <v>648</v>
      </c>
      <c r="W1634" s="1008" t="s">
        <v>546</v>
      </c>
      <c r="X1634" s="1008"/>
      <c r="Y1634" s="1008"/>
      <c r="Z1634" s="1008"/>
      <c r="AA1634" s="1008"/>
      <c r="AB1634" s="1008"/>
      <c r="AC1634" s="1008"/>
      <c r="AD1634" s="1008"/>
      <c r="AE1634" s="1008"/>
      <c r="AF1634" s="1008"/>
      <c r="AG1634" s="1008"/>
      <c r="AH1634" s="1008"/>
      <c r="AI1634" s="1008"/>
    </row>
    <row r="1635" spans="1:35">
      <c r="A1635" s="1008">
        <v>24381</v>
      </c>
      <c r="C1635" s="1008">
        <v>5</v>
      </c>
      <c r="D1635" s="1009">
        <v>19499999</v>
      </c>
      <c r="E1635" s="1009">
        <v>19199999</v>
      </c>
      <c r="F1635" s="1007" t="s">
        <v>3029</v>
      </c>
      <c r="O1635" s="1007" t="s">
        <v>648</v>
      </c>
      <c r="P1635" s="1007" t="s">
        <v>648</v>
      </c>
      <c r="S1635" s="1008" t="s">
        <v>650</v>
      </c>
      <c r="T1635" s="1008" t="s">
        <v>21</v>
      </c>
      <c r="U1635" s="1008" t="s">
        <v>649</v>
      </c>
      <c r="V1635" s="1008" t="s">
        <v>648</v>
      </c>
      <c r="W1635" s="1008" t="s">
        <v>546</v>
      </c>
      <c r="X1635" s="1008"/>
      <c r="Y1635" s="1008"/>
      <c r="Z1635" s="1008"/>
      <c r="AA1635" s="1008"/>
      <c r="AB1635" s="1008"/>
      <c r="AC1635" s="1008"/>
      <c r="AD1635" s="1008"/>
      <c r="AE1635" s="1008"/>
      <c r="AF1635" s="1008"/>
      <c r="AG1635" s="1008"/>
      <c r="AH1635" s="1008"/>
      <c r="AI1635" s="1008"/>
    </row>
    <row r="1636" spans="1:35">
      <c r="A1636" s="1008">
        <v>24382</v>
      </c>
      <c r="C1636" s="1008">
        <v>5</v>
      </c>
      <c r="D1636" s="1009">
        <v>19299999</v>
      </c>
      <c r="E1636" s="1009">
        <v>19200000</v>
      </c>
      <c r="F1636" s="1007" t="s">
        <v>3028</v>
      </c>
      <c r="O1636" s="1007" t="s">
        <v>648</v>
      </c>
      <c r="P1636" s="1007" t="s">
        <v>648</v>
      </c>
      <c r="S1636" s="1008" t="s">
        <v>650</v>
      </c>
      <c r="T1636" s="1008" t="s">
        <v>675</v>
      </c>
      <c r="U1636" s="1008" t="s">
        <v>649</v>
      </c>
      <c r="V1636" s="1008" t="s">
        <v>648</v>
      </c>
      <c r="W1636" s="1008" t="s">
        <v>546</v>
      </c>
      <c r="X1636" s="1008"/>
      <c r="Y1636" s="1008"/>
      <c r="Z1636" s="1008"/>
      <c r="AA1636" s="1008"/>
      <c r="AB1636" s="1008"/>
      <c r="AC1636" s="1008"/>
      <c r="AD1636" s="1008"/>
      <c r="AE1636" s="1008"/>
      <c r="AF1636" s="1008"/>
      <c r="AG1636" s="1008"/>
      <c r="AH1636" s="1008"/>
      <c r="AI1636" s="1008"/>
    </row>
    <row r="1637" spans="1:35">
      <c r="A1637" s="1008">
        <v>24383</v>
      </c>
      <c r="C1637" s="1008">
        <v>6</v>
      </c>
      <c r="D1637" s="1009">
        <v>19219999</v>
      </c>
      <c r="E1637" s="1009">
        <v>19210000</v>
      </c>
      <c r="F1637" s="1007" t="s">
        <v>3027</v>
      </c>
      <c r="O1637" s="1007" t="s">
        <v>648</v>
      </c>
      <c r="P1637" s="1007" t="s">
        <v>648</v>
      </c>
      <c r="S1637" s="1008" t="s">
        <v>650</v>
      </c>
      <c r="T1637" s="1008" t="s">
        <v>675</v>
      </c>
      <c r="U1637" s="1008" t="s">
        <v>649</v>
      </c>
      <c r="V1637" s="1008" t="s">
        <v>648</v>
      </c>
      <c r="W1637" s="1008" t="s">
        <v>546</v>
      </c>
      <c r="X1637" s="1008"/>
      <c r="Y1637" s="1008"/>
      <c r="Z1637" s="1008"/>
      <c r="AA1637" s="1008"/>
      <c r="AB1637" s="1008"/>
      <c r="AC1637" s="1008"/>
      <c r="AD1637" s="1008"/>
      <c r="AE1637" s="1008"/>
      <c r="AF1637" s="1008"/>
      <c r="AG1637" s="1008"/>
      <c r="AH1637" s="1008"/>
      <c r="AI1637" s="1008"/>
    </row>
    <row r="1638" spans="1:35">
      <c r="A1638" s="1008">
        <v>24384</v>
      </c>
      <c r="B1638" s="1008">
        <v>1785</v>
      </c>
      <c r="C1638" s="1008">
        <v>7</v>
      </c>
      <c r="D1638" s="1009">
        <v>19219999</v>
      </c>
      <c r="E1638" s="1009">
        <v>19210100</v>
      </c>
      <c r="F1638" s="1007" t="s">
        <v>3026</v>
      </c>
      <c r="G1638" s="1007">
        <v>7</v>
      </c>
      <c r="H1638" s="1010">
        <v>99999999</v>
      </c>
      <c r="I1638" s="1009">
        <v>19210100</v>
      </c>
      <c r="J1638" s="1007" t="s">
        <v>3026</v>
      </c>
      <c r="O1638" s="1007" t="s">
        <v>648</v>
      </c>
      <c r="P1638" s="1007" t="s">
        <v>648</v>
      </c>
      <c r="S1638" s="1008" t="s">
        <v>650</v>
      </c>
      <c r="T1638" s="1008" t="s">
        <v>654</v>
      </c>
      <c r="U1638" s="1008" t="s">
        <v>649</v>
      </c>
      <c r="V1638" s="1008" t="s">
        <v>648</v>
      </c>
      <c r="W1638" s="1008" t="s">
        <v>546</v>
      </c>
      <c r="X1638" s="1008" t="s">
        <v>670</v>
      </c>
      <c r="Y1638" s="1008" t="s">
        <v>670</v>
      </c>
      <c r="Z1638" s="1008" t="s">
        <v>670</v>
      </c>
      <c r="AA1638" s="1008"/>
      <c r="AB1638" s="1008" t="s">
        <v>670</v>
      </c>
      <c r="AC1638" s="1008"/>
      <c r="AD1638" s="1008"/>
      <c r="AE1638" s="1008"/>
      <c r="AF1638" s="1008" t="s">
        <v>670</v>
      </c>
      <c r="AG1638" s="1008"/>
      <c r="AH1638" s="1008"/>
      <c r="AI1638" s="1008"/>
    </row>
    <row r="1639" spans="1:35">
      <c r="A1639" s="1008">
        <v>24385</v>
      </c>
      <c r="B1639" s="1008">
        <v>5041</v>
      </c>
      <c r="C1639" s="1008">
        <v>7</v>
      </c>
      <c r="D1639" s="1009">
        <v>19219999</v>
      </c>
      <c r="E1639" s="1009">
        <v>19210800</v>
      </c>
      <c r="F1639" s="1007" t="s">
        <v>3025</v>
      </c>
      <c r="G1639" s="1007">
        <v>7</v>
      </c>
      <c r="H1639" s="1010">
        <v>99999999</v>
      </c>
      <c r="I1639" s="1009">
        <v>19210800</v>
      </c>
      <c r="J1639" s="1007" t="s">
        <v>3025</v>
      </c>
      <c r="O1639" s="1007" t="s">
        <v>648</v>
      </c>
      <c r="P1639" s="1007" t="s">
        <v>648</v>
      </c>
      <c r="S1639" s="1008" t="s">
        <v>650</v>
      </c>
      <c r="T1639" s="1008" t="s">
        <v>654</v>
      </c>
      <c r="U1639" s="1008" t="s">
        <v>649</v>
      </c>
      <c r="V1639" s="1008" t="s">
        <v>648</v>
      </c>
      <c r="W1639" s="1008" t="s">
        <v>546</v>
      </c>
      <c r="X1639" s="1008" t="s">
        <v>670</v>
      </c>
      <c r="Y1639" s="1008" t="s">
        <v>670</v>
      </c>
      <c r="Z1639" s="1008" t="s">
        <v>670</v>
      </c>
      <c r="AA1639" s="1008" t="s">
        <v>670</v>
      </c>
      <c r="AB1639" s="1008" t="s">
        <v>670</v>
      </c>
      <c r="AC1639" s="1008" t="s">
        <v>670</v>
      </c>
      <c r="AD1639" s="1008" t="s">
        <v>670</v>
      </c>
      <c r="AE1639" s="1008"/>
      <c r="AF1639" s="1008" t="s">
        <v>670</v>
      </c>
      <c r="AG1639" s="1008"/>
      <c r="AH1639" s="1008"/>
      <c r="AI1639" s="1008"/>
    </row>
    <row r="1640" spans="1:35">
      <c r="A1640" s="1008">
        <v>24386</v>
      </c>
      <c r="C1640" s="1008">
        <v>6</v>
      </c>
      <c r="D1640" s="1009">
        <v>19299999</v>
      </c>
      <c r="E1640" s="1009">
        <v>19219999</v>
      </c>
      <c r="F1640" s="1007" t="s">
        <v>3024</v>
      </c>
      <c r="O1640" s="1007" t="s">
        <v>648</v>
      </c>
      <c r="P1640" s="1007" t="s">
        <v>648</v>
      </c>
      <c r="S1640" s="1008" t="s">
        <v>650</v>
      </c>
      <c r="T1640" s="1008" t="s">
        <v>21</v>
      </c>
      <c r="U1640" s="1008" t="s">
        <v>649</v>
      </c>
      <c r="V1640" s="1008" t="s">
        <v>648</v>
      </c>
      <c r="W1640" s="1008" t="s">
        <v>546</v>
      </c>
      <c r="X1640" s="1008"/>
      <c r="Y1640" s="1008"/>
      <c r="Z1640" s="1008"/>
      <c r="AA1640" s="1008"/>
      <c r="AB1640" s="1008"/>
      <c r="AC1640" s="1008"/>
      <c r="AD1640" s="1008"/>
      <c r="AE1640" s="1008"/>
      <c r="AF1640" s="1008"/>
      <c r="AG1640" s="1008"/>
      <c r="AH1640" s="1008"/>
      <c r="AI1640" s="1008"/>
    </row>
    <row r="1641" spans="1:35">
      <c r="A1641" s="1008">
        <v>24387</v>
      </c>
      <c r="C1641" s="1008">
        <v>6</v>
      </c>
      <c r="D1641" s="1009">
        <v>19229999</v>
      </c>
      <c r="E1641" s="1009">
        <v>19220000</v>
      </c>
      <c r="F1641" s="1007" t="s">
        <v>3023</v>
      </c>
      <c r="O1641" s="1007" t="s">
        <v>648</v>
      </c>
      <c r="P1641" s="1007" t="s">
        <v>648</v>
      </c>
      <c r="S1641" s="1008" t="s">
        <v>650</v>
      </c>
      <c r="T1641" s="1008" t="s">
        <v>675</v>
      </c>
      <c r="U1641" s="1008" t="s">
        <v>649</v>
      </c>
      <c r="V1641" s="1008" t="s">
        <v>648</v>
      </c>
      <c r="W1641" s="1008" t="s">
        <v>546</v>
      </c>
      <c r="X1641" s="1008"/>
      <c r="Y1641" s="1008"/>
      <c r="Z1641" s="1008"/>
      <c r="AA1641" s="1008"/>
      <c r="AB1641" s="1008"/>
      <c r="AC1641" s="1008"/>
      <c r="AD1641" s="1008"/>
      <c r="AE1641" s="1008"/>
      <c r="AF1641" s="1008"/>
      <c r="AG1641" s="1008"/>
      <c r="AH1641" s="1008"/>
      <c r="AI1641" s="1008"/>
    </row>
    <row r="1642" spans="1:35">
      <c r="A1642" s="1008">
        <v>24388</v>
      </c>
      <c r="B1642" s="1008">
        <v>1787</v>
      </c>
      <c r="C1642" s="1008">
        <v>7</v>
      </c>
      <c r="D1642" s="1009">
        <v>19229999</v>
      </c>
      <c r="E1642" s="1009">
        <v>19220100</v>
      </c>
      <c r="F1642" s="1007" t="s">
        <v>3022</v>
      </c>
      <c r="G1642" s="1007">
        <v>7</v>
      </c>
      <c r="H1642" s="1010">
        <v>99999999</v>
      </c>
      <c r="I1642" s="1009">
        <v>19220100</v>
      </c>
      <c r="J1642" s="1007" t="s">
        <v>3022</v>
      </c>
      <c r="O1642" s="1007" t="s">
        <v>648</v>
      </c>
      <c r="P1642" s="1007" t="s">
        <v>648</v>
      </c>
      <c r="S1642" s="1008" t="s">
        <v>650</v>
      </c>
      <c r="T1642" s="1008" t="s">
        <v>654</v>
      </c>
      <c r="U1642" s="1008" t="s">
        <v>649</v>
      </c>
      <c r="V1642" s="1008" t="s">
        <v>648</v>
      </c>
      <c r="W1642" s="1008" t="s">
        <v>546</v>
      </c>
      <c r="X1642" s="1008" t="s">
        <v>670</v>
      </c>
      <c r="Y1642" s="1008" t="s">
        <v>670</v>
      </c>
      <c r="Z1642" s="1008" t="s">
        <v>670</v>
      </c>
      <c r="AA1642" s="1008"/>
      <c r="AB1642" s="1008" t="s">
        <v>670</v>
      </c>
      <c r="AC1642" s="1008"/>
      <c r="AD1642" s="1008"/>
      <c r="AE1642" s="1008"/>
      <c r="AF1642" s="1008" t="s">
        <v>670</v>
      </c>
      <c r="AG1642" s="1008"/>
      <c r="AH1642" s="1008"/>
      <c r="AI1642" s="1008"/>
    </row>
    <row r="1643" spans="1:35">
      <c r="A1643" s="1008">
        <v>24389</v>
      </c>
      <c r="B1643" s="1008">
        <v>5043</v>
      </c>
      <c r="C1643" s="1008">
        <v>7</v>
      </c>
      <c r="D1643" s="1009">
        <v>19229999</v>
      </c>
      <c r="E1643" s="1009">
        <v>19220800</v>
      </c>
      <c r="F1643" s="1007" t="s">
        <v>3021</v>
      </c>
      <c r="G1643" s="1007">
        <v>7</v>
      </c>
      <c r="H1643" s="1010">
        <v>99999999</v>
      </c>
      <c r="I1643" s="1009">
        <v>19220800</v>
      </c>
      <c r="J1643" s="1007" t="s">
        <v>3021</v>
      </c>
      <c r="O1643" s="1007" t="s">
        <v>648</v>
      </c>
      <c r="P1643" s="1007" t="s">
        <v>648</v>
      </c>
      <c r="S1643" s="1008" t="s">
        <v>650</v>
      </c>
      <c r="T1643" s="1008" t="s">
        <v>654</v>
      </c>
      <c r="U1643" s="1008" t="s">
        <v>649</v>
      </c>
      <c r="V1643" s="1008" t="s">
        <v>648</v>
      </c>
      <c r="W1643" s="1008" t="s">
        <v>546</v>
      </c>
      <c r="X1643" s="1008" t="s">
        <v>670</v>
      </c>
      <c r="Y1643" s="1008" t="s">
        <v>670</v>
      </c>
      <c r="Z1643" s="1008" t="s">
        <v>670</v>
      </c>
      <c r="AA1643" s="1008" t="s">
        <v>670</v>
      </c>
      <c r="AB1643" s="1008" t="s">
        <v>670</v>
      </c>
      <c r="AC1643" s="1008" t="s">
        <v>670</v>
      </c>
      <c r="AD1643" s="1008" t="s">
        <v>670</v>
      </c>
      <c r="AE1643" s="1008"/>
      <c r="AF1643" s="1008" t="s">
        <v>670</v>
      </c>
      <c r="AG1643" s="1008"/>
      <c r="AH1643" s="1008"/>
      <c r="AI1643" s="1008"/>
    </row>
    <row r="1644" spans="1:35">
      <c r="A1644" s="1008">
        <v>24390</v>
      </c>
      <c r="C1644" s="1008">
        <v>6</v>
      </c>
      <c r="D1644" s="1009">
        <v>19299999</v>
      </c>
      <c r="E1644" s="1009">
        <v>19229999</v>
      </c>
      <c r="F1644" s="1007" t="s">
        <v>3020</v>
      </c>
      <c r="O1644" s="1007" t="s">
        <v>648</v>
      </c>
      <c r="P1644" s="1007" t="s">
        <v>648</v>
      </c>
      <c r="S1644" s="1008" t="s">
        <v>650</v>
      </c>
      <c r="T1644" s="1008" t="s">
        <v>21</v>
      </c>
      <c r="U1644" s="1008" t="s">
        <v>649</v>
      </c>
      <c r="V1644" s="1008" t="s">
        <v>648</v>
      </c>
      <c r="W1644" s="1008" t="s">
        <v>546</v>
      </c>
      <c r="X1644" s="1008"/>
      <c r="Y1644" s="1008"/>
      <c r="Z1644" s="1008"/>
      <c r="AA1644" s="1008"/>
      <c r="AB1644" s="1008"/>
      <c r="AC1644" s="1008"/>
      <c r="AD1644" s="1008"/>
      <c r="AE1644" s="1008"/>
      <c r="AF1644" s="1008"/>
      <c r="AG1644" s="1008"/>
      <c r="AH1644" s="1008"/>
      <c r="AI1644" s="1008"/>
    </row>
    <row r="1645" spans="1:35">
      <c r="A1645" s="1008">
        <v>24391</v>
      </c>
      <c r="C1645" s="1008">
        <v>6</v>
      </c>
      <c r="D1645" s="1009">
        <v>19239999</v>
      </c>
      <c r="E1645" s="1009">
        <v>19230000</v>
      </c>
      <c r="F1645" s="1007" t="s">
        <v>3019</v>
      </c>
      <c r="O1645" s="1007" t="s">
        <v>648</v>
      </c>
      <c r="P1645" s="1007" t="s">
        <v>648</v>
      </c>
      <c r="S1645" s="1008" t="s">
        <v>650</v>
      </c>
      <c r="T1645" s="1008" t="s">
        <v>675</v>
      </c>
      <c r="U1645" s="1008" t="s">
        <v>649</v>
      </c>
      <c r="V1645" s="1008" t="s">
        <v>648</v>
      </c>
      <c r="W1645" s="1008" t="s">
        <v>546</v>
      </c>
      <c r="X1645" s="1008"/>
      <c r="Y1645" s="1008"/>
      <c r="Z1645" s="1008"/>
      <c r="AA1645" s="1008"/>
      <c r="AB1645" s="1008"/>
      <c r="AC1645" s="1008"/>
      <c r="AD1645" s="1008"/>
      <c r="AE1645" s="1008"/>
      <c r="AF1645" s="1008"/>
      <c r="AG1645" s="1008"/>
      <c r="AH1645" s="1008"/>
      <c r="AI1645" s="1008"/>
    </row>
    <row r="1646" spans="1:35">
      <c r="A1646" s="1008">
        <v>24392</v>
      </c>
      <c r="B1646" s="1008">
        <v>717</v>
      </c>
      <c r="C1646" s="1008">
        <v>7</v>
      </c>
      <c r="D1646" s="1009">
        <v>19239999</v>
      </c>
      <c r="E1646" s="1009">
        <v>19230200</v>
      </c>
      <c r="F1646" s="1007" t="s">
        <v>3018</v>
      </c>
      <c r="G1646" s="1007">
        <v>8</v>
      </c>
      <c r="H1646" s="1010">
        <v>99999999</v>
      </c>
      <c r="I1646" s="1009">
        <v>19230200</v>
      </c>
      <c r="J1646" s="1007" t="s">
        <v>3018</v>
      </c>
      <c r="O1646" s="1007" t="s">
        <v>648</v>
      </c>
      <c r="P1646" s="1007" t="s">
        <v>648</v>
      </c>
      <c r="S1646" s="1008" t="s">
        <v>650</v>
      </c>
      <c r="T1646" s="1008" t="s">
        <v>654</v>
      </c>
      <c r="U1646" s="1008" t="s">
        <v>649</v>
      </c>
      <c r="V1646" s="1008" t="s">
        <v>648</v>
      </c>
      <c r="W1646" s="1008" t="s">
        <v>546</v>
      </c>
      <c r="X1646" s="1008" t="s">
        <v>670</v>
      </c>
      <c r="Y1646" s="1008" t="s">
        <v>670</v>
      </c>
      <c r="Z1646" s="1008" t="s">
        <v>670</v>
      </c>
      <c r="AA1646" s="1008"/>
      <c r="AB1646" s="1008" t="s">
        <v>670</v>
      </c>
      <c r="AC1646" s="1008"/>
      <c r="AD1646" s="1008" t="s">
        <v>670</v>
      </c>
      <c r="AE1646" s="1008"/>
      <c r="AF1646" s="1008" t="s">
        <v>670</v>
      </c>
      <c r="AG1646" s="1008"/>
      <c r="AH1646" s="1008"/>
      <c r="AI1646" s="1008"/>
    </row>
    <row r="1647" spans="1:35">
      <c r="A1647" s="1008">
        <v>24393</v>
      </c>
      <c r="B1647" s="1008">
        <v>1790</v>
      </c>
      <c r="C1647" s="1008">
        <v>7</v>
      </c>
      <c r="D1647" s="1009">
        <v>19239999</v>
      </c>
      <c r="E1647" s="1009">
        <v>19230400</v>
      </c>
      <c r="F1647" s="1007" t="s">
        <v>3017</v>
      </c>
      <c r="G1647" s="1007">
        <v>7</v>
      </c>
      <c r="H1647" s="1010">
        <v>99999999</v>
      </c>
      <c r="I1647" s="1009">
        <v>19230400</v>
      </c>
      <c r="J1647" s="1007" t="s">
        <v>3017</v>
      </c>
      <c r="O1647" s="1007" t="s">
        <v>648</v>
      </c>
      <c r="P1647" s="1007" t="s">
        <v>648</v>
      </c>
      <c r="S1647" s="1008" t="s">
        <v>650</v>
      </c>
      <c r="T1647" s="1008" t="s">
        <v>654</v>
      </c>
      <c r="U1647" s="1008" t="s">
        <v>649</v>
      </c>
      <c r="V1647" s="1008" t="s">
        <v>648</v>
      </c>
      <c r="W1647" s="1008" t="s">
        <v>546</v>
      </c>
      <c r="X1647" s="1008" t="s">
        <v>670</v>
      </c>
      <c r="Y1647" s="1008" t="s">
        <v>670</v>
      </c>
      <c r="Z1647" s="1008" t="s">
        <v>670</v>
      </c>
      <c r="AA1647" s="1008" t="s">
        <v>670</v>
      </c>
      <c r="AB1647" s="1008" t="s">
        <v>670</v>
      </c>
      <c r="AC1647" s="1008" t="s">
        <v>670</v>
      </c>
      <c r="AD1647" s="1008" t="s">
        <v>670</v>
      </c>
      <c r="AE1647" s="1008"/>
      <c r="AF1647" s="1008" t="s">
        <v>670</v>
      </c>
      <c r="AG1647" s="1008"/>
      <c r="AH1647" s="1008"/>
      <c r="AI1647" s="1008"/>
    </row>
    <row r="1648" spans="1:35">
      <c r="A1648" s="1008">
        <v>24394</v>
      </c>
      <c r="B1648" s="1008">
        <v>5045</v>
      </c>
      <c r="C1648" s="1008">
        <v>7</v>
      </c>
      <c r="D1648" s="1009">
        <v>19239999</v>
      </c>
      <c r="E1648" s="1009">
        <v>19230800</v>
      </c>
      <c r="F1648" s="1007" t="s">
        <v>3016</v>
      </c>
      <c r="G1648" s="1007">
        <v>7</v>
      </c>
      <c r="H1648" s="1010">
        <v>99999999</v>
      </c>
      <c r="I1648" s="1009">
        <v>19230800</v>
      </c>
      <c r="J1648" s="1007" t="s">
        <v>3016</v>
      </c>
      <c r="O1648" s="1007" t="s">
        <v>648</v>
      </c>
      <c r="P1648" s="1007" t="s">
        <v>648</v>
      </c>
      <c r="S1648" s="1008" t="s">
        <v>650</v>
      </c>
      <c r="T1648" s="1008" t="s">
        <v>654</v>
      </c>
      <c r="U1648" s="1008" t="s">
        <v>649</v>
      </c>
      <c r="V1648" s="1008" t="s">
        <v>648</v>
      </c>
      <c r="W1648" s="1008" t="s">
        <v>546</v>
      </c>
      <c r="X1648" s="1008" t="s">
        <v>670</v>
      </c>
      <c r="Y1648" s="1008" t="s">
        <v>670</v>
      </c>
      <c r="Z1648" s="1008" t="s">
        <v>670</v>
      </c>
      <c r="AA1648" s="1008" t="s">
        <v>670</v>
      </c>
      <c r="AB1648" s="1008" t="s">
        <v>670</v>
      </c>
      <c r="AC1648" s="1008" t="s">
        <v>670</v>
      </c>
      <c r="AD1648" s="1008" t="s">
        <v>670</v>
      </c>
      <c r="AE1648" s="1008"/>
      <c r="AF1648" s="1008" t="s">
        <v>670</v>
      </c>
      <c r="AG1648" s="1008"/>
      <c r="AH1648" s="1008"/>
      <c r="AI1648" s="1008"/>
    </row>
    <row r="1649" spans="1:35">
      <c r="A1649" s="1008">
        <v>24395</v>
      </c>
      <c r="C1649" s="1008">
        <v>6</v>
      </c>
      <c r="D1649" s="1009">
        <v>19299999</v>
      </c>
      <c r="E1649" s="1009">
        <v>19239999</v>
      </c>
      <c r="F1649" s="1007" t="s">
        <v>3015</v>
      </c>
      <c r="O1649" s="1007" t="s">
        <v>648</v>
      </c>
      <c r="P1649" s="1007" t="s">
        <v>648</v>
      </c>
      <c r="S1649" s="1008" t="s">
        <v>650</v>
      </c>
      <c r="T1649" s="1008" t="s">
        <v>21</v>
      </c>
      <c r="U1649" s="1008" t="s">
        <v>649</v>
      </c>
      <c r="V1649" s="1008" t="s">
        <v>648</v>
      </c>
      <c r="W1649" s="1008" t="s">
        <v>546</v>
      </c>
      <c r="X1649" s="1008"/>
      <c r="Y1649" s="1008"/>
      <c r="Z1649" s="1008"/>
      <c r="AA1649" s="1008"/>
      <c r="AB1649" s="1008"/>
      <c r="AC1649" s="1008"/>
      <c r="AD1649" s="1008"/>
      <c r="AE1649" s="1008"/>
      <c r="AF1649" s="1008"/>
      <c r="AG1649" s="1008"/>
      <c r="AH1649" s="1008"/>
      <c r="AI1649" s="1008"/>
    </row>
    <row r="1650" spans="1:35">
      <c r="A1650" s="1008">
        <v>26502</v>
      </c>
      <c r="C1650" s="1008">
        <v>6</v>
      </c>
      <c r="D1650" s="1009">
        <v>19249999</v>
      </c>
      <c r="E1650" s="1009">
        <v>19240000</v>
      </c>
      <c r="F1650" s="1007" t="s">
        <v>3014</v>
      </c>
      <c r="O1650" s="1007" t="s">
        <v>648</v>
      </c>
      <c r="P1650" s="1007" t="s">
        <v>648</v>
      </c>
      <c r="S1650" s="1008" t="s">
        <v>650</v>
      </c>
      <c r="T1650" s="1008" t="s">
        <v>675</v>
      </c>
      <c r="U1650" s="1008" t="s">
        <v>649</v>
      </c>
      <c r="V1650" s="1008" t="s">
        <v>648</v>
      </c>
      <c r="W1650" s="1008" t="s">
        <v>546</v>
      </c>
      <c r="X1650" s="1008"/>
      <c r="Y1650" s="1008"/>
      <c r="Z1650" s="1008"/>
      <c r="AA1650" s="1008"/>
      <c r="AB1650" s="1008"/>
      <c r="AC1650" s="1008"/>
      <c r="AD1650" s="1008"/>
      <c r="AE1650" s="1008"/>
      <c r="AF1650" s="1008"/>
      <c r="AG1650" s="1008"/>
      <c r="AH1650" s="1008"/>
      <c r="AI1650" s="1008"/>
    </row>
    <row r="1651" spans="1:35">
      <c r="A1651" s="1008">
        <v>26503</v>
      </c>
      <c r="B1651" s="1008">
        <v>846</v>
      </c>
      <c r="C1651" s="1008">
        <v>7</v>
      </c>
      <c r="D1651" s="1009">
        <v>19249999</v>
      </c>
      <c r="E1651" s="1009">
        <v>19240200</v>
      </c>
      <c r="F1651" s="1007" t="s">
        <v>3008</v>
      </c>
      <c r="G1651" s="1007">
        <v>8</v>
      </c>
      <c r="H1651" s="1010">
        <v>99999999</v>
      </c>
      <c r="I1651" s="1009">
        <v>5121510</v>
      </c>
      <c r="J1651" s="1007" t="s">
        <v>3013</v>
      </c>
      <c r="O1651" s="1007" t="s">
        <v>648</v>
      </c>
      <c r="P1651" s="1007" t="s">
        <v>648</v>
      </c>
      <c r="S1651" s="1008" t="s">
        <v>650</v>
      </c>
      <c r="T1651" s="1008" t="s">
        <v>654</v>
      </c>
      <c r="U1651" s="1008" t="s">
        <v>649</v>
      </c>
      <c r="V1651" s="1008" t="s">
        <v>648</v>
      </c>
      <c r="W1651" s="1008" t="s">
        <v>546</v>
      </c>
      <c r="X1651" s="1008" t="s">
        <v>670</v>
      </c>
      <c r="Y1651" s="1008"/>
      <c r="Z1651" s="1008"/>
      <c r="AA1651" s="1008"/>
      <c r="AB1651" s="1008" t="s">
        <v>670</v>
      </c>
      <c r="AC1651" s="1008"/>
      <c r="AD1651" s="1008"/>
      <c r="AE1651" s="1008"/>
      <c r="AF1651" s="1008"/>
      <c r="AG1651" s="1008"/>
      <c r="AH1651" s="1008"/>
      <c r="AI1651" s="1008"/>
    </row>
    <row r="1652" spans="1:35">
      <c r="A1652" s="1008">
        <v>26503</v>
      </c>
      <c r="B1652" s="1008">
        <v>847</v>
      </c>
      <c r="C1652" s="1008">
        <v>7</v>
      </c>
      <c r="D1652" s="1009">
        <v>19249999</v>
      </c>
      <c r="E1652" s="1009">
        <v>19240200</v>
      </c>
      <c r="F1652" s="1007" t="s">
        <v>3008</v>
      </c>
      <c r="G1652" s="1007">
        <v>8</v>
      </c>
      <c r="H1652" s="1010">
        <v>99999999</v>
      </c>
      <c r="I1652" s="1009">
        <v>5121520</v>
      </c>
      <c r="J1652" s="1007" t="s">
        <v>3012</v>
      </c>
      <c r="O1652" s="1007" t="s">
        <v>648</v>
      </c>
      <c r="P1652" s="1007" t="s">
        <v>648</v>
      </c>
      <c r="S1652" s="1008" t="s">
        <v>650</v>
      </c>
      <c r="T1652" s="1008" t="s">
        <v>654</v>
      </c>
      <c r="U1652" s="1008" t="s">
        <v>649</v>
      </c>
      <c r="V1652" s="1008" t="s">
        <v>648</v>
      </c>
      <c r="W1652" s="1008" t="s">
        <v>546</v>
      </c>
      <c r="X1652" s="1008" t="s">
        <v>670</v>
      </c>
      <c r="Y1652" s="1008"/>
      <c r="Z1652" s="1008"/>
      <c r="AA1652" s="1008"/>
      <c r="AB1652" s="1008" t="s">
        <v>670</v>
      </c>
      <c r="AC1652" s="1008"/>
      <c r="AD1652" s="1008"/>
      <c r="AE1652" s="1008"/>
      <c r="AF1652" s="1008"/>
      <c r="AG1652" s="1008"/>
      <c r="AH1652" s="1008"/>
      <c r="AI1652" s="1008"/>
    </row>
    <row r="1653" spans="1:35">
      <c r="A1653" s="1008">
        <v>26503</v>
      </c>
      <c r="B1653" s="1008">
        <v>848</v>
      </c>
      <c r="C1653" s="1008">
        <v>7</v>
      </c>
      <c r="D1653" s="1009">
        <v>19249999</v>
      </c>
      <c r="E1653" s="1009">
        <v>19240200</v>
      </c>
      <c r="F1653" s="1007" t="s">
        <v>3008</v>
      </c>
      <c r="G1653" s="1007">
        <v>8</v>
      </c>
      <c r="H1653" s="1010">
        <v>99999999</v>
      </c>
      <c r="I1653" s="1009">
        <v>5121530</v>
      </c>
      <c r="J1653" s="1007" t="s">
        <v>3011</v>
      </c>
      <c r="O1653" s="1007" t="s">
        <v>648</v>
      </c>
      <c r="P1653" s="1007" t="s">
        <v>648</v>
      </c>
      <c r="S1653" s="1008" t="s">
        <v>650</v>
      </c>
      <c r="T1653" s="1008" t="s">
        <v>654</v>
      </c>
      <c r="U1653" s="1008" t="s">
        <v>649</v>
      </c>
      <c r="V1653" s="1008" t="s">
        <v>648</v>
      </c>
      <c r="W1653" s="1008" t="s">
        <v>546</v>
      </c>
      <c r="X1653" s="1008" t="s">
        <v>670</v>
      </c>
      <c r="Y1653" s="1008"/>
      <c r="Z1653" s="1008"/>
      <c r="AA1653" s="1008"/>
      <c r="AB1653" s="1008" t="s">
        <v>670</v>
      </c>
      <c r="AC1653" s="1008"/>
      <c r="AD1653" s="1008"/>
      <c r="AE1653" s="1008"/>
      <c r="AF1653" s="1008"/>
      <c r="AG1653" s="1008"/>
      <c r="AH1653" s="1008"/>
      <c r="AI1653" s="1008"/>
    </row>
    <row r="1654" spans="1:35">
      <c r="A1654" s="1008">
        <v>26503</v>
      </c>
      <c r="B1654" s="1008">
        <v>849</v>
      </c>
      <c r="C1654" s="1008">
        <v>7</v>
      </c>
      <c r="D1654" s="1009">
        <v>19249999</v>
      </c>
      <c r="E1654" s="1009">
        <v>19240200</v>
      </c>
      <c r="F1654" s="1007" t="s">
        <v>3008</v>
      </c>
      <c r="G1654" s="1007">
        <v>8</v>
      </c>
      <c r="H1654" s="1010">
        <v>99999999</v>
      </c>
      <c r="I1654" s="1009">
        <v>5121540</v>
      </c>
      <c r="J1654" s="1007" t="s">
        <v>3010</v>
      </c>
      <c r="O1654" s="1007" t="s">
        <v>648</v>
      </c>
      <c r="P1654" s="1007" t="s">
        <v>648</v>
      </c>
      <c r="S1654" s="1008" t="s">
        <v>650</v>
      </c>
      <c r="T1654" s="1008" t="s">
        <v>654</v>
      </c>
      <c r="U1654" s="1008" t="s">
        <v>649</v>
      </c>
      <c r="V1654" s="1008" t="s">
        <v>648</v>
      </c>
      <c r="W1654" s="1008" t="s">
        <v>546</v>
      </c>
      <c r="X1654" s="1008" t="s">
        <v>670</v>
      </c>
      <c r="Y1654" s="1008"/>
      <c r="Z1654" s="1008"/>
      <c r="AA1654" s="1008"/>
      <c r="AB1654" s="1008" t="s">
        <v>670</v>
      </c>
      <c r="AC1654" s="1008"/>
      <c r="AD1654" s="1008"/>
      <c r="AE1654" s="1008"/>
      <c r="AF1654" s="1008"/>
      <c r="AG1654" s="1008"/>
      <c r="AH1654" s="1008"/>
      <c r="AI1654" s="1008"/>
    </row>
    <row r="1655" spans="1:35">
      <c r="A1655" s="1008">
        <v>26503</v>
      </c>
      <c r="B1655" s="1008">
        <v>434</v>
      </c>
      <c r="C1655" s="1008">
        <v>7</v>
      </c>
      <c r="D1655" s="1009">
        <v>19249999</v>
      </c>
      <c r="E1655" s="1009">
        <v>19240200</v>
      </c>
      <c r="F1655" s="1007" t="s">
        <v>3008</v>
      </c>
      <c r="G1655" s="1007">
        <v>8</v>
      </c>
      <c r="H1655" s="1010">
        <v>99999999</v>
      </c>
      <c r="I1655" s="1009">
        <v>9311270</v>
      </c>
      <c r="J1655" s="1007" t="s">
        <v>3009</v>
      </c>
      <c r="O1655" s="1007" t="s">
        <v>648</v>
      </c>
      <c r="P1655" s="1007" t="s">
        <v>648</v>
      </c>
      <c r="S1655" s="1008" t="s">
        <v>650</v>
      </c>
      <c r="T1655" s="1008" t="s">
        <v>654</v>
      </c>
      <c r="U1655" s="1008" t="s">
        <v>649</v>
      </c>
      <c r="V1655" s="1008" t="s">
        <v>648</v>
      </c>
      <c r="W1655" s="1008" t="s">
        <v>546</v>
      </c>
      <c r="X1655" s="1008" t="s">
        <v>670</v>
      </c>
      <c r="Y1655" s="1008" t="s">
        <v>670</v>
      </c>
      <c r="Z1655" s="1008" t="s">
        <v>670</v>
      </c>
      <c r="AA1655" s="1008" t="s">
        <v>670</v>
      </c>
      <c r="AB1655" s="1008" t="s">
        <v>670</v>
      </c>
      <c r="AC1655" s="1008" t="s">
        <v>670</v>
      </c>
      <c r="AD1655" s="1008" t="s">
        <v>670</v>
      </c>
      <c r="AE1655" s="1008"/>
      <c r="AF1655" s="1008" t="s">
        <v>670</v>
      </c>
      <c r="AG1655" s="1008"/>
      <c r="AH1655" s="1008"/>
      <c r="AI1655" s="1008"/>
    </row>
    <row r="1656" spans="1:35">
      <c r="A1656" s="1008">
        <v>26503</v>
      </c>
      <c r="B1656" s="1008">
        <v>1792</v>
      </c>
      <c r="C1656" s="1008">
        <v>7</v>
      </c>
      <c r="D1656" s="1009">
        <v>19249999</v>
      </c>
      <c r="E1656" s="1009">
        <v>19240200</v>
      </c>
      <c r="F1656" s="1007" t="s">
        <v>3008</v>
      </c>
      <c r="G1656" s="1007">
        <v>7</v>
      </c>
      <c r="H1656" s="1010">
        <v>99999999</v>
      </c>
      <c r="I1656" s="1009">
        <v>19240200</v>
      </c>
      <c r="J1656" s="1007" t="s">
        <v>3008</v>
      </c>
      <c r="O1656" s="1007" t="s">
        <v>648</v>
      </c>
      <c r="P1656" s="1007" t="s">
        <v>648</v>
      </c>
      <c r="S1656" s="1008" t="s">
        <v>650</v>
      </c>
      <c r="T1656" s="1008" t="s">
        <v>654</v>
      </c>
      <c r="U1656" s="1008" t="s">
        <v>649</v>
      </c>
      <c r="V1656" s="1008" t="s">
        <v>648</v>
      </c>
      <c r="W1656" s="1008" t="s">
        <v>546</v>
      </c>
      <c r="X1656" s="1008" t="s">
        <v>670</v>
      </c>
      <c r="Y1656" s="1008" t="s">
        <v>670</v>
      </c>
      <c r="Z1656" s="1008" t="s">
        <v>670</v>
      </c>
      <c r="AA1656" s="1008"/>
      <c r="AB1656" s="1008" t="s">
        <v>670</v>
      </c>
      <c r="AC1656" s="1008"/>
      <c r="AD1656" s="1008"/>
      <c r="AE1656" s="1008"/>
      <c r="AF1656" s="1008" t="s">
        <v>670</v>
      </c>
      <c r="AG1656" s="1008"/>
      <c r="AH1656" s="1008"/>
      <c r="AI1656" s="1008"/>
    </row>
    <row r="1657" spans="1:35">
      <c r="A1657" s="1008">
        <v>26504</v>
      </c>
      <c r="B1657" s="1008">
        <v>1793</v>
      </c>
      <c r="C1657" s="1008">
        <v>7</v>
      </c>
      <c r="D1657" s="1009">
        <v>19249999</v>
      </c>
      <c r="E1657" s="1009">
        <v>19240400</v>
      </c>
      <c r="F1657" s="1007" t="s">
        <v>3007</v>
      </c>
      <c r="G1657" s="1007">
        <v>7</v>
      </c>
      <c r="H1657" s="1010">
        <v>99999999</v>
      </c>
      <c r="I1657" s="1009">
        <v>19240400</v>
      </c>
      <c r="J1657" s="1007" t="s">
        <v>3007</v>
      </c>
      <c r="O1657" s="1007" t="s">
        <v>648</v>
      </c>
      <c r="P1657" s="1007" t="s">
        <v>648</v>
      </c>
      <c r="S1657" s="1008" t="s">
        <v>650</v>
      </c>
      <c r="T1657" s="1008" t="s">
        <v>654</v>
      </c>
      <c r="U1657" s="1008" t="s">
        <v>649</v>
      </c>
      <c r="V1657" s="1008" t="s">
        <v>648</v>
      </c>
      <c r="W1657" s="1008" t="s">
        <v>546</v>
      </c>
      <c r="X1657" s="1008" t="s">
        <v>670</v>
      </c>
      <c r="Y1657" s="1008" t="s">
        <v>670</v>
      </c>
      <c r="Z1657" s="1008" t="s">
        <v>670</v>
      </c>
      <c r="AA1657" s="1008" t="s">
        <v>670</v>
      </c>
      <c r="AB1657" s="1008" t="s">
        <v>670</v>
      </c>
      <c r="AC1657" s="1008" t="s">
        <v>670</v>
      </c>
      <c r="AD1657" s="1008" t="s">
        <v>670</v>
      </c>
      <c r="AE1657" s="1008"/>
      <c r="AF1657" s="1008" t="s">
        <v>670</v>
      </c>
      <c r="AG1657" s="1008"/>
      <c r="AH1657" s="1008"/>
      <c r="AI1657" s="1008"/>
    </row>
    <row r="1658" spans="1:35">
      <c r="A1658" s="1008">
        <v>26505</v>
      </c>
      <c r="B1658" s="1008">
        <v>5047</v>
      </c>
      <c r="C1658" s="1008">
        <v>7</v>
      </c>
      <c r="D1658" s="1009">
        <v>19249999</v>
      </c>
      <c r="E1658" s="1009">
        <v>19240800</v>
      </c>
      <c r="F1658" s="1007" t="s">
        <v>3006</v>
      </c>
      <c r="G1658" s="1007">
        <v>7</v>
      </c>
      <c r="H1658" s="1010">
        <v>99999999</v>
      </c>
      <c r="I1658" s="1009">
        <v>19240800</v>
      </c>
      <c r="J1658" s="1007" t="s">
        <v>3006</v>
      </c>
      <c r="O1658" s="1007" t="s">
        <v>648</v>
      </c>
      <c r="P1658" s="1007" t="s">
        <v>648</v>
      </c>
      <c r="S1658" s="1008" t="s">
        <v>650</v>
      </c>
      <c r="T1658" s="1008" t="s">
        <v>654</v>
      </c>
      <c r="U1658" s="1008" t="s">
        <v>649</v>
      </c>
      <c r="V1658" s="1008" t="s">
        <v>648</v>
      </c>
      <c r="W1658" s="1008" t="s">
        <v>546</v>
      </c>
      <c r="X1658" s="1008" t="s">
        <v>670</v>
      </c>
      <c r="Y1658" s="1008" t="s">
        <v>670</v>
      </c>
      <c r="Z1658" s="1008" t="s">
        <v>670</v>
      </c>
      <c r="AA1658" s="1008" t="s">
        <v>670</v>
      </c>
      <c r="AB1658" s="1008" t="s">
        <v>670</v>
      </c>
      <c r="AC1658" s="1008" t="s">
        <v>670</v>
      </c>
      <c r="AD1658" s="1008" t="s">
        <v>670</v>
      </c>
      <c r="AE1658" s="1008"/>
      <c r="AF1658" s="1008" t="s">
        <v>670</v>
      </c>
      <c r="AG1658" s="1008"/>
      <c r="AH1658" s="1008"/>
      <c r="AI1658" s="1008"/>
    </row>
    <row r="1659" spans="1:35">
      <c r="A1659" s="1008">
        <v>26501</v>
      </c>
      <c r="C1659" s="1008">
        <v>6</v>
      </c>
      <c r="D1659" s="1009">
        <v>19299999</v>
      </c>
      <c r="E1659" s="1009">
        <v>19249999</v>
      </c>
      <c r="F1659" s="1007" t="s">
        <v>3005</v>
      </c>
      <c r="O1659" s="1007" t="s">
        <v>648</v>
      </c>
      <c r="P1659" s="1007" t="s">
        <v>648</v>
      </c>
      <c r="S1659" s="1008" t="s">
        <v>650</v>
      </c>
      <c r="T1659" s="1008" t="s">
        <v>21</v>
      </c>
      <c r="U1659" s="1008" t="s">
        <v>649</v>
      </c>
      <c r="V1659" s="1008" t="s">
        <v>648</v>
      </c>
      <c r="W1659" s="1008" t="s">
        <v>546</v>
      </c>
      <c r="X1659" s="1008"/>
      <c r="Y1659" s="1008"/>
      <c r="Z1659" s="1008"/>
      <c r="AA1659" s="1008"/>
      <c r="AB1659" s="1008"/>
      <c r="AC1659" s="1008"/>
      <c r="AD1659" s="1008"/>
      <c r="AE1659" s="1008"/>
      <c r="AF1659" s="1008"/>
      <c r="AG1659" s="1008"/>
      <c r="AH1659" s="1008"/>
      <c r="AI1659" s="1008"/>
    </row>
    <row r="1660" spans="1:35">
      <c r="A1660" s="1008">
        <v>24396</v>
      </c>
      <c r="C1660" s="1008">
        <v>5</v>
      </c>
      <c r="D1660" s="1009">
        <v>19499999</v>
      </c>
      <c r="E1660" s="1009">
        <v>19299999</v>
      </c>
      <c r="F1660" s="1007" t="s">
        <v>3004</v>
      </c>
      <c r="O1660" s="1007" t="s">
        <v>648</v>
      </c>
      <c r="P1660" s="1007" t="s">
        <v>648</v>
      </c>
      <c r="S1660" s="1008" t="s">
        <v>650</v>
      </c>
      <c r="T1660" s="1008" t="s">
        <v>21</v>
      </c>
      <c r="U1660" s="1008" t="s">
        <v>649</v>
      </c>
      <c r="V1660" s="1008" t="s">
        <v>648</v>
      </c>
      <c r="W1660" s="1008" t="s">
        <v>546</v>
      </c>
      <c r="X1660" s="1008"/>
      <c r="Y1660" s="1008"/>
      <c r="Z1660" s="1008"/>
      <c r="AA1660" s="1008"/>
      <c r="AB1660" s="1008"/>
      <c r="AC1660" s="1008"/>
      <c r="AD1660" s="1008"/>
      <c r="AE1660" s="1008"/>
      <c r="AF1660" s="1008"/>
      <c r="AG1660" s="1008"/>
      <c r="AH1660" s="1008"/>
      <c r="AI1660" s="1008"/>
    </row>
    <row r="1661" spans="1:35">
      <c r="A1661" s="1008">
        <v>24397</v>
      </c>
      <c r="C1661" s="1008">
        <v>5</v>
      </c>
      <c r="D1661" s="1009">
        <v>19399999</v>
      </c>
      <c r="E1661" s="1009">
        <v>19300000</v>
      </c>
      <c r="F1661" s="1007" t="s">
        <v>2589</v>
      </c>
      <c r="O1661" s="1007" t="s">
        <v>648</v>
      </c>
      <c r="P1661" s="1007" t="s">
        <v>648</v>
      </c>
      <c r="S1661" s="1008" t="s">
        <v>650</v>
      </c>
      <c r="T1661" s="1008" t="s">
        <v>675</v>
      </c>
      <c r="U1661" s="1008" t="s">
        <v>649</v>
      </c>
      <c r="V1661" s="1008" t="s">
        <v>648</v>
      </c>
      <c r="W1661" s="1008" t="s">
        <v>546</v>
      </c>
      <c r="X1661" s="1008"/>
      <c r="Y1661" s="1008"/>
      <c r="Z1661" s="1008"/>
      <c r="AA1661" s="1008"/>
      <c r="AB1661" s="1008"/>
      <c r="AC1661" s="1008"/>
      <c r="AD1661" s="1008"/>
      <c r="AE1661" s="1008"/>
      <c r="AF1661" s="1008"/>
      <c r="AG1661" s="1008"/>
      <c r="AH1661" s="1008"/>
      <c r="AI1661" s="1008"/>
    </row>
    <row r="1662" spans="1:35">
      <c r="A1662" s="1008">
        <v>24398</v>
      </c>
      <c r="C1662" s="1008">
        <v>6</v>
      </c>
      <c r="D1662" s="1009">
        <v>19319999</v>
      </c>
      <c r="E1662" s="1009">
        <v>19310000</v>
      </c>
      <c r="F1662" s="1007" t="s">
        <v>3003</v>
      </c>
      <c r="O1662" s="1007" t="s">
        <v>648</v>
      </c>
      <c r="P1662" s="1007" t="s">
        <v>648</v>
      </c>
      <c r="S1662" s="1008" t="s">
        <v>650</v>
      </c>
      <c r="T1662" s="1008" t="s">
        <v>675</v>
      </c>
      <c r="U1662" s="1008" t="s">
        <v>649</v>
      </c>
      <c r="V1662" s="1008" t="s">
        <v>648</v>
      </c>
      <c r="W1662" s="1008" t="s">
        <v>546</v>
      </c>
      <c r="X1662" s="1008"/>
      <c r="Y1662" s="1008"/>
      <c r="Z1662" s="1008"/>
      <c r="AA1662" s="1008"/>
      <c r="AB1662" s="1008"/>
      <c r="AC1662" s="1008"/>
      <c r="AD1662" s="1008"/>
      <c r="AE1662" s="1008"/>
      <c r="AF1662" s="1008"/>
      <c r="AG1662" s="1008"/>
      <c r="AH1662" s="1008"/>
      <c r="AI1662" s="1008"/>
    </row>
    <row r="1663" spans="1:35">
      <c r="A1663" s="1008">
        <v>24399</v>
      </c>
      <c r="B1663" s="1008">
        <v>1795</v>
      </c>
      <c r="C1663" s="1008">
        <v>7</v>
      </c>
      <c r="D1663" s="1009">
        <v>19319999</v>
      </c>
      <c r="E1663" s="1009">
        <v>19310700</v>
      </c>
      <c r="F1663" s="1007" t="s">
        <v>3002</v>
      </c>
      <c r="G1663" s="1007">
        <v>7</v>
      </c>
      <c r="H1663" s="1010">
        <v>99999999</v>
      </c>
      <c r="I1663" s="1009">
        <v>19310700</v>
      </c>
      <c r="J1663" s="1007" t="s">
        <v>3002</v>
      </c>
      <c r="O1663" s="1007" t="s">
        <v>648</v>
      </c>
      <c r="P1663" s="1007" t="s">
        <v>648</v>
      </c>
      <c r="S1663" s="1008" t="s">
        <v>650</v>
      </c>
      <c r="T1663" s="1008" t="s">
        <v>654</v>
      </c>
      <c r="U1663" s="1008" t="s">
        <v>649</v>
      </c>
      <c r="V1663" s="1008" t="s">
        <v>648</v>
      </c>
      <c r="W1663" s="1008" t="s">
        <v>546</v>
      </c>
      <c r="X1663" s="1008" t="s">
        <v>670</v>
      </c>
      <c r="Y1663" s="1008" t="s">
        <v>670</v>
      </c>
      <c r="Z1663" s="1008" t="s">
        <v>670</v>
      </c>
      <c r="AA1663" s="1008" t="s">
        <v>670</v>
      </c>
      <c r="AB1663" s="1008" t="s">
        <v>670</v>
      </c>
      <c r="AC1663" s="1008" t="s">
        <v>670</v>
      </c>
      <c r="AD1663" s="1008" t="s">
        <v>670</v>
      </c>
      <c r="AE1663" s="1008"/>
      <c r="AF1663" s="1008" t="s">
        <v>670</v>
      </c>
      <c r="AG1663" s="1008"/>
      <c r="AH1663" s="1008"/>
      <c r="AI1663" s="1008"/>
    </row>
    <row r="1664" spans="1:35">
      <c r="A1664" s="1008">
        <v>24400</v>
      </c>
      <c r="B1664" s="1008">
        <v>5051</v>
      </c>
      <c r="C1664" s="1008">
        <v>7</v>
      </c>
      <c r="D1664" s="1009">
        <v>19319999</v>
      </c>
      <c r="E1664" s="1009">
        <v>19310800</v>
      </c>
      <c r="F1664" s="1007" t="s">
        <v>3001</v>
      </c>
      <c r="G1664" s="1007">
        <v>7</v>
      </c>
      <c r="H1664" s="1010">
        <v>99999999</v>
      </c>
      <c r="I1664" s="1009">
        <v>19310800</v>
      </c>
      <c r="J1664" s="1007" t="s">
        <v>3001</v>
      </c>
      <c r="O1664" s="1007" t="s">
        <v>648</v>
      </c>
      <c r="P1664" s="1007" t="s">
        <v>648</v>
      </c>
      <c r="S1664" s="1008" t="s">
        <v>650</v>
      </c>
      <c r="T1664" s="1008" t="s">
        <v>654</v>
      </c>
      <c r="U1664" s="1008" t="s">
        <v>649</v>
      </c>
      <c r="V1664" s="1008" t="s">
        <v>648</v>
      </c>
      <c r="W1664" s="1008" t="s">
        <v>546</v>
      </c>
      <c r="X1664" s="1008" t="s">
        <v>670</v>
      </c>
      <c r="Y1664" s="1008" t="s">
        <v>670</v>
      </c>
      <c r="Z1664" s="1008" t="s">
        <v>670</v>
      </c>
      <c r="AA1664" s="1008" t="s">
        <v>670</v>
      </c>
      <c r="AB1664" s="1008" t="s">
        <v>670</v>
      </c>
      <c r="AC1664" s="1008" t="s">
        <v>670</v>
      </c>
      <c r="AD1664" s="1008" t="s">
        <v>670</v>
      </c>
      <c r="AE1664" s="1008"/>
      <c r="AF1664" s="1008" t="s">
        <v>670</v>
      </c>
      <c r="AG1664" s="1008"/>
      <c r="AH1664" s="1008"/>
      <c r="AI1664" s="1008"/>
    </row>
    <row r="1665" spans="1:35">
      <c r="A1665" s="1008">
        <v>24401</v>
      </c>
      <c r="C1665" s="1008">
        <v>6</v>
      </c>
      <c r="D1665" s="1009">
        <v>19399999</v>
      </c>
      <c r="E1665" s="1009">
        <v>19319999</v>
      </c>
      <c r="F1665" s="1007" t="s">
        <v>3000</v>
      </c>
      <c r="O1665" s="1007" t="s">
        <v>648</v>
      </c>
      <c r="P1665" s="1007" t="s">
        <v>648</v>
      </c>
      <c r="S1665" s="1008" t="s">
        <v>650</v>
      </c>
      <c r="T1665" s="1008" t="s">
        <v>21</v>
      </c>
      <c r="U1665" s="1008" t="s">
        <v>649</v>
      </c>
      <c r="V1665" s="1008" t="s">
        <v>648</v>
      </c>
      <c r="W1665" s="1008" t="s">
        <v>546</v>
      </c>
      <c r="X1665" s="1008"/>
      <c r="Y1665" s="1008"/>
      <c r="Z1665" s="1008"/>
      <c r="AA1665" s="1008"/>
      <c r="AB1665" s="1008"/>
      <c r="AC1665" s="1008"/>
      <c r="AD1665" s="1008"/>
      <c r="AE1665" s="1008"/>
      <c r="AF1665" s="1008"/>
      <c r="AG1665" s="1008"/>
      <c r="AH1665" s="1008"/>
      <c r="AI1665" s="1008"/>
    </row>
    <row r="1666" spans="1:35">
      <c r="A1666" s="1008">
        <v>24402</v>
      </c>
      <c r="C1666" s="1008">
        <v>6</v>
      </c>
      <c r="D1666" s="1009">
        <v>19329999</v>
      </c>
      <c r="E1666" s="1009">
        <v>19320000</v>
      </c>
      <c r="F1666" s="1007" t="s">
        <v>2999</v>
      </c>
      <c r="O1666" s="1007" t="s">
        <v>648</v>
      </c>
      <c r="P1666" s="1007" t="s">
        <v>648</v>
      </c>
      <c r="S1666" s="1008" t="s">
        <v>650</v>
      </c>
      <c r="T1666" s="1008" t="s">
        <v>675</v>
      </c>
      <c r="U1666" s="1008" t="s">
        <v>649</v>
      </c>
      <c r="V1666" s="1008" t="s">
        <v>648</v>
      </c>
      <c r="W1666" s="1008" t="s">
        <v>546</v>
      </c>
      <c r="X1666" s="1008"/>
      <c r="Y1666" s="1008"/>
      <c r="Z1666" s="1008"/>
      <c r="AA1666" s="1008"/>
      <c r="AB1666" s="1008"/>
      <c r="AC1666" s="1008"/>
      <c r="AD1666" s="1008"/>
      <c r="AE1666" s="1008"/>
      <c r="AF1666" s="1008"/>
      <c r="AG1666" s="1008"/>
      <c r="AH1666" s="1008"/>
      <c r="AI1666" s="1008"/>
    </row>
    <row r="1667" spans="1:35">
      <c r="A1667" s="1008">
        <v>24403</v>
      </c>
      <c r="B1667" s="1008">
        <v>1797</v>
      </c>
      <c r="C1667" s="1008">
        <v>7</v>
      </c>
      <c r="D1667" s="1009">
        <v>19329999</v>
      </c>
      <c r="E1667" s="1009">
        <v>19320700</v>
      </c>
      <c r="F1667" s="1007" t="s">
        <v>2998</v>
      </c>
      <c r="G1667" s="1007">
        <v>7</v>
      </c>
      <c r="H1667" s="1010">
        <v>99999999</v>
      </c>
      <c r="I1667" s="1009">
        <v>19320700</v>
      </c>
      <c r="J1667" s="1007" t="s">
        <v>2998</v>
      </c>
      <c r="O1667" s="1007" t="s">
        <v>648</v>
      </c>
      <c r="P1667" s="1007" t="s">
        <v>648</v>
      </c>
      <c r="S1667" s="1008" t="s">
        <v>650</v>
      </c>
      <c r="T1667" s="1008" t="s">
        <v>654</v>
      </c>
      <c r="U1667" s="1008" t="s">
        <v>649</v>
      </c>
      <c r="V1667" s="1008" t="s">
        <v>648</v>
      </c>
      <c r="W1667" s="1008" t="s">
        <v>546</v>
      </c>
      <c r="X1667" s="1008" t="s">
        <v>670</v>
      </c>
      <c r="Y1667" s="1008" t="s">
        <v>670</v>
      </c>
      <c r="Z1667" s="1008" t="s">
        <v>670</v>
      </c>
      <c r="AA1667" s="1008" t="s">
        <v>670</v>
      </c>
      <c r="AB1667" s="1008" t="s">
        <v>670</v>
      </c>
      <c r="AC1667" s="1008" t="s">
        <v>670</v>
      </c>
      <c r="AD1667" s="1008" t="s">
        <v>670</v>
      </c>
      <c r="AE1667" s="1008"/>
      <c r="AF1667" s="1008" t="s">
        <v>670</v>
      </c>
      <c r="AG1667" s="1008"/>
      <c r="AH1667" s="1008"/>
      <c r="AI1667" s="1008"/>
    </row>
    <row r="1668" spans="1:35">
      <c r="A1668" s="1008">
        <v>24404</v>
      </c>
      <c r="B1668" s="1008">
        <v>5053</v>
      </c>
      <c r="C1668" s="1008">
        <v>7</v>
      </c>
      <c r="D1668" s="1009">
        <v>19329999</v>
      </c>
      <c r="E1668" s="1009">
        <v>19320800</v>
      </c>
      <c r="F1668" s="1007" t="s">
        <v>2997</v>
      </c>
      <c r="G1668" s="1007">
        <v>7</v>
      </c>
      <c r="H1668" s="1010">
        <v>99999999</v>
      </c>
      <c r="I1668" s="1009">
        <v>19320800</v>
      </c>
      <c r="J1668" s="1007" t="s">
        <v>2997</v>
      </c>
      <c r="O1668" s="1007" t="s">
        <v>648</v>
      </c>
      <c r="P1668" s="1007" t="s">
        <v>648</v>
      </c>
      <c r="S1668" s="1008" t="s">
        <v>650</v>
      </c>
      <c r="T1668" s="1008" t="s">
        <v>654</v>
      </c>
      <c r="U1668" s="1008" t="s">
        <v>649</v>
      </c>
      <c r="V1668" s="1008" t="s">
        <v>648</v>
      </c>
      <c r="W1668" s="1008" t="s">
        <v>546</v>
      </c>
      <c r="X1668" s="1008" t="s">
        <v>670</v>
      </c>
      <c r="Y1668" s="1008" t="s">
        <v>670</v>
      </c>
      <c r="Z1668" s="1008" t="s">
        <v>670</v>
      </c>
      <c r="AA1668" s="1008" t="s">
        <v>670</v>
      </c>
      <c r="AB1668" s="1008" t="s">
        <v>670</v>
      </c>
      <c r="AC1668" s="1008" t="s">
        <v>670</v>
      </c>
      <c r="AD1668" s="1008" t="s">
        <v>670</v>
      </c>
      <c r="AE1668" s="1008"/>
      <c r="AF1668" s="1008" t="s">
        <v>670</v>
      </c>
      <c r="AG1668" s="1008"/>
      <c r="AH1668" s="1008"/>
      <c r="AI1668" s="1008"/>
    </row>
    <row r="1669" spans="1:35">
      <c r="A1669" s="1008">
        <v>24405</v>
      </c>
      <c r="C1669" s="1008">
        <v>6</v>
      </c>
      <c r="D1669" s="1009">
        <v>19399999</v>
      </c>
      <c r="E1669" s="1009">
        <v>19329999</v>
      </c>
      <c r="F1669" s="1007" t="s">
        <v>2996</v>
      </c>
      <c r="O1669" s="1007" t="s">
        <v>648</v>
      </c>
      <c r="P1669" s="1007" t="s">
        <v>648</v>
      </c>
      <c r="S1669" s="1008" t="s">
        <v>650</v>
      </c>
      <c r="T1669" s="1008" t="s">
        <v>21</v>
      </c>
      <c r="U1669" s="1008" t="s">
        <v>649</v>
      </c>
      <c r="V1669" s="1008" t="s">
        <v>648</v>
      </c>
      <c r="W1669" s="1008" t="s">
        <v>546</v>
      </c>
      <c r="X1669" s="1008"/>
      <c r="Y1669" s="1008"/>
      <c r="Z1669" s="1008"/>
      <c r="AA1669" s="1008"/>
      <c r="AB1669" s="1008"/>
      <c r="AC1669" s="1008"/>
      <c r="AD1669" s="1008"/>
      <c r="AE1669" s="1008"/>
      <c r="AF1669" s="1008"/>
      <c r="AG1669" s="1008"/>
      <c r="AH1669" s="1008"/>
      <c r="AI1669" s="1008"/>
    </row>
    <row r="1670" spans="1:35">
      <c r="A1670" s="1008">
        <v>24406</v>
      </c>
      <c r="C1670" s="1008">
        <v>6</v>
      </c>
      <c r="D1670" s="1009">
        <v>19339999</v>
      </c>
      <c r="E1670" s="1009">
        <v>19330000</v>
      </c>
      <c r="F1670" s="1007" t="s">
        <v>2995</v>
      </c>
      <c r="O1670" s="1007" t="s">
        <v>648</v>
      </c>
      <c r="P1670" s="1007" t="s">
        <v>648</v>
      </c>
      <c r="S1670" s="1008" t="s">
        <v>650</v>
      </c>
      <c r="T1670" s="1008" t="s">
        <v>675</v>
      </c>
      <c r="U1670" s="1008" t="s">
        <v>649</v>
      </c>
      <c r="V1670" s="1008" t="s">
        <v>648</v>
      </c>
      <c r="W1670" s="1008" t="s">
        <v>546</v>
      </c>
      <c r="X1670" s="1008"/>
      <c r="Y1670" s="1008"/>
      <c r="Z1670" s="1008"/>
      <c r="AA1670" s="1008"/>
      <c r="AB1670" s="1008"/>
      <c r="AC1670" s="1008"/>
      <c r="AD1670" s="1008"/>
      <c r="AE1670" s="1008"/>
      <c r="AF1670" s="1008"/>
      <c r="AG1670" s="1008"/>
      <c r="AH1670" s="1008"/>
      <c r="AI1670" s="1008"/>
    </row>
    <row r="1671" spans="1:35">
      <c r="A1671" s="1008">
        <v>24407</v>
      </c>
      <c r="B1671" s="1008">
        <v>1799</v>
      </c>
      <c r="C1671" s="1008">
        <v>7</v>
      </c>
      <c r="D1671" s="1009">
        <v>19339999</v>
      </c>
      <c r="E1671" s="1009">
        <v>19330400</v>
      </c>
      <c r="F1671" s="1007" t="s">
        <v>2994</v>
      </c>
      <c r="G1671" s="1007">
        <v>7</v>
      </c>
      <c r="H1671" s="1010">
        <v>99999999</v>
      </c>
      <c r="I1671" s="1009">
        <v>19330400</v>
      </c>
      <c r="J1671" s="1007" t="s">
        <v>2994</v>
      </c>
      <c r="O1671" s="1007" t="s">
        <v>648</v>
      </c>
      <c r="P1671" s="1007" t="s">
        <v>648</v>
      </c>
      <c r="S1671" s="1008" t="s">
        <v>650</v>
      </c>
      <c r="T1671" s="1008" t="s">
        <v>654</v>
      </c>
      <c r="U1671" s="1008" t="s">
        <v>649</v>
      </c>
      <c r="V1671" s="1008" t="s">
        <v>648</v>
      </c>
      <c r="W1671" s="1008" t="s">
        <v>546</v>
      </c>
      <c r="X1671" s="1008" t="s">
        <v>670</v>
      </c>
      <c r="Y1671" s="1008" t="s">
        <v>670</v>
      </c>
      <c r="Z1671" s="1008" t="s">
        <v>670</v>
      </c>
      <c r="AA1671" s="1008" t="s">
        <v>670</v>
      </c>
      <c r="AB1671" s="1008" t="s">
        <v>670</v>
      </c>
      <c r="AC1671" s="1008" t="s">
        <v>670</v>
      </c>
      <c r="AD1671" s="1008" t="s">
        <v>670</v>
      </c>
      <c r="AE1671" s="1008"/>
      <c r="AF1671" s="1008" t="s">
        <v>670</v>
      </c>
      <c r="AG1671" s="1008"/>
      <c r="AH1671" s="1008"/>
      <c r="AI1671" s="1008"/>
    </row>
    <row r="1672" spans="1:35">
      <c r="A1672" s="1008">
        <v>24408</v>
      </c>
      <c r="B1672" s="1008">
        <v>703</v>
      </c>
      <c r="C1672" s="1008">
        <v>7</v>
      </c>
      <c r="D1672" s="1009">
        <v>19339999</v>
      </c>
      <c r="E1672" s="1009">
        <v>19330700</v>
      </c>
      <c r="F1672" s="1007" t="s">
        <v>2993</v>
      </c>
      <c r="G1672" s="1007">
        <v>8</v>
      </c>
      <c r="H1672" s="1010">
        <v>99999999</v>
      </c>
      <c r="I1672" s="1009">
        <v>19330700</v>
      </c>
      <c r="J1672" s="1007" t="s">
        <v>2993</v>
      </c>
      <c r="O1672" s="1007" t="s">
        <v>648</v>
      </c>
      <c r="P1672" s="1007" t="s">
        <v>648</v>
      </c>
      <c r="S1672" s="1008" t="s">
        <v>650</v>
      </c>
      <c r="T1672" s="1008" t="s">
        <v>654</v>
      </c>
      <c r="U1672" s="1008" t="s">
        <v>649</v>
      </c>
      <c r="V1672" s="1008" t="s">
        <v>648</v>
      </c>
      <c r="W1672" s="1008" t="s">
        <v>546</v>
      </c>
      <c r="X1672" s="1008" t="s">
        <v>670</v>
      </c>
      <c r="Y1672" s="1008" t="s">
        <v>670</v>
      </c>
      <c r="Z1672" s="1008" t="s">
        <v>670</v>
      </c>
      <c r="AA1672" s="1008" t="s">
        <v>670</v>
      </c>
      <c r="AB1672" s="1008" t="s">
        <v>670</v>
      </c>
      <c r="AC1672" s="1008" t="s">
        <v>670</v>
      </c>
      <c r="AD1672" s="1008" t="s">
        <v>670</v>
      </c>
      <c r="AE1672" s="1008"/>
      <c r="AF1672" s="1008" t="s">
        <v>670</v>
      </c>
      <c r="AG1672" s="1008"/>
      <c r="AH1672" s="1008"/>
      <c r="AI1672" s="1008"/>
    </row>
    <row r="1673" spans="1:35">
      <c r="A1673" s="1008">
        <v>24409</v>
      </c>
      <c r="B1673" s="1008">
        <v>5055</v>
      </c>
      <c r="C1673" s="1008">
        <v>7</v>
      </c>
      <c r="D1673" s="1009">
        <v>19339999</v>
      </c>
      <c r="E1673" s="1009">
        <v>19330800</v>
      </c>
      <c r="F1673" s="1007" t="s">
        <v>2992</v>
      </c>
      <c r="G1673" s="1007">
        <v>7</v>
      </c>
      <c r="H1673" s="1010">
        <v>99999999</v>
      </c>
      <c r="I1673" s="1009">
        <v>19330800</v>
      </c>
      <c r="J1673" s="1007" t="s">
        <v>2992</v>
      </c>
      <c r="O1673" s="1007" t="s">
        <v>648</v>
      </c>
      <c r="P1673" s="1007" t="s">
        <v>648</v>
      </c>
      <c r="S1673" s="1008" t="s">
        <v>650</v>
      </c>
      <c r="T1673" s="1008" t="s">
        <v>654</v>
      </c>
      <c r="U1673" s="1008" t="s">
        <v>649</v>
      </c>
      <c r="V1673" s="1008" t="s">
        <v>648</v>
      </c>
      <c r="W1673" s="1008" t="s">
        <v>546</v>
      </c>
      <c r="X1673" s="1008" t="s">
        <v>670</v>
      </c>
      <c r="Y1673" s="1008" t="s">
        <v>670</v>
      </c>
      <c r="Z1673" s="1008" t="s">
        <v>670</v>
      </c>
      <c r="AA1673" s="1008" t="s">
        <v>670</v>
      </c>
      <c r="AB1673" s="1008" t="s">
        <v>670</v>
      </c>
      <c r="AC1673" s="1008" t="s">
        <v>670</v>
      </c>
      <c r="AD1673" s="1008" t="s">
        <v>670</v>
      </c>
      <c r="AE1673" s="1008"/>
      <c r="AF1673" s="1008" t="s">
        <v>670</v>
      </c>
      <c r="AG1673" s="1008"/>
      <c r="AH1673" s="1008"/>
      <c r="AI1673" s="1008"/>
    </row>
    <row r="1674" spans="1:35">
      <c r="A1674" s="1008">
        <v>24410</v>
      </c>
      <c r="C1674" s="1008">
        <v>6</v>
      </c>
      <c r="D1674" s="1009">
        <v>19399999</v>
      </c>
      <c r="E1674" s="1009">
        <v>19339999</v>
      </c>
      <c r="F1674" s="1007" t="s">
        <v>2991</v>
      </c>
      <c r="O1674" s="1007" t="s">
        <v>648</v>
      </c>
      <c r="P1674" s="1007" t="s">
        <v>648</v>
      </c>
      <c r="S1674" s="1008" t="s">
        <v>650</v>
      </c>
      <c r="T1674" s="1008" t="s">
        <v>21</v>
      </c>
      <c r="U1674" s="1008" t="s">
        <v>649</v>
      </c>
      <c r="V1674" s="1008" t="s">
        <v>648</v>
      </c>
      <c r="W1674" s="1008" t="s">
        <v>546</v>
      </c>
      <c r="X1674" s="1008"/>
      <c r="Y1674" s="1008"/>
      <c r="Z1674" s="1008"/>
      <c r="AA1674" s="1008"/>
      <c r="AB1674" s="1008"/>
      <c r="AC1674" s="1008"/>
      <c r="AD1674" s="1008"/>
      <c r="AE1674" s="1008"/>
      <c r="AF1674" s="1008"/>
      <c r="AG1674" s="1008"/>
      <c r="AH1674" s="1008"/>
      <c r="AI1674" s="1008"/>
    </row>
    <row r="1675" spans="1:35">
      <c r="A1675" s="1008">
        <v>26509</v>
      </c>
      <c r="C1675" s="1008">
        <v>6</v>
      </c>
      <c r="D1675" s="1009">
        <v>19349999</v>
      </c>
      <c r="E1675" s="1009">
        <v>19340000</v>
      </c>
      <c r="F1675" s="1007" t="s">
        <v>2990</v>
      </c>
      <c r="O1675" s="1007" t="s">
        <v>648</v>
      </c>
      <c r="P1675" s="1007" t="s">
        <v>648</v>
      </c>
      <c r="S1675" s="1008" t="s">
        <v>650</v>
      </c>
      <c r="T1675" s="1008" t="s">
        <v>675</v>
      </c>
      <c r="U1675" s="1008" t="s">
        <v>649</v>
      </c>
      <c r="V1675" s="1008" t="s">
        <v>648</v>
      </c>
      <c r="W1675" s="1008" t="s">
        <v>546</v>
      </c>
      <c r="X1675" s="1008"/>
      <c r="Y1675" s="1008"/>
      <c r="Z1675" s="1008"/>
      <c r="AA1675" s="1008"/>
      <c r="AB1675" s="1008"/>
      <c r="AC1675" s="1008"/>
      <c r="AD1675" s="1008"/>
      <c r="AE1675" s="1008"/>
      <c r="AF1675" s="1008"/>
      <c r="AG1675" s="1008"/>
      <c r="AH1675" s="1008"/>
      <c r="AI1675" s="1008"/>
    </row>
    <row r="1676" spans="1:35">
      <c r="A1676" s="1008">
        <v>26510</v>
      </c>
      <c r="B1676" s="1008">
        <v>1268</v>
      </c>
      <c r="C1676" s="1008">
        <v>7</v>
      </c>
      <c r="D1676" s="1009">
        <v>19349999</v>
      </c>
      <c r="E1676" s="1009">
        <v>19340400</v>
      </c>
      <c r="F1676" s="1007" t="s">
        <v>2989</v>
      </c>
      <c r="G1676" s="1007">
        <v>8</v>
      </c>
      <c r="H1676" s="1010">
        <v>99999999</v>
      </c>
      <c r="I1676" s="1009">
        <v>19340400</v>
      </c>
      <c r="J1676" s="1007" t="s">
        <v>2989</v>
      </c>
      <c r="O1676" s="1007" t="s">
        <v>648</v>
      </c>
      <c r="P1676" s="1007" t="s">
        <v>648</v>
      </c>
      <c r="S1676" s="1008" t="s">
        <v>650</v>
      </c>
      <c r="T1676" s="1008" t="s">
        <v>654</v>
      </c>
      <c r="U1676" s="1008" t="s">
        <v>649</v>
      </c>
      <c r="V1676" s="1008" t="s">
        <v>648</v>
      </c>
      <c r="W1676" s="1008" t="s">
        <v>546</v>
      </c>
      <c r="X1676" s="1008" t="s">
        <v>670</v>
      </c>
      <c r="Y1676" s="1008" t="s">
        <v>670</v>
      </c>
      <c r="Z1676" s="1008" t="s">
        <v>670</v>
      </c>
      <c r="AA1676" s="1008" t="s">
        <v>670</v>
      </c>
      <c r="AB1676" s="1008" t="s">
        <v>670</v>
      </c>
      <c r="AC1676" s="1008" t="s">
        <v>670</v>
      </c>
      <c r="AD1676" s="1008" t="s">
        <v>670</v>
      </c>
      <c r="AE1676" s="1008"/>
      <c r="AF1676" s="1008" t="s">
        <v>670</v>
      </c>
      <c r="AG1676" s="1008"/>
      <c r="AH1676" s="1008"/>
      <c r="AI1676" s="1008"/>
    </row>
    <row r="1677" spans="1:35">
      <c r="A1677" s="1008">
        <v>26511</v>
      </c>
      <c r="B1677" s="1008">
        <v>1267</v>
      </c>
      <c r="C1677" s="1008">
        <v>7</v>
      </c>
      <c r="D1677" s="1009">
        <v>19349999</v>
      </c>
      <c r="E1677" s="1009">
        <v>19340700</v>
      </c>
      <c r="F1677" s="1007" t="s">
        <v>2988</v>
      </c>
      <c r="G1677" s="1007">
        <v>8</v>
      </c>
      <c r="H1677" s="1010">
        <v>99999999</v>
      </c>
      <c r="I1677" s="1009">
        <v>19340700</v>
      </c>
      <c r="J1677" s="1007" t="s">
        <v>2988</v>
      </c>
      <c r="O1677" s="1007" t="s">
        <v>648</v>
      </c>
      <c r="P1677" s="1007" t="s">
        <v>648</v>
      </c>
      <c r="S1677" s="1008" t="s">
        <v>650</v>
      </c>
      <c r="T1677" s="1008" t="s">
        <v>654</v>
      </c>
      <c r="U1677" s="1008" t="s">
        <v>649</v>
      </c>
      <c r="V1677" s="1008" t="s">
        <v>648</v>
      </c>
      <c r="W1677" s="1008" t="s">
        <v>546</v>
      </c>
      <c r="X1677" s="1008" t="s">
        <v>670</v>
      </c>
      <c r="Y1677" s="1008" t="s">
        <v>670</v>
      </c>
      <c r="Z1677" s="1008" t="s">
        <v>670</v>
      </c>
      <c r="AA1677" s="1008" t="s">
        <v>670</v>
      </c>
      <c r="AB1677" s="1008" t="s">
        <v>670</v>
      </c>
      <c r="AC1677" s="1008" t="s">
        <v>670</v>
      </c>
      <c r="AD1677" s="1008" t="s">
        <v>670</v>
      </c>
      <c r="AE1677" s="1008"/>
      <c r="AF1677" s="1008" t="s">
        <v>670</v>
      </c>
      <c r="AG1677" s="1008"/>
      <c r="AH1677" s="1008"/>
      <c r="AI1677" s="1008"/>
    </row>
    <row r="1678" spans="1:35">
      <c r="A1678" s="1008">
        <v>26512</v>
      </c>
      <c r="B1678" s="1008">
        <v>1269</v>
      </c>
      <c r="C1678" s="1008">
        <v>7</v>
      </c>
      <c r="D1678" s="1009">
        <v>19349999</v>
      </c>
      <c r="E1678" s="1009">
        <v>19340800</v>
      </c>
      <c r="F1678" s="1007" t="s">
        <v>2987</v>
      </c>
      <c r="G1678" s="1007">
        <v>8</v>
      </c>
      <c r="H1678" s="1010">
        <v>99999999</v>
      </c>
      <c r="I1678" s="1009">
        <v>19340800</v>
      </c>
      <c r="J1678" s="1007" t="s">
        <v>2987</v>
      </c>
      <c r="O1678" s="1007" t="s">
        <v>648</v>
      </c>
      <c r="P1678" s="1007" t="s">
        <v>648</v>
      </c>
      <c r="S1678" s="1008" t="s">
        <v>650</v>
      </c>
      <c r="T1678" s="1008" t="s">
        <v>654</v>
      </c>
      <c r="U1678" s="1008" t="s">
        <v>649</v>
      </c>
      <c r="V1678" s="1008" t="s">
        <v>648</v>
      </c>
      <c r="W1678" s="1008" t="s">
        <v>546</v>
      </c>
      <c r="X1678" s="1008" t="s">
        <v>670</v>
      </c>
      <c r="Y1678" s="1008" t="s">
        <v>670</v>
      </c>
      <c r="Z1678" s="1008" t="s">
        <v>670</v>
      </c>
      <c r="AA1678" s="1008" t="s">
        <v>670</v>
      </c>
      <c r="AB1678" s="1008" t="s">
        <v>670</v>
      </c>
      <c r="AC1678" s="1008" t="s">
        <v>670</v>
      </c>
      <c r="AD1678" s="1008" t="s">
        <v>670</v>
      </c>
      <c r="AE1678" s="1008"/>
      <c r="AF1678" s="1008" t="s">
        <v>670</v>
      </c>
      <c r="AG1678" s="1008"/>
      <c r="AH1678" s="1008"/>
      <c r="AI1678" s="1008"/>
    </row>
    <row r="1679" spans="1:35">
      <c r="A1679" s="1008">
        <v>26508</v>
      </c>
      <c r="C1679" s="1008">
        <v>6</v>
      </c>
      <c r="D1679" s="1009">
        <v>19399999</v>
      </c>
      <c r="E1679" s="1009">
        <v>19349999</v>
      </c>
      <c r="F1679" s="1007" t="s">
        <v>2986</v>
      </c>
      <c r="O1679" s="1007" t="s">
        <v>648</v>
      </c>
      <c r="P1679" s="1007" t="s">
        <v>648</v>
      </c>
      <c r="S1679" s="1008" t="s">
        <v>650</v>
      </c>
      <c r="T1679" s="1008" t="s">
        <v>21</v>
      </c>
      <c r="U1679" s="1008" t="s">
        <v>649</v>
      </c>
      <c r="V1679" s="1008" t="s">
        <v>648</v>
      </c>
      <c r="W1679" s="1008" t="s">
        <v>546</v>
      </c>
      <c r="X1679" s="1008"/>
      <c r="Y1679" s="1008"/>
      <c r="Z1679" s="1008"/>
      <c r="AA1679" s="1008"/>
      <c r="AB1679" s="1008"/>
      <c r="AC1679" s="1008"/>
      <c r="AD1679" s="1008"/>
      <c r="AE1679" s="1008"/>
      <c r="AF1679" s="1008"/>
      <c r="AG1679" s="1008"/>
      <c r="AH1679" s="1008"/>
      <c r="AI1679" s="1008"/>
    </row>
    <row r="1680" spans="1:35">
      <c r="A1680" s="1008">
        <v>24411</v>
      </c>
      <c r="C1680" s="1008">
        <v>5</v>
      </c>
      <c r="D1680" s="1009">
        <v>19499999</v>
      </c>
      <c r="E1680" s="1009">
        <v>19399999</v>
      </c>
      <c r="F1680" s="1007" t="s">
        <v>2578</v>
      </c>
      <c r="O1680" s="1007" t="s">
        <v>648</v>
      </c>
      <c r="P1680" s="1007" t="s">
        <v>648</v>
      </c>
      <c r="S1680" s="1008" t="s">
        <v>650</v>
      </c>
      <c r="T1680" s="1008" t="s">
        <v>21</v>
      </c>
      <c r="U1680" s="1008" t="s">
        <v>649</v>
      </c>
      <c r="V1680" s="1008" t="s">
        <v>648</v>
      </c>
      <c r="W1680" s="1008" t="s">
        <v>546</v>
      </c>
      <c r="X1680" s="1008"/>
      <c r="Y1680" s="1008"/>
      <c r="Z1680" s="1008"/>
      <c r="AA1680" s="1008"/>
      <c r="AB1680" s="1008"/>
      <c r="AC1680" s="1008"/>
      <c r="AD1680" s="1008"/>
      <c r="AE1680" s="1008"/>
      <c r="AF1680" s="1008"/>
      <c r="AG1680" s="1008"/>
      <c r="AH1680" s="1008"/>
      <c r="AI1680" s="1008"/>
    </row>
    <row r="1681" spans="1:35">
      <c r="A1681" s="1008">
        <v>24412</v>
      </c>
      <c r="C1681" s="1008">
        <v>5</v>
      </c>
      <c r="D1681" s="1009">
        <v>19499900</v>
      </c>
      <c r="E1681" s="1009">
        <v>19400000</v>
      </c>
      <c r="F1681" s="1007" t="s">
        <v>2985</v>
      </c>
      <c r="O1681" s="1007" t="s">
        <v>648</v>
      </c>
      <c r="P1681" s="1007" t="s">
        <v>648</v>
      </c>
      <c r="S1681" s="1008" t="s">
        <v>650</v>
      </c>
      <c r="T1681" s="1008" t="s">
        <v>675</v>
      </c>
      <c r="U1681" s="1008" t="s">
        <v>649</v>
      </c>
      <c r="V1681" s="1008" t="s">
        <v>648</v>
      </c>
      <c r="W1681" s="1008" t="s">
        <v>546</v>
      </c>
      <c r="X1681" s="1008"/>
      <c r="Y1681" s="1008"/>
      <c r="Z1681" s="1008"/>
      <c r="AA1681" s="1008"/>
      <c r="AB1681" s="1008"/>
      <c r="AC1681" s="1008"/>
      <c r="AD1681" s="1008"/>
      <c r="AE1681" s="1008"/>
      <c r="AF1681" s="1008"/>
      <c r="AG1681" s="1008"/>
      <c r="AH1681" s="1008"/>
      <c r="AI1681" s="1008"/>
    </row>
    <row r="1682" spans="1:35">
      <c r="A1682" s="1008">
        <v>24413</v>
      </c>
      <c r="C1682" s="1008">
        <v>6</v>
      </c>
      <c r="D1682" s="1009">
        <v>19419999</v>
      </c>
      <c r="E1682" s="1009">
        <v>19410000</v>
      </c>
      <c r="F1682" s="1007" t="s">
        <v>2984</v>
      </c>
      <c r="O1682" s="1007" t="s">
        <v>648</v>
      </c>
      <c r="P1682" s="1007" t="s">
        <v>648</v>
      </c>
      <c r="S1682" s="1008" t="s">
        <v>650</v>
      </c>
      <c r="T1682" s="1008" t="s">
        <v>675</v>
      </c>
      <c r="U1682" s="1008" t="s">
        <v>649</v>
      </c>
      <c r="V1682" s="1008" t="s">
        <v>648</v>
      </c>
      <c r="W1682" s="1008" t="s">
        <v>546</v>
      </c>
      <c r="X1682" s="1008"/>
      <c r="Y1682" s="1008"/>
      <c r="Z1682" s="1008"/>
      <c r="AA1682" s="1008"/>
      <c r="AB1682" s="1008"/>
      <c r="AC1682" s="1008"/>
      <c r="AD1682" s="1008"/>
      <c r="AE1682" s="1008"/>
      <c r="AF1682" s="1008"/>
      <c r="AG1682" s="1008"/>
      <c r="AH1682" s="1008"/>
      <c r="AI1682" s="1008"/>
    </row>
    <row r="1683" spans="1:35">
      <c r="A1683" s="1008">
        <v>24414</v>
      </c>
      <c r="B1683" s="1008">
        <v>1805</v>
      </c>
      <c r="C1683" s="1008">
        <v>7</v>
      </c>
      <c r="D1683" s="1009">
        <v>19419999</v>
      </c>
      <c r="E1683" s="1009">
        <v>19410700</v>
      </c>
      <c r="F1683" s="1007" t="s">
        <v>2983</v>
      </c>
      <c r="G1683" s="1007">
        <v>7</v>
      </c>
      <c r="H1683" s="1010">
        <v>99999999</v>
      </c>
      <c r="I1683" s="1009">
        <v>19410700</v>
      </c>
      <c r="J1683" s="1007" t="s">
        <v>2983</v>
      </c>
      <c r="O1683" s="1007" t="s">
        <v>648</v>
      </c>
      <c r="P1683" s="1007" t="s">
        <v>648</v>
      </c>
      <c r="S1683" s="1008" t="s">
        <v>650</v>
      </c>
      <c r="T1683" s="1008" t="s">
        <v>654</v>
      </c>
      <c r="U1683" s="1008" t="s">
        <v>649</v>
      </c>
      <c r="V1683" s="1008" t="s">
        <v>648</v>
      </c>
      <c r="W1683" s="1008" t="s">
        <v>546</v>
      </c>
      <c r="X1683" s="1008" t="s">
        <v>670</v>
      </c>
      <c r="Y1683" s="1008" t="s">
        <v>670</v>
      </c>
      <c r="Z1683" s="1008" t="s">
        <v>670</v>
      </c>
      <c r="AA1683" s="1008" t="s">
        <v>670</v>
      </c>
      <c r="AB1683" s="1008" t="s">
        <v>670</v>
      </c>
      <c r="AC1683" s="1008" t="s">
        <v>670</v>
      </c>
      <c r="AD1683" s="1008" t="s">
        <v>670</v>
      </c>
      <c r="AE1683" s="1008"/>
      <c r="AF1683" s="1008" t="s">
        <v>670</v>
      </c>
      <c r="AG1683" s="1008"/>
      <c r="AH1683" s="1008"/>
      <c r="AI1683" s="1008"/>
    </row>
    <row r="1684" spans="1:35">
      <c r="A1684" s="1008">
        <v>24415</v>
      </c>
      <c r="B1684" s="1008">
        <v>5061</v>
      </c>
      <c r="C1684" s="1008">
        <v>7</v>
      </c>
      <c r="D1684" s="1009">
        <v>19419999</v>
      </c>
      <c r="E1684" s="1009">
        <v>19410800</v>
      </c>
      <c r="F1684" s="1007" t="s">
        <v>2982</v>
      </c>
      <c r="G1684" s="1007">
        <v>7</v>
      </c>
      <c r="H1684" s="1010">
        <v>99999999</v>
      </c>
      <c r="I1684" s="1009">
        <v>19410800</v>
      </c>
      <c r="J1684" s="1007" t="s">
        <v>2982</v>
      </c>
      <c r="O1684" s="1007" t="s">
        <v>648</v>
      </c>
      <c r="P1684" s="1007" t="s">
        <v>648</v>
      </c>
      <c r="S1684" s="1008" t="s">
        <v>650</v>
      </c>
      <c r="T1684" s="1008" t="s">
        <v>654</v>
      </c>
      <c r="U1684" s="1008" t="s">
        <v>649</v>
      </c>
      <c r="V1684" s="1008" t="s">
        <v>648</v>
      </c>
      <c r="W1684" s="1008" t="s">
        <v>546</v>
      </c>
      <c r="X1684" s="1008" t="s">
        <v>670</v>
      </c>
      <c r="Y1684" s="1008" t="s">
        <v>670</v>
      </c>
      <c r="Z1684" s="1008" t="s">
        <v>670</v>
      </c>
      <c r="AA1684" s="1008" t="s">
        <v>670</v>
      </c>
      <c r="AB1684" s="1008" t="s">
        <v>670</v>
      </c>
      <c r="AC1684" s="1008" t="s">
        <v>670</v>
      </c>
      <c r="AD1684" s="1008" t="s">
        <v>670</v>
      </c>
      <c r="AE1684" s="1008"/>
      <c r="AF1684" s="1008" t="s">
        <v>670</v>
      </c>
      <c r="AG1684" s="1008"/>
      <c r="AH1684" s="1008"/>
      <c r="AI1684" s="1008"/>
    </row>
    <row r="1685" spans="1:35">
      <c r="A1685" s="1008">
        <v>24416</v>
      </c>
      <c r="C1685" s="1008">
        <v>6</v>
      </c>
      <c r="D1685" s="1009">
        <v>19499900</v>
      </c>
      <c r="E1685" s="1009">
        <v>19419999</v>
      </c>
      <c r="F1685" s="1007" t="s">
        <v>2981</v>
      </c>
      <c r="O1685" s="1007" t="s">
        <v>648</v>
      </c>
      <c r="P1685" s="1007" t="s">
        <v>648</v>
      </c>
      <c r="S1685" s="1008" t="s">
        <v>650</v>
      </c>
      <c r="T1685" s="1008" t="s">
        <v>21</v>
      </c>
      <c r="U1685" s="1008" t="s">
        <v>649</v>
      </c>
      <c r="V1685" s="1008" t="s">
        <v>648</v>
      </c>
      <c r="W1685" s="1008" t="s">
        <v>546</v>
      </c>
      <c r="X1685" s="1008"/>
      <c r="Y1685" s="1008"/>
      <c r="Z1685" s="1008"/>
      <c r="AA1685" s="1008"/>
      <c r="AB1685" s="1008"/>
      <c r="AC1685" s="1008"/>
      <c r="AD1685" s="1008"/>
      <c r="AE1685" s="1008"/>
      <c r="AF1685" s="1008"/>
      <c r="AG1685" s="1008"/>
      <c r="AH1685" s="1008"/>
      <c r="AI1685" s="1008"/>
    </row>
    <row r="1686" spans="1:35">
      <c r="A1686" s="1008">
        <v>24417</v>
      </c>
      <c r="C1686" s="1008">
        <v>6</v>
      </c>
      <c r="D1686" s="1009">
        <v>19429999</v>
      </c>
      <c r="E1686" s="1009">
        <v>19420000</v>
      </c>
      <c r="F1686" s="1007" t="s">
        <v>2980</v>
      </c>
      <c r="O1686" s="1007" t="s">
        <v>648</v>
      </c>
      <c r="P1686" s="1007" t="s">
        <v>648</v>
      </c>
      <c r="S1686" s="1008" t="s">
        <v>650</v>
      </c>
      <c r="T1686" s="1008" t="s">
        <v>675</v>
      </c>
      <c r="U1686" s="1008" t="s">
        <v>649</v>
      </c>
      <c r="V1686" s="1008" t="s">
        <v>648</v>
      </c>
      <c r="W1686" s="1008" t="s">
        <v>546</v>
      </c>
      <c r="X1686" s="1008"/>
      <c r="Y1686" s="1008"/>
      <c r="Z1686" s="1008"/>
      <c r="AA1686" s="1008"/>
      <c r="AB1686" s="1008"/>
      <c r="AC1686" s="1008"/>
      <c r="AD1686" s="1008"/>
      <c r="AE1686" s="1008"/>
      <c r="AF1686" s="1008"/>
      <c r="AG1686" s="1008"/>
      <c r="AH1686" s="1008"/>
      <c r="AI1686" s="1008"/>
    </row>
    <row r="1687" spans="1:35">
      <c r="A1687" s="1008">
        <v>24418</v>
      </c>
      <c r="B1687" s="1008">
        <v>1807</v>
      </c>
      <c r="C1687" s="1008">
        <v>7</v>
      </c>
      <c r="D1687" s="1009">
        <v>19429999</v>
      </c>
      <c r="E1687" s="1009">
        <v>19420700</v>
      </c>
      <c r="F1687" s="1007" t="s">
        <v>2979</v>
      </c>
      <c r="G1687" s="1007">
        <v>7</v>
      </c>
      <c r="H1687" s="1010">
        <v>99999999</v>
      </c>
      <c r="I1687" s="1009">
        <v>19420700</v>
      </c>
      <c r="J1687" s="1007" t="s">
        <v>2979</v>
      </c>
      <c r="O1687" s="1007" t="s">
        <v>648</v>
      </c>
      <c r="P1687" s="1007" t="s">
        <v>648</v>
      </c>
      <c r="S1687" s="1008" t="s">
        <v>650</v>
      </c>
      <c r="T1687" s="1008" t="s">
        <v>654</v>
      </c>
      <c r="U1687" s="1008" t="s">
        <v>649</v>
      </c>
      <c r="V1687" s="1008" t="s">
        <v>648</v>
      </c>
      <c r="W1687" s="1008" t="s">
        <v>546</v>
      </c>
      <c r="X1687" s="1008" t="s">
        <v>670</v>
      </c>
      <c r="Y1687" s="1008" t="s">
        <v>670</v>
      </c>
      <c r="Z1687" s="1008" t="s">
        <v>670</v>
      </c>
      <c r="AA1687" s="1008" t="s">
        <v>670</v>
      </c>
      <c r="AB1687" s="1008" t="s">
        <v>670</v>
      </c>
      <c r="AC1687" s="1008" t="s">
        <v>670</v>
      </c>
      <c r="AD1687" s="1008" t="s">
        <v>670</v>
      </c>
      <c r="AE1687" s="1008"/>
      <c r="AF1687" s="1008" t="s">
        <v>670</v>
      </c>
      <c r="AG1687" s="1008"/>
      <c r="AH1687" s="1008"/>
      <c r="AI1687" s="1008"/>
    </row>
    <row r="1688" spans="1:35">
      <c r="A1688" s="1008">
        <v>24419</v>
      </c>
      <c r="B1688" s="1008">
        <v>5063</v>
      </c>
      <c r="C1688" s="1008">
        <v>7</v>
      </c>
      <c r="D1688" s="1009">
        <v>19429999</v>
      </c>
      <c r="E1688" s="1009">
        <v>19420800</v>
      </c>
      <c r="F1688" s="1007" t="s">
        <v>2978</v>
      </c>
      <c r="G1688" s="1007">
        <v>7</v>
      </c>
      <c r="H1688" s="1010">
        <v>99999999</v>
      </c>
      <c r="I1688" s="1009">
        <v>19420800</v>
      </c>
      <c r="J1688" s="1007" t="s">
        <v>2978</v>
      </c>
      <c r="O1688" s="1007" t="s">
        <v>648</v>
      </c>
      <c r="P1688" s="1007" t="s">
        <v>648</v>
      </c>
      <c r="S1688" s="1008" t="s">
        <v>650</v>
      </c>
      <c r="T1688" s="1008" t="s">
        <v>654</v>
      </c>
      <c r="U1688" s="1008" t="s">
        <v>649</v>
      </c>
      <c r="V1688" s="1008" t="s">
        <v>648</v>
      </c>
      <c r="W1688" s="1008" t="s">
        <v>546</v>
      </c>
      <c r="X1688" s="1008" t="s">
        <v>670</v>
      </c>
      <c r="Y1688" s="1008" t="s">
        <v>670</v>
      </c>
      <c r="Z1688" s="1008" t="s">
        <v>670</v>
      </c>
      <c r="AA1688" s="1008" t="s">
        <v>670</v>
      </c>
      <c r="AB1688" s="1008" t="s">
        <v>670</v>
      </c>
      <c r="AC1688" s="1008" t="s">
        <v>670</v>
      </c>
      <c r="AD1688" s="1008" t="s">
        <v>670</v>
      </c>
      <c r="AE1688" s="1008"/>
      <c r="AF1688" s="1008" t="s">
        <v>670</v>
      </c>
      <c r="AG1688" s="1008"/>
      <c r="AH1688" s="1008"/>
      <c r="AI1688" s="1008"/>
    </row>
    <row r="1689" spans="1:35">
      <c r="A1689" s="1008">
        <v>24420</v>
      </c>
      <c r="C1689" s="1008">
        <v>6</v>
      </c>
      <c r="D1689" s="1009">
        <v>19499900</v>
      </c>
      <c r="E1689" s="1009">
        <v>19429999</v>
      </c>
      <c r="F1689" s="1007" t="s">
        <v>2977</v>
      </c>
      <c r="O1689" s="1007" t="s">
        <v>648</v>
      </c>
      <c r="P1689" s="1007" t="s">
        <v>648</v>
      </c>
      <c r="S1689" s="1008" t="s">
        <v>650</v>
      </c>
      <c r="T1689" s="1008" t="s">
        <v>21</v>
      </c>
      <c r="U1689" s="1008" t="s">
        <v>649</v>
      </c>
      <c r="V1689" s="1008" t="s">
        <v>648</v>
      </c>
      <c r="W1689" s="1008" t="s">
        <v>546</v>
      </c>
      <c r="X1689" s="1008"/>
      <c r="Y1689" s="1008"/>
      <c r="Z1689" s="1008"/>
      <c r="AA1689" s="1008"/>
      <c r="AB1689" s="1008"/>
      <c r="AC1689" s="1008"/>
      <c r="AD1689" s="1008"/>
      <c r="AE1689" s="1008"/>
      <c r="AF1689" s="1008"/>
      <c r="AG1689" s="1008"/>
      <c r="AH1689" s="1008"/>
      <c r="AI1689" s="1008"/>
    </row>
    <row r="1690" spans="1:35">
      <c r="A1690" s="1008">
        <v>24421</v>
      </c>
      <c r="C1690" s="1008">
        <v>5</v>
      </c>
      <c r="D1690" s="1009">
        <v>19499999</v>
      </c>
      <c r="E1690" s="1009">
        <v>19499900</v>
      </c>
      <c r="F1690" s="1007" t="s">
        <v>2976</v>
      </c>
      <c r="O1690" s="1007" t="s">
        <v>648</v>
      </c>
      <c r="P1690" s="1007" t="s">
        <v>648</v>
      </c>
      <c r="S1690" s="1008" t="s">
        <v>650</v>
      </c>
      <c r="T1690" s="1008" t="s">
        <v>21</v>
      </c>
      <c r="U1690" s="1008" t="s">
        <v>649</v>
      </c>
      <c r="V1690" s="1008" t="s">
        <v>648</v>
      </c>
      <c r="W1690" s="1008" t="s">
        <v>546</v>
      </c>
      <c r="X1690" s="1008"/>
      <c r="Y1690" s="1008"/>
      <c r="Z1690" s="1008"/>
      <c r="AA1690" s="1008"/>
      <c r="AB1690" s="1008"/>
      <c r="AC1690" s="1008"/>
      <c r="AD1690" s="1008"/>
      <c r="AE1690" s="1008"/>
      <c r="AF1690" s="1008"/>
      <c r="AG1690" s="1008"/>
      <c r="AH1690" s="1008"/>
      <c r="AI1690" s="1008"/>
    </row>
    <row r="1691" spans="1:35">
      <c r="A1691" s="1008">
        <v>24422</v>
      </c>
      <c r="C1691" s="1008">
        <v>4</v>
      </c>
      <c r="D1691" s="1009">
        <v>19999998</v>
      </c>
      <c r="E1691" s="1009">
        <v>19499999</v>
      </c>
      <c r="F1691" s="1007" t="s">
        <v>2975</v>
      </c>
      <c r="O1691" s="1007" t="s">
        <v>648</v>
      </c>
      <c r="P1691" s="1007" t="s">
        <v>648</v>
      </c>
      <c r="S1691" s="1008" t="s">
        <v>650</v>
      </c>
      <c r="T1691" s="1008" t="s">
        <v>21</v>
      </c>
      <c r="U1691" s="1008" t="s">
        <v>649</v>
      </c>
      <c r="V1691" s="1008" t="s">
        <v>648</v>
      </c>
      <c r="W1691" s="1008" t="s">
        <v>546</v>
      </c>
      <c r="X1691" s="1008"/>
      <c r="Y1691" s="1008"/>
      <c r="Z1691" s="1008"/>
      <c r="AA1691" s="1008"/>
      <c r="AB1691" s="1008"/>
      <c r="AC1691" s="1008"/>
      <c r="AD1691" s="1008"/>
      <c r="AE1691" s="1008"/>
      <c r="AF1691" s="1008"/>
      <c r="AG1691" s="1008"/>
      <c r="AH1691" s="1008"/>
      <c r="AI1691" s="1008"/>
    </row>
    <row r="1692" spans="1:35">
      <c r="A1692" s="1008">
        <v>24423</v>
      </c>
      <c r="C1692" s="1008">
        <v>4</v>
      </c>
      <c r="D1692" s="1009">
        <v>19599999</v>
      </c>
      <c r="E1692" s="1009">
        <v>19500000</v>
      </c>
      <c r="F1692" s="1007" t="s">
        <v>2974</v>
      </c>
      <c r="O1692" s="1007" t="s">
        <v>648</v>
      </c>
      <c r="P1692" s="1007" t="s">
        <v>648</v>
      </c>
      <c r="S1692" s="1008" t="s">
        <v>650</v>
      </c>
      <c r="T1692" s="1008" t="s">
        <v>675</v>
      </c>
      <c r="U1692" s="1008" t="s">
        <v>649</v>
      </c>
      <c r="V1692" s="1008" t="s">
        <v>648</v>
      </c>
      <c r="W1692" s="1008" t="s">
        <v>546</v>
      </c>
      <c r="X1692" s="1008"/>
      <c r="Y1692" s="1008"/>
      <c r="Z1692" s="1008"/>
      <c r="AA1692" s="1008"/>
      <c r="AB1692" s="1008"/>
      <c r="AC1692" s="1008"/>
      <c r="AD1692" s="1008"/>
      <c r="AE1692" s="1008"/>
      <c r="AF1692" s="1008"/>
      <c r="AG1692" s="1008"/>
      <c r="AH1692" s="1008"/>
      <c r="AI1692" s="1008"/>
    </row>
    <row r="1693" spans="1:35">
      <c r="A1693" s="1008">
        <v>24424</v>
      </c>
      <c r="C1693" s="1008">
        <v>5</v>
      </c>
      <c r="D1693" s="1009">
        <v>19599900</v>
      </c>
      <c r="E1693" s="1009">
        <v>19501000</v>
      </c>
      <c r="F1693" s="1007" t="s">
        <v>2973</v>
      </c>
      <c r="O1693" s="1007" t="s">
        <v>648</v>
      </c>
      <c r="P1693" s="1007" t="s">
        <v>648</v>
      </c>
      <c r="S1693" s="1008" t="s">
        <v>650</v>
      </c>
      <c r="T1693" s="1008" t="s">
        <v>675</v>
      </c>
      <c r="U1693" s="1008" t="s">
        <v>649</v>
      </c>
      <c r="V1693" s="1008" t="s">
        <v>648</v>
      </c>
      <c r="W1693" s="1008" t="s">
        <v>546</v>
      </c>
      <c r="X1693" s="1008"/>
      <c r="Y1693" s="1008"/>
      <c r="Z1693" s="1008"/>
      <c r="AA1693" s="1008"/>
      <c r="AB1693" s="1008"/>
      <c r="AC1693" s="1008"/>
      <c r="AD1693" s="1008"/>
      <c r="AE1693" s="1008"/>
      <c r="AF1693" s="1008"/>
      <c r="AG1693" s="1008"/>
      <c r="AH1693" s="1008"/>
      <c r="AI1693" s="1008"/>
    </row>
    <row r="1694" spans="1:35">
      <c r="A1694" s="1008">
        <v>24425</v>
      </c>
      <c r="B1694" s="1008">
        <v>1809</v>
      </c>
      <c r="C1694" s="1008">
        <v>6</v>
      </c>
      <c r="D1694" s="1009">
        <v>19599900</v>
      </c>
      <c r="E1694" s="1009">
        <v>19510700</v>
      </c>
      <c r="F1694" s="1007" t="s">
        <v>2972</v>
      </c>
      <c r="G1694" s="1007">
        <v>6</v>
      </c>
      <c r="H1694" s="1010">
        <v>99999999</v>
      </c>
      <c r="I1694" s="1009">
        <v>19510700</v>
      </c>
      <c r="J1694" s="1007" t="s">
        <v>2972</v>
      </c>
      <c r="O1694" s="1007" t="s">
        <v>648</v>
      </c>
      <c r="P1694" s="1007" t="s">
        <v>648</v>
      </c>
      <c r="S1694" s="1008" t="s">
        <v>650</v>
      </c>
      <c r="T1694" s="1008" t="s">
        <v>654</v>
      </c>
      <c r="U1694" s="1008" t="s">
        <v>649</v>
      </c>
      <c r="V1694" s="1008" t="s">
        <v>648</v>
      </c>
      <c r="W1694" s="1008" t="s">
        <v>546</v>
      </c>
      <c r="X1694" s="1008" t="s">
        <v>670</v>
      </c>
      <c r="Y1694" s="1008" t="s">
        <v>670</v>
      </c>
      <c r="Z1694" s="1008" t="s">
        <v>670</v>
      </c>
      <c r="AA1694" s="1008" t="s">
        <v>670</v>
      </c>
      <c r="AB1694" s="1008" t="s">
        <v>670</v>
      </c>
      <c r="AC1694" s="1008" t="s">
        <v>670</v>
      </c>
      <c r="AD1694" s="1008" t="s">
        <v>670</v>
      </c>
      <c r="AE1694" s="1008"/>
      <c r="AF1694" s="1008" t="s">
        <v>670</v>
      </c>
      <c r="AG1694" s="1008"/>
      <c r="AH1694" s="1008"/>
      <c r="AI1694" s="1008"/>
    </row>
    <row r="1695" spans="1:35">
      <c r="A1695" s="1008">
        <v>24426</v>
      </c>
      <c r="B1695" s="1008">
        <v>5068</v>
      </c>
      <c r="C1695" s="1008">
        <v>6</v>
      </c>
      <c r="D1695" s="1009">
        <v>19599900</v>
      </c>
      <c r="E1695" s="1009">
        <v>19510800</v>
      </c>
      <c r="F1695" s="1007" t="s">
        <v>2971</v>
      </c>
      <c r="G1695" s="1007">
        <v>6</v>
      </c>
      <c r="H1695" s="1010">
        <v>99999999</v>
      </c>
      <c r="I1695" s="1009">
        <v>19510800</v>
      </c>
      <c r="J1695" s="1007" t="s">
        <v>2971</v>
      </c>
      <c r="O1695" s="1007" t="s">
        <v>648</v>
      </c>
      <c r="P1695" s="1007" t="s">
        <v>648</v>
      </c>
      <c r="S1695" s="1008" t="s">
        <v>650</v>
      </c>
      <c r="T1695" s="1008" t="s">
        <v>654</v>
      </c>
      <c r="U1695" s="1008" t="s">
        <v>649</v>
      </c>
      <c r="V1695" s="1008" t="s">
        <v>648</v>
      </c>
      <c r="W1695" s="1008" t="s">
        <v>546</v>
      </c>
      <c r="X1695" s="1008" t="s">
        <v>670</v>
      </c>
      <c r="Y1695" s="1008" t="s">
        <v>670</v>
      </c>
      <c r="Z1695" s="1008" t="s">
        <v>670</v>
      </c>
      <c r="AA1695" s="1008" t="s">
        <v>670</v>
      </c>
      <c r="AB1695" s="1008" t="s">
        <v>670</v>
      </c>
      <c r="AC1695" s="1008" t="s">
        <v>670</v>
      </c>
      <c r="AD1695" s="1008" t="s">
        <v>670</v>
      </c>
      <c r="AE1695" s="1008"/>
      <c r="AF1695" s="1008" t="s">
        <v>670</v>
      </c>
      <c r="AG1695" s="1008"/>
      <c r="AH1695" s="1008"/>
      <c r="AI1695" s="1008"/>
    </row>
    <row r="1696" spans="1:35">
      <c r="A1696" s="1008">
        <v>24427</v>
      </c>
      <c r="C1696" s="1008">
        <v>5</v>
      </c>
      <c r="D1696" s="1009">
        <v>19599999</v>
      </c>
      <c r="E1696" s="1009">
        <v>19599900</v>
      </c>
      <c r="F1696" s="1007" t="s">
        <v>2970</v>
      </c>
      <c r="O1696" s="1007" t="s">
        <v>648</v>
      </c>
      <c r="P1696" s="1007" t="s">
        <v>648</v>
      </c>
      <c r="S1696" s="1008" t="s">
        <v>650</v>
      </c>
      <c r="T1696" s="1008" t="s">
        <v>21</v>
      </c>
      <c r="U1696" s="1008" t="s">
        <v>649</v>
      </c>
      <c r="V1696" s="1008" t="s">
        <v>648</v>
      </c>
      <c r="W1696" s="1008" t="s">
        <v>546</v>
      </c>
      <c r="X1696" s="1008"/>
      <c r="Y1696" s="1008"/>
      <c r="Z1696" s="1008"/>
      <c r="AA1696" s="1008"/>
      <c r="AB1696" s="1008"/>
      <c r="AC1696" s="1008"/>
      <c r="AD1696" s="1008"/>
      <c r="AE1696" s="1008"/>
      <c r="AF1696" s="1008"/>
      <c r="AG1696" s="1008"/>
      <c r="AH1696" s="1008"/>
      <c r="AI1696" s="1008"/>
    </row>
    <row r="1697" spans="1:35">
      <c r="A1697" s="1008">
        <v>24428</v>
      </c>
      <c r="C1697" s="1008">
        <v>4</v>
      </c>
      <c r="D1697" s="1009">
        <v>19999998</v>
      </c>
      <c r="E1697" s="1009">
        <v>19599999</v>
      </c>
      <c r="F1697" s="1007" t="s">
        <v>2969</v>
      </c>
      <c r="O1697" s="1007" t="s">
        <v>648</v>
      </c>
      <c r="P1697" s="1007" t="s">
        <v>648</v>
      </c>
      <c r="S1697" s="1008" t="s">
        <v>650</v>
      </c>
      <c r="T1697" s="1008" t="s">
        <v>21</v>
      </c>
      <c r="U1697" s="1008" t="s">
        <v>649</v>
      </c>
      <c r="V1697" s="1008" t="s">
        <v>648</v>
      </c>
      <c r="W1697" s="1008" t="s">
        <v>546</v>
      </c>
      <c r="X1697" s="1008"/>
      <c r="Y1697" s="1008"/>
      <c r="Z1697" s="1008"/>
      <c r="AA1697" s="1008"/>
      <c r="AB1697" s="1008"/>
      <c r="AC1697" s="1008"/>
      <c r="AD1697" s="1008"/>
      <c r="AE1697" s="1008"/>
      <c r="AF1697" s="1008"/>
      <c r="AG1697" s="1008"/>
      <c r="AH1697" s="1008"/>
      <c r="AI1697" s="1008"/>
    </row>
    <row r="1698" spans="1:35">
      <c r="A1698" s="1008">
        <v>24429</v>
      </c>
      <c r="C1698" s="1008">
        <v>4</v>
      </c>
      <c r="D1698" s="1009">
        <v>19999900</v>
      </c>
      <c r="E1698" s="1009">
        <v>19900000</v>
      </c>
      <c r="F1698" s="1007" t="s">
        <v>1960</v>
      </c>
      <c r="O1698" s="1007" t="s">
        <v>648</v>
      </c>
      <c r="P1698" s="1007" t="s">
        <v>648</v>
      </c>
      <c r="S1698" s="1008" t="s">
        <v>650</v>
      </c>
      <c r="T1698" s="1008" t="s">
        <v>675</v>
      </c>
      <c r="U1698" s="1008" t="s">
        <v>649</v>
      </c>
      <c r="V1698" s="1008" t="s">
        <v>648</v>
      </c>
      <c r="W1698" s="1008" t="s">
        <v>546</v>
      </c>
      <c r="X1698" s="1008"/>
      <c r="Y1698" s="1008"/>
      <c r="Z1698" s="1008"/>
      <c r="AA1698" s="1008"/>
      <c r="AB1698" s="1008"/>
      <c r="AC1698" s="1008"/>
      <c r="AD1698" s="1008"/>
      <c r="AE1698" s="1008"/>
      <c r="AF1698" s="1008"/>
      <c r="AG1698" s="1008"/>
      <c r="AH1698" s="1008"/>
      <c r="AI1698" s="1008"/>
    </row>
    <row r="1699" spans="1:35">
      <c r="A1699" s="1008">
        <v>24430</v>
      </c>
      <c r="C1699" s="1008">
        <v>5</v>
      </c>
      <c r="D1699" s="1009">
        <v>19919999</v>
      </c>
      <c r="E1699" s="1009">
        <v>19901000</v>
      </c>
      <c r="F1699" s="1007" t="s">
        <v>2968</v>
      </c>
      <c r="O1699" s="1007" t="s">
        <v>648</v>
      </c>
      <c r="P1699" s="1007" t="s">
        <v>648</v>
      </c>
      <c r="S1699" s="1008" t="s">
        <v>650</v>
      </c>
      <c r="T1699" s="1008" t="s">
        <v>675</v>
      </c>
      <c r="U1699" s="1008" t="s">
        <v>649</v>
      </c>
      <c r="V1699" s="1008" t="s">
        <v>648</v>
      </c>
      <c r="W1699" s="1008" t="s">
        <v>546</v>
      </c>
      <c r="X1699" s="1008"/>
      <c r="Y1699" s="1008"/>
      <c r="Z1699" s="1008"/>
      <c r="AA1699" s="1008"/>
      <c r="AB1699" s="1008"/>
      <c r="AC1699" s="1008"/>
      <c r="AD1699" s="1008"/>
      <c r="AE1699" s="1008"/>
      <c r="AF1699" s="1008"/>
      <c r="AG1699" s="1008"/>
      <c r="AH1699" s="1008"/>
      <c r="AI1699" s="1008"/>
    </row>
    <row r="1700" spans="1:35">
      <c r="A1700" s="1008">
        <v>24431</v>
      </c>
      <c r="B1700" s="1008">
        <v>1811</v>
      </c>
      <c r="C1700" s="1008">
        <v>6</v>
      </c>
      <c r="D1700" s="1009">
        <v>19919999</v>
      </c>
      <c r="E1700" s="1009">
        <v>19911000</v>
      </c>
      <c r="F1700" s="1007" t="s">
        <v>2967</v>
      </c>
      <c r="G1700" s="1007">
        <v>6</v>
      </c>
      <c r="H1700" s="1010">
        <v>99999999</v>
      </c>
      <c r="I1700" s="1009">
        <v>19911000</v>
      </c>
      <c r="J1700" s="1007" t="s">
        <v>2967</v>
      </c>
      <c r="O1700" s="1007" t="s">
        <v>648</v>
      </c>
      <c r="P1700" s="1007" t="s">
        <v>648</v>
      </c>
      <c r="S1700" s="1008" t="s">
        <v>650</v>
      </c>
      <c r="T1700" s="1008" t="s">
        <v>654</v>
      </c>
      <c r="U1700" s="1008" t="s">
        <v>649</v>
      </c>
      <c r="V1700" s="1008" t="s">
        <v>648</v>
      </c>
      <c r="W1700" s="1008" t="s">
        <v>546</v>
      </c>
      <c r="X1700" s="1008" t="s">
        <v>670</v>
      </c>
      <c r="Y1700" s="1008"/>
      <c r="Z1700" s="1008"/>
      <c r="AA1700" s="1008" t="s">
        <v>670</v>
      </c>
      <c r="AB1700" s="1008"/>
      <c r="AC1700" s="1008"/>
      <c r="AD1700" s="1008"/>
      <c r="AE1700" s="1008"/>
      <c r="AF1700" s="1008"/>
      <c r="AG1700" s="1008"/>
      <c r="AH1700" s="1008"/>
      <c r="AI1700" s="1008"/>
    </row>
    <row r="1701" spans="1:35">
      <c r="A1701" s="1008">
        <v>24433</v>
      </c>
      <c r="B1701" s="1008">
        <v>1264</v>
      </c>
      <c r="C1701" s="1008">
        <v>6</v>
      </c>
      <c r="D1701" s="1009">
        <v>19919999</v>
      </c>
      <c r="E1701" s="1009">
        <v>19913000</v>
      </c>
      <c r="F1701" s="1007" t="s">
        <v>2966</v>
      </c>
      <c r="G1701" s="1007">
        <v>8</v>
      </c>
      <c r="H1701" s="1010">
        <v>99999999</v>
      </c>
      <c r="I1701" s="1009">
        <v>19913000</v>
      </c>
      <c r="J1701" s="1007" t="s">
        <v>2966</v>
      </c>
      <c r="O1701" s="1007" t="s">
        <v>648</v>
      </c>
      <c r="P1701" s="1007" t="s">
        <v>648</v>
      </c>
      <c r="S1701" s="1008" t="s">
        <v>650</v>
      </c>
      <c r="T1701" s="1008" t="s">
        <v>654</v>
      </c>
      <c r="U1701" s="1008" t="s">
        <v>649</v>
      </c>
      <c r="V1701" s="1008" t="s">
        <v>648</v>
      </c>
      <c r="W1701" s="1008" t="s">
        <v>546</v>
      </c>
      <c r="X1701" s="1008" t="s">
        <v>670</v>
      </c>
      <c r="Y1701" s="1008" t="s">
        <v>670</v>
      </c>
      <c r="Z1701" s="1008" t="s">
        <v>670</v>
      </c>
      <c r="AA1701" s="1008" t="s">
        <v>670</v>
      </c>
      <c r="AB1701" s="1008" t="s">
        <v>670</v>
      </c>
      <c r="AC1701" s="1008" t="s">
        <v>670</v>
      </c>
      <c r="AD1701" s="1008" t="s">
        <v>670</v>
      </c>
      <c r="AE1701" s="1008"/>
      <c r="AF1701" s="1008" t="s">
        <v>670</v>
      </c>
      <c r="AG1701" s="1008" t="s">
        <v>670</v>
      </c>
      <c r="AH1701" s="1008"/>
      <c r="AI1701" s="1008"/>
    </row>
    <row r="1702" spans="1:35">
      <c r="A1702" s="1008">
        <v>24434</v>
      </c>
      <c r="B1702" s="1008">
        <v>1814</v>
      </c>
      <c r="C1702" s="1008">
        <v>6</v>
      </c>
      <c r="D1702" s="1009">
        <v>19919999</v>
      </c>
      <c r="E1702" s="1009">
        <v>19914000</v>
      </c>
      <c r="F1702" s="1007" t="s">
        <v>2965</v>
      </c>
      <c r="G1702" s="1007">
        <v>6</v>
      </c>
      <c r="H1702" s="1010">
        <v>99999999</v>
      </c>
      <c r="I1702" s="1009">
        <v>19914000</v>
      </c>
      <c r="J1702" s="1007" t="s">
        <v>2965</v>
      </c>
      <c r="O1702" s="1007" t="s">
        <v>648</v>
      </c>
      <c r="P1702" s="1007" t="s">
        <v>648</v>
      </c>
      <c r="S1702" s="1008" t="s">
        <v>650</v>
      </c>
      <c r="T1702" s="1008" t="s">
        <v>654</v>
      </c>
      <c r="U1702" s="1008" t="s">
        <v>649</v>
      </c>
      <c r="V1702" s="1008" t="s">
        <v>648</v>
      </c>
      <c r="W1702" s="1008" t="s">
        <v>546</v>
      </c>
      <c r="X1702" s="1008" t="s">
        <v>670</v>
      </c>
      <c r="Y1702" s="1008"/>
      <c r="Z1702" s="1008"/>
      <c r="AA1702" s="1008" t="s">
        <v>670</v>
      </c>
      <c r="AB1702" s="1008"/>
      <c r="AC1702" s="1008"/>
      <c r="AD1702" s="1008"/>
      <c r="AE1702" s="1008"/>
      <c r="AF1702" s="1008"/>
      <c r="AG1702" s="1008"/>
      <c r="AH1702" s="1008"/>
      <c r="AI1702" s="1008"/>
    </row>
    <row r="1703" spans="1:35">
      <c r="A1703" s="1008">
        <v>24435</v>
      </c>
      <c r="C1703" s="1008">
        <v>5</v>
      </c>
      <c r="D1703" s="1009">
        <v>19999900</v>
      </c>
      <c r="E1703" s="1009">
        <v>19919999</v>
      </c>
      <c r="F1703" s="1007" t="s">
        <v>2964</v>
      </c>
      <c r="O1703" s="1007" t="s">
        <v>648</v>
      </c>
      <c r="P1703" s="1007" t="s">
        <v>648</v>
      </c>
      <c r="S1703" s="1008" t="s">
        <v>650</v>
      </c>
      <c r="T1703" s="1008" t="s">
        <v>21</v>
      </c>
      <c r="U1703" s="1008" t="s">
        <v>649</v>
      </c>
      <c r="V1703" s="1008" t="s">
        <v>648</v>
      </c>
      <c r="W1703" s="1008" t="s">
        <v>546</v>
      </c>
      <c r="X1703" s="1008"/>
      <c r="Y1703" s="1008"/>
      <c r="Z1703" s="1008"/>
      <c r="AA1703" s="1008"/>
      <c r="AB1703" s="1008"/>
      <c r="AC1703" s="1008"/>
      <c r="AD1703" s="1008"/>
      <c r="AE1703" s="1008"/>
      <c r="AF1703" s="1008"/>
      <c r="AG1703" s="1008"/>
      <c r="AH1703" s="1008"/>
      <c r="AI1703" s="1008"/>
    </row>
    <row r="1704" spans="1:35">
      <c r="A1704" s="1008">
        <v>24436</v>
      </c>
      <c r="C1704" s="1008">
        <v>4</v>
      </c>
      <c r="D1704" s="1009">
        <v>19999998</v>
      </c>
      <c r="E1704" s="1009">
        <v>19999900</v>
      </c>
      <c r="F1704" s="1007" t="s">
        <v>2963</v>
      </c>
      <c r="O1704" s="1007" t="s">
        <v>648</v>
      </c>
      <c r="P1704" s="1007" t="s">
        <v>648</v>
      </c>
      <c r="S1704" s="1008" t="s">
        <v>650</v>
      </c>
      <c r="T1704" s="1008" t="s">
        <v>21</v>
      </c>
      <c r="U1704" s="1008" t="s">
        <v>649</v>
      </c>
      <c r="V1704" s="1008" t="s">
        <v>648</v>
      </c>
      <c r="W1704" s="1008" t="s">
        <v>546</v>
      </c>
      <c r="X1704" s="1008"/>
      <c r="Y1704" s="1008"/>
      <c r="Z1704" s="1008"/>
      <c r="AA1704" s="1008"/>
      <c r="AB1704" s="1008"/>
      <c r="AC1704" s="1008"/>
      <c r="AD1704" s="1008"/>
      <c r="AE1704" s="1008"/>
      <c r="AF1704" s="1008"/>
      <c r="AG1704" s="1008"/>
      <c r="AH1704" s="1008"/>
      <c r="AI1704" s="1008"/>
    </row>
    <row r="1705" spans="1:35">
      <c r="A1705" s="1008">
        <v>24437</v>
      </c>
      <c r="C1705" s="1008">
        <v>3</v>
      </c>
      <c r="D1705" s="1009">
        <v>19999999</v>
      </c>
      <c r="E1705" s="1009">
        <v>19999998</v>
      </c>
      <c r="F1705" s="1007" t="s">
        <v>2962</v>
      </c>
      <c r="O1705" s="1007" t="s">
        <v>648</v>
      </c>
      <c r="P1705" s="1007" t="s">
        <v>648</v>
      </c>
      <c r="S1705" s="1008" t="s">
        <v>650</v>
      </c>
      <c r="T1705" s="1008" t="s">
        <v>21</v>
      </c>
      <c r="U1705" s="1008" t="s">
        <v>649</v>
      </c>
      <c r="V1705" s="1008" t="s">
        <v>648</v>
      </c>
      <c r="W1705" s="1008" t="s">
        <v>546</v>
      </c>
      <c r="X1705" s="1008"/>
      <c r="Y1705" s="1008"/>
      <c r="Z1705" s="1008"/>
      <c r="AA1705" s="1008"/>
      <c r="AB1705" s="1008"/>
      <c r="AC1705" s="1008"/>
      <c r="AD1705" s="1008"/>
      <c r="AE1705" s="1008"/>
      <c r="AF1705" s="1008"/>
      <c r="AG1705" s="1008"/>
      <c r="AH1705" s="1008"/>
      <c r="AI1705" s="1008"/>
    </row>
    <row r="1706" spans="1:35">
      <c r="A1706" s="1008">
        <v>24438</v>
      </c>
      <c r="C1706" s="1008">
        <v>2</v>
      </c>
      <c r="D1706" s="1009">
        <v>39999999</v>
      </c>
      <c r="E1706" s="1009">
        <v>19999999</v>
      </c>
      <c r="F1706" s="1007" t="s">
        <v>2962</v>
      </c>
      <c r="O1706" s="1007" t="s">
        <v>648</v>
      </c>
      <c r="P1706" s="1007" t="s">
        <v>648</v>
      </c>
      <c r="S1706" s="1008" t="s">
        <v>650</v>
      </c>
      <c r="T1706" s="1008" t="s">
        <v>21</v>
      </c>
      <c r="U1706" s="1008" t="s">
        <v>649</v>
      </c>
      <c r="V1706" s="1008" t="s">
        <v>648</v>
      </c>
      <c r="W1706" s="1008" t="s">
        <v>546</v>
      </c>
      <c r="X1706" s="1008"/>
      <c r="Y1706" s="1008"/>
      <c r="Z1706" s="1008"/>
      <c r="AA1706" s="1008"/>
      <c r="AB1706" s="1008"/>
      <c r="AC1706" s="1008"/>
      <c r="AD1706" s="1008"/>
      <c r="AE1706" s="1008"/>
      <c r="AF1706" s="1008"/>
      <c r="AG1706" s="1008"/>
      <c r="AH1706" s="1008"/>
      <c r="AI1706" s="1008"/>
    </row>
    <row r="1707" spans="1:35">
      <c r="A1707" s="1008">
        <v>24439</v>
      </c>
      <c r="C1707" s="1008">
        <v>2</v>
      </c>
      <c r="D1707" s="1009">
        <v>39999998</v>
      </c>
      <c r="E1707" s="1009">
        <v>20000000</v>
      </c>
      <c r="F1707" s="1007" t="s">
        <v>2961</v>
      </c>
      <c r="O1707" s="1007" t="s">
        <v>648</v>
      </c>
      <c r="P1707" s="1007" t="s">
        <v>648</v>
      </c>
      <c r="S1707" s="1008" t="s">
        <v>657</v>
      </c>
      <c r="T1707" s="1008" t="s">
        <v>675</v>
      </c>
      <c r="U1707" s="1008" t="s">
        <v>649</v>
      </c>
      <c r="V1707" s="1008" t="s">
        <v>648</v>
      </c>
      <c r="W1707" s="1008" t="s">
        <v>546</v>
      </c>
      <c r="X1707" s="1008"/>
      <c r="Y1707" s="1008"/>
      <c r="Z1707" s="1008"/>
      <c r="AA1707" s="1008"/>
      <c r="AB1707" s="1008"/>
      <c r="AC1707" s="1008"/>
      <c r="AD1707" s="1008"/>
      <c r="AE1707" s="1008"/>
      <c r="AF1707" s="1008"/>
      <c r="AG1707" s="1008"/>
      <c r="AH1707" s="1008"/>
      <c r="AI1707" s="1008"/>
    </row>
    <row r="1708" spans="1:35">
      <c r="A1708" s="1008">
        <v>24440</v>
      </c>
      <c r="C1708" s="1008">
        <v>3</v>
      </c>
      <c r="D1708" s="1009">
        <v>29999999</v>
      </c>
      <c r="E1708" s="1009">
        <v>20001000</v>
      </c>
      <c r="F1708" s="1007" t="s">
        <v>2960</v>
      </c>
      <c r="O1708" s="1007" t="s">
        <v>648</v>
      </c>
      <c r="P1708" s="1007" t="s">
        <v>648</v>
      </c>
      <c r="S1708" s="1008" t="s">
        <v>657</v>
      </c>
      <c r="T1708" s="1008" t="s">
        <v>675</v>
      </c>
      <c r="U1708" s="1008" t="s">
        <v>649</v>
      </c>
      <c r="V1708" s="1008" t="s">
        <v>648</v>
      </c>
      <c r="W1708" s="1008" t="s">
        <v>546</v>
      </c>
      <c r="X1708" s="1008"/>
      <c r="Y1708" s="1008"/>
      <c r="Z1708" s="1008"/>
      <c r="AA1708" s="1008"/>
      <c r="AB1708" s="1008"/>
      <c r="AC1708" s="1008"/>
      <c r="AD1708" s="1008"/>
      <c r="AE1708" s="1008"/>
      <c r="AF1708" s="1008"/>
      <c r="AG1708" s="1008"/>
      <c r="AH1708" s="1008"/>
      <c r="AI1708" s="1008"/>
    </row>
    <row r="1709" spans="1:35">
      <c r="A1709" s="1008">
        <v>24441</v>
      </c>
      <c r="C1709" s="1008">
        <v>4</v>
      </c>
      <c r="D1709" s="1009">
        <v>20399999</v>
      </c>
      <c r="E1709" s="1009">
        <v>20100000</v>
      </c>
      <c r="F1709" s="1007" t="s">
        <v>2959</v>
      </c>
      <c r="O1709" s="1007" t="s">
        <v>648</v>
      </c>
      <c r="P1709" s="1007" t="s">
        <v>648</v>
      </c>
      <c r="S1709" s="1008" t="s">
        <v>657</v>
      </c>
      <c r="T1709" s="1008" t="s">
        <v>675</v>
      </c>
      <c r="U1709" s="1008" t="s">
        <v>649</v>
      </c>
      <c r="V1709" s="1008" t="s">
        <v>648</v>
      </c>
      <c r="W1709" s="1008" t="s">
        <v>546</v>
      </c>
      <c r="X1709" s="1008"/>
      <c r="Y1709" s="1008"/>
      <c r="Z1709" s="1008"/>
      <c r="AA1709" s="1008"/>
      <c r="AB1709" s="1008"/>
      <c r="AC1709" s="1008"/>
      <c r="AD1709" s="1008"/>
      <c r="AE1709" s="1008"/>
      <c r="AF1709" s="1008"/>
      <c r="AG1709" s="1008"/>
      <c r="AH1709" s="1008"/>
      <c r="AI1709" s="1008"/>
    </row>
    <row r="1710" spans="1:35">
      <c r="A1710" s="1008">
        <v>24442</v>
      </c>
      <c r="C1710" s="1008">
        <v>5</v>
      </c>
      <c r="D1710" s="1009">
        <v>20199999</v>
      </c>
      <c r="E1710" s="1009">
        <v>20101000</v>
      </c>
      <c r="F1710" s="1007" t="s">
        <v>2958</v>
      </c>
      <c r="O1710" s="1007" t="s">
        <v>648</v>
      </c>
      <c r="P1710" s="1007" t="s">
        <v>648</v>
      </c>
      <c r="S1710" s="1008" t="s">
        <v>657</v>
      </c>
      <c r="T1710" s="1008" t="s">
        <v>675</v>
      </c>
      <c r="U1710" s="1008" t="s">
        <v>649</v>
      </c>
      <c r="V1710" s="1008" t="s">
        <v>648</v>
      </c>
      <c r="W1710" s="1008" t="s">
        <v>546</v>
      </c>
      <c r="X1710" s="1008"/>
      <c r="Y1710" s="1008"/>
      <c r="Z1710" s="1008"/>
      <c r="AA1710" s="1008"/>
      <c r="AB1710" s="1008"/>
      <c r="AC1710" s="1008"/>
      <c r="AD1710" s="1008"/>
      <c r="AE1710" s="1008"/>
      <c r="AF1710" s="1008"/>
      <c r="AG1710" s="1008"/>
      <c r="AH1710" s="1008"/>
      <c r="AI1710" s="1008"/>
    </row>
    <row r="1711" spans="1:35">
      <c r="A1711" s="1008">
        <v>26497</v>
      </c>
      <c r="C1711" s="1008">
        <v>6</v>
      </c>
      <c r="D1711" s="1009">
        <v>20119999</v>
      </c>
      <c r="E1711" s="1009">
        <v>20110000</v>
      </c>
      <c r="F1711" s="1007" t="s">
        <v>2957</v>
      </c>
      <c r="O1711" s="1007" t="s">
        <v>648</v>
      </c>
      <c r="P1711" s="1007" t="s">
        <v>648</v>
      </c>
      <c r="S1711" s="1008" t="s">
        <v>657</v>
      </c>
      <c r="T1711" s="1008" t="s">
        <v>675</v>
      </c>
      <c r="U1711" s="1008" t="s">
        <v>649</v>
      </c>
      <c r="V1711" s="1008" t="s">
        <v>648</v>
      </c>
      <c r="W1711" s="1008" t="s">
        <v>546</v>
      </c>
      <c r="X1711" s="1008"/>
      <c r="Y1711" s="1008"/>
      <c r="Z1711" s="1008"/>
      <c r="AA1711" s="1008"/>
      <c r="AB1711" s="1008"/>
      <c r="AC1711" s="1008"/>
      <c r="AD1711" s="1008"/>
      <c r="AE1711" s="1008"/>
      <c r="AF1711" s="1008"/>
      <c r="AG1711" s="1008"/>
      <c r="AH1711" s="1008"/>
      <c r="AI1711" s="1008"/>
    </row>
    <row r="1712" spans="1:35">
      <c r="A1712" s="1008">
        <v>24443</v>
      </c>
      <c r="B1712" s="1008">
        <v>825</v>
      </c>
      <c r="C1712" s="1008">
        <v>7</v>
      </c>
      <c r="D1712" s="1009">
        <v>20119999</v>
      </c>
      <c r="E1712" s="1009">
        <v>20111000</v>
      </c>
      <c r="F1712" s="1007" t="s">
        <v>2956</v>
      </c>
      <c r="G1712" s="1007">
        <v>9</v>
      </c>
      <c r="H1712" s="1010">
        <v>99999999</v>
      </c>
      <c r="I1712" s="1009">
        <v>20111000</v>
      </c>
      <c r="J1712" s="1007" t="s">
        <v>2955</v>
      </c>
      <c r="O1712" s="1007" t="s">
        <v>648</v>
      </c>
      <c r="P1712" s="1007" t="s">
        <v>648</v>
      </c>
      <c r="S1712" s="1008" t="s">
        <v>657</v>
      </c>
      <c r="T1712" s="1008" t="s">
        <v>654</v>
      </c>
      <c r="U1712" s="1008" t="s">
        <v>649</v>
      </c>
      <c r="V1712" s="1008" t="s">
        <v>648</v>
      </c>
      <c r="W1712" s="1008" t="s">
        <v>546</v>
      </c>
      <c r="X1712" s="1008" t="s">
        <v>670</v>
      </c>
      <c r="Y1712" s="1008" t="s">
        <v>670</v>
      </c>
      <c r="Z1712" s="1008" t="s">
        <v>670</v>
      </c>
      <c r="AA1712" s="1008" t="s">
        <v>670</v>
      </c>
      <c r="AB1712" s="1008" t="s">
        <v>670</v>
      </c>
      <c r="AC1712" s="1008" t="s">
        <v>670</v>
      </c>
      <c r="AD1712" s="1008" t="s">
        <v>670</v>
      </c>
      <c r="AE1712" s="1008" t="s">
        <v>670</v>
      </c>
      <c r="AF1712" s="1008" t="s">
        <v>670</v>
      </c>
      <c r="AG1712" s="1008" t="s">
        <v>670</v>
      </c>
      <c r="AH1712" s="1008" t="s">
        <v>670</v>
      </c>
      <c r="AI1712" s="1008" t="s">
        <v>670</v>
      </c>
    </row>
    <row r="1713" spans="1:35">
      <c r="A1713" s="1008">
        <v>27713</v>
      </c>
      <c r="B1713" s="1008">
        <v>6535</v>
      </c>
      <c r="C1713" s="1008">
        <v>7</v>
      </c>
      <c r="D1713" s="1009">
        <v>20119999</v>
      </c>
      <c r="E1713" s="1009">
        <v>20111500</v>
      </c>
      <c r="F1713" s="1007" t="s">
        <v>2954</v>
      </c>
      <c r="G1713" s="1007">
        <v>9</v>
      </c>
      <c r="H1713" s="1010">
        <v>99999999</v>
      </c>
      <c r="I1713" s="1009">
        <v>20111500</v>
      </c>
      <c r="J1713" s="1007" t="s">
        <v>2953</v>
      </c>
      <c r="O1713" s="1007" t="s">
        <v>648</v>
      </c>
      <c r="P1713" s="1007" t="s">
        <v>648</v>
      </c>
      <c r="S1713" s="1008" t="s">
        <v>657</v>
      </c>
      <c r="T1713" s="1008" t="s">
        <v>654</v>
      </c>
      <c r="U1713" s="1008" t="s">
        <v>649</v>
      </c>
      <c r="V1713" s="1008" t="s">
        <v>648</v>
      </c>
      <c r="W1713" s="1008" t="s">
        <v>546</v>
      </c>
      <c r="X1713" s="1008" t="s">
        <v>670</v>
      </c>
      <c r="Y1713" s="1008" t="s">
        <v>670</v>
      </c>
      <c r="Z1713" s="1008" t="s">
        <v>670</v>
      </c>
      <c r="AA1713" s="1008" t="s">
        <v>670</v>
      </c>
      <c r="AB1713" s="1008" t="s">
        <v>670</v>
      </c>
      <c r="AC1713" s="1008" t="s">
        <v>670</v>
      </c>
      <c r="AD1713" s="1008" t="s">
        <v>670</v>
      </c>
      <c r="AE1713" s="1008" t="s">
        <v>670</v>
      </c>
      <c r="AF1713" s="1008" t="s">
        <v>670</v>
      </c>
      <c r="AG1713" s="1008" t="s">
        <v>670</v>
      </c>
      <c r="AH1713" s="1008" t="s">
        <v>670</v>
      </c>
      <c r="AI1713" s="1008" t="s">
        <v>670</v>
      </c>
    </row>
    <row r="1714" spans="1:35">
      <c r="A1714" s="1008">
        <v>24444</v>
      </c>
      <c r="B1714" s="1008">
        <v>523</v>
      </c>
      <c r="C1714" s="1008">
        <v>7</v>
      </c>
      <c r="D1714" s="1009">
        <v>20119999</v>
      </c>
      <c r="E1714" s="1009">
        <v>20112000</v>
      </c>
      <c r="F1714" s="1007" t="s">
        <v>2952</v>
      </c>
      <c r="G1714" s="1007">
        <v>8</v>
      </c>
      <c r="H1714" s="1010">
        <v>99999999</v>
      </c>
      <c r="I1714" s="1009">
        <v>20112000</v>
      </c>
      <c r="J1714" s="1007" t="s">
        <v>2951</v>
      </c>
      <c r="O1714" s="1007" t="s">
        <v>648</v>
      </c>
      <c r="P1714" s="1007" t="s">
        <v>648</v>
      </c>
      <c r="S1714" s="1008" t="s">
        <v>657</v>
      </c>
      <c r="T1714" s="1008" t="s">
        <v>654</v>
      </c>
      <c r="U1714" s="1008" t="s">
        <v>649</v>
      </c>
      <c r="V1714" s="1008" t="s">
        <v>648</v>
      </c>
      <c r="W1714" s="1008" t="s">
        <v>546</v>
      </c>
      <c r="X1714" s="1008" t="s">
        <v>670</v>
      </c>
      <c r="Y1714" s="1008" t="s">
        <v>670</v>
      </c>
      <c r="Z1714" s="1008"/>
      <c r="AA1714" s="1008"/>
      <c r="AB1714" s="1008"/>
      <c r="AC1714" s="1008"/>
      <c r="AD1714" s="1008" t="s">
        <v>670</v>
      </c>
      <c r="AE1714" s="1008"/>
      <c r="AF1714" s="1008" t="s">
        <v>670</v>
      </c>
      <c r="AG1714" s="1008"/>
      <c r="AH1714" s="1008"/>
      <c r="AI1714" s="1008"/>
    </row>
    <row r="1715" spans="1:35">
      <c r="A1715" s="1008">
        <v>24445</v>
      </c>
      <c r="B1715" s="1008">
        <v>1818</v>
      </c>
      <c r="C1715" s="1008">
        <v>7</v>
      </c>
      <c r="D1715" s="1009">
        <v>20119999</v>
      </c>
      <c r="E1715" s="1009">
        <v>20113000</v>
      </c>
      <c r="F1715" s="1007" t="s">
        <v>2950</v>
      </c>
      <c r="G1715" s="1007">
        <v>7</v>
      </c>
      <c r="H1715" s="1010">
        <v>99999999</v>
      </c>
      <c r="I1715" s="1009">
        <v>20113000</v>
      </c>
      <c r="J1715" s="1007" t="s">
        <v>2950</v>
      </c>
      <c r="O1715" s="1007" t="s">
        <v>648</v>
      </c>
      <c r="P1715" s="1007" t="s">
        <v>648</v>
      </c>
      <c r="S1715" s="1008" t="s">
        <v>657</v>
      </c>
      <c r="T1715" s="1008" t="s">
        <v>654</v>
      </c>
      <c r="U1715" s="1008" t="s">
        <v>649</v>
      </c>
      <c r="V1715" s="1008" t="s">
        <v>648</v>
      </c>
      <c r="W1715" s="1008" t="s">
        <v>546</v>
      </c>
      <c r="X1715" s="1008" t="s">
        <v>670</v>
      </c>
      <c r="Y1715" s="1008"/>
      <c r="Z1715" s="1008"/>
      <c r="AA1715" s="1008" t="s">
        <v>670</v>
      </c>
      <c r="AB1715" s="1008"/>
      <c r="AC1715" s="1008"/>
      <c r="AD1715" s="1008"/>
      <c r="AE1715" s="1008"/>
      <c r="AF1715" s="1008"/>
      <c r="AG1715" s="1008"/>
      <c r="AH1715" s="1008"/>
      <c r="AI1715" s="1008"/>
    </row>
    <row r="1716" spans="1:35">
      <c r="A1716" s="1008">
        <v>24446</v>
      </c>
      <c r="B1716" s="1008">
        <v>1279</v>
      </c>
      <c r="C1716" s="1008">
        <v>7</v>
      </c>
      <c r="D1716" s="1009">
        <v>20119999</v>
      </c>
      <c r="E1716" s="1009">
        <v>20114000</v>
      </c>
      <c r="F1716" s="1007" t="s">
        <v>2949</v>
      </c>
      <c r="G1716" s="1007">
        <v>8</v>
      </c>
      <c r="H1716" s="1010">
        <v>99999999</v>
      </c>
      <c r="I1716" s="1009">
        <v>20114000</v>
      </c>
      <c r="J1716" s="1007" t="s">
        <v>2948</v>
      </c>
      <c r="O1716" s="1007" t="s">
        <v>648</v>
      </c>
      <c r="P1716" s="1007" t="s">
        <v>648</v>
      </c>
      <c r="S1716" s="1008" t="s">
        <v>657</v>
      </c>
      <c r="T1716" s="1008" t="s">
        <v>654</v>
      </c>
      <c r="U1716" s="1008" t="s">
        <v>649</v>
      </c>
      <c r="V1716" s="1008" t="s">
        <v>648</v>
      </c>
      <c r="W1716" s="1008" t="s">
        <v>546</v>
      </c>
      <c r="X1716" s="1008" t="s">
        <v>670</v>
      </c>
      <c r="Y1716" s="1008" t="s">
        <v>670</v>
      </c>
      <c r="Z1716" s="1008" t="s">
        <v>670</v>
      </c>
      <c r="AA1716" s="1008"/>
      <c r="AB1716" s="1008" t="s">
        <v>670</v>
      </c>
      <c r="AC1716" s="1008" t="s">
        <v>670</v>
      </c>
      <c r="AD1716" s="1008"/>
      <c r="AE1716" s="1008"/>
      <c r="AF1716" s="1008" t="s">
        <v>670</v>
      </c>
      <c r="AG1716" s="1008"/>
      <c r="AH1716" s="1008"/>
      <c r="AI1716" s="1008"/>
    </row>
    <row r="1717" spans="1:35">
      <c r="A1717" s="1008">
        <v>26531</v>
      </c>
      <c r="B1717" s="1008">
        <v>5715</v>
      </c>
      <c r="C1717" s="1008">
        <v>7</v>
      </c>
      <c r="D1717" s="1009">
        <v>20119999</v>
      </c>
      <c r="E1717" s="1009">
        <v>20117000</v>
      </c>
      <c r="F1717" s="1007" t="s">
        <v>2947</v>
      </c>
      <c r="G1717" s="1007">
        <v>7</v>
      </c>
      <c r="H1717" s="1010">
        <v>99999999</v>
      </c>
      <c r="I1717" s="1009">
        <v>20117000</v>
      </c>
      <c r="J1717" s="1007" t="s">
        <v>2947</v>
      </c>
      <c r="O1717" s="1007" t="s">
        <v>648</v>
      </c>
      <c r="P1717" s="1007" t="s">
        <v>648</v>
      </c>
      <c r="S1717" s="1008" t="s">
        <v>657</v>
      </c>
      <c r="T1717" s="1008" t="s">
        <v>654</v>
      </c>
      <c r="U1717" s="1008" t="s">
        <v>649</v>
      </c>
      <c r="V1717" s="1008" t="s">
        <v>648</v>
      </c>
      <c r="W1717" s="1008" t="s">
        <v>546</v>
      </c>
      <c r="X1717" s="1008" t="s">
        <v>670</v>
      </c>
      <c r="Y1717" s="1008"/>
      <c r="Z1717" s="1008"/>
      <c r="AA1717" s="1008" t="s">
        <v>670</v>
      </c>
      <c r="AB1717" s="1008"/>
      <c r="AC1717" s="1008"/>
      <c r="AD1717" s="1008"/>
      <c r="AE1717" s="1008"/>
      <c r="AF1717" s="1008"/>
      <c r="AG1717" s="1008"/>
      <c r="AH1717" s="1008"/>
      <c r="AI1717" s="1008"/>
    </row>
    <row r="1718" spans="1:35">
      <c r="A1718" s="1008">
        <v>26414</v>
      </c>
      <c r="B1718" s="1008">
        <v>826</v>
      </c>
      <c r="C1718" s="1008">
        <v>7</v>
      </c>
      <c r="D1718" s="1009">
        <v>20119999</v>
      </c>
      <c r="E1718" s="1009">
        <v>20118000</v>
      </c>
      <c r="F1718" s="1007" t="s">
        <v>2946</v>
      </c>
      <c r="G1718" s="1007">
        <v>8</v>
      </c>
      <c r="H1718" s="1010">
        <v>99999999</v>
      </c>
      <c r="I1718" s="1009">
        <v>20118000</v>
      </c>
      <c r="J1718" s="1007" t="s">
        <v>2945</v>
      </c>
      <c r="O1718" s="1007" t="s">
        <v>648</v>
      </c>
      <c r="P1718" s="1007" t="s">
        <v>648</v>
      </c>
      <c r="S1718" s="1008" t="s">
        <v>657</v>
      </c>
      <c r="T1718" s="1008" t="s">
        <v>654</v>
      </c>
      <c r="U1718" s="1008" t="s">
        <v>649</v>
      </c>
      <c r="V1718" s="1008" t="s">
        <v>648</v>
      </c>
      <c r="W1718" s="1008" t="s">
        <v>546</v>
      </c>
      <c r="X1718" s="1008" t="s">
        <v>670</v>
      </c>
      <c r="Y1718" s="1008" t="s">
        <v>670</v>
      </c>
      <c r="Z1718" s="1008" t="s">
        <v>670</v>
      </c>
      <c r="AA1718" s="1008" t="s">
        <v>670</v>
      </c>
      <c r="AB1718" s="1008" t="s">
        <v>670</v>
      </c>
      <c r="AC1718" s="1008" t="s">
        <v>670</v>
      </c>
      <c r="AD1718" s="1008"/>
      <c r="AE1718" s="1008"/>
      <c r="AF1718" s="1008" t="s">
        <v>670</v>
      </c>
      <c r="AG1718" s="1008"/>
      <c r="AH1718" s="1008"/>
      <c r="AI1718" s="1008"/>
    </row>
    <row r="1719" spans="1:35">
      <c r="A1719" s="1008">
        <v>26413</v>
      </c>
      <c r="B1719" s="1008">
        <v>5081</v>
      </c>
      <c r="C1719" s="1008">
        <v>7</v>
      </c>
      <c r="D1719" s="1009">
        <v>20119999</v>
      </c>
      <c r="E1719" s="1009">
        <v>20119000</v>
      </c>
      <c r="F1719" s="1007" t="s">
        <v>2944</v>
      </c>
      <c r="G1719" s="1007">
        <v>7</v>
      </c>
      <c r="H1719" s="1010">
        <v>99999999</v>
      </c>
      <c r="I1719" s="1009">
        <v>20119000</v>
      </c>
      <c r="J1719" s="1007" t="s">
        <v>2944</v>
      </c>
      <c r="O1719" s="1007" t="s">
        <v>648</v>
      </c>
      <c r="P1719" s="1007" t="s">
        <v>648</v>
      </c>
      <c r="S1719" s="1008" t="s">
        <v>657</v>
      </c>
      <c r="T1719" s="1008" t="s">
        <v>654</v>
      </c>
      <c r="U1719" s="1008" t="s">
        <v>649</v>
      </c>
      <c r="V1719" s="1008" t="s">
        <v>648</v>
      </c>
      <c r="W1719" s="1008" t="s">
        <v>546</v>
      </c>
      <c r="X1719" s="1008" t="s">
        <v>670</v>
      </c>
      <c r="Y1719" s="1008" t="s">
        <v>670</v>
      </c>
      <c r="Z1719" s="1008" t="s">
        <v>670</v>
      </c>
      <c r="AA1719" s="1008" t="s">
        <v>670</v>
      </c>
      <c r="AB1719" s="1008" t="s">
        <v>670</v>
      </c>
      <c r="AC1719" s="1008" t="s">
        <v>670</v>
      </c>
      <c r="AD1719" s="1008" t="s">
        <v>670</v>
      </c>
      <c r="AE1719" s="1008"/>
      <c r="AF1719" s="1008" t="s">
        <v>670</v>
      </c>
      <c r="AG1719" s="1008"/>
      <c r="AH1719" s="1008"/>
      <c r="AI1719" s="1008"/>
    </row>
    <row r="1720" spans="1:35">
      <c r="A1720" s="1008">
        <v>24447</v>
      </c>
      <c r="C1720" s="1008">
        <v>6</v>
      </c>
      <c r="D1720" s="1009">
        <v>20199999</v>
      </c>
      <c r="E1720" s="1009">
        <v>20119999</v>
      </c>
      <c r="F1720" s="1007" t="s">
        <v>2943</v>
      </c>
      <c r="O1720" s="1007" t="s">
        <v>648</v>
      </c>
      <c r="P1720" s="1007" t="s">
        <v>648</v>
      </c>
      <c r="S1720" s="1008" t="s">
        <v>657</v>
      </c>
      <c r="T1720" s="1008" t="s">
        <v>21</v>
      </c>
      <c r="U1720" s="1008" t="s">
        <v>649</v>
      </c>
      <c r="V1720" s="1008" t="s">
        <v>648</v>
      </c>
      <c r="W1720" s="1008" t="s">
        <v>546</v>
      </c>
      <c r="X1720" s="1008"/>
      <c r="Y1720" s="1008"/>
      <c r="Z1720" s="1008"/>
      <c r="AA1720" s="1008"/>
      <c r="AB1720" s="1008"/>
      <c r="AC1720" s="1008"/>
      <c r="AD1720" s="1008"/>
      <c r="AE1720" s="1008"/>
      <c r="AF1720" s="1008"/>
      <c r="AG1720" s="1008"/>
      <c r="AH1720" s="1008"/>
      <c r="AI1720" s="1008"/>
    </row>
    <row r="1721" spans="1:35">
      <c r="A1721" s="1008">
        <v>24448</v>
      </c>
      <c r="C1721" s="1008">
        <v>5</v>
      </c>
      <c r="D1721" s="1009">
        <v>20399999</v>
      </c>
      <c r="E1721" s="1009">
        <v>20199999</v>
      </c>
      <c r="F1721" s="1007" t="s">
        <v>2942</v>
      </c>
      <c r="O1721" s="1007" t="s">
        <v>648</v>
      </c>
      <c r="P1721" s="1007" t="s">
        <v>648</v>
      </c>
      <c r="S1721" s="1008" t="s">
        <v>657</v>
      </c>
      <c r="T1721" s="1008" t="s">
        <v>21</v>
      </c>
      <c r="U1721" s="1008" t="s">
        <v>649</v>
      </c>
      <c r="V1721" s="1008" t="s">
        <v>648</v>
      </c>
      <c r="W1721" s="1008" t="s">
        <v>546</v>
      </c>
      <c r="X1721" s="1008"/>
      <c r="Y1721" s="1008"/>
      <c r="Z1721" s="1008"/>
      <c r="AA1721" s="1008"/>
      <c r="AB1721" s="1008"/>
      <c r="AC1721" s="1008"/>
      <c r="AD1721" s="1008"/>
      <c r="AE1721" s="1008"/>
      <c r="AF1721" s="1008"/>
      <c r="AG1721" s="1008"/>
      <c r="AH1721" s="1008"/>
      <c r="AI1721" s="1008"/>
    </row>
    <row r="1722" spans="1:35">
      <c r="A1722" s="1008">
        <v>24449</v>
      </c>
      <c r="C1722" s="1008">
        <v>5</v>
      </c>
      <c r="D1722" s="1009">
        <v>20299999</v>
      </c>
      <c r="E1722" s="1009">
        <v>20200000</v>
      </c>
      <c r="F1722" s="1007" t="s">
        <v>2941</v>
      </c>
      <c r="O1722" s="1007" t="s">
        <v>648</v>
      </c>
      <c r="P1722" s="1007" t="s">
        <v>648</v>
      </c>
      <c r="S1722" s="1008" t="s">
        <v>657</v>
      </c>
      <c r="T1722" s="1008" t="s">
        <v>675</v>
      </c>
      <c r="U1722" s="1008" t="s">
        <v>649</v>
      </c>
      <c r="V1722" s="1008" t="s">
        <v>648</v>
      </c>
      <c r="W1722" s="1008" t="s">
        <v>546</v>
      </c>
      <c r="X1722" s="1008"/>
      <c r="Y1722" s="1008"/>
      <c r="Z1722" s="1008"/>
      <c r="AA1722" s="1008"/>
      <c r="AB1722" s="1008"/>
      <c r="AC1722" s="1008"/>
      <c r="AD1722" s="1008"/>
      <c r="AE1722" s="1008"/>
      <c r="AF1722" s="1008"/>
      <c r="AG1722" s="1008"/>
      <c r="AH1722" s="1008"/>
      <c r="AI1722" s="1008"/>
    </row>
    <row r="1723" spans="1:35">
      <c r="A1723" s="1008">
        <v>24450</v>
      </c>
      <c r="C1723" s="1008">
        <v>6</v>
      </c>
      <c r="D1723" s="1009">
        <v>20219999</v>
      </c>
      <c r="E1723" s="1009">
        <v>20210000</v>
      </c>
      <c r="F1723" s="1007" t="s">
        <v>2940</v>
      </c>
      <c r="O1723" s="1007" t="s">
        <v>648</v>
      </c>
      <c r="P1723" s="1007" t="s">
        <v>648</v>
      </c>
      <c r="S1723" s="1008" t="s">
        <v>657</v>
      </c>
      <c r="T1723" s="1008" t="s">
        <v>675</v>
      </c>
      <c r="U1723" s="1008" t="s">
        <v>649</v>
      </c>
      <c r="V1723" s="1008" t="s">
        <v>648</v>
      </c>
      <c r="W1723" s="1008" t="s">
        <v>546</v>
      </c>
      <c r="X1723" s="1008"/>
      <c r="Y1723" s="1008"/>
      <c r="Z1723" s="1008"/>
      <c r="AA1723" s="1008"/>
      <c r="AB1723" s="1008"/>
      <c r="AC1723" s="1008"/>
      <c r="AD1723" s="1008"/>
      <c r="AE1723" s="1008"/>
      <c r="AF1723" s="1008"/>
      <c r="AG1723" s="1008"/>
      <c r="AH1723" s="1008"/>
      <c r="AI1723" s="1008"/>
    </row>
    <row r="1724" spans="1:35">
      <c r="A1724" s="1008">
        <v>24451</v>
      </c>
      <c r="B1724" s="1008">
        <v>1822</v>
      </c>
      <c r="C1724" s="1008">
        <v>7</v>
      </c>
      <c r="D1724" s="1009">
        <v>20219999</v>
      </c>
      <c r="E1724" s="1009">
        <v>20211000</v>
      </c>
      <c r="F1724" s="1007" t="s">
        <v>2939</v>
      </c>
      <c r="G1724" s="1007">
        <v>7</v>
      </c>
      <c r="H1724" s="1010">
        <v>99999999</v>
      </c>
      <c r="I1724" s="1009">
        <v>20211000</v>
      </c>
      <c r="J1724" s="1007" t="s">
        <v>2939</v>
      </c>
      <c r="O1724" s="1007" t="s">
        <v>648</v>
      </c>
      <c r="P1724" s="1007" t="s">
        <v>648</v>
      </c>
      <c r="S1724" s="1008" t="s">
        <v>657</v>
      </c>
      <c r="T1724" s="1008" t="s">
        <v>654</v>
      </c>
      <c r="U1724" s="1008" t="s">
        <v>649</v>
      </c>
      <c r="V1724" s="1008" t="s">
        <v>648</v>
      </c>
      <c r="W1724" s="1008" t="s">
        <v>546</v>
      </c>
      <c r="X1724" s="1008" t="s">
        <v>670</v>
      </c>
      <c r="Y1724" s="1008" t="s">
        <v>670</v>
      </c>
      <c r="Z1724" s="1008" t="s">
        <v>670</v>
      </c>
      <c r="AA1724" s="1008" t="s">
        <v>670</v>
      </c>
      <c r="AB1724" s="1008" t="s">
        <v>670</v>
      </c>
      <c r="AC1724" s="1008" t="s">
        <v>670</v>
      </c>
      <c r="AD1724" s="1008" t="s">
        <v>670</v>
      </c>
      <c r="AE1724" s="1008"/>
      <c r="AF1724" s="1008" t="s">
        <v>670</v>
      </c>
      <c r="AG1724" s="1008"/>
      <c r="AH1724" s="1008"/>
      <c r="AI1724" s="1008"/>
    </row>
    <row r="1725" spans="1:35">
      <c r="A1725" s="1008">
        <v>24452</v>
      </c>
      <c r="B1725" s="1008">
        <v>5085</v>
      </c>
      <c r="C1725" s="1008">
        <v>7</v>
      </c>
      <c r="D1725" s="1009">
        <v>20219999</v>
      </c>
      <c r="E1725" s="1009">
        <v>20212000</v>
      </c>
      <c r="F1725" s="1007" t="s">
        <v>2938</v>
      </c>
      <c r="G1725" s="1007">
        <v>7</v>
      </c>
      <c r="H1725" s="1010">
        <v>99999999</v>
      </c>
      <c r="I1725" s="1009">
        <v>20212000</v>
      </c>
      <c r="J1725" s="1007" t="s">
        <v>2938</v>
      </c>
      <c r="O1725" s="1007" t="s">
        <v>648</v>
      </c>
      <c r="P1725" s="1007" t="s">
        <v>648</v>
      </c>
      <c r="S1725" s="1008" t="s">
        <v>657</v>
      </c>
      <c r="T1725" s="1008" t="s">
        <v>654</v>
      </c>
      <c r="U1725" s="1008" t="s">
        <v>649</v>
      </c>
      <c r="V1725" s="1008" t="s">
        <v>648</v>
      </c>
      <c r="W1725" s="1008" t="s">
        <v>546</v>
      </c>
      <c r="X1725" s="1008" t="s">
        <v>670</v>
      </c>
      <c r="Y1725" s="1008" t="s">
        <v>670</v>
      </c>
      <c r="Z1725" s="1008" t="s">
        <v>670</v>
      </c>
      <c r="AA1725" s="1008" t="s">
        <v>670</v>
      </c>
      <c r="AB1725" s="1008" t="s">
        <v>670</v>
      </c>
      <c r="AC1725" s="1008" t="s">
        <v>670</v>
      </c>
      <c r="AD1725" s="1008" t="s">
        <v>670</v>
      </c>
      <c r="AE1725" s="1008"/>
      <c r="AF1725" s="1008" t="s">
        <v>670</v>
      </c>
      <c r="AG1725" s="1008"/>
      <c r="AH1725" s="1008"/>
      <c r="AI1725" s="1008"/>
    </row>
    <row r="1726" spans="1:35">
      <c r="A1726" s="1008">
        <v>24453</v>
      </c>
      <c r="C1726" s="1008">
        <v>6</v>
      </c>
      <c r="D1726" s="1009">
        <v>20299999</v>
      </c>
      <c r="E1726" s="1009">
        <v>20219999</v>
      </c>
      <c r="F1726" s="1007" t="s">
        <v>2937</v>
      </c>
      <c r="O1726" s="1007" t="s">
        <v>648</v>
      </c>
      <c r="P1726" s="1007" t="s">
        <v>648</v>
      </c>
      <c r="S1726" s="1008" t="s">
        <v>657</v>
      </c>
      <c r="T1726" s="1008" t="s">
        <v>21</v>
      </c>
      <c r="U1726" s="1008" t="s">
        <v>649</v>
      </c>
      <c r="V1726" s="1008" t="s">
        <v>648</v>
      </c>
      <c r="W1726" s="1008" t="s">
        <v>546</v>
      </c>
      <c r="X1726" s="1008"/>
      <c r="Y1726" s="1008"/>
      <c r="Z1726" s="1008"/>
      <c r="AA1726" s="1008"/>
      <c r="AB1726" s="1008"/>
      <c r="AC1726" s="1008"/>
      <c r="AD1726" s="1008"/>
      <c r="AE1726" s="1008"/>
      <c r="AF1726" s="1008"/>
      <c r="AG1726" s="1008"/>
      <c r="AH1726" s="1008"/>
      <c r="AI1726" s="1008"/>
    </row>
    <row r="1727" spans="1:35">
      <c r="A1727" s="1008">
        <v>24454</v>
      </c>
      <c r="C1727" s="1008">
        <v>6</v>
      </c>
      <c r="D1727" s="1009">
        <v>20229999</v>
      </c>
      <c r="E1727" s="1009">
        <v>20220000</v>
      </c>
      <c r="F1727" s="1007" t="s">
        <v>2936</v>
      </c>
      <c r="O1727" s="1007" t="s">
        <v>648</v>
      </c>
      <c r="P1727" s="1007" t="s">
        <v>648</v>
      </c>
      <c r="S1727" s="1008" t="s">
        <v>657</v>
      </c>
      <c r="T1727" s="1008" t="s">
        <v>675</v>
      </c>
      <c r="U1727" s="1008" t="s">
        <v>649</v>
      </c>
      <c r="V1727" s="1008" t="s">
        <v>648</v>
      </c>
      <c r="W1727" s="1008" t="s">
        <v>546</v>
      </c>
      <c r="X1727" s="1008"/>
      <c r="Y1727" s="1008"/>
      <c r="Z1727" s="1008"/>
      <c r="AA1727" s="1008"/>
      <c r="AB1727" s="1008"/>
      <c r="AC1727" s="1008"/>
      <c r="AD1727" s="1008"/>
      <c r="AE1727" s="1008"/>
      <c r="AF1727" s="1008"/>
      <c r="AG1727" s="1008"/>
      <c r="AH1727" s="1008"/>
      <c r="AI1727" s="1008"/>
    </row>
    <row r="1728" spans="1:35">
      <c r="A1728" s="1008">
        <v>24455</v>
      </c>
      <c r="B1728" s="1008">
        <v>1824</v>
      </c>
      <c r="C1728" s="1008">
        <v>7</v>
      </c>
      <c r="D1728" s="1009">
        <v>20229999</v>
      </c>
      <c r="E1728" s="1009">
        <v>20221000</v>
      </c>
      <c r="F1728" s="1007" t="s">
        <v>2935</v>
      </c>
      <c r="G1728" s="1007">
        <v>7</v>
      </c>
      <c r="H1728" s="1010">
        <v>99999999</v>
      </c>
      <c r="I1728" s="1009">
        <v>20221000</v>
      </c>
      <c r="J1728" s="1007" t="s">
        <v>2935</v>
      </c>
      <c r="O1728" s="1007" t="s">
        <v>648</v>
      </c>
      <c r="P1728" s="1007" t="s">
        <v>648</v>
      </c>
      <c r="S1728" s="1008" t="s">
        <v>657</v>
      </c>
      <c r="T1728" s="1008" t="s">
        <v>654</v>
      </c>
      <c r="U1728" s="1008" t="s">
        <v>649</v>
      </c>
      <c r="V1728" s="1008" t="s">
        <v>648</v>
      </c>
      <c r="W1728" s="1008" t="s">
        <v>546</v>
      </c>
      <c r="X1728" s="1008" t="s">
        <v>670</v>
      </c>
      <c r="Y1728" s="1008" t="s">
        <v>670</v>
      </c>
      <c r="Z1728" s="1008" t="s">
        <v>670</v>
      </c>
      <c r="AA1728" s="1008" t="s">
        <v>670</v>
      </c>
      <c r="AB1728" s="1008" t="s">
        <v>670</v>
      </c>
      <c r="AC1728" s="1008" t="s">
        <v>670</v>
      </c>
      <c r="AD1728" s="1008" t="s">
        <v>670</v>
      </c>
      <c r="AE1728" s="1008"/>
      <c r="AF1728" s="1008" t="s">
        <v>670</v>
      </c>
      <c r="AG1728" s="1008"/>
      <c r="AH1728" s="1008"/>
      <c r="AI1728" s="1008"/>
    </row>
    <row r="1729" spans="1:35">
      <c r="A1729" s="1008">
        <v>24456</v>
      </c>
      <c r="B1729" s="1008">
        <v>1825</v>
      </c>
      <c r="C1729" s="1008">
        <v>7</v>
      </c>
      <c r="D1729" s="1009">
        <v>20229999</v>
      </c>
      <c r="E1729" s="1009">
        <v>20222000</v>
      </c>
      <c r="F1729" s="1007" t="s">
        <v>2934</v>
      </c>
      <c r="G1729" s="1007">
        <v>7</v>
      </c>
      <c r="H1729" s="1010">
        <v>99999999</v>
      </c>
      <c r="I1729" s="1009">
        <v>20222000</v>
      </c>
      <c r="J1729" s="1007" t="s">
        <v>2934</v>
      </c>
      <c r="O1729" s="1007" t="s">
        <v>648</v>
      </c>
      <c r="P1729" s="1007" t="s">
        <v>648</v>
      </c>
      <c r="S1729" s="1008" t="s">
        <v>657</v>
      </c>
      <c r="T1729" s="1008" t="s">
        <v>654</v>
      </c>
      <c r="U1729" s="1008" t="s">
        <v>649</v>
      </c>
      <c r="V1729" s="1008" t="s">
        <v>648</v>
      </c>
      <c r="W1729" s="1008" t="s">
        <v>546</v>
      </c>
      <c r="X1729" s="1008" t="s">
        <v>670</v>
      </c>
      <c r="Y1729" s="1008" t="s">
        <v>670</v>
      </c>
      <c r="Z1729" s="1008" t="s">
        <v>670</v>
      </c>
      <c r="AA1729" s="1008" t="s">
        <v>670</v>
      </c>
      <c r="AB1729" s="1008" t="s">
        <v>670</v>
      </c>
      <c r="AC1729" s="1008" t="s">
        <v>670</v>
      </c>
      <c r="AD1729" s="1008" t="s">
        <v>670</v>
      </c>
      <c r="AE1729" s="1008"/>
      <c r="AF1729" s="1008" t="s">
        <v>670</v>
      </c>
      <c r="AG1729" s="1008"/>
      <c r="AH1729" s="1008"/>
      <c r="AI1729" s="1008"/>
    </row>
    <row r="1730" spans="1:35">
      <c r="A1730" s="1008">
        <v>24457</v>
      </c>
      <c r="B1730" s="1008">
        <v>1826</v>
      </c>
      <c r="C1730" s="1008">
        <v>7</v>
      </c>
      <c r="D1730" s="1009">
        <v>20229999</v>
      </c>
      <c r="E1730" s="1009">
        <v>20223000</v>
      </c>
      <c r="F1730" s="1007" t="s">
        <v>2933</v>
      </c>
      <c r="G1730" s="1007">
        <v>7</v>
      </c>
      <c r="H1730" s="1010">
        <v>99999999</v>
      </c>
      <c r="I1730" s="1009">
        <v>20223000</v>
      </c>
      <c r="J1730" s="1007" t="s">
        <v>2933</v>
      </c>
      <c r="O1730" s="1007" t="s">
        <v>648</v>
      </c>
      <c r="P1730" s="1007" t="s">
        <v>648</v>
      </c>
      <c r="S1730" s="1008" t="s">
        <v>657</v>
      </c>
      <c r="T1730" s="1008" t="s">
        <v>654</v>
      </c>
      <c r="U1730" s="1008" t="s">
        <v>649</v>
      </c>
      <c r="V1730" s="1008" t="s">
        <v>648</v>
      </c>
      <c r="W1730" s="1008" t="s">
        <v>546</v>
      </c>
      <c r="X1730" s="1008" t="s">
        <v>670</v>
      </c>
      <c r="Y1730" s="1008" t="s">
        <v>670</v>
      </c>
      <c r="Z1730" s="1008" t="s">
        <v>670</v>
      </c>
      <c r="AA1730" s="1008" t="s">
        <v>670</v>
      </c>
      <c r="AB1730" s="1008" t="s">
        <v>670</v>
      </c>
      <c r="AC1730" s="1008" t="s">
        <v>670</v>
      </c>
      <c r="AD1730" s="1008" t="s">
        <v>670</v>
      </c>
      <c r="AE1730" s="1008"/>
      <c r="AF1730" s="1008" t="s">
        <v>670</v>
      </c>
      <c r="AG1730" s="1008"/>
      <c r="AH1730" s="1008"/>
      <c r="AI1730" s="1008"/>
    </row>
    <row r="1731" spans="1:35">
      <c r="A1731" s="1008">
        <v>24458</v>
      </c>
      <c r="B1731" s="1008">
        <v>1827</v>
      </c>
      <c r="C1731" s="1008">
        <v>7</v>
      </c>
      <c r="D1731" s="1009">
        <v>20229999</v>
      </c>
      <c r="E1731" s="1009">
        <v>20224000</v>
      </c>
      <c r="F1731" s="1007" t="s">
        <v>2932</v>
      </c>
      <c r="G1731" s="1007">
        <v>7</v>
      </c>
      <c r="H1731" s="1010">
        <v>99999999</v>
      </c>
      <c r="I1731" s="1009">
        <v>20224000</v>
      </c>
      <c r="J1731" s="1007" t="s">
        <v>2932</v>
      </c>
      <c r="O1731" s="1007" t="s">
        <v>648</v>
      </c>
      <c r="P1731" s="1007" t="s">
        <v>648</v>
      </c>
      <c r="S1731" s="1008" t="s">
        <v>657</v>
      </c>
      <c r="T1731" s="1008" t="s">
        <v>654</v>
      </c>
      <c r="U1731" s="1008" t="s">
        <v>649</v>
      </c>
      <c r="V1731" s="1008" t="s">
        <v>648</v>
      </c>
      <c r="W1731" s="1008" t="s">
        <v>546</v>
      </c>
      <c r="X1731" s="1008" t="s">
        <v>670</v>
      </c>
      <c r="Y1731" s="1008" t="s">
        <v>670</v>
      </c>
      <c r="Z1731" s="1008" t="s">
        <v>670</v>
      </c>
      <c r="AA1731" s="1008" t="s">
        <v>670</v>
      </c>
      <c r="AB1731" s="1008" t="s">
        <v>670</v>
      </c>
      <c r="AC1731" s="1008" t="s">
        <v>670</v>
      </c>
      <c r="AD1731" s="1008" t="s">
        <v>670</v>
      </c>
      <c r="AE1731" s="1008"/>
      <c r="AF1731" s="1008" t="s">
        <v>670</v>
      </c>
      <c r="AG1731" s="1008"/>
      <c r="AH1731" s="1008"/>
      <c r="AI1731" s="1008"/>
    </row>
    <row r="1732" spans="1:35">
      <c r="A1732" s="1008">
        <v>24459</v>
      </c>
      <c r="B1732" s="1008">
        <v>1828</v>
      </c>
      <c r="C1732" s="1008">
        <v>7</v>
      </c>
      <c r="D1732" s="1009">
        <v>20229999</v>
      </c>
      <c r="E1732" s="1009">
        <v>20225000</v>
      </c>
      <c r="F1732" s="1007" t="s">
        <v>2931</v>
      </c>
      <c r="G1732" s="1007">
        <v>7</v>
      </c>
      <c r="H1732" s="1010">
        <v>99999999</v>
      </c>
      <c r="I1732" s="1009">
        <v>20225000</v>
      </c>
      <c r="J1732" s="1007" t="s">
        <v>2931</v>
      </c>
      <c r="O1732" s="1007" t="s">
        <v>648</v>
      </c>
      <c r="P1732" s="1007" t="s">
        <v>648</v>
      </c>
      <c r="S1732" s="1008" t="s">
        <v>657</v>
      </c>
      <c r="T1732" s="1008" t="s">
        <v>654</v>
      </c>
      <c r="U1732" s="1008" t="s">
        <v>649</v>
      </c>
      <c r="V1732" s="1008" t="s">
        <v>648</v>
      </c>
      <c r="W1732" s="1008" t="s">
        <v>546</v>
      </c>
      <c r="X1732" s="1008" t="s">
        <v>670</v>
      </c>
      <c r="Y1732" s="1008" t="s">
        <v>670</v>
      </c>
      <c r="Z1732" s="1008" t="s">
        <v>670</v>
      </c>
      <c r="AA1732" s="1008" t="s">
        <v>670</v>
      </c>
      <c r="AB1732" s="1008" t="s">
        <v>670</v>
      </c>
      <c r="AC1732" s="1008" t="s">
        <v>670</v>
      </c>
      <c r="AD1732" s="1008" t="s">
        <v>670</v>
      </c>
      <c r="AE1732" s="1008"/>
      <c r="AF1732" s="1008" t="s">
        <v>670</v>
      </c>
      <c r="AG1732" s="1008"/>
      <c r="AH1732" s="1008"/>
      <c r="AI1732" s="1008"/>
    </row>
    <row r="1733" spans="1:35">
      <c r="A1733" s="1008">
        <v>24460</v>
      </c>
      <c r="B1733" s="1008">
        <v>1829</v>
      </c>
      <c r="C1733" s="1008">
        <v>7</v>
      </c>
      <c r="D1733" s="1009">
        <v>20229999</v>
      </c>
      <c r="E1733" s="1009">
        <v>20226000</v>
      </c>
      <c r="F1733" s="1007" t="s">
        <v>2930</v>
      </c>
      <c r="G1733" s="1007">
        <v>7</v>
      </c>
      <c r="H1733" s="1010">
        <v>99999999</v>
      </c>
      <c r="I1733" s="1009">
        <v>20226000</v>
      </c>
      <c r="J1733" s="1007" t="s">
        <v>2930</v>
      </c>
      <c r="O1733" s="1007" t="s">
        <v>648</v>
      </c>
      <c r="P1733" s="1007" t="s">
        <v>648</v>
      </c>
      <c r="S1733" s="1008" t="s">
        <v>657</v>
      </c>
      <c r="T1733" s="1008" t="s">
        <v>654</v>
      </c>
      <c r="U1733" s="1008" t="s">
        <v>649</v>
      </c>
      <c r="V1733" s="1008" t="s">
        <v>648</v>
      </c>
      <c r="W1733" s="1008" t="s">
        <v>546</v>
      </c>
      <c r="X1733" s="1008" t="s">
        <v>670</v>
      </c>
      <c r="Y1733" s="1008" t="s">
        <v>670</v>
      </c>
      <c r="Z1733" s="1008" t="s">
        <v>670</v>
      </c>
      <c r="AA1733" s="1008" t="s">
        <v>670</v>
      </c>
      <c r="AB1733" s="1008" t="s">
        <v>670</v>
      </c>
      <c r="AC1733" s="1008" t="s">
        <v>670</v>
      </c>
      <c r="AD1733" s="1008" t="s">
        <v>670</v>
      </c>
      <c r="AE1733" s="1008"/>
      <c r="AF1733" s="1008" t="s">
        <v>670</v>
      </c>
      <c r="AG1733" s="1008"/>
      <c r="AH1733" s="1008"/>
      <c r="AI1733" s="1008"/>
    </row>
    <row r="1734" spans="1:35">
      <c r="A1734" s="1008">
        <v>24461</v>
      </c>
      <c r="B1734" s="1008">
        <v>1830</v>
      </c>
      <c r="C1734" s="1008">
        <v>7</v>
      </c>
      <c r="D1734" s="1009">
        <v>20229999</v>
      </c>
      <c r="E1734" s="1009">
        <v>20227000</v>
      </c>
      <c r="F1734" s="1007" t="s">
        <v>2929</v>
      </c>
      <c r="G1734" s="1007">
        <v>7</v>
      </c>
      <c r="H1734" s="1010">
        <v>99999999</v>
      </c>
      <c r="I1734" s="1009">
        <v>20227000</v>
      </c>
      <c r="J1734" s="1007" t="s">
        <v>2929</v>
      </c>
      <c r="O1734" s="1007" t="s">
        <v>648</v>
      </c>
      <c r="P1734" s="1007" t="s">
        <v>648</v>
      </c>
      <c r="S1734" s="1008" t="s">
        <v>657</v>
      </c>
      <c r="T1734" s="1008" t="s">
        <v>654</v>
      </c>
      <c r="U1734" s="1008" t="s">
        <v>649</v>
      </c>
      <c r="V1734" s="1008" t="s">
        <v>648</v>
      </c>
      <c r="W1734" s="1008" t="s">
        <v>546</v>
      </c>
      <c r="X1734" s="1008" t="s">
        <v>670</v>
      </c>
      <c r="Y1734" s="1008" t="s">
        <v>670</v>
      </c>
      <c r="Z1734" s="1008" t="s">
        <v>670</v>
      </c>
      <c r="AA1734" s="1008" t="s">
        <v>670</v>
      </c>
      <c r="AB1734" s="1008" t="s">
        <v>670</v>
      </c>
      <c r="AC1734" s="1008" t="s">
        <v>670</v>
      </c>
      <c r="AD1734" s="1008" t="s">
        <v>670</v>
      </c>
      <c r="AE1734" s="1008"/>
      <c r="AF1734" s="1008" t="s">
        <v>670</v>
      </c>
      <c r="AG1734" s="1008"/>
      <c r="AH1734" s="1008"/>
      <c r="AI1734" s="1008"/>
    </row>
    <row r="1735" spans="1:35">
      <c r="A1735" s="1008">
        <v>24462</v>
      </c>
      <c r="B1735" s="1008">
        <v>5087</v>
      </c>
      <c r="C1735" s="1008">
        <v>7</v>
      </c>
      <c r="D1735" s="1009">
        <v>20229999</v>
      </c>
      <c r="E1735" s="1009">
        <v>20228000</v>
      </c>
      <c r="F1735" s="1007" t="s">
        <v>2928</v>
      </c>
      <c r="G1735" s="1007">
        <v>7</v>
      </c>
      <c r="H1735" s="1010">
        <v>99999999</v>
      </c>
      <c r="I1735" s="1009">
        <v>20228000</v>
      </c>
      <c r="J1735" s="1007" t="s">
        <v>2928</v>
      </c>
      <c r="O1735" s="1007" t="s">
        <v>648</v>
      </c>
      <c r="P1735" s="1007" t="s">
        <v>648</v>
      </c>
      <c r="S1735" s="1008" t="s">
        <v>657</v>
      </c>
      <c r="T1735" s="1008" t="s">
        <v>654</v>
      </c>
      <c r="U1735" s="1008" t="s">
        <v>649</v>
      </c>
      <c r="V1735" s="1008" t="s">
        <v>648</v>
      </c>
      <c r="W1735" s="1008" t="s">
        <v>546</v>
      </c>
      <c r="X1735" s="1008" t="s">
        <v>670</v>
      </c>
      <c r="Y1735" s="1008" t="s">
        <v>670</v>
      </c>
      <c r="Z1735" s="1008" t="s">
        <v>670</v>
      </c>
      <c r="AA1735" s="1008" t="s">
        <v>670</v>
      </c>
      <c r="AB1735" s="1008" t="s">
        <v>670</v>
      </c>
      <c r="AC1735" s="1008" t="s">
        <v>670</v>
      </c>
      <c r="AD1735" s="1008" t="s">
        <v>670</v>
      </c>
      <c r="AE1735" s="1008"/>
      <c r="AF1735" s="1008" t="s">
        <v>670</v>
      </c>
      <c r="AG1735" s="1008"/>
      <c r="AH1735" s="1008"/>
      <c r="AI1735" s="1008"/>
    </row>
    <row r="1736" spans="1:35">
      <c r="A1736" s="1008">
        <v>24463</v>
      </c>
      <c r="C1736" s="1008">
        <v>6</v>
      </c>
      <c r="D1736" s="1009">
        <v>20299999</v>
      </c>
      <c r="E1736" s="1009">
        <v>20229999</v>
      </c>
      <c r="F1736" s="1007" t="s">
        <v>2927</v>
      </c>
      <c r="O1736" s="1007" t="s">
        <v>648</v>
      </c>
      <c r="P1736" s="1007" t="s">
        <v>648</v>
      </c>
      <c r="S1736" s="1008" t="s">
        <v>657</v>
      </c>
      <c r="T1736" s="1008" t="s">
        <v>21</v>
      </c>
      <c r="U1736" s="1008" t="s">
        <v>649</v>
      </c>
      <c r="V1736" s="1008" t="s">
        <v>648</v>
      </c>
      <c r="W1736" s="1008" t="s">
        <v>546</v>
      </c>
      <c r="X1736" s="1008"/>
      <c r="Y1736" s="1008"/>
      <c r="Z1736" s="1008"/>
      <c r="AA1736" s="1008"/>
      <c r="AB1736" s="1008"/>
      <c r="AC1736" s="1008"/>
      <c r="AD1736" s="1008"/>
      <c r="AE1736" s="1008"/>
      <c r="AF1736" s="1008"/>
      <c r="AG1736" s="1008"/>
      <c r="AH1736" s="1008"/>
      <c r="AI1736" s="1008"/>
    </row>
    <row r="1737" spans="1:35">
      <c r="A1737" s="1008">
        <v>24464</v>
      </c>
      <c r="C1737" s="1008">
        <v>6</v>
      </c>
      <c r="D1737" s="1009">
        <v>20239999</v>
      </c>
      <c r="E1737" s="1009">
        <v>20230000</v>
      </c>
      <c r="F1737" s="1007" t="s">
        <v>2926</v>
      </c>
      <c r="O1737" s="1007" t="s">
        <v>648</v>
      </c>
      <c r="P1737" s="1007" t="s">
        <v>648</v>
      </c>
      <c r="S1737" s="1008" t="s">
        <v>657</v>
      </c>
      <c r="T1737" s="1008" t="s">
        <v>675</v>
      </c>
      <c r="U1737" s="1008" t="s">
        <v>649</v>
      </c>
      <c r="V1737" s="1008" t="s">
        <v>648</v>
      </c>
      <c r="W1737" s="1008" t="s">
        <v>546</v>
      </c>
      <c r="X1737" s="1008"/>
      <c r="Y1737" s="1008"/>
      <c r="Z1737" s="1008"/>
      <c r="AA1737" s="1008"/>
      <c r="AB1737" s="1008"/>
      <c r="AC1737" s="1008"/>
      <c r="AD1737" s="1008"/>
      <c r="AE1737" s="1008"/>
      <c r="AF1737" s="1008"/>
      <c r="AG1737" s="1008"/>
      <c r="AH1737" s="1008"/>
      <c r="AI1737" s="1008"/>
    </row>
    <row r="1738" spans="1:35">
      <c r="A1738" s="1008">
        <v>24465</v>
      </c>
      <c r="B1738" s="1008">
        <v>1832</v>
      </c>
      <c r="C1738" s="1008">
        <v>7</v>
      </c>
      <c r="D1738" s="1009">
        <v>20239999</v>
      </c>
      <c r="E1738" s="1009">
        <v>20231000</v>
      </c>
      <c r="F1738" s="1007" t="s">
        <v>2925</v>
      </c>
      <c r="G1738" s="1007">
        <v>7</v>
      </c>
      <c r="H1738" s="1010">
        <v>99999999</v>
      </c>
      <c r="I1738" s="1009">
        <v>20231000</v>
      </c>
      <c r="J1738" s="1007" t="s">
        <v>2925</v>
      </c>
      <c r="O1738" s="1007" t="s">
        <v>648</v>
      </c>
      <c r="P1738" s="1007" t="s">
        <v>648</v>
      </c>
      <c r="S1738" s="1008" t="s">
        <v>657</v>
      </c>
      <c r="T1738" s="1008" t="s">
        <v>654</v>
      </c>
      <c r="U1738" s="1008" t="s">
        <v>649</v>
      </c>
      <c r="V1738" s="1008" t="s">
        <v>648</v>
      </c>
      <c r="W1738" s="1008" t="s">
        <v>546</v>
      </c>
      <c r="X1738" s="1008" t="s">
        <v>670</v>
      </c>
      <c r="Y1738" s="1008" t="s">
        <v>670</v>
      </c>
      <c r="Z1738" s="1008" t="s">
        <v>670</v>
      </c>
      <c r="AA1738" s="1008" t="s">
        <v>670</v>
      </c>
      <c r="AB1738" s="1008" t="s">
        <v>670</v>
      </c>
      <c r="AC1738" s="1008" t="s">
        <v>670</v>
      </c>
      <c r="AD1738" s="1008" t="s">
        <v>670</v>
      </c>
      <c r="AE1738" s="1008"/>
      <c r="AF1738" s="1008" t="s">
        <v>670</v>
      </c>
      <c r="AG1738" s="1008"/>
      <c r="AH1738" s="1008"/>
      <c r="AI1738" s="1008"/>
    </row>
    <row r="1739" spans="1:35">
      <c r="A1739" s="1008">
        <v>24466</v>
      </c>
      <c r="B1739" s="1008">
        <v>1833</v>
      </c>
      <c r="C1739" s="1008">
        <v>7</v>
      </c>
      <c r="D1739" s="1009">
        <v>20239999</v>
      </c>
      <c r="E1739" s="1009">
        <v>20232000</v>
      </c>
      <c r="F1739" s="1007" t="s">
        <v>2924</v>
      </c>
      <c r="G1739" s="1007">
        <v>7</v>
      </c>
      <c r="H1739" s="1010">
        <v>99999999</v>
      </c>
      <c r="I1739" s="1009">
        <v>20232000</v>
      </c>
      <c r="J1739" s="1007" t="s">
        <v>2924</v>
      </c>
      <c r="O1739" s="1007" t="s">
        <v>648</v>
      </c>
      <c r="P1739" s="1007" t="s">
        <v>648</v>
      </c>
      <c r="S1739" s="1008" t="s">
        <v>657</v>
      </c>
      <c r="T1739" s="1008" t="s">
        <v>654</v>
      </c>
      <c r="U1739" s="1008" t="s">
        <v>649</v>
      </c>
      <c r="V1739" s="1008" t="s">
        <v>648</v>
      </c>
      <c r="W1739" s="1008" t="s">
        <v>546</v>
      </c>
      <c r="X1739" s="1008" t="s">
        <v>670</v>
      </c>
      <c r="Y1739" s="1008" t="s">
        <v>670</v>
      </c>
      <c r="Z1739" s="1008" t="s">
        <v>670</v>
      </c>
      <c r="AA1739" s="1008" t="s">
        <v>670</v>
      </c>
      <c r="AB1739" s="1008" t="s">
        <v>670</v>
      </c>
      <c r="AC1739" s="1008" t="s">
        <v>670</v>
      </c>
      <c r="AD1739" s="1008" t="s">
        <v>670</v>
      </c>
      <c r="AE1739" s="1008"/>
      <c r="AF1739" s="1008" t="s">
        <v>670</v>
      </c>
      <c r="AG1739" s="1008"/>
      <c r="AH1739" s="1008"/>
      <c r="AI1739" s="1008"/>
    </row>
    <row r="1740" spans="1:35">
      <c r="A1740" s="1008">
        <v>24467</v>
      </c>
      <c r="B1740" s="1008">
        <v>5089</v>
      </c>
      <c r="C1740" s="1008">
        <v>7</v>
      </c>
      <c r="D1740" s="1009">
        <v>20239999</v>
      </c>
      <c r="E1740" s="1009">
        <v>20233000</v>
      </c>
      <c r="F1740" s="1007" t="s">
        <v>2923</v>
      </c>
      <c r="G1740" s="1007">
        <v>7</v>
      </c>
      <c r="H1740" s="1010">
        <v>99999999</v>
      </c>
      <c r="I1740" s="1009">
        <v>20233000</v>
      </c>
      <c r="J1740" s="1007" t="s">
        <v>2923</v>
      </c>
      <c r="O1740" s="1007" t="s">
        <v>648</v>
      </c>
      <c r="P1740" s="1007" t="s">
        <v>648</v>
      </c>
      <c r="S1740" s="1008" t="s">
        <v>657</v>
      </c>
      <c r="T1740" s="1008" t="s">
        <v>654</v>
      </c>
      <c r="U1740" s="1008" t="s">
        <v>649</v>
      </c>
      <c r="V1740" s="1008" t="s">
        <v>648</v>
      </c>
      <c r="W1740" s="1008" t="s">
        <v>546</v>
      </c>
      <c r="X1740" s="1008" t="s">
        <v>670</v>
      </c>
      <c r="Y1740" s="1008" t="s">
        <v>670</v>
      </c>
      <c r="Z1740" s="1008" t="s">
        <v>670</v>
      </c>
      <c r="AA1740" s="1008" t="s">
        <v>670</v>
      </c>
      <c r="AB1740" s="1008" t="s">
        <v>670</v>
      </c>
      <c r="AC1740" s="1008" t="s">
        <v>670</v>
      </c>
      <c r="AD1740" s="1008" t="s">
        <v>670</v>
      </c>
      <c r="AE1740" s="1008"/>
      <c r="AF1740" s="1008" t="s">
        <v>670</v>
      </c>
      <c r="AG1740" s="1008"/>
      <c r="AH1740" s="1008"/>
      <c r="AI1740" s="1008"/>
    </row>
    <row r="1741" spans="1:35">
      <c r="A1741" s="1008">
        <v>24468</v>
      </c>
      <c r="C1741" s="1008">
        <v>6</v>
      </c>
      <c r="D1741" s="1009">
        <v>20299999</v>
      </c>
      <c r="E1741" s="1009">
        <v>20239999</v>
      </c>
      <c r="F1741" s="1007" t="s">
        <v>2922</v>
      </c>
      <c r="O1741" s="1007" t="s">
        <v>648</v>
      </c>
      <c r="P1741" s="1007" t="s">
        <v>648</v>
      </c>
      <c r="S1741" s="1008" t="s">
        <v>657</v>
      </c>
      <c r="T1741" s="1008" t="s">
        <v>21</v>
      </c>
      <c r="U1741" s="1008" t="s">
        <v>649</v>
      </c>
      <c r="V1741" s="1008" t="s">
        <v>648</v>
      </c>
      <c r="W1741" s="1008" t="s">
        <v>546</v>
      </c>
      <c r="X1741" s="1008"/>
      <c r="Y1741" s="1008"/>
      <c r="Z1741" s="1008"/>
      <c r="AA1741" s="1008"/>
      <c r="AB1741" s="1008"/>
      <c r="AC1741" s="1008"/>
      <c r="AD1741" s="1008"/>
      <c r="AE1741" s="1008"/>
      <c r="AF1741" s="1008"/>
      <c r="AG1741" s="1008"/>
      <c r="AH1741" s="1008"/>
      <c r="AI1741" s="1008"/>
    </row>
    <row r="1742" spans="1:35">
      <c r="A1742" s="1008">
        <v>24469</v>
      </c>
      <c r="C1742" s="1008">
        <v>5</v>
      </c>
      <c r="D1742" s="1009">
        <v>20399999</v>
      </c>
      <c r="E1742" s="1009">
        <v>20299999</v>
      </c>
      <c r="F1742" s="1007" t="s">
        <v>2921</v>
      </c>
      <c r="O1742" s="1007" t="s">
        <v>648</v>
      </c>
      <c r="P1742" s="1007" t="s">
        <v>648</v>
      </c>
      <c r="S1742" s="1008" t="s">
        <v>657</v>
      </c>
      <c r="T1742" s="1008" t="s">
        <v>21</v>
      </c>
      <c r="U1742" s="1008" t="s">
        <v>649</v>
      </c>
      <c r="V1742" s="1008" t="s">
        <v>648</v>
      </c>
      <c r="W1742" s="1008" t="s">
        <v>546</v>
      </c>
      <c r="X1742" s="1008"/>
      <c r="Y1742" s="1008"/>
      <c r="Z1742" s="1008"/>
      <c r="AA1742" s="1008"/>
      <c r="AB1742" s="1008"/>
      <c r="AC1742" s="1008"/>
      <c r="AD1742" s="1008"/>
      <c r="AE1742" s="1008"/>
      <c r="AF1742" s="1008"/>
      <c r="AG1742" s="1008"/>
      <c r="AH1742" s="1008"/>
      <c r="AI1742" s="1008"/>
    </row>
    <row r="1743" spans="1:35">
      <c r="A1743" s="1008">
        <v>24470</v>
      </c>
      <c r="C1743" s="1008">
        <v>5</v>
      </c>
      <c r="D1743" s="1009">
        <v>20399900</v>
      </c>
      <c r="E1743" s="1009">
        <v>20300000</v>
      </c>
      <c r="F1743" s="1007" t="s">
        <v>2920</v>
      </c>
      <c r="O1743" s="1007" t="s">
        <v>648</v>
      </c>
      <c r="P1743" s="1007" t="s">
        <v>648</v>
      </c>
      <c r="S1743" s="1008" t="s">
        <v>657</v>
      </c>
      <c r="T1743" s="1008" t="s">
        <v>675</v>
      </c>
      <c r="U1743" s="1008" t="s">
        <v>649</v>
      </c>
      <c r="V1743" s="1008" t="s">
        <v>648</v>
      </c>
      <c r="W1743" s="1008" t="s">
        <v>546</v>
      </c>
      <c r="X1743" s="1008"/>
      <c r="Y1743" s="1008"/>
      <c r="Z1743" s="1008"/>
      <c r="AA1743" s="1008"/>
      <c r="AB1743" s="1008"/>
      <c r="AC1743" s="1008"/>
      <c r="AD1743" s="1008"/>
      <c r="AE1743" s="1008"/>
      <c r="AF1743" s="1008"/>
      <c r="AG1743" s="1008"/>
      <c r="AH1743" s="1008"/>
      <c r="AI1743" s="1008"/>
    </row>
    <row r="1744" spans="1:35">
      <c r="A1744" s="1008">
        <v>24471</v>
      </c>
      <c r="C1744" s="1008">
        <v>6</v>
      </c>
      <c r="D1744" s="1009">
        <v>20399000</v>
      </c>
      <c r="E1744" s="1009">
        <v>20310000</v>
      </c>
      <c r="F1744" s="1007" t="s">
        <v>2919</v>
      </c>
      <c r="O1744" s="1007" t="s">
        <v>648</v>
      </c>
      <c r="P1744" s="1007" t="s">
        <v>648</v>
      </c>
      <c r="S1744" s="1008" t="s">
        <v>657</v>
      </c>
      <c r="T1744" s="1008" t="s">
        <v>675</v>
      </c>
      <c r="U1744" s="1008" t="s">
        <v>649</v>
      </c>
      <c r="V1744" s="1008" t="s">
        <v>648</v>
      </c>
      <c r="W1744" s="1008" t="s">
        <v>546</v>
      </c>
      <c r="X1744" s="1008"/>
      <c r="Y1744" s="1008"/>
      <c r="Z1744" s="1008"/>
      <c r="AA1744" s="1008"/>
      <c r="AB1744" s="1008"/>
      <c r="AC1744" s="1008"/>
      <c r="AD1744" s="1008"/>
      <c r="AE1744" s="1008"/>
      <c r="AF1744" s="1008"/>
      <c r="AG1744" s="1008"/>
      <c r="AH1744" s="1008"/>
      <c r="AI1744" s="1008"/>
    </row>
    <row r="1745" spans="1:35">
      <c r="A1745" s="1008">
        <v>24472</v>
      </c>
      <c r="B1745" s="1008">
        <v>1835</v>
      </c>
      <c r="C1745" s="1008">
        <v>7</v>
      </c>
      <c r="D1745" s="1009">
        <v>20399000</v>
      </c>
      <c r="E1745" s="1009">
        <v>20311000</v>
      </c>
      <c r="F1745" s="1007" t="s">
        <v>2919</v>
      </c>
      <c r="G1745" s="1007">
        <v>7</v>
      </c>
      <c r="H1745" s="1010">
        <v>99999999</v>
      </c>
      <c r="I1745" s="1009">
        <v>20311000</v>
      </c>
      <c r="J1745" s="1007" t="s">
        <v>2919</v>
      </c>
      <c r="O1745" s="1007" t="s">
        <v>648</v>
      </c>
      <c r="P1745" s="1007" t="s">
        <v>648</v>
      </c>
      <c r="S1745" s="1008" t="s">
        <v>657</v>
      </c>
      <c r="T1745" s="1008" t="s">
        <v>654</v>
      </c>
      <c r="U1745" s="1008" t="s">
        <v>649</v>
      </c>
      <c r="V1745" s="1008" t="s">
        <v>648</v>
      </c>
      <c r="W1745" s="1008" t="s">
        <v>546</v>
      </c>
      <c r="X1745" s="1008" t="s">
        <v>670</v>
      </c>
      <c r="Y1745" s="1008" t="s">
        <v>670</v>
      </c>
      <c r="Z1745" s="1008" t="s">
        <v>670</v>
      </c>
      <c r="AA1745" s="1008" t="s">
        <v>670</v>
      </c>
      <c r="AB1745" s="1008" t="s">
        <v>670</v>
      </c>
      <c r="AC1745" s="1008" t="s">
        <v>670</v>
      </c>
      <c r="AD1745" s="1008" t="s">
        <v>670</v>
      </c>
      <c r="AE1745" s="1008"/>
      <c r="AF1745" s="1008" t="s">
        <v>670</v>
      </c>
      <c r="AG1745" s="1008" t="s">
        <v>670</v>
      </c>
      <c r="AH1745" s="1008"/>
      <c r="AI1745" s="1008"/>
    </row>
    <row r="1746" spans="1:35">
      <c r="A1746" s="1008">
        <v>24473</v>
      </c>
      <c r="B1746" s="1008">
        <v>522</v>
      </c>
      <c r="C1746" s="1008">
        <v>7</v>
      </c>
      <c r="D1746" s="1009">
        <v>20399000</v>
      </c>
      <c r="E1746" s="1009">
        <v>20312000</v>
      </c>
      <c r="F1746" s="1007" t="s">
        <v>2918</v>
      </c>
      <c r="G1746" s="1007">
        <v>8</v>
      </c>
      <c r="H1746" s="1010">
        <v>99999999</v>
      </c>
      <c r="I1746" s="1009">
        <v>20312000</v>
      </c>
      <c r="J1746" s="1007" t="s">
        <v>2918</v>
      </c>
      <c r="O1746" s="1007" t="s">
        <v>648</v>
      </c>
      <c r="P1746" s="1007" t="s">
        <v>648</v>
      </c>
      <c r="S1746" s="1008" t="s">
        <v>657</v>
      </c>
      <c r="T1746" s="1008" t="s">
        <v>654</v>
      </c>
      <c r="U1746" s="1008" t="s">
        <v>649</v>
      </c>
      <c r="V1746" s="1008" t="s">
        <v>648</v>
      </c>
      <c r="W1746" s="1008" t="s">
        <v>546</v>
      </c>
      <c r="X1746" s="1008" t="s">
        <v>670</v>
      </c>
      <c r="Y1746" s="1008"/>
      <c r="Z1746" s="1008"/>
      <c r="AA1746" s="1008"/>
      <c r="AB1746" s="1008"/>
      <c r="AC1746" s="1008" t="s">
        <v>670</v>
      </c>
      <c r="AD1746" s="1008"/>
      <c r="AE1746" s="1008"/>
      <c r="AF1746" s="1008"/>
      <c r="AG1746" s="1008"/>
      <c r="AH1746" s="1008"/>
      <c r="AI1746" s="1008"/>
    </row>
    <row r="1747" spans="1:35">
      <c r="A1747" s="1008">
        <v>24474</v>
      </c>
      <c r="B1747" s="1008">
        <v>521</v>
      </c>
      <c r="C1747" s="1008">
        <v>7</v>
      </c>
      <c r="D1747" s="1009">
        <v>20399000</v>
      </c>
      <c r="E1747" s="1009">
        <v>20313000</v>
      </c>
      <c r="F1747" s="1007" t="s">
        <v>2917</v>
      </c>
      <c r="G1747" s="1007">
        <v>8</v>
      </c>
      <c r="H1747" s="1010">
        <v>99999999</v>
      </c>
      <c r="I1747" s="1009">
        <v>20313000</v>
      </c>
      <c r="J1747" s="1007" t="s">
        <v>2916</v>
      </c>
      <c r="O1747" s="1007" t="s">
        <v>648</v>
      </c>
      <c r="P1747" s="1007" t="s">
        <v>648</v>
      </c>
      <c r="S1747" s="1008" t="s">
        <v>657</v>
      </c>
      <c r="T1747" s="1008" t="s">
        <v>654</v>
      </c>
      <c r="U1747" s="1008" t="s">
        <v>649</v>
      </c>
      <c r="V1747" s="1008" t="s">
        <v>648</v>
      </c>
      <c r="W1747" s="1008" t="s">
        <v>546</v>
      </c>
      <c r="X1747" s="1008" t="s">
        <v>670</v>
      </c>
      <c r="Y1747" s="1008"/>
      <c r="Z1747" s="1008"/>
      <c r="AA1747" s="1008"/>
      <c r="AB1747" s="1008"/>
      <c r="AC1747" s="1008"/>
      <c r="AD1747" s="1008"/>
      <c r="AE1747" s="1008"/>
      <c r="AF1747" s="1008"/>
      <c r="AG1747" s="1008"/>
      <c r="AH1747" s="1008"/>
      <c r="AI1747" s="1008"/>
    </row>
    <row r="1748" spans="1:35">
      <c r="A1748" s="1008">
        <v>24475</v>
      </c>
      <c r="C1748" s="1008">
        <v>6</v>
      </c>
      <c r="D1748" s="1009">
        <v>20399900</v>
      </c>
      <c r="E1748" s="1009">
        <v>20399000</v>
      </c>
      <c r="F1748" s="1007" t="s">
        <v>2915</v>
      </c>
      <c r="O1748" s="1007" t="s">
        <v>648</v>
      </c>
      <c r="P1748" s="1007" t="s">
        <v>648</v>
      </c>
      <c r="S1748" s="1008" t="s">
        <v>657</v>
      </c>
      <c r="T1748" s="1008" t="s">
        <v>21</v>
      </c>
      <c r="U1748" s="1008" t="s">
        <v>649</v>
      </c>
      <c r="V1748" s="1008" t="s">
        <v>648</v>
      </c>
      <c r="W1748" s="1008" t="s">
        <v>546</v>
      </c>
      <c r="X1748" s="1008"/>
      <c r="Y1748" s="1008"/>
      <c r="Z1748" s="1008"/>
      <c r="AA1748" s="1008"/>
      <c r="AB1748" s="1008"/>
      <c r="AC1748" s="1008"/>
      <c r="AD1748" s="1008"/>
      <c r="AE1748" s="1008"/>
      <c r="AF1748" s="1008"/>
      <c r="AG1748" s="1008"/>
      <c r="AH1748" s="1008"/>
      <c r="AI1748" s="1008"/>
    </row>
    <row r="1749" spans="1:35">
      <c r="A1749" s="1008">
        <v>24476</v>
      </c>
      <c r="C1749" s="1008">
        <v>5</v>
      </c>
      <c r="D1749" s="1009">
        <v>20399999</v>
      </c>
      <c r="E1749" s="1009">
        <v>20399900</v>
      </c>
      <c r="F1749" s="1007" t="s">
        <v>2914</v>
      </c>
      <c r="O1749" s="1007" t="s">
        <v>648</v>
      </c>
      <c r="P1749" s="1007" t="s">
        <v>648</v>
      </c>
      <c r="S1749" s="1008" t="s">
        <v>657</v>
      </c>
      <c r="T1749" s="1008" t="s">
        <v>21</v>
      </c>
      <c r="U1749" s="1008" t="s">
        <v>649</v>
      </c>
      <c r="V1749" s="1008" t="s">
        <v>648</v>
      </c>
      <c r="W1749" s="1008" t="s">
        <v>546</v>
      </c>
      <c r="X1749" s="1008"/>
      <c r="Y1749" s="1008"/>
      <c r="Z1749" s="1008"/>
      <c r="AA1749" s="1008"/>
      <c r="AB1749" s="1008"/>
      <c r="AC1749" s="1008"/>
      <c r="AD1749" s="1008"/>
      <c r="AE1749" s="1008"/>
      <c r="AF1749" s="1008"/>
      <c r="AG1749" s="1008"/>
      <c r="AH1749" s="1008"/>
      <c r="AI1749" s="1008"/>
    </row>
    <row r="1750" spans="1:35">
      <c r="A1750" s="1008">
        <v>24477</v>
      </c>
      <c r="C1750" s="1008">
        <v>4</v>
      </c>
      <c r="D1750" s="1009">
        <v>29999999</v>
      </c>
      <c r="E1750" s="1009">
        <v>20399999</v>
      </c>
      <c r="F1750" s="1007" t="s">
        <v>2913</v>
      </c>
      <c r="O1750" s="1007" t="s">
        <v>648</v>
      </c>
      <c r="P1750" s="1007" t="s">
        <v>648</v>
      </c>
      <c r="S1750" s="1008" t="s">
        <v>657</v>
      </c>
      <c r="T1750" s="1008" t="s">
        <v>21</v>
      </c>
      <c r="U1750" s="1008" t="s">
        <v>649</v>
      </c>
      <c r="V1750" s="1008" t="s">
        <v>648</v>
      </c>
      <c r="W1750" s="1008" t="s">
        <v>546</v>
      </c>
      <c r="X1750" s="1008"/>
      <c r="Y1750" s="1008"/>
      <c r="Z1750" s="1008"/>
      <c r="AA1750" s="1008"/>
      <c r="AB1750" s="1008"/>
      <c r="AC1750" s="1008"/>
      <c r="AD1750" s="1008"/>
      <c r="AE1750" s="1008"/>
      <c r="AF1750" s="1008"/>
      <c r="AG1750" s="1008"/>
      <c r="AH1750" s="1008"/>
      <c r="AI1750" s="1008"/>
    </row>
    <row r="1751" spans="1:35">
      <c r="A1751" s="1008">
        <v>24478</v>
      </c>
      <c r="C1751" s="1008">
        <v>4</v>
      </c>
      <c r="D1751" s="1009">
        <v>20499999</v>
      </c>
      <c r="E1751" s="1009">
        <v>20400000</v>
      </c>
      <c r="F1751" s="1007" t="s">
        <v>2912</v>
      </c>
      <c r="O1751" s="1007" t="s">
        <v>648</v>
      </c>
      <c r="P1751" s="1007" t="s">
        <v>648</v>
      </c>
      <c r="S1751" s="1008" t="s">
        <v>657</v>
      </c>
      <c r="T1751" s="1008" t="s">
        <v>675</v>
      </c>
      <c r="U1751" s="1008" t="s">
        <v>649</v>
      </c>
      <c r="V1751" s="1008" t="s">
        <v>648</v>
      </c>
      <c r="W1751" s="1008" t="s">
        <v>546</v>
      </c>
      <c r="X1751" s="1008"/>
      <c r="Y1751" s="1008"/>
      <c r="Z1751" s="1008"/>
      <c r="AA1751" s="1008"/>
      <c r="AB1751" s="1008"/>
      <c r="AC1751" s="1008"/>
      <c r="AD1751" s="1008"/>
      <c r="AE1751" s="1008"/>
      <c r="AF1751" s="1008"/>
      <c r="AG1751" s="1008"/>
      <c r="AH1751" s="1008"/>
      <c r="AI1751" s="1008"/>
    </row>
    <row r="1752" spans="1:35">
      <c r="A1752" s="1008">
        <v>24479</v>
      </c>
      <c r="C1752" s="1008">
        <v>5</v>
      </c>
      <c r="D1752" s="1009">
        <v>20499900</v>
      </c>
      <c r="E1752" s="1009">
        <v>20401000</v>
      </c>
      <c r="F1752" s="1007" t="s">
        <v>2912</v>
      </c>
      <c r="O1752" s="1007" t="s">
        <v>648</v>
      </c>
      <c r="P1752" s="1007" t="s">
        <v>648</v>
      </c>
      <c r="S1752" s="1008" t="s">
        <v>657</v>
      </c>
      <c r="T1752" s="1008" t="s">
        <v>675</v>
      </c>
      <c r="U1752" s="1008" t="s">
        <v>649</v>
      </c>
      <c r="V1752" s="1008" t="s">
        <v>648</v>
      </c>
      <c r="W1752" s="1008" t="s">
        <v>546</v>
      </c>
      <c r="X1752" s="1008"/>
      <c r="Y1752" s="1008"/>
      <c r="Z1752" s="1008"/>
      <c r="AA1752" s="1008"/>
      <c r="AB1752" s="1008"/>
      <c r="AC1752" s="1008"/>
      <c r="AD1752" s="1008"/>
      <c r="AE1752" s="1008"/>
      <c r="AF1752" s="1008"/>
      <c r="AG1752" s="1008"/>
      <c r="AH1752" s="1008"/>
      <c r="AI1752" s="1008"/>
    </row>
    <row r="1753" spans="1:35">
      <c r="A1753" s="1008">
        <v>24480</v>
      </c>
      <c r="B1753" s="1008">
        <v>5098</v>
      </c>
      <c r="C1753" s="1008">
        <v>6</v>
      </c>
      <c r="D1753" s="1009">
        <v>20499900</v>
      </c>
      <c r="E1753" s="1009">
        <v>20410000</v>
      </c>
      <c r="F1753" s="1007" t="s">
        <v>2911</v>
      </c>
      <c r="G1753" s="1007">
        <v>6</v>
      </c>
      <c r="H1753" s="1010">
        <v>99999999</v>
      </c>
      <c r="I1753" s="1009">
        <v>20410000</v>
      </c>
      <c r="J1753" s="1007" t="s">
        <v>2911</v>
      </c>
      <c r="O1753" s="1007" t="s">
        <v>648</v>
      </c>
      <c r="P1753" s="1007" t="s">
        <v>648</v>
      </c>
      <c r="S1753" s="1008" t="s">
        <v>657</v>
      </c>
      <c r="T1753" s="1008" t="s">
        <v>654</v>
      </c>
      <c r="U1753" s="1008" t="s">
        <v>649</v>
      </c>
      <c r="V1753" s="1008" t="s">
        <v>648</v>
      </c>
      <c r="W1753" s="1008" t="s">
        <v>546</v>
      </c>
      <c r="X1753" s="1008" t="s">
        <v>670</v>
      </c>
      <c r="Y1753" s="1008"/>
      <c r="Z1753" s="1008"/>
      <c r="AA1753" s="1008" t="s">
        <v>670</v>
      </c>
      <c r="AB1753" s="1008"/>
      <c r="AC1753" s="1008" t="s">
        <v>670</v>
      </c>
      <c r="AD1753" s="1008"/>
      <c r="AE1753" s="1008"/>
      <c r="AF1753" s="1008"/>
      <c r="AG1753" s="1008"/>
      <c r="AH1753" s="1008"/>
      <c r="AI1753" s="1008"/>
    </row>
    <row r="1754" spans="1:35">
      <c r="A1754" s="1008">
        <v>24481</v>
      </c>
      <c r="C1754" s="1008">
        <v>5</v>
      </c>
      <c r="D1754" s="1009">
        <v>20499999</v>
      </c>
      <c r="E1754" s="1009">
        <v>20499900</v>
      </c>
      <c r="F1754" s="1007" t="s">
        <v>2910</v>
      </c>
      <c r="O1754" s="1007" t="s">
        <v>648</v>
      </c>
      <c r="P1754" s="1007" t="s">
        <v>648</v>
      </c>
      <c r="S1754" s="1008" t="s">
        <v>657</v>
      </c>
      <c r="T1754" s="1008" t="s">
        <v>21</v>
      </c>
      <c r="U1754" s="1008" t="s">
        <v>649</v>
      </c>
      <c r="V1754" s="1008" t="s">
        <v>648</v>
      </c>
      <c r="W1754" s="1008" t="s">
        <v>546</v>
      </c>
      <c r="X1754" s="1008"/>
      <c r="Y1754" s="1008"/>
      <c r="Z1754" s="1008"/>
      <c r="AA1754" s="1008"/>
      <c r="AB1754" s="1008"/>
      <c r="AC1754" s="1008"/>
      <c r="AD1754" s="1008"/>
      <c r="AE1754" s="1008"/>
      <c r="AF1754" s="1008"/>
      <c r="AG1754" s="1008"/>
      <c r="AH1754" s="1008"/>
      <c r="AI1754" s="1008"/>
    </row>
    <row r="1755" spans="1:35">
      <c r="A1755" s="1008">
        <v>24482</v>
      </c>
      <c r="C1755" s="1008">
        <v>4</v>
      </c>
      <c r="D1755" s="1009">
        <v>29999999</v>
      </c>
      <c r="E1755" s="1009">
        <v>20499999</v>
      </c>
      <c r="F1755" s="1007" t="s">
        <v>2910</v>
      </c>
      <c r="O1755" s="1007" t="s">
        <v>648</v>
      </c>
      <c r="P1755" s="1007" t="s">
        <v>648</v>
      </c>
      <c r="S1755" s="1008" t="s">
        <v>657</v>
      </c>
      <c r="T1755" s="1008" t="s">
        <v>21</v>
      </c>
      <c r="U1755" s="1008" t="s">
        <v>649</v>
      </c>
      <c r="V1755" s="1008" t="s">
        <v>648</v>
      </c>
      <c r="W1755" s="1008" t="s">
        <v>546</v>
      </c>
      <c r="X1755" s="1008"/>
      <c r="Y1755" s="1008"/>
      <c r="Z1755" s="1008"/>
      <c r="AA1755" s="1008"/>
      <c r="AB1755" s="1008"/>
      <c r="AC1755" s="1008"/>
      <c r="AD1755" s="1008"/>
      <c r="AE1755" s="1008"/>
      <c r="AF1755" s="1008"/>
      <c r="AG1755" s="1008"/>
      <c r="AH1755" s="1008"/>
      <c r="AI1755" s="1008"/>
    </row>
    <row r="1756" spans="1:35">
      <c r="A1756" s="1008">
        <v>24483</v>
      </c>
      <c r="C1756" s="1008">
        <v>4</v>
      </c>
      <c r="D1756" s="1009">
        <v>20699999</v>
      </c>
      <c r="E1756" s="1009">
        <v>20500000</v>
      </c>
      <c r="F1756" s="1007" t="s">
        <v>2909</v>
      </c>
      <c r="O1756" s="1007" t="s">
        <v>648</v>
      </c>
      <c r="P1756" s="1007" t="s">
        <v>648</v>
      </c>
      <c r="S1756" s="1008" t="s">
        <v>657</v>
      </c>
      <c r="T1756" s="1008" t="s">
        <v>675</v>
      </c>
      <c r="U1756" s="1008" t="s">
        <v>649</v>
      </c>
      <c r="V1756" s="1008" t="s">
        <v>648</v>
      </c>
      <c r="W1756" s="1008" t="s">
        <v>546</v>
      </c>
      <c r="X1756" s="1008"/>
      <c r="Y1756" s="1008"/>
      <c r="Z1756" s="1008"/>
      <c r="AA1756" s="1008"/>
      <c r="AB1756" s="1008"/>
      <c r="AC1756" s="1008"/>
      <c r="AD1756" s="1008"/>
      <c r="AE1756" s="1008"/>
      <c r="AF1756" s="1008"/>
      <c r="AG1756" s="1008"/>
      <c r="AH1756" s="1008"/>
      <c r="AI1756" s="1008"/>
    </row>
    <row r="1757" spans="1:35">
      <c r="A1757" s="1008">
        <v>24484</v>
      </c>
      <c r="C1757" s="1008">
        <v>5</v>
      </c>
      <c r="D1757" s="1009">
        <v>20599999</v>
      </c>
      <c r="E1757" s="1009">
        <v>20501000</v>
      </c>
      <c r="F1757" s="1007" t="s">
        <v>2908</v>
      </c>
      <c r="O1757" s="1007" t="s">
        <v>648</v>
      </c>
      <c r="P1757" s="1007" t="s">
        <v>648</v>
      </c>
      <c r="S1757" s="1008" t="s">
        <v>657</v>
      </c>
      <c r="T1757" s="1008" t="s">
        <v>675</v>
      </c>
      <c r="U1757" s="1008" t="s">
        <v>649</v>
      </c>
      <c r="V1757" s="1008" t="s">
        <v>648</v>
      </c>
      <c r="W1757" s="1008" t="s">
        <v>546</v>
      </c>
      <c r="X1757" s="1008"/>
      <c r="Y1757" s="1008"/>
      <c r="Z1757" s="1008"/>
      <c r="AA1757" s="1008"/>
      <c r="AB1757" s="1008"/>
      <c r="AC1757" s="1008"/>
      <c r="AD1757" s="1008"/>
      <c r="AE1757" s="1008"/>
      <c r="AF1757" s="1008"/>
      <c r="AG1757" s="1008"/>
      <c r="AH1757" s="1008"/>
      <c r="AI1757" s="1008"/>
    </row>
    <row r="1758" spans="1:35">
      <c r="A1758" s="1008">
        <v>24485</v>
      </c>
      <c r="C1758" s="1008">
        <v>6</v>
      </c>
      <c r="D1758" s="1009">
        <v>20519999</v>
      </c>
      <c r="E1758" s="1009">
        <v>20510000</v>
      </c>
      <c r="F1758" s="1007" t="s">
        <v>2907</v>
      </c>
      <c r="O1758" s="1007" t="s">
        <v>648</v>
      </c>
      <c r="P1758" s="1007" t="s">
        <v>648</v>
      </c>
      <c r="S1758" s="1008" t="s">
        <v>657</v>
      </c>
      <c r="T1758" s="1008" t="s">
        <v>675</v>
      </c>
      <c r="U1758" s="1008" t="s">
        <v>649</v>
      </c>
      <c r="V1758" s="1008" t="s">
        <v>648</v>
      </c>
      <c r="W1758" s="1008" t="s">
        <v>546</v>
      </c>
      <c r="X1758" s="1008"/>
      <c r="Y1758" s="1008"/>
      <c r="Z1758" s="1008"/>
      <c r="AA1758" s="1008"/>
      <c r="AB1758" s="1008"/>
      <c r="AC1758" s="1008"/>
      <c r="AD1758" s="1008"/>
      <c r="AE1758" s="1008"/>
      <c r="AF1758" s="1008"/>
      <c r="AG1758" s="1008"/>
      <c r="AH1758" s="1008"/>
      <c r="AI1758" s="1008"/>
    </row>
    <row r="1759" spans="1:35">
      <c r="A1759" s="1008">
        <v>26412</v>
      </c>
      <c r="B1759" s="1008">
        <v>1839</v>
      </c>
      <c r="C1759" s="1008">
        <v>7</v>
      </c>
      <c r="D1759" s="1009">
        <v>20519999</v>
      </c>
      <c r="E1759" s="1009">
        <v>20510700</v>
      </c>
      <c r="F1759" s="1007" t="s">
        <v>2906</v>
      </c>
      <c r="G1759" s="1007">
        <v>7</v>
      </c>
      <c r="H1759" s="1010">
        <v>99999999</v>
      </c>
      <c r="I1759" s="1009">
        <v>20510700</v>
      </c>
      <c r="J1759" s="1007" t="s">
        <v>2906</v>
      </c>
      <c r="O1759" s="1007" t="s">
        <v>648</v>
      </c>
      <c r="P1759" s="1007" t="s">
        <v>648</v>
      </c>
      <c r="S1759" s="1008" t="s">
        <v>657</v>
      </c>
      <c r="T1759" s="1008" t="s">
        <v>654</v>
      </c>
      <c r="U1759" s="1008" t="s">
        <v>649</v>
      </c>
      <c r="V1759" s="1008" t="s">
        <v>648</v>
      </c>
      <c r="W1759" s="1008" t="s">
        <v>546</v>
      </c>
      <c r="X1759" s="1008" t="s">
        <v>670</v>
      </c>
      <c r="Y1759" s="1008" t="s">
        <v>670</v>
      </c>
      <c r="Z1759" s="1008" t="s">
        <v>670</v>
      </c>
      <c r="AA1759" s="1008" t="s">
        <v>670</v>
      </c>
      <c r="AB1759" s="1008" t="s">
        <v>670</v>
      </c>
      <c r="AC1759" s="1008" t="s">
        <v>670</v>
      </c>
      <c r="AD1759" s="1008" t="s">
        <v>670</v>
      </c>
      <c r="AE1759" s="1008"/>
      <c r="AF1759" s="1008" t="s">
        <v>670</v>
      </c>
      <c r="AG1759" s="1008"/>
      <c r="AH1759" s="1008"/>
      <c r="AI1759" s="1008"/>
    </row>
    <row r="1760" spans="1:35">
      <c r="A1760" s="1008">
        <v>24486</v>
      </c>
      <c r="B1760" s="1008">
        <v>1840</v>
      </c>
      <c r="C1760" s="1008">
        <v>7</v>
      </c>
      <c r="D1760" s="1009">
        <v>20519999</v>
      </c>
      <c r="E1760" s="1009">
        <v>20510705</v>
      </c>
      <c r="F1760" s="1007" t="s">
        <v>2905</v>
      </c>
      <c r="G1760" s="1007">
        <v>7</v>
      </c>
      <c r="H1760" s="1010">
        <v>99999999</v>
      </c>
      <c r="I1760" s="1009">
        <v>20510705</v>
      </c>
      <c r="J1760" s="1007" t="s">
        <v>2905</v>
      </c>
      <c r="O1760" s="1007" t="s">
        <v>648</v>
      </c>
      <c r="P1760" s="1007" t="s">
        <v>648</v>
      </c>
      <c r="S1760" s="1008" t="s">
        <v>657</v>
      </c>
      <c r="T1760" s="1008" t="s">
        <v>654</v>
      </c>
      <c r="U1760" s="1008" t="s">
        <v>649</v>
      </c>
      <c r="V1760" s="1008" t="s">
        <v>648</v>
      </c>
      <c r="W1760" s="1008" t="s">
        <v>546</v>
      </c>
      <c r="X1760" s="1008" t="s">
        <v>670</v>
      </c>
      <c r="Y1760" s="1008" t="s">
        <v>670</v>
      </c>
      <c r="Z1760" s="1008" t="s">
        <v>670</v>
      </c>
      <c r="AA1760" s="1008" t="s">
        <v>670</v>
      </c>
      <c r="AB1760" s="1008" t="s">
        <v>670</v>
      </c>
      <c r="AC1760" s="1008" t="s">
        <v>670</v>
      </c>
      <c r="AD1760" s="1008" t="s">
        <v>670</v>
      </c>
      <c r="AE1760" s="1008"/>
      <c r="AF1760" s="1008" t="s">
        <v>670</v>
      </c>
      <c r="AG1760" s="1008"/>
      <c r="AH1760" s="1008"/>
      <c r="AI1760" s="1008"/>
    </row>
    <row r="1761" spans="1:35">
      <c r="A1761" s="1008">
        <v>24487</v>
      </c>
      <c r="B1761" s="1008">
        <v>1841</v>
      </c>
      <c r="C1761" s="1008">
        <v>7</v>
      </c>
      <c r="D1761" s="1009">
        <v>20519999</v>
      </c>
      <c r="E1761" s="1009">
        <v>20510710</v>
      </c>
      <c r="F1761" s="1007" t="s">
        <v>2904</v>
      </c>
      <c r="G1761" s="1007">
        <v>7</v>
      </c>
      <c r="H1761" s="1010">
        <v>99999999</v>
      </c>
      <c r="I1761" s="1009">
        <v>20510710</v>
      </c>
      <c r="J1761" s="1007" t="s">
        <v>2904</v>
      </c>
      <c r="O1761" s="1007" t="s">
        <v>648</v>
      </c>
      <c r="P1761" s="1007" t="s">
        <v>648</v>
      </c>
      <c r="S1761" s="1008" t="s">
        <v>657</v>
      </c>
      <c r="T1761" s="1008" t="s">
        <v>654</v>
      </c>
      <c r="U1761" s="1008" t="s">
        <v>649</v>
      </c>
      <c r="V1761" s="1008" t="s">
        <v>648</v>
      </c>
      <c r="W1761" s="1008" t="s">
        <v>546</v>
      </c>
      <c r="X1761" s="1008" t="s">
        <v>670</v>
      </c>
      <c r="Y1761" s="1008" t="s">
        <v>670</v>
      </c>
      <c r="Z1761" s="1008" t="s">
        <v>670</v>
      </c>
      <c r="AA1761" s="1008" t="s">
        <v>670</v>
      </c>
      <c r="AB1761" s="1008" t="s">
        <v>670</v>
      </c>
      <c r="AC1761" s="1008" t="s">
        <v>670</v>
      </c>
      <c r="AD1761" s="1008" t="s">
        <v>670</v>
      </c>
      <c r="AE1761" s="1008"/>
      <c r="AF1761" s="1008" t="s">
        <v>670</v>
      </c>
      <c r="AG1761" s="1008"/>
      <c r="AH1761" s="1008"/>
      <c r="AI1761" s="1008"/>
    </row>
    <row r="1762" spans="1:35">
      <c r="A1762" s="1008">
        <v>24488</v>
      </c>
      <c r="B1762" s="1008">
        <v>1842</v>
      </c>
      <c r="C1762" s="1008">
        <v>7</v>
      </c>
      <c r="D1762" s="1009">
        <v>20519999</v>
      </c>
      <c r="E1762" s="1009">
        <v>20510715</v>
      </c>
      <c r="F1762" s="1007" t="s">
        <v>2903</v>
      </c>
      <c r="G1762" s="1007">
        <v>7</v>
      </c>
      <c r="H1762" s="1010">
        <v>99999999</v>
      </c>
      <c r="I1762" s="1009">
        <v>20510715</v>
      </c>
      <c r="J1762" s="1007" t="s">
        <v>2903</v>
      </c>
      <c r="O1762" s="1007" t="s">
        <v>648</v>
      </c>
      <c r="P1762" s="1007" t="s">
        <v>648</v>
      </c>
      <c r="S1762" s="1008" t="s">
        <v>657</v>
      </c>
      <c r="T1762" s="1008" t="s">
        <v>654</v>
      </c>
      <c r="U1762" s="1008" t="s">
        <v>649</v>
      </c>
      <c r="V1762" s="1008" t="s">
        <v>648</v>
      </c>
      <c r="W1762" s="1008" t="s">
        <v>546</v>
      </c>
      <c r="X1762" s="1008" t="s">
        <v>670</v>
      </c>
      <c r="Y1762" s="1008" t="s">
        <v>670</v>
      </c>
      <c r="Z1762" s="1008" t="s">
        <v>670</v>
      </c>
      <c r="AA1762" s="1008" t="s">
        <v>670</v>
      </c>
      <c r="AB1762" s="1008" t="s">
        <v>670</v>
      </c>
      <c r="AC1762" s="1008" t="s">
        <v>670</v>
      </c>
      <c r="AD1762" s="1008" t="s">
        <v>670</v>
      </c>
      <c r="AE1762" s="1008"/>
      <c r="AF1762" s="1008" t="s">
        <v>670</v>
      </c>
      <c r="AG1762" s="1008"/>
      <c r="AH1762" s="1008"/>
      <c r="AI1762" s="1008"/>
    </row>
    <row r="1763" spans="1:35">
      <c r="A1763" s="1008">
        <v>24489</v>
      </c>
      <c r="B1763" s="1008">
        <v>729</v>
      </c>
      <c r="C1763" s="1008">
        <v>7</v>
      </c>
      <c r="D1763" s="1009">
        <v>20519999</v>
      </c>
      <c r="E1763" s="1009">
        <v>20510720</v>
      </c>
      <c r="F1763" s="1007" t="s">
        <v>2902</v>
      </c>
      <c r="G1763" s="1007">
        <v>8</v>
      </c>
      <c r="H1763" s="1010">
        <v>99999999</v>
      </c>
      <c r="I1763" s="1009">
        <v>20510720</v>
      </c>
      <c r="J1763" s="1007" t="s">
        <v>2902</v>
      </c>
      <c r="O1763" s="1007" t="s">
        <v>648</v>
      </c>
      <c r="P1763" s="1007" t="s">
        <v>648</v>
      </c>
      <c r="S1763" s="1008" t="s">
        <v>657</v>
      </c>
      <c r="T1763" s="1008" t="s">
        <v>654</v>
      </c>
      <c r="U1763" s="1008" t="s">
        <v>649</v>
      </c>
      <c r="V1763" s="1008" t="s">
        <v>648</v>
      </c>
      <c r="W1763" s="1008" t="s">
        <v>546</v>
      </c>
      <c r="X1763" s="1008" t="s">
        <v>670</v>
      </c>
      <c r="Y1763" s="1008" t="s">
        <v>670</v>
      </c>
      <c r="Z1763" s="1008" t="s">
        <v>670</v>
      </c>
      <c r="AA1763" s="1008" t="s">
        <v>670</v>
      </c>
      <c r="AB1763" s="1008" t="s">
        <v>670</v>
      </c>
      <c r="AC1763" s="1008" t="s">
        <v>670</v>
      </c>
      <c r="AD1763" s="1008" t="s">
        <v>670</v>
      </c>
      <c r="AE1763" s="1008"/>
      <c r="AF1763" s="1008" t="s">
        <v>670</v>
      </c>
      <c r="AG1763" s="1008"/>
      <c r="AH1763" s="1008"/>
      <c r="AI1763" s="1008"/>
    </row>
    <row r="1764" spans="1:35">
      <c r="A1764" s="1008">
        <v>24490</v>
      </c>
      <c r="B1764" s="1008">
        <v>733</v>
      </c>
      <c r="C1764" s="1008">
        <v>7</v>
      </c>
      <c r="D1764" s="1009">
        <v>20519999</v>
      </c>
      <c r="E1764" s="1009">
        <v>20510725</v>
      </c>
      <c r="F1764" s="1007" t="s">
        <v>2901</v>
      </c>
      <c r="G1764" s="1007">
        <v>8</v>
      </c>
      <c r="H1764" s="1010">
        <v>99999999</v>
      </c>
      <c r="I1764" s="1009">
        <v>20510725</v>
      </c>
      <c r="J1764" s="1007" t="s">
        <v>2901</v>
      </c>
      <c r="O1764" s="1007" t="s">
        <v>648</v>
      </c>
      <c r="P1764" s="1007" t="s">
        <v>648</v>
      </c>
      <c r="S1764" s="1008" t="s">
        <v>657</v>
      </c>
      <c r="T1764" s="1008" t="s">
        <v>654</v>
      </c>
      <c r="U1764" s="1008" t="s">
        <v>649</v>
      </c>
      <c r="V1764" s="1008" t="s">
        <v>648</v>
      </c>
      <c r="W1764" s="1008" t="s">
        <v>546</v>
      </c>
      <c r="X1764" s="1008" t="s">
        <v>670</v>
      </c>
      <c r="Y1764" s="1008" t="s">
        <v>670</v>
      </c>
      <c r="Z1764" s="1008" t="s">
        <v>670</v>
      </c>
      <c r="AA1764" s="1008" t="s">
        <v>670</v>
      </c>
      <c r="AB1764" s="1008" t="s">
        <v>670</v>
      </c>
      <c r="AC1764" s="1008" t="s">
        <v>670</v>
      </c>
      <c r="AD1764" s="1008" t="s">
        <v>670</v>
      </c>
      <c r="AE1764" s="1008" t="s">
        <v>670</v>
      </c>
      <c r="AF1764" s="1008" t="s">
        <v>670</v>
      </c>
      <c r="AG1764" s="1008"/>
      <c r="AH1764" s="1008"/>
      <c r="AI1764" s="1008"/>
    </row>
    <row r="1765" spans="1:35">
      <c r="A1765" s="1008">
        <v>24491</v>
      </c>
      <c r="B1765" s="1008">
        <v>732</v>
      </c>
      <c r="C1765" s="1008">
        <v>7</v>
      </c>
      <c r="D1765" s="1009">
        <v>20519999</v>
      </c>
      <c r="E1765" s="1009">
        <v>20510730</v>
      </c>
      <c r="F1765" s="1007" t="s">
        <v>2900</v>
      </c>
      <c r="G1765" s="1007">
        <v>8</v>
      </c>
      <c r="H1765" s="1010">
        <v>99999999</v>
      </c>
      <c r="I1765" s="1009">
        <v>20510730</v>
      </c>
      <c r="J1765" s="1007" t="s">
        <v>2900</v>
      </c>
      <c r="O1765" s="1007" t="s">
        <v>648</v>
      </c>
      <c r="P1765" s="1007" t="s">
        <v>648</v>
      </c>
      <c r="S1765" s="1008" t="s">
        <v>657</v>
      </c>
      <c r="T1765" s="1008" t="s">
        <v>654</v>
      </c>
      <c r="U1765" s="1008" t="s">
        <v>649</v>
      </c>
      <c r="V1765" s="1008" t="s">
        <v>648</v>
      </c>
      <c r="W1765" s="1008" t="s">
        <v>546</v>
      </c>
      <c r="X1765" s="1008" t="s">
        <v>670</v>
      </c>
      <c r="Y1765" s="1008" t="s">
        <v>670</v>
      </c>
      <c r="Z1765" s="1008" t="s">
        <v>670</v>
      </c>
      <c r="AA1765" s="1008" t="s">
        <v>670</v>
      </c>
      <c r="AB1765" s="1008" t="s">
        <v>670</v>
      </c>
      <c r="AC1765" s="1008" t="s">
        <v>670</v>
      </c>
      <c r="AD1765" s="1008" t="s">
        <v>670</v>
      </c>
      <c r="AE1765" s="1008"/>
      <c r="AF1765" s="1008" t="s">
        <v>670</v>
      </c>
      <c r="AG1765" s="1008"/>
      <c r="AH1765" s="1008"/>
      <c r="AI1765" s="1008"/>
    </row>
    <row r="1766" spans="1:35">
      <c r="A1766" s="1008">
        <v>26411</v>
      </c>
      <c r="B1766" s="1008">
        <v>1846</v>
      </c>
      <c r="C1766" s="1008">
        <v>7</v>
      </c>
      <c r="D1766" s="1009">
        <v>20579999</v>
      </c>
      <c r="E1766" s="1009">
        <v>20510735</v>
      </c>
      <c r="F1766" s="1007" t="s">
        <v>2899</v>
      </c>
      <c r="G1766" s="1007">
        <v>7</v>
      </c>
      <c r="H1766" s="1010">
        <v>99999999</v>
      </c>
      <c r="I1766" s="1009">
        <v>20510735</v>
      </c>
      <c r="J1766" s="1007" t="s">
        <v>2899</v>
      </c>
      <c r="O1766" s="1007" t="s">
        <v>648</v>
      </c>
      <c r="P1766" s="1007" t="s">
        <v>648</v>
      </c>
      <c r="S1766" s="1008" t="s">
        <v>657</v>
      </c>
      <c r="T1766" s="1008" t="s">
        <v>654</v>
      </c>
      <c r="U1766" s="1008" t="s">
        <v>649</v>
      </c>
      <c r="V1766" s="1008" t="s">
        <v>648</v>
      </c>
      <c r="W1766" s="1008" t="s">
        <v>546</v>
      </c>
      <c r="X1766" s="1008" t="s">
        <v>670</v>
      </c>
      <c r="Y1766" s="1008" t="s">
        <v>670</v>
      </c>
      <c r="Z1766" s="1008" t="s">
        <v>670</v>
      </c>
      <c r="AA1766" s="1008" t="s">
        <v>670</v>
      </c>
      <c r="AB1766" s="1008" t="s">
        <v>670</v>
      </c>
      <c r="AC1766" s="1008" t="s">
        <v>670</v>
      </c>
      <c r="AD1766" s="1008" t="s">
        <v>670</v>
      </c>
      <c r="AE1766" s="1008"/>
      <c r="AF1766" s="1008" t="s">
        <v>670</v>
      </c>
      <c r="AG1766" s="1008"/>
      <c r="AH1766" s="1008"/>
      <c r="AI1766" s="1008"/>
    </row>
    <row r="1767" spans="1:35">
      <c r="A1767" s="1008">
        <v>24492</v>
      </c>
      <c r="B1767" s="1008">
        <v>723</v>
      </c>
      <c r="C1767" s="1008">
        <v>7</v>
      </c>
      <c r="D1767" s="1009">
        <v>20519999</v>
      </c>
      <c r="E1767" s="1009">
        <v>20510740</v>
      </c>
      <c r="F1767" s="1007" t="s">
        <v>2898</v>
      </c>
      <c r="G1767" s="1007">
        <v>8</v>
      </c>
      <c r="H1767" s="1010">
        <v>99999999</v>
      </c>
      <c r="I1767" s="1009">
        <v>20510740</v>
      </c>
      <c r="J1767" s="1007" t="s">
        <v>2898</v>
      </c>
      <c r="O1767" s="1007" t="s">
        <v>648</v>
      </c>
      <c r="P1767" s="1007" t="s">
        <v>648</v>
      </c>
      <c r="S1767" s="1008" t="s">
        <v>657</v>
      </c>
      <c r="T1767" s="1008" t="s">
        <v>654</v>
      </c>
      <c r="U1767" s="1008" t="s">
        <v>649</v>
      </c>
      <c r="V1767" s="1008" t="s">
        <v>648</v>
      </c>
      <c r="W1767" s="1008" t="s">
        <v>546</v>
      </c>
      <c r="X1767" s="1008" t="s">
        <v>670</v>
      </c>
      <c r="Y1767" s="1008"/>
      <c r="Z1767" s="1008"/>
      <c r="AA1767" s="1008" t="s">
        <v>670</v>
      </c>
      <c r="AB1767" s="1008" t="s">
        <v>670</v>
      </c>
      <c r="AC1767" s="1008" t="s">
        <v>670</v>
      </c>
      <c r="AD1767" s="1008"/>
      <c r="AE1767" s="1008"/>
      <c r="AF1767" s="1008"/>
      <c r="AG1767" s="1008"/>
      <c r="AH1767" s="1008"/>
      <c r="AI1767" s="1008"/>
    </row>
    <row r="1768" spans="1:35">
      <c r="A1768" s="1008">
        <v>27105</v>
      </c>
      <c r="B1768" s="1008">
        <v>5938</v>
      </c>
      <c r="C1768" s="1008">
        <v>7</v>
      </c>
      <c r="D1768" s="1009">
        <v>20519999</v>
      </c>
      <c r="E1768" s="1009">
        <v>20510745</v>
      </c>
      <c r="F1768" s="1007" t="s">
        <v>2897</v>
      </c>
      <c r="G1768" s="1007" t="s">
        <v>648</v>
      </c>
      <c r="H1768" s="1010">
        <v>99999999</v>
      </c>
      <c r="I1768" s="1009">
        <v>20510745</v>
      </c>
      <c r="J1768" s="1007" t="s">
        <v>2897</v>
      </c>
      <c r="O1768" s="1007" t="s">
        <v>648</v>
      </c>
      <c r="P1768" s="1007" t="s">
        <v>648</v>
      </c>
      <c r="S1768" s="1008" t="s">
        <v>657</v>
      </c>
      <c r="T1768" s="1008" t="s">
        <v>654</v>
      </c>
      <c r="U1768" s="1008" t="s">
        <v>649</v>
      </c>
      <c r="V1768" s="1008" t="s">
        <v>648</v>
      </c>
      <c r="W1768" s="1008" t="s">
        <v>546</v>
      </c>
      <c r="X1768" s="1008" t="s">
        <v>670</v>
      </c>
      <c r="Y1768" s="1008" t="s">
        <v>670</v>
      </c>
      <c r="Z1768" s="1008" t="s">
        <v>670</v>
      </c>
      <c r="AA1768" s="1008" t="s">
        <v>670</v>
      </c>
      <c r="AB1768" s="1008" t="s">
        <v>670</v>
      </c>
      <c r="AC1768" s="1008" t="s">
        <v>670</v>
      </c>
      <c r="AD1768" s="1008" t="s">
        <v>670</v>
      </c>
      <c r="AE1768" s="1008"/>
      <c r="AF1768" s="1008" t="s">
        <v>670</v>
      </c>
      <c r="AG1768" s="1008"/>
      <c r="AH1768" s="1008"/>
      <c r="AI1768" s="1008"/>
    </row>
    <row r="1769" spans="1:35">
      <c r="A1769" s="1008">
        <v>24493</v>
      </c>
      <c r="B1769" s="1008">
        <v>1848</v>
      </c>
      <c r="C1769" s="1008">
        <v>7</v>
      </c>
      <c r="D1769" s="1009">
        <v>20519999</v>
      </c>
      <c r="E1769" s="1009">
        <v>20510750</v>
      </c>
      <c r="F1769" s="1007" t="s">
        <v>2896</v>
      </c>
      <c r="G1769" s="1007">
        <v>7</v>
      </c>
      <c r="H1769" s="1010">
        <v>99999999</v>
      </c>
      <c r="I1769" s="1009">
        <v>20510750</v>
      </c>
      <c r="J1769" s="1007" t="s">
        <v>2896</v>
      </c>
      <c r="O1769" s="1007" t="s">
        <v>648</v>
      </c>
      <c r="P1769" s="1007" t="s">
        <v>648</v>
      </c>
      <c r="S1769" s="1008" t="s">
        <v>657</v>
      </c>
      <c r="T1769" s="1008" t="s">
        <v>654</v>
      </c>
      <c r="U1769" s="1008" t="s">
        <v>649</v>
      </c>
      <c r="V1769" s="1008" t="s">
        <v>648</v>
      </c>
      <c r="W1769" s="1008" t="s">
        <v>546</v>
      </c>
      <c r="X1769" s="1008" t="s">
        <v>670</v>
      </c>
      <c r="Y1769" s="1008" t="s">
        <v>670</v>
      </c>
      <c r="Z1769" s="1008" t="s">
        <v>670</v>
      </c>
      <c r="AA1769" s="1008" t="s">
        <v>670</v>
      </c>
      <c r="AB1769" s="1008" t="s">
        <v>670</v>
      </c>
      <c r="AC1769" s="1008" t="s">
        <v>670</v>
      </c>
      <c r="AD1769" s="1008" t="s">
        <v>670</v>
      </c>
      <c r="AE1769" s="1008"/>
      <c r="AF1769" s="1008" t="s">
        <v>670</v>
      </c>
      <c r="AG1769" s="1008"/>
      <c r="AH1769" s="1008"/>
      <c r="AI1769" s="1008"/>
    </row>
    <row r="1770" spans="1:35">
      <c r="A1770" s="1008">
        <v>27569</v>
      </c>
      <c r="B1770" s="1008">
        <v>6418</v>
      </c>
      <c r="C1770" s="1008">
        <v>7</v>
      </c>
      <c r="D1770" s="1009">
        <v>20519999</v>
      </c>
      <c r="E1770" s="1009">
        <v>20510755</v>
      </c>
      <c r="F1770" s="1007" t="s">
        <v>2895</v>
      </c>
      <c r="G1770" s="1007">
        <v>7</v>
      </c>
      <c r="H1770" s="1010">
        <v>99999999</v>
      </c>
      <c r="I1770" s="1009">
        <v>20510755</v>
      </c>
      <c r="J1770" s="1007" t="s">
        <v>2895</v>
      </c>
      <c r="O1770" s="1007" t="s">
        <v>648</v>
      </c>
      <c r="P1770" s="1007" t="s">
        <v>648</v>
      </c>
      <c r="S1770" s="1008" t="s">
        <v>657</v>
      </c>
      <c r="T1770" s="1008" t="s">
        <v>654</v>
      </c>
      <c r="U1770" s="1008" t="s">
        <v>649</v>
      </c>
      <c r="V1770" s="1008" t="s">
        <v>648</v>
      </c>
      <c r="W1770" s="1008" t="s">
        <v>546</v>
      </c>
      <c r="X1770" s="1008" t="s">
        <v>670</v>
      </c>
      <c r="Y1770" s="1008"/>
      <c r="Z1770" s="1008"/>
      <c r="AA1770" s="1008" t="s">
        <v>670</v>
      </c>
      <c r="AB1770" s="1008"/>
      <c r="AC1770" s="1008" t="s">
        <v>670</v>
      </c>
      <c r="AD1770" s="1008"/>
      <c r="AE1770" s="1008"/>
      <c r="AF1770" s="1008"/>
      <c r="AG1770" s="1008"/>
      <c r="AH1770" s="1008"/>
      <c r="AI1770" s="1008"/>
    </row>
    <row r="1771" spans="1:35">
      <c r="A1771" s="1008">
        <v>24494</v>
      </c>
      <c r="B1771" s="1008">
        <v>724</v>
      </c>
      <c r="C1771" s="1008">
        <v>7</v>
      </c>
      <c r="D1771" s="1009">
        <v>20519999</v>
      </c>
      <c r="E1771" s="1009">
        <v>20510760</v>
      </c>
      <c r="F1771" s="1007" t="s">
        <v>2894</v>
      </c>
      <c r="G1771" s="1007">
        <v>8</v>
      </c>
      <c r="H1771" s="1010">
        <v>99999999</v>
      </c>
      <c r="I1771" s="1009">
        <v>20510760</v>
      </c>
      <c r="J1771" s="1007" t="s">
        <v>2894</v>
      </c>
      <c r="O1771" s="1007" t="s">
        <v>648</v>
      </c>
      <c r="P1771" s="1007" t="s">
        <v>648</v>
      </c>
      <c r="S1771" s="1008" t="s">
        <v>657</v>
      </c>
      <c r="T1771" s="1008" t="s">
        <v>654</v>
      </c>
      <c r="U1771" s="1008" t="s">
        <v>649</v>
      </c>
      <c r="V1771" s="1008" t="s">
        <v>648</v>
      </c>
      <c r="W1771" s="1008" t="s">
        <v>546</v>
      </c>
      <c r="X1771" s="1008" t="s">
        <v>670</v>
      </c>
      <c r="Y1771" s="1008" t="s">
        <v>670</v>
      </c>
      <c r="Z1771" s="1008" t="s">
        <v>670</v>
      </c>
      <c r="AA1771" s="1008" t="s">
        <v>670</v>
      </c>
      <c r="AB1771" s="1008" t="s">
        <v>670</v>
      </c>
      <c r="AC1771" s="1008" t="s">
        <v>670</v>
      </c>
      <c r="AD1771" s="1008" t="s">
        <v>670</v>
      </c>
      <c r="AE1771" s="1008"/>
      <c r="AF1771" s="1008" t="s">
        <v>670</v>
      </c>
      <c r="AG1771" s="1008"/>
      <c r="AH1771" s="1008"/>
      <c r="AI1771" s="1008"/>
    </row>
    <row r="1772" spans="1:35">
      <c r="A1772" s="1008">
        <v>24495</v>
      </c>
      <c r="B1772" s="1008">
        <v>1850</v>
      </c>
      <c r="C1772" s="1008">
        <v>7</v>
      </c>
      <c r="D1772" s="1009">
        <v>20519999</v>
      </c>
      <c r="E1772" s="1009">
        <v>20510770</v>
      </c>
      <c r="F1772" s="1007" t="s">
        <v>2893</v>
      </c>
      <c r="G1772" s="1007">
        <v>7</v>
      </c>
      <c r="H1772" s="1010">
        <v>99999999</v>
      </c>
      <c r="I1772" s="1009">
        <v>20510770</v>
      </c>
      <c r="J1772" s="1007" t="s">
        <v>2893</v>
      </c>
      <c r="O1772" s="1007" t="s">
        <v>648</v>
      </c>
      <c r="P1772" s="1007" t="s">
        <v>648</v>
      </c>
      <c r="S1772" s="1008" t="s">
        <v>657</v>
      </c>
      <c r="T1772" s="1008" t="s">
        <v>654</v>
      </c>
      <c r="U1772" s="1008" t="s">
        <v>649</v>
      </c>
      <c r="V1772" s="1008" t="s">
        <v>648</v>
      </c>
      <c r="W1772" s="1008" t="s">
        <v>546</v>
      </c>
      <c r="X1772" s="1008" t="s">
        <v>670</v>
      </c>
      <c r="Y1772" s="1008" t="s">
        <v>670</v>
      </c>
      <c r="Z1772" s="1008" t="s">
        <v>670</v>
      </c>
      <c r="AA1772" s="1008" t="s">
        <v>670</v>
      </c>
      <c r="AB1772" s="1008" t="s">
        <v>670</v>
      </c>
      <c r="AC1772" s="1008" t="s">
        <v>670</v>
      </c>
      <c r="AD1772" s="1008" t="s">
        <v>670</v>
      </c>
      <c r="AE1772" s="1008"/>
      <c r="AF1772" s="1008" t="s">
        <v>670</v>
      </c>
      <c r="AG1772" s="1008"/>
      <c r="AH1772" s="1008"/>
      <c r="AI1772" s="1008"/>
    </row>
    <row r="1773" spans="1:35">
      <c r="A1773" s="1008">
        <v>24496</v>
      </c>
      <c r="B1773" s="1008">
        <v>730</v>
      </c>
      <c r="C1773" s="1008">
        <v>7</v>
      </c>
      <c r="D1773" s="1009">
        <v>20519999</v>
      </c>
      <c r="E1773" s="1009">
        <v>20510780</v>
      </c>
      <c r="F1773" s="1007" t="s">
        <v>2892</v>
      </c>
      <c r="G1773" s="1007">
        <v>8</v>
      </c>
      <c r="H1773" s="1010">
        <v>99999999</v>
      </c>
      <c r="I1773" s="1009">
        <v>20510780</v>
      </c>
      <c r="J1773" s="1007" t="s">
        <v>2892</v>
      </c>
      <c r="O1773" s="1007" t="s">
        <v>648</v>
      </c>
      <c r="P1773" s="1007" t="s">
        <v>648</v>
      </c>
      <c r="S1773" s="1008" t="s">
        <v>657</v>
      </c>
      <c r="T1773" s="1008" t="s">
        <v>654</v>
      </c>
      <c r="U1773" s="1008" t="s">
        <v>649</v>
      </c>
      <c r="V1773" s="1008" t="s">
        <v>648</v>
      </c>
      <c r="W1773" s="1008" t="s">
        <v>546</v>
      </c>
      <c r="X1773" s="1008" t="s">
        <v>670</v>
      </c>
      <c r="Y1773" s="1008" t="s">
        <v>670</v>
      </c>
      <c r="Z1773" s="1008" t="s">
        <v>670</v>
      </c>
      <c r="AA1773" s="1008" t="s">
        <v>670</v>
      </c>
      <c r="AB1773" s="1008" t="s">
        <v>670</v>
      </c>
      <c r="AC1773" s="1008" t="s">
        <v>670</v>
      </c>
      <c r="AD1773" s="1008" t="s">
        <v>670</v>
      </c>
      <c r="AE1773" s="1008"/>
      <c r="AF1773" s="1008" t="s">
        <v>670</v>
      </c>
      <c r="AG1773" s="1008"/>
      <c r="AH1773" s="1008"/>
      <c r="AI1773" s="1008"/>
    </row>
    <row r="1774" spans="1:35">
      <c r="A1774" s="1008">
        <v>24497</v>
      </c>
      <c r="B1774" s="1008">
        <v>5103</v>
      </c>
      <c r="C1774" s="1008">
        <v>7</v>
      </c>
      <c r="D1774" s="1009">
        <v>20519999</v>
      </c>
      <c r="E1774" s="1009">
        <v>20510790</v>
      </c>
      <c r="F1774" s="1007" t="s">
        <v>2891</v>
      </c>
      <c r="G1774" s="1007">
        <v>7</v>
      </c>
      <c r="H1774" s="1010">
        <v>99999999</v>
      </c>
      <c r="I1774" s="1009">
        <v>20510790</v>
      </c>
      <c r="J1774" s="1007" t="s">
        <v>2891</v>
      </c>
      <c r="O1774" s="1007" t="s">
        <v>648</v>
      </c>
      <c r="P1774" s="1007" t="s">
        <v>648</v>
      </c>
      <c r="S1774" s="1008" t="s">
        <v>657</v>
      </c>
      <c r="T1774" s="1008" t="s">
        <v>654</v>
      </c>
      <c r="U1774" s="1008" t="s">
        <v>649</v>
      </c>
      <c r="V1774" s="1008" t="s">
        <v>648</v>
      </c>
      <c r="W1774" s="1008" t="s">
        <v>546</v>
      </c>
      <c r="X1774" s="1008" t="s">
        <v>670</v>
      </c>
      <c r="Y1774" s="1008" t="s">
        <v>670</v>
      </c>
      <c r="Z1774" s="1008" t="s">
        <v>670</v>
      </c>
      <c r="AA1774" s="1008" t="s">
        <v>670</v>
      </c>
      <c r="AB1774" s="1008" t="s">
        <v>670</v>
      </c>
      <c r="AC1774" s="1008" t="s">
        <v>670</v>
      </c>
      <c r="AD1774" s="1008" t="s">
        <v>670</v>
      </c>
      <c r="AE1774" s="1008"/>
      <c r="AF1774" s="1008" t="s">
        <v>670</v>
      </c>
      <c r="AG1774" s="1008"/>
      <c r="AH1774" s="1008"/>
      <c r="AI1774" s="1008"/>
    </row>
    <row r="1775" spans="1:35">
      <c r="A1775" s="1008">
        <v>24498</v>
      </c>
      <c r="C1775" s="1008">
        <v>6</v>
      </c>
      <c r="D1775" s="1009">
        <v>20599999</v>
      </c>
      <c r="E1775" s="1009">
        <v>20519999</v>
      </c>
      <c r="F1775" s="1007" t="s">
        <v>2890</v>
      </c>
      <c r="O1775" s="1007" t="s">
        <v>648</v>
      </c>
      <c r="P1775" s="1007" t="s">
        <v>648</v>
      </c>
      <c r="S1775" s="1008" t="s">
        <v>657</v>
      </c>
      <c r="T1775" s="1008" t="s">
        <v>21</v>
      </c>
      <c r="U1775" s="1008" t="s">
        <v>649</v>
      </c>
      <c r="V1775" s="1008" t="s">
        <v>648</v>
      </c>
      <c r="W1775" s="1008" t="s">
        <v>546</v>
      </c>
      <c r="X1775" s="1008"/>
      <c r="Y1775" s="1008"/>
      <c r="Z1775" s="1008"/>
      <c r="AA1775" s="1008"/>
      <c r="AB1775" s="1008"/>
      <c r="AC1775" s="1008"/>
      <c r="AD1775" s="1008"/>
      <c r="AE1775" s="1008"/>
      <c r="AF1775" s="1008"/>
      <c r="AG1775" s="1008"/>
      <c r="AH1775" s="1008"/>
      <c r="AI1775" s="1008"/>
    </row>
    <row r="1776" spans="1:35">
      <c r="A1776" s="1008">
        <v>24499</v>
      </c>
      <c r="C1776" s="1008">
        <v>6</v>
      </c>
      <c r="D1776" s="1009">
        <v>20529999</v>
      </c>
      <c r="E1776" s="1009">
        <v>20520000</v>
      </c>
      <c r="F1776" s="1007" t="s">
        <v>2889</v>
      </c>
      <c r="O1776" s="1007" t="s">
        <v>648</v>
      </c>
      <c r="P1776" s="1007" t="s">
        <v>648</v>
      </c>
      <c r="S1776" s="1008" t="s">
        <v>657</v>
      </c>
      <c r="T1776" s="1008" t="s">
        <v>675</v>
      </c>
      <c r="U1776" s="1008" t="s">
        <v>649</v>
      </c>
      <c r="V1776" s="1008" t="s">
        <v>648</v>
      </c>
      <c r="W1776" s="1008" t="s">
        <v>546</v>
      </c>
      <c r="X1776" s="1008"/>
      <c r="Y1776" s="1008"/>
      <c r="Z1776" s="1008"/>
      <c r="AA1776" s="1008"/>
      <c r="AB1776" s="1008"/>
      <c r="AC1776" s="1008"/>
      <c r="AD1776" s="1008"/>
      <c r="AE1776" s="1008"/>
      <c r="AF1776" s="1008"/>
      <c r="AG1776" s="1008"/>
      <c r="AH1776" s="1008"/>
      <c r="AI1776" s="1008"/>
    </row>
    <row r="1777" spans="1:35">
      <c r="A1777" s="1008">
        <v>24500</v>
      </c>
      <c r="B1777" s="1008">
        <v>726</v>
      </c>
      <c r="C1777" s="1008">
        <v>7</v>
      </c>
      <c r="D1777" s="1009">
        <v>20529999</v>
      </c>
      <c r="E1777" s="1009">
        <v>20521000</v>
      </c>
      <c r="F1777" s="1007" t="s">
        <v>2888</v>
      </c>
      <c r="G1777" s="1007">
        <v>8</v>
      </c>
      <c r="H1777" s="1010">
        <v>99999999</v>
      </c>
      <c r="I1777" s="1009">
        <v>20521000</v>
      </c>
      <c r="J1777" s="1007" t="s">
        <v>2888</v>
      </c>
      <c r="O1777" s="1007" t="s">
        <v>648</v>
      </c>
      <c r="P1777" s="1007" t="s">
        <v>648</v>
      </c>
      <c r="S1777" s="1008" t="s">
        <v>657</v>
      </c>
      <c r="T1777" s="1008" t="s">
        <v>654</v>
      </c>
      <c r="U1777" s="1008" t="s">
        <v>649</v>
      </c>
      <c r="V1777" s="1008" t="s">
        <v>648</v>
      </c>
      <c r="W1777" s="1008" t="s">
        <v>546</v>
      </c>
      <c r="X1777" s="1008" t="s">
        <v>670</v>
      </c>
      <c r="Y1777" s="1008" t="s">
        <v>670</v>
      </c>
      <c r="Z1777" s="1008"/>
      <c r="AA1777" s="1008" t="s">
        <v>670</v>
      </c>
      <c r="AB1777" s="1008"/>
      <c r="AC1777" s="1008"/>
      <c r="AD1777" s="1008"/>
      <c r="AE1777" s="1008"/>
      <c r="AF1777" s="1008" t="s">
        <v>670</v>
      </c>
      <c r="AG1777" s="1008"/>
      <c r="AH1777" s="1008"/>
      <c r="AI1777" s="1008"/>
    </row>
    <row r="1778" spans="1:35">
      <c r="A1778" s="1008">
        <v>24501</v>
      </c>
      <c r="B1778" s="1008">
        <v>1854</v>
      </c>
      <c r="C1778" s="1008">
        <v>7</v>
      </c>
      <c r="D1778" s="1009">
        <v>20529999</v>
      </c>
      <c r="E1778" s="1009">
        <v>20522000</v>
      </c>
      <c r="F1778" s="1007" t="s">
        <v>2887</v>
      </c>
      <c r="G1778" s="1007">
        <v>7</v>
      </c>
      <c r="H1778" s="1010">
        <v>99999999</v>
      </c>
      <c r="I1778" s="1009">
        <v>20522000</v>
      </c>
      <c r="J1778" s="1007" t="s">
        <v>2887</v>
      </c>
      <c r="O1778" s="1007" t="s">
        <v>648</v>
      </c>
      <c r="P1778" s="1007" t="s">
        <v>648</v>
      </c>
      <c r="S1778" s="1008" t="s">
        <v>657</v>
      </c>
      <c r="T1778" s="1008" t="s">
        <v>654</v>
      </c>
      <c r="U1778" s="1008" t="s">
        <v>649</v>
      </c>
      <c r="V1778" s="1008" t="s">
        <v>648</v>
      </c>
      <c r="W1778" s="1008" t="s">
        <v>546</v>
      </c>
      <c r="X1778" s="1008" t="s">
        <v>670</v>
      </c>
      <c r="Y1778" s="1008" t="s">
        <v>670</v>
      </c>
      <c r="Z1778" s="1008"/>
      <c r="AA1778" s="1008" t="s">
        <v>670</v>
      </c>
      <c r="AB1778" s="1008"/>
      <c r="AC1778" s="1008" t="s">
        <v>670</v>
      </c>
      <c r="AD1778" s="1008"/>
      <c r="AE1778" s="1008"/>
      <c r="AF1778" s="1008" t="s">
        <v>670</v>
      </c>
      <c r="AG1778" s="1008"/>
      <c r="AH1778" s="1008"/>
      <c r="AI1778" s="1008"/>
    </row>
    <row r="1779" spans="1:35">
      <c r="A1779" s="1008">
        <v>24502</v>
      </c>
      <c r="B1779" s="1008">
        <v>1855</v>
      </c>
      <c r="C1779" s="1008">
        <v>7</v>
      </c>
      <c r="D1779" s="1009">
        <v>20529999</v>
      </c>
      <c r="E1779" s="1009">
        <v>20523000</v>
      </c>
      <c r="F1779" s="1007" t="s">
        <v>2886</v>
      </c>
      <c r="G1779" s="1007">
        <v>7</v>
      </c>
      <c r="H1779" s="1010">
        <v>99999999</v>
      </c>
      <c r="I1779" s="1009">
        <v>20523000</v>
      </c>
      <c r="J1779" s="1007" t="s">
        <v>2886</v>
      </c>
      <c r="O1779" s="1007" t="s">
        <v>648</v>
      </c>
      <c r="P1779" s="1007" t="s">
        <v>648</v>
      </c>
      <c r="S1779" s="1008" t="s">
        <v>657</v>
      </c>
      <c r="T1779" s="1008" t="s">
        <v>654</v>
      </c>
      <c r="U1779" s="1008" t="s">
        <v>649</v>
      </c>
      <c r="V1779" s="1008" t="s">
        <v>648</v>
      </c>
      <c r="W1779" s="1008" t="s">
        <v>546</v>
      </c>
      <c r="X1779" s="1008" t="s">
        <v>670</v>
      </c>
      <c r="Y1779" s="1008" t="s">
        <v>670</v>
      </c>
      <c r="Z1779" s="1008"/>
      <c r="AA1779" s="1008" t="s">
        <v>670</v>
      </c>
      <c r="AB1779" s="1008"/>
      <c r="AC1779" s="1008"/>
      <c r="AD1779" s="1008"/>
      <c r="AE1779" s="1008"/>
      <c r="AF1779" s="1008" t="s">
        <v>670</v>
      </c>
      <c r="AG1779" s="1008"/>
      <c r="AH1779" s="1008"/>
      <c r="AI1779" s="1008"/>
    </row>
    <row r="1780" spans="1:35">
      <c r="A1780" s="1008">
        <v>26537</v>
      </c>
      <c r="C1780" s="1008">
        <v>7</v>
      </c>
      <c r="D1780" s="1009">
        <v>20523099</v>
      </c>
      <c r="E1780" s="1009">
        <v>20523001</v>
      </c>
      <c r="F1780" s="1007" t="s">
        <v>2885</v>
      </c>
      <c r="O1780" s="1007" t="s">
        <v>648</v>
      </c>
      <c r="P1780" s="1007" t="s">
        <v>648</v>
      </c>
      <c r="S1780" s="1008" t="s">
        <v>657</v>
      </c>
      <c r="T1780" s="1008" t="s">
        <v>675</v>
      </c>
      <c r="U1780" s="1008" t="s">
        <v>649</v>
      </c>
      <c r="V1780" s="1008" t="s">
        <v>648</v>
      </c>
      <c r="W1780" s="1008" t="s">
        <v>546</v>
      </c>
      <c r="X1780" s="1008"/>
      <c r="Y1780" s="1008"/>
      <c r="Z1780" s="1008"/>
      <c r="AA1780" s="1008"/>
      <c r="AB1780" s="1008"/>
      <c r="AC1780" s="1008"/>
      <c r="AD1780" s="1008"/>
      <c r="AE1780" s="1008"/>
      <c r="AF1780" s="1008"/>
      <c r="AG1780" s="1008"/>
      <c r="AH1780" s="1008"/>
      <c r="AI1780" s="1008"/>
    </row>
    <row r="1781" spans="1:35">
      <c r="A1781" s="1008">
        <v>24503</v>
      </c>
      <c r="B1781" s="1008">
        <v>727</v>
      </c>
      <c r="C1781" s="1008">
        <v>8</v>
      </c>
      <c r="D1781" s="1009">
        <v>20523099</v>
      </c>
      <c r="E1781" s="1009">
        <v>20523003</v>
      </c>
      <c r="F1781" s="1007" t="s">
        <v>2884</v>
      </c>
      <c r="G1781" s="1007">
        <v>8</v>
      </c>
      <c r="H1781" s="1010">
        <v>99999999</v>
      </c>
      <c r="I1781" s="1009">
        <v>20523003</v>
      </c>
      <c r="J1781" s="1007" t="s">
        <v>2884</v>
      </c>
      <c r="O1781" s="1007" t="s">
        <v>648</v>
      </c>
      <c r="P1781" s="1007" t="s">
        <v>648</v>
      </c>
      <c r="S1781" s="1008" t="s">
        <v>657</v>
      </c>
      <c r="T1781" s="1008" t="s">
        <v>654</v>
      </c>
      <c r="U1781" s="1008" t="s">
        <v>649</v>
      </c>
      <c r="V1781" s="1008" t="s">
        <v>648</v>
      </c>
      <c r="W1781" s="1008" t="s">
        <v>546</v>
      </c>
      <c r="X1781" s="1008" t="s">
        <v>670</v>
      </c>
      <c r="Y1781" s="1008"/>
      <c r="Z1781" s="1008"/>
      <c r="AA1781" s="1008" t="s">
        <v>670</v>
      </c>
      <c r="AB1781" s="1008"/>
      <c r="AC1781" s="1008"/>
      <c r="AD1781" s="1008"/>
      <c r="AE1781" s="1008"/>
      <c r="AF1781" s="1008"/>
      <c r="AG1781" s="1008"/>
      <c r="AH1781" s="1008"/>
      <c r="AI1781" s="1008"/>
    </row>
    <row r="1782" spans="1:35">
      <c r="A1782" s="1008">
        <v>26538</v>
      </c>
      <c r="B1782" s="1008">
        <v>5804</v>
      </c>
      <c r="C1782" s="1008">
        <v>8</v>
      </c>
      <c r="D1782" s="1009">
        <v>20523099</v>
      </c>
      <c r="E1782" s="1009">
        <v>20523004</v>
      </c>
      <c r="F1782" s="1007" t="s">
        <v>2883</v>
      </c>
      <c r="G1782" s="1007" t="s">
        <v>648</v>
      </c>
      <c r="H1782" s="1010">
        <v>99999999</v>
      </c>
      <c r="I1782" s="1009">
        <v>20523004</v>
      </c>
      <c r="J1782" s="1007" t="s">
        <v>2883</v>
      </c>
      <c r="O1782" s="1007" t="s">
        <v>648</v>
      </c>
      <c r="P1782" s="1007" t="s">
        <v>648</v>
      </c>
      <c r="S1782" s="1008" t="s">
        <v>657</v>
      </c>
      <c r="T1782" s="1008" t="s">
        <v>654</v>
      </c>
      <c r="U1782" s="1008" t="s">
        <v>649</v>
      </c>
      <c r="V1782" s="1008" t="s">
        <v>648</v>
      </c>
      <c r="W1782" s="1008" t="s">
        <v>546</v>
      </c>
      <c r="X1782" s="1008" t="s">
        <v>670</v>
      </c>
      <c r="Y1782" s="1008"/>
      <c r="Z1782" s="1008"/>
      <c r="AA1782" s="1008" t="s">
        <v>670</v>
      </c>
      <c r="AB1782" s="1008"/>
      <c r="AC1782" s="1008"/>
      <c r="AD1782" s="1008"/>
      <c r="AE1782" s="1008"/>
      <c r="AF1782" s="1008"/>
      <c r="AG1782" s="1008"/>
      <c r="AH1782" s="1008"/>
      <c r="AI1782" s="1008"/>
    </row>
    <row r="1783" spans="1:35">
      <c r="A1783" s="1008">
        <v>26539</v>
      </c>
      <c r="B1783" s="1008">
        <v>5805</v>
      </c>
      <c r="C1783" s="1008">
        <v>8</v>
      </c>
      <c r="D1783" s="1009">
        <v>20523099</v>
      </c>
      <c r="E1783" s="1009">
        <v>20523005</v>
      </c>
      <c r="F1783" s="1007" t="s">
        <v>2882</v>
      </c>
      <c r="G1783" s="1007" t="s">
        <v>648</v>
      </c>
      <c r="H1783" s="1010">
        <v>99999999</v>
      </c>
      <c r="I1783" s="1009">
        <v>20523005</v>
      </c>
      <c r="J1783" s="1007" t="s">
        <v>2882</v>
      </c>
      <c r="O1783" s="1007" t="s">
        <v>648</v>
      </c>
      <c r="P1783" s="1007" t="s">
        <v>648</v>
      </c>
      <c r="S1783" s="1008" t="s">
        <v>657</v>
      </c>
      <c r="T1783" s="1008" t="s">
        <v>654</v>
      </c>
      <c r="U1783" s="1008" t="s">
        <v>649</v>
      </c>
      <c r="V1783" s="1008" t="s">
        <v>648</v>
      </c>
      <c r="W1783" s="1008" t="s">
        <v>546</v>
      </c>
      <c r="X1783" s="1008" t="s">
        <v>670</v>
      </c>
      <c r="Y1783" s="1008"/>
      <c r="Z1783" s="1008"/>
      <c r="AA1783" s="1008" t="s">
        <v>670</v>
      </c>
      <c r="AB1783" s="1008"/>
      <c r="AC1783" s="1008"/>
      <c r="AD1783" s="1008"/>
      <c r="AE1783" s="1008"/>
      <c r="AF1783" s="1008"/>
      <c r="AG1783" s="1008"/>
      <c r="AH1783" s="1008"/>
      <c r="AI1783" s="1008"/>
    </row>
    <row r="1784" spans="1:35">
      <c r="A1784" s="1008">
        <v>26540</v>
      </c>
      <c r="B1784" s="1008">
        <v>5806</v>
      </c>
      <c r="C1784" s="1008">
        <v>8</v>
      </c>
      <c r="D1784" s="1009">
        <v>20523099</v>
      </c>
      <c r="E1784" s="1009">
        <v>20523006</v>
      </c>
      <c r="F1784" s="1007" t="s">
        <v>2881</v>
      </c>
      <c r="G1784" s="1007" t="s">
        <v>648</v>
      </c>
      <c r="H1784" s="1010">
        <v>99999999</v>
      </c>
      <c r="I1784" s="1009">
        <v>20523006</v>
      </c>
      <c r="J1784" s="1007" t="s">
        <v>2881</v>
      </c>
      <c r="O1784" s="1007" t="s">
        <v>648</v>
      </c>
      <c r="P1784" s="1007" t="s">
        <v>648</v>
      </c>
      <c r="S1784" s="1008" t="s">
        <v>657</v>
      </c>
      <c r="T1784" s="1008" t="s">
        <v>654</v>
      </c>
      <c r="U1784" s="1008" t="s">
        <v>649</v>
      </c>
      <c r="V1784" s="1008" t="s">
        <v>648</v>
      </c>
      <c r="W1784" s="1008" t="s">
        <v>546</v>
      </c>
      <c r="X1784" s="1008" t="s">
        <v>670</v>
      </c>
      <c r="Y1784" s="1008"/>
      <c r="Z1784" s="1008"/>
      <c r="AA1784" s="1008" t="s">
        <v>670</v>
      </c>
      <c r="AB1784" s="1008"/>
      <c r="AC1784" s="1008"/>
      <c r="AD1784" s="1008"/>
      <c r="AE1784" s="1008"/>
      <c r="AF1784" s="1008"/>
      <c r="AG1784" s="1008"/>
      <c r="AH1784" s="1008"/>
      <c r="AI1784" s="1008"/>
    </row>
    <row r="1785" spans="1:35">
      <c r="A1785" s="1008">
        <v>26541</v>
      </c>
      <c r="B1785" s="1008">
        <v>5807</v>
      </c>
      <c r="C1785" s="1008">
        <v>8</v>
      </c>
      <c r="D1785" s="1009">
        <v>20523099</v>
      </c>
      <c r="E1785" s="1009">
        <v>20523007</v>
      </c>
      <c r="F1785" s="1007" t="s">
        <v>2880</v>
      </c>
      <c r="G1785" s="1007" t="s">
        <v>648</v>
      </c>
      <c r="H1785" s="1010">
        <v>99999999</v>
      </c>
      <c r="I1785" s="1009">
        <v>20523007</v>
      </c>
      <c r="J1785" s="1007" t="s">
        <v>2880</v>
      </c>
      <c r="O1785" s="1007" t="s">
        <v>648</v>
      </c>
      <c r="P1785" s="1007" t="s">
        <v>648</v>
      </c>
      <c r="S1785" s="1008" t="s">
        <v>657</v>
      </c>
      <c r="T1785" s="1008" t="s">
        <v>654</v>
      </c>
      <c r="U1785" s="1008" t="s">
        <v>649</v>
      </c>
      <c r="V1785" s="1008" t="s">
        <v>648</v>
      </c>
      <c r="W1785" s="1008" t="s">
        <v>546</v>
      </c>
      <c r="X1785" s="1008" t="s">
        <v>670</v>
      </c>
      <c r="Y1785" s="1008"/>
      <c r="Z1785" s="1008"/>
      <c r="AA1785" s="1008" t="s">
        <v>670</v>
      </c>
      <c r="AB1785" s="1008"/>
      <c r="AC1785" s="1008"/>
      <c r="AD1785" s="1008"/>
      <c r="AE1785" s="1008"/>
      <c r="AF1785" s="1008"/>
      <c r="AG1785" s="1008"/>
      <c r="AH1785" s="1008"/>
      <c r="AI1785" s="1008"/>
    </row>
    <row r="1786" spans="1:35">
      <c r="A1786" s="1008">
        <v>26542</v>
      </c>
      <c r="B1786" s="1008">
        <v>5808</v>
      </c>
      <c r="C1786" s="1008">
        <v>8</v>
      </c>
      <c r="D1786" s="1009">
        <v>20523099</v>
      </c>
      <c r="E1786" s="1009">
        <v>20523008</v>
      </c>
      <c r="F1786" s="1007" t="s">
        <v>2879</v>
      </c>
      <c r="G1786" s="1007" t="s">
        <v>648</v>
      </c>
      <c r="H1786" s="1010">
        <v>99999999</v>
      </c>
      <c r="I1786" s="1009">
        <v>20523008</v>
      </c>
      <c r="J1786" s="1007" t="s">
        <v>2879</v>
      </c>
      <c r="O1786" s="1007" t="s">
        <v>648</v>
      </c>
      <c r="P1786" s="1007" t="s">
        <v>648</v>
      </c>
      <c r="S1786" s="1008" t="s">
        <v>657</v>
      </c>
      <c r="T1786" s="1008" t="s">
        <v>654</v>
      </c>
      <c r="U1786" s="1008" t="s">
        <v>649</v>
      </c>
      <c r="V1786" s="1008" t="s">
        <v>648</v>
      </c>
      <c r="W1786" s="1008" t="s">
        <v>546</v>
      </c>
      <c r="X1786" s="1008" t="s">
        <v>670</v>
      </c>
      <c r="Y1786" s="1008"/>
      <c r="Z1786" s="1008"/>
      <c r="AA1786" s="1008" t="s">
        <v>670</v>
      </c>
      <c r="AB1786" s="1008"/>
      <c r="AC1786" s="1008"/>
      <c r="AD1786" s="1008"/>
      <c r="AE1786" s="1008"/>
      <c r="AF1786" s="1008"/>
      <c r="AG1786" s="1008"/>
      <c r="AH1786" s="1008"/>
      <c r="AI1786" s="1008"/>
    </row>
    <row r="1787" spans="1:35">
      <c r="A1787" s="1008">
        <v>26543</v>
      </c>
      <c r="B1787" s="1008">
        <v>5809</v>
      </c>
      <c r="C1787" s="1008">
        <v>8</v>
      </c>
      <c r="D1787" s="1009">
        <v>20523099</v>
      </c>
      <c r="E1787" s="1009">
        <v>20523009</v>
      </c>
      <c r="F1787" s="1007" t="s">
        <v>2878</v>
      </c>
      <c r="G1787" s="1007" t="s">
        <v>648</v>
      </c>
      <c r="H1787" s="1010">
        <v>99999999</v>
      </c>
      <c r="I1787" s="1009">
        <v>20523009</v>
      </c>
      <c r="J1787" s="1007" t="s">
        <v>2878</v>
      </c>
      <c r="O1787" s="1007" t="s">
        <v>648</v>
      </c>
      <c r="P1787" s="1007" t="s">
        <v>648</v>
      </c>
      <c r="S1787" s="1008" t="s">
        <v>657</v>
      </c>
      <c r="T1787" s="1008" t="s">
        <v>654</v>
      </c>
      <c r="U1787" s="1008" t="s">
        <v>649</v>
      </c>
      <c r="V1787" s="1008" t="s">
        <v>648</v>
      </c>
      <c r="W1787" s="1008" t="s">
        <v>546</v>
      </c>
      <c r="X1787" s="1008" t="s">
        <v>670</v>
      </c>
      <c r="Y1787" s="1008"/>
      <c r="Z1787" s="1008"/>
      <c r="AA1787" s="1008" t="s">
        <v>670</v>
      </c>
      <c r="AB1787" s="1008"/>
      <c r="AC1787" s="1008"/>
      <c r="AD1787" s="1008"/>
      <c r="AE1787" s="1008"/>
      <c r="AF1787" s="1008"/>
      <c r="AG1787" s="1008"/>
      <c r="AH1787" s="1008"/>
      <c r="AI1787" s="1008"/>
    </row>
    <row r="1788" spans="1:35">
      <c r="A1788" s="1008">
        <v>26544</v>
      </c>
      <c r="B1788" s="1008">
        <v>5810</v>
      </c>
      <c r="C1788" s="1008">
        <v>8</v>
      </c>
      <c r="D1788" s="1009">
        <v>20523099</v>
      </c>
      <c r="E1788" s="1009">
        <v>20523010</v>
      </c>
      <c r="F1788" s="1007" t="s">
        <v>2877</v>
      </c>
      <c r="G1788" s="1007" t="s">
        <v>648</v>
      </c>
      <c r="H1788" s="1010">
        <v>99999999</v>
      </c>
      <c r="I1788" s="1009">
        <v>20523010</v>
      </c>
      <c r="J1788" s="1007" t="s">
        <v>2877</v>
      </c>
      <c r="O1788" s="1007" t="s">
        <v>648</v>
      </c>
      <c r="P1788" s="1007" t="s">
        <v>648</v>
      </c>
      <c r="S1788" s="1008" t="s">
        <v>657</v>
      </c>
      <c r="T1788" s="1008" t="s">
        <v>654</v>
      </c>
      <c r="U1788" s="1008" t="s">
        <v>649</v>
      </c>
      <c r="V1788" s="1008" t="s">
        <v>648</v>
      </c>
      <c r="W1788" s="1008" t="s">
        <v>546</v>
      </c>
      <c r="X1788" s="1008" t="s">
        <v>670</v>
      </c>
      <c r="Y1788" s="1008"/>
      <c r="Z1788" s="1008"/>
      <c r="AA1788" s="1008" t="s">
        <v>670</v>
      </c>
      <c r="AB1788" s="1008"/>
      <c r="AC1788" s="1008"/>
      <c r="AD1788" s="1008"/>
      <c r="AE1788" s="1008"/>
      <c r="AF1788" s="1008"/>
      <c r="AG1788" s="1008"/>
      <c r="AH1788" s="1008"/>
      <c r="AI1788" s="1008"/>
    </row>
    <row r="1789" spans="1:35">
      <c r="A1789" s="1008">
        <v>26545</v>
      </c>
      <c r="B1789" s="1008">
        <v>5811</v>
      </c>
      <c r="C1789" s="1008">
        <v>8</v>
      </c>
      <c r="D1789" s="1009">
        <v>20523099</v>
      </c>
      <c r="E1789" s="1009">
        <v>20523011</v>
      </c>
      <c r="F1789" s="1007" t="s">
        <v>2876</v>
      </c>
      <c r="G1789" s="1007" t="s">
        <v>648</v>
      </c>
      <c r="H1789" s="1010">
        <v>99999999</v>
      </c>
      <c r="I1789" s="1009">
        <v>20523011</v>
      </c>
      <c r="J1789" s="1007" t="s">
        <v>2876</v>
      </c>
      <c r="O1789" s="1007" t="s">
        <v>648</v>
      </c>
      <c r="P1789" s="1007" t="s">
        <v>648</v>
      </c>
      <c r="S1789" s="1008" t="s">
        <v>657</v>
      </c>
      <c r="T1789" s="1008" t="s">
        <v>654</v>
      </c>
      <c r="U1789" s="1008" t="s">
        <v>649</v>
      </c>
      <c r="V1789" s="1008" t="s">
        <v>648</v>
      </c>
      <c r="W1789" s="1008" t="s">
        <v>546</v>
      </c>
      <c r="X1789" s="1008" t="s">
        <v>670</v>
      </c>
      <c r="Y1789" s="1008"/>
      <c r="Z1789" s="1008"/>
      <c r="AA1789" s="1008" t="s">
        <v>670</v>
      </c>
      <c r="AB1789" s="1008"/>
      <c r="AC1789" s="1008"/>
      <c r="AD1789" s="1008"/>
      <c r="AE1789" s="1008"/>
      <c r="AF1789" s="1008"/>
      <c r="AG1789" s="1008"/>
      <c r="AH1789" s="1008"/>
      <c r="AI1789" s="1008"/>
    </row>
    <row r="1790" spans="1:35">
      <c r="A1790" s="1008">
        <v>26546</v>
      </c>
      <c r="B1790" s="1008">
        <v>5812</v>
      </c>
      <c r="C1790" s="1008">
        <v>8</v>
      </c>
      <c r="D1790" s="1009">
        <v>20523099</v>
      </c>
      <c r="E1790" s="1009">
        <v>20523012</v>
      </c>
      <c r="F1790" s="1007" t="s">
        <v>2875</v>
      </c>
      <c r="G1790" s="1007" t="s">
        <v>648</v>
      </c>
      <c r="H1790" s="1010">
        <v>99999999</v>
      </c>
      <c r="I1790" s="1009">
        <v>20523012</v>
      </c>
      <c r="J1790" s="1007" t="s">
        <v>2875</v>
      </c>
      <c r="O1790" s="1007" t="s">
        <v>648</v>
      </c>
      <c r="P1790" s="1007" t="s">
        <v>648</v>
      </c>
      <c r="S1790" s="1008" t="s">
        <v>657</v>
      </c>
      <c r="T1790" s="1008" t="s">
        <v>654</v>
      </c>
      <c r="U1790" s="1008" t="s">
        <v>649</v>
      </c>
      <c r="V1790" s="1008" t="s">
        <v>648</v>
      </c>
      <c r="W1790" s="1008" t="s">
        <v>546</v>
      </c>
      <c r="X1790" s="1008" t="s">
        <v>670</v>
      </c>
      <c r="Y1790" s="1008"/>
      <c r="Z1790" s="1008"/>
      <c r="AA1790" s="1008" t="s">
        <v>670</v>
      </c>
      <c r="AB1790" s="1008"/>
      <c r="AC1790" s="1008"/>
      <c r="AD1790" s="1008"/>
      <c r="AE1790" s="1008"/>
      <c r="AF1790" s="1008"/>
      <c r="AG1790" s="1008"/>
      <c r="AH1790" s="1008"/>
      <c r="AI1790" s="1008"/>
    </row>
    <row r="1791" spans="1:35">
      <c r="A1791" s="1008">
        <v>26547</v>
      </c>
      <c r="B1791" s="1008">
        <v>5813</v>
      </c>
      <c r="C1791" s="1008">
        <v>8</v>
      </c>
      <c r="D1791" s="1009">
        <v>20523099</v>
      </c>
      <c r="E1791" s="1009">
        <v>20523013</v>
      </c>
      <c r="F1791" s="1007" t="s">
        <v>2874</v>
      </c>
      <c r="G1791" s="1007" t="s">
        <v>648</v>
      </c>
      <c r="H1791" s="1010">
        <v>99999999</v>
      </c>
      <c r="I1791" s="1009">
        <v>20523013</v>
      </c>
      <c r="J1791" s="1007" t="s">
        <v>2874</v>
      </c>
      <c r="O1791" s="1007" t="s">
        <v>648</v>
      </c>
      <c r="P1791" s="1007" t="s">
        <v>648</v>
      </c>
      <c r="S1791" s="1008" t="s">
        <v>657</v>
      </c>
      <c r="T1791" s="1008" t="s">
        <v>654</v>
      </c>
      <c r="U1791" s="1008" t="s">
        <v>649</v>
      </c>
      <c r="V1791" s="1008" t="s">
        <v>648</v>
      </c>
      <c r="W1791" s="1008" t="s">
        <v>546</v>
      </c>
      <c r="X1791" s="1008" t="s">
        <v>670</v>
      </c>
      <c r="Y1791" s="1008"/>
      <c r="Z1791" s="1008"/>
      <c r="AA1791" s="1008" t="s">
        <v>670</v>
      </c>
      <c r="AB1791" s="1008"/>
      <c r="AC1791" s="1008"/>
      <c r="AD1791" s="1008"/>
      <c r="AE1791" s="1008"/>
      <c r="AF1791" s="1008"/>
      <c r="AG1791" s="1008"/>
      <c r="AH1791" s="1008"/>
      <c r="AI1791" s="1008"/>
    </row>
    <row r="1792" spans="1:35">
      <c r="A1792" s="1008">
        <v>26548</v>
      </c>
      <c r="B1792" s="1008">
        <v>5814</v>
      </c>
      <c r="C1792" s="1008">
        <v>8</v>
      </c>
      <c r="D1792" s="1009">
        <v>20523099</v>
      </c>
      <c r="E1792" s="1009">
        <v>20523014</v>
      </c>
      <c r="F1792" s="1007" t="s">
        <v>2873</v>
      </c>
      <c r="G1792" s="1007" t="s">
        <v>648</v>
      </c>
      <c r="H1792" s="1010">
        <v>99999999</v>
      </c>
      <c r="I1792" s="1009">
        <v>20523014</v>
      </c>
      <c r="J1792" s="1007" t="s">
        <v>2873</v>
      </c>
      <c r="O1792" s="1007" t="s">
        <v>648</v>
      </c>
      <c r="P1792" s="1007" t="s">
        <v>648</v>
      </c>
      <c r="S1792" s="1008" t="s">
        <v>657</v>
      </c>
      <c r="T1792" s="1008" t="s">
        <v>654</v>
      </c>
      <c r="U1792" s="1008" t="s">
        <v>649</v>
      </c>
      <c r="V1792" s="1008" t="s">
        <v>648</v>
      </c>
      <c r="W1792" s="1008" t="s">
        <v>546</v>
      </c>
      <c r="X1792" s="1008" t="s">
        <v>670</v>
      </c>
      <c r="Y1792" s="1008"/>
      <c r="Z1792" s="1008"/>
      <c r="AA1792" s="1008" t="s">
        <v>670</v>
      </c>
      <c r="AB1792" s="1008"/>
      <c r="AC1792" s="1008"/>
      <c r="AD1792" s="1008"/>
      <c r="AE1792" s="1008"/>
      <c r="AF1792" s="1008"/>
      <c r="AG1792" s="1008"/>
      <c r="AH1792" s="1008"/>
      <c r="AI1792" s="1008"/>
    </row>
    <row r="1793" spans="1:35">
      <c r="A1793" s="1008">
        <v>26549</v>
      </c>
      <c r="B1793" s="1008">
        <v>5815</v>
      </c>
      <c r="C1793" s="1008">
        <v>8</v>
      </c>
      <c r="D1793" s="1009">
        <v>20523099</v>
      </c>
      <c r="E1793" s="1009">
        <v>20523015</v>
      </c>
      <c r="F1793" s="1007" t="s">
        <v>2872</v>
      </c>
      <c r="G1793" s="1007" t="s">
        <v>648</v>
      </c>
      <c r="H1793" s="1010">
        <v>99999999</v>
      </c>
      <c r="I1793" s="1009">
        <v>20523015</v>
      </c>
      <c r="J1793" s="1007" t="s">
        <v>2872</v>
      </c>
      <c r="O1793" s="1007" t="s">
        <v>648</v>
      </c>
      <c r="P1793" s="1007" t="s">
        <v>648</v>
      </c>
      <c r="S1793" s="1008" t="s">
        <v>657</v>
      </c>
      <c r="T1793" s="1008" t="s">
        <v>654</v>
      </c>
      <c r="U1793" s="1008" t="s">
        <v>649</v>
      </c>
      <c r="V1793" s="1008" t="s">
        <v>648</v>
      </c>
      <c r="W1793" s="1008" t="s">
        <v>546</v>
      </c>
      <c r="X1793" s="1008" t="s">
        <v>670</v>
      </c>
      <c r="Y1793" s="1008"/>
      <c r="Z1793" s="1008"/>
      <c r="AA1793" s="1008" t="s">
        <v>670</v>
      </c>
      <c r="AB1793" s="1008"/>
      <c r="AC1793" s="1008"/>
      <c r="AD1793" s="1008"/>
      <c r="AE1793" s="1008"/>
      <c r="AF1793" s="1008"/>
      <c r="AG1793" s="1008"/>
      <c r="AH1793" s="1008"/>
      <c r="AI1793" s="1008"/>
    </row>
    <row r="1794" spans="1:35">
      <c r="A1794" s="1008">
        <v>27101</v>
      </c>
      <c r="B1794" s="1008">
        <v>5934</v>
      </c>
      <c r="C1794" s="1008">
        <v>8</v>
      </c>
      <c r="D1794" s="1009">
        <v>20523099</v>
      </c>
      <c r="E1794" s="1009">
        <v>20523016</v>
      </c>
      <c r="F1794" s="1007" t="s">
        <v>2871</v>
      </c>
      <c r="G1794" s="1007" t="s">
        <v>648</v>
      </c>
      <c r="H1794" s="1010">
        <v>99999999</v>
      </c>
      <c r="I1794" s="1009">
        <v>20523016</v>
      </c>
      <c r="J1794" s="1007" t="s">
        <v>2871</v>
      </c>
      <c r="O1794" s="1007" t="s">
        <v>648</v>
      </c>
      <c r="P1794" s="1007" t="s">
        <v>648</v>
      </c>
      <c r="S1794" s="1008" t="s">
        <v>657</v>
      </c>
      <c r="T1794" s="1008" t="s">
        <v>654</v>
      </c>
      <c r="U1794" s="1008" t="s">
        <v>649</v>
      </c>
      <c r="V1794" s="1008" t="s">
        <v>648</v>
      </c>
      <c r="W1794" s="1008" t="s">
        <v>546</v>
      </c>
      <c r="X1794" s="1008" t="s">
        <v>670</v>
      </c>
      <c r="Y1794" s="1008"/>
      <c r="Z1794" s="1008"/>
      <c r="AA1794" s="1008" t="s">
        <v>670</v>
      </c>
      <c r="AB1794" s="1008"/>
      <c r="AC1794" s="1008"/>
      <c r="AD1794" s="1008"/>
      <c r="AE1794" s="1008"/>
      <c r="AF1794" s="1008"/>
      <c r="AG1794" s="1008"/>
      <c r="AH1794" s="1008"/>
      <c r="AI1794" s="1008"/>
    </row>
    <row r="1795" spans="1:35">
      <c r="A1795" s="1008">
        <v>26550</v>
      </c>
      <c r="C1795" s="1008">
        <v>7</v>
      </c>
      <c r="D1795" s="1009">
        <v>20529999</v>
      </c>
      <c r="E1795" s="1009">
        <v>20523099</v>
      </c>
      <c r="F1795" s="1007" t="s">
        <v>2870</v>
      </c>
      <c r="O1795" s="1007" t="s">
        <v>648</v>
      </c>
      <c r="P1795" s="1007" t="s">
        <v>648</v>
      </c>
      <c r="S1795" s="1008" t="s">
        <v>657</v>
      </c>
      <c r="T1795" s="1008" t="s">
        <v>21</v>
      </c>
      <c r="U1795" s="1008" t="s">
        <v>649</v>
      </c>
      <c r="V1795" s="1008" t="s">
        <v>648</v>
      </c>
      <c r="W1795" s="1008" t="s">
        <v>546</v>
      </c>
      <c r="X1795" s="1008"/>
      <c r="Y1795" s="1008"/>
      <c r="Z1795" s="1008"/>
      <c r="AA1795" s="1008"/>
      <c r="AB1795" s="1008"/>
      <c r="AC1795" s="1008"/>
      <c r="AD1795" s="1008"/>
      <c r="AE1795" s="1008"/>
      <c r="AF1795" s="1008"/>
      <c r="AG1795" s="1008"/>
      <c r="AH1795" s="1008"/>
      <c r="AI1795" s="1008"/>
    </row>
    <row r="1796" spans="1:35">
      <c r="A1796" s="1008">
        <v>24504</v>
      </c>
      <c r="B1796" s="1008">
        <v>1857</v>
      </c>
      <c r="C1796" s="1008">
        <v>7</v>
      </c>
      <c r="D1796" s="1009">
        <v>20529999</v>
      </c>
      <c r="E1796" s="1009">
        <v>20525000</v>
      </c>
      <c r="F1796" s="1007" t="s">
        <v>2869</v>
      </c>
      <c r="G1796" s="1007">
        <v>7</v>
      </c>
      <c r="H1796" s="1010">
        <v>99999999</v>
      </c>
      <c r="I1796" s="1009">
        <v>20525000</v>
      </c>
      <c r="J1796" s="1007" t="s">
        <v>2869</v>
      </c>
      <c r="O1796" s="1007" t="s">
        <v>648</v>
      </c>
      <c r="P1796" s="1007" t="s">
        <v>648</v>
      </c>
      <c r="S1796" s="1008" t="s">
        <v>657</v>
      </c>
      <c r="T1796" s="1008" t="s">
        <v>654</v>
      </c>
      <c r="U1796" s="1008" t="s">
        <v>649</v>
      </c>
      <c r="V1796" s="1008" t="s">
        <v>648</v>
      </c>
      <c r="W1796" s="1008" t="s">
        <v>546</v>
      </c>
      <c r="X1796" s="1008" t="s">
        <v>670</v>
      </c>
      <c r="Y1796" s="1008"/>
      <c r="Z1796" s="1008"/>
      <c r="AA1796" s="1008" t="s">
        <v>670</v>
      </c>
      <c r="AB1796" s="1008"/>
      <c r="AC1796" s="1008"/>
      <c r="AD1796" s="1008"/>
      <c r="AE1796" s="1008"/>
      <c r="AF1796" s="1008"/>
      <c r="AG1796" s="1008"/>
      <c r="AH1796" s="1008"/>
      <c r="AI1796" s="1008"/>
    </row>
    <row r="1797" spans="1:35">
      <c r="A1797" s="1008">
        <v>24505</v>
      </c>
      <c r="B1797" s="1008">
        <v>1858</v>
      </c>
      <c r="C1797" s="1008">
        <v>7</v>
      </c>
      <c r="D1797" s="1009">
        <v>20529999</v>
      </c>
      <c r="E1797" s="1009">
        <v>20526000</v>
      </c>
      <c r="F1797" s="1007" t="s">
        <v>2868</v>
      </c>
      <c r="G1797" s="1007">
        <v>7</v>
      </c>
      <c r="H1797" s="1010">
        <v>99999999</v>
      </c>
      <c r="I1797" s="1009">
        <v>20526000</v>
      </c>
      <c r="J1797" s="1007" t="s">
        <v>2868</v>
      </c>
      <c r="O1797" s="1007" t="s">
        <v>648</v>
      </c>
      <c r="P1797" s="1007" t="s">
        <v>648</v>
      </c>
      <c r="S1797" s="1008" t="s">
        <v>657</v>
      </c>
      <c r="T1797" s="1008" t="s">
        <v>654</v>
      </c>
      <c r="U1797" s="1008" t="s">
        <v>649</v>
      </c>
      <c r="V1797" s="1008" t="s">
        <v>648</v>
      </c>
      <c r="W1797" s="1008" t="s">
        <v>546</v>
      </c>
      <c r="X1797" s="1008" t="s">
        <v>670</v>
      </c>
      <c r="Y1797" s="1008"/>
      <c r="Z1797" s="1008"/>
      <c r="AA1797" s="1008" t="s">
        <v>670</v>
      </c>
      <c r="AB1797" s="1008"/>
      <c r="AC1797" s="1008"/>
      <c r="AD1797" s="1008"/>
      <c r="AE1797" s="1008"/>
      <c r="AF1797" s="1008"/>
      <c r="AG1797" s="1008"/>
      <c r="AH1797" s="1008"/>
      <c r="AI1797" s="1008"/>
    </row>
    <row r="1798" spans="1:35">
      <c r="A1798" s="1008">
        <v>24506</v>
      </c>
      <c r="B1798" s="1008">
        <v>1859</v>
      </c>
      <c r="C1798" s="1008">
        <v>7</v>
      </c>
      <c r="D1798" s="1009">
        <v>20529999</v>
      </c>
      <c r="E1798" s="1009">
        <v>20527000</v>
      </c>
      <c r="F1798" s="1007" t="s">
        <v>2867</v>
      </c>
      <c r="G1798" s="1007">
        <v>7</v>
      </c>
      <c r="H1798" s="1010">
        <v>99999999</v>
      </c>
      <c r="I1798" s="1009">
        <v>20527000</v>
      </c>
      <c r="J1798" s="1007" t="s">
        <v>2867</v>
      </c>
      <c r="O1798" s="1007" t="s">
        <v>648</v>
      </c>
      <c r="P1798" s="1007" t="s">
        <v>648</v>
      </c>
      <c r="S1798" s="1008" t="s">
        <v>657</v>
      </c>
      <c r="T1798" s="1008" t="s">
        <v>654</v>
      </c>
      <c r="U1798" s="1008" t="s">
        <v>649</v>
      </c>
      <c r="V1798" s="1008" t="s">
        <v>648</v>
      </c>
      <c r="W1798" s="1008" t="s">
        <v>546</v>
      </c>
      <c r="X1798" s="1008" t="s">
        <v>670</v>
      </c>
      <c r="Y1798" s="1008"/>
      <c r="Z1798" s="1008"/>
      <c r="AA1798" s="1008" t="s">
        <v>670</v>
      </c>
      <c r="AB1798" s="1008"/>
      <c r="AC1798" s="1008"/>
      <c r="AD1798" s="1008"/>
      <c r="AE1798" s="1008"/>
      <c r="AF1798" s="1008"/>
      <c r="AG1798" s="1008"/>
      <c r="AH1798" s="1008"/>
      <c r="AI1798" s="1008"/>
    </row>
    <row r="1799" spans="1:35">
      <c r="A1799" s="1008">
        <v>24507</v>
      </c>
      <c r="B1799" s="1008">
        <v>1860</v>
      </c>
      <c r="C1799" s="1008">
        <v>7</v>
      </c>
      <c r="D1799" s="1009">
        <v>20529999</v>
      </c>
      <c r="E1799" s="1009">
        <v>20528000</v>
      </c>
      <c r="F1799" s="1007" t="s">
        <v>2866</v>
      </c>
      <c r="G1799" s="1007">
        <v>7</v>
      </c>
      <c r="H1799" s="1010">
        <v>99999999</v>
      </c>
      <c r="I1799" s="1009">
        <v>20528000</v>
      </c>
      <c r="J1799" s="1007" t="s">
        <v>2866</v>
      </c>
      <c r="O1799" s="1007" t="s">
        <v>648</v>
      </c>
      <c r="P1799" s="1007" t="s">
        <v>648</v>
      </c>
      <c r="S1799" s="1008" t="s">
        <v>657</v>
      </c>
      <c r="T1799" s="1008" t="s">
        <v>654</v>
      </c>
      <c r="U1799" s="1008" t="s">
        <v>649</v>
      </c>
      <c r="V1799" s="1008" t="s">
        <v>648</v>
      </c>
      <c r="W1799" s="1008" t="s">
        <v>546</v>
      </c>
      <c r="X1799" s="1008" t="s">
        <v>670</v>
      </c>
      <c r="Y1799" s="1008"/>
      <c r="Z1799" s="1008"/>
      <c r="AA1799" s="1008" t="s">
        <v>670</v>
      </c>
      <c r="AB1799" s="1008"/>
      <c r="AC1799" s="1008"/>
      <c r="AD1799" s="1008"/>
      <c r="AE1799" s="1008"/>
      <c r="AF1799" s="1008"/>
      <c r="AG1799" s="1008"/>
      <c r="AH1799" s="1008"/>
      <c r="AI1799" s="1008"/>
    </row>
    <row r="1800" spans="1:35">
      <c r="A1800" s="1008">
        <v>24508</v>
      </c>
      <c r="B1800" s="1008">
        <v>5105</v>
      </c>
      <c r="C1800" s="1008">
        <v>7</v>
      </c>
      <c r="D1800" s="1009">
        <v>20529999</v>
      </c>
      <c r="E1800" s="1009">
        <v>20529000</v>
      </c>
      <c r="F1800" s="1007" t="s">
        <v>2865</v>
      </c>
      <c r="G1800" s="1007">
        <v>7</v>
      </c>
      <c r="H1800" s="1010">
        <v>99999999</v>
      </c>
      <c r="I1800" s="1009">
        <v>20529000</v>
      </c>
      <c r="J1800" s="1007" t="s">
        <v>2865</v>
      </c>
      <c r="O1800" s="1007" t="s">
        <v>648</v>
      </c>
      <c r="P1800" s="1007" t="s">
        <v>648</v>
      </c>
      <c r="S1800" s="1008" t="s">
        <v>657</v>
      </c>
      <c r="T1800" s="1008" t="s">
        <v>654</v>
      </c>
      <c r="U1800" s="1008" t="s">
        <v>649</v>
      </c>
      <c r="V1800" s="1008" t="s">
        <v>648</v>
      </c>
      <c r="W1800" s="1008" t="s">
        <v>546</v>
      </c>
      <c r="X1800" s="1008" t="s">
        <v>670</v>
      </c>
      <c r="Y1800" s="1008"/>
      <c r="Z1800" s="1008"/>
      <c r="AA1800" s="1008" t="s">
        <v>670</v>
      </c>
      <c r="AB1800" s="1008"/>
      <c r="AC1800" s="1008"/>
      <c r="AD1800" s="1008"/>
      <c r="AE1800" s="1008"/>
      <c r="AF1800" s="1008"/>
      <c r="AG1800" s="1008"/>
      <c r="AH1800" s="1008"/>
      <c r="AI1800" s="1008"/>
    </row>
    <row r="1801" spans="1:35">
      <c r="A1801" s="1008">
        <v>24509</v>
      </c>
      <c r="C1801" s="1008">
        <v>6</v>
      </c>
      <c r="D1801" s="1009">
        <v>20599999</v>
      </c>
      <c r="E1801" s="1009">
        <v>20529999</v>
      </c>
      <c r="F1801" s="1007" t="s">
        <v>2864</v>
      </c>
      <c r="O1801" s="1007" t="s">
        <v>648</v>
      </c>
      <c r="P1801" s="1007" t="s">
        <v>648</v>
      </c>
      <c r="S1801" s="1008" t="s">
        <v>657</v>
      </c>
      <c r="T1801" s="1008" t="s">
        <v>21</v>
      </c>
      <c r="U1801" s="1008" t="s">
        <v>649</v>
      </c>
      <c r="V1801" s="1008" t="s">
        <v>648</v>
      </c>
      <c r="W1801" s="1008" t="s">
        <v>546</v>
      </c>
      <c r="X1801" s="1008"/>
      <c r="Y1801" s="1008"/>
      <c r="Z1801" s="1008"/>
      <c r="AA1801" s="1008"/>
      <c r="AB1801" s="1008"/>
      <c r="AC1801" s="1008"/>
      <c r="AD1801" s="1008"/>
      <c r="AE1801" s="1008"/>
      <c r="AF1801" s="1008"/>
      <c r="AG1801" s="1008"/>
      <c r="AH1801" s="1008"/>
      <c r="AI1801" s="1008"/>
    </row>
    <row r="1802" spans="1:35">
      <c r="A1802" s="1008">
        <v>24510</v>
      </c>
      <c r="C1802" s="1008">
        <v>6</v>
      </c>
      <c r="D1802" s="1009">
        <v>20539999</v>
      </c>
      <c r="E1802" s="1009">
        <v>20530000</v>
      </c>
      <c r="F1802" s="1007" t="s">
        <v>2863</v>
      </c>
      <c r="O1802" s="1007" t="s">
        <v>648</v>
      </c>
      <c r="P1802" s="1007" t="s">
        <v>648</v>
      </c>
      <c r="S1802" s="1008" t="s">
        <v>657</v>
      </c>
      <c r="T1802" s="1008" t="s">
        <v>675</v>
      </c>
      <c r="U1802" s="1008" t="s">
        <v>649</v>
      </c>
      <c r="V1802" s="1008" t="s">
        <v>648</v>
      </c>
      <c r="W1802" s="1008" t="s">
        <v>546</v>
      </c>
      <c r="X1802" s="1008"/>
      <c r="Y1802" s="1008"/>
      <c r="Z1802" s="1008"/>
      <c r="AA1802" s="1008"/>
      <c r="AB1802" s="1008"/>
      <c r="AC1802" s="1008"/>
      <c r="AD1802" s="1008"/>
      <c r="AE1802" s="1008"/>
      <c r="AF1802" s="1008"/>
      <c r="AG1802" s="1008"/>
      <c r="AH1802" s="1008"/>
      <c r="AI1802" s="1008"/>
    </row>
    <row r="1803" spans="1:35">
      <c r="A1803" s="1008">
        <v>24511</v>
      </c>
      <c r="B1803" s="1008">
        <v>1862</v>
      </c>
      <c r="C1803" s="1008">
        <v>7</v>
      </c>
      <c r="D1803" s="1009">
        <v>20539999</v>
      </c>
      <c r="E1803" s="1009">
        <v>20531000</v>
      </c>
      <c r="F1803" s="1007" t="s">
        <v>2862</v>
      </c>
      <c r="G1803" s="1007">
        <v>7</v>
      </c>
      <c r="H1803" s="1010">
        <v>99999999</v>
      </c>
      <c r="I1803" s="1009">
        <v>20531000</v>
      </c>
      <c r="J1803" s="1007" t="s">
        <v>2862</v>
      </c>
      <c r="O1803" s="1007" t="s">
        <v>648</v>
      </c>
      <c r="P1803" s="1007" t="s">
        <v>648</v>
      </c>
      <c r="S1803" s="1008" t="s">
        <v>657</v>
      </c>
      <c r="T1803" s="1008" t="s">
        <v>654</v>
      </c>
      <c r="U1803" s="1008" t="s">
        <v>649</v>
      </c>
      <c r="V1803" s="1008" t="s">
        <v>648</v>
      </c>
      <c r="W1803" s="1008" t="s">
        <v>546</v>
      </c>
      <c r="X1803" s="1008" t="s">
        <v>670</v>
      </c>
      <c r="Y1803" s="1008" t="s">
        <v>670</v>
      </c>
      <c r="Z1803" s="1008" t="s">
        <v>670</v>
      </c>
      <c r="AA1803" s="1008"/>
      <c r="AB1803" s="1008" t="s">
        <v>670</v>
      </c>
      <c r="AC1803" s="1008" t="s">
        <v>670</v>
      </c>
      <c r="AD1803" s="1008"/>
      <c r="AE1803" s="1008"/>
      <c r="AF1803" s="1008" t="s">
        <v>670</v>
      </c>
      <c r="AG1803" s="1008"/>
      <c r="AH1803" s="1008"/>
      <c r="AI1803" s="1008"/>
    </row>
    <row r="1804" spans="1:35">
      <c r="A1804" s="1008">
        <v>24512</v>
      </c>
      <c r="B1804" s="1008">
        <v>1863</v>
      </c>
      <c r="C1804" s="1008">
        <v>7</v>
      </c>
      <c r="D1804" s="1009">
        <v>20539999</v>
      </c>
      <c r="E1804" s="1009">
        <v>20532000</v>
      </c>
      <c r="F1804" s="1007" t="s">
        <v>2861</v>
      </c>
      <c r="G1804" s="1007">
        <v>7</v>
      </c>
      <c r="H1804" s="1010">
        <v>99999999</v>
      </c>
      <c r="I1804" s="1009">
        <v>20532000</v>
      </c>
      <c r="J1804" s="1007" t="s">
        <v>2861</v>
      </c>
      <c r="O1804" s="1007" t="s">
        <v>648</v>
      </c>
      <c r="P1804" s="1007" t="s">
        <v>648</v>
      </c>
      <c r="S1804" s="1008" t="s">
        <v>657</v>
      </c>
      <c r="T1804" s="1008" t="s">
        <v>654</v>
      </c>
      <c r="U1804" s="1008" t="s">
        <v>649</v>
      </c>
      <c r="V1804" s="1008" t="s">
        <v>648</v>
      </c>
      <c r="W1804" s="1008" t="s">
        <v>546</v>
      </c>
      <c r="X1804" s="1008" t="s">
        <v>670</v>
      </c>
      <c r="Y1804" s="1008" t="s">
        <v>670</v>
      </c>
      <c r="Z1804" s="1008" t="s">
        <v>670</v>
      </c>
      <c r="AA1804" s="1008"/>
      <c r="AB1804" s="1008" t="s">
        <v>670</v>
      </c>
      <c r="AC1804" s="1008" t="s">
        <v>670</v>
      </c>
      <c r="AD1804" s="1008"/>
      <c r="AE1804" s="1008"/>
      <c r="AF1804" s="1008" t="s">
        <v>670</v>
      </c>
      <c r="AG1804" s="1008"/>
      <c r="AH1804" s="1008"/>
      <c r="AI1804" s="1008"/>
    </row>
    <row r="1805" spans="1:35">
      <c r="A1805" s="1008">
        <v>24513</v>
      </c>
      <c r="B1805" s="1008">
        <v>1864</v>
      </c>
      <c r="C1805" s="1008">
        <v>7</v>
      </c>
      <c r="D1805" s="1009">
        <v>20539999</v>
      </c>
      <c r="E1805" s="1009">
        <v>20533000</v>
      </c>
      <c r="F1805" s="1007" t="s">
        <v>2860</v>
      </c>
      <c r="G1805" s="1007">
        <v>7</v>
      </c>
      <c r="H1805" s="1010">
        <v>99999999</v>
      </c>
      <c r="I1805" s="1009">
        <v>20533000</v>
      </c>
      <c r="J1805" s="1007" t="s">
        <v>2860</v>
      </c>
      <c r="O1805" s="1007" t="s">
        <v>648</v>
      </c>
      <c r="P1805" s="1007" t="s">
        <v>648</v>
      </c>
      <c r="S1805" s="1008" t="s">
        <v>657</v>
      </c>
      <c r="T1805" s="1008" t="s">
        <v>654</v>
      </c>
      <c r="U1805" s="1008" t="s">
        <v>649</v>
      </c>
      <c r="V1805" s="1008" t="s">
        <v>648</v>
      </c>
      <c r="W1805" s="1008" t="s">
        <v>546</v>
      </c>
      <c r="X1805" s="1008" t="s">
        <v>670</v>
      </c>
      <c r="Y1805" s="1008" t="s">
        <v>670</v>
      </c>
      <c r="Z1805" s="1008" t="s">
        <v>670</v>
      </c>
      <c r="AA1805" s="1008"/>
      <c r="AB1805" s="1008" t="s">
        <v>670</v>
      </c>
      <c r="AC1805" s="1008" t="s">
        <v>670</v>
      </c>
      <c r="AD1805" s="1008"/>
      <c r="AE1805" s="1008"/>
      <c r="AF1805" s="1008" t="s">
        <v>670</v>
      </c>
      <c r="AG1805" s="1008"/>
      <c r="AH1805" s="1008"/>
      <c r="AI1805" s="1008"/>
    </row>
    <row r="1806" spans="1:35">
      <c r="A1806" s="1008">
        <v>24514</v>
      </c>
      <c r="B1806" s="1008">
        <v>1865</v>
      </c>
      <c r="C1806" s="1008">
        <v>7</v>
      </c>
      <c r="D1806" s="1009">
        <v>20539999</v>
      </c>
      <c r="E1806" s="1009">
        <v>20534000</v>
      </c>
      <c r="F1806" s="1007" t="s">
        <v>2859</v>
      </c>
      <c r="G1806" s="1007">
        <v>7</v>
      </c>
      <c r="H1806" s="1010">
        <v>99999999</v>
      </c>
      <c r="I1806" s="1009">
        <v>20534000</v>
      </c>
      <c r="J1806" s="1007" t="s">
        <v>2859</v>
      </c>
      <c r="O1806" s="1007" t="s">
        <v>648</v>
      </c>
      <c r="P1806" s="1007" t="s">
        <v>648</v>
      </c>
      <c r="S1806" s="1008" t="s">
        <v>657</v>
      </c>
      <c r="T1806" s="1008" t="s">
        <v>654</v>
      </c>
      <c r="U1806" s="1008" t="s">
        <v>649</v>
      </c>
      <c r="V1806" s="1008" t="s">
        <v>648</v>
      </c>
      <c r="W1806" s="1008" t="s">
        <v>546</v>
      </c>
      <c r="X1806" s="1008" t="s">
        <v>670</v>
      </c>
      <c r="Y1806" s="1008" t="s">
        <v>670</v>
      </c>
      <c r="Z1806" s="1008" t="s">
        <v>670</v>
      </c>
      <c r="AA1806" s="1008"/>
      <c r="AB1806" s="1008" t="s">
        <v>670</v>
      </c>
      <c r="AC1806" s="1008" t="s">
        <v>670</v>
      </c>
      <c r="AD1806" s="1008"/>
      <c r="AE1806" s="1008"/>
      <c r="AF1806" s="1008" t="s">
        <v>670</v>
      </c>
      <c r="AG1806" s="1008"/>
      <c r="AH1806" s="1008"/>
      <c r="AI1806" s="1008"/>
    </row>
    <row r="1807" spans="1:35">
      <c r="A1807" s="1008">
        <v>24515</v>
      </c>
      <c r="B1807" s="1008">
        <v>1866</v>
      </c>
      <c r="C1807" s="1008">
        <v>7</v>
      </c>
      <c r="D1807" s="1009">
        <v>20539999</v>
      </c>
      <c r="E1807" s="1009">
        <v>20535000</v>
      </c>
      <c r="F1807" s="1007" t="s">
        <v>2858</v>
      </c>
      <c r="G1807" s="1007">
        <v>7</v>
      </c>
      <c r="H1807" s="1010">
        <v>99999999</v>
      </c>
      <c r="I1807" s="1009">
        <v>20535000</v>
      </c>
      <c r="J1807" s="1007" t="s">
        <v>2858</v>
      </c>
      <c r="O1807" s="1007" t="s">
        <v>648</v>
      </c>
      <c r="P1807" s="1007" t="s">
        <v>648</v>
      </c>
      <c r="S1807" s="1008" t="s">
        <v>657</v>
      </c>
      <c r="T1807" s="1008" t="s">
        <v>654</v>
      </c>
      <c r="U1807" s="1008" t="s">
        <v>649</v>
      </c>
      <c r="V1807" s="1008" t="s">
        <v>648</v>
      </c>
      <c r="W1807" s="1008" t="s">
        <v>546</v>
      </c>
      <c r="X1807" s="1008" t="s">
        <v>670</v>
      </c>
      <c r="Y1807" s="1008"/>
      <c r="Z1807" s="1008"/>
      <c r="AA1807" s="1008"/>
      <c r="AB1807" s="1008"/>
      <c r="AC1807" s="1008"/>
      <c r="AD1807" s="1008" t="s">
        <v>670</v>
      </c>
      <c r="AE1807" s="1008"/>
      <c r="AF1807" s="1008"/>
      <c r="AG1807" s="1008"/>
      <c r="AH1807" s="1008"/>
      <c r="AI1807" s="1008"/>
    </row>
    <row r="1808" spans="1:35">
      <c r="A1808" s="1008">
        <v>26410</v>
      </c>
      <c r="B1808" s="1008">
        <v>1867</v>
      </c>
      <c r="C1808" s="1008">
        <v>7</v>
      </c>
      <c r="D1808" s="1009">
        <v>20539999</v>
      </c>
      <c r="E1808" s="1009">
        <v>20535150</v>
      </c>
      <c r="F1808" s="1007" t="s">
        <v>2857</v>
      </c>
      <c r="G1808" s="1007">
        <v>7</v>
      </c>
      <c r="H1808" s="1010">
        <v>99999999</v>
      </c>
      <c r="I1808" s="1009">
        <v>20535150</v>
      </c>
      <c r="J1808" s="1007" t="s">
        <v>2857</v>
      </c>
      <c r="O1808" s="1007" t="s">
        <v>648</v>
      </c>
      <c r="P1808" s="1007" t="s">
        <v>648</v>
      </c>
      <c r="S1808" s="1008" t="s">
        <v>657</v>
      </c>
      <c r="T1808" s="1008" t="s">
        <v>654</v>
      </c>
      <c r="U1808" s="1008" t="s">
        <v>649</v>
      </c>
      <c r="V1808" s="1008" t="s">
        <v>648</v>
      </c>
      <c r="W1808" s="1008" t="s">
        <v>546</v>
      </c>
      <c r="X1808" s="1008" t="s">
        <v>670</v>
      </c>
      <c r="Y1808" s="1008"/>
      <c r="Z1808" s="1008"/>
      <c r="AA1808" s="1008"/>
      <c r="AB1808" s="1008"/>
      <c r="AC1808" s="1008"/>
      <c r="AD1808" s="1008" t="s">
        <v>670</v>
      </c>
      <c r="AE1808" s="1008"/>
      <c r="AF1808" s="1008"/>
      <c r="AG1808" s="1008"/>
      <c r="AH1808" s="1008"/>
      <c r="AI1808" s="1008"/>
    </row>
    <row r="1809" spans="1:35">
      <c r="A1809" s="1008">
        <v>26409</v>
      </c>
      <c r="B1809" s="1008">
        <v>1868</v>
      </c>
      <c r="C1809" s="1008">
        <v>7</v>
      </c>
      <c r="D1809" s="1009">
        <v>20539999</v>
      </c>
      <c r="E1809" s="1009">
        <v>20535250</v>
      </c>
      <c r="F1809" s="1007" t="s">
        <v>2856</v>
      </c>
      <c r="G1809" s="1007">
        <v>7</v>
      </c>
      <c r="H1809" s="1010">
        <v>99999999</v>
      </c>
      <c r="I1809" s="1009">
        <v>20535250</v>
      </c>
      <c r="J1809" s="1007" t="s">
        <v>2856</v>
      </c>
      <c r="O1809" s="1007" t="s">
        <v>648</v>
      </c>
      <c r="P1809" s="1007" t="s">
        <v>648</v>
      </c>
      <c r="S1809" s="1008" t="s">
        <v>657</v>
      </c>
      <c r="T1809" s="1008" t="s">
        <v>654</v>
      </c>
      <c r="U1809" s="1008" t="s">
        <v>649</v>
      </c>
      <c r="V1809" s="1008" t="s">
        <v>648</v>
      </c>
      <c r="W1809" s="1008" t="s">
        <v>546</v>
      </c>
      <c r="X1809" s="1008" t="s">
        <v>670</v>
      </c>
      <c r="Y1809" s="1008"/>
      <c r="Z1809" s="1008"/>
      <c r="AA1809" s="1008"/>
      <c r="AB1809" s="1008"/>
      <c r="AC1809" s="1008"/>
      <c r="AD1809" s="1008" t="s">
        <v>670</v>
      </c>
      <c r="AE1809" s="1008"/>
      <c r="AF1809" s="1008"/>
      <c r="AG1809" s="1008"/>
      <c r="AH1809" s="1008"/>
      <c r="AI1809" s="1008"/>
    </row>
    <row r="1810" spans="1:35">
      <c r="A1810" s="1008">
        <v>24516</v>
      </c>
      <c r="B1810" s="1008">
        <v>1869</v>
      </c>
      <c r="C1810" s="1008">
        <v>7</v>
      </c>
      <c r="D1810" s="1009">
        <v>20539999</v>
      </c>
      <c r="E1810" s="1009">
        <v>20536000</v>
      </c>
      <c r="F1810" s="1007" t="s">
        <v>2855</v>
      </c>
      <c r="G1810" s="1007">
        <v>7</v>
      </c>
      <c r="H1810" s="1010">
        <v>99999999</v>
      </c>
      <c r="I1810" s="1009">
        <v>20536000</v>
      </c>
      <c r="J1810" s="1007" t="s">
        <v>2855</v>
      </c>
      <c r="O1810" s="1007" t="s">
        <v>648</v>
      </c>
      <c r="P1810" s="1007" t="s">
        <v>648</v>
      </c>
      <c r="S1810" s="1008" t="s">
        <v>657</v>
      </c>
      <c r="T1810" s="1008" t="s">
        <v>654</v>
      </c>
      <c r="U1810" s="1008" t="s">
        <v>649</v>
      </c>
      <c r="V1810" s="1008" t="s">
        <v>648</v>
      </c>
      <c r="W1810" s="1008" t="s">
        <v>546</v>
      </c>
      <c r="X1810" s="1008" t="s">
        <v>670</v>
      </c>
      <c r="Y1810" s="1008"/>
      <c r="Z1810" s="1008"/>
      <c r="AA1810" s="1008"/>
      <c r="AB1810" s="1008"/>
      <c r="AC1810" s="1008"/>
      <c r="AD1810" s="1008" t="s">
        <v>670</v>
      </c>
      <c r="AE1810" s="1008"/>
      <c r="AF1810" s="1008"/>
      <c r="AG1810" s="1008"/>
      <c r="AH1810" s="1008"/>
      <c r="AI1810" s="1008"/>
    </row>
    <row r="1811" spans="1:35">
      <c r="A1811" s="1008">
        <v>24517</v>
      </c>
      <c r="B1811" s="1008">
        <v>5107</v>
      </c>
      <c r="C1811" s="1008">
        <v>7</v>
      </c>
      <c r="D1811" s="1009">
        <v>20539999</v>
      </c>
      <c r="E1811" s="1009">
        <v>20537000</v>
      </c>
      <c r="F1811" s="1007" t="s">
        <v>2854</v>
      </c>
      <c r="G1811" s="1007">
        <v>7</v>
      </c>
      <c r="H1811" s="1010">
        <v>99999999</v>
      </c>
      <c r="I1811" s="1009">
        <v>20537000</v>
      </c>
      <c r="J1811" s="1007" t="s">
        <v>2854</v>
      </c>
      <c r="O1811" s="1007" t="s">
        <v>648</v>
      </c>
      <c r="P1811" s="1007" t="s">
        <v>648</v>
      </c>
      <c r="S1811" s="1008" t="s">
        <v>657</v>
      </c>
      <c r="T1811" s="1008" t="s">
        <v>654</v>
      </c>
      <c r="U1811" s="1008" t="s">
        <v>649</v>
      </c>
      <c r="V1811" s="1008" t="s">
        <v>648</v>
      </c>
      <c r="W1811" s="1008" t="s">
        <v>546</v>
      </c>
      <c r="X1811" s="1008" t="s">
        <v>670</v>
      </c>
      <c r="Y1811" s="1008" t="s">
        <v>670</v>
      </c>
      <c r="Z1811" s="1008" t="s">
        <v>670</v>
      </c>
      <c r="AA1811" s="1008" t="s">
        <v>670</v>
      </c>
      <c r="AB1811" s="1008" t="s">
        <v>670</v>
      </c>
      <c r="AC1811" s="1008" t="s">
        <v>670</v>
      </c>
      <c r="AD1811" s="1008" t="s">
        <v>670</v>
      </c>
      <c r="AE1811" s="1008"/>
      <c r="AF1811" s="1008" t="s">
        <v>670</v>
      </c>
      <c r="AG1811" s="1008"/>
      <c r="AH1811" s="1008"/>
      <c r="AI1811" s="1008"/>
    </row>
    <row r="1812" spans="1:35">
      <c r="A1812" s="1008">
        <v>24518</v>
      </c>
      <c r="C1812" s="1008">
        <v>6</v>
      </c>
      <c r="D1812" s="1009">
        <v>20599999</v>
      </c>
      <c r="E1812" s="1009">
        <v>20539999</v>
      </c>
      <c r="F1812" s="1007" t="s">
        <v>2853</v>
      </c>
      <c r="O1812" s="1007" t="s">
        <v>648</v>
      </c>
      <c r="P1812" s="1007" t="s">
        <v>648</v>
      </c>
      <c r="S1812" s="1008" t="s">
        <v>657</v>
      </c>
      <c r="T1812" s="1008" t="s">
        <v>21</v>
      </c>
      <c r="U1812" s="1008" t="s">
        <v>649</v>
      </c>
      <c r="V1812" s="1008" t="s">
        <v>648</v>
      </c>
      <c r="W1812" s="1008" t="s">
        <v>546</v>
      </c>
      <c r="X1812" s="1008"/>
      <c r="Y1812" s="1008"/>
      <c r="Z1812" s="1008"/>
      <c r="AA1812" s="1008"/>
      <c r="AB1812" s="1008"/>
      <c r="AC1812" s="1008"/>
      <c r="AD1812" s="1008"/>
      <c r="AE1812" s="1008"/>
      <c r="AF1812" s="1008"/>
      <c r="AG1812" s="1008"/>
      <c r="AH1812" s="1008"/>
      <c r="AI1812" s="1008"/>
    </row>
    <row r="1813" spans="1:35">
      <c r="A1813" s="1008">
        <v>24519</v>
      </c>
      <c r="C1813" s="1008">
        <v>6</v>
      </c>
      <c r="D1813" s="1009">
        <v>20549999</v>
      </c>
      <c r="E1813" s="1009">
        <v>20540000</v>
      </c>
      <c r="F1813" s="1007" t="s">
        <v>2852</v>
      </c>
      <c r="O1813" s="1007" t="s">
        <v>648</v>
      </c>
      <c r="P1813" s="1007" t="s">
        <v>648</v>
      </c>
      <c r="S1813" s="1008" t="s">
        <v>657</v>
      </c>
      <c r="T1813" s="1008" t="s">
        <v>675</v>
      </c>
      <c r="U1813" s="1008" t="s">
        <v>649</v>
      </c>
      <c r="V1813" s="1008" t="s">
        <v>648</v>
      </c>
      <c r="W1813" s="1008" t="s">
        <v>546</v>
      </c>
      <c r="X1813" s="1008"/>
      <c r="Y1813" s="1008"/>
      <c r="Z1813" s="1008"/>
      <c r="AA1813" s="1008"/>
      <c r="AB1813" s="1008"/>
      <c r="AC1813" s="1008"/>
      <c r="AD1813" s="1008"/>
      <c r="AE1813" s="1008"/>
      <c r="AF1813" s="1008"/>
      <c r="AG1813" s="1008"/>
      <c r="AH1813" s="1008"/>
      <c r="AI1813" s="1008"/>
    </row>
    <row r="1814" spans="1:35">
      <c r="A1814" s="1008">
        <v>24520</v>
      </c>
      <c r="B1814" s="1008">
        <v>1871</v>
      </c>
      <c r="C1814" s="1008">
        <v>7</v>
      </c>
      <c r="D1814" s="1009">
        <v>20549999</v>
      </c>
      <c r="E1814" s="1009">
        <v>20541000</v>
      </c>
      <c r="F1814" s="1007" t="s">
        <v>2851</v>
      </c>
      <c r="G1814" s="1007">
        <v>7</v>
      </c>
      <c r="H1814" s="1010">
        <v>99999999</v>
      </c>
      <c r="I1814" s="1009">
        <v>20541000</v>
      </c>
      <c r="J1814" s="1007" t="s">
        <v>2851</v>
      </c>
      <c r="O1814" s="1007" t="s">
        <v>648</v>
      </c>
      <c r="P1814" s="1007" t="s">
        <v>648</v>
      </c>
      <c r="S1814" s="1008" t="s">
        <v>657</v>
      </c>
      <c r="T1814" s="1008" t="s">
        <v>654</v>
      </c>
      <c r="U1814" s="1008" t="s">
        <v>649</v>
      </c>
      <c r="V1814" s="1008" t="s">
        <v>648</v>
      </c>
      <c r="W1814" s="1008" t="s">
        <v>546</v>
      </c>
      <c r="X1814" s="1008" t="s">
        <v>670</v>
      </c>
      <c r="Y1814" s="1008" t="s">
        <v>670</v>
      </c>
      <c r="Z1814" s="1008" t="s">
        <v>670</v>
      </c>
      <c r="AA1814" s="1008"/>
      <c r="AB1814" s="1008" t="s">
        <v>670</v>
      </c>
      <c r="AC1814" s="1008" t="s">
        <v>670</v>
      </c>
      <c r="AD1814" s="1008"/>
      <c r="AE1814" s="1008"/>
      <c r="AF1814" s="1008" t="s">
        <v>670</v>
      </c>
      <c r="AG1814" s="1008"/>
      <c r="AH1814" s="1008"/>
      <c r="AI1814" s="1008"/>
    </row>
    <row r="1815" spans="1:35">
      <c r="A1815" s="1008">
        <v>24521</v>
      </c>
      <c r="B1815" s="1008">
        <v>728</v>
      </c>
      <c r="C1815" s="1008">
        <v>7</v>
      </c>
      <c r="D1815" s="1009">
        <v>20549999</v>
      </c>
      <c r="E1815" s="1009">
        <v>20542000</v>
      </c>
      <c r="F1815" s="1007" t="s">
        <v>2850</v>
      </c>
      <c r="G1815" s="1007">
        <v>8</v>
      </c>
      <c r="H1815" s="1010">
        <v>99999999</v>
      </c>
      <c r="I1815" s="1009">
        <v>20542000</v>
      </c>
      <c r="J1815" s="1007" t="s">
        <v>2850</v>
      </c>
      <c r="O1815" s="1007" t="s">
        <v>648</v>
      </c>
      <c r="P1815" s="1007" t="s">
        <v>648</v>
      </c>
      <c r="S1815" s="1008" t="s">
        <v>657</v>
      </c>
      <c r="T1815" s="1008" t="s">
        <v>654</v>
      </c>
      <c r="U1815" s="1008" t="s">
        <v>649</v>
      </c>
      <c r="V1815" s="1008" t="s">
        <v>648</v>
      </c>
      <c r="W1815" s="1008" t="s">
        <v>546</v>
      </c>
      <c r="X1815" s="1008" t="s">
        <v>670</v>
      </c>
      <c r="Y1815" s="1008" t="s">
        <v>670</v>
      </c>
      <c r="Z1815" s="1008" t="s">
        <v>670</v>
      </c>
      <c r="AA1815" s="1008"/>
      <c r="AB1815" s="1008" t="s">
        <v>670</v>
      </c>
      <c r="AC1815" s="1008" t="s">
        <v>670</v>
      </c>
      <c r="AD1815" s="1008"/>
      <c r="AE1815" s="1008"/>
      <c r="AF1815" s="1008" t="s">
        <v>670</v>
      </c>
      <c r="AG1815" s="1008"/>
      <c r="AH1815" s="1008"/>
      <c r="AI1815" s="1008"/>
    </row>
    <row r="1816" spans="1:35">
      <c r="A1816" s="1008">
        <v>24522</v>
      </c>
      <c r="C1816" s="1008">
        <v>6</v>
      </c>
      <c r="D1816" s="1009">
        <v>20599999</v>
      </c>
      <c r="E1816" s="1009">
        <v>20549999</v>
      </c>
      <c r="F1816" s="1007" t="s">
        <v>2849</v>
      </c>
      <c r="O1816" s="1007" t="s">
        <v>648</v>
      </c>
      <c r="P1816" s="1007" t="s">
        <v>648</v>
      </c>
      <c r="S1816" s="1008" t="s">
        <v>657</v>
      </c>
      <c r="T1816" s="1008" t="s">
        <v>21</v>
      </c>
      <c r="U1816" s="1008" t="s">
        <v>649</v>
      </c>
      <c r="V1816" s="1008" t="s">
        <v>648</v>
      </c>
      <c r="W1816" s="1008" t="s">
        <v>546</v>
      </c>
      <c r="X1816" s="1008"/>
      <c r="Y1816" s="1008"/>
      <c r="Z1816" s="1008"/>
      <c r="AA1816" s="1008"/>
      <c r="AB1816" s="1008"/>
      <c r="AC1816" s="1008"/>
      <c r="AD1816" s="1008"/>
      <c r="AE1816" s="1008"/>
      <c r="AF1816" s="1008"/>
      <c r="AG1816" s="1008"/>
      <c r="AH1816" s="1008"/>
      <c r="AI1816" s="1008"/>
    </row>
    <row r="1817" spans="1:35">
      <c r="A1817" s="1008">
        <v>24523</v>
      </c>
      <c r="C1817" s="1008">
        <v>6</v>
      </c>
      <c r="D1817" s="1009">
        <v>20559999</v>
      </c>
      <c r="E1817" s="1009">
        <v>20550000</v>
      </c>
      <c r="F1817" s="1007" t="s">
        <v>2848</v>
      </c>
      <c r="O1817" s="1007" t="s">
        <v>648</v>
      </c>
      <c r="P1817" s="1007" t="s">
        <v>648</v>
      </c>
      <c r="S1817" s="1008" t="s">
        <v>657</v>
      </c>
      <c r="T1817" s="1008" t="s">
        <v>675</v>
      </c>
      <c r="U1817" s="1008" t="s">
        <v>649</v>
      </c>
      <c r="V1817" s="1008" t="s">
        <v>648</v>
      </c>
      <c r="W1817" s="1008" t="s">
        <v>546</v>
      </c>
      <c r="X1817" s="1008"/>
      <c r="Y1817" s="1008"/>
      <c r="Z1817" s="1008"/>
      <c r="AA1817" s="1008"/>
      <c r="AB1817" s="1008"/>
      <c r="AC1817" s="1008"/>
      <c r="AD1817" s="1008"/>
      <c r="AE1817" s="1008"/>
      <c r="AF1817" s="1008"/>
      <c r="AG1817" s="1008"/>
      <c r="AH1817" s="1008"/>
      <c r="AI1817" s="1008"/>
    </row>
    <row r="1818" spans="1:35">
      <c r="A1818" s="1008">
        <v>24524</v>
      </c>
      <c r="B1818" s="1008">
        <v>725</v>
      </c>
      <c r="C1818" s="1008">
        <v>7</v>
      </c>
      <c r="D1818" s="1009">
        <v>20559999</v>
      </c>
      <c r="E1818" s="1009">
        <v>20551000</v>
      </c>
      <c r="F1818" s="1007" t="s">
        <v>2847</v>
      </c>
      <c r="G1818" s="1007">
        <v>8</v>
      </c>
      <c r="H1818" s="1010">
        <v>99999999</v>
      </c>
      <c r="I1818" s="1009">
        <v>20551000</v>
      </c>
      <c r="J1818" s="1007" t="s">
        <v>2847</v>
      </c>
      <c r="O1818" s="1007" t="s">
        <v>648</v>
      </c>
      <c r="P1818" s="1007" t="s">
        <v>648</v>
      </c>
      <c r="S1818" s="1008" t="s">
        <v>657</v>
      </c>
      <c r="T1818" s="1008" t="s">
        <v>654</v>
      </c>
      <c r="U1818" s="1008" t="s">
        <v>649</v>
      </c>
      <c r="V1818" s="1008" t="s">
        <v>648</v>
      </c>
      <c r="W1818" s="1008" t="s">
        <v>546</v>
      </c>
      <c r="X1818" s="1008" t="s">
        <v>670</v>
      </c>
      <c r="Y1818" s="1008" t="s">
        <v>670</v>
      </c>
      <c r="Z1818" s="1008" t="s">
        <v>670</v>
      </c>
      <c r="AA1818" s="1008"/>
      <c r="AB1818" s="1008" t="s">
        <v>670</v>
      </c>
      <c r="AC1818" s="1008" t="s">
        <v>670</v>
      </c>
      <c r="AD1818" s="1008"/>
      <c r="AE1818" s="1008"/>
      <c r="AF1818" s="1008" t="s">
        <v>670</v>
      </c>
      <c r="AG1818" s="1008"/>
      <c r="AH1818" s="1008"/>
      <c r="AI1818" s="1008"/>
    </row>
    <row r="1819" spans="1:35">
      <c r="A1819" s="1008">
        <v>26408</v>
      </c>
      <c r="B1819" s="1008">
        <v>5111</v>
      </c>
      <c r="C1819" s="1008">
        <v>7</v>
      </c>
      <c r="D1819" s="1009">
        <v>20559999</v>
      </c>
      <c r="E1819" s="1009">
        <v>20552000</v>
      </c>
      <c r="F1819" s="1007" t="s">
        <v>2846</v>
      </c>
      <c r="G1819" s="1007">
        <v>7</v>
      </c>
      <c r="H1819" s="1010">
        <v>99999999</v>
      </c>
      <c r="I1819" s="1009">
        <v>20552000</v>
      </c>
      <c r="J1819" s="1007" t="s">
        <v>2846</v>
      </c>
      <c r="O1819" s="1007" t="s">
        <v>648</v>
      </c>
      <c r="P1819" s="1007" t="s">
        <v>648</v>
      </c>
      <c r="S1819" s="1008" t="s">
        <v>657</v>
      </c>
      <c r="T1819" s="1008" t="s">
        <v>654</v>
      </c>
      <c r="U1819" s="1008" t="s">
        <v>649</v>
      </c>
      <c r="V1819" s="1008" t="s">
        <v>648</v>
      </c>
      <c r="W1819" s="1008" t="s">
        <v>546</v>
      </c>
      <c r="X1819" s="1008" t="s">
        <v>670</v>
      </c>
      <c r="Y1819" s="1008" t="s">
        <v>670</v>
      </c>
      <c r="Z1819" s="1008" t="s">
        <v>670</v>
      </c>
      <c r="AA1819" s="1008"/>
      <c r="AB1819" s="1008" t="s">
        <v>670</v>
      </c>
      <c r="AC1819" s="1008" t="s">
        <v>670</v>
      </c>
      <c r="AD1819" s="1008"/>
      <c r="AE1819" s="1008"/>
      <c r="AF1819" s="1008" t="s">
        <v>670</v>
      </c>
      <c r="AG1819" s="1008"/>
      <c r="AH1819" s="1008"/>
      <c r="AI1819" s="1008"/>
    </row>
    <row r="1820" spans="1:35">
      <c r="A1820" s="1008">
        <v>24525</v>
      </c>
      <c r="C1820" s="1008">
        <v>6</v>
      </c>
      <c r="D1820" s="1009">
        <v>20599999</v>
      </c>
      <c r="E1820" s="1009">
        <v>20559999</v>
      </c>
      <c r="F1820" s="1007" t="s">
        <v>2845</v>
      </c>
      <c r="O1820" s="1007" t="s">
        <v>648</v>
      </c>
      <c r="P1820" s="1007" t="s">
        <v>648</v>
      </c>
      <c r="S1820" s="1008" t="s">
        <v>657</v>
      </c>
      <c r="T1820" s="1008" t="s">
        <v>21</v>
      </c>
      <c r="U1820" s="1008" t="s">
        <v>649</v>
      </c>
      <c r="V1820" s="1008" t="s">
        <v>648</v>
      </c>
      <c r="W1820" s="1008" t="s">
        <v>546</v>
      </c>
      <c r="X1820" s="1008"/>
      <c r="Y1820" s="1008"/>
      <c r="Z1820" s="1008"/>
      <c r="AA1820" s="1008"/>
      <c r="AB1820" s="1008"/>
      <c r="AC1820" s="1008"/>
      <c r="AD1820" s="1008"/>
      <c r="AE1820" s="1008"/>
      <c r="AF1820" s="1008"/>
      <c r="AG1820" s="1008"/>
      <c r="AH1820" s="1008"/>
      <c r="AI1820" s="1008"/>
    </row>
    <row r="1821" spans="1:35">
      <c r="A1821" s="1008">
        <v>24526</v>
      </c>
      <c r="C1821" s="1008">
        <v>6</v>
      </c>
      <c r="D1821" s="1009">
        <v>20569999</v>
      </c>
      <c r="E1821" s="1009">
        <v>20560000</v>
      </c>
      <c r="F1821" s="1007" t="s">
        <v>2844</v>
      </c>
      <c r="O1821" s="1007" t="s">
        <v>648</v>
      </c>
      <c r="P1821" s="1007" t="s">
        <v>648</v>
      </c>
      <c r="S1821" s="1008" t="s">
        <v>657</v>
      </c>
      <c r="T1821" s="1008" t="s">
        <v>675</v>
      </c>
      <c r="U1821" s="1008" t="s">
        <v>649</v>
      </c>
      <c r="V1821" s="1008" t="s">
        <v>648</v>
      </c>
      <c r="W1821" s="1008" t="s">
        <v>546</v>
      </c>
      <c r="X1821" s="1008"/>
      <c r="Y1821" s="1008"/>
      <c r="Z1821" s="1008"/>
      <c r="AA1821" s="1008"/>
      <c r="AB1821" s="1008"/>
      <c r="AC1821" s="1008"/>
      <c r="AD1821" s="1008"/>
      <c r="AE1821" s="1008"/>
      <c r="AF1821" s="1008"/>
      <c r="AG1821" s="1008"/>
      <c r="AH1821" s="1008"/>
      <c r="AI1821" s="1008"/>
    </row>
    <row r="1822" spans="1:35">
      <c r="A1822" s="1008">
        <v>24527</v>
      </c>
      <c r="B1822" s="1008">
        <v>731</v>
      </c>
      <c r="C1822" s="1008">
        <v>7</v>
      </c>
      <c r="D1822" s="1009">
        <v>20569999</v>
      </c>
      <c r="E1822" s="1009">
        <v>20561000</v>
      </c>
      <c r="F1822" s="1007" t="s">
        <v>2843</v>
      </c>
      <c r="G1822" s="1007">
        <v>8</v>
      </c>
      <c r="H1822" s="1010">
        <v>99999999</v>
      </c>
      <c r="I1822" s="1009">
        <v>20561000</v>
      </c>
      <c r="J1822" s="1007" t="s">
        <v>2843</v>
      </c>
      <c r="O1822" s="1007" t="s">
        <v>648</v>
      </c>
      <c r="P1822" s="1007" t="s">
        <v>648</v>
      </c>
      <c r="S1822" s="1008" t="s">
        <v>657</v>
      </c>
      <c r="T1822" s="1008" t="s">
        <v>654</v>
      </c>
      <c r="U1822" s="1008" t="s">
        <v>649</v>
      </c>
      <c r="V1822" s="1008" t="s">
        <v>648</v>
      </c>
      <c r="W1822" s="1008" t="s">
        <v>546</v>
      </c>
      <c r="X1822" s="1008" t="s">
        <v>670</v>
      </c>
      <c r="Y1822" s="1008" t="s">
        <v>670</v>
      </c>
      <c r="Z1822" s="1008" t="s">
        <v>670</v>
      </c>
      <c r="AA1822" s="1008"/>
      <c r="AB1822" s="1008" t="s">
        <v>670</v>
      </c>
      <c r="AC1822" s="1008" t="s">
        <v>670</v>
      </c>
      <c r="AD1822" s="1008"/>
      <c r="AE1822" s="1008"/>
      <c r="AF1822" s="1008" t="s">
        <v>670</v>
      </c>
      <c r="AG1822" s="1008"/>
      <c r="AH1822" s="1008"/>
      <c r="AI1822" s="1008"/>
    </row>
    <row r="1823" spans="1:35">
      <c r="A1823" s="1008">
        <v>24528</v>
      </c>
      <c r="C1823" s="1008">
        <v>6</v>
      </c>
      <c r="D1823" s="1009">
        <v>20599999</v>
      </c>
      <c r="E1823" s="1009">
        <v>20569999</v>
      </c>
      <c r="F1823" s="1007" t="s">
        <v>2842</v>
      </c>
      <c r="O1823" s="1007" t="s">
        <v>648</v>
      </c>
      <c r="P1823" s="1007" t="s">
        <v>648</v>
      </c>
      <c r="S1823" s="1008" t="s">
        <v>657</v>
      </c>
      <c r="T1823" s="1008" t="s">
        <v>21</v>
      </c>
      <c r="U1823" s="1008" t="s">
        <v>649</v>
      </c>
      <c r="V1823" s="1008" t="s">
        <v>648</v>
      </c>
      <c r="W1823" s="1008" t="s">
        <v>546</v>
      </c>
      <c r="X1823" s="1008"/>
      <c r="Y1823" s="1008"/>
      <c r="Z1823" s="1008"/>
      <c r="AA1823" s="1008"/>
      <c r="AB1823" s="1008"/>
      <c r="AC1823" s="1008"/>
      <c r="AD1823" s="1008"/>
      <c r="AE1823" s="1008"/>
      <c r="AF1823" s="1008"/>
      <c r="AG1823" s="1008"/>
      <c r="AH1823" s="1008"/>
      <c r="AI1823" s="1008"/>
    </row>
    <row r="1824" spans="1:35">
      <c r="A1824" s="1008">
        <v>24529</v>
      </c>
      <c r="C1824" s="1008">
        <v>6</v>
      </c>
      <c r="D1824" s="1009">
        <v>20579999</v>
      </c>
      <c r="E1824" s="1009">
        <v>20570000</v>
      </c>
      <c r="F1824" s="1007" t="s">
        <v>2841</v>
      </c>
      <c r="O1824" s="1007" t="s">
        <v>648</v>
      </c>
      <c r="P1824" s="1007" t="s">
        <v>648</v>
      </c>
      <c r="S1824" s="1008" t="s">
        <v>657</v>
      </c>
      <c r="T1824" s="1008" t="s">
        <v>675</v>
      </c>
      <c r="U1824" s="1008" t="s">
        <v>649</v>
      </c>
      <c r="V1824" s="1008" t="s">
        <v>648</v>
      </c>
      <c r="W1824" s="1008" t="s">
        <v>546</v>
      </c>
      <c r="X1824" s="1008"/>
      <c r="Y1824" s="1008"/>
      <c r="Z1824" s="1008"/>
      <c r="AA1824" s="1008"/>
      <c r="AB1824" s="1008"/>
      <c r="AC1824" s="1008"/>
      <c r="AD1824" s="1008"/>
      <c r="AE1824" s="1008"/>
      <c r="AF1824" s="1008"/>
      <c r="AG1824" s="1008"/>
      <c r="AH1824" s="1008"/>
      <c r="AI1824" s="1008"/>
    </row>
    <row r="1825" spans="1:35">
      <c r="A1825" s="1008">
        <v>26529</v>
      </c>
      <c r="B1825" s="1008">
        <v>5115</v>
      </c>
      <c r="C1825" s="1008">
        <v>7</v>
      </c>
      <c r="D1825" s="1009">
        <v>20579999</v>
      </c>
      <c r="E1825" s="1009">
        <v>20571000</v>
      </c>
      <c r="F1825" s="1007" t="s">
        <v>2840</v>
      </c>
      <c r="G1825" s="1007">
        <v>7</v>
      </c>
      <c r="H1825" s="1010">
        <v>99999999</v>
      </c>
      <c r="I1825" s="1009">
        <v>20571000</v>
      </c>
      <c r="J1825" s="1007" t="s">
        <v>2840</v>
      </c>
      <c r="O1825" s="1007" t="s">
        <v>648</v>
      </c>
      <c r="P1825" s="1007" t="s">
        <v>648</v>
      </c>
      <c r="S1825" s="1008" t="s">
        <v>657</v>
      </c>
      <c r="T1825" s="1008" t="s">
        <v>654</v>
      </c>
      <c r="U1825" s="1008" t="s">
        <v>649</v>
      </c>
      <c r="V1825" s="1008" t="s">
        <v>648</v>
      </c>
      <c r="W1825" s="1008" t="s">
        <v>546</v>
      </c>
      <c r="X1825" s="1008" t="s">
        <v>670</v>
      </c>
      <c r="Y1825" s="1008" t="s">
        <v>670</v>
      </c>
      <c r="Z1825" s="1008"/>
      <c r="AA1825" s="1008" t="s">
        <v>670</v>
      </c>
      <c r="AB1825" s="1008"/>
      <c r="AC1825" s="1008"/>
      <c r="AD1825" s="1008" t="s">
        <v>670</v>
      </c>
      <c r="AE1825" s="1008"/>
      <c r="AF1825" s="1008" t="s">
        <v>670</v>
      </c>
      <c r="AG1825" s="1008"/>
      <c r="AH1825" s="1008"/>
      <c r="AI1825" s="1008"/>
    </row>
    <row r="1826" spans="1:35">
      <c r="A1826" s="1008">
        <v>24531</v>
      </c>
      <c r="C1826" s="1008">
        <v>6</v>
      </c>
      <c r="D1826" s="1009">
        <v>20599999</v>
      </c>
      <c r="E1826" s="1009">
        <v>20579999</v>
      </c>
      <c r="F1826" s="1007" t="s">
        <v>2839</v>
      </c>
      <c r="O1826" s="1007" t="s">
        <v>648</v>
      </c>
      <c r="P1826" s="1007" t="s">
        <v>648</v>
      </c>
      <c r="S1826" s="1008" t="s">
        <v>657</v>
      </c>
      <c r="T1826" s="1008" t="s">
        <v>21</v>
      </c>
      <c r="U1826" s="1008" t="s">
        <v>649</v>
      </c>
      <c r="V1826" s="1008" t="s">
        <v>648</v>
      </c>
      <c r="W1826" s="1008" t="s">
        <v>546</v>
      </c>
      <c r="X1826" s="1008"/>
      <c r="Y1826" s="1008"/>
      <c r="Z1826" s="1008"/>
      <c r="AA1826" s="1008"/>
      <c r="AB1826" s="1008"/>
      <c r="AC1826" s="1008"/>
      <c r="AD1826" s="1008"/>
      <c r="AE1826" s="1008"/>
      <c r="AF1826" s="1008"/>
      <c r="AG1826" s="1008"/>
      <c r="AH1826" s="1008"/>
      <c r="AI1826" s="1008"/>
    </row>
    <row r="1827" spans="1:35">
      <c r="A1827" s="1008">
        <v>24532</v>
      </c>
      <c r="C1827" s="1008">
        <v>6</v>
      </c>
      <c r="D1827" s="1009">
        <v>20589999</v>
      </c>
      <c r="E1827" s="1009">
        <v>20580000</v>
      </c>
      <c r="F1827" s="1007" t="s">
        <v>2838</v>
      </c>
      <c r="O1827" s="1007" t="s">
        <v>648</v>
      </c>
      <c r="P1827" s="1007" t="s">
        <v>648</v>
      </c>
      <c r="S1827" s="1008" t="s">
        <v>657</v>
      </c>
      <c r="T1827" s="1008" t="s">
        <v>675</v>
      </c>
      <c r="U1827" s="1008" t="s">
        <v>649</v>
      </c>
      <c r="V1827" s="1008" t="s">
        <v>648</v>
      </c>
      <c r="W1827" s="1008" t="s">
        <v>546</v>
      </c>
      <c r="X1827" s="1008"/>
      <c r="Y1827" s="1008"/>
      <c r="Z1827" s="1008"/>
      <c r="AA1827" s="1008"/>
      <c r="AB1827" s="1008"/>
      <c r="AC1827" s="1008"/>
      <c r="AD1827" s="1008"/>
      <c r="AE1827" s="1008"/>
      <c r="AF1827" s="1008"/>
      <c r="AG1827" s="1008"/>
      <c r="AH1827" s="1008"/>
      <c r="AI1827" s="1008"/>
    </row>
    <row r="1828" spans="1:35">
      <c r="A1828" s="1008">
        <v>24533</v>
      </c>
      <c r="B1828" s="1008">
        <v>749</v>
      </c>
      <c r="C1828" s="1008">
        <v>7</v>
      </c>
      <c r="D1828" s="1009">
        <v>20589999</v>
      </c>
      <c r="E1828" s="1009">
        <v>20581000</v>
      </c>
      <c r="F1828" s="1007" t="s">
        <v>2837</v>
      </c>
      <c r="G1828" s="1007">
        <v>7</v>
      </c>
      <c r="H1828" s="1010">
        <v>99999999</v>
      </c>
      <c r="I1828" s="1009">
        <v>20581000</v>
      </c>
      <c r="J1828" s="1007" t="s">
        <v>2837</v>
      </c>
      <c r="O1828" s="1007" t="s">
        <v>648</v>
      </c>
      <c r="P1828" s="1007" t="s">
        <v>648</v>
      </c>
      <c r="S1828" s="1008" t="s">
        <v>657</v>
      </c>
      <c r="T1828" s="1008" t="s">
        <v>654</v>
      </c>
      <c r="U1828" s="1008" t="s">
        <v>649</v>
      </c>
      <c r="V1828" s="1008" t="s">
        <v>648</v>
      </c>
      <c r="W1828" s="1008" t="s">
        <v>546</v>
      </c>
      <c r="X1828" s="1008" t="s">
        <v>670</v>
      </c>
      <c r="Y1828" s="1008" t="s">
        <v>670</v>
      </c>
      <c r="Z1828" s="1008" t="s">
        <v>670</v>
      </c>
      <c r="AA1828" s="1008" t="s">
        <v>670</v>
      </c>
      <c r="AB1828" s="1008" t="s">
        <v>670</v>
      </c>
      <c r="AC1828" s="1008" t="s">
        <v>670</v>
      </c>
      <c r="AD1828" s="1008" t="s">
        <v>670</v>
      </c>
      <c r="AE1828" s="1008"/>
      <c r="AF1828" s="1008" t="s">
        <v>670</v>
      </c>
      <c r="AG1828" s="1008"/>
      <c r="AH1828" s="1008"/>
      <c r="AI1828" s="1008"/>
    </row>
    <row r="1829" spans="1:35">
      <c r="A1829" s="1008">
        <v>24534</v>
      </c>
      <c r="B1829" s="1008">
        <v>524</v>
      </c>
      <c r="C1829" s="1008">
        <v>7</v>
      </c>
      <c r="D1829" s="1009">
        <v>20589999</v>
      </c>
      <c r="E1829" s="1009">
        <v>20582000</v>
      </c>
      <c r="F1829" s="1007" t="s">
        <v>2836</v>
      </c>
      <c r="G1829" s="1007">
        <v>8</v>
      </c>
      <c r="H1829" s="1010">
        <v>99999999</v>
      </c>
      <c r="I1829" s="1009">
        <v>20582000</v>
      </c>
      <c r="J1829" s="1007" t="s">
        <v>2836</v>
      </c>
      <c r="O1829" s="1007" t="s">
        <v>648</v>
      </c>
      <c r="P1829" s="1007" t="s">
        <v>648</v>
      </c>
      <c r="S1829" s="1008" t="s">
        <v>657</v>
      </c>
      <c r="T1829" s="1008" t="s">
        <v>654</v>
      </c>
      <c r="U1829" s="1008" t="s">
        <v>649</v>
      </c>
      <c r="V1829" s="1008" t="s">
        <v>648</v>
      </c>
      <c r="W1829" s="1008" t="s">
        <v>546</v>
      </c>
      <c r="X1829" s="1008" t="s">
        <v>670</v>
      </c>
      <c r="Y1829" s="1008"/>
      <c r="Z1829" s="1008"/>
      <c r="AA1829" s="1008" t="s">
        <v>670</v>
      </c>
      <c r="AB1829" s="1008"/>
      <c r="AC1829" s="1008"/>
      <c r="AD1829" s="1008"/>
      <c r="AE1829" s="1008"/>
      <c r="AF1829" s="1008"/>
      <c r="AG1829" s="1008"/>
      <c r="AH1829" s="1008"/>
      <c r="AI1829" s="1008"/>
    </row>
    <row r="1830" spans="1:35">
      <c r="A1830" s="1008">
        <v>24535</v>
      </c>
      <c r="B1830" s="1008">
        <v>5117</v>
      </c>
      <c r="C1830" s="1008">
        <v>7</v>
      </c>
      <c r="D1830" s="1009">
        <v>20589999</v>
      </c>
      <c r="E1830" s="1009">
        <v>20583000</v>
      </c>
      <c r="F1830" s="1007" t="s">
        <v>2835</v>
      </c>
      <c r="G1830" s="1007">
        <v>7</v>
      </c>
      <c r="H1830" s="1010">
        <v>99999999</v>
      </c>
      <c r="I1830" s="1009">
        <v>20583000</v>
      </c>
      <c r="J1830" s="1007" t="s">
        <v>2835</v>
      </c>
      <c r="O1830" s="1007" t="s">
        <v>648</v>
      </c>
      <c r="P1830" s="1007" t="s">
        <v>648</v>
      </c>
      <c r="S1830" s="1008" t="s">
        <v>657</v>
      </c>
      <c r="T1830" s="1008" t="s">
        <v>654</v>
      </c>
      <c r="U1830" s="1008" t="s">
        <v>649</v>
      </c>
      <c r="V1830" s="1008" t="s">
        <v>648</v>
      </c>
      <c r="W1830" s="1008" t="s">
        <v>546</v>
      </c>
      <c r="X1830" s="1008" t="s">
        <v>670</v>
      </c>
      <c r="Y1830" s="1008" t="s">
        <v>670</v>
      </c>
      <c r="Z1830" s="1008"/>
      <c r="AA1830" s="1008" t="s">
        <v>670</v>
      </c>
      <c r="AB1830" s="1008"/>
      <c r="AC1830" s="1008"/>
      <c r="AD1830" s="1008"/>
      <c r="AE1830" s="1008"/>
      <c r="AF1830" s="1008" t="s">
        <v>670</v>
      </c>
      <c r="AG1830" s="1008"/>
      <c r="AH1830" s="1008"/>
      <c r="AI1830" s="1008"/>
    </row>
    <row r="1831" spans="1:35">
      <c r="A1831" s="1008">
        <v>27026</v>
      </c>
      <c r="B1831" s="1008">
        <v>5907</v>
      </c>
      <c r="C1831" s="1008">
        <v>7</v>
      </c>
      <c r="D1831" s="1009">
        <v>20589999</v>
      </c>
      <c r="E1831" s="1009">
        <v>20583600</v>
      </c>
      <c r="F1831" s="1007" t="s">
        <v>2834</v>
      </c>
      <c r="G1831" s="1007" t="s">
        <v>648</v>
      </c>
      <c r="H1831" s="1010">
        <v>99999999</v>
      </c>
      <c r="I1831" s="1009">
        <v>20583600</v>
      </c>
      <c r="J1831" s="1007" t="s">
        <v>2834</v>
      </c>
      <c r="O1831" s="1007" t="s">
        <v>648</v>
      </c>
      <c r="P1831" s="1007" t="s">
        <v>648</v>
      </c>
      <c r="S1831" s="1008" t="s">
        <v>657</v>
      </c>
      <c r="T1831" s="1008" t="s">
        <v>654</v>
      </c>
      <c r="U1831" s="1008" t="s">
        <v>649</v>
      </c>
      <c r="V1831" s="1008" t="s">
        <v>648</v>
      </c>
      <c r="W1831" s="1008" t="s">
        <v>546</v>
      </c>
      <c r="X1831" s="1008" t="s">
        <v>670</v>
      </c>
      <c r="Y1831" s="1008" t="s">
        <v>670</v>
      </c>
      <c r="Z1831" s="1008" t="s">
        <v>670</v>
      </c>
      <c r="AA1831" s="1008"/>
      <c r="AB1831" s="1008" t="s">
        <v>670</v>
      </c>
      <c r="AC1831" s="1008"/>
      <c r="AD1831" s="1008"/>
      <c r="AE1831" s="1008"/>
      <c r="AF1831" s="1008" t="s">
        <v>670</v>
      </c>
      <c r="AG1831" s="1008"/>
      <c r="AH1831" s="1008"/>
      <c r="AI1831" s="1008"/>
    </row>
    <row r="1832" spans="1:35">
      <c r="A1832" s="1008">
        <v>26551</v>
      </c>
      <c r="B1832" s="1008">
        <v>5816</v>
      </c>
      <c r="C1832" s="1008">
        <v>7</v>
      </c>
      <c r="D1832" s="1009">
        <v>20589999</v>
      </c>
      <c r="E1832" s="1009">
        <v>20584000</v>
      </c>
      <c r="F1832" s="1007" t="s">
        <v>2833</v>
      </c>
      <c r="G1832" s="1007" t="s">
        <v>648</v>
      </c>
      <c r="H1832" s="1010">
        <v>99999999</v>
      </c>
      <c r="I1832" s="1009">
        <v>20584000</v>
      </c>
      <c r="J1832" s="1007" t="s">
        <v>2833</v>
      </c>
      <c r="O1832" s="1007" t="s">
        <v>648</v>
      </c>
      <c r="P1832" s="1007" t="s">
        <v>648</v>
      </c>
      <c r="S1832" s="1008" t="s">
        <v>657</v>
      </c>
      <c r="T1832" s="1008" t="s">
        <v>654</v>
      </c>
      <c r="U1832" s="1008" t="s">
        <v>649</v>
      </c>
      <c r="V1832" s="1008" t="s">
        <v>648</v>
      </c>
      <c r="W1832" s="1008" t="s">
        <v>546</v>
      </c>
      <c r="X1832" s="1008" t="s">
        <v>670</v>
      </c>
      <c r="Y1832" s="1008"/>
      <c r="Z1832" s="1008"/>
      <c r="AA1832" s="1008" t="s">
        <v>670</v>
      </c>
      <c r="AB1832" s="1008"/>
      <c r="AC1832" s="1008" t="s">
        <v>670</v>
      </c>
      <c r="AD1832" s="1008"/>
      <c r="AE1832" s="1008"/>
      <c r="AF1832" s="1008"/>
      <c r="AG1832" s="1008"/>
      <c r="AH1832" s="1008"/>
      <c r="AI1832" s="1008"/>
    </row>
    <row r="1833" spans="1:35">
      <c r="A1833" s="1008">
        <v>26552</v>
      </c>
      <c r="B1833" s="1008">
        <v>5817</v>
      </c>
      <c r="C1833" s="1008">
        <v>7</v>
      </c>
      <c r="D1833" s="1009">
        <v>20589999</v>
      </c>
      <c r="E1833" s="1009">
        <v>20585000</v>
      </c>
      <c r="F1833" s="1007" t="s">
        <v>2832</v>
      </c>
      <c r="G1833" s="1007" t="s">
        <v>648</v>
      </c>
      <c r="H1833" s="1010">
        <v>99999999</v>
      </c>
      <c r="I1833" s="1009">
        <v>20585000</v>
      </c>
      <c r="J1833" s="1007" t="s">
        <v>2832</v>
      </c>
      <c r="O1833" s="1007" t="s">
        <v>648</v>
      </c>
      <c r="P1833" s="1007" t="s">
        <v>648</v>
      </c>
      <c r="S1833" s="1008" t="s">
        <v>657</v>
      </c>
      <c r="T1833" s="1008" t="s">
        <v>654</v>
      </c>
      <c r="U1833" s="1008" t="s">
        <v>649</v>
      </c>
      <c r="V1833" s="1008" t="s">
        <v>648</v>
      </c>
      <c r="W1833" s="1008" t="s">
        <v>546</v>
      </c>
      <c r="X1833" s="1008" t="s">
        <v>670</v>
      </c>
      <c r="Y1833" s="1008"/>
      <c r="Z1833" s="1008"/>
      <c r="AA1833" s="1008" t="s">
        <v>670</v>
      </c>
      <c r="AB1833" s="1008"/>
      <c r="AC1833" s="1008"/>
      <c r="AD1833" s="1008"/>
      <c r="AE1833" s="1008"/>
      <c r="AF1833" s="1008"/>
      <c r="AG1833" s="1008"/>
      <c r="AH1833" s="1008"/>
      <c r="AI1833" s="1008"/>
    </row>
    <row r="1834" spans="1:35">
      <c r="A1834" s="1008">
        <v>26553</v>
      </c>
      <c r="B1834" s="1008">
        <v>5818</v>
      </c>
      <c r="C1834" s="1008">
        <v>7</v>
      </c>
      <c r="D1834" s="1009">
        <v>20589999</v>
      </c>
      <c r="E1834" s="1009">
        <v>20586000</v>
      </c>
      <c r="F1834" s="1007" t="s">
        <v>2831</v>
      </c>
      <c r="G1834" s="1007" t="s">
        <v>648</v>
      </c>
      <c r="H1834" s="1010">
        <v>99999999</v>
      </c>
      <c r="I1834" s="1009">
        <v>20586000</v>
      </c>
      <c r="J1834" s="1007" t="s">
        <v>2831</v>
      </c>
      <c r="O1834" s="1007" t="s">
        <v>648</v>
      </c>
      <c r="P1834" s="1007" t="s">
        <v>648</v>
      </c>
      <c r="S1834" s="1008" t="s">
        <v>657</v>
      </c>
      <c r="T1834" s="1008" t="s">
        <v>654</v>
      </c>
      <c r="U1834" s="1008" t="s">
        <v>649</v>
      </c>
      <c r="V1834" s="1008" t="s">
        <v>648</v>
      </c>
      <c r="W1834" s="1008" t="s">
        <v>546</v>
      </c>
      <c r="X1834" s="1008" t="s">
        <v>670</v>
      </c>
      <c r="Y1834" s="1008"/>
      <c r="Z1834" s="1008"/>
      <c r="AA1834" s="1008" t="s">
        <v>670</v>
      </c>
      <c r="AB1834" s="1008"/>
      <c r="AC1834" s="1008"/>
      <c r="AD1834" s="1008"/>
      <c r="AE1834" s="1008"/>
      <c r="AF1834" s="1008"/>
      <c r="AG1834" s="1008"/>
      <c r="AH1834" s="1008"/>
      <c r="AI1834" s="1008"/>
    </row>
    <row r="1835" spans="1:35">
      <c r="A1835" s="1008">
        <v>26554</v>
      </c>
      <c r="B1835" s="1008">
        <v>5819</v>
      </c>
      <c r="C1835" s="1008">
        <v>7</v>
      </c>
      <c r="D1835" s="1009">
        <v>20589999</v>
      </c>
      <c r="E1835" s="1009">
        <v>20587000</v>
      </c>
      <c r="F1835" s="1007" t="s">
        <v>2830</v>
      </c>
      <c r="G1835" s="1007" t="s">
        <v>648</v>
      </c>
      <c r="H1835" s="1010">
        <v>99999999</v>
      </c>
      <c r="I1835" s="1009">
        <v>20587000</v>
      </c>
      <c r="J1835" s="1007" t="s">
        <v>2830</v>
      </c>
      <c r="O1835" s="1007" t="s">
        <v>648</v>
      </c>
      <c r="P1835" s="1007" t="s">
        <v>648</v>
      </c>
      <c r="S1835" s="1008" t="s">
        <v>657</v>
      </c>
      <c r="T1835" s="1008" t="s">
        <v>654</v>
      </c>
      <c r="U1835" s="1008" t="s">
        <v>649</v>
      </c>
      <c r="V1835" s="1008" t="s">
        <v>648</v>
      </c>
      <c r="W1835" s="1008" t="s">
        <v>546</v>
      </c>
      <c r="X1835" s="1008" t="s">
        <v>670</v>
      </c>
      <c r="Y1835" s="1008" t="s">
        <v>670</v>
      </c>
      <c r="Z1835" s="1008"/>
      <c r="AA1835" s="1008" t="s">
        <v>670</v>
      </c>
      <c r="AB1835" s="1008"/>
      <c r="AC1835" s="1008"/>
      <c r="AD1835" s="1008"/>
      <c r="AE1835" s="1008"/>
      <c r="AF1835" s="1008" t="s">
        <v>670</v>
      </c>
      <c r="AG1835" s="1008"/>
      <c r="AH1835" s="1008"/>
      <c r="AI1835" s="1008"/>
    </row>
    <row r="1836" spans="1:35">
      <c r="A1836" s="1008">
        <v>27799</v>
      </c>
      <c r="B1836" s="1008">
        <v>6598</v>
      </c>
      <c r="C1836" s="1008">
        <v>7</v>
      </c>
      <c r="D1836" s="1009">
        <v>20589999</v>
      </c>
      <c r="E1836" s="1009">
        <v>20587050</v>
      </c>
      <c r="F1836" s="1007" t="s">
        <v>2829</v>
      </c>
      <c r="G1836" s="1007">
        <v>8</v>
      </c>
      <c r="H1836" s="1010">
        <v>99999999</v>
      </c>
      <c r="I1836" s="1009">
        <v>20587050</v>
      </c>
      <c r="J1836" s="1007" t="s">
        <v>2829</v>
      </c>
      <c r="O1836" s="1007" t="s">
        <v>648</v>
      </c>
      <c r="P1836" s="1007" t="s">
        <v>648</v>
      </c>
      <c r="S1836" s="1008" t="s">
        <v>657</v>
      </c>
      <c r="T1836" s="1008" t="s">
        <v>654</v>
      </c>
      <c r="U1836" s="1008" t="s">
        <v>649</v>
      </c>
      <c r="V1836" s="1008" t="s">
        <v>648</v>
      </c>
      <c r="W1836" s="1008" t="s">
        <v>546</v>
      </c>
      <c r="X1836" s="1008" t="s">
        <v>670</v>
      </c>
      <c r="Y1836" s="1008" t="s">
        <v>670</v>
      </c>
      <c r="Z1836" s="1008"/>
      <c r="AA1836" s="1008" t="s">
        <v>670</v>
      </c>
      <c r="AB1836" s="1008"/>
      <c r="AC1836" s="1008"/>
      <c r="AD1836" s="1008"/>
      <c r="AE1836" s="1008"/>
      <c r="AF1836" s="1008" t="s">
        <v>670</v>
      </c>
      <c r="AG1836" s="1008"/>
      <c r="AH1836" s="1008"/>
      <c r="AI1836" s="1008"/>
    </row>
    <row r="1837" spans="1:35">
      <c r="A1837" s="1008">
        <v>26639</v>
      </c>
      <c r="B1837" s="1008">
        <v>5882</v>
      </c>
      <c r="C1837" s="1008">
        <v>7</v>
      </c>
      <c r="D1837" s="1009">
        <v>20589999</v>
      </c>
      <c r="E1837" s="1009">
        <v>20588000</v>
      </c>
      <c r="F1837" s="1007" t="s">
        <v>2828</v>
      </c>
      <c r="G1837" s="1007">
        <v>7</v>
      </c>
      <c r="H1837" s="1010">
        <v>99999999</v>
      </c>
      <c r="I1837" s="1009">
        <v>20588000</v>
      </c>
      <c r="J1837" s="1007" t="s">
        <v>2828</v>
      </c>
      <c r="O1837" s="1007" t="s">
        <v>648</v>
      </c>
      <c r="P1837" s="1007" t="s">
        <v>648</v>
      </c>
      <c r="S1837" s="1008" t="s">
        <v>657</v>
      </c>
      <c r="T1837" s="1008" t="s">
        <v>654</v>
      </c>
      <c r="U1837" s="1008" t="s">
        <v>649</v>
      </c>
      <c r="V1837" s="1008" t="s">
        <v>648</v>
      </c>
      <c r="W1837" s="1008" t="s">
        <v>546</v>
      </c>
      <c r="X1837" s="1008" t="s">
        <v>670</v>
      </c>
      <c r="Y1837" s="1008" t="s">
        <v>670</v>
      </c>
      <c r="Z1837" s="1008"/>
      <c r="AA1837" s="1008" t="s">
        <v>670</v>
      </c>
      <c r="AB1837" s="1008"/>
      <c r="AC1837" s="1008"/>
      <c r="AD1837" s="1008"/>
      <c r="AE1837" s="1008"/>
      <c r="AF1837" s="1008" t="s">
        <v>670</v>
      </c>
      <c r="AG1837" s="1008"/>
      <c r="AH1837" s="1008"/>
      <c r="AI1837" s="1008"/>
    </row>
    <row r="1838" spans="1:35">
      <c r="A1838" s="1008">
        <v>24536</v>
      </c>
      <c r="C1838" s="1008">
        <v>6</v>
      </c>
      <c r="D1838" s="1009">
        <v>20599999</v>
      </c>
      <c r="E1838" s="1009">
        <v>20589999</v>
      </c>
      <c r="F1838" s="1007" t="s">
        <v>2827</v>
      </c>
      <c r="O1838" s="1007" t="s">
        <v>648</v>
      </c>
      <c r="P1838" s="1007" t="s">
        <v>648</v>
      </c>
      <c r="S1838" s="1008" t="s">
        <v>657</v>
      </c>
      <c r="T1838" s="1008" t="s">
        <v>21</v>
      </c>
      <c r="U1838" s="1008" t="s">
        <v>649</v>
      </c>
      <c r="V1838" s="1008" t="s">
        <v>648</v>
      </c>
      <c r="W1838" s="1008" t="s">
        <v>546</v>
      </c>
      <c r="X1838" s="1008"/>
      <c r="Y1838" s="1008"/>
      <c r="Z1838" s="1008"/>
      <c r="AA1838" s="1008"/>
      <c r="AB1838" s="1008"/>
      <c r="AC1838" s="1008"/>
      <c r="AD1838" s="1008"/>
      <c r="AE1838" s="1008"/>
      <c r="AF1838" s="1008"/>
      <c r="AG1838" s="1008"/>
      <c r="AH1838" s="1008"/>
      <c r="AI1838" s="1008"/>
    </row>
    <row r="1839" spans="1:35">
      <c r="A1839" s="1008">
        <v>24537</v>
      </c>
      <c r="C1839" s="1008">
        <v>5</v>
      </c>
      <c r="D1839" s="1009">
        <v>20699999</v>
      </c>
      <c r="E1839" s="1009">
        <v>20599999</v>
      </c>
      <c r="F1839" s="1007" t="s">
        <v>2826</v>
      </c>
      <c r="O1839" s="1007" t="s">
        <v>648</v>
      </c>
      <c r="P1839" s="1007" t="s">
        <v>648</v>
      </c>
      <c r="S1839" s="1008" t="s">
        <v>657</v>
      </c>
      <c r="T1839" s="1008" t="s">
        <v>21</v>
      </c>
      <c r="U1839" s="1008" t="s">
        <v>649</v>
      </c>
      <c r="V1839" s="1008" t="s">
        <v>648</v>
      </c>
      <c r="W1839" s="1008" t="s">
        <v>546</v>
      </c>
      <c r="X1839" s="1008"/>
      <c r="Y1839" s="1008"/>
      <c r="Z1839" s="1008"/>
      <c r="AA1839" s="1008"/>
      <c r="AB1839" s="1008"/>
      <c r="AC1839" s="1008"/>
      <c r="AD1839" s="1008"/>
      <c r="AE1839" s="1008"/>
      <c r="AF1839" s="1008"/>
      <c r="AG1839" s="1008"/>
      <c r="AH1839" s="1008"/>
      <c r="AI1839" s="1008"/>
    </row>
    <row r="1840" spans="1:35">
      <c r="A1840" s="1008">
        <v>24538</v>
      </c>
      <c r="C1840" s="1008">
        <v>5</v>
      </c>
      <c r="D1840" s="1009">
        <v>20699900</v>
      </c>
      <c r="E1840" s="1009">
        <v>20600000</v>
      </c>
      <c r="F1840" s="1007" t="s">
        <v>2825</v>
      </c>
      <c r="O1840" s="1007" t="s">
        <v>648</v>
      </c>
      <c r="P1840" s="1007" t="s">
        <v>648</v>
      </c>
      <c r="S1840" s="1008" t="s">
        <v>657</v>
      </c>
      <c r="T1840" s="1008" t="s">
        <v>675</v>
      </c>
      <c r="U1840" s="1008" t="s">
        <v>649</v>
      </c>
      <c r="V1840" s="1008" t="s">
        <v>648</v>
      </c>
      <c r="W1840" s="1008" t="s">
        <v>546</v>
      </c>
      <c r="X1840" s="1008"/>
      <c r="Y1840" s="1008"/>
      <c r="Z1840" s="1008"/>
      <c r="AA1840" s="1008"/>
      <c r="AB1840" s="1008"/>
      <c r="AC1840" s="1008"/>
      <c r="AD1840" s="1008"/>
      <c r="AE1840" s="1008"/>
      <c r="AF1840" s="1008"/>
      <c r="AG1840" s="1008"/>
      <c r="AH1840" s="1008"/>
      <c r="AI1840" s="1008"/>
    </row>
    <row r="1841" spans="1:35">
      <c r="A1841" s="1008">
        <v>24539</v>
      </c>
      <c r="C1841" s="1008">
        <v>6</v>
      </c>
      <c r="D1841" s="1009">
        <v>20619999</v>
      </c>
      <c r="E1841" s="1009">
        <v>20610000</v>
      </c>
      <c r="F1841" s="1007" t="s">
        <v>2824</v>
      </c>
      <c r="O1841" s="1007" t="s">
        <v>648</v>
      </c>
      <c r="P1841" s="1007" t="s">
        <v>648</v>
      </c>
      <c r="S1841" s="1008" t="s">
        <v>657</v>
      </c>
      <c r="T1841" s="1008" t="s">
        <v>675</v>
      </c>
      <c r="U1841" s="1008" t="s">
        <v>649</v>
      </c>
      <c r="V1841" s="1008" t="s">
        <v>648</v>
      </c>
      <c r="W1841" s="1008" t="s">
        <v>546</v>
      </c>
      <c r="X1841" s="1008"/>
      <c r="Y1841" s="1008"/>
      <c r="Z1841" s="1008"/>
      <c r="AA1841" s="1008"/>
      <c r="AB1841" s="1008"/>
      <c r="AC1841" s="1008"/>
      <c r="AD1841" s="1008"/>
      <c r="AE1841" s="1008"/>
      <c r="AF1841" s="1008"/>
      <c r="AG1841" s="1008"/>
      <c r="AH1841" s="1008"/>
      <c r="AI1841" s="1008"/>
    </row>
    <row r="1842" spans="1:35">
      <c r="A1842" s="1008">
        <v>24540</v>
      </c>
      <c r="B1842" s="1008">
        <v>1880</v>
      </c>
      <c r="C1842" s="1008">
        <v>7</v>
      </c>
      <c r="D1842" s="1009">
        <v>20619999</v>
      </c>
      <c r="E1842" s="1009">
        <v>20610700</v>
      </c>
      <c r="F1842" s="1007" t="s">
        <v>2823</v>
      </c>
      <c r="G1842" s="1007">
        <v>7</v>
      </c>
      <c r="H1842" s="1010">
        <v>99999999</v>
      </c>
      <c r="I1842" s="1009">
        <v>20610700</v>
      </c>
      <c r="J1842" s="1007" t="s">
        <v>2823</v>
      </c>
      <c r="O1842" s="1007" t="s">
        <v>648</v>
      </c>
      <c r="P1842" s="1007" t="s">
        <v>648</v>
      </c>
      <c r="S1842" s="1008" t="s">
        <v>657</v>
      </c>
      <c r="T1842" s="1008" t="s">
        <v>654</v>
      </c>
      <c r="U1842" s="1008" t="s">
        <v>649</v>
      </c>
      <c r="V1842" s="1008" t="s">
        <v>648</v>
      </c>
      <c r="W1842" s="1008" t="s">
        <v>546</v>
      </c>
      <c r="X1842" s="1008" t="s">
        <v>670</v>
      </c>
      <c r="Y1842" s="1008" t="s">
        <v>670</v>
      </c>
      <c r="Z1842" s="1008" t="s">
        <v>670</v>
      </c>
      <c r="AA1842" s="1008" t="s">
        <v>670</v>
      </c>
      <c r="AB1842" s="1008" t="s">
        <v>670</v>
      </c>
      <c r="AC1842" s="1008" t="s">
        <v>670</v>
      </c>
      <c r="AD1842" s="1008" t="s">
        <v>670</v>
      </c>
      <c r="AE1842" s="1008"/>
      <c r="AF1842" s="1008" t="s">
        <v>670</v>
      </c>
      <c r="AG1842" s="1008"/>
      <c r="AH1842" s="1008"/>
      <c r="AI1842" s="1008"/>
    </row>
    <row r="1843" spans="1:35">
      <c r="A1843" s="1008">
        <v>24541</v>
      </c>
      <c r="B1843" s="1008">
        <v>5121</v>
      </c>
      <c r="C1843" s="1008">
        <v>7</v>
      </c>
      <c r="D1843" s="1009">
        <v>20619999</v>
      </c>
      <c r="E1843" s="1009">
        <v>20610800</v>
      </c>
      <c r="F1843" s="1007" t="s">
        <v>2822</v>
      </c>
      <c r="G1843" s="1007">
        <v>7</v>
      </c>
      <c r="H1843" s="1010">
        <v>99999999</v>
      </c>
      <c r="I1843" s="1009">
        <v>20610800</v>
      </c>
      <c r="J1843" s="1007" t="s">
        <v>2822</v>
      </c>
      <c r="O1843" s="1007" t="s">
        <v>648</v>
      </c>
      <c r="P1843" s="1007" t="s">
        <v>648</v>
      </c>
      <c r="S1843" s="1008" t="s">
        <v>657</v>
      </c>
      <c r="T1843" s="1008" t="s">
        <v>654</v>
      </c>
      <c r="U1843" s="1008" t="s">
        <v>649</v>
      </c>
      <c r="V1843" s="1008" t="s">
        <v>648</v>
      </c>
      <c r="W1843" s="1008" t="s">
        <v>546</v>
      </c>
      <c r="X1843" s="1008" t="s">
        <v>670</v>
      </c>
      <c r="Y1843" s="1008" t="s">
        <v>670</v>
      </c>
      <c r="Z1843" s="1008" t="s">
        <v>670</v>
      </c>
      <c r="AA1843" s="1008" t="s">
        <v>670</v>
      </c>
      <c r="AB1843" s="1008" t="s">
        <v>670</v>
      </c>
      <c r="AC1843" s="1008" t="s">
        <v>670</v>
      </c>
      <c r="AD1843" s="1008" t="s">
        <v>670</v>
      </c>
      <c r="AE1843" s="1008"/>
      <c r="AF1843" s="1008" t="s">
        <v>670</v>
      </c>
      <c r="AG1843" s="1008"/>
      <c r="AH1843" s="1008"/>
      <c r="AI1843" s="1008"/>
    </row>
    <row r="1844" spans="1:35">
      <c r="A1844" s="1008">
        <v>24542</v>
      </c>
      <c r="C1844" s="1008">
        <v>6</v>
      </c>
      <c r="D1844" s="1009">
        <v>20699900</v>
      </c>
      <c r="E1844" s="1009">
        <v>20619999</v>
      </c>
      <c r="F1844" s="1007" t="s">
        <v>2821</v>
      </c>
      <c r="O1844" s="1007" t="s">
        <v>648</v>
      </c>
      <c r="P1844" s="1007" t="s">
        <v>648</v>
      </c>
      <c r="S1844" s="1008" t="s">
        <v>657</v>
      </c>
      <c r="T1844" s="1008" t="s">
        <v>21</v>
      </c>
      <c r="U1844" s="1008" t="s">
        <v>649</v>
      </c>
      <c r="V1844" s="1008" t="s">
        <v>648</v>
      </c>
      <c r="W1844" s="1008" t="s">
        <v>546</v>
      </c>
      <c r="X1844" s="1008"/>
      <c r="Y1844" s="1008"/>
      <c r="Z1844" s="1008"/>
      <c r="AA1844" s="1008"/>
      <c r="AB1844" s="1008"/>
      <c r="AC1844" s="1008"/>
      <c r="AD1844" s="1008"/>
      <c r="AE1844" s="1008"/>
      <c r="AF1844" s="1008"/>
      <c r="AG1844" s="1008"/>
      <c r="AH1844" s="1008"/>
      <c r="AI1844" s="1008"/>
    </row>
    <row r="1845" spans="1:35">
      <c r="A1845" s="1008">
        <v>24543</v>
      </c>
      <c r="C1845" s="1008">
        <v>5</v>
      </c>
      <c r="D1845" s="1009">
        <v>20699999</v>
      </c>
      <c r="E1845" s="1009">
        <v>20699900</v>
      </c>
      <c r="F1845" s="1007" t="s">
        <v>2820</v>
      </c>
      <c r="O1845" s="1007" t="s">
        <v>648</v>
      </c>
      <c r="P1845" s="1007" t="s">
        <v>648</v>
      </c>
      <c r="S1845" s="1008" t="s">
        <v>657</v>
      </c>
      <c r="T1845" s="1008" t="s">
        <v>21</v>
      </c>
      <c r="U1845" s="1008" t="s">
        <v>649</v>
      </c>
      <c r="V1845" s="1008" t="s">
        <v>648</v>
      </c>
      <c r="W1845" s="1008" t="s">
        <v>546</v>
      </c>
      <c r="X1845" s="1008"/>
      <c r="Y1845" s="1008"/>
      <c r="Z1845" s="1008"/>
      <c r="AA1845" s="1008"/>
      <c r="AB1845" s="1008"/>
      <c r="AC1845" s="1008"/>
      <c r="AD1845" s="1008"/>
      <c r="AE1845" s="1008"/>
      <c r="AF1845" s="1008"/>
      <c r="AG1845" s="1008"/>
      <c r="AH1845" s="1008"/>
      <c r="AI1845" s="1008"/>
    </row>
    <row r="1846" spans="1:35">
      <c r="A1846" s="1008">
        <v>24544</v>
      </c>
      <c r="C1846" s="1008">
        <v>4</v>
      </c>
      <c r="D1846" s="1009">
        <v>29999999</v>
      </c>
      <c r="E1846" s="1009">
        <v>20699999</v>
      </c>
      <c r="F1846" s="1007" t="s">
        <v>2819</v>
      </c>
      <c r="O1846" s="1007" t="s">
        <v>648</v>
      </c>
      <c r="P1846" s="1007" t="s">
        <v>648</v>
      </c>
      <c r="S1846" s="1008" t="s">
        <v>657</v>
      </c>
      <c r="T1846" s="1008" t="s">
        <v>21</v>
      </c>
      <c r="U1846" s="1008" t="s">
        <v>649</v>
      </c>
      <c r="V1846" s="1008" t="s">
        <v>648</v>
      </c>
      <c r="W1846" s="1008" t="s">
        <v>546</v>
      </c>
      <c r="X1846" s="1008"/>
      <c r="Y1846" s="1008"/>
      <c r="Z1846" s="1008"/>
      <c r="AA1846" s="1008"/>
      <c r="AB1846" s="1008"/>
      <c r="AC1846" s="1008"/>
      <c r="AD1846" s="1008"/>
      <c r="AE1846" s="1008"/>
      <c r="AF1846" s="1008"/>
      <c r="AG1846" s="1008"/>
      <c r="AH1846" s="1008"/>
      <c r="AI1846" s="1008"/>
    </row>
    <row r="1847" spans="1:35">
      <c r="A1847" s="1008">
        <v>24545</v>
      </c>
      <c r="C1847" s="1008">
        <v>4</v>
      </c>
      <c r="D1847" s="1009">
        <v>21999999</v>
      </c>
      <c r="E1847" s="1009">
        <v>21500000</v>
      </c>
      <c r="F1847" s="1007" t="s">
        <v>2818</v>
      </c>
      <c r="O1847" s="1007" t="s">
        <v>648</v>
      </c>
      <c r="P1847" s="1007" t="s">
        <v>648</v>
      </c>
      <c r="S1847" s="1008" t="s">
        <v>657</v>
      </c>
      <c r="T1847" s="1008" t="s">
        <v>675</v>
      </c>
      <c r="U1847" s="1008" t="s">
        <v>649</v>
      </c>
      <c r="V1847" s="1008" t="s">
        <v>648</v>
      </c>
      <c r="W1847" s="1008" t="s">
        <v>546</v>
      </c>
      <c r="X1847" s="1008"/>
      <c r="Y1847" s="1008"/>
      <c r="Z1847" s="1008"/>
      <c r="AA1847" s="1008"/>
      <c r="AB1847" s="1008"/>
      <c r="AC1847" s="1008"/>
      <c r="AD1847" s="1008"/>
      <c r="AE1847" s="1008"/>
      <c r="AF1847" s="1008"/>
      <c r="AG1847" s="1008"/>
      <c r="AH1847" s="1008"/>
      <c r="AI1847" s="1008"/>
    </row>
    <row r="1848" spans="1:35">
      <c r="A1848" s="1008">
        <v>24546</v>
      </c>
      <c r="C1848" s="1008">
        <v>5</v>
      </c>
      <c r="D1848" s="1009">
        <v>21599999</v>
      </c>
      <c r="E1848" s="1009">
        <v>21501000</v>
      </c>
      <c r="F1848" s="1007" t="s">
        <v>2817</v>
      </c>
      <c r="O1848" s="1007" t="s">
        <v>648</v>
      </c>
      <c r="P1848" s="1007" t="s">
        <v>648</v>
      </c>
      <c r="S1848" s="1008" t="s">
        <v>657</v>
      </c>
      <c r="T1848" s="1008" t="s">
        <v>675</v>
      </c>
      <c r="U1848" s="1008" t="s">
        <v>649</v>
      </c>
      <c r="V1848" s="1008" t="s">
        <v>648</v>
      </c>
      <c r="W1848" s="1008" t="s">
        <v>546</v>
      </c>
      <c r="X1848" s="1008"/>
      <c r="Y1848" s="1008"/>
      <c r="Z1848" s="1008"/>
      <c r="AA1848" s="1008"/>
      <c r="AB1848" s="1008"/>
      <c r="AC1848" s="1008"/>
      <c r="AD1848" s="1008"/>
      <c r="AE1848" s="1008"/>
      <c r="AF1848" s="1008"/>
      <c r="AG1848" s="1008"/>
      <c r="AH1848" s="1008"/>
      <c r="AI1848" s="1008"/>
    </row>
    <row r="1849" spans="1:35">
      <c r="A1849" s="1008">
        <v>24547</v>
      </c>
      <c r="C1849" s="1008">
        <v>6</v>
      </c>
      <c r="D1849" s="1009">
        <v>21519999</v>
      </c>
      <c r="E1849" s="1009">
        <v>21510000</v>
      </c>
      <c r="F1849" s="1007" t="s">
        <v>2816</v>
      </c>
      <c r="O1849" s="1007" t="s">
        <v>648</v>
      </c>
      <c r="P1849" s="1007" t="s">
        <v>648</v>
      </c>
      <c r="S1849" s="1008" t="s">
        <v>657</v>
      </c>
      <c r="T1849" s="1008" t="s">
        <v>675</v>
      </c>
      <c r="U1849" s="1008" t="s">
        <v>649</v>
      </c>
      <c r="V1849" s="1008" t="s">
        <v>648</v>
      </c>
      <c r="W1849" s="1008" t="s">
        <v>546</v>
      </c>
      <c r="X1849" s="1008"/>
      <c r="Y1849" s="1008"/>
      <c r="Z1849" s="1008"/>
      <c r="AA1849" s="1008"/>
      <c r="AB1849" s="1008"/>
      <c r="AC1849" s="1008"/>
      <c r="AD1849" s="1008"/>
      <c r="AE1849" s="1008"/>
      <c r="AF1849" s="1008"/>
      <c r="AG1849" s="1008"/>
      <c r="AH1849" s="1008"/>
      <c r="AI1849" s="1008"/>
    </row>
    <row r="1850" spans="1:35">
      <c r="A1850" s="1008">
        <v>24548</v>
      </c>
      <c r="B1850" s="1008">
        <v>1882</v>
      </c>
      <c r="C1850" s="1008">
        <v>7</v>
      </c>
      <c r="D1850" s="1009">
        <v>21519999</v>
      </c>
      <c r="E1850" s="1009">
        <v>21510200</v>
      </c>
      <c r="F1850" s="1007" t="s">
        <v>2815</v>
      </c>
      <c r="G1850" s="1007">
        <v>7</v>
      </c>
      <c r="H1850" s="1010">
        <v>99999999</v>
      </c>
      <c r="I1850" s="1009">
        <v>21510200</v>
      </c>
      <c r="J1850" s="1007" t="s">
        <v>2815</v>
      </c>
      <c r="O1850" s="1007" t="s">
        <v>648</v>
      </c>
      <c r="P1850" s="1007" t="s">
        <v>648</v>
      </c>
      <c r="S1850" s="1008" t="s">
        <v>657</v>
      </c>
      <c r="T1850" s="1008" t="s">
        <v>654</v>
      </c>
      <c r="U1850" s="1008" t="s">
        <v>649</v>
      </c>
      <c r="V1850" s="1008" t="s">
        <v>648</v>
      </c>
      <c r="W1850" s="1008" t="s">
        <v>546</v>
      </c>
      <c r="X1850" s="1008" t="s">
        <v>670</v>
      </c>
      <c r="Y1850" s="1008" t="s">
        <v>670</v>
      </c>
      <c r="Z1850" s="1008" t="s">
        <v>670</v>
      </c>
      <c r="AA1850" s="1008" t="s">
        <v>670</v>
      </c>
      <c r="AB1850" s="1008" t="s">
        <v>670</v>
      </c>
      <c r="AC1850" s="1008" t="s">
        <v>670</v>
      </c>
      <c r="AD1850" s="1008" t="s">
        <v>670</v>
      </c>
      <c r="AE1850" s="1008"/>
      <c r="AF1850" s="1008" t="s">
        <v>670</v>
      </c>
      <c r="AG1850" s="1008"/>
      <c r="AH1850" s="1008"/>
      <c r="AI1850" s="1008"/>
    </row>
    <row r="1851" spans="1:35">
      <c r="A1851" s="1008">
        <v>24549</v>
      </c>
      <c r="B1851" s="1008">
        <v>1883</v>
      </c>
      <c r="C1851" s="1008">
        <v>7</v>
      </c>
      <c r="D1851" s="1009">
        <v>21519999</v>
      </c>
      <c r="E1851" s="1009">
        <v>21510500</v>
      </c>
      <c r="F1851" s="1007" t="s">
        <v>2814</v>
      </c>
      <c r="G1851" s="1007">
        <v>7</v>
      </c>
      <c r="H1851" s="1010">
        <v>99999999</v>
      </c>
      <c r="I1851" s="1009">
        <v>21510500</v>
      </c>
      <c r="J1851" s="1007" t="s">
        <v>2814</v>
      </c>
      <c r="O1851" s="1007" t="s">
        <v>648</v>
      </c>
      <c r="P1851" s="1007" t="s">
        <v>648</v>
      </c>
      <c r="S1851" s="1008" t="s">
        <v>657</v>
      </c>
      <c r="T1851" s="1008" t="s">
        <v>654</v>
      </c>
      <c r="U1851" s="1008" t="s">
        <v>649</v>
      </c>
      <c r="V1851" s="1008" t="s">
        <v>648</v>
      </c>
      <c r="W1851" s="1008" t="s">
        <v>546</v>
      </c>
      <c r="X1851" s="1008" t="s">
        <v>670</v>
      </c>
      <c r="Y1851" s="1008" t="s">
        <v>670</v>
      </c>
      <c r="Z1851" s="1008" t="s">
        <v>670</v>
      </c>
      <c r="AA1851" s="1008" t="s">
        <v>670</v>
      </c>
      <c r="AB1851" s="1008" t="s">
        <v>670</v>
      </c>
      <c r="AC1851" s="1008" t="s">
        <v>670</v>
      </c>
      <c r="AD1851" s="1008" t="s">
        <v>670</v>
      </c>
      <c r="AE1851" s="1008"/>
      <c r="AF1851" s="1008" t="s">
        <v>670</v>
      </c>
      <c r="AG1851" s="1008"/>
      <c r="AH1851" s="1008"/>
      <c r="AI1851" s="1008"/>
    </row>
    <row r="1852" spans="1:35">
      <c r="A1852" s="1008">
        <v>24550</v>
      </c>
      <c r="B1852" s="1008">
        <v>1884</v>
      </c>
      <c r="C1852" s="1008">
        <v>7</v>
      </c>
      <c r="D1852" s="1009">
        <v>21519999</v>
      </c>
      <c r="E1852" s="1009">
        <v>21510600</v>
      </c>
      <c r="F1852" s="1007" t="s">
        <v>2813</v>
      </c>
      <c r="G1852" s="1007">
        <v>7</v>
      </c>
      <c r="H1852" s="1010">
        <v>99999999</v>
      </c>
      <c r="I1852" s="1009">
        <v>21510600</v>
      </c>
      <c r="J1852" s="1007" t="s">
        <v>2813</v>
      </c>
      <c r="O1852" s="1007" t="s">
        <v>648</v>
      </c>
      <c r="P1852" s="1007" t="s">
        <v>648</v>
      </c>
      <c r="S1852" s="1008" t="s">
        <v>657</v>
      </c>
      <c r="T1852" s="1008" t="s">
        <v>654</v>
      </c>
      <c r="U1852" s="1008" t="s">
        <v>649</v>
      </c>
      <c r="V1852" s="1008" t="s">
        <v>648</v>
      </c>
      <c r="W1852" s="1008" t="s">
        <v>546</v>
      </c>
      <c r="X1852" s="1008" t="s">
        <v>670</v>
      </c>
      <c r="Y1852" s="1008" t="s">
        <v>670</v>
      </c>
      <c r="Z1852" s="1008" t="s">
        <v>670</v>
      </c>
      <c r="AA1852" s="1008" t="s">
        <v>670</v>
      </c>
      <c r="AB1852" s="1008" t="s">
        <v>670</v>
      </c>
      <c r="AC1852" s="1008" t="s">
        <v>670</v>
      </c>
      <c r="AD1852" s="1008" t="s">
        <v>670</v>
      </c>
      <c r="AE1852" s="1008"/>
      <c r="AF1852" s="1008" t="s">
        <v>670</v>
      </c>
      <c r="AG1852" s="1008"/>
      <c r="AH1852" s="1008"/>
      <c r="AI1852" s="1008"/>
    </row>
    <row r="1853" spans="1:35">
      <c r="A1853" s="1008">
        <v>24551</v>
      </c>
      <c r="B1853" s="1008">
        <v>735</v>
      </c>
      <c r="C1853" s="1008">
        <v>7</v>
      </c>
      <c r="D1853" s="1009">
        <v>21519999</v>
      </c>
      <c r="E1853" s="1009">
        <v>21510700</v>
      </c>
      <c r="F1853" s="1007" t="s">
        <v>2812</v>
      </c>
      <c r="G1853" s="1007">
        <v>8</v>
      </c>
      <c r="H1853" s="1010">
        <v>99999999</v>
      </c>
      <c r="I1853" s="1009">
        <v>21510700</v>
      </c>
      <c r="J1853" s="1007" t="s">
        <v>2812</v>
      </c>
      <c r="O1853" s="1007" t="s">
        <v>648</v>
      </c>
      <c r="P1853" s="1007" t="s">
        <v>648</v>
      </c>
      <c r="S1853" s="1008" t="s">
        <v>657</v>
      </c>
      <c r="T1853" s="1008" t="s">
        <v>654</v>
      </c>
      <c r="U1853" s="1008" t="s">
        <v>649</v>
      </c>
      <c r="V1853" s="1008" t="s">
        <v>648</v>
      </c>
      <c r="W1853" s="1008" t="s">
        <v>546</v>
      </c>
      <c r="X1853" s="1008" t="s">
        <v>670</v>
      </c>
      <c r="Y1853" s="1008" t="s">
        <v>670</v>
      </c>
      <c r="Z1853" s="1008" t="s">
        <v>670</v>
      </c>
      <c r="AA1853" s="1008" t="s">
        <v>670</v>
      </c>
      <c r="AB1853" s="1008" t="s">
        <v>670</v>
      </c>
      <c r="AC1853" s="1008" t="s">
        <v>670</v>
      </c>
      <c r="AD1853" s="1008" t="s">
        <v>670</v>
      </c>
      <c r="AE1853" s="1008"/>
      <c r="AF1853" s="1008" t="s">
        <v>670</v>
      </c>
      <c r="AG1853" s="1008"/>
      <c r="AH1853" s="1008"/>
      <c r="AI1853" s="1008"/>
    </row>
    <row r="1854" spans="1:35">
      <c r="A1854" s="1008">
        <v>24552</v>
      </c>
      <c r="B1854" s="1008">
        <v>5127</v>
      </c>
      <c r="C1854" s="1008">
        <v>7</v>
      </c>
      <c r="D1854" s="1009">
        <v>21519999</v>
      </c>
      <c r="E1854" s="1009">
        <v>21510800</v>
      </c>
      <c r="F1854" s="1007" t="s">
        <v>2811</v>
      </c>
      <c r="G1854" s="1007">
        <v>7</v>
      </c>
      <c r="H1854" s="1010">
        <v>99999999</v>
      </c>
      <c r="I1854" s="1009">
        <v>21510800</v>
      </c>
      <c r="J1854" s="1007" t="s">
        <v>2811</v>
      </c>
      <c r="O1854" s="1007" t="s">
        <v>648</v>
      </c>
      <c r="P1854" s="1007" t="s">
        <v>648</v>
      </c>
      <c r="S1854" s="1008" t="s">
        <v>657</v>
      </c>
      <c r="T1854" s="1008" t="s">
        <v>654</v>
      </c>
      <c r="U1854" s="1008" t="s">
        <v>649</v>
      </c>
      <c r="V1854" s="1008" t="s">
        <v>648</v>
      </c>
      <c r="W1854" s="1008" t="s">
        <v>546</v>
      </c>
      <c r="X1854" s="1008" t="s">
        <v>670</v>
      </c>
      <c r="Y1854" s="1008" t="s">
        <v>670</v>
      </c>
      <c r="Z1854" s="1008" t="s">
        <v>670</v>
      </c>
      <c r="AA1854" s="1008" t="s">
        <v>670</v>
      </c>
      <c r="AB1854" s="1008" t="s">
        <v>670</v>
      </c>
      <c r="AC1854" s="1008" t="s">
        <v>670</v>
      </c>
      <c r="AD1854" s="1008" t="s">
        <v>670</v>
      </c>
      <c r="AE1854" s="1008"/>
      <c r="AF1854" s="1008" t="s">
        <v>670</v>
      </c>
      <c r="AG1854" s="1008"/>
      <c r="AH1854" s="1008"/>
      <c r="AI1854" s="1008"/>
    </row>
    <row r="1855" spans="1:35">
      <c r="A1855" s="1008">
        <v>24553</v>
      </c>
      <c r="C1855" s="1008">
        <v>6</v>
      </c>
      <c r="D1855" s="1009">
        <v>21599999</v>
      </c>
      <c r="E1855" s="1009">
        <v>21519999</v>
      </c>
      <c r="F1855" s="1007" t="s">
        <v>2810</v>
      </c>
      <c r="O1855" s="1007" t="s">
        <v>648</v>
      </c>
      <c r="P1855" s="1007" t="s">
        <v>648</v>
      </c>
      <c r="S1855" s="1008" t="s">
        <v>657</v>
      </c>
      <c r="T1855" s="1008" t="s">
        <v>21</v>
      </c>
      <c r="U1855" s="1008" t="s">
        <v>649</v>
      </c>
      <c r="V1855" s="1008" t="s">
        <v>648</v>
      </c>
      <c r="W1855" s="1008" t="s">
        <v>546</v>
      </c>
      <c r="X1855" s="1008"/>
      <c r="Y1855" s="1008"/>
      <c r="Z1855" s="1008"/>
      <c r="AA1855" s="1008"/>
      <c r="AB1855" s="1008"/>
      <c r="AC1855" s="1008"/>
      <c r="AD1855" s="1008"/>
      <c r="AE1855" s="1008"/>
      <c r="AF1855" s="1008"/>
      <c r="AG1855" s="1008"/>
      <c r="AH1855" s="1008"/>
      <c r="AI1855" s="1008"/>
    </row>
    <row r="1856" spans="1:35">
      <c r="A1856" s="1008">
        <v>24554</v>
      </c>
      <c r="C1856" s="1008">
        <v>5</v>
      </c>
      <c r="D1856" s="1009">
        <v>21999999</v>
      </c>
      <c r="E1856" s="1009">
        <v>21599999</v>
      </c>
      <c r="F1856" s="1007" t="s">
        <v>2809</v>
      </c>
      <c r="O1856" s="1007" t="s">
        <v>648</v>
      </c>
      <c r="P1856" s="1007" t="s">
        <v>648</v>
      </c>
      <c r="S1856" s="1008" t="s">
        <v>657</v>
      </c>
      <c r="T1856" s="1008" t="s">
        <v>21</v>
      </c>
      <c r="U1856" s="1008" t="s">
        <v>649</v>
      </c>
      <c r="V1856" s="1008" t="s">
        <v>648</v>
      </c>
      <c r="W1856" s="1008" t="s">
        <v>546</v>
      </c>
      <c r="X1856" s="1008"/>
      <c r="Y1856" s="1008"/>
      <c r="Z1856" s="1008"/>
      <c r="AA1856" s="1008"/>
      <c r="AB1856" s="1008"/>
      <c r="AC1856" s="1008"/>
      <c r="AD1856" s="1008"/>
      <c r="AE1856" s="1008"/>
      <c r="AF1856" s="1008"/>
      <c r="AG1856" s="1008"/>
      <c r="AH1856" s="1008"/>
      <c r="AI1856" s="1008"/>
    </row>
    <row r="1857" spans="1:35">
      <c r="A1857" s="1008">
        <v>24555</v>
      </c>
      <c r="C1857" s="1008">
        <v>5</v>
      </c>
      <c r="D1857" s="1009">
        <v>21699990</v>
      </c>
      <c r="E1857" s="1009">
        <v>21600000</v>
      </c>
      <c r="F1857" s="1007" t="s">
        <v>2808</v>
      </c>
      <c r="O1857" s="1007" t="s">
        <v>648</v>
      </c>
      <c r="P1857" s="1007" t="s">
        <v>648</v>
      </c>
      <c r="S1857" s="1008" t="s">
        <v>657</v>
      </c>
      <c r="T1857" s="1008" t="s">
        <v>675</v>
      </c>
      <c r="U1857" s="1008" t="s">
        <v>649</v>
      </c>
      <c r="V1857" s="1008" t="s">
        <v>648</v>
      </c>
      <c r="W1857" s="1008" t="s">
        <v>546</v>
      </c>
      <c r="X1857" s="1008"/>
      <c r="Y1857" s="1008"/>
      <c r="Z1857" s="1008"/>
      <c r="AA1857" s="1008"/>
      <c r="AB1857" s="1008"/>
      <c r="AC1857" s="1008"/>
      <c r="AD1857" s="1008"/>
      <c r="AE1857" s="1008"/>
      <c r="AF1857" s="1008"/>
      <c r="AG1857" s="1008"/>
      <c r="AH1857" s="1008"/>
      <c r="AI1857" s="1008"/>
    </row>
    <row r="1858" spans="1:35">
      <c r="A1858" s="1008">
        <v>24556</v>
      </c>
      <c r="C1858" s="1008">
        <v>6</v>
      </c>
      <c r="D1858" s="1009">
        <v>21619999</v>
      </c>
      <c r="E1858" s="1009">
        <v>21610000</v>
      </c>
      <c r="F1858" s="1007" t="s">
        <v>2807</v>
      </c>
      <c r="O1858" s="1007" t="s">
        <v>648</v>
      </c>
      <c r="P1858" s="1007" t="s">
        <v>648</v>
      </c>
      <c r="S1858" s="1008" t="s">
        <v>657</v>
      </c>
      <c r="T1858" s="1008" t="s">
        <v>675</v>
      </c>
      <c r="U1858" s="1008" t="s">
        <v>649</v>
      </c>
      <c r="V1858" s="1008" t="s">
        <v>648</v>
      </c>
      <c r="W1858" s="1008" t="s">
        <v>546</v>
      </c>
      <c r="X1858" s="1008"/>
      <c r="Y1858" s="1008"/>
      <c r="Z1858" s="1008"/>
      <c r="AA1858" s="1008"/>
      <c r="AB1858" s="1008"/>
      <c r="AC1858" s="1008"/>
      <c r="AD1858" s="1008"/>
      <c r="AE1858" s="1008"/>
      <c r="AF1858" s="1008"/>
      <c r="AG1858" s="1008"/>
      <c r="AH1858" s="1008"/>
      <c r="AI1858" s="1008"/>
    </row>
    <row r="1859" spans="1:35">
      <c r="A1859" s="1008">
        <v>24557</v>
      </c>
      <c r="B1859" s="1008">
        <v>1887</v>
      </c>
      <c r="C1859" s="1008">
        <v>7</v>
      </c>
      <c r="D1859" s="1009">
        <v>21619999</v>
      </c>
      <c r="E1859" s="1009">
        <v>21610200</v>
      </c>
      <c r="F1859" s="1007" t="s">
        <v>2806</v>
      </c>
      <c r="G1859" s="1007">
        <v>7</v>
      </c>
      <c r="H1859" s="1010">
        <v>99999999</v>
      </c>
      <c r="I1859" s="1009">
        <v>21610200</v>
      </c>
      <c r="J1859" s="1007" t="s">
        <v>2806</v>
      </c>
      <c r="O1859" s="1007" t="s">
        <v>648</v>
      </c>
      <c r="P1859" s="1007" t="s">
        <v>648</v>
      </c>
      <c r="S1859" s="1008" t="s">
        <v>657</v>
      </c>
      <c r="T1859" s="1008" t="s">
        <v>654</v>
      </c>
      <c r="U1859" s="1008" t="s">
        <v>649</v>
      </c>
      <c r="V1859" s="1008" t="s">
        <v>648</v>
      </c>
      <c r="W1859" s="1008" t="s">
        <v>546</v>
      </c>
      <c r="X1859" s="1008" t="s">
        <v>670</v>
      </c>
      <c r="Y1859" s="1008" t="s">
        <v>670</v>
      </c>
      <c r="Z1859" s="1008" t="s">
        <v>670</v>
      </c>
      <c r="AA1859" s="1008" t="s">
        <v>670</v>
      </c>
      <c r="AB1859" s="1008" t="s">
        <v>670</v>
      </c>
      <c r="AC1859" s="1008" t="s">
        <v>670</v>
      </c>
      <c r="AD1859" s="1008" t="s">
        <v>670</v>
      </c>
      <c r="AE1859" s="1008"/>
      <c r="AF1859" s="1008" t="s">
        <v>670</v>
      </c>
      <c r="AG1859" s="1008"/>
      <c r="AH1859" s="1008"/>
      <c r="AI1859" s="1008"/>
    </row>
    <row r="1860" spans="1:35">
      <c r="A1860" s="1008">
        <v>24558</v>
      </c>
      <c r="B1860" s="1008">
        <v>1888</v>
      </c>
      <c r="C1860" s="1008">
        <v>7</v>
      </c>
      <c r="D1860" s="1009">
        <v>21619999</v>
      </c>
      <c r="E1860" s="1009">
        <v>21610500</v>
      </c>
      <c r="F1860" s="1007" t="s">
        <v>2805</v>
      </c>
      <c r="G1860" s="1007">
        <v>7</v>
      </c>
      <c r="H1860" s="1010">
        <v>99999999</v>
      </c>
      <c r="I1860" s="1009">
        <v>21610500</v>
      </c>
      <c r="J1860" s="1007" t="s">
        <v>2805</v>
      </c>
      <c r="O1860" s="1007" t="s">
        <v>648</v>
      </c>
      <c r="P1860" s="1007" t="s">
        <v>648</v>
      </c>
      <c r="S1860" s="1008" t="s">
        <v>657</v>
      </c>
      <c r="T1860" s="1008" t="s">
        <v>654</v>
      </c>
      <c r="U1860" s="1008" t="s">
        <v>649</v>
      </c>
      <c r="V1860" s="1008" t="s">
        <v>648</v>
      </c>
      <c r="W1860" s="1008" t="s">
        <v>546</v>
      </c>
      <c r="X1860" s="1008" t="s">
        <v>670</v>
      </c>
      <c r="Y1860" s="1008" t="s">
        <v>670</v>
      </c>
      <c r="Z1860" s="1008" t="s">
        <v>670</v>
      </c>
      <c r="AA1860" s="1008" t="s">
        <v>670</v>
      </c>
      <c r="AB1860" s="1008" t="s">
        <v>670</v>
      </c>
      <c r="AC1860" s="1008" t="s">
        <v>670</v>
      </c>
      <c r="AD1860" s="1008" t="s">
        <v>670</v>
      </c>
      <c r="AE1860" s="1008"/>
      <c r="AF1860" s="1008" t="s">
        <v>670</v>
      </c>
      <c r="AG1860" s="1008"/>
      <c r="AH1860" s="1008"/>
      <c r="AI1860" s="1008"/>
    </row>
    <row r="1861" spans="1:35">
      <c r="A1861" s="1008">
        <v>24559</v>
      </c>
      <c r="B1861" s="1008">
        <v>1889</v>
      </c>
      <c r="C1861" s="1008">
        <v>7</v>
      </c>
      <c r="D1861" s="1009">
        <v>21619999</v>
      </c>
      <c r="E1861" s="1009">
        <v>21610600</v>
      </c>
      <c r="F1861" s="1007" t="s">
        <v>2804</v>
      </c>
      <c r="G1861" s="1007">
        <v>7</v>
      </c>
      <c r="H1861" s="1010">
        <v>99999999</v>
      </c>
      <c r="I1861" s="1009">
        <v>21610600</v>
      </c>
      <c r="J1861" s="1007" t="s">
        <v>2804</v>
      </c>
      <c r="O1861" s="1007" t="s">
        <v>648</v>
      </c>
      <c r="P1861" s="1007" t="s">
        <v>648</v>
      </c>
      <c r="S1861" s="1008" t="s">
        <v>657</v>
      </c>
      <c r="T1861" s="1008" t="s">
        <v>654</v>
      </c>
      <c r="U1861" s="1008" t="s">
        <v>649</v>
      </c>
      <c r="V1861" s="1008" t="s">
        <v>648</v>
      </c>
      <c r="W1861" s="1008" t="s">
        <v>546</v>
      </c>
      <c r="X1861" s="1008" t="s">
        <v>670</v>
      </c>
      <c r="Y1861" s="1008" t="s">
        <v>670</v>
      </c>
      <c r="Z1861" s="1008" t="s">
        <v>670</v>
      </c>
      <c r="AA1861" s="1008" t="s">
        <v>670</v>
      </c>
      <c r="AB1861" s="1008" t="s">
        <v>670</v>
      </c>
      <c r="AC1861" s="1008" t="s">
        <v>670</v>
      </c>
      <c r="AD1861" s="1008" t="s">
        <v>670</v>
      </c>
      <c r="AE1861" s="1008"/>
      <c r="AF1861" s="1008" t="s">
        <v>670</v>
      </c>
      <c r="AG1861" s="1008"/>
      <c r="AH1861" s="1008"/>
      <c r="AI1861" s="1008"/>
    </row>
    <row r="1862" spans="1:35">
      <c r="A1862" s="1008">
        <v>24560</v>
      </c>
      <c r="B1862" s="1008">
        <v>1890</v>
      </c>
      <c r="C1862" s="1008">
        <v>7</v>
      </c>
      <c r="D1862" s="1009">
        <v>21619999</v>
      </c>
      <c r="E1862" s="1009">
        <v>21610700</v>
      </c>
      <c r="F1862" s="1007" t="s">
        <v>2803</v>
      </c>
      <c r="G1862" s="1007">
        <v>7</v>
      </c>
      <c r="H1862" s="1010">
        <v>99999999</v>
      </c>
      <c r="I1862" s="1009">
        <v>21610700</v>
      </c>
      <c r="J1862" s="1007" t="s">
        <v>2803</v>
      </c>
      <c r="O1862" s="1007" t="s">
        <v>648</v>
      </c>
      <c r="P1862" s="1007" t="s">
        <v>648</v>
      </c>
      <c r="S1862" s="1008" t="s">
        <v>657</v>
      </c>
      <c r="T1862" s="1008" t="s">
        <v>654</v>
      </c>
      <c r="U1862" s="1008" t="s">
        <v>649</v>
      </c>
      <c r="V1862" s="1008" t="s">
        <v>648</v>
      </c>
      <c r="W1862" s="1008" t="s">
        <v>546</v>
      </c>
      <c r="X1862" s="1008" t="s">
        <v>670</v>
      </c>
      <c r="Y1862" s="1008" t="s">
        <v>670</v>
      </c>
      <c r="Z1862" s="1008" t="s">
        <v>670</v>
      </c>
      <c r="AA1862" s="1008" t="s">
        <v>670</v>
      </c>
      <c r="AB1862" s="1008" t="s">
        <v>670</v>
      </c>
      <c r="AC1862" s="1008" t="s">
        <v>670</v>
      </c>
      <c r="AD1862" s="1008" t="s">
        <v>670</v>
      </c>
      <c r="AE1862" s="1008"/>
      <c r="AF1862" s="1008" t="s">
        <v>670</v>
      </c>
      <c r="AG1862" s="1008"/>
      <c r="AH1862" s="1008"/>
      <c r="AI1862" s="1008"/>
    </row>
    <row r="1863" spans="1:35">
      <c r="A1863" s="1008">
        <v>24561</v>
      </c>
      <c r="B1863" s="1008">
        <v>5131</v>
      </c>
      <c r="C1863" s="1008">
        <v>7</v>
      </c>
      <c r="D1863" s="1009">
        <v>21619999</v>
      </c>
      <c r="E1863" s="1009">
        <v>21610800</v>
      </c>
      <c r="F1863" s="1007" t="s">
        <v>2802</v>
      </c>
      <c r="G1863" s="1007">
        <v>7</v>
      </c>
      <c r="H1863" s="1010">
        <v>99999999</v>
      </c>
      <c r="I1863" s="1009">
        <v>21610800</v>
      </c>
      <c r="J1863" s="1007" t="s">
        <v>2802</v>
      </c>
      <c r="O1863" s="1007" t="s">
        <v>648</v>
      </c>
      <c r="P1863" s="1007" t="s">
        <v>648</v>
      </c>
      <c r="S1863" s="1008" t="s">
        <v>657</v>
      </c>
      <c r="T1863" s="1008" t="s">
        <v>654</v>
      </c>
      <c r="U1863" s="1008" t="s">
        <v>649</v>
      </c>
      <c r="V1863" s="1008" t="s">
        <v>648</v>
      </c>
      <c r="W1863" s="1008" t="s">
        <v>546</v>
      </c>
      <c r="X1863" s="1008" t="s">
        <v>670</v>
      </c>
      <c r="Y1863" s="1008" t="s">
        <v>670</v>
      </c>
      <c r="Z1863" s="1008" t="s">
        <v>670</v>
      </c>
      <c r="AA1863" s="1008" t="s">
        <v>670</v>
      </c>
      <c r="AB1863" s="1008" t="s">
        <v>670</v>
      </c>
      <c r="AC1863" s="1008" t="s">
        <v>670</v>
      </c>
      <c r="AD1863" s="1008" t="s">
        <v>670</v>
      </c>
      <c r="AE1863" s="1008"/>
      <c r="AF1863" s="1008" t="s">
        <v>670</v>
      </c>
      <c r="AG1863" s="1008"/>
      <c r="AH1863" s="1008"/>
      <c r="AI1863" s="1008"/>
    </row>
    <row r="1864" spans="1:35">
      <c r="A1864" s="1008">
        <v>24562</v>
      </c>
      <c r="C1864" s="1008">
        <v>6</v>
      </c>
      <c r="D1864" s="1009">
        <v>21699990</v>
      </c>
      <c r="E1864" s="1009">
        <v>21619999</v>
      </c>
      <c r="F1864" s="1007" t="s">
        <v>2801</v>
      </c>
      <c r="O1864" s="1007" t="s">
        <v>648</v>
      </c>
      <c r="P1864" s="1007" t="s">
        <v>648</v>
      </c>
      <c r="S1864" s="1008" t="s">
        <v>657</v>
      </c>
      <c r="T1864" s="1008" t="s">
        <v>21</v>
      </c>
      <c r="U1864" s="1008" t="s">
        <v>649</v>
      </c>
      <c r="V1864" s="1008" t="s">
        <v>648</v>
      </c>
      <c r="W1864" s="1008" t="s">
        <v>546</v>
      </c>
      <c r="X1864" s="1008"/>
      <c r="Y1864" s="1008"/>
      <c r="Z1864" s="1008"/>
      <c r="AA1864" s="1008"/>
      <c r="AB1864" s="1008"/>
      <c r="AC1864" s="1008"/>
      <c r="AD1864" s="1008"/>
      <c r="AE1864" s="1008"/>
      <c r="AF1864" s="1008"/>
      <c r="AG1864" s="1008"/>
      <c r="AH1864" s="1008"/>
      <c r="AI1864" s="1008"/>
    </row>
    <row r="1865" spans="1:35">
      <c r="A1865" s="1008">
        <v>24563</v>
      </c>
      <c r="C1865" s="1008">
        <v>5</v>
      </c>
      <c r="D1865" s="1009">
        <v>21999999</v>
      </c>
      <c r="E1865" s="1009">
        <v>21699990</v>
      </c>
      <c r="F1865" s="1007" t="s">
        <v>2800</v>
      </c>
      <c r="O1865" s="1007" t="s">
        <v>648</v>
      </c>
      <c r="P1865" s="1007" t="s">
        <v>648</v>
      </c>
      <c r="S1865" s="1008" t="s">
        <v>657</v>
      </c>
      <c r="T1865" s="1008" t="s">
        <v>21</v>
      </c>
      <c r="U1865" s="1008" t="s">
        <v>649</v>
      </c>
      <c r="V1865" s="1008" t="s">
        <v>648</v>
      </c>
      <c r="W1865" s="1008" t="s">
        <v>546</v>
      </c>
      <c r="X1865" s="1008"/>
      <c r="Y1865" s="1008"/>
      <c r="Z1865" s="1008"/>
      <c r="AA1865" s="1008"/>
      <c r="AB1865" s="1008"/>
      <c r="AC1865" s="1008"/>
      <c r="AD1865" s="1008"/>
      <c r="AE1865" s="1008"/>
      <c r="AF1865" s="1008"/>
      <c r="AG1865" s="1008"/>
      <c r="AH1865" s="1008"/>
      <c r="AI1865" s="1008"/>
    </row>
    <row r="1866" spans="1:35">
      <c r="A1866" s="1008">
        <v>26407</v>
      </c>
      <c r="C1866" s="1008">
        <v>5</v>
      </c>
      <c r="D1866" s="1009">
        <v>21799999</v>
      </c>
      <c r="E1866" s="1009">
        <v>21700000</v>
      </c>
      <c r="F1866" s="1007" t="s">
        <v>2799</v>
      </c>
      <c r="O1866" s="1007" t="s">
        <v>648</v>
      </c>
      <c r="P1866" s="1007" t="s">
        <v>648</v>
      </c>
      <c r="S1866" s="1008" t="s">
        <v>657</v>
      </c>
      <c r="T1866" s="1008" t="s">
        <v>675</v>
      </c>
      <c r="U1866" s="1008" t="s">
        <v>649</v>
      </c>
      <c r="V1866" s="1008" t="s">
        <v>648</v>
      </c>
      <c r="W1866" s="1008" t="s">
        <v>546</v>
      </c>
      <c r="X1866" s="1008"/>
      <c r="Y1866" s="1008"/>
      <c r="Z1866" s="1008"/>
      <c r="AA1866" s="1008"/>
      <c r="AB1866" s="1008"/>
      <c r="AC1866" s="1008"/>
      <c r="AD1866" s="1008"/>
      <c r="AE1866" s="1008"/>
      <c r="AF1866" s="1008"/>
      <c r="AG1866" s="1008"/>
      <c r="AH1866" s="1008"/>
      <c r="AI1866" s="1008"/>
    </row>
    <row r="1867" spans="1:35">
      <c r="A1867" s="1008">
        <v>26406</v>
      </c>
      <c r="C1867" s="1008">
        <v>6</v>
      </c>
      <c r="D1867" s="1009">
        <v>21719999</v>
      </c>
      <c r="E1867" s="1009">
        <v>21710000</v>
      </c>
      <c r="F1867" s="1007" t="s">
        <v>2798</v>
      </c>
      <c r="O1867" s="1007" t="s">
        <v>648</v>
      </c>
      <c r="P1867" s="1007" t="s">
        <v>648</v>
      </c>
      <c r="S1867" s="1008" t="s">
        <v>657</v>
      </c>
      <c r="T1867" s="1008" t="s">
        <v>675</v>
      </c>
      <c r="U1867" s="1008" t="s">
        <v>649</v>
      </c>
      <c r="V1867" s="1008" t="s">
        <v>648</v>
      </c>
      <c r="W1867" s="1008" t="s">
        <v>546</v>
      </c>
      <c r="X1867" s="1008"/>
      <c r="Y1867" s="1008"/>
      <c r="Z1867" s="1008"/>
      <c r="AA1867" s="1008"/>
      <c r="AB1867" s="1008"/>
      <c r="AC1867" s="1008"/>
      <c r="AD1867" s="1008"/>
      <c r="AE1867" s="1008"/>
      <c r="AF1867" s="1008"/>
      <c r="AG1867" s="1008"/>
      <c r="AH1867" s="1008"/>
      <c r="AI1867" s="1008"/>
    </row>
    <row r="1868" spans="1:35">
      <c r="A1868" s="1008">
        <v>26405</v>
      </c>
      <c r="B1868" s="1008">
        <v>1892</v>
      </c>
      <c r="C1868" s="1008">
        <v>7</v>
      </c>
      <c r="D1868" s="1009">
        <v>21719999</v>
      </c>
      <c r="E1868" s="1009">
        <v>21710200</v>
      </c>
      <c r="F1868" s="1007" t="s">
        <v>2797</v>
      </c>
      <c r="G1868" s="1007">
        <v>7</v>
      </c>
      <c r="H1868" s="1010">
        <v>99999999</v>
      </c>
      <c r="I1868" s="1009">
        <v>21710200</v>
      </c>
      <c r="J1868" s="1007" t="s">
        <v>2797</v>
      </c>
      <c r="O1868" s="1007" t="s">
        <v>648</v>
      </c>
      <c r="P1868" s="1007" t="s">
        <v>648</v>
      </c>
      <c r="S1868" s="1008" t="s">
        <v>657</v>
      </c>
      <c r="T1868" s="1008" t="s">
        <v>654</v>
      </c>
      <c r="U1868" s="1008" t="s">
        <v>649</v>
      </c>
      <c r="V1868" s="1008" t="s">
        <v>648</v>
      </c>
      <c r="W1868" s="1008" t="s">
        <v>546</v>
      </c>
      <c r="X1868" s="1008" t="s">
        <v>670</v>
      </c>
      <c r="Y1868" s="1008" t="s">
        <v>670</v>
      </c>
      <c r="Z1868" s="1008" t="s">
        <v>670</v>
      </c>
      <c r="AA1868" s="1008" t="s">
        <v>670</v>
      </c>
      <c r="AB1868" s="1008" t="s">
        <v>670</v>
      </c>
      <c r="AC1868" s="1008" t="s">
        <v>670</v>
      </c>
      <c r="AD1868" s="1008" t="s">
        <v>670</v>
      </c>
      <c r="AE1868" s="1008"/>
      <c r="AF1868" s="1008" t="s">
        <v>670</v>
      </c>
      <c r="AG1868" s="1008"/>
      <c r="AH1868" s="1008"/>
      <c r="AI1868" s="1008"/>
    </row>
    <row r="1869" spans="1:35">
      <c r="A1869" s="1008">
        <v>26404</v>
      </c>
      <c r="B1869" s="1008">
        <v>1893</v>
      </c>
      <c r="C1869" s="1008">
        <v>7</v>
      </c>
      <c r="D1869" s="1009">
        <v>21719999</v>
      </c>
      <c r="E1869" s="1009">
        <v>21710500</v>
      </c>
      <c r="F1869" s="1007" t="s">
        <v>2796</v>
      </c>
      <c r="G1869" s="1007">
        <v>7</v>
      </c>
      <c r="H1869" s="1010">
        <v>99999999</v>
      </c>
      <c r="I1869" s="1009">
        <v>21710500</v>
      </c>
      <c r="J1869" s="1007" t="s">
        <v>2796</v>
      </c>
      <c r="O1869" s="1007" t="s">
        <v>648</v>
      </c>
      <c r="P1869" s="1007" t="s">
        <v>648</v>
      </c>
      <c r="S1869" s="1008" t="s">
        <v>657</v>
      </c>
      <c r="T1869" s="1008" t="s">
        <v>654</v>
      </c>
      <c r="U1869" s="1008" t="s">
        <v>649</v>
      </c>
      <c r="V1869" s="1008" t="s">
        <v>648</v>
      </c>
      <c r="W1869" s="1008" t="s">
        <v>546</v>
      </c>
      <c r="X1869" s="1008" t="s">
        <v>670</v>
      </c>
      <c r="Y1869" s="1008" t="s">
        <v>670</v>
      </c>
      <c r="Z1869" s="1008" t="s">
        <v>670</v>
      </c>
      <c r="AA1869" s="1008" t="s">
        <v>670</v>
      </c>
      <c r="AB1869" s="1008" t="s">
        <v>670</v>
      </c>
      <c r="AC1869" s="1008" t="s">
        <v>670</v>
      </c>
      <c r="AD1869" s="1008" t="s">
        <v>670</v>
      </c>
      <c r="AE1869" s="1008"/>
      <c r="AF1869" s="1008" t="s">
        <v>670</v>
      </c>
      <c r="AG1869" s="1008"/>
      <c r="AH1869" s="1008"/>
      <c r="AI1869" s="1008"/>
    </row>
    <row r="1870" spans="1:35">
      <c r="A1870" s="1008">
        <v>26403</v>
      </c>
      <c r="B1870" s="1008">
        <v>1894</v>
      </c>
      <c r="C1870" s="1008">
        <v>7</v>
      </c>
      <c r="D1870" s="1009">
        <v>21719999</v>
      </c>
      <c r="E1870" s="1009">
        <v>21710600</v>
      </c>
      <c r="F1870" s="1007" t="s">
        <v>2795</v>
      </c>
      <c r="G1870" s="1007">
        <v>7</v>
      </c>
      <c r="H1870" s="1010">
        <v>99999999</v>
      </c>
      <c r="I1870" s="1009">
        <v>21710600</v>
      </c>
      <c r="J1870" s="1007" t="s">
        <v>2795</v>
      </c>
      <c r="O1870" s="1007" t="s">
        <v>648</v>
      </c>
      <c r="P1870" s="1007" t="s">
        <v>648</v>
      </c>
      <c r="S1870" s="1008" t="s">
        <v>657</v>
      </c>
      <c r="T1870" s="1008" t="s">
        <v>654</v>
      </c>
      <c r="U1870" s="1008" t="s">
        <v>649</v>
      </c>
      <c r="V1870" s="1008" t="s">
        <v>648</v>
      </c>
      <c r="W1870" s="1008" t="s">
        <v>546</v>
      </c>
      <c r="X1870" s="1008" t="s">
        <v>670</v>
      </c>
      <c r="Y1870" s="1008" t="s">
        <v>670</v>
      </c>
      <c r="Z1870" s="1008" t="s">
        <v>670</v>
      </c>
      <c r="AA1870" s="1008" t="s">
        <v>670</v>
      </c>
      <c r="AB1870" s="1008" t="s">
        <v>670</v>
      </c>
      <c r="AC1870" s="1008" t="s">
        <v>670</v>
      </c>
      <c r="AD1870" s="1008" t="s">
        <v>670</v>
      </c>
      <c r="AE1870" s="1008"/>
      <c r="AF1870" s="1008" t="s">
        <v>670</v>
      </c>
      <c r="AG1870" s="1008"/>
      <c r="AH1870" s="1008"/>
      <c r="AI1870" s="1008"/>
    </row>
    <row r="1871" spans="1:35">
      <c r="A1871" s="1008">
        <v>26402</v>
      </c>
      <c r="B1871" s="1008">
        <v>1895</v>
      </c>
      <c r="C1871" s="1008">
        <v>7</v>
      </c>
      <c r="D1871" s="1009">
        <v>21719999</v>
      </c>
      <c r="E1871" s="1009">
        <v>21710700</v>
      </c>
      <c r="F1871" s="1007" t="s">
        <v>2794</v>
      </c>
      <c r="G1871" s="1007">
        <v>7</v>
      </c>
      <c r="H1871" s="1010">
        <v>99999999</v>
      </c>
      <c r="I1871" s="1009">
        <v>21710700</v>
      </c>
      <c r="J1871" s="1007" t="s">
        <v>2794</v>
      </c>
      <c r="O1871" s="1007" t="s">
        <v>648</v>
      </c>
      <c r="P1871" s="1007" t="s">
        <v>648</v>
      </c>
      <c r="S1871" s="1008" t="s">
        <v>657</v>
      </c>
      <c r="T1871" s="1008" t="s">
        <v>654</v>
      </c>
      <c r="U1871" s="1008" t="s">
        <v>649</v>
      </c>
      <c r="V1871" s="1008" t="s">
        <v>648</v>
      </c>
      <c r="W1871" s="1008" t="s">
        <v>546</v>
      </c>
      <c r="X1871" s="1008" t="s">
        <v>670</v>
      </c>
      <c r="Y1871" s="1008" t="s">
        <v>670</v>
      </c>
      <c r="Z1871" s="1008" t="s">
        <v>670</v>
      </c>
      <c r="AA1871" s="1008" t="s">
        <v>670</v>
      </c>
      <c r="AB1871" s="1008" t="s">
        <v>670</v>
      </c>
      <c r="AC1871" s="1008" t="s">
        <v>670</v>
      </c>
      <c r="AD1871" s="1008" t="s">
        <v>670</v>
      </c>
      <c r="AE1871" s="1008"/>
      <c r="AF1871" s="1008" t="s">
        <v>670</v>
      </c>
      <c r="AG1871" s="1008"/>
      <c r="AH1871" s="1008"/>
      <c r="AI1871" s="1008"/>
    </row>
    <row r="1872" spans="1:35">
      <c r="A1872" s="1008">
        <v>26401</v>
      </c>
      <c r="B1872" s="1008">
        <v>5135</v>
      </c>
      <c r="C1872" s="1008">
        <v>7</v>
      </c>
      <c r="D1872" s="1009">
        <v>21719999</v>
      </c>
      <c r="E1872" s="1009">
        <v>21710800</v>
      </c>
      <c r="F1872" s="1007" t="s">
        <v>2793</v>
      </c>
      <c r="G1872" s="1007">
        <v>7</v>
      </c>
      <c r="H1872" s="1010">
        <v>99999999</v>
      </c>
      <c r="I1872" s="1009">
        <v>21710800</v>
      </c>
      <c r="J1872" s="1007" t="s">
        <v>2793</v>
      </c>
      <c r="O1872" s="1007" t="s">
        <v>648</v>
      </c>
      <c r="P1872" s="1007" t="s">
        <v>648</v>
      </c>
      <c r="S1872" s="1008" t="s">
        <v>657</v>
      </c>
      <c r="T1872" s="1008" t="s">
        <v>654</v>
      </c>
      <c r="U1872" s="1008" t="s">
        <v>649</v>
      </c>
      <c r="V1872" s="1008" t="s">
        <v>648</v>
      </c>
      <c r="W1872" s="1008" t="s">
        <v>546</v>
      </c>
      <c r="X1872" s="1008" t="s">
        <v>670</v>
      </c>
      <c r="Y1872" s="1008" t="s">
        <v>670</v>
      </c>
      <c r="Z1872" s="1008" t="s">
        <v>670</v>
      </c>
      <c r="AA1872" s="1008" t="s">
        <v>670</v>
      </c>
      <c r="AB1872" s="1008" t="s">
        <v>670</v>
      </c>
      <c r="AC1872" s="1008" t="s">
        <v>670</v>
      </c>
      <c r="AD1872" s="1008" t="s">
        <v>670</v>
      </c>
      <c r="AE1872" s="1008"/>
      <c r="AF1872" s="1008" t="s">
        <v>670</v>
      </c>
      <c r="AG1872" s="1008"/>
      <c r="AH1872" s="1008"/>
      <c r="AI1872" s="1008"/>
    </row>
    <row r="1873" spans="1:35">
      <c r="A1873" s="1008">
        <v>26400</v>
      </c>
      <c r="C1873" s="1008">
        <v>6</v>
      </c>
      <c r="D1873" s="1009">
        <v>21799999</v>
      </c>
      <c r="E1873" s="1009">
        <v>21719999</v>
      </c>
      <c r="F1873" s="1007" t="s">
        <v>2792</v>
      </c>
      <c r="O1873" s="1007" t="s">
        <v>648</v>
      </c>
      <c r="P1873" s="1007" t="s">
        <v>648</v>
      </c>
      <c r="S1873" s="1008" t="s">
        <v>657</v>
      </c>
      <c r="T1873" s="1008" t="s">
        <v>21</v>
      </c>
      <c r="U1873" s="1008" t="s">
        <v>649</v>
      </c>
      <c r="V1873" s="1008" t="s">
        <v>648</v>
      </c>
      <c r="W1873" s="1008" t="s">
        <v>546</v>
      </c>
      <c r="X1873" s="1008"/>
      <c r="Y1873" s="1008"/>
      <c r="Z1873" s="1008"/>
      <c r="AA1873" s="1008"/>
      <c r="AB1873" s="1008"/>
      <c r="AC1873" s="1008"/>
      <c r="AD1873" s="1008"/>
      <c r="AE1873" s="1008"/>
      <c r="AF1873" s="1008"/>
      <c r="AG1873" s="1008"/>
      <c r="AH1873" s="1008"/>
      <c r="AI1873" s="1008"/>
    </row>
    <row r="1874" spans="1:35">
      <c r="A1874" s="1008">
        <v>26399</v>
      </c>
      <c r="C1874" s="1008">
        <v>5</v>
      </c>
      <c r="D1874" s="1009">
        <v>21999999</v>
      </c>
      <c r="E1874" s="1009">
        <v>21799999</v>
      </c>
      <c r="F1874" s="1007" t="s">
        <v>2791</v>
      </c>
      <c r="O1874" s="1007" t="s">
        <v>648</v>
      </c>
      <c r="P1874" s="1007" t="s">
        <v>648</v>
      </c>
      <c r="S1874" s="1008" t="s">
        <v>657</v>
      </c>
      <c r="T1874" s="1008" t="s">
        <v>21</v>
      </c>
      <c r="U1874" s="1008" t="s">
        <v>649</v>
      </c>
      <c r="V1874" s="1008" t="s">
        <v>648</v>
      </c>
      <c r="W1874" s="1008" t="s">
        <v>546</v>
      </c>
      <c r="X1874" s="1008"/>
      <c r="Y1874" s="1008"/>
      <c r="Z1874" s="1008"/>
      <c r="AA1874" s="1008"/>
      <c r="AB1874" s="1008"/>
      <c r="AC1874" s="1008"/>
      <c r="AD1874" s="1008"/>
      <c r="AE1874" s="1008"/>
      <c r="AF1874" s="1008"/>
      <c r="AG1874" s="1008"/>
      <c r="AH1874" s="1008"/>
      <c r="AI1874" s="1008"/>
    </row>
    <row r="1875" spans="1:35">
      <c r="A1875" s="1008">
        <v>26398</v>
      </c>
      <c r="C1875" s="1008">
        <v>5</v>
      </c>
      <c r="D1875" s="1009">
        <v>21899999</v>
      </c>
      <c r="E1875" s="1009">
        <v>21800000</v>
      </c>
      <c r="F1875" s="1007" t="s">
        <v>2790</v>
      </c>
      <c r="O1875" s="1007" t="s">
        <v>648</v>
      </c>
      <c r="P1875" s="1007" t="s">
        <v>648</v>
      </c>
      <c r="S1875" s="1008" t="s">
        <v>657</v>
      </c>
      <c r="T1875" s="1008" t="s">
        <v>675</v>
      </c>
      <c r="U1875" s="1008" t="s">
        <v>649</v>
      </c>
      <c r="V1875" s="1008" t="s">
        <v>648</v>
      </c>
      <c r="W1875" s="1008" t="s">
        <v>546</v>
      </c>
      <c r="X1875" s="1008"/>
      <c r="Y1875" s="1008"/>
      <c r="Z1875" s="1008"/>
      <c r="AA1875" s="1008"/>
      <c r="AB1875" s="1008"/>
      <c r="AC1875" s="1008"/>
      <c r="AD1875" s="1008"/>
      <c r="AE1875" s="1008"/>
      <c r="AF1875" s="1008"/>
      <c r="AG1875" s="1008"/>
      <c r="AH1875" s="1008"/>
      <c r="AI1875" s="1008"/>
    </row>
    <row r="1876" spans="1:35">
      <c r="A1876" s="1008">
        <v>26397</v>
      </c>
      <c r="C1876" s="1008">
        <v>6</v>
      </c>
      <c r="D1876" s="1009">
        <v>21819999</v>
      </c>
      <c r="E1876" s="1009">
        <v>21810000</v>
      </c>
      <c r="F1876" s="1007" t="s">
        <v>2789</v>
      </c>
      <c r="O1876" s="1007" t="s">
        <v>648</v>
      </c>
      <c r="P1876" s="1007" t="s">
        <v>648</v>
      </c>
      <c r="S1876" s="1008" t="s">
        <v>657</v>
      </c>
      <c r="T1876" s="1008" t="s">
        <v>675</v>
      </c>
      <c r="U1876" s="1008" t="s">
        <v>649</v>
      </c>
      <c r="V1876" s="1008" t="s">
        <v>648</v>
      </c>
      <c r="W1876" s="1008" t="s">
        <v>546</v>
      </c>
      <c r="X1876" s="1008"/>
      <c r="Y1876" s="1008"/>
      <c r="Z1876" s="1008"/>
      <c r="AA1876" s="1008"/>
      <c r="AB1876" s="1008"/>
      <c r="AC1876" s="1008"/>
      <c r="AD1876" s="1008"/>
      <c r="AE1876" s="1008"/>
      <c r="AF1876" s="1008"/>
      <c r="AG1876" s="1008"/>
      <c r="AH1876" s="1008"/>
      <c r="AI1876" s="1008"/>
    </row>
    <row r="1877" spans="1:35">
      <c r="A1877" s="1008">
        <v>26396</v>
      </c>
      <c r="B1877" s="1008">
        <v>1897</v>
      </c>
      <c r="C1877" s="1008">
        <v>7</v>
      </c>
      <c r="D1877" s="1009">
        <v>21819999</v>
      </c>
      <c r="E1877" s="1009">
        <v>21810200</v>
      </c>
      <c r="F1877" s="1007" t="s">
        <v>2788</v>
      </c>
      <c r="G1877" s="1007">
        <v>7</v>
      </c>
      <c r="H1877" s="1010">
        <v>99999999</v>
      </c>
      <c r="I1877" s="1009">
        <v>21810200</v>
      </c>
      <c r="J1877" s="1007" t="s">
        <v>2788</v>
      </c>
      <c r="O1877" s="1007" t="s">
        <v>648</v>
      </c>
      <c r="P1877" s="1007" t="s">
        <v>648</v>
      </c>
      <c r="S1877" s="1008" t="s">
        <v>657</v>
      </c>
      <c r="T1877" s="1008" t="s">
        <v>654</v>
      </c>
      <c r="U1877" s="1008" t="s">
        <v>649</v>
      </c>
      <c r="V1877" s="1008" t="s">
        <v>648</v>
      </c>
      <c r="W1877" s="1008" t="s">
        <v>546</v>
      </c>
      <c r="X1877" s="1008" t="s">
        <v>670</v>
      </c>
      <c r="Y1877" s="1008" t="s">
        <v>670</v>
      </c>
      <c r="Z1877" s="1008" t="s">
        <v>670</v>
      </c>
      <c r="AA1877" s="1008" t="s">
        <v>670</v>
      </c>
      <c r="AB1877" s="1008" t="s">
        <v>670</v>
      </c>
      <c r="AC1877" s="1008" t="s">
        <v>670</v>
      </c>
      <c r="AD1877" s="1008" t="s">
        <v>670</v>
      </c>
      <c r="AE1877" s="1008"/>
      <c r="AF1877" s="1008" t="s">
        <v>670</v>
      </c>
      <c r="AG1877" s="1008"/>
      <c r="AH1877" s="1008"/>
      <c r="AI1877" s="1008"/>
    </row>
    <row r="1878" spans="1:35">
      <c r="A1878" s="1008">
        <v>26395</v>
      </c>
      <c r="B1878" s="1008">
        <v>1898</v>
      </c>
      <c r="C1878" s="1008">
        <v>7</v>
      </c>
      <c r="D1878" s="1009">
        <v>21819999</v>
      </c>
      <c r="E1878" s="1009">
        <v>21810500</v>
      </c>
      <c r="F1878" s="1007" t="s">
        <v>2787</v>
      </c>
      <c r="G1878" s="1007">
        <v>7</v>
      </c>
      <c r="H1878" s="1010">
        <v>99999999</v>
      </c>
      <c r="I1878" s="1009">
        <v>21810500</v>
      </c>
      <c r="J1878" s="1007" t="s">
        <v>2787</v>
      </c>
      <c r="O1878" s="1007" t="s">
        <v>648</v>
      </c>
      <c r="P1878" s="1007" t="s">
        <v>648</v>
      </c>
      <c r="S1878" s="1008" t="s">
        <v>657</v>
      </c>
      <c r="T1878" s="1008" t="s">
        <v>654</v>
      </c>
      <c r="U1878" s="1008" t="s">
        <v>649</v>
      </c>
      <c r="V1878" s="1008" t="s">
        <v>648</v>
      </c>
      <c r="W1878" s="1008" t="s">
        <v>546</v>
      </c>
      <c r="X1878" s="1008" t="s">
        <v>670</v>
      </c>
      <c r="Y1878" s="1008" t="s">
        <v>670</v>
      </c>
      <c r="Z1878" s="1008" t="s">
        <v>670</v>
      </c>
      <c r="AA1878" s="1008" t="s">
        <v>670</v>
      </c>
      <c r="AB1878" s="1008" t="s">
        <v>670</v>
      </c>
      <c r="AC1878" s="1008" t="s">
        <v>670</v>
      </c>
      <c r="AD1878" s="1008" t="s">
        <v>670</v>
      </c>
      <c r="AE1878" s="1008"/>
      <c r="AF1878" s="1008" t="s">
        <v>670</v>
      </c>
      <c r="AG1878" s="1008"/>
      <c r="AH1878" s="1008"/>
      <c r="AI1878" s="1008"/>
    </row>
    <row r="1879" spans="1:35">
      <c r="A1879" s="1008">
        <v>26394</v>
      </c>
      <c r="B1879" s="1008">
        <v>1899</v>
      </c>
      <c r="C1879" s="1008">
        <v>7</v>
      </c>
      <c r="D1879" s="1009">
        <v>21819999</v>
      </c>
      <c r="E1879" s="1009">
        <v>21810600</v>
      </c>
      <c r="F1879" s="1007" t="s">
        <v>2786</v>
      </c>
      <c r="G1879" s="1007">
        <v>7</v>
      </c>
      <c r="H1879" s="1010">
        <v>99999999</v>
      </c>
      <c r="I1879" s="1009">
        <v>21810600</v>
      </c>
      <c r="J1879" s="1007" t="s">
        <v>2786</v>
      </c>
      <c r="O1879" s="1007" t="s">
        <v>648</v>
      </c>
      <c r="P1879" s="1007" t="s">
        <v>648</v>
      </c>
      <c r="S1879" s="1008" t="s">
        <v>657</v>
      </c>
      <c r="T1879" s="1008" t="s">
        <v>654</v>
      </c>
      <c r="U1879" s="1008" t="s">
        <v>649</v>
      </c>
      <c r="V1879" s="1008" t="s">
        <v>648</v>
      </c>
      <c r="W1879" s="1008" t="s">
        <v>546</v>
      </c>
      <c r="X1879" s="1008" t="s">
        <v>670</v>
      </c>
      <c r="Y1879" s="1008" t="s">
        <v>670</v>
      </c>
      <c r="Z1879" s="1008" t="s">
        <v>670</v>
      </c>
      <c r="AA1879" s="1008" t="s">
        <v>670</v>
      </c>
      <c r="AB1879" s="1008" t="s">
        <v>670</v>
      </c>
      <c r="AC1879" s="1008" t="s">
        <v>670</v>
      </c>
      <c r="AD1879" s="1008" t="s">
        <v>670</v>
      </c>
      <c r="AE1879" s="1008"/>
      <c r="AF1879" s="1008" t="s">
        <v>670</v>
      </c>
      <c r="AG1879" s="1008"/>
      <c r="AH1879" s="1008"/>
      <c r="AI1879" s="1008"/>
    </row>
    <row r="1880" spans="1:35">
      <c r="A1880" s="1008">
        <v>26393</v>
      </c>
      <c r="B1880" s="1008">
        <v>1900</v>
      </c>
      <c r="C1880" s="1008">
        <v>7</v>
      </c>
      <c r="D1880" s="1009">
        <v>21819999</v>
      </c>
      <c r="E1880" s="1009">
        <v>21810700</v>
      </c>
      <c r="F1880" s="1007" t="s">
        <v>2785</v>
      </c>
      <c r="G1880" s="1007">
        <v>7</v>
      </c>
      <c r="H1880" s="1010">
        <v>99999999</v>
      </c>
      <c r="I1880" s="1009">
        <v>21810700</v>
      </c>
      <c r="J1880" s="1007" t="s">
        <v>2785</v>
      </c>
      <c r="O1880" s="1007" t="s">
        <v>648</v>
      </c>
      <c r="P1880" s="1007" t="s">
        <v>648</v>
      </c>
      <c r="S1880" s="1008" t="s">
        <v>657</v>
      </c>
      <c r="T1880" s="1008" t="s">
        <v>654</v>
      </c>
      <c r="U1880" s="1008" t="s">
        <v>649</v>
      </c>
      <c r="V1880" s="1008" t="s">
        <v>648</v>
      </c>
      <c r="W1880" s="1008" t="s">
        <v>546</v>
      </c>
      <c r="X1880" s="1008" t="s">
        <v>670</v>
      </c>
      <c r="Y1880" s="1008" t="s">
        <v>670</v>
      </c>
      <c r="Z1880" s="1008" t="s">
        <v>670</v>
      </c>
      <c r="AA1880" s="1008" t="s">
        <v>670</v>
      </c>
      <c r="AB1880" s="1008" t="s">
        <v>670</v>
      </c>
      <c r="AC1880" s="1008" t="s">
        <v>670</v>
      </c>
      <c r="AD1880" s="1008" t="s">
        <v>670</v>
      </c>
      <c r="AE1880" s="1008"/>
      <c r="AF1880" s="1008" t="s">
        <v>670</v>
      </c>
      <c r="AG1880" s="1008"/>
      <c r="AH1880" s="1008"/>
      <c r="AI1880" s="1008"/>
    </row>
    <row r="1881" spans="1:35">
      <c r="A1881" s="1008">
        <v>26392</v>
      </c>
      <c r="B1881" s="1008">
        <v>5139</v>
      </c>
      <c r="C1881" s="1008">
        <v>7</v>
      </c>
      <c r="D1881" s="1009">
        <v>21819999</v>
      </c>
      <c r="E1881" s="1009">
        <v>21810800</v>
      </c>
      <c r="F1881" s="1007" t="s">
        <v>2784</v>
      </c>
      <c r="G1881" s="1007">
        <v>7</v>
      </c>
      <c r="H1881" s="1010">
        <v>99999999</v>
      </c>
      <c r="I1881" s="1009">
        <v>21810800</v>
      </c>
      <c r="J1881" s="1007" t="s">
        <v>2784</v>
      </c>
      <c r="O1881" s="1007" t="s">
        <v>648</v>
      </c>
      <c r="P1881" s="1007" t="s">
        <v>648</v>
      </c>
      <c r="S1881" s="1008" t="s">
        <v>657</v>
      </c>
      <c r="T1881" s="1008" t="s">
        <v>654</v>
      </c>
      <c r="U1881" s="1008" t="s">
        <v>649</v>
      </c>
      <c r="V1881" s="1008" t="s">
        <v>648</v>
      </c>
      <c r="W1881" s="1008" t="s">
        <v>546</v>
      </c>
      <c r="X1881" s="1008" t="s">
        <v>670</v>
      </c>
      <c r="Y1881" s="1008" t="s">
        <v>670</v>
      </c>
      <c r="Z1881" s="1008" t="s">
        <v>670</v>
      </c>
      <c r="AA1881" s="1008" t="s">
        <v>670</v>
      </c>
      <c r="AB1881" s="1008" t="s">
        <v>670</v>
      </c>
      <c r="AC1881" s="1008" t="s">
        <v>670</v>
      </c>
      <c r="AD1881" s="1008" t="s">
        <v>670</v>
      </c>
      <c r="AE1881" s="1008"/>
      <c r="AF1881" s="1008" t="s">
        <v>670</v>
      </c>
      <c r="AG1881" s="1008"/>
      <c r="AH1881" s="1008"/>
      <c r="AI1881" s="1008"/>
    </row>
    <row r="1882" spans="1:35">
      <c r="A1882" s="1008">
        <v>26391</v>
      </c>
      <c r="C1882" s="1008">
        <v>6</v>
      </c>
      <c r="D1882" s="1009">
        <v>21899999</v>
      </c>
      <c r="E1882" s="1009">
        <v>21819999</v>
      </c>
      <c r="F1882" s="1007" t="s">
        <v>2783</v>
      </c>
      <c r="O1882" s="1007" t="s">
        <v>648</v>
      </c>
      <c r="P1882" s="1007" t="s">
        <v>648</v>
      </c>
      <c r="S1882" s="1008" t="s">
        <v>657</v>
      </c>
      <c r="T1882" s="1008" t="s">
        <v>21</v>
      </c>
      <c r="U1882" s="1008" t="s">
        <v>649</v>
      </c>
      <c r="V1882" s="1008" t="s">
        <v>648</v>
      </c>
      <c r="W1882" s="1008" t="s">
        <v>546</v>
      </c>
      <c r="X1882" s="1008"/>
      <c r="Y1882" s="1008"/>
      <c r="Z1882" s="1008"/>
      <c r="AA1882" s="1008"/>
      <c r="AB1882" s="1008"/>
      <c r="AC1882" s="1008"/>
      <c r="AD1882" s="1008"/>
      <c r="AE1882" s="1008"/>
      <c r="AF1882" s="1008"/>
      <c r="AG1882" s="1008"/>
      <c r="AH1882" s="1008"/>
      <c r="AI1882" s="1008"/>
    </row>
    <row r="1883" spans="1:35">
      <c r="A1883" s="1008">
        <v>26390</v>
      </c>
      <c r="C1883" s="1008">
        <v>5</v>
      </c>
      <c r="D1883" s="1009">
        <v>21999999</v>
      </c>
      <c r="E1883" s="1009">
        <v>21899999</v>
      </c>
      <c r="F1883" s="1007" t="s">
        <v>2782</v>
      </c>
      <c r="O1883" s="1007" t="s">
        <v>648</v>
      </c>
      <c r="P1883" s="1007" t="s">
        <v>648</v>
      </c>
      <c r="S1883" s="1008" t="s">
        <v>657</v>
      </c>
      <c r="T1883" s="1008" t="s">
        <v>21</v>
      </c>
      <c r="U1883" s="1008" t="s">
        <v>649</v>
      </c>
      <c r="V1883" s="1008" t="s">
        <v>648</v>
      </c>
      <c r="W1883" s="1008" t="s">
        <v>546</v>
      </c>
      <c r="X1883" s="1008"/>
      <c r="Y1883" s="1008"/>
      <c r="Z1883" s="1008"/>
      <c r="AA1883" s="1008"/>
      <c r="AB1883" s="1008"/>
      <c r="AC1883" s="1008"/>
      <c r="AD1883" s="1008"/>
      <c r="AE1883" s="1008"/>
      <c r="AF1883" s="1008"/>
      <c r="AG1883" s="1008"/>
      <c r="AH1883" s="1008"/>
      <c r="AI1883" s="1008"/>
    </row>
    <row r="1884" spans="1:35">
      <c r="A1884" s="1008">
        <v>26389</v>
      </c>
      <c r="C1884" s="1008">
        <v>5</v>
      </c>
      <c r="D1884" s="1009">
        <v>21999900</v>
      </c>
      <c r="E1884" s="1009">
        <v>21900000</v>
      </c>
      <c r="F1884" s="1007" t="s">
        <v>2781</v>
      </c>
      <c r="O1884" s="1007" t="s">
        <v>648</v>
      </c>
      <c r="P1884" s="1007" t="s">
        <v>648</v>
      </c>
      <c r="S1884" s="1008" t="s">
        <v>657</v>
      </c>
      <c r="T1884" s="1008" t="s">
        <v>675</v>
      </c>
      <c r="U1884" s="1008" t="s">
        <v>649</v>
      </c>
      <c r="V1884" s="1008" t="s">
        <v>648</v>
      </c>
      <c r="W1884" s="1008" t="s">
        <v>546</v>
      </c>
      <c r="X1884" s="1008"/>
      <c r="Y1884" s="1008"/>
      <c r="Z1884" s="1008"/>
      <c r="AA1884" s="1008"/>
      <c r="AB1884" s="1008"/>
      <c r="AC1884" s="1008"/>
      <c r="AD1884" s="1008"/>
      <c r="AE1884" s="1008"/>
      <c r="AF1884" s="1008"/>
      <c r="AG1884" s="1008"/>
      <c r="AH1884" s="1008"/>
      <c r="AI1884" s="1008"/>
    </row>
    <row r="1885" spans="1:35">
      <c r="A1885" s="1008">
        <v>26388</v>
      </c>
      <c r="C1885" s="1008">
        <v>6</v>
      </c>
      <c r="D1885" s="1009">
        <v>21919999</v>
      </c>
      <c r="E1885" s="1009">
        <v>21910000</v>
      </c>
      <c r="F1885" s="1007" t="s">
        <v>2780</v>
      </c>
      <c r="O1885" s="1007" t="s">
        <v>648</v>
      </c>
      <c r="P1885" s="1007" t="s">
        <v>648</v>
      </c>
      <c r="S1885" s="1008" t="s">
        <v>657</v>
      </c>
      <c r="T1885" s="1008" t="s">
        <v>675</v>
      </c>
      <c r="U1885" s="1008" t="s">
        <v>649</v>
      </c>
      <c r="V1885" s="1008" t="s">
        <v>648</v>
      </c>
      <c r="W1885" s="1008" t="s">
        <v>546</v>
      </c>
      <c r="X1885" s="1008"/>
      <c r="Y1885" s="1008"/>
      <c r="Z1885" s="1008"/>
      <c r="AA1885" s="1008"/>
      <c r="AB1885" s="1008"/>
      <c r="AC1885" s="1008"/>
      <c r="AD1885" s="1008"/>
      <c r="AE1885" s="1008"/>
      <c r="AF1885" s="1008"/>
      <c r="AG1885" s="1008"/>
      <c r="AH1885" s="1008"/>
      <c r="AI1885" s="1008"/>
    </row>
    <row r="1886" spans="1:35">
      <c r="A1886" s="1008">
        <v>26387</v>
      </c>
      <c r="B1886" s="1008">
        <v>1902</v>
      </c>
      <c r="C1886" s="1008">
        <v>7</v>
      </c>
      <c r="D1886" s="1009">
        <v>21919999</v>
      </c>
      <c r="E1886" s="1009">
        <v>21910200</v>
      </c>
      <c r="F1886" s="1007" t="s">
        <v>2779</v>
      </c>
      <c r="G1886" s="1007">
        <v>7</v>
      </c>
      <c r="H1886" s="1010">
        <v>99999999</v>
      </c>
      <c r="I1886" s="1009">
        <v>21910200</v>
      </c>
      <c r="J1886" s="1007" t="s">
        <v>2779</v>
      </c>
      <c r="O1886" s="1007" t="s">
        <v>648</v>
      </c>
      <c r="P1886" s="1007" t="s">
        <v>648</v>
      </c>
      <c r="S1886" s="1008" t="s">
        <v>657</v>
      </c>
      <c r="T1886" s="1008" t="s">
        <v>654</v>
      </c>
      <c r="U1886" s="1008" t="s">
        <v>649</v>
      </c>
      <c r="V1886" s="1008" t="s">
        <v>648</v>
      </c>
      <c r="W1886" s="1008" t="s">
        <v>546</v>
      </c>
      <c r="X1886" s="1008" t="s">
        <v>670</v>
      </c>
      <c r="Y1886" s="1008" t="s">
        <v>670</v>
      </c>
      <c r="Z1886" s="1008" t="s">
        <v>670</v>
      </c>
      <c r="AA1886" s="1008" t="s">
        <v>670</v>
      </c>
      <c r="AB1886" s="1008" t="s">
        <v>670</v>
      </c>
      <c r="AC1886" s="1008" t="s">
        <v>670</v>
      </c>
      <c r="AD1886" s="1008" t="s">
        <v>670</v>
      </c>
      <c r="AE1886" s="1008"/>
      <c r="AF1886" s="1008" t="s">
        <v>670</v>
      </c>
      <c r="AG1886" s="1008"/>
      <c r="AH1886" s="1008"/>
      <c r="AI1886" s="1008"/>
    </row>
    <row r="1887" spans="1:35">
      <c r="A1887" s="1008">
        <v>26386</v>
      </c>
      <c r="B1887" s="1008">
        <v>1903</v>
      </c>
      <c r="C1887" s="1008">
        <v>7</v>
      </c>
      <c r="D1887" s="1009">
        <v>21919999</v>
      </c>
      <c r="E1887" s="1009">
        <v>21910500</v>
      </c>
      <c r="F1887" s="1007" t="s">
        <v>2778</v>
      </c>
      <c r="G1887" s="1007">
        <v>7</v>
      </c>
      <c r="H1887" s="1010">
        <v>99999999</v>
      </c>
      <c r="I1887" s="1009">
        <v>21910500</v>
      </c>
      <c r="J1887" s="1007" t="s">
        <v>2778</v>
      </c>
      <c r="O1887" s="1007" t="s">
        <v>648</v>
      </c>
      <c r="P1887" s="1007" t="s">
        <v>648</v>
      </c>
      <c r="S1887" s="1008" t="s">
        <v>657</v>
      </c>
      <c r="T1887" s="1008" t="s">
        <v>654</v>
      </c>
      <c r="U1887" s="1008" t="s">
        <v>649</v>
      </c>
      <c r="V1887" s="1008" t="s">
        <v>648</v>
      </c>
      <c r="W1887" s="1008" t="s">
        <v>546</v>
      </c>
      <c r="X1887" s="1008" t="s">
        <v>670</v>
      </c>
      <c r="Y1887" s="1008" t="s">
        <v>670</v>
      </c>
      <c r="Z1887" s="1008" t="s">
        <v>670</v>
      </c>
      <c r="AA1887" s="1008" t="s">
        <v>670</v>
      </c>
      <c r="AB1887" s="1008" t="s">
        <v>670</v>
      </c>
      <c r="AC1887" s="1008" t="s">
        <v>670</v>
      </c>
      <c r="AD1887" s="1008" t="s">
        <v>670</v>
      </c>
      <c r="AE1887" s="1008"/>
      <c r="AF1887" s="1008" t="s">
        <v>670</v>
      </c>
      <c r="AG1887" s="1008"/>
      <c r="AH1887" s="1008"/>
      <c r="AI1887" s="1008"/>
    </row>
    <row r="1888" spans="1:35">
      <c r="A1888" s="1008">
        <v>26385</v>
      </c>
      <c r="B1888" s="1008">
        <v>1904</v>
      </c>
      <c r="C1888" s="1008">
        <v>7</v>
      </c>
      <c r="D1888" s="1009">
        <v>21919999</v>
      </c>
      <c r="E1888" s="1009">
        <v>21910600</v>
      </c>
      <c r="F1888" s="1007" t="s">
        <v>2777</v>
      </c>
      <c r="G1888" s="1007">
        <v>7</v>
      </c>
      <c r="H1888" s="1010">
        <v>99999999</v>
      </c>
      <c r="I1888" s="1009">
        <v>21910600</v>
      </c>
      <c r="J1888" s="1007" t="s">
        <v>2777</v>
      </c>
      <c r="O1888" s="1007" t="s">
        <v>648</v>
      </c>
      <c r="P1888" s="1007" t="s">
        <v>648</v>
      </c>
      <c r="S1888" s="1008" t="s">
        <v>657</v>
      </c>
      <c r="T1888" s="1008" t="s">
        <v>654</v>
      </c>
      <c r="U1888" s="1008" t="s">
        <v>649</v>
      </c>
      <c r="V1888" s="1008" t="s">
        <v>648</v>
      </c>
      <c r="W1888" s="1008" t="s">
        <v>546</v>
      </c>
      <c r="X1888" s="1008" t="s">
        <v>670</v>
      </c>
      <c r="Y1888" s="1008" t="s">
        <v>670</v>
      </c>
      <c r="Z1888" s="1008" t="s">
        <v>670</v>
      </c>
      <c r="AA1888" s="1008" t="s">
        <v>670</v>
      </c>
      <c r="AB1888" s="1008" t="s">
        <v>670</v>
      </c>
      <c r="AC1888" s="1008" t="s">
        <v>670</v>
      </c>
      <c r="AD1888" s="1008" t="s">
        <v>670</v>
      </c>
      <c r="AE1888" s="1008"/>
      <c r="AF1888" s="1008" t="s">
        <v>670</v>
      </c>
      <c r="AG1888" s="1008"/>
      <c r="AH1888" s="1008"/>
      <c r="AI1888" s="1008"/>
    </row>
    <row r="1889" spans="1:35">
      <c r="A1889" s="1008">
        <v>26384</v>
      </c>
      <c r="B1889" s="1008">
        <v>1905</v>
      </c>
      <c r="C1889" s="1008">
        <v>7</v>
      </c>
      <c r="D1889" s="1009">
        <v>21919999</v>
      </c>
      <c r="E1889" s="1009">
        <v>21910700</v>
      </c>
      <c r="F1889" s="1007" t="s">
        <v>2776</v>
      </c>
      <c r="G1889" s="1007">
        <v>7</v>
      </c>
      <c r="H1889" s="1010">
        <v>99999999</v>
      </c>
      <c r="I1889" s="1009">
        <v>21910700</v>
      </c>
      <c r="J1889" s="1007" t="s">
        <v>2776</v>
      </c>
      <c r="O1889" s="1007" t="s">
        <v>648</v>
      </c>
      <c r="P1889" s="1007" t="s">
        <v>648</v>
      </c>
      <c r="S1889" s="1008" t="s">
        <v>657</v>
      </c>
      <c r="T1889" s="1008" t="s">
        <v>654</v>
      </c>
      <c r="U1889" s="1008" t="s">
        <v>649</v>
      </c>
      <c r="V1889" s="1008" t="s">
        <v>648</v>
      </c>
      <c r="W1889" s="1008" t="s">
        <v>546</v>
      </c>
      <c r="X1889" s="1008" t="s">
        <v>670</v>
      </c>
      <c r="Y1889" s="1008" t="s">
        <v>670</v>
      </c>
      <c r="Z1889" s="1008" t="s">
        <v>670</v>
      </c>
      <c r="AA1889" s="1008" t="s">
        <v>670</v>
      </c>
      <c r="AB1889" s="1008" t="s">
        <v>670</v>
      </c>
      <c r="AC1889" s="1008" t="s">
        <v>670</v>
      </c>
      <c r="AD1889" s="1008" t="s">
        <v>670</v>
      </c>
      <c r="AE1889" s="1008"/>
      <c r="AF1889" s="1008" t="s">
        <v>670</v>
      </c>
      <c r="AG1889" s="1008"/>
      <c r="AH1889" s="1008"/>
      <c r="AI1889" s="1008"/>
    </row>
    <row r="1890" spans="1:35">
      <c r="A1890" s="1008">
        <v>26383</v>
      </c>
      <c r="B1890" s="1008">
        <v>5143</v>
      </c>
      <c r="C1890" s="1008">
        <v>7</v>
      </c>
      <c r="D1890" s="1009">
        <v>21919999</v>
      </c>
      <c r="E1890" s="1009">
        <v>21910800</v>
      </c>
      <c r="F1890" s="1007" t="s">
        <v>2775</v>
      </c>
      <c r="G1890" s="1007">
        <v>7</v>
      </c>
      <c r="H1890" s="1010">
        <v>99999999</v>
      </c>
      <c r="I1890" s="1009">
        <v>21910800</v>
      </c>
      <c r="J1890" s="1007" t="s">
        <v>2775</v>
      </c>
      <c r="O1890" s="1007" t="s">
        <v>648</v>
      </c>
      <c r="P1890" s="1007" t="s">
        <v>648</v>
      </c>
      <c r="S1890" s="1008" t="s">
        <v>657</v>
      </c>
      <c r="T1890" s="1008" t="s">
        <v>654</v>
      </c>
      <c r="U1890" s="1008" t="s">
        <v>649</v>
      </c>
      <c r="V1890" s="1008" t="s">
        <v>648</v>
      </c>
      <c r="W1890" s="1008" t="s">
        <v>546</v>
      </c>
      <c r="X1890" s="1008" t="s">
        <v>670</v>
      </c>
      <c r="Y1890" s="1008" t="s">
        <v>670</v>
      </c>
      <c r="Z1890" s="1008" t="s">
        <v>670</v>
      </c>
      <c r="AA1890" s="1008" t="s">
        <v>670</v>
      </c>
      <c r="AB1890" s="1008" t="s">
        <v>670</v>
      </c>
      <c r="AC1890" s="1008" t="s">
        <v>670</v>
      </c>
      <c r="AD1890" s="1008" t="s">
        <v>670</v>
      </c>
      <c r="AE1890" s="1008"/>
      <c r="AF1890" s="1008" t="s">
        <v>670</v>
      </c>
      <c r="AG1890" s="1008"/>
      <c r="AH1890" s="1008"/>
      <c r="AI1890" s="1008"/>
    </row>
    <row r="1891" spans="1:35">
      <c r="A1891" s="1008">
        <v>26382</v>
      </c>
      <c r="C1891" s="1008">
        <v>6</v>
      </c>
      <c r="D1891" s="1009">
        <v>21999900</v>
      </c>
      <c r="E1891" s="1009">
        <v>21919999</v>
      </c>
      <c r="F1891" s="1007" t="s">
        <v>2774</v>
      </c>
      <c r="O1891" s="1007" t="s">
        <v>648</v>
      </c>
      <c r="P1891" s="1007" t="s">
        <v>648</v>
      </c>
      <c r="S1891" s="1008" t="s">
        <v>657</v>
      </c>
      <c r="T1891" s="1008" t="s">
        <v>21</v>
      </c>
      <c r="U1891" s="1008" t="s">
        <v>649</v>
      </c>
      <c r="V1891" s="1008" t="s">
        <v>648</v>
      </c>
      <c r="W1891" s="1008" t="s">
        <v>546</v>
      </c>
      <c r="X1891" s="1008"/>
      <c r="Y1891" s="1008"/>
      <c r="Z1891" s="1008"/>
      <c r="AA1891" s="1008"/>
      <c r="AB1891" s="1008"/>
      <c r="AC1891" s="1008"/>
      <c r="AD1891" s="1008"/>
      <c r="AE1891" s="1008"/>
      <c r="AF1891" s="1008"/>
      <c r="AG1891" s="1008"/>
      <c r="AH1891" s="1008"/>
      <c r="AI1891" s="1008"/>
    </row>
    <row r="1892" spans="1:35">
      <c r="A1892" s="1008">
        <v>26381</v>
      </c>
      <c r="C1892" s="1008">
        <v>5</v>
      </c>
      <c r="D1892" s="1009">
        <v>21999999</v>
      </c>
      <c r="E1892" s="1009">
        <v>21999900</v>
      </c>
      <c r="F1892" s="1007" t="s">
        <v>2773</v>
      </c>
      <c r="O1892" s="1007" t="s">
        <v>648</v>
      </c>
      <c r="P1892" s="1007" t="s">
        <v>648</v>
      </c>
      <c r="S1892" s="1008" t="s">
        <v>657</v>
      </c>
      <c r="T1892" s="1008" t="s">
        <v>21</v>
      </c>
      <c r="U1892" s="1008" t="s">
        <v>649</v>
      </c>
      <c r="V1892" s="1008" t="s">
        <v>648</v>
      </c>
      <c r="W1892" s="1008" t="s">
        <v>546</v>
      </c>
      <c r="X1892" s="1008"/>
      <c r="Y1892" s="1008"/>
      <c r="Z1892" s="1008"/>
      <c r="AA1892" s="1008"/>
      <c r="AB1892" s="1008"/>
      <c r="AC1892" s="1008"/>
      <c r="AD1892" s="1008"/>
      <c r="AE1892" s="1008"/>
      <c r="AF1892" s="1008"/>
      <c r="AG1892" s="1008"/>
      <c r="AH1892" s="1008"/>
      <c r="AI1892" s="1008"/>
    </row>
    <row r="1893" spans="1:35">
      <c r="A1893" s="1008">
        <v>26380</v>
      </c>
      <c r="C1893" s="1008">
        <v>4</v>
      </c>
      <c r="D1893" s="1009">
        <v>29999999</v>
      </c>
      <c r="E1893" s="1009">
        <v>21999999</v>
      </c>
      <c r="F1893" s="1007" t="s">
        <v>2772</v>
      </c>
      <c r="O1893" s="1007" t="s">
        <v>648</v>
      </c>
      <c r="P1893" s="1007" t="s">
        <v>648</v>
      </c>
      <c r="S1893" s="1008" t="s">
        <v>657</v>
      </c>
      <c r="T1893" s="1008" t="s">
        <v>21</v>
      </c>
      <c r="U1893" s="1008" t="s">
        <v>649</v>
      </c>
      <c r="V1893" s="1008" t="s">
        <v>648</v>
      </c>
      <c r="W1893" s="1008" t="s">
        <v>546</v>
      </c>
      <c r="X1893" s="1008"/>
      <c r="Y1893" s="1008"/>
      <c r="Z1893" s="1008"/>
      <c r="AA1893" s="1008"/>
      <c r="AB1893" s="1008"/>
      <c r="AC1893" s="1008"/>
      <c r="AD1893" s="1008"/>
      <c r="AE1893" s="1008"/>
      <c r="AF1893" s="1008"/>
      <c r="AG1893" s="1008"/>
      <c r="AH1893" s="1008"/>
      <c r="AI1893" s="1008"/>
    </row>
    <row r="1894" spans="1:35">
      <c r="A1894" s="1008">
        <v>24565</v>
      </c>
      <c r="C1894" s="1008">
        <v>4</v>
      </c>
      <c r="D1894" s="1009">
        <v>22299999</v>
      </c>
      <c r="E1894" s="1009">
        <v>22000000</v>
      </c>
      <c r="F1894" s="1007" t="s">
        <v>2771</v>
      </c>
      <c r="O1894" s="1007" t="s">
        <v>648</v>
      </c>
      <c r="P1894" s="1007" t="s">
        <v>648</v>
      </c>
      <c r="S1894" s="1008" t="s">
        <v>657</v>
      </c>
      <c r="T1894" s="1008" t="s">
        <v>675</v>
      </c>
      <c r="U1894" s="1008" t="s">
        <v>649</v>
      </c>
      <c r="V1894" s="1008" t="s">
        <v>648</v>
      </c>
      <c r="W1894" s="1008" t="s">
        <v>546</v>
      </c>
      <c r="X1894" s="1008"/>
      <c r="Y1894" s="1008"/>
      <c r="Z1894" s="1008"/>
      <c r="AA1894" s="1008"/>
      <c r="AB1894" s="1008"/>
      <c r="AC1894" s="1008"/>
      <c r="AD1894" s="1008"/>
      <c r="AE1894" s="1008"/>
      <c r="AF1894" s="1008"/>
      <c r="AG1894" s="1008"/>
      <c r="AH1894" s="1008"/>
      <c r="AI1894" s="1008"/>
    </row>
    <row r="1895" spans="1:35">
      <c r="A1895" s="1008">
        <v>24566</v>
      </c>
      <c r="C1895" s="1008">
        <v>5</v>
      </c>
      <c r="D1895" s="1009">
        <v>22099999</v>
      </c>
      <c r="E1895" s="1009">
        <v>22001000</v>
      </c>
      <c r="F1895" s="1007" t="s">
        <v>2770</v>
      </c>
      <c r="O1895" s="1007" t="s">
        <v>648</v>
      </c>
      <c r="P1895" s="1007" t="s">
        <v>648</v>
      </c>
      <c r="S1895" s="1008" t="s">
        <v>657</v>
      </c>
      <c r="T1895" s="1008" t="s">
        <v>675</v>
      </c>
      <c r="U1895" s="1008" t="s">
        <v>649</v>
      </c>
      <c r="V1895" s="1008" t="s">
        <v>648</v>
      </c>
      <c r="W1895" s="1008" t="s">
        <v>546</v>
      </c>
      <c r="X1895" s="1008"/>
      <c r="Y1895" s="1008"/>
      <c r="Z1895" s="1008"/>
      <c r="AA1895" s="1008"/>
      <c r="AB1895" s="1008"/>
      <c r="AC1895" s="1008"/>
      <c r="AD1895" s="1008"/>
      <c r="AE1895" s="1008"/>
      <c r="AF1895" s="1008"/>
      <c r="AG1895" s="1008"/>
      <c r="AH1895" s="1008"/>
      <c r="AI1895" s="1008"/>
    </row>
    <row r="1896" spans="1:35">
      <c r="A1896" s="1008">
        <v>24567</v>
      </c>
      <c r="B1896" s="1008">
        <v>1907</v>
      </c>
      <c r="C1896" s="1008">
        <v>6</v>
      </c>
      <c r="D1896" s="1009">
        <v>22099999</v>
      </c>
      <c r="E1896" s="1009">
        <v>22011000</v>
      </c>
      <c r="F1896" s="1007" t="s">
        <v>2770</v>
      </c>
      <c r="G1896" s="1007">
        <v>6</v>
      </c>
      <c r="H1896" s="1010">
        <v>99999999</v>
      </c>
      <c r="I1896" s="1009">
        <v>22011000</v>
      </c>
      <c r="J1896" s="1007" t="s">
        <v>2770</v>
      </c>
      <c r="O1896" s="1007" t="s">
        <v>648</v>
      </c>
      <c r="P1896" s="1007" t="s">
        <v>648</v>
      </c>
      <c r="S1896" s="1008" t="s">
        <v>657</v>
      </c>
      <c r="T1896" s="1008" t="s">
        <v>654</v>
      </c>
      <c r="U1896" s="1008" t="s">
        <v>649</v>
      </c>
      <c r="V1896" s="1008" t="s">
        <v>648</v>
      </c>
      <c r="W1896" s="1008" t="s">
        <v>546</v>
      </c>
      <c r="X1896" s="1008" t="s">
        <v>670</v>
      </c>
      <c r="Y1896" s="1008"/>
      <c r="Z1896" s="1008"/>
      <c r="AA1896" s="1008" t="s">
        <v>670</v>
      </c>
      <c r="AB1896" s="1008" t="s">
        <v>670</v>
      </c>
      <c r="AC1896" s="1008"/>
      <c r="AD1896" s="1008" t="s">
        <v>670</v>
      </c>
      <c r="AE1896" s="1008"/>
      <c r="AF1896" s="1008"/>
      <c r="AG1896" s="1008"/>
      <c r="AH1896" s="1008"/>
      <c r="AI1896" s="1008"/>
    </row>
    <row r="1897" spans="1:35">
      <c r="A1897" s="1008">
        <v>24568</v>
      </c>
      <c r="B1897" s="1008">
        <v>514</v>
      </c>
      <c r="C1897" s="1008">
        <v>6</v>
      </c>
      <c r="D1897" s="1009">
        <v>22099999</v>
      </c>
      <c r="E1897" s="1009">
        <v>22012000</v>
      </c>
      <c r="F1897" s="1007" t="s">
        <v>2769</v>
      </c>
      <c r="G1897" s="1007">
        <v>8</v>
      </c>
      <c r="H1897" s="1010">
        <v>99999999</v>
      </c>
      <c r="I1897" s="1009">
        <v>22012000</v>
      </c>
      <c r="J1897" s="1007" t="s">
        <v>2769</v>
      </c>
      <c r="O1897" s="1007" t="s">
        <v>648</v>
      </c>
      <c r="P1897" s="1007" t="s">
        <v>648</v>
      </c>
      <c r="S1897" s="1008" t="s">
        <v>657</v>
      </c>
      <c r="T1897" s="1008" t="s">
        <v>654</v>
      </c>
      <c r="U1897" s="1008" t="s">
        <v>649</v>
      </c>
      <c r="V1897" s="1008" t="s">
        <v>648</v>
      </c>
      <c r="W1897" s="1008" t="s">
        <v>546</v>
      </c>
      <c r="X1897" s="1008" t="s">
        <v>670</v>
      </c>
      <c r="Y1897" s="1008"/>
      <c r="Z1897" s="1008"/>
      <c r="AA1897" s="1008"/>
      <c r="AB1897" s="1008" t="s">
        <v>670</v>
      </c>
      <c r="AC1897" s="1008"/>
      <c r="AD1897" s="1008" t="s">
        <v>670</v>
      </c>
      <c r="AE1897" s="1008"/>
      <c r="AF1897" s="1008"/>
      <c r="AG1897" s="1008"/>
      <c r="AH1897" s="1008"/>
      <c r="AI1897" s="1008"/>
    </row>
    <row r="1898" spans="1:35">
      <c r="A1898" s="1008">
        <v>24569</v>
      </c>
      <c r="B1898" s="1008">
        <v>5148</v>
      </c>
      <c r="C1898" s="1008">
        <v>6</v>
      </c>
      <c r="D1898" s="1009">
        <v>22099999</v>
      </c>
      <c r="E1898" s="1009">
        <v>22019000</v>
      </c>
      <c r="F1898" s="1007" t="s">
        <v>2768</v>
      </c>
      <c r="G1898" s="1007">
        <v>6</v>
      </c>
      <c r="H1898" s="1010">
        <v>99999999</v>
      </c>
      <c r="I1898" s="1009">
        <v>22019000</v>
      </c>
      <c r="J1898" s="1007" t="s">
        <v>2768</v>
      </c>
      <c r="O1898" s="1007" t="s">
        <v>648</v>
      </c>
      <c r="P1898" s="1007" t="s">
        <v>648</v>
      </c>
      <c r="S1898" s="1008" t="s">
        <v>657</v>
      </c>
      <c r="T1898" s="1008" t="s">
        <v>654</v>
      </c>
      <c r="U1898" s="1008" t="s">
        <v>649</v>
      </c>
      <c r="V1898" s="1008" t="s">
        <v>648</v>
      </c>
      <c r="W1898" s="1008" t="s">
        <v>546</v>
      </c>
      <c r="X1898" s="1008" t="s">
        <v>670</v>
      </c>
      <c r="Y1898" s="1008" t="s">
        <v>670</v>
      </c>
      <c r="Z1898" s="1008" t="s">
        <v>670</v>
      </c>
      <c r="AA1898" s="1008" t="s">
        <v>670</v>
      </c>
      <c r="AB1898" s="1008" t="s">
        <v>670</v>
      </c>
      <c r="AC1898" s="1008" t="s">
        <v>670</v>
      </c>
      <c r="AD1898" s="1008" t="s">
        <v>670</v>
      </c>
      <c r="AE1898" s="1008"/>
      <c r="AF1898" s="1008" t="s">
        <v>670</v>
      </c>
      <c r="AG1898" s="1008"/>
      <c r="AH1898" s="1008"/>
      <c r="AI1898" s="1008"/>
    </row>
    <row r="1899" spans="1:35">
      <c r="A1899" s="1008">
        <v>24570</v>
      </c>
      <c r="C1899" s="1008">
        <v>5</v>
      </c>
      <c r="D1899" s="1009">
        <v>22299999</v>
      </c>
      <c r="E1899" s="1009">
        <v>22099999</v>
      </c>
      <c r="F1899" s="1007" t="s">
        <v>2767</v>
      </c>
      <c r="O1899" s="1007" t="s">
        <v>648</v>
      </c>
      <c r="P1899" s="1007" t="s">
        <v>648</v>
      </c>
      <c r="S1899" s="1008" t="s">
        <v>657</v>
      </c>
      <c r="T1899" s="1008" t="s">
        <v>21</v>
      </c>
      <c r="U1899" s="1008" t="s">
        <v>649</v>
      </c>
      <c r="V1899" s="1008" t="s">
        <v>648</v>
      </c>
      <c r="W1899" s="1008" t="s">
        <v>546</v>
      </c>
      <c r="X1899" s="1008"/>
      <c r="Y1899" s="1008"/>
      <c r="Z1899" s="1008"/>
      <c r="AA1899" s="1008"/>
      <c r="AB1899" s="1008"/>
      <c r="AC1899" s="1008"/>
      <c r="AD1899" s="1008"/>
      <c r="AE1899" s="1008"/>
      <c r="AF1899" s="1008"/>
      <c r="AG1899" s="1008"/>
      <c r="AH1899" s="1008"/>
      <c r="AI1899" s="1008"/>
    </row>
    <row r="1900" spans="1:35">
      <c r="A1900" s="1008">
        <v>24571</v>
      </c>
      <c r="C1900" s="1008">
        <v>5</v>
      </c>
      <c r="D1900" s="1009">
        <v>22199999</v>
      </c>
      <c r="E1900" s="1009">
        <v>22100000</v>
      </c>
      <c r="F1900" s="1007" t="s">
        <v>2766</v>
      </c>
      <c r="O1900" s="1007" t="s">
        <v>648</v>
      </c>
      <c r="P1900" s="1007" t="s">
        <v>648</v>
      </c>
      <c r="S1900" s="1008" t="s">
        <v>657</v>
      </c>
      <c r="T1900" s="1008" t="s">
        <v>675</v>
      </c>
      <c r="U1900" s="1008" t="s">
        <v>649</v>
      </c>
      <c r="V1900" s="1008" t="s">
        <v>648</v>
      </c>
      <c r="W1900" s="1008" t="s">
        <v>546</v>
      </c>
      <c r="X1900" s="1008"/>
      <c r="Y1900" s="1008"/>
      <c r="Z1900" s="1008"/>
      <c r="AA1900" s="1008"/>
      <c r="AB1900" s="1008"/>
      <c r="AC1900" s="1008"/>
      <c r="AD1900" s="1008"/>
      <c r="AE1900" s="1008"/>
      <c r="AF1900" s="1008"/>
      <c r="AG1900" s="1008"/>
      <c r="AH1900" s="1008"/>
      <c r="AI1900" s="1008"/>
    </row>
    <row r="1901" spans="1:35">
      <c r="A1901" s="1008">
        <v>24572</v>
      </c>
      <c r="C1901" s="1008">
        <v>6</v>
      </c>
      <c r="D1901" s="1009">
        <v>22119999</v>
      </c>
      <c r="E1901" s="1009">
        <v>22110000</v>
      </c>
      <c r="F1901" s="1007" t="s">
        <v>2765</v>
      </c>
      <c r="O1901" s="1007" t="s">
        <v>648</v>
      </c>
      <c r="P1901" s="1007" t="s">
        <v>648</v>
      </c>
      <c r="S1901" s="1008" t="s">
        <v>657</v>
      </c>
      <c r="T1901" s="1008" t="s">
        <v>675</v>
      </c>
      <c r="U1901" s="1008" t="s">
        <v>649</v>
      </c>
      <c r="V1901" s="1008" t="s">
        <v>648</v>
      </c>
      <c r="W1901" s="1008" t="s">
        <v>546</v>
      </c>
      <c r="X1901" s="1008"/>
      <c r="Y1901" s="1008"/>
      <c r="Z1901" s="1008"/>
      <c r="AA1901" s="1008"/>
      <c r="AB1901" s="1008"/>
      <c r="AC1901" s="1008"/>
      <c r="AD1901" s="1008"/>
      <c r="AE1901" s="1008"/>
      <c r="AF1901" s="1008"/>
      <c r="AG1901" s="1008"/>
      <c r="AH1901" s="1008"/>
      <c r="AI1901" s="1008"/>
    </row>
    <row r="1902" spans="1:35">
      <c r="A1902" s="1008">
        <v>24573</v>
      </c>
      <c r="B1902" s="1008">
        <v>5151</v>
      </c>
      <c r="C1902" s="1008">
        <v>7</v>
      </c>
      <c r="D1902" s="1009">
        <v>22119999</v>
      </c>
      <c r="E1902" s="1009">
        <v>22111000</v>
      </c>
      <c r="F1902" s="1007" t="s">
        <v>2764</v>
      </c>
      <c r="G1902" s="1007">
        <v>7</v>
      </c>
      <c r="H1902" s="1010">
        <v>99999999</v>
      </c>
      <c r="I1902" s="1009">
        <v>22111000</v>
      </c>
      <c r="J1902" s="1007" t="s">
        <v>2764</v>
      </c>
      <c r="O1902" s="1007" t="s">
        <v>648</v>
      </c>
      <c r="P1902" s="1007" t="s">
        <v>648</v>
      </c>
      <c r="S1902" s="1008" t="s">
        <v>657</v>
      </c>
      <c r="T1902" s="1008" t="s">
        <v>654</v>
      </c>
      <c r="U1902" s="1008" t="s">
        <v>649</v>
      </c>
      <c r="V1902" s="1008" t="s">
        <v>648</v>
      </c>
      <c r="W1902" s="1008" t="s">
        <v>546</v>
      </c>
      <c r="X1902" s="1008" t="s">
        <v>670</v>
      </c>
      <c r="Y1902" s="1008" t="s">
        <v>670</v>
      </c>
      <c r="Z1902" s="1008" t="s">
        <v>670</v>
      </c>
      <c r="AA1902" s="1008" t="s">
        <v>670</v>
      </c>
      <c r="AB1902" s="1008" t="s">
        <v>670</v>
      </c>
      <c r="AC1902" s="1008" t="s">
        <v>670</v>
      </c>
      <c r="AD1902" s="1008" t="s">
        <v>670</v>
      </c>
      <c r="AE1902" s="1008"/>
      <c r="AF1902" s="1008" t="s">
        <v>670</v>
      </c>
      <c r="AG1902" s="1008"/>
      <c r="AH1902" s="1008"/>
      <c r="AI1902" s="1008"/>
    </row>
    <row r="1903" spans="1:35">
      <c r="A1903" s="1008">
        <v>24574</v>
      </c>
      <c r="C1903" s="1008">
        <v>6</v>
      </c>
      <c r="D1903" s="1009">
        <v>22199999</v>
      </c>
      <c r="E1903" s="1009">
        <v>22119999</v>
      </c>
      <c r="F1903" s="1007" t="s">
        <v>2763</v>
      </c>
      <c r="O1903" s="1007" t="s">
        <v>648</v>
      </c>
      <c r="P1903" s="1007" t="s">
        <v>648</v>
      </c>
      <c r="S1903" s="1008" t="s">
        <v>657</v>
      </c>
      <c r="T1903" s="1008" t="s">
        <v>21</v>
      </c>
      <c r="U1903" s="1008" t="s">
        <v>649</v>
      </c>
      <c r="V1903" s="1008" t="s">
        <v>648</v>
      </c>
      <c r="W1903" s="1008" t="s">
        <v>546</v>
      </c>
      <c r="X1903" s="1008"/>
      <c r="Y1903" s="1008"/>
      <c r="Z1903" s="1008"/>
      <c r="AA1903" s="1008"/>
      <c r="AB1903" s="1008"/>
      <c r="AC1903" s="1008"/>
      <c r="AD1903" s="1008"/>
      <c r="AE1903" s="1008"/>
      <c r="AF1903" s="1008"/>
      <c r="AG1903" s="1008"/>
      <c r="AH1903" s="1008"/>
      <c r="AI1903" s="1008"/>
    </row>
    <row r="1904" spans="1:35">
      <c r="A1904" s="1008">
        <v>24575</v>
      </c>
      <c r="C1904" s="1008">
        <v>6</v>
      </c>
      <c r="D1904" s="1009">
        <v>22129999</v>
      </c>
      <c r="E1904" s="1009">
        <v>22120000</v>
      </c>
      <c r="F1904" s="1007" t="s">
        <v>2762</v>
      </c>
      <c r="O1904" s="1007" t="s">
        <v>648</v>
      </c>
      <c r="P1904" s="1007" t="s">
        <v>648</v>
      </c>
      <c r="S1904" s="1008" t="s">
        <v>657</v>
      </c>
      <c r="T1904" s="1008" t="s">
        <v>675</v>
      </c>
      <c r="U1904" s="1008" t="s">
        <v>649</v>
      </c>
      <c r="V1904" s="1008" t="s">
        <v>648</v>
      </c>
      <c r="W1904" s="1008" t="s">
        <v>546</v>
      </c>
      <c r="X1904" s="1008"/>
      <c r="Y1904" s="1008"/>
      <c r="Z1904" s="1008"/>
      <c r="AA1904" s="1008"/>
      <c r="AB1904" s="1008"/>
      <c r="AC1904" s="1008"/>
      <c r="AD1904" s="1008"/>
      <c r="AE1904" s="1008"/>
      <c r="AF1904" s="1008"/>
      <c r="AG1904" s="1008"/>
      <c r="AH1904" s="1008"/>
      <c r="AI1904" s="1008"/>
    </row>
    <row r="1905" spans="1:35">
      <c r="A1905" s="1008">
        <v>24576</v>
      </c>
      <c r="B1905" s="1008">
        <v>1911</v>
      </c>
      <c r="C1905" s="1008">
        <v>7</v>
      </c>
      <c r="D1905" s="1009">
        <v>22129999</v>
      </c>
      <c r="E1905" s="1009">
        <v>22121000</v>
      </c>
      <c r="F1905" s="1007" t="s">
        <v>2761</v>
      </c>
      <c r="G1905" s="1007">
        <v>7</v>
      </c>
      <c r="H1905" s="1010">
        <v>99999999</v>
      </c>
      <c r="I1905" s="1009">
        <v>22121000</v>
      </c>
      <c r="J1905" s="1007" t="s">
        <v>2761</v>
      </c>
      <c r="O1905" s="1007" t="s">
        <v>648</v>
      </c>
      <c r="P1905" s="1007" t="s">
        <v>648</v>
      </c>
      <c r="S1905" s="1008" t="s">
        <v>657</v>
      </c>
      <c r="T1905" s="1008" t="s">
        <v>654</v>
      </c>
      <c r="U1905" s="1008" t="s">
        <v>649</v>
      </c>
      <c r="V1905" s="1008" t="s">
        <v>648</v>
      </c>
      <c r="W1905" s="1008" t="s">
        <v>546</v>
      </c>
      <c r="X1905" s="1008" t="s">
        <v>670</v>
      </c>
      <c r="Y1905" s="1008" t="s">
        <v>670</v>
      </c>
      <c r="Z1905" s="1008" t="s">
        <v>670</v>
      </c>
      <c r="AA1905" s="1008" t="s">
        <v>670</v>
      </c>
      <c r="AB1905" s="1008" t="s">
        <v>670</v>
      </c>
      <c r="AC1905" s="1008" t="s">
        <v>670</v>
      </c>
      <c r="AD1905" s="1008" t="s">
        <v>670</v>
      </c>
      <c r="AE1905" s="1008"/>
      <c r="AF1905" s="1008" t="s">
        <v>670</v>
      </c>
      <c r="AG1905" s="1008"/>
      <c r="AH1905" s="1008"/>
      <c r="AI1905" s="1008"/>
    </row>
    <row r="1906" spans="1:35">
      <c r="A1906" s="1008">
        <v>24577</v>
      </c>
      <c r="B1906" s="1008">
        <v>1912</v>
      </c>
      <c r="C1906" s="1008">
        <v>7</v>
      </c>
      <c r="D1906" s="1009">
        <v>22129999</v>
      </c>
      <c r="E1906" s="1009">
        <v>22122000</v>
      </c>
      <c r="F1906" s="1007" t="s">
        <v>2760</v>
      </c>
      <c r="G1906" s="1007">
        <v>7</v>
      </c>
      <c r="H1906" s="1010">
        <v>99999999</v>
      </c>
      <c r="I1906" s="1009">
        <v>22122000</v>
      </c>
      <c r="J1906" s="1007" t="s">
        <v>2760</v>
      </c>
      <c r="O1906" s="1007" t="s">
        <v>648</v>
      </c>
      <c r="P1906" s="1007" t="s">
        <v>648</v>
      </c>
      <c r="S1906" s="1008" t="s">
        <v>657</v>
      </c>
      <c r="T1906" s="1008" t="s">
        <v>654</v>
      </c>
      <c r="U1906" s="1008" t="s">
        <v>649</v>
      </c>
      <c r="V1906" s="1008" t="s">
        <v>648</v>
      </c>
      <c r="W1906" s="1008" t="s">
        <v>546</v>
      </c>
      <c r="X1906" s="1008" t="s">
        <v>670</v>
      </c>
      <c r="Y1906" s="1008" t="s">
        <v>670</v>
      </c>
      <c r="Z1906" s="1008" t="s">
        <v>670</v>
      </c>
      <c r="AA1906" s="1008" t="s">
        <v>670</v>
      </c>
      <c r="AB1906" s="1008" t="s">
        <v>670</v>
      </c>
      <c r="AC1906" s="1008" t="s">
        <v>670</v>
      </c>
      <c r="AD1906" s="1008" t="s">
        <v>670</v>
      </c>
      <c r="AE1906" s="1008"/>
      <c r="AF1906" s="1008" t="s">
        <v>670</v>
      </c>
      <c r="AG1906" s="1008"/>
      <c r="AH1906" s="1008"/>
      <c r="AI1906" s="1008"/>
    </row>
    <row r="1907" spans="1:35">
      <c r="A1907" s="1008">
        <v>24578</v>
      </c>
      <c r="B1907" s="1008">
        <v>5153</v>
      </c>
      <c r="C1907" s="1008">
        <v>7</v>
      </c>
      <c r="D1907" s="1009">
        <v>22129999</v>
      </c>
      <c r="E1907" s="1009">
        <v>22123000</v>
      </c>
      <c r="F1907" s="1007" t="s">
        <v>2759</v>
      </c>
      <c r="G1907" s="1007">
        <v>7</v>
      </c>
      <c r="H1907" s="1010">
        <v>99999999</v>
      </c>
      <c r="I1907" s="1009">
        <v>22123000</v>
      </c>
      <c r="J1907" s="1007" t="s">
        <v>2759</v>
      </c>
      <c r="O1907" s="1007" t="s">
        <v>648</v>
      </c>
      <c r="P1907" s="1007" t="s">
        <v>648</v>
      </c>
      <c r="S1907" s="1008" t="s">
        <v>657</v>
      </c>
      <c r="T1907" s="1008" t="s">
        <v>654</v>
      </c>
      <c r="U1907" s="1008" t="s">
        <v>649</v>
      </c>
      <c r="V1907" s="1008" t="s">
        <v>648</v>
      </c>
      <c r="W1907" s="1008" t="s">
        <v>546</v>
      </c>
      <c r="X1907" s="1008" t="s">
        <v>670</v>
      </c>
      <c r="Y1907" s="1008" t="s">
        <v>670</v>
      </c>
      <c r="Z1907" s="1008" t="s">
        <v>670</v>
      </c>
      <c r="AA1907" s="1008" t="s">
        <v>670</v>
      </c>
      <c r="AB1907" s="1008" t="s">
        <v>670</v>
      </c>
      <c r="AC1907" s="1008" t="s">
        <v>670</v>
      </c>
      <c r="AD1907" s="1008" t="s">
        <v>670</v>
      </c>
      <c r="AE1907" s="1008"/>
      <c r="AF1907" s="1008" t="s">
        <v>670</v>
      </c>
      <c r="AG1907" s="1008"/>
      <c r="AH1907" s="1008"/>
      <c r="AI1907" s="1008"/>
    </row>
    <row r="1908" spans="1:35">
      <c r="A1908" s="1008">
        <v>24579</v>
      </c>
      <c r="C1908" s="1008">
        <v>6</v>
      </c>
      <c r="D1908" s="1009">
        <v>22199999</v>
      </c>
      <c r="E1908" s="1009">
        <v>22129999</v>
      </c>
      <c r="F1908" s="1007" t="s">
        <v>2758</v>
      </c>
      <c r="O1908" s="1007" t="s">
        <v>648</v>
      </c>
      <c r="P1908" s="1007" t="s">
        <v>648</v>
      </c>
      <c r="S1908" s="1008" t="s">
        <v>657</v>
      </c>
      <c r="T1908" s="1008" t="s">
        <v>21</v>
      </c>
      <c r="U1908" s="1008" t="s">
        <v>649</v>
      </c>
      <c r="V1908" s="1008" t="s">
        <v>648</v>
      </c>
      <c r="W1908" s="1008" t="s">
        <v>546</v>
      </c>
      <c r="X1908" s="1008"/>
      <c r="Y1908" s="1008"/>
      <c r="Z1908" s="1008"/>
      <c r="AA1908" s="1008"/>
      <c r="AB1908" s="1008"/>
      <c r="AC1908" s="1008"/>
      <c r="AD1908" s="1008"/>
      <c r="AE1908" s="1008"/>
      <c r="AF1908" s="1008"/>
      <c r="AG1908" s="1008"/>
      <c r="AH1908" s="1008"/>
      <c r="AI1908" s="1008"/>
    </row>
    <row r="1909" spans="1:35">
      <c r="A1909" s="1008">
        <v>24580</v>
      </c>
      <c r="C1909" s="1008">
        <v>6</v>
      </c>
      <c r="D1909" s="1009">
        <v>22139999</v>
      </c>
      <c r="E1909" s="1009">
        <v>22130000</v>
      </c>
      <c r="F1909" s="1007" t="s">
        <v>2757</v>
      </c>
      <c r="O1909" s="1007" t="s">
        <v>648</v>
      </c>
      <c r="P1909" s="1007" t="s">
        <v>648</v>
      </c>
      <c r="S1909" s="1008" t="s">
        <v>657</v>
      </c>
      <c r="T1909" s="1008" t="s">
        <v>675</v>
      </c>
      <c r="U1909" s="1008" t="s">
        <v>649</v>
      </c>
      <c r="V1909" s="1008" t="s">
        <v>648</v>
      </c>
      <c r="W1909" s="1008" t="s">
        <v>546</v>
      </c>
      <c r="X1909" s="1008"/>
      <c r="Y1909" s="1008"/>
      <c r="Z1909" s="1008"/>
      <c r="AA1909" s="1008"/>
      <c r="AB1909" s="1008"/>
      <c r="AC1909" s="1008"/>
      <c r="AD1909" s="1008"/>
      <c r="AE1909" s="1008"/>
      <c r="AF1909" s="1008"/>
      <c r="AG1909" s="1008"/>
      <c r="AH1909" s="1008"/>
      <c r="AI1909" s="1008"/>
    </row>
    <row r="1910" spans="1:35">
      <c r="A1910" s="1008">
        <v>24581</v>
      </c>
      <c r="B1910" s="1008">
        <v>5155</v>
      </c>
      <c r="C1910" s="1008">
        <v>7</v>
      </c>
      <c r="D1910" s="1009">
        <v>22139999</v>
      </c>
      <c r="E1910" s="1009">
        <v>22131000</v>
      </c>
      <c r="F1910" s="1007" t="s">
        <v>2756</v>
      </c>
      <c r="G1910" s="1007">
        <v>7</v>
      </c>
      <c r="H1910" s="1010">
        <v>99999999</v>
      </c>
      <c r="I1910" s="1009">
        <v>22131000</v>
      </c>
      <c r="J1910" s="1007" t="s">
        <v>2756</v>
      </c>
      <c r="O1910" s="1007" t="s">
        <v>648</v>
      </c>
      <c r="P1910" s="1007" t="s">
        <v>648</v>
      </c>
      <c r="S1910" s="1008" t="s">
        <v>657</v>
      </c>
      <c r="T1910" s="1008" t="s">
        <v>654</v>
      </c>
      <c r="U1910" s="1008" t="s">
        <v>649</v>
      </c>
      <c r="V1910" s="1008" t="s">
        <v>648</v>
      </c>
      <c r="W1910" s="1008" t="s">
        <v>546</v>
      </c>
      <c r="X1910" s="1008" t="s">
        <v>670</v>
      </c>
      <c r="Y1910" s="1008" t="s">
        <v>670</v>
      </c>
      <c r="Z1910" s="1008" t="s">
        <v>670</v>
      </c>
      <c r="AA1910" s="1008" t="s">
        <v>670</v>
      </c>
      <c r="AB1910" s="1008" t="s">
        <v>670</v>
      </c>
      <c r="AC1910" s="1008" t="s">
        <v>670</v>
      </c>
      <c r="AD1910" s="1008" t="s">
        <v>670</v>
      </c>
      <c r="AE1910" s="1008"/>
      <c r="AF1910" s="1008" t="s">
        <v>670</v>
      </c>
      <c r="AG1910" s="1008"/>
      <c r="AH1910" s="1008"/>
      <c r="AI1910" s="1008"/>
    </row>
    <row r="1911" spans="1:35">
      <c r="A1911" s="1008">
        <v>24582</v>
      </c>
      <c r="C1911" s="1008">
        <v>6</v>
      </c>
      <c r="D1911" s="1009">
        <v>22199999</v>
      </c>
      <c r="E1911" s="1009">
        <v>22139999</v>
      </c>
      <c r="F1911" s="1007" t="s">
        <v>2755</v>
      </c>
      <c r="O1911" s="1007" t="s">
        <v>648</v>
      </c>
      <c r="P1911" s="1007" t="s">
        <v>648</v>
      </c>
      <c r="S1911" s="1008" t="s">
        <v>657</v>
      </c>
      <c r="T1911" s="1008" t="s">
        <v>21</v>
      </c>
      <c r="U1911" s="1008" t="s">
        <v>649</v>
      </c>
      <c r="V1911" s="1008" t="s">
        <v>648</v>
      </c>
      <c r="W1911" s="1008" t="s">
        <v>546</v>
      </c>
      <c r="X1911" s="1008"/>
      <c r="Y1911" s="1008"/>
      <c r="Z1911" s="1008"/>
      <c r="AA1911" s="1008"/>
      <c r="AB1911" s="1008"/>
      <c r="AC1911" s="1008"/>
      <c r="AD1911" s="1008"/>
      <c r="AE1911" s="1008"/>
      <c r="AF1911" s="1008"/>
      <c r="AG1911" s="1008"/>
      <c r="AH1911" s="1008"/>
      <c r="AI1911" s="1008"/>
    </row>
    <row r="1912" spans="1:35">
      <c r="A1912" s="1008">
        <v>24583</v>
      </c>
      <c r="C1912" s="1008">
        <v>5</v>
      </c>
      <c r="D1912" s="1009">
        <v>22299999</v>
      </c>
      <c r="E1912" s="1009">
        <v>22199999</v>
      </c>
      <c r="F1912" s="1007" t="s">
        <v>2754</v>
      </c>
      <c r="O1912" s="1007" t="s">
        <v>648</v>
      </c>
      <c r="P1912" s="1007" t="s">
        <v>648</v>
      </c>
      <c r="S1912" s="1008" t="s">
        <v>657</v>
      </c>
      <c r="T1912" s="1008" t="s">
        <v>21</v>
      </c>
      <c r="U1912" s="1008" t="s">
        <v>649</v>
      </c>
      <c r="V1912" s="1008" t="s">
        <v>648</v>
      </c>
      <c r="W1912" s="1008" t="s">
        <v>546</v>
      </c>
      <c r="X1912" s="1008"/>
      <c r="Y1912" s="1008"/>
      <c r="Z1912" s="1008"/>
      <c r="AA1912" s="1008"/>
      <c r="AB1912" s="1008"/>
      <c r="AC1912" s="1008"/>
      <c r="AD1912" s="1008"/>
      <c r="AE1912" s="1008"/>
      <c r="AF1912" s="1008"/>
      <c r="AG1912" s="1008"/>
      <c r="AH1912" s="1008"/>
      <c r="AI1912" s="1008"/>
    </row>
    <row r="1913" spans="1:35">
      <c r="A1913" s="1008">
        <v>24584</v>
      </c>
      <c r="C1913" s="1008">
        <v>4</v>
      </c>
      <c r="D1913" s="1009">
        <v>29999999</v>
      </c>
      <c r="E1913" s="1009">
        <v>22299999</v>
      </c>
      <c r="F1913" s="1007" t="s">
        <v>2753</v>
      </c>
      <c r="O1913" s="1007" t="s">
        <v>648</v>
      </c>
      <c r="P1913" s="1007" t="s">
        <v>648</v>
      </c>
      <c r="S1913" s="1008" t="s">
        <v>657</v>
      </c>
      <c r="T1913" s="1008" t="s">
        <v>21</v>
      </c>
      <c r="U1913" s="1008" t="s">
        <v>649</v>
      </c>
      <c r="V1913" s="1008" t="s">
        <v>648</v>
      </c>
      <c r="W1913" s="1008" t="s">
        <v>546</v>
      </c>
      <c r="X1913" s="1008"/>
      <c r="Y1913" s="1008"/>
      <c r="Z1913" s="1008"/>
      <c r="AA1913" s="1008"/>
      <c r="AB1913" s="1008"/>
      <c r="AC1913" s="1008"/>
      <c r="AD1913" s="1008"/>
      <c r="AE1913" s="1008"/>
      <c r="AF1913" s="1008"/>
      <c r="AG1913" s="1008"/>
      <c r="AH1913" s="1008"/>
      <c r="AI1913" s="1008"/>
    </row>
    <row r="1914" spans="1:35">
      <c r="A1914" s="1008">
        <v>24585</v>
      </c>
      <c r="C1914" s="1008">
        <v>4</v>
      </c>
      <c r="D1914" s="1009">
        <v>23199999</v>
      </c>
      <c r="E1914" s="1009">
        <v>23000000</v>
      </c>
      <c r="F1914" s="1007" t="s">
        <v>2752</v>
      </c>
      <c r="O1914" s="1007" t="s">
        <v>648</v>
      </c>
      <c r="P1914" s="1007" t="s">
        <v>648</v>
      </c>
      <c r="S1914" s="1008" t="s">
        <v>657</v>
      </c>
      <c r="T1914" s="1008" t="s">
        <v>675</v>
      </c>
      <c r="U1914" s="1008" t="s">
        <v>649</v>
      </c>
      <c r="V1914" s="1008" t="s">
        <v>648</v>
      </c>
      <c r="W1914" s="1008" t="s">
        <v>546</v>
      </c>
      <c r="X1914" s="1008"/>
      <c r="Y1914" s="1008"/>
      <c r="Z1914" s="1008"/>
      <c r="AA1914" s="1008"/>
      <c r="AB1914" s="1008"/>
      <c r="AC1914" s="1008"/>
      <c r="AD1914" s="1008"/>
      <c r="AE1914" s="1008"/>
      <c r="AF1914" s="1008"/>
      <c r="AG1914" s="1008"/>
      <c r="AH1914" s="1008"/>
      <c r="AI1914" s="1008"/>
    </row>
    <row r="1915" spans="1:35">
      <c r="A1915" s="1008">
        <v>24586</v>
      </c>
      <c r="C1915" s="1008">
        <v>5</v>
      </c>
      <c r="D1915" s="1009">
        <v>23099999</v>
      </c>
      <c r="E1915" s="1009">
        <v>23001000</v>
      </c>
      <c r="F1915" s="1007" t="s">
        <v>2751</v>
      </c>
      <c r="O1915" s="1007" t="s">
        <v>648</v>
      </c>
      <c r="P1915" s="1007" t="s">
        <v>648</v>
      </c>
      <c r="S1915" s="1008" t="s">
        <v>657</v>
      </c>
      <c r="T1915" s="1008" t="s">
        <v>675</v>
      </c>
      <c r="U1915" s="1008" t="s">
        <v>649</v>
      </c>
      <c r="V1915" s="1008" t="s">
        <v>648</v>
      </c>
      <c r="W1915" s="1008" t="s">
        <v>546</v>
      </c>
      <c r="X1915" s="1008"/>
      <c r="Y1915" s="1008"/>
      <c r="Z1915" s="1008"/>
      <c r="AA1915" s="1008"/>
      <c r="AB1915" s="1008"/>
      <c r="AC1915" s="1008"/>
      <c r="AD1915" s="1008"/>
      <c r="AE1915" s="1008"/>
      <c r="AF1915" s="1008"/>
      <c r="AG1915" s="1008"/>
      <c r="AH1915" s="1008"/>
      <c r="AI1915" s="1008"/>
    </row>
    <row r="1916" spans="1:35">
      <c r="A1916" s="1008">
        <v>24587</v>
      </c>
      <c r="C1916" s="1008">
        <v>6</v>
      </c>
      <c r="D1916" s="1009">
        <v>23019999</v>
      </c>
      <c r="E1916" s="1009">
        <v>23010000</v>
      </c>
      <c r="F1916" s="1007" t="s">
        <v>2750</v>
      </c>
      <c r="O1916" s="1007" t="s">
        <v>648</v>
      </c>
      <c r="P1916" s="1007" t="s">
        <v>648</v>
      </c>
      <c r="S1916" s="1008" t="s">
        <v>657</v>
      </c>
      <c r="T1916" s="1008" t="s">
        <v>675</v>
      </c>
      <c r="U1916" s="1008" t="s">
        <v>649</v>
      </c>
      <c r="V1916" s="1008" t="s">
        <v>648</v>
      </c>
      <c r="W1916" s="1008" t="s">
        <v>546</v>
      </c>
      <c r="X1916" s="1008"/>
      <c r="Y1916" s="1008"/>
      <c r="Z1916" s="1008"/>
      <c r="AA1916" s="1008"/>
      <c r="AB1916" s="1008"/>
      <c r="AC1916" s="1008"/>
      <c r="AD1916" s="1008"/>
      <c r="AE1916" s="1008"/>
      <c r="AF1916" s="1008"/>
      <c r="AG1916" s="1008"/>
      <c r="AH1916" s="1008"/>
      <c r="AI1916" s="1008"/>
    </row>
    <row r="1917" spans="1:35">
      <c r="A1917" s="1008">
        <v>24588</v>
      </c>
      <c r="B1917" s="1008">
        <v>1237</v>
      </c>
      <c r="C1917" s="1008">
        <v>7</v>
      </c>
      <c r="D1917" s="1009">
        <v>23019999</v>
      </c>
      <c r="E1917" s="1009">
        <v>23010200</v>
      </c>
      <c r="F1917" s="1007" t="s">
        <v>2731</v>
      </c>
      <c r="G1917" s="1007">
        <v>8</v>
      </c>
      <c r="H1917" s="1010">
        <v>99999999</v>
      </c>
      <c r="I1917" s="1009">
        <v>9322220</v>
      </c>
      <c r="J1917" s="1007" t="s">
        <v>2749</v>
      </c>
      <c r="O1917" s="1007" t="s">
        <v>648</v>
      </c>
      <c r="P1917" s="1007" t="s">
        <v>648</v>
      </c>
      <c r="S1917" s="1008" t="s">
        <v>657</v>
      </c>
      <c r="T1917" s="1008" t="s">
        <v>654</v>
      </c>
      <c r="U1917" s="1008" t="s">
        <v>649</v>
      </c>
      <c r="V1917" s="1008" t="s">
        <v>648</v>
      </c>
      <c r="W1917" s="1008" t="s">
        <v>546</v>
      </c>
      <c r="X1917" s="1008" t="s">
        <v>670</v>
      </c>
      <c r="Y1917" s="1008" t="s">
        <v>670</v>
      </c>
      <c r="Z1917" s="1008"/>
      <c r="AA1917" s="1008"/>
      <c r="AB1917" s="1008" t="s">
        <v>670</v>
      </c>
      <c r="AC1917" s="1008"/>
      <c r="AD1917" s="1008"/>
      <c r="AE1917" s="1008"/>
      <c r="AF1917" s="1008" t="s">
        <v>670</v>
      </c>
      <c r="AG1917" s="1008"/>
      <c r="AH1917" s="1008"/>
      <c r="AI1917" s="1008"/>
    </row>
    <row r="1918" spans="1:35">
      <c r="A1918" s="1008">
        <v>24588</v>
      </c>
      <c r="B1918" s="1008">
        <v>1238</v>
      </c>
      <c r="C1918" s="1008">
        <v>7</v>
      </c>
      <c r="D1918" s="1009">
        <v>23019999</v>
      </c>
      <c r="E1918" s="1009">
        <v>23010200</v>
      </c>
      <c r="F1918" s="1007" t="s">
        <v>2731</v>
      </c>
      <c r="G1918" s="1007">
        <v>8</v>
      </c>
      <c r="H1918" s="1010">
        <v>99999999</v>
      </c>
      <c r="I1918" s="1009">
        <v>9322230</v>
      </c>
      <c r="J1918" s="1007" t="s">
        <v>2748</v>
      </c>
      <c r="O1918" s="1007" t="s">
        <v>648</v>
      </c>
      <c r="P1918" s="1007" t="s">
        <v>648</v>
      </c>
      <c r="S1918" s="1008" t="s">
        <v>657</v>
      </c>
      <c r="T1918" s="1008" t="s">
        <v>654</v>
      </c>
      <c r="U1918" s="1008" t="s">
        <v>649</v>
      </c>
      <c r="V1918" s="1008" t="s">
        <v>648</v>
      </c>
      <c r="W1918" s="1008" t="s">
        <v>546</v>
      </c>
      <c r="X1918" s="1008" t="s">
        <v>670</v>
      </c>
      <c r="Y1918" s="1008"/>
      <c r="Z1918" s="1008"/>
      <c r="AA1918" s="1008"/>
      <c r="AB1918" s="1008" t="s">
        <v>670</v>
      </c>
      <c r="AC1918" s="1008"/>
      <c r="AD1918" s="1008"/>
      <c r="AE1918" s="1008"/>
      <c r="AF1918" s="1008"/>
      <c r="AG1918" s="1008"/>
      <c r="AH1918" s="1008"/>
      <c r="AI1918" s="1008"/>
    </row>
    <row r="1919" spans="1:35">
      <c r="A1919" s="1008">
        <v>24588</v>
      </c>
      <c r="B1919" s="1008">
        <v>1239</v>
      </c>
      <c r="C1919" s="1008">
        <v>7</v>
      </c>
      <c r="D1919" s="1009">
        <v>23019999</v>
      </c>
      <c r="E1919" s="1009">
        <v>23010200</v>
      </c>
      <c r="F1919" s="1007" t="s">
        <v>2731</v>
      </c>
      <c r="G1919" s="1007">
        <v>8</v>
      </c>
      <c r="H1919" s="1010">
        <v>99999999</v>
      </c>
      <c r="I1919" s="1009">
        <v>9322240</v>
      </c>
      <c r="J1919" s="1007" t="s">
        <v>2747</v>
      </c>
      <c r="O1919" s="1007" t="s">
        <v>648</v>
      </c>
      <c r="P1919" s="1007" t="s">
        <v>648</v>
      </c>
      <c r="S1919" s="1008" t="s">
        <v>657</v>
      </c>
      <c r="T1919" s="1008" t="s">
        <v>654</v>
      </c>
      <c r="U1919" s="1008" t="s">
        <v>649</v>
      </c>
      <c r="V1919" s="1008" t="s">
        <v>648</v>
      </c>
      <c r="W1919" s="1008" t="s">
        <v>546</v>
      </c>
      <c r="X1919" s="1008" t="s">
        <v>670</v>
      </c>
      <c r="Y1919" s="1008"/>
      <c r="Z1919" s="1008"/>
      <c r="AA1919" s="1008"/>
      <c r="AB1919" s="1008" t="s">
        <v>670</v>
      </c>
      <c r="AC1919" s="1008"/>
      <c r="AD1919" s="1008"/>
      <c r="AE1919" s="1008"/>
      <c r="AF1919" s="1008"/>
      <c r="AG1919" s="1008"/>
      <c r="AH1919" s="1008"/>
      <c r="AI1919" s="1008"/>
    </row>
    <row r="1920" spans="1:35">
      <c r="A1920" s="1008">
        <v>24588</v>
      </c>
      <c r="B1920" s="1008">
        <v>1240</v>
      </c>
      <c r="C1920" s="1008">
        <v>7</v>
      </c>
      <c r="D1920" s="1009">
        <v>23019999</v>
      </c>
      <c r="E1920" s="1009">
        <v>23010200</v>
      </c>
      <c r="F1920" s="1007" t="s">
        <v>2731</v>
      </c>
      <c r="G1920" s="1007">
        <v>8</v>
      </c>
      <c r="H1920" s="1010">
        <v>99999999</v>
      </c>
      <c r="I1920" s="1009">
        <v>9322250</v>
      </c>
      <c r="J1920" s="1007" t="s">
        <v>2746</v>
      </c>
      <c r="O1920" s="1007" t="s">
        <v>648</v>
      </c>
      <c r="P1920" s="1007" t="s">
        <v>648</v>
      </c>
      <c r="S1920" s="1008" t="s">
        <v>657</v>
      </c>
      <c r="T1920" s="1008" t="s">
        <v>654</v>
      </c>
      <c r="U1920" s="1008" t="s">
        <v>649</v>
      </c>
      <c r="V1920" s="1008" t="s">
        <v>648</v>
      </c>
      <c r="W1920" s="1008" t="s">
        <v>546</v>
      </c>
      <c r="X1920" s="1008" t="s">
        <v>670</v>
      </c>
      <c r="Y1920" s="1008"/>
      <c r="Z1920" s="1008"/>
      <c r="AA1920" s="1008"/>
      <c r="AB1920" s="1008" t="s">
        <v>670</v>
      </c>
      <c r="AC1920" s="1008"/>
      <c r="AD1920" s="1008"/>
      <c r="AE1920" s="1008"/>
      <c r="AF1920" s="1008"/>
      <c r="AG1920" s="1008"/>
      <c r="AH1920" s="1008"/>
      <c r="AI1920" s="1008"/>
    </row>
    <row r="1921" spans="1:35">
      <c r="A1921" s="1008">
        <v>24588</v>
      </c>
      <c r="B1921" s="1008">
        <v>1241</v>
      </c>
      <c r="C1921" s="1008">
        <v>7</v>
      </c>
      <c r="D1921" s="1009">
        <v>23019999</v>
      </c>
      <c r="E1921" s="1009">
        <v>23010200</v>
      </c>
      <c r="F1921" s="1007" t="s">
        <v>2731</v>
      </c>
      <c r="G1921" s="1007">
        <v>8</v>
      </c>
      <c r="H1921" s="1010">
        <v>99999999</v>
      </c>
      <c r="I1921" s="1009">
        <v>9322260</v>
      </c>
      <c r="J1921" s="1007" t="s">
        <v>2745</v>
      </c>
      <c r="O1921" s="1007" t="s">
        <v>648</v>
      </c>
      <c r="P1921" s="1007" t="s">
        <v>648</v>
      </c>
      <c r="S1921" s="1008" t="s">
        <v>657</v>
      </c>
      <c r="T1921" s="1008" t="s">
        <v>654</v>
      </c>
      <c r="U1921" s="1008" t="s">
        <v>649</v>
      </c>
      <c r="V1921" s="1008" t="s">
        <v>648</v>
      </c>
      <c r="W1921" s="1008" t="s">
        <v>546</v>
      </c>
      <c r="X1921" s="1008" t="s">
        <v>670</v>
      </c>
      <c r="Y1921" s="1008"/>
      <c r="Z1921" s="1008"/>
      <c r="AA1921" s="1008"/>
      <c r="AB1921" s="1008" t="s">
        <v>670</v>
      </c>
      <c r="AC1921" s="1008"/>
      <c r="AD1921" s="1008"/>
      <c r="AE1921" s="1008"/>
      <c r="AF1921" s="1008"/>
      <c r="AG1921" s="1008"/>
      <c r="AH1921" s="1008"/>
      <c r="AI1921" s="1008"/>
    </row>
    <row r="1922" spans="1:35">
      <c r="A1922" s="1008">
        <v>24588</v>
      </c>
      <c r="B1922" s="1008">
        <v>1242</v>
      </c>
      <c r="C1922" s="1008">
        <v>7</v>
      </c>
      <c r="D1922" s="1009">
        <v>23019999</v>
      </c>
      <c r="E1922" s="1009">
        <v>23010200</v>
      </c>
      <c r="F1922" s="1007" t="s">
        <v>2731</v>
      </c>
      <c r="G1922" s="1007">
        <v>8</v>
      </c>
      <c r="H1922" s="1010">
        <v>99999999</v>
      </c>
      <c r="I1922" s="1009">
        <v>9322270</v>
      </c>
      <c r="J1922" s="1007" t="s">
        <v>2744</v>
      </c>
      <c r="O1922" s="1007" t="s">
        <v>648</v>
      </c>
      <c r="P1922" s="1007" t="s">
        <v>648</v>
      </c>
      <c r="S1922" s="1008" t="s">
        <v>657</v>
      </c>
      <c r="T1922" s="1008" t="s">
        <v>654</v>
      </c>
      <c r="U1922" s="1008" t="s">
        <v>649</v>
      </c>
      <c r="V1922" s="1008" t="s">
        <v>648</v>
      </c>
      <c r="W1922" s="1008" t="s">
        <v>546</v>
      </c>
      <c r="X1922" s="1008" t="s">
        <v>670</v>
      </c>
      <c r="Y1922" s="1008"/>
      <c r="Z1922" s="1008"/>
      <c r="AA1922" s="1008"/>
      <c r="AB1922" s="1008" t="s">
        <v>670</v>
      </c>
      <c r="AC1922" s="1008"/>
      <c r="AD1922" s="1008"/>
      <c r="AE1922" s="1008"/>
      <c r="AF1922" s="1008"/>
      <c r="AG1922" s="1008"/>
      <c r="AH1922" s="1008"/>
      <c r="AI1922" s="1008"/>
    </row>
    <row r="1923" spans="1:35">
      <c r="A1923" s="1008">
        <v>24588</v>
      </c>
      <c r="B1923" s="1008">
        <v>1243</v>
      </c>
      <c r="C1923" s="1008">
        <v>7</v>
      </c>
      <c r="D1923" s="1009">
        <v>23019999</v>
      </c>
      <c r="E1923" s="1009">
        <v>23010200</v>
      </c>
      <c r="F1923" s="1007" t="s">
        <v>2731</v>
      </c>
      <c r="G1923" s="1007">
        <v>8</v>
      </c>
      <c r="H1923" s="1010">
        <v>99999999</v>
      </c>
      <c r="I1923" s="1009">
        <v>9322280</v>
      </c>
      <c r="J1923" s="1007" t="s">
        <v>2743</v>
      </c>
      <c r="O1923" s="1007" t="s">
        <v>648</v>
      </c>
      <c r="P1923" s="1007" t="s">
        <v>648</v>
      </c>
      <c r="S1923" s="1008" t="s">
        <v>657</v>
      </c>
      <c r="T1923" s="1008" t="s">
        <v>654</v>
      </c>
      <c r="U1923" s="1008" t="s">
        <v>649</v>
      </c>
      <c r="V1923" s="1008" t="s">
        <v>648</v>
      </c>
      <c r="W1923" s="1008" t="s">
        <v>546</v>
      </c>
      <c r="X1923" s="1008" t="s">
        <v>670</v>
      </c>
      <c r="Y1923" s="1008"/>
      <c r="Z1923" s="1008"/>
      <c r="AA1923" s="1008"/>
      <c r="AB1923" s="1008" t="s">
        <v>670</v>
      </c>
      <c r="AC1923" s="1008"/>
      <c r="AD1923" s="1008"/>
      <c r="AE1923" s="1008"/>
      <c r="AF1923" s="1008"/>
      <c r="AG1923" s="1008"/>
      <c r="AH1923" s="1008"/>
      <c r="AI1923" s="1008"/>
    </row>
    <row r="1924" spans="1:35">
      <c r="A1924" s="1008">
        <v>24588</v>
      </c>
      <c r="B1924" s="1008">
        <v>1244</v>
      </c>
      <c r="C1924" s="1008">
        <v>7</v>
      </c>
      <c r="D1924" s="1009">
        <v>23019999</v>
      </c>
      <c r="E1924" s="1009">
        <v>23010200</v>
      </c>
      <c r="F1924" s="1007" t="s">
        <v>2731</v>
      </c>
      <c r="G1924" s="1007">
        <v>8</v>
      </c>
      <c r="H1924" s="1010">
        <v>99999999</v>
      </c>
      <c r="I1924" s="1009">
        <v>9322290</v>
      </c>
      <c r="J1924" s="1007" t="s">
        <v>2742</v>
      </c>
      <c r="O1924" s="1007" t="s">
        <v>648</v>
      </c>
      <c r="P1924" s="1007" t="s">
        <v>648</v>
      </c>
      <c r="S1924" s="1008" t="s">
        <v>657</v>
      </c>
      <c r="T1924" s="1008" t="s">
        <v>654</v>
      </c>
      <c r="U1924" s="1008" t="s">
        <v>649</v>
      </c>
      <c r="V1924" s="1008" t="s">
        <v>648</v>
      </c>
      <c r="W1924" s="1008" t="s">
        <v>546</v>
      </c>
      <c r="X1924" s="1008" t="s">
        <v>670</v>
      </c>
      <c r="Y1924" s="1008"/>
      <c r="Z1924" s="1008"/>
      <c r="AA1924" s="1008"/>
      <c r="AB1924" s="1008" t="s">
        <v>670</v>
      </c>
      <c r="AC1924" s="1008"/>
      <c r="AD1924" s="1008"/>
      <c r="AE1924" s="1008"/>
      <c r="AF1924" s="1008"/>
      <c r="AG1924" s="1008"/>
      <c r="AH1924" s="1008"/>
      <c r="AI1924" s="1008"/>
    </row>
    <row r="1925" spans="1:35">
      <c r="A1925" s="1008">
        <v>24588</v>
      </c>
      <c r="B1925" s="1008">
        <v>1245</v>
      </c>
      <c r="C1925" s="1008">
        <v>7</v>
      </c>
      <c r="D1925" s="1009">
        <v>23019999</v>
      </c>
      <c r="E1925" s="1009">
        <v>23010200</v>
      </c>
      <c r="F1925" s="1007" t="s">
        <v>2731</v>
      </c>
      <c r="G1925" s="1007">
        <v>8</v>
      </c>
      <c r="H1925" s="1010">
        <v>99999999</v>
      </c>
      <c r="I1925" s="1009">
        <v>9322300</v>
      </c>
      <c r="J1925" s="1007" t="s">
        <v>2741</v>
      </c>
      <c r="O1925" s="1007" t="s">
        <v>648</v>
      </c>
      <c r="P1925" s="1007" t="s">
        <v>648</v>
      </c>
      <c r="S1925" s="1008" t="s">
        <v>657</v>
      </c>
      <c r="T1925" s="1008" t="s">
        <v>654</v>
      </c>
      <c r="U1925" s="1008" t="s">
        <v>649</v>
      </c>
      <c r="V1925" s="1008" t="s">
        <v>648</v>
      </c>
      <c r="W1925" s="1008" t="s">
        <v>546</v>
      </c>
      <c r="X1925" s="1008" t="s">
        <v>670</v>
      </c>
      <c r="Y1925" s="1008"/>
      <c r="Z1925" s="1008"/>
      <c r="AA1925" s="1008"/>
      <c r="AB1925" s="1008" t="s">
        <v>670</v>
      </c>
      <c r="AC1925" s="1008"/>
      <c r="AD1925" s="1008"/>
      <c r="AE1925" s="1008"/>
      <c r="AF1925" s="1008"/>
      <c r="AG1925" s="1008"/>
      <c r="AH1925" s="1008"/>
      <c r="AI1925" s="1008"/>
    </row>
    <row r="1926" spans="1:35">
      <c r="A1926" s="1008">
        <v>24588</v>
      </c>
      <c r="B1926" s="1008">
        <v>520</v>
      </c>
      <c r="C1926" s="1008">
        <v>7</v>
      </c>
      <c r="D1926" s="1009">
        <v>23019999</v>
      </c>
      <c r="E1926" s="1009">
        <v>23010200</v>
      </c>
      <c r="F1926" s="1007" t="s">
        <v>2731</v>
      </c>
      <c r="G1926" s="1007">
        <v>8</v>
      </c>
      <c r="H1926" s="1010">
        <v>99999999</v>
      </c>
      <c r="I1926" s="1009">
        <v>9322400</v>
      </c>
      <c r="J1926" s="1007" t="s">
        <v>2740</v>
      </c>
      <c r="O1926" s="1007" t="s">
        <v>648</v>
      </c>
      <c r="P1926" s="1007" t="s">
        <v>648</v>
      </c>
      <c r="S1926" s="1008" t="s">
        <v>657</v>
      </c>
      <c r="T1926" s="1008" t="s">
        <v>654</v>
      </c>
      <c r="U1926" s="1008" t="s">
        <v>649</v>
      </c>
      <c r="V1926" s="1008" t="s">
        <v>648</v>
      </c>
      <c r="W1926" s="1008" t="s">
        <v>546</v>
      </c>
      <c r="X1926" s="1008" t="s">
        <v>670</v>
      </c>
      <c r="Y1926" s="1008" t="s">
        <v>670</v>
      </c>
      <c r="Z1926" s="1008"/>
      <c r="AA1926" s="1008"/>
      <c r="AB1926" s="1008" t="s">
        <v>670</v>
      </c>
      <c r="AC1926" s="1008"/>
      <c r="AD1926" s="1008"/>
      <c r="AE1926" s="1008"/>
      <c r="AF1926" s="1008" t="s">
        <v>670</v>
      </c>
      <c r="AG1926" s="1008"/>
      <c r="AH1926" s="1008"/>
      <c r="AI1926" s="1008"/>
    </row>
    <row r="1927" spans="1:35">
      <c r="A1927" s="1008">
        <v>24588</v>
      </c>
      <c r="B1927" s="1008">
        <v>1212</v>
      </c>
      <c r="C1927" s="1008">
        <v>7</v>
      </c>
      <c r="D1927" s="1009">
        <v>23019999</v>
      </c>
      <c r="E1927" s="1009">
        <v>23010200</v>
      </c>
      <c r="F1927" s="1007" t="s">
        <v>2731</v>
      </c>
      <c r="G1927" s="1007">
        <v>8</v>
      </c>
      <c r="H1927" s="1010">
        <v>99999999</v>
      </c>
      <c r="I1927" s="1009">
        <v>9322410</v>
      </c>
      <c r="J1927" s="1007" t="s">
        <v>2739</v>
      </c>
      <c r="O1927" s="1007" t="s">
        <v>648</v>
      </c>
      <c r="P1927" s="1007" t="s">
        <v>648</v>
      </c>
      <c r="S1927" s="1008" t="s">
        <v>657</v>
      </c>
      <c r="T1927" s="1008" t="s">
        <v>654</v>
      </c>
      <c r="U1927" s="1008" t="s">
        <v>649</v>
      </c>
      <c r="V1927" s="1008" t="s">
        <v>648</v>
      </c>
      <c r="W1927" s="1008" t="s">
        <v>546</v>
      </c>
      <c r="X1927" s="1008" t="s">
        <v>670</v>
      </c>
      <c r="Y1927" s="1008"/>
      <c r="Z1927" s="1008"/>
      <c r="AA1927" s="1008"/>
      <c r="AB1927" s="1008" t="s">
        <v>670</v>
      </c>
      <c r="AC1927" s="1008"/>
      <c r="AD1927" s="1008"/>
      <c r="AE1927" s="1008"/>
      <c r="AF1927" s="1008"/>
      <c r="AG1927" s="1008"/>
      <c r="AH1927" s="1008"/>
      <c r="AI1927" s="1008"/>
    </row>
    <row r="1928" spans="1:35">
      <c r="A1928" s="1008">
        <v>24588</v>
      </c>
      <c r="B1928" s="1008">
        <v>1213</v>
      </c>
      <c r="C1928" s="1008">
        <v>7</v>
      </c>
      <c r="D1928" s="1009">
        <v>23019999</v>
      </c>
      <c r="E1928" s="1009">
        <v>23010200</v>
      </c>
      <c r="F1928" s="1007" t="s">
        <v>2731</v>
      </c>
      <c r="G1928" s="1007">
        <v>8</v>
      </c>
      <c r="H1928" s="1010">
        <v>99999999</v>
      </c>
      <c r="I1928" s="1009">
        <v>9322420</v>
      </c>
      <c r="J1928" s="1007" t="s">
        <v>2738</v>
      </c>
      <c r="O1928" s="1007" t="s">
        <v>648</v>
      </c>
      <c r="P1928" s="1007" t="s">
        <v>648</v>
      </c>
      <c r="S1928" s="1008" t="s">
        <v>657</v>
      </c>
      <c r="T1928" s="1008" t="s">
        <v>654</v>
      </c>
      <c r="U1928" s="1008" t="s">
        <v>649</v>
      </c>
      <c r="V1928" s="1008" t="s">
        <v>648</v>
      </c>
      <c r="W1928" s="1008" t="s">
        <v>546</v>
      </c>
      <c r="X1928" s="1008" t="s">
        <v>670</v>
      </c>
      <c r="Y1928" s="1008"/>
      <c r="Z1928" s="1008"/>
      <c r="AA1928" s="1008"/>
      <c r="AB1928" s="1008" t="s">
        <v>670</v>
      </c>
      <c r="AC1928" s="1008"/>
      <c r="AD1928" s="1008"/>
      <c r="AE1928" s="1008"/>
      <c r="AF1928" s="1008"/>
      <c r="AG1928" s="1008"/>
      <c r="AH1928" s="1008"/>
      <c r="AI1928" s="1008"/>
    </row>
    <row r="1929" spans="1:35">
      <c r="A1929" s="1008">
        <v>24588</v>
      </c>
      <c r="B1929" s="1008">
        <v>1209</v>
      </c>
      <c r="C1929" s="1008">
        <v>7</v>
      </c>
      <c r="D1929" s="1009">
        <v>23019999</v>
      </c>
      <c r="E1929" s="1009">
        <v>23010200</v>
      </c>
      <c r="F1929" s="1007" t="s">
        <v>2731</v>
      </c>
      <c r="G1929" s="1007">
        <v>8</v>
      </c>
      <c r="H1929" s="1010">
        <v>99999999</v>
      </c>
      <c r="I1929" s="1009">
        <v>9322430</v>
      </c>
      <c r="J1929" s="1007" t="s">
        <v>2737</v>
      </c>
      <c r="O1929" s="1007" t="s">
        <v>648</v>
      </c>
      <c r="P1929" s="1007" t="s">
        <v>648</v>
      </c>
      <c r="S1929" s="1008" t="s">
        <v>657</v>
      </c>
      <c r="T1929" s="1008" t="s">
        <v>654</v>
      </c>
      <c r="U1929" s="1008" t="s">
        <v>649</v>
      </c>
      <c r="V1929" s="1008" t="s">
        <v>648</v>
      </c>
      <c r="W1929" s="1008" t="s">
        <v>546</v>
      </c>
      <c r="X1929" s="1008" t="s">
        <v>670</v>
      </c>
      <c r="Y1929" s="1008"/>
      <c r="Z1929" s="1008"/>
      <c r="AA1929" s="1008"/>
      <c r="AB1929" s="1008" t="s">
        <v>670</v>
      </c>
      <c r="AC1929" s="1008"/>
      <c r="AD1929" s="1008"/>
      <c r="AE1929" s="1008"/>
      <c r="AF1929" s="1008"/>
      <c r="AG1929" s="1008"/>
      <c r="AH1929" s="1008"/>
      <c r="AI1929" s="1008"/>
    </row>
    <row r="1930" spans="1:35">
      <c r="A1930" s="1008">
        <v>24588</v>
      </c>
      <c r="B1930" s="1008">
        <v>1214</v>
      </c>
      <c r="C1930" s="1008">
        <v>7</v>
      </c>
      <c r="D1930" s="1009">
        <v>23019999</v>
      </c>
      <c r="E1930" s="1009">
        <v>23010200</v>
      </c>
      <c r="F1930" s="1007" t="s">
        <v>2731</v>
      </c>
      <c r="G1930" s="1007">
        <v>8</v>
      </c>
      <c r="H1930" s="1010">
        <v>99999999</v>
      </c>
      <c r="I1930" s="1009">
        <v>9322440</v>
      </c>
      <c r="J1930" s="1007" t="s">
        <v>2736</v>
      </c>
      <c r="O1930" s="1007" t="s">
        <v>648</v>
      </c>
      <c r="P1930" s="1007" t="s">
        <v>648</v>
      </c>
      <c r="S1930" s="1008" t="s">
        <v>657</v>
      </c>
      <c r="T1930" s="1008" t="s">
        <v>654</v>
      </c>
      <c r="U1930" s="1008" t="s">
        <v>649</v>
      </c>
      <c r="V1930" s="1008" t="s">
        <v>648</v>
      </c>
      <c r="W1930" s="1008" t="s">
        <v>546</v>
      </c>
      <c r="X1930" s="1008" t="s">
        <v>670</v>
      </c>
      <c r="Y1930" s="1008"/>
      <c r="Z1930" s="1008"/>
      <c r="AA1930" s="1008"/>
      <c r="AB1930" s="1008" t="s">
        <v>670</v>
      </c>
      <c r="AC1930" s="1008"/>
      <c r="AD1930" s="1008"/>
      <c r="AE1930" s="1008"/>
      <c r="AF1930" s="1008"/>
      <c r="AG1930" s="1008"/>
      <c r="AH1930" s="1008"/>
      <c r="AI1930" s="1008"/>
    </row>
    <row r="1931" spans="1:35">
      <c r="A1931" s="1008">
        <v>24588</v>
      </c>
      <c r="B1931" s="1008">
        <v>1215</v>
      </c>
      <c r="C1931" s="1008">
        <v>7</v>
      </c>
      <c r="D1931" s="1009">
        <v>23019999</v>
      </c>
      <c r="E1931" s="1009">
        <v>23010200</v>
      </c>
      <c r="F1931" s="1007" t="s">
        <v>2731</v>
      </c>
      <c r="G1931" s="1007">
        <v>8</v>
      </c>
      <c r="H1931" s="1010">
        <v>99999999</v>
      </c>
      <c r="I1931" s="1009">
        <v>9322450</v>
      </c>
      <c r="J1931" s="1007" t="s">
        <v>2735</v>
      </c>
      <c r="O1931" s="1007" t="s">
        <v>648</v>
      </c>
      <c r="P1931" s="1007" t="s">
        <v>648</v>
      </c>
      <c r="S1931" s="1008" t="s">
        <v>657</v>
      </c>
      <c r="T1931" s="1008" t="s">
        <v>654</v>
      </c>
      <c r="U1931" s="1008" t="s">
        <v>649</v>
      </c>
      <c r="V1931" s="1008" t="s">
        <v>648</v>
      </c>
      <c r="W1931" s="1008" t="s">
        <v>546</v>
      </c>
      <c r="X1931" s="1008" t="s">
        <v>670</v>
      </c>
      <c r="Y1931" s="1008"/>
      <c r="Z1931" s="1008"/>
      <c r="AA1931" s="1008"/>
      <c r="AB1931" s="1008" t="s">
        <v>670</v>
      </c>
      <c r="AC1931" s="1008"/>
      <c r="AD1931" s="1008"/>
      <c r="AE1931" s="1008"/>
      <c r="AF1931" s="1008"/>
      <c r="AG1931" s="1008"/>
      <c r="AH1931" s="1008"/>
      <c r="AI1931" s="1008"/>
    </row>
    <row r="1932" spans="1:35">
      <c r="A1932" s="1008">
        <v>24588</v>
      </c>
      <c r="B1932" s="1008">
        <v>1216</v>
      </c>
      <c r="C1932" s="1008">
        <v>7</v>
      </c>
      <c r="D1932" s="1009">
        <v>23019999</v>
      </c>
      <c r="E1932" s="1009">
        <v>23010200</v>
      </c>
      <c r="F1932" s="1007" t="s">
        <v>2731</v>
      </c>
      <c r="G1932" s="1007">
        <v>8</v>
      </c>
      <c r="H1932" s="1010">
        <v>99999999</v>
      </c>
      <c r="I1932" s="1009">
        <v>9322460</v>
      </c>
      <c r="J1932" s="1007" t="s">
        <v>2734</v>
      </c>
      <c r="O1932" s="1007" t="s">
        <v>648</v>
      </c>
      <c r="P1932" s="1007" t="s">
        <v>648</v>
      </c>
      <c r="S1932" s="1008" t="s">
        <v>657</v>
      </c>
      <c r="T1932" s="1008" t="s">
        <v>654</v>
      </c>
      <c r="U1932" s="1008" t="s">
        <v>649</v>
      </c>
      <c r="V1932" s="1008" t="s">
        <v>648</v>
      </c>
      <c r="W1932" s="1008" t="s">
        <v>546</v>
      </c>
      <c r="X1932" s="1008" t="s">
        <v>670</v>
      </c>
      <c r="Y1932" s="1008"/>
      <c r="Z1932" s="1008"/>
      <c r="AA1932" s="1008"/>
      <c r="AB1932" s="1008" t="s">
        <v>670</v>
      </c>
      <c r="AC1932" s="1008"/>
      <c r="AD1932" s="1008"/>
      <c r="AE1932" s="1008"/>
      <c r="AF1932" s="1008"/>
      <c r="AG1932" s="1008"/>
      <c r="AH1932" s="1008"/>
      <c r="AI1932" s="1008"/>
    </row>
    <row r="1933" spans="1:35">
      <c r="A1933" s="1008">
        <v>24588</v>
      </c>
      <c r="B1933" s="1008">
        <v>1217</v>
      </c>
      <c r="C1933" s="1008">
        <v>7</v>
      </c>
      <c r="D1933" s="1009">
        <v>23019999</v>
      </c>
      <c r="E1933" s="1009">
        <v>23010200</v>
      </c>
      <c r="F1933" s="1007" t="s">
        <v>2731</v>
      </c>
      <c r="G1933" s="1007">
        <v>8</v>
      </c>
      <c r="H1933" s="1010">
        <v>99999999</v>
      </c>
      <c r="I1933" s="1009">
        <v>9322470</v>
      </c>
      <c r="J1933" s="1007" t="s">
        <v>2733</v>
      </c>
      <c r="O1933" s="1007" t="s">
        <v>648</v>
      </c>
      <c r="P1933" s="1007" t="s">
        <v>648</v>
      </c>
      <c r="S1933" s="1008" t="s">
        <v>657</v>
      </c>
      <c r="T1933" s="1008" t="s">
        <v>654</v>
      </c>
      <c r="U1933" s="1008" t="s">
        <v>649</v>
      </c>
      <c r="V1933" s="1008" t="s">
        <v>648</v>
      </c>
      <c r="W1933" s="1008" t="s">
        <v>546</v>
      </c>
      <c r="X1933" s="1008" t="s">
        <v>670</v>
      </c>
      <c r="Y1933" s="1008"/>
      <c r="Z1933" s="1008"/>
      <c r="AA1933" s="1008"/>
      <c r="AB1933" s="1008" t="s">
        <v>670</v>
      </c>
      <c r="AC1933" s="1008"/>
      <c r="AD1933" s="1008"/>
      <c r="AE1933" s="1008"/>
      <c r="AF1933" s="1008"/>
      <c r="AG1933" s="1008"/>
      <c r="AH1933" s="1008"/>
      <c r="AI1933" s="1008"/>
    </row>
    <row r="1934" spans="1:35">
      <c r="A1934" s="1008">
        <v>24588</v>
      </c>
      <c r="B1934" s="1008">
        <v>1218</v>
      </c>
      <c r="C1934" s="1008">
        <v>7</v>
      </c>
      <c r="D1934" s="1009">
        <v>23019999</v>
      </c>
      <c r="E1934" s="1009">
        <v>23010200</v>
      </c>
      <c r="F1934" s="1007" t="s">
        <v>2731</v>
      </c>
      <c r="G1934" s="1007">
        <v>8</v>
      </c>
      <c r="H1934" s="1010">
        <v>99999999</v>
      </c>
      <c r="I1934" s="1009">
        <v>9322480</v>
      </c>
      <c r="J1934" s="1007" t="s">
        <v>2732</v>
      </c>
      <c r="O1934" s="1007" t="s">
        <v>648</v>
      </c>
      <c r="P1934" s="1007" t="s">
        <v>648</v>
      </c>
      <c r="S1934" s="1008" t="s">
        <v>657</v>
      </c>
      <c r="T1934" s="1008" t="s">
        <v>654</v>
      </c>
      <c r="U1934" s="1008" t="s">
        <v>649</v>
      </c>
      <c r="V1934" s="1008" t="s">
        <v>648</v>
      </c>
      <c r="W1934" s="1008" t="s">
        <v>546</v>
      </c>
      <c r="X1934" s="1008" t="s">
        <v>670</v>
      </c>
      <c r="Y1934" s="1008"/>
      <c r="Z1934" s="1008"/>
      <c r="AA1934" s="1008"/>
      <c r="AB1934" s="1008" t="s">
        <v>670</v>
      </c>
      <c r="AC1934" s="1008"/>
      <c r="AD1934" s="1008"/>
      <c r="AE1934" s="1008"/>
      <c r="AF1934" s="1008"/>
      <c r="AG1934" s="1008"/>
      <c r="AH1934" s="1008"/>
      <c r="AI1934" s="1008"/>
    </row>
    <row r="1935" spans="1:35">
      <c r="A1935" s="1008">
        <v>24588</v>
      </c>
      <c r="B1935" s="1008">
        <v>1915</v>
      </c>
      <c r="C1935" s="1008">
        <v>7</v>
      </c>
      <c r="D1935" s="1009">
        <v>23019999</v>
      </c>
      <c r="E1935" s="1009">
        <v>23010200</v>
      </c>
      <c r="F1935" s="1007" t="s">
        <v>2731</v>
      </c>
      <c r="G1935" s="1007">
        <v>7</v>
      </c>
      <c r="H1935" s="1010">
        <v>99999999</v>
      </c>
      <c r="I1935" s="1009">
        <v>23010200</v>
      </c>
      <c r="J1935" s="1007" t="s">
        <v>2731</v>
      </c>
      <c r="O1935" s="1007" t="s">
        <v>648</v>
      </c>
      <c r="P1935" s="1007" t="s">
        <v>648</v>
      </c>
      <c r="S1935" s="1008" t="s">
        <v>657</v>
      </c>
      <c r="T1935" s="1008" t="s">
        <v>654</v>
      </c>
      <c r="U1935" s="1008" t="s">
        <v>649</v>
      </c>
      <c r="V1935" s="1008" t="s">
        <v>648</v>
      </c>
      <c r="W1935" s="1008" t="s">
        <v>546</v>
      </c>
      <c r="X1935" s="1008" t="s">
        <v>670</v>
      </c>
      <c r="Y1935" s="1008" t="s">
        <v>670</v>
      </c>
      <c r="Z1935" s="1008" t="s">
        <v>670</v>
      </c>
      <c r="AA1935" s="1008" t="s">
        <v>670</v>
      </c>
      <c r="AB1935" s="1008" t="s">
        <v>670</v>
      </c>
      <c r="AC1935" s="1008" t="s">
        <v>670</v>
      </c>
      <c r="AD1935" s="1008" t="s">
        <v>670</v>
      </c>
      <c r="AE1935" s="1008"/>
      <c r="AF1935" s="1008" t="s">
        <v>670</v>
      </c>
      <c r="AG1935" s="1008"/>
      <c r="AH1935" s="1008"/>
      <c r="AI1935" s="1008"/>
    </row>
    <row r="1936" spans="1:35">
      <c r="A1936" s="1008">
        <v>24589</v>
      </c>
      <c r="B1936" s="1008">
        <v>1246</v>
      </c>
      <c r="C1936" s="1008">
        <v>7</v>
      </c>
      <c r="D1936" s="1009">
        <v>23019999</v>
      </c>
      <c r="E1936" s="1009">
        <v>23010300</v>
      </c>
      <c r="F1936" s="1007" t="s">
        <v>2712</v>
      </c>
      <c r="G1936" s="1007">
        <v>8</v>
      </c>
      <c r="H1936" s="1010">
        <v>99999999</v>
      </c>
      <c r="I1936" s="1009">
        <v>9322310</v>
      </c>
      <c r="J1936" s="1007" t="s">
        <v>2730</v>
      </c>
      <c r="O1936" s="1007" t="s">
        <v>648</v>
      </c>
      <c r="P1936" s="1007" t="s">
        <v>648</v>
      </c>
      <c r="S1936" s="1008" t="s">
        <v>657</v>
      </c>
      <c r="T1936" s="1008" t="s">
        <v>654</v>
      </c>
      <c r="U1936" s="1008" t="s">
        <v>649</v>
      </c>
      <c r="V1936" s="1008" t="s">
        <v>648</v>
      </c>
      <c r="W1936" s="1008" t="s">
        <v>546</v>
      </c>
      <c r="X1936" s="1008" t="s">
        <v>670</v>
      </c>
      <c r="Y1936" s="1008" t="s">
        <v>670</v>
      </c>
      <c r="Z1936" s="1008" t="s">
        <v>670</v>
      </c>
      <c r="AA1936" s="1008"/>
      <c r="AB1936" s="1008" t="s">
        <v>670</v>
      </c>
      <c r="AC1936" s="1008"/>
      <c r="AD1936" s="1008"/>
      <c r="AE1936" s="1008"/>
      <c r="AF1936" s="1008" t="s">
        <v>670</v>
      </c>
      <c r="AG1936" s="1008"/>
      <c r="AH1936" s="1008"/>
      <c r="AI1936" s="1008"/>
    </row>
    <row r="1937" spans="1:35">
      <c r="A1937" s="1008">
        <v>24589</v>
      </c>
      <c r="B1937" s="1008">
        <v>1247</v>
      </c>
      <c r="C1937" s="1008">
        <v>7</v>
      </c>
      <c r="D1937" s="1009">
        <v>23019999</v>
      </c>
      <c r="E1937" s="1009">
        <v>23010300</v>
      </c>
      <c r="F1937" s="1007" t="s">
        <v>2712</v>
      </c>
      <c r="G1937" s="1007">
        <v>8</v>
      </c>
      <c r="H1937" s="1010">
        <v>99999999</v>
      </c>
      <c r="I1937" s="1009">
        <v>9322320</v>
      </c>
      <c r="J1937" s="1007" t="s">
        <v>2729</v>
      </c>
      <c r="O1937" s="1007" t="s">
        <v>648</v>
      </c>
      <c r="P1937" s="1007" t="s">
        <v>648</v>
      </c>
      <c r="S1937" s="1008" t="s">
        <v>657</v>
      </c>
      <c r="T1937" s="1008" t="s">
        <v>654</v>
      </c>
      <c r="U1937" s="1008" t="s">
        <v>649</v>
      </c>
      <c r="V1937" s="1008" t="s">
        <v>648</v>
      </c>
      <c r="W1937" s="1008" t="s">
        <v>546</v>
      </c>
      <c r="X1937" s="1008" t="s">
        <v>670</v>
      </c>
      <c r="Y1937" s="1008"/>
      <c r="Z1937" s="1008"/>
      <c r="AA1937" s="1008"/>
      <c r="AB1937" s="1008" t="s">
        <v>670</v>
      </c>
      <c r="AC1937" s="1008"/>
      <c r="AD1937" s="1008"/>
      <c r="AE1937" s="1008"/>
      <c r="AF1937" s="1008"/>
      <c r="AG1937" s="1008"/>
      <c r="AH1937" s="1008"/>
      <c r="AI1937" s="1008"/>
    </row>
    <row r="1938" spans="1:35">
      <c r="A1938" s="1008">
        <v>24589</v>
      </c>
      <c r="B1938" s="1008">
        <v>1248</v>
      </c>
      <c r="C1938" s="1008">
        <v>7</v>
      </c>
      <c r="D1938" s="1009">
        <v>23019999</v>
      </c>
      <c r="E1938" s="1009">
        <v>23010300</v>
      </c>
      <c r="F1938" s="1007" t="s">
        <v>2712</v>
      </c>
      <c r="G1938" s="1007">
        <v>8</v>
      </c>
      <c r="H1938" s="1010">
        <v>99999999</v>
      </c>
      <c r="I1938" s="1009">
        <v>9322330</v>
      </c>
      <c r="J1938" s="1007" t="s">
        <v>2728</v>
      </c>
      <c r="O1938" s="1007" t="s">
        <v>648</v>
      </c>
      <c r="P1938" s="1007" t="s">
        <v>648</v>
      </c>
      <c r="S1938" s="1008" t="s">
        <v>657</v>
      </c>
      <c r="T1938" s="1008" t="s">
        <v>654</v>
      </c>
      <c r="U1938" s="1008" t="s">
        <v>649</v>
      </c>
      <c r="V1938" s="1008" t="s">
        <v>648</v>
      </c>
      <c r="W1938" s="1008" t="s">
        <v>546</v>
      </c>
      <c r="X1938" s="1008" t="s">
        <v>670</v>
      </c>
      <c r="Y1938" s="1008"/>
      <c r="Z1938" s="1008"/>
      <c r="AA1938" s="1008"/>
      <c r="AB1938" s="1008" t="s">
        <v>670</v>
      </c>
      <c r="AC1938" s="1008"/>
      <c r="AD1938" s="1008"/>
      <c r="AE1938" s="1008"/>
      <c r="AF1938" s="1008"/>
      <c r="AG1938" s="1008"/>
      <c r="AH1938" s="1008"/>
      <c r="AI1938" s="1008"/>
    </row>
    <row r="1939" spans="1:35">
      <c r="A1939" s="1008">
        <v>24589</v>
      </c>
      <c r="B1939" s="1008">
        <v>1249</v>
      </c>
      <c r="C1939" s="1008">
        <v>7</v>
      </c>
      <c r="D1939" s="1009">
        <v>23019999</v>
      </c>
      <c r="E1939" s="1009">
        <v>23010300</v>
      </c>
      <c r="F1939" s="1007" t="s">
        <v>2712</v>
      </c>
      <c r="G1939" s="1007">
        <v>8</v>
      </c>
      <c r="H1939" s="1010">
        <v>99999999</v>
      </c>
      <c r="I1939" s="1009">
        <v>9322340</v>
      </c>
      <c r="J1939" s="1007" t="s">
        <v>2727</v>
      </c>
      <c r="O1939" s="1007" t="s">
        <v>648</v>
      </c>
      <c r="P1939" s="1007" t="s">
        <v>648</v>
      </c>
      <c r="S1939" s="1008" t="s">
        <v>657</v>
      </c>
      <c r="T1939" s="1008" t="s">
        <v>654</v>
      </c>
      <c r="U1939" s="1008" t="s">
        <v>649</v>
      </c>
      <c r="V1939" s="1008" t="s">
        <v>648</v>
      </c>
      <c r="W1939" s="1008" t="s">
        <v>546</v>
      </c>
      <c r="X1939" s="1008" t="s">
        <v>670</v>
      </c>
      <c r="Y1939" s="1008"/>
      <c r="Z1939" s="1008"/>
      <c r="AA1939" s="1008"/>
      <c r="AB1939" s="1008" t="s">
        <v>670</v>
      </c>
      <c r="AC1939" s="1008"/>
      <c r="AD1939" s="1008"/>
      <c r="AE1939" s="1008"/>
      <c r="AF1939" s="1008"/>
      <c r="AG1939" s="1008"/>
      <c r="AH1939" s="1008"/>
      <c r="AI1939" s="1008"/>
    </row>
    <row r="1940" spans="1:35">
      <c r="A1940" s="1008">
        <v>24589</v>
      </c>
      <c r="B1940" s="1008">
        <v>1250</v>
      </c>
      <c r="C1940" s="1008">
        <v>7</v>
      </c>
      <c r="D1940" s="1009">
        <v>23019999</v>
      </c>
      <c r="E1940" s="1009">
        <v>23010300</v>
      </c>
      <c r="F1940" s="1007" t="s">
        <v>2712</v>
      </c>
      <c r="G1940" s="1007">
        <v>8</v>
      </c>
      <c r="H1940" s="1010">
        <v>99999999</v>
      </c>
      <c r="I1940" s="1009">
        <v>9322350</v>
      </c>
      <c r="J1940" s="1007" t="s">
        <v>2726</v>
      </c>
      <c r="O1940" s="1007" t="s">
        <v>648</v>
      </c>
      <c r="P1940" s="1007" t="s">
        <v>648</v>
      </c>
      <c r="S1940" s="1008" t="s">
        <v>657</v>
      </c>
      <c r="T1940" s="1008" t="s">
        <v>654</v>
      </c>
      <c r="U1940" s="1008" t="s">
        <v>649</v>
      </c>
      <c r="V1940" s="1008" t="s">
        <v>648</v>
      </c>
      <c r="W1940" s="1008" t="s">
        <v>546</v>
      </c>
      <c r="X1940" s="1008" t="s">
        <v>670</v>
      </c>
      <c r="Y1940" s="1008"/>
      <c r="Z1940" s="1008"/>
      <c r="AA1940" s="1008"/>
      <c r="AB1940" s="1008" t="s">
        <v>670</v>
      </c>
      <c r="AC1940" s="1008"/>
      <c r="AD1940" s="1008"/>
      <c r="AE1940" s="1008"/>
      <c r="AF1940" s="1008"/>
      <c r="AG1940" s="1008"/>
      <c r="AH1940" s="1008"/>
      <c r="AI1940" s="1008"/>
    </row>
    <row r="1941" spans="1:35">
      <c r="A1941" s="1008">
        <v>24589</v>
      </c>
      <c r="B1941" s="1008">
        <v>1251</v>
      </c>
      <c r="C1941" s="1008">
        <v>7</v>
      </c>
      <c r="D1941" s="1009">
        <v>23019999</v>
      </c>
      <c r="E1941" s="1009">
        <v>23010300</v>
      </c>
      <c r="F1941" s="1007" t="s">
        <v>2712</v>
      </c>
      <c r="G1941" s="1007">
        <v>8</v>
      </c>
      <c r="H1941" s="1010">
        <v>99999999</v>
      </c>
      <c r="I1941" s="1009">
        <v>9322360</v>
      </c>
      <c r="J1941" s="1007" t="s">
        <v>2725</v>
      </c>
      <c r="O1941" s="1007" t="s">
        <v>648</v>
      </c>
      <c r="P1941" s="1007" t="s">
        <v>648</v>
      </c>
      <c r="S1941" s="1008" t="s">
        <v>657</v>
      </c>
      <c r="T1941" s="1008" t="s">
        <v>654</v>
      </c>
      <c r="U1941" s="1008" t="s">
        <v>649</v>
      </c>
      <c r="V1941" s="1008" t="s">
        <v>648</v>
      </c>
      <c r="W1941" s="1008" t="s">
        <v>546</v>
      </c>
      <c r="X1941" s="1008" t="s">
        <v>670</v>
      </c>
      <c r="Y1941" s="1008"/>
      <c r="Z1941" s="1008"/>
      <c r="AA1941" s="1008"/>
      <c r="AB1941" s="1008" t="s">
        <v>670</v>
      </c>
      <c r="AC1941" s="1008"/>
      <c r="AD1941" s="1008"/>
      <c r="AE1941" s="1008"/>
      <c r="AF1941" s="1008"/>
      <c r="AG1941" s="1008"/>
      <c r="AH1941" s="1008"/>
      <c r="AI1941" s="1008"/>
    </row>
    <row r="1942" spans="1:35">
      <c r="A1942" s="1008">
        <v>24589</v>
      </c>
      <c r="B1942" s="1008">
        <v>1252</v>
      </c>
      <c r="C1942" s="1008">
        <v>7</v>
      </c>
      <c r="D1942" s="1009">
        <v>23019999</v>
      </c>
      <c r="E1942" s="1009">
        <v>23010300</v>
      </c>
      <c r="F1942" s="1007" t="s">
        <v>2712</v>
      </c>
      <c r="G1942" s="1007">
        <v>8</v>
      </c>
      <c r="H1942" s="1010">
        <v>99999999</v>
      </c>
      <c r="I1942" s="1009">
        <v>9322370</v>
      </c>
      <c r="J1942" s="1007" t="s">
        <v>2724</v>
      </c>
      <c r="O1942" s="1007" t="s">
        <v>648</v>
      </c>
      <c r="P1942" s="1007" t="s">
        <v>648</v>
      </c>
      <c r="S1942" s="1008" t="s">
        <v>657</v>
      </c>
      <c r="T1942" s="1008" t="s">
        <v>654</v>
      </c>
      <c r="U1942" s="1008" t="s">
        <v>649</v>
      </c>
      <c r="V1942" s="1008" t="s">
        <v>648</v>
      </c>
      <c r="W1942" s="1008" t="s">
        <v>546</v>
      </c>
      <c r="X1942" s="1008" t="s">
        <v>670</v>
      </c>
      <c r="Y1942" s="1008"/>
      <c r="Z1942" s="1008"/>
      <c r="AA1942" s="1008"/>
      <c r="AB1942" s="1008" t="s">
        <v>670</v>
      </c>
      <c r="AC1942" s="1008"/>
      <c r="AD1942" s="1008"/>
      <c r="AE1942" s="1008"/>
      <c r="AF1942" s="1008"/>
      <c r="AG1942" s="1008"/>
      <c r="AH1942" s="1008"/>
      <c r="AI1942" s="1008"/>
    </row>
    <row r="1943" spans="1:35">
      <c r="A1943" s="1008">
        <v>24589</v>
      </c>
      <c r="B1943" s="1008">
        <v>1253</v>
      </c>
      <c r="C1943" s="1008">
        <v>7</v>
      </c>
      <c r="D1943" s="1009">
        <v>23019999</v>
      </c>
      <c r="E1943" s="1009">
        <v>23010300</v>
      </c>
      <c r="F1943" s="1007" t="s">
        <v>2712</v>
      </c>
      <c r="G1943" s="1007">
        <v>8</v>
      </c>
      <c r="H1943" s="1010">
        <v>99999999</v>
      </c>
      <c r="I1943" s="1009">
        <v>9322380</v>
      </c>
      <c r="J1943" s="1007" t="s">
        <v>2723</v>
      </c>
      <c r="O1943" s="1007" t="s">
        <v>648</v>
      </c>
      <c r="P1943" s="1007" t="s">
        <v>648</v>
      </c>
      <c r="S1943" s="1008" t="s">
        <v>657</v>
      </c>
      <c r="T1943" s="1008" t="s">
        <v>654</v>
      </c>
      <c r="U1943" s="1008" t="s">
        <v>649</v>
      </c>
      <c r="V1943" s="1008" t="s">
        <v>648</v>
      </c>
      <c r="W1943" s="1008" t="s">
        <v>546</v>
      </c>
      <c r="X1943" s="1008" t="s">
        <v>670</v>
      </c>
      <c r="Y1943" s="1008"/>
      <c r="Z1943" s="1008"/>
      <c r="AA1943" s="1008"/>
      <c r="AB1943" s="1008" t="s">
        <v>670</v>
      </c>
      <c r="AC1943" s="1008"/>
      <c r="AD1943" s="1008"/>
      <c r="AE1943" s="1008"/>
      <c r="AF1943" s="1008"/>
      <c r="AG1943" s="1008"/>
      <c r="AH1943" s="1008"/>
      <c r="AI1943" s="1008"/>
    </row>
    <row r="1944" spans="1:35">
      <c r="A1944" s="1008">
        <v>24589</v>
      </c>
      <c r="B1944" s="1008">
        <v>1254</v>
      </c>
      <c r="C1944" s="1008">
        <v>7</v>
      </c>
      <c r="D1944" s="1009">
        <v>23019999</v>
      </c>
      <c r="E1944" s="1009">
        <v>23010300</v>
      </c>
      <c r="F1944" s="1007" t="s">
        <v>2712</v>
      </c>
      <c r="G1944" s="1007">
        <v>8</v>
      </c>
      <c r="H1944" s="1010">
        <v>99999999</v>
      </c>
      <c r="I1944" s="1009">
        <v>9322390</v>
      </c>
      <c r="J1944" s="1007" t="s">
        <v>2722</v>
      </c>
      <c r="O1944" s="1007" t="s">
        <v>648</v>
      </c>
      <c r="P1944" s="1007" t="s">
        <v>648</v>
      </c>
      <c r="S1944" s="1008" t="s">
        <v>657</v>
      </c>
      <c r="T1944" s="1008" t="s">
        <v>654</v>
      </c>
      <c r="U1944" s="1008" t="s">
        <v>649</v>
      </c>
      <c r="V1944" s="1008" t="s">
        <v>648</v>
      </c>
      <c r="W1944" s="1008" t="s">
        <v>546</v>
      </c>
      <c r="X1944" s="1008" t="s">
        <v>670</v>
      </c>
      <c r="Y1944" s="1008"/>
      <c r="Z1944" s="1008"/>
      <c r="AA1944" s="1008"/>
      <c r="AB1944" s="1008" t="s">
        <v>670</v>
      </c>
      <c r="AC1944" s="1008"/>
      <c r="AD1944" s="1008"/>
      <c r="AE1944" s="1008"/>
      <c r="AF1944" s="1008"/>
      <c r="AG1944" s="1008"/>
      <c r="AH1944" s="1008"/>
      <c r="AI1944" s="1008"/>
    </row>
    <row r="1945" spans="1:35">
      <c r="A1945" s="1008">
        <v>24589</v>
      </c>
      <c r="B1945" s="1008">
        <v>736</v>
      </c>
      <c r="C1945" s="1008">
        <v>7</v>
      </c>
      <c r="D1945" s="1009">
        <v>23019999</v>
      </c>
      <c r="E1945" s="1009">
        <v>23010300</v>
      </c>
      <c r="F1945" s="1007" t="s">
        <v>2712</v>
      </c>
      <c r="G1945" s="1007">
        <v>8</v>
      </c>
      <c r="H1945" s="1010">
        <v>99999999</v>
      </c>
      <c r="I1945" s="1009">
        <v>9322500</v>
      </c>
      <c r="J1945" s="1007" t="s">
        <v>2721</v>
      </c>
      <c r="O1945" s="1007" t="s">
        <v>648</v>
      </c>
      <c r="P1945" s="1007" t="s">
        <v>648</v>
      </c>
      <c r="S1945" s="1008" t="s">
        <v>657</v>
      </c>
      <c r="T1945" s="1008" t="s">
        <v>654</v>
      </c>
      <c r="U1945" s="1008" t="s">
        <v>649</v>
      </c>
      <c r="V1945" s="1008" t="s">
        <v>648</v>
      </c>
      <c r="W1945" s="1008" t="s">
        <v>546</v>
      </c>
      <c r="X1945" s="1008" t="s">
        <v>670</v>
      </c>
      <c r="Y1945" s="1008" t="s">
        <v>670</v>
      </c>
      <c r="Z1945" s="1008" t="s">
        <v>670</v>
      </c>
      <c r="AA1945" s="1008"/>
      <c r="AB1945" s="1008" t="s">
        <v>670</v>
      </c>
      <c r="AC1945" s="1008"/>
      <c r="AD1945" s="1008"/>
      <c r="AE1945" s="1008"/>
      <c r="AF1945" s="1008" t="s">
        <v>670</v>
      </c>
      <c r="AG1945" s="1008"/>
      <c r="AH1945" s="1008"/>
      <c r="AI1945" s="1008"/>
    </row>
    <row r="1946" spans="1:35">
      <c r="A1946" s="1008">
        <v>24589</v>
      </c>
      <c r="B1946" s="1008">
        <v>1219</v>
      </c>
      <c r="C1946" s="1008">
        <v>7</v>
      </c>
      <c r="D1946" s="1009">
        <v>23019999</v>
      </c>
      <c r="E1946" s="1009">
        <v>23010300</v>
      </c>
      <c r="F1946" s="1007" t="s">
        <v>2712</v>
      </c>
      <c r="G1946" s="1007">
        <v>8</v>
      </c>
      <c r="H1946" s="1010">
        <v>99999999</v>
      </c>
      <c r="I1946" s="1009">
        <v>9322510</v>
      </c>
      <c r="J1946" s="1007" t="s">
        <v>2720</v>
      </c>
      <c r="O1946" s="1007" t="s">
        <v>648</v>
      </c>
      <c r="P1946" s="1007" t="s">
        <v>648</v>
      </c>
      <c r="S1946" s="1008" t="s">
        <v>657</v>
      </c>
      <c r="T1946" s="1008" t="s">
        <v>654</v>
      </c>
      <c r="U1946" s="1008" t="s">
        <v>649</v>
      </c>
      <c r="V1946" s="1008" t="s">
        <v>648</v>
      </c>
      <c r="W1946" s="1008" t="s">
        <v>546</v>
      </c>
      <c r="X1946" s="1008" t="s">
        <v>670</v>
      </c>
      <c r="Y1946" s="1008"/>
      <c r="Z1946" s="1008"/>
      <c r="AA1946" s="1008"/>
      <c r="AB1946" s="1008" t="s">
        <v>670</v>
      </c>
      <c r="AC1946" s="1008"/>
      <c r="AD1946" s="1008"/>
      <c r="AE1946" s="1008"/>
      <c r="AF1946" s="1008"/>
      <c r="AG1946" s="1008"/>
      <c r="AH1946" s="1008"/>
      <c r="AI1946" s="1008"/>
    </row>
    <row r="1947" spans="1:35">
      <c r="A1947" s="1008">
        <v>24589</v>
      </c>
      <c r="B1947" s="1008">
        <v>1220</v>
      </c>
      <c r="C1947" s="1008">
        <v>7</v>
      </c>
      <c r="D1947" s="1009">
        <v>23019999</v>
      </c>
      <c r="E1947" s="1009">
        <v>23010300</v>
      </c>
      <c r="F1947" s="1007" t="s">
        <v>2712</v>
      </c>
      <c r="G1947" s="1007">
        <v>8</v>
      </c>
      <c r="H1947" s="1010">
        <v>99999999</v>
      </c>
      <c r="I1947" s="1009">
        <v>9322520</v>
      </c>
      <c r="J1947" s="1007" t="s">
        <v>2719</v>
      </c>
      <c r="O1947" s="1007" t="s">
        <v>648</v>
      </c>
      <c r="P1947" s="1007" t="s">
        <v>648</v>
      </c>
      <c r="S1947" s="1008" t="s">
        <v>657</v>
      </c>
      <c r="T1947" s="1008" t="s">
        <v>654</v>
      </c>
      <c r="U1947" s="1008" t="s">
        <v>649</v>
      </c>
      <c r="V1947" s="1008" t="s">
        <v>648</v>
      </c>
      <c r="W1947" s="1008" t="s">
        <v>546</v>
      </c>
      <c r="X1947" s="1008" t="s">
        <v>670</v>
      </c>
      <c r="Y1947" s="1008"/>
      <c r="Z1947" s="1008"/>
      <c r="AA1947" s="1008"/>
      <c r="AB1947" s="1008" t="s">
        <v>670</v>
      </c>
      <c r="AC1947" s="1008"/>
      <c r="AD1947" s="1008"/>
      <c r="AE1947" s="1008"/>
      <c r="AF1947" s="1008"/>
      <c r="AG1947" s="1008"/>
      <c r="AH1947" s="1008"/>
      <c r="AI1947" s="1008"/>
    </row>
    <row r="1948" spans="1:35">
      <c r="A1948" s="1008">
        <v>24589</v>
      </c>
      <c r="B1948" s="1008">
        <v>1221</v>
      </c>
      <c r="C1948" s="1008">
        <v>7</v>
      </c>
      <c r="D1948" s="1009">
        <v>23019999</v>
      </c>
      <c r="E1948" s="1009">
        <v>23010300</v>
      </c>
      <c r="F1948" s="1007" t="s">
        <v>2712</v>
      </c>
      <c r="G1948" s="1007">
        <v>8</v>
      </c>
      <c r="H1948" s="1010">
        <v>99999999</v>
      </c>
      <c r="I1948" s="1009">
        <v>9322530</v>
      </c>
      <c r="J1948" s="1007" t="s">
        <v>2718</v>
      </c>
      <c r="O1948" s="1007" t="s">
        <v>648</v>
      </c>
      <c r="P1948" s="1007" t="s">
        <v>648</v>
      </c>
      <c r="S1948" s="1008" t="s">
        <v>657</v>
      </c>
      <c r="T1948" s="1008" t="s">
        <v>654</v>
      </c>
      <c r="U1948" s="1008" t="s">
        <v>649</v>
      </c>
      <c r="V1948" s="1008" t="s">
        <v>648</v>
      </c>
      <c r="W1948" s="1008" t="s">
        <v>546</v>
      </c>
      <c r="X1948" s="1008" t="s">
        <v>670</v>
      </c>
      <c r="Y1948" s="1008"/>
      <c r="Z1948" s="1008"/>
      <c r="AA1948" s="1008"/>
      <c r="AB1948" s="1008" t="s">
        <v>670</v>
      </c>
      <c r="AC1948" s="1008"/>
      <c r="AD1948" s="1008"/>
      <c r="AE1948" s="1008"/>
      <c r="AF1948" s="1008"/>
      <c r="AG1948" s="1008"/>
      <c r="AH1948" s="1008"/>
      <c r="AI1948" s="1008"/>
    </row>
    <row r="1949" spans="1:35">
      <c r="A1949" s="1008">
        <v>24589</v>
      </c>
      <c r="B1949" s="1008">
        <v>1222</v>
      </c>
      <c r="C1949" s="1008">
        <v>7</v>
      </c>
      <c r="D1949" s="1009">
        <v>23019999</v>
      </c>
      <c r="E1949" s="1009">
        <v>23010300</v>
      </c>
      <c r="F1949" s="1007" t="s">
        <v>2712</v>
      </c>
      <c r="G1949" s="1007">
        <v>8</v>
      </c>
      <c r="H1949" s="1010">
        <v>99999999</v>
      </c>
      <c r="I1949" s="1009">
        <v>9322540</v>
      </c>
      <c r="J1949" s="1007" t="s">
        <v>2717</v>
      </c>
      <c r="O1949" s="1007" t="s">
        <v>648</v>
      </c>
      <c r="P1949" s="1007" t="s">
        <v>648</v>
      </c>
      <c r="S1949" s="1008" t="s">
        <v>657</v>
      </c>
      <c r="T1949" s="1008" t="s">
        <v>654</v>
      </c>
      <c r="U1949" s="1008" t="s">
        <v>649</v>
      </c>
      <c r="V1949" s="1008" t="s">
        <v>648</v>
      </c>
      <c r="W1949" s="1008" t="s">
        <v>546</v>
      </c>
      <c r="X1949" s="1008" t="s">
        <v>670</v>
      </c>
      <c r="Y1949" s="1008"/>
      <c r="Z1949" s="1008"/>
      <c r="AA1949" s="1008"/>
      <c r="AB1949" s="1008" t="s">
        <v>670</v>
      </c>
      <c r="AC1949" s="1008"/>
      <c r="AD1949" s="1008"/>
      <c r="AE1949" s="1008"/>
      <c r="AF1949" s="1008"/>
      <c r="AG1949" s="1008"/>
      <c r="AH1949" s="1008"/>
      <c r="AI1949" s="1008"/>
    </row>
    <row r="1950" spans="1:35">
      <c r="A1950" s="1008">
        <v>24589</v>
      </c>
      <c r="B1950" s="1008">
        <v>1210</v>
      </c>
      <c r="C1950" s="1008">
        <v>7</v>
      </c>
      <c r="D1950" s="1009">
        <v>23019999</v>
      </c>
      <c r="E1950" s="1009">
        <v>23010300</v>
      </c>
      <c r="F1950" s="1007" t="s">
        <v>2712</v>
      </c>
      <c r="G1950" s="1007">
        <v>8</v>
      </c>
      <c r="H1950" s="1010">
        <v>99999999</v>
      </c>
      <c r="I1950" s="1009">
        <v>9322550</v>
      </c>
      <c r="J1950" s="1007" t="s">
        <v>2716</v>
      </c>
      <c r="O1950" s="1007" t="s">
        <v>648</v>
      </c>
      <c r="P1950" s="1007" t="s">
        <v>648</v>
      </c>
      <c r="S1950" s="1008" t="s">
        <v>657</v>
      </c>
      <c r="T1950" s="1008" t="s">
        <v>654</v>
      </c>
      <c r="U1950" s="1008" t="s">
        <v>649</v>
      </c>
      <c r="V1950" s="1008" t="s">
        <v>648</v>
      </c>
      <c r="W1950" s="1008" t="s">
        <v>546</v>
      </c>
      <c r="X1950" s="1008" t="s">
        <v>670</v>
      </c>
      <c r="Y1950" s="1008"/>
      <c r="Z1950" s="1008"/>
      <c r="AA1950" s="1008"/>
      <c r="AB1950" s="1008" t="s">
        <v>670</v>
      </c>
      <c r="AC1950" s="1008"/>
      <c r="AD1950" s="1008"/>
      <c r="AE1950" s="1008"/>
      <c r="AF1950" s="1008"/>
      <c r="AG1950" s="1008"/>
      <c r="AH1950" s="1008"/>
      <c r="AI1950" s="1008"/>
    </row>
    <row r="1951" spans="1:35">
      <c r="A1951" s="1008">
        <v>24589</v>
      </c>
      <c r="B1951" s="1008">
        <v>1211</v>
      </c>
      <c r="C1951" s="1008">
        <v>7</v>
      </c>
      <c r="D1951" s="1009">
        <v>23019999</v>
      </c>
      <c r="E1951" s="1009">
        <v>23010300</v>
      </c>
      <c r="F1951" s="1007" t="s">
        <v>2712</v>
      </c>
      <c r="G1951" s="1007">
        <v>8</v>
      </c>
      <c r="H1951" s="1010">
        <v>99999999</v>
      </c>
      <c r="I1951" s="1009">
        <v>9322560</v>
      </c>
      <c r="J1951" s="1007" t="s">
        <v>2715</v>
      </c>
      <c r="O1951" s="1007" t="s">
        <v>648</v>
      </c>
      <c r="P1951" s="1007" t="s">
        <v>648</v>
      </c>
      <c r="S1951" s="1008" t="s">
        <v>657</v>
      </c>
      <c r="T1951" s="1008" t="s">
        <v>654</v>
      </c>
      <c r="U1951" s="1008" t="s">
        <v>649</v>
      </c>
      <c r="V1951" s="1008" t="s">
        <v>648</v>
      </c>
      <c r="W1951" s="1008" t="s">
        <v>546</v>
      </c>
      <c r="X1951" s="1008" t="s">
        <v>670</v>
      </c>
      <c r="Y1951" s="1008"/>
      <c r="Z1951" s="1008"/>
      <c r="AA1951" s="1008"/>
      <c r="AB1951" s="1008" t="s">
        <v>670</v>
      </c>
      <c r="AC1951" s="1008"/>
      <c r="AD1951" s="1008"/>
      <c r="AE1951" s="1008"/>
      <c r="AF1951" s="1008"/>
      <c r="AG1951" s="1008"/>
      <c r="AH1951" s="1008"/>
      <c r="AI1951" s="1008"/>
    </row>
    <row r="1952" spans="1:35">
      <c r="A1952" s="1008">
        <v>24589</v>
      </c>
      <c r="B1952" s="1008">
        <v>1223</v>
      </c>
      <c r="C1952" s="1008">
        <v>7</v>
      </c>
      <c r="D1952" s="1009">
        <v>23019999</v>
      </c>
      <c r="E1952" s="1009">
        <v>23010300</v>
      </c>
      <c r="F1952" s="1007" t="s">
        <v>2712</v>
      </c>
      <c r="G1952" s="1007">
        <v>8</v>
      </c>
      <c r="H1952" s="1010">
        <v>99999999</v>
      </c>
      <c r="I1952" s="1009">
        <v>9322570</v>
      </c>
      <c r="J1952" s="1007" t="s">
        <v>2714</v>
      </c>
      <c r="O1952" s="1007" t="s">
        <v>648</v>
      </c>
      <c r="P1952" s="1007" t="s">
        <v>648</v>
      </c>
      <c r="S1952" s="1008" t="s">
        <v>657</v>
      </c>
      <c r="T1952" s="1008" t="s">
        <v>654</v>
      </c>
      <c r="U1952" s="1008" t="s">
        <v>649</v>
      </c>
      <c r="V1952" s="1008" t="s">
        <v>648</v>
      </c>
      <c r="W1952" s="1008" t="s">
        <v>546</v>
      </c>
      <c r="X1952" s="1008" t="s">
        <v>670</v>
      </c>
      <c r="Y1952" s="1008"/>
      <c r="Z1952" s="1008"/>
      <c r="AA1952" s="1008"/>
      <c r="AB1952" s="1008" t="s">
        <v>670</v>
      </c>
      <c r="AC1952" s="1008"/>
      <c r="AD1952" s="1008"/>
      <c r="AE1952" s="1008"/>
      <c r="AF1952" s="1008"/>
      <c r="AG1952" s="1008"/>
      <c r="AH1952" s="1008"/>
      <c r="AI1952" s="1008"/>
    </row>
    <row r="1953" spans="1:35">
      <c r="A1953" s="1008">
        <v>24589</v>
      </c>
      <c r="B1953" s="1008">
        <v>1224</v>
      </c>
      <c r="C1953" s="1008">
        <v>7</v>
      </c>
      <c r="D1953" s="1009">
        <v>23019999</v>
      </c>
      <c r="E1953" s="1009">
        <v>23010300</v>
      </c>
      <c r="F1953" s="1007" t="s">
        <v>2712</v>
      </c>
      <c r="G1953" s="1007">
        <v>8</v>
      </c>
      <c r="H1953" s="1010">
        <v>99999999</v>
      </c>
      <c r="I1953" s="1009">
        <v>9322580</v>
      </c>
      <c r="J1953" s="1007" t="s">
        <v>2713</v>
      </c>
      <c r="O1953" s="1007" t="s">
        <v>648</v>
      </c>
      <c r="P1953" s="1007" t="s">
        <v>648</v>
      </c>
      <c r="S1953" s="1008" t="s">
        <v>657</v>
      </c>
      <c r="T1953" s="1008" t="s">
        <v>654</v>
      </c>
      <c r="U1953" s="1008" t="s">
        <v>649</v>
      </c>
      <c r="V1953" s="1008" t="s">
        <v>648</v>
      </c>
      <c r="W1953" s="1008" t="s">
        <v>546</v>
      </c>
      <c r="X1953" s="1008" t="s">
        <v>670</v>
      </c>
      <c r="Y1953" s="1008"/>
      <c r="Z1953" s="1008"/>
      <c r="AA1953" s="1008"/>
      <c r="AB1953" s="1008" t="s">
        <v>670</v>
      </c>
      <c r="AC1953" s="1008"/>
      <c r="AD1953" s="1008"/>
      <c r="AE1953" s="1008"/>
      <c r="AF1953" s="1008"/>
      <c r="AG1953" s="1008"/>
      <c r="AH1953" s="1008"/>
      <c r="AI1953" s="1008"/>
    </row>
    <row r="1954" spans="1:35">
      <c r="A1954" s="1008">
        <v>24589</v>
      </c>
      <c r="B1954" s="1008">
        <v>1916</v>
      </c>
      <c r="C1954" s="1008">
        <v>7</v>
      </c>
      <c r="D1954" s="1009">
        <v>23019999</v>
      </c>
      <c r="E1954" s="1009">
        <v>23010300</v>
      </c>
      <c r="F1954" s="1007" t="s">
        <v>2712</v>
      </c>
      <c r="G1954" s="1007">
        <v>7</v>
      </c>
      <c r="H1954" s="1010">
        <v>99999999</v>
      </c>
      <c r="I1954" s="1009">
        <v>23010300</v>
      </c>
      <c r="J1954" s="1007" t="s">
        <v>2712</v>
      </c>
      <c r="O1954" s="1007" t="s">
        <v>648</v>
      </c>
      <c r="P1954" s="1007" t="s">
        <v>648</v>
      </c>
      <c r="S1954" s="1008" t="s">
        <v>657</v>
      </c>
      <c r="T1954" s="1008" t="s">
        <v>654</v>
      </c>
      <c r="U1954" s="1008" t="s">
        <v>649</v>
      </c>
      <c r="V1954" s="1008" t="s">
        <v>648</v>
      </c>
      <c r="W1954" s="1008" t="s">
        <v>546</v>
      </c>
      <c r="X1954" s="1008" t="s">
        <v>670</v>
      </c>
      <c r="Y1954" s="1008" t="s">
        <v>670</v>
      </c>
      <c r="Z1954" s="1008" t="s">
        <v>670</v>
      </c>
      <c r="AA1954" s="1008" t="s">
        <v>670</v>
      </c>
      <c r="AB1954" s="1008" t="s">
        <v>670</v>
      </c>
      <c r="AC1954" s="1008" t="s">
        <v>670</v>
      </c>
      <c r="AD1954" s="1008" t="s">
        <v>670</v>
      </c>
      <c r="AE1954" s="1008"/>
      <c r="AF1954" s="1008" t="s">
        <v>670</v>
      </c>
      <c r="AG1954" s="1008"/>
      <c r="AH1954" s="1008"/>
      <c r="AI1954" s="1008"/>
    </row>
    <row r="1955" spans="1:35">
      <c r="A1955" s="1008">
        <v>24590</v>
      </c>
      <c r="B1955" s="1008">
        <v>1917</v>
      </c>
      <c r="C1955" s="1008">
        <v>7</v>
      </c>
      <c r="D1955" s="1009">
        <v>23019999</v>
      </c>
      <c r="E1955" s="1009">
        <v>23010400</v>
      </c>
      <c r="F1955" s="1007" t="s">
        <v>2711</v>
      </c>
      <c r="G1955" s="1007">
        <v>7</v>
      </c>
      <c r="H1955" s="1010">
        <v>99999999</v>
      </c>
      <c r="I1955" s="1009">
        <v>23010400</v>
      </c>
      <c r="J1955" s="1007" t="s">
        <v>2711</v>
      </c>
      <c r="O1955" s="1007" t="s">
        <v>648</v>
      </c>
      <c r="P1955" s="1007" t="s">
        <v>648</v>
      </c>
      <c r="S1955" s="1008" t="s">
        <v>657</v>
      </c>
      <c r="T1955" s="1008" t="s">
        <v>654</v>
      </c>
      <c r="U1955" s="1008" t="s">
        <v>649</v>
      </c>
      <c r="V1955" s="1008" t="s">
        <v>648</v>
      </c>
      <c r="W1955" s="1008" t="s">
        <v>546</v>
      </c>
      <c r="X1955" s="1008" t="s">
        <v>670</v>
      </c>
      <c r="Y1955" s="1008" t="s">
        <v>670</v>
      </c>
      <c r="Z1955" s="1008" t="s">
        <v>670</v>
      </c>
      <c r="AA1955" s="1008" t="s">
        <v>670</v>
      </c>
      <c r="AB1955" s="1008" t="s">
        <v>670</v>
      </c>
      <c r="AC1955" s="1008" t="s">
        <v>670</v>
      </c>
      <c r="AD1955" s="1008" t="s">
        <v>670</v>
      </c>
      <c r="AE1955" s="1008"/>
      <c r="AF1955" s="1008" t="s">
        <v>670</v>
      </c>
      <c r="AG1955" s="1008"/>
      <c r="AH1955" s="1008"/>
      <c r="AI1955" s="1008"/>
    </row>
    <row r="1956" spans="1:35">
      <c r="A1956" s="1008">
        <v>24591</v>
      </c>
      <c r="B1956" s="1008">
        <v>1918</v>
      </c>
      <c r="C1956" s="1008">
        <v>7</v>
      </c>
      <c r="D1956" s="1009">
        <v>23019999</v>
      </c>
      <c r="E1956" s="1009">
        <v>23010500</v>
      </c>
      <c r="F1956" s="1007" t="s">
        <v>2710</v>
      </c>
      <c r="G1956" s="1007">
        <v>7</v>
      </c>
      <c r="H1956" s="1010">
        <v>99999999</v>
      </c>
      <c r="I1956" s="1009">
        <v>23010500</v>
      </c>
      <c r="J1956" s="1007" t="s">
        <v>2710</v>
      </c>
      <c r="O1956" s="1007" t="s">
        <v>648</v>
      </c>
      <c r="P1956" s="1007" t="s">
        <v>648</v>
      </c>
      <c r="S1956" s="1008" t="s">
        <v>657</v>
      </c>
      <c r="T1956" s="1008" t="s">
        <v>654</v>
      </c>
      <c r="U1956" s="1008" t="s">
        <v>649</v>
      </c>
      <c r="V1956" s="1008" t="s">
        <v>648</v>
      </c>
      <c r="W1956" s="1008" t="s">
        <v>546</v>
      </c>
      <c r="X1956" s="1008" t="s">
        <v>670</v>
      </c>
      <c r="Y1956" s="1008" t="s">
        <v>670</v>
      </c>
      <c r="Z1956" s="1008" t="s">
        <v>670</v>
      </c>
      <c r="AA1956" s="1008" t="s">
        <v>670</v>
      </c>
      <c r="AB1956" s="1008" t="s">
        <v>670</v>
      </c>
      <c r="AC1956" s="1008" t="s">
        <v>670</v>
      </c>
      <c r="AD1956" s="1008" t="s">
        <v>670</v>
      </c>
      <c r="AE1956" s="1008"/>
      <c r="AF1956" s="1008" t="s">
        <v>670</v>
      </c>
      <c r="AG1956" s="1008"/>
      <c r="AH1956" s="1008"/>
      <c r="AI1956" s="1008"/>
    </row>
    <row r="1957" spans="1:35">
      <c r="A1957" s="1008">
        <v>24592</v>
      </c>
      <c r="B1957" s="1008">
        <v>1919</v>
      </c>
      <c r="C1957" s="1008">
        <v>7</v>
      </c>
      <c r="D1957" s="1009">
        <v>23019999</v>
      </c>
      <c r="E1957" s="1009">
        <v>23010700</v>
      </c>
      <c r="F1957" s="1007" t="s">
        <v>2709</v>
      </c>
      <c r="G1957" s="1007">
        <v>7</v>
      </c>
      <c r="H1957" s="1010">
        <v>99999999</v>
      </c>
      <c r="I1957" s="1009">
        <v>23010700</v>
      </c>
      <c r="J1957" s="1007" t="s">
        <v>2709</v>
      </c>
      <c r="O1957" s="1007" t="s">
        <v>648</v>
      </c>
      <c r="P1957" s="1007" t="s">
        <v>648</v>
      </c>
      <c r="S1957" s="1008" t="s">
        <v>657</v>
      </c>
      <c r="T1957" s="1008" t="s">
        <v>654</v>
      </c>
      <c r="U1957" s="1008" t="s">
        <v>649</v>
      </c>
      <c r="V1957" s="1008" t="s">
        <v>648</v>
      </c>
      <c r="W1957" s="1008" t="s">
        <v>546</v>
      </c>
      <c r="X1957" s="1008" t="s">
        <v>670</v>
      </c>
      <c r="Y1957" s="1008" t="s">
        <v>670</v>
      </c>
      <c r="Z1957" s="1008" t="s">
        <v>670</v>
      </c>
      <c r="AA1957" s="1008" t="s">
        <v>670</v>
      </c>
      <c r="AB1957" s="1008" t="s">
        <v>670</v>
      </c>
      <c r="AC1957" s="1008" t="s">
        <v>670</v>
      </c>
      <c r="AD1957" s="1008" t="s">
        <v>670</v>
      </c>
      <c r="AE1957" s="1008"/>
      <c r="AF1957" s="1008" t="s">
        <v>670</v>
      </c>
      <c r="AG1957" s="1008"/>
      <c r="AH1957" s="1008"/>
      <c r="AI1957" s="1008"/>
    </row>
    <row r="1958" spans="1:35">
      <c r="A1958" s="1008">
        <v>24593</v>
      </c>
      <c r="B1958" s="1008">
        <v>737</v>
      </c>
      <c r="C1958" s="1008">
        <v>7</v>
      </c>
      <c r="D1958" s="1009">
        <v>23019999</v>
      </c>
      <c r="E1958" s="1009">
        <v>23010800</v>
      </c>
      <c r="F1958" s="1007" t="s">
        <v>2708</v>
      </c>
      <c r="G1958" s="1007">
        <v>8</v>
      </c>
      <c r="H1958" s="1010">
        <v>99999999</v>
      </c>
      <c r="I1958" s="1009">
        <v>23010800</v>
      </c>
      <c r="J1958" s="1007" t="s">
        <v>2708</v>
      </c>
      <c r="O1958" s="1007" t="s">
        <v>648</v>
      </c>
      <c r="P1958" s="1007" t="s">
        <v>648</v>
      </c>
      <c r="S1958" s="1008" t="s">
        <v>657</v>
      </c>
      <c r="T1958" s="1008" t="s">
        <v>654</v>
      </c>
      <c r="U1958" s="1008" t="s">
        <v>649</v>
      </c>
      <c r="V1958" s="1008" t="s">
        <v>648</v>
      </c>
      <c r="W1958" s="1008" t="s">
        <v>546</v>
      </c>
      <c r="X1958" s="1008" t="s">
        <v>670</v>
      </c>
      <c r="Y1958" s="1008" t="s">
        <v>670</v>
      </c>
      <c r="Z1958" s="1008" t="s">
        <v>670</v>
      </c>
      <c r="AA1958" s="1008" t="s">
        <v>670</v>
      </c>
      <c r="AB1958" s="1008" t="s">
        <v>670</v>
      </c>
      <c r="AC1958" s="1008" t="s">
        <v>670</v>
      </c>
      <c r="AD1958" s="1008" t="s">
        <v>670</v>
      </c>
      <c r="AE1958" s="1008"/>
      <c r="AF1958" s="1008" t="s">
        <v>670</v>
      </c>
      <c r="AG1958" s="1008"/>
      <c r="AH1958" s="1008"/>
      <c r="AI1958" s="1008"/>
    </row>
    <row r="1959" spans="1:35">
      <c r="A1959" s="1008">
        <v>24594</v>
      </c>
      <c r="C1959" s="1008">
        <v>6</v>
      </c>
      <c r="D1959" s="1009">
        <v>23099999</v>
      </c>
      <c r="E1959" s="1009">
        <v>23019999</v>
      </c>
      <c r="F1959" s="1007" t="s">
        <v>2707</v>
      </c>
      <c r="O1959" s="1007" t="s">
        <v>648</v>
      </c>
      <c r="P1959" s="1007" t="s">
        <v>648</v>
      </c>
      <c r="S1959" s="1008" t="s">
        <v>657</v>
      </c>
      <c r="T1959" s="1008" t="s">
        <v>21</v>
      </c>
      <c r="U1959" s="1008" t="s">
        <v>649</v>
      </c>
      <c r="V1959" s="1008" t="s">
        <v>648</v>
      </c>
      <c r="W1959" s="1008" t="s">
        <v>546</v>
      </c>
      <c r="X1959" s="1008"/>
      <c r="Y1959" s="1008"/>
      <c r="Z1959" s="1008"/>
      <c r="AA1959" s="1008"/>
      <c r="AB1959" s="1008"/>
      <c r="AC1959" s="1008"/>
      <c r="AD1959" s="1008"/>
      <c r="AE1959" s="1008"/>
      <c r="AF1959" s="1008"/>
      <c r="AG1959" s="1008"/>
      <c r="AH1959" s="1008"/>
      <c r="AI1959" s="1008"/>
    </row>
    <row r="1960" spans="1:35">
      <c r="A1960" s="1008">
        <v>24595</v>
      </c>
      <c r="C1960" s="1008">
        <v>6</v>
      </c>
      <c r="D1960" s="1009">
        <v>23049999</v>
      </c>
      <c r="E1960" s="1009">
        <v>23040000</v>
      </c>
      <c r="F1960" s="1007" t="s">
        <v>2706</v>
      </c>
      <c r="O1960" s="1007" t="s">
        <v>648</v>
      </c>
      <c r="P1960" s="1007" t="s">
        <v>648</v>
      </c>
      <c r="S1960" s="1008" t="s">
        <v>657</v>
      </c>
      <c r="T1960" s="1008" t="s">
        <v>675</v>
      </c>
      <c r="U1960" s="1008" t="s">
        <v>649</v>
      </c>
      <c r="V1960" s="1008" t="s">
        <v>648</v>
      </c>
      <c r="W1960" s="1008" t="s">
        <v>546</v>
      </c>
      <c r="X1960" s="1008"/>
      <c r="Y1960" s="1008"/>
      <c r="Z1960" s="1008"/>
      <c r="AA1960" s="1008"/>
      <c r="AB1960" s="1008"/>
      <c r="AC1960" s="1008"/>
      <c r="AD1960" s="1008"/>
      <c r="AE1960" s="1008"/>
      <c r="AF1960" s="1008"/>
      <c r="AG1960" s="1008"/>
      <c r="AH1960" s="1008"/>
      <c r="AI1960" s="1008"/>
    </row>
    <row r="1961" spans="1:35">
      <c r="A1961" s="1008">
        <v>24596</v>
      </c>
      <c r="B1961" s="1008">
        <v>1921</v>
      </c>
      <c r="C1961" s="1008">
        <v>7</v>
      </c>
      <c r="D1961" s="1009">
        <v>23049999</v>
      </c>
      <c r="E1961" s="1009">
        <v>23040200</v>
      </c>
      <c r="F1961" s="1007" t="s">
        <v>2705</v>
      </c>
      <c r="G1961" s="1007">
        <v>7</v>
      </c>
      <c r="H1961" s="1010">
        <v>99999999</v>
      </c>
      <c r="I1961" s="1009">
        <v>23040200</v>
      </c>
      <c r="J1961" s="1007" t="s">
        <v>2705</v>
      </c>
      <c r="O1961" s="1007" t="s">
        <v>648</v>
      </c>
      <c r="P1961" s="1007" t="s">
        <v>648</v>
      </c>
      <c r="S1961" s="1008" t="s">
        <v>657</v>
      </c>
      <c r="T1961" s="1008" t="s">
        <v>654</v>
      </c>
      <c r="U1961" s="1008" t="s">
        <v>649</v>
      </c>
      <c r="V1961" s="1008" t="s">
        <v>648</v>
      </c>
      <c r="W1961" s="1008" t="s">
        <v>546</v>
      </c>
      <c r="X1961" s="1008" t="s">
        <v>670</v>
      </c>
      <c r="Y1961" s="1008" t="s">
        <v>670</v>
      </c>
      <c r="Z1961" s="1008" t="s">
        <v>670</v>
      </c>
      <c r="AA1961" s="1008" t="s">
        <v>670</v>
      </c>
      <c r="AB1961" s="1008" t="s">
        <v>670</v>
      </c>
      <c r="AC1961" s="1008" t="s">
        <v>670</v>
      </c>
      <c r="AD1961" s="1008" t="s">
        <v>670</v>
      </c>
      <c r="AE1961" s="1008"/>
      <c r="AF1961" s="1008" t="s">
        <v>670</v>
      </c>
      <c r="AG1961" s="1008"/>
      <c r="AH1961" s="1008"/>
      <c r="AI1961" s="1008"/>
    </row>
    <row r="1962" spans="1:35">
      <c r="A1962" s="1008">
        <v>24597</v>
      </c>
      <c r="B1962" s="1008">
        <v>1922</v>
      </c>
      <c r="C1962" s="1008">
        <v>7</v>
      </c>
      <c r="D1962" s="1009">
        <v>23049999</v>
      </c>
      <c r="E1962" s="1009">
        <v>23040700</v>
      </c>
      <c r="F1962" s="1007" t="s">
        <v>2704</v>
      </c>
      <c r="G1962" s="1007">
        <v>7</v>
      </c>
      <c r="H1962" s="1010">
        <v>99999999</v>
      </c>
      <c r="I1962" s="1009">
        <v>23040700</v>
      </c>
      <c r="J1962" s="1007" t="s">
        <v>2704</v>
      </c>
      <c r="O1962" s="1007" t="s">
        <v>648</v>
      </c>
      <c r="P1962" s="1007" t="s">
        <v>648</v>
      </c>
      <c r="S1962" s="1008" t="s">
        <v>657</v>
      </c>
      <c r="T1962" s="1008" t="s">
        <v>654</v>
      </c>
      <c r="U1962" s="1008" t="s">
        <v>649</v>
      </c>
      <c r="V1962" s="1008" t="s">
        <v>648</v>
      </c>
      <c r="W1962" s="1008" t="s">
        <v>546</v>
      </c>
      <c r="X1962" s="1008" t="s">
        <v>670</v>
      </c>
      <c r="Y1962" s="1008" t="s">
        <v>670</v>
      </c>
      <c r="Z1962" s="1008" t="s">
        <v>670</v>
      </c>
      <c r="AA1962" s="1008" t="s">
        <v>670</v>
      </c>
      <c r="AB1962" s="1008" t="s">
        <v>670</v>
      </c>
      <c r="AC1962" s="1008" t="s">
        <v>670</v>
      </c>
      <c r="AD1962" s="1008" t="s">
        <v>670</v>
      </c>
      <c r="AE1962" s="1008"/>
      <c r="AF1962" s="1008" t="s">
        <v>670</v>
      </c>
      <c r="AG1962" s="1008"/>
      <c r="AH1962" s="1008"/>
      <c r="AI1962" s="1008"/>
    </row>
    <row r="1963" spans="1:35">
      <c r="A1963" s="1008">
        <v>24598</v>
      </c>
      <c r="B1963" s="1008">
        <v>5163</v>
      </c>
      <c r="C1963" s="1008">
        <v>7</v>
      </c>
      <c r="D1963" s="1009">
        <v>23049999</v>
      </c>
      <c r="E1963" s="1009">
        <v>23040800</v>
      </c>
      <c r="F1963" s="1007" t="s">
        <v>2703</v>
      </c>
      <c r="G1963" s="1007">
        <v>7</v>
      </c>
      <c r="H1963" s="1010">
        <v>99999999</v>
      </c>
      <c r="I1963" s="1009">
        <v>23040800</v>
      </c>
      <c r="J1963" s="1007" t="s">
        <v>2703</v>
      </c>
      <c r="O1963" s="1007" t="s">
        <v>648</v>
      </c>
      <c r="P1963" s="1007" t="s">
        <v>648</v>
      </c>
      <c r="S1963" s="1008" t="s">
        <v>657</v>
      </c>
      <c r="T1963" s="1008" t="s">
        <v>654</v>
      </c>
      <c r="U1963" s="1008" t="s">
        <v>649</v>
      </c>
      <c r="V1963" s="1008" t="s">
        <v>648</v>
      </c>
      <c r="W1963" s="1008" t="s">
        <v>546</v>
      </c>
      <c r="X1963" s="1008" t="s">
        <v>670</v>
      </c>
      <c r="Y1963" s="1008" t="s">
        <v>670</v>
      </c>
      <c r="Z1963" s="1008" t="s">
        <v>670</v>
      </c>
      <c r="AA1963" s="1008" t="s">
        <v>670</v>
      </c>
      <c r="AB1963" s="1008" t="s">
        <v>670</v>
      </c>
      <c r="AC1963" s="1008" t="s">
        <v>670</v>
      </c>
      <c r="AD1963" s="1008" t="s">
        <v>670</v>
      </c>
      <c r="AE1963" s="1008"/>
      <c r="AF1963" s="1008" t="s">
        <v>670</v>
      </c>
      <c r="AG1963" s="1008"/>
      <c r="AH1963" s="1008"/>
      <c r="AI1963" s="1008"/>
    </row>
    <row r="1964" spans="1:35">
      <c r="A1964" s="1008">
        <v>24599</v>
      </c>
      <c r="C1964" s="1008">
        <v>6</v>
      </c>
      <c r="D1964" s="1009">
        <v>23099999</v>
      </c>
      <c r="E1964" s="1009">
        <v>23049999</v>
      </c>
      <c r="F1964" s="1007" t="s">
        <v>2702</v>
      </c>
      <c r="O1964" s="1007" t="s">
        <v>648</v>
      </c>
      <c r="P1964" s="1007" t="s">
        <v>648</v>
      </c>
      <c r="S1964" s="1008" t="s">
        <v>657</v>
      </c>
      <c r="T1964" s="1008" t="s">
        <v>21</v>
      </c>
      <c r="U1964" s="1008" t="s">
        <v>649</v>
      </c>
      <c r="V1964" s="1008" t="s">
        <v>648</v>
      </c>
      <c r="W1964" s="1008" t="s">
        <v>546</v>
      </c>
      <c r="X1964" s="1008"/>
      <c r="Y1964" s="1008"/>
      <c r="Z1964" s="1008"/>
      <c r="AA1964" s="1008"/>
      <c r="AB1964" s="1008"/>
      <c r="AC1964" s="1008"/>
      <c r="AD1964" s="1008"/>
      <c r="AE1964" s="1008"/>
      <c r="AF1964" s="1008"/>
      <c r="AG1964" s="1008"/>
      <c r="AH1964" s="1008"/>
      <c r="AI1964" s="1008"/>
    </row>
    <row r="1965" spans="1:35">
      <c r="A1965" s="1008">
        <v>24600</v>
      </c>
      <c r="C1965" s="1008">
        <v>5</v>
      </c>
      <c r="D1965" s="1009">
        <v>23199999</v>
      </c>
      <c r="E1965" s="1009">
        <v>23099999</v>
      </c>
      <c r="F1965" s="1007" t="s">
        <v>2701</v>
      </c>
      <c r="O1965" s="1007" t="s">
        <v>648</v>
      </c>
      <c r="P1965" s="1007" t="s">
        <v>648</v>
      </c>
      <c r="S1965" s="1008" t="s">
        <v>657</v>
      </c>
      <c r="T1965" s="1008" t="s">
        <v>21</v>
      </c>
      <c r="U1965" s="1008" t="s">
        <v>649</v>
      </c>
      <c r="V1965" s="1008" t="s">
        <v>648</v>
      </c>
      <c r="W1965" s="1008" t="s">
        <v>546</v>
      </c>
      <c r="X1965" s="1008"/>
      <c r="Y1965" s="1008"/>
      <c r="Z1965" s="1008"/>
      <c r="AA1965" s="1008"/>
      <c r="AB1965" s="1008"/>
      <c r="AC1965" s="1008"/>
      <c r="AD1965" s="1008"/>
      <c r="AE1965" s="1008"/>
      <c r="AF1965" s="1008"/>
      <c r="AG1965" s="1008"/>
      <c r="AH1965" s="1008"/>
      <c r="AI1965" s="1008"/>
    </row>
    <row r="1966" spans="1:35">
      <c r="A1966" s="1008">
        <v>24601</v>
      </c>
      <c r="C1966" s="1008">
        <v>5</v>
      </c>
      <c r="D1966" s="1009">
        <v>23199900</v>
      </c>
      <c r="E1966" s="1009">
        <v>23100000</v>
      </c>
      <c r="F1966" s="1007" t="s">
        <v>2700</v>
      </c>
      <c r="O1966" s="1007" t="s">
        <v>648</v>
      </c>
      <c r="P1966" s="1007" t="s">
        <v>648</v>
      </c>
      <c r="S1966" s="1008" t="s">
        <v>657</v>
      </c>
      <c r="T1966" s="1008" t="s">
        <v>675</v>
      </c>
      <c r="U1966" s="1008" t="s">
        <v>649</v>
      </c>
      <c r="V1966" s="1008" t="s">
        <v>648</v>
      </c>
      <c r="W1966" s="1008" t="s">
        <v>546</v>
      </c>
      <c r="X1966" s="1008"/>
      <c r="Y1966" s="1008"/>
      <c r="Z1966" s="1008"/>
      <c r="AA1966" s="1008"/>
      <c r="AB1966" s="1008"/>
      <c r="AC1966" s="1008"/>
      <c r="AD1966" s="1008"/>
      <c r="AE1966" s="1008"/>
      <c r="AF1966" s="1008"/>
      <c r="AG1966" s="1008"/>
      <c r="AH1966" s="1008"/>
      <c r="AI1966" s="1008"/>
    </row>
    <row r="1967" spans="1:35">
      <c r="A1967" s="1008">
        <v>24602</v>
      </c>
      <c r="C1967" s="1008">
        <v>6</v>
      </c>
      <c r="D1967" s="1009">
        <v>23119999</v>
      </c>
      <c r="E1967" s="1009">
        <v>23110000</v>
      </c>
      <c r="F1967" s="1007" t="s">
        <v>2699</v>
      </c>
      <c r="O1967" s="1007" t="s">
        <v>648</v>
      </c>
      <c r="P1967" s="1007" t="s">
        <v>648</v>
      </c>
      <c r="S1967" s="1008" t="s">
        <v>657</v>
      </c>
      <c r="T1967" s="1008" t="s">
        <v>675</v>
      </c>
      <c r="U1967" s="1008" t="s">
        <v>649</v>
      </c>
      <c r="V1967" s="1008" t="s">
        <v>648</v>
      </c>
      <c r="W1967" s="1008" t="s">
        <v>546</v>
      </c>
      <c r="X1967" s="1008"/>
      <c r="Y1967" s="1008"/>
      <c r="Z1967" s="1008"/>
      <c r="AA1967" s="1008"/>
      <c r="AB1967" s="1008"/>
      <c r="AC1967" s="1008"/>
      <c r="AD1967" s="1008"/>
      <c r="AE1967" s="1008"/>
      <c r="AF1967" s="1008"/>
      <c r="AG1967" s="1008"/>
      <c r="AH1967" s="1008"/>
      <c r="AI1967" s="1008"/>
    </row>
    <row r="1968" spans="1:35">
      <c r="A1968" s="1008">
        <v>24603</v>
      </c>
      <c r="B1968" s="1008">
        <v>1924</v>
      </c>
      <c r="C1968" s="1008">
        <v>7</v>
      </c>
      <c r="D1968" s="1009">
        <v>23119999</v>
      </c>
      <c r="E1968" s="1009">
        <v>23110200</v>
      </c>
      <c r="F1968" s="1007" t="s">
        <v>2698</v>
      </c>
      <c r="G1968" s="1007">
        <v>7</v>
      </c>
      <c r="H1968" s="1010">
        <v>99999999</v>
      </c>
      <c r="I1968" s="1009">
        <v>23110200</v>
      </c>
      <c r="J1968" s="1007" t="s">
        <v>2698</v>
      </c>
      <c r="O1968" s="1007" t="s">
        <v>648</v>
      </c>
      <c r="P1968" s="1007" t="s">
        <v>648</v>
      </c>
      <c r="S1968" s="1008" t="s">
        <v>657</v>
      </c>
      <c r="T1968" s="1008" t="s">
        <v>654</v>
      </c>
      <c r="U1968" s="1008" t="s">
        <v>649</v>
      </c>
      <c r="V1968" s="1008" t="s">
        <v>648</v>
      </c>
      <c r="W1968" s="1008" t="s">
        <v>546</v>
      </c>
      <c r="X1968" s="1008" t="s">
        <v>670</v>
      </c>
      <c r="Y1968" s="1008" t="s">
        <v>670</v>
      </c>
      <c r="Z1968" s="1008" t="s">
        <v>670</v>
      </c>
      <c r="AA1968" s="1008" t="s">
        <v>670</v>
      </c>
      <c r="AB1968" s="1008" t="s">
        <v>670</v>
      </c>
      <c r="AC1968" s="1008" t="s">
        <v>670</v>
      </c>
      <c r="AD1968" s="1008" t="s">
        <v>670</v>
      </c>
      <c r="AE1968" s="1008"/>
      <c r="AF1968" s="1008" t="s">
        <v>670</v>
      </c>
      <c r="AG1968" s="1008"/>
      <c r="AH1968" s="1008"/>
      <c r="AI1968" s="1008"/>
    </row>
    <row r="1969" spans="1:35">
      <c r="A1969" s="1008">
        <v>24604</v>
      </c>
      <c r="B1969" s="1008">
        <v>1925</v>
      </c>
      <c r="C1969" s="1008">
        <v>7</v>
      </c>
      <c r="D1969" s="1009">
        <v>23119999</v>
      </c>
      <c r="E1969" s="1009">
        <v>23110300</v>
      </c>
      <c r="F1969" s="1007" t="s">
        <v>2697</v>
      </c>
      <c r="G1969" s="1007">
        <v>7</v>
      </c>
      <c r="H1969" s="1010">
        <v>99999999</v>
      </c>
      <c r="I1969" s="1009">
        <v>23110300</v>
      </c>
      <c r="J1969" s="1007" t="s">
        <v>2697</v>
      </c>
      <c r="O1969" s="1007" t="s">
        <v>648</v>
      </c>
      <c r="P1969" s="1007" t="s">
        <v>648</v>
      </c>
      <c r="S1969" s="1008" t="s">
        <v>657</v>
      </c>
      <c r="T1969" s="1008" t="s">
        <v>654</v>
      </c>
      <c r="U1969" s="1008" t="s">
        <v>649</v>
      </c>
      <c r="V1969" s="1008" t="s">
        <v>648</v>
      </c>
      <c r="W1969" s="1008" t="s">
        <v>546</v>
      </c>
      <c r="X1969" s="1008" t="s">
        <v>670</v>
      </c>
      <c r="Y1969" s="1008" t="s">
        <v>670</v>
      </c>
      <c r="Z1969" s="1008" t="s">
        <v>670</v>
      </c>
      <c r="AA1969" s="1008" t="s">
        <v>670</v>
      </c>
      <c r="AB1969" s="1008" t="s">
        <v>670</v>
      </c>
      <c r="AC1969" s="1008" t="s">
        <v>670</v>
      </c>
      <c r="AD1969" s="1008" t="s">
        <v>670</v>
      </c>
      <c r="AE1969" s="1008"/>
      <c r="AF1969" s="1008" t="s">
        <v>670</v>
      </c>
      <c r="AG1969" s="1008" t="s">
        <v>670</v>
      </c>
      <c r="AH1969" s="1008"/>
      <c r="AI1969" s="1008"/>
    </row>
    <row r="1970" spans="1:35">
      <c r="A1970" s="1008">
        <v>24605</v>
      </c>
      <c r="B1970" s="1008">
        <v>1926</v>
      </c>
      <c r="C1970" s="1008">
        <v>7</v>
      </c>
      <c r="D1970" s="1009">
        <v>23119999</v>
      </c>
      <c r="E1970" s="1009">
        <v>23110500</v>
      </c>
      <c r="F1970" s="1007" t="s">
        <v>2696</v>
      </c>
      <c r="G1970" s="1007">
        <v>7</v>
      </c>
      <c r="H1970" s="1010">
        <v>99999999</v>
      </c>
      <c r="I1970" s="1009">
        <v>23110500</v>
      </c>
      <c r="J1970" s="1007" t="s">
        <v>2696</v>
      </c>
      <c r="O1970" s="1007" t="s">
        <v>648</v>
      </c>
      <c r="P1970" s="1007" t="s">
        <v>648</v>
      </c>
      <c r="S1970" s="1008" t="s">
        <v>657</v>
      </c>
      <c r="T1970" s="1008" t="s">
        <v>654</v>
      </c>
      <c r="U1970" s="1008" t="s">
        <v>649</v>
      </c>
      <c r="V1970" s="1008" t="s">
        <v>648</v>
      </c>
      <c r="W1970" s="1008" t="s">
        <v>546</v>
      </c>
      <c r="X1970" s="1008" t="s">
        <v>670</v>
      </c>
      <c r="Y1970" s="1008" t="s">
        <v>670</v>
      </c>
      <c r="Z1970" s="1008" t="s">
        <v>670</v>
      </c>
      <c r="AA1970" s="1008" t="s">
        <v>670</v>
      </c>
      <c r="AB1970" s="1008" t="s">
        <v>670</v>
      </c>
      <c r="AC1970" s="1008" t="s">
        <v>670</v>
      </c>
      <c r="AD1970" s="1008" t="s">
        <v>670</v>
      </c>
      <c r="AE1970" s="1008"/>
      <c r="AF1970" s="1008" t="s">
        <v>670</v>
      </c>
      <c r="AG1970" s="1008"/>
      <c r="AH1970" s="1008"/>
      <c r="AI1970" s="1008"/>
    </row>
    <row r="1971" spans="1:35">
      <c r="A1971" s="1008">
        <v>24606</v>
      </c>
      <c r="B1971" s="1008">
        <v>1927</v>
      </c>
      <c r="C1971" s="1008">
        <v>7</v>
      </c>
      <c r="D1971" s="1009">
        <v>23119999</v>
      </c>
      <c r="E1971" s="1009">
        <v>23110700</v>
      </c>
      <c r="F1971" s="1007" t="s">
        <v>2695</v>
      </c>
      <c r="G1971" s="1007">
        <v>7</v>
      </c>
      <c r="H1971" s="1010">
        <v>99999999</v>
      </c>
      <c r="I1971" s="1009">
        <v>23110700</v>
      </c>
      <c r="J1971" s="1007" t="s">
        <v>2695</v>
      </c>
      <c r="O1971" s="1007" t="s">
        <v>648</v>
      </c>
      <c r="P1971" s="1007" t="s">
        <v>648</v>
      </c>
      <c r="S1971" s="1008" t="s">
        <v>657</v>
      </c>
      <c r="T1971" s="1008" t="s">
        <v>654</v>
      </c>
      <c r="U1971" s="1008" t="s">
        <v>649</v>
      </c>
      <c r="V1971" s="1008" t="s">
        <v>648</v>
      </c>
      <c r="W1971" s="1008" t="s">
        <v>546</v>
      </c>
      <c r="X1971" s="1008" t="s">
        <v>670</v>
      </c>
      <c r="Y1971" s="1008" t="s">
        <v>670</v>
      </c>
      <c r="Z1971" s="1008" t="s">
        <v>670</v>
      </c>
      <c r="AA1971" s="1008" t="s">
        <v>670</v>
      </c>
      <c r="AB1971" s="1008" t="s">
        <v>670</v>
      </c>
      <c r="AC1971" s="1008" t="s">
        <v>670</v>
      </c>
      <c r="AD1971" s="1008" t="s">
        <v>670</v>
      </c>
      <c r="AE1971" s="1008"/>
      <c r="AF1971" s="1008" t="s">
        <v>670</v>
      </c>
      <c r="AG1971" s="1008"/>
      <c r="AH1971" s="1008"/>
      <c r="AI1971" s="1008"/>
    </row>
    <row r="1972" spans="1:35">
      <c r="A1972" s="1008">
        <v>24607</v>
      </c>
      <c r="B1972" s="1008">
        <v>5167</v>
      </c>
      <c r="C1972" s="1008">
        <v>7</v>
      </c>
      <c r="D1972" s="1009">
        <v>23119999</v>
      </c>
      <c r="E1972" s="1009">
        <v>23110800</v>
      </c>
      <c r="F1972" s="1007" t="s">
        <v>2694</v>
      </c>
      <c r="G1972" s="1007">
        <v>7</v>
      </c>
      <c r="H1972" s="1010">
        <v>99999999</v>
      </c>
      <c r="I1972" s="1009">
        <v>23110800</v>
      </c>
      <c r="J1972" s="1007" t="s">
        <v>2694</v>
      </c>
      <c r="O1972" s="1007" t="s">
        <v>648</v>
      </c>
      <c r="P1972" s="1007" t="s">
        <v>648</v>
      </c>
      <c r="S1972" s="1008" t="s">
        <v>657</v>
      </c>
      <c r="T1972" s="1008" t="s">
        <v>654</v>
      </c>
      <c r="U1972" s="1008" t="s">
        <v>649</v>
      </c>
      <c r="V1972" s="1008" t="s">
        <v>648</v>
      </c>
      <c r="W1972" s="1008" t="s">
        <v>546</v>
      </c>
      <c r="X1972" s="1008" t="s">
        <v>670</v>
      </c>
      <c r="Y1972" s="1008" t="s">
        <v>670</v>
      </c>
      <c r="Z1972" s="1008" t="s">
        <v>670</v>
      </c>
      <c r="AA1972" s="1008" t="s">
        <v>670</v>
      </c>
      <c r="AB1972" s="1008" t="s">
        <v>670</v>
      </c>
      <c r="AC1972" s="1008" t="s">
        <v>670</v>
      </c>
      <c r="AD1972" s="1008" t="s">
        <v>670</v>
      </c>
      <c r="AE1972" s="1008"/>
      <c r="AF1972" s="1008" t="s">
        <v>670</v>
      </c>
      <c r="AG1972" s="1008"/>
      <c r="AH1972" s="1008"/>
      <c r="AI1972" s="1008"/>
    </row>
    <row r="1973" spans="1:35">
      <c r="A1973" s="1008">
        <v>24608</v>
      </c>
      <c r="C1973" s="1008">
        <v>6</v>
      </c>
      <c r="D1973" s="1009">
        <v>23199900</v>
      </c>
      <c r="E1973" s="1009">
        <v>23119999</v>
      </c>
      <c r="F1973" s="1007" t="s">
        <v>2693</v>
      </c>
      <c r="O1973" s="1007" t="s">
        <v>648</v>
      </c>
      <c r="P1973" s="1007" t="s">
        <v>648</v>
      </c>
      <c r="S1973" s="1008" t="s">
        <v>657</v>
      </c>
      <c r="T1973" s="1008" t="s">
        <v>21</v>
      </c>
      <c r="U1973" s="1008" t="s">
        <v>649</v>
      </c>
      <c r="V1973" s="1008" t="s">
        <v>648</v>
      </c>
      <c r="W1973" s="1008" t="s">
        <v>546</v>
      </c>
      <c r="X1973" s="1008"/>
      <c r="Y1973" s="1008"/>
      <c r="Z1973" s="1008"/>
      <c r="AA1973" s="1008"/>
      <c r="AB1973" s="1008"/>
      <c r="AC1973" s="1008"/>
      <c r="AD1973" s="1008"/>
      <c r="AE1973" s="1008"/>
      <c r="AF1973" s="1008"/>
      <c r="AG1973" s="1008"/>
      <c r="AH1973" s="1008"/>
      <c r="AI1973" s="1008"/>
    </row>
    <row r="1974" spans="1:35">
      <c r="A1974" s="1008">
        <v>24609</v>
      </c>
      <c r="C1974" s="1008">
        <v>6</v>
      </c>
      <c r="D1974" s="1009">
        <v>23149999</v>
      </c>
      <c r="E1974" s="1009">
        <v>23140000</v>
      </c>
      <c r="F1974" s="1007" t="s">
        <v>2692</v>
      </c>
      <c r="O1974" s="1007" t="s">
        <v>648</v>
      </c>
      <c r="P1974" s="1007" t="s">
        <v>648</v>
      </c>
      <c r="S1974" s="1008" t="s">
        <v>657</v>
      </c>
      <c r="T1974" s="1008" t="s">
        <v>675</v>
      </c>
      <c r="U1974" s="1008" t="s">
        <v>649</v>
      </c>
      <c r="V1974" s="1008" t="s">
        <v>648</v>
      </c>
      <c r="W1974" s="1008" t="s">
        <v>546</v>
      </c>
      <c r="X1974" s="1008"/>
      <c r="Y1974" s="1008"/>
      <c r="Z1974" s="1008"/>
      <c r="AA1974" s="1008"/>
      <c r="AB1974" s="1008"/>
      <c r="AC1974" s="1008"/>
      <c r="AD1974" s="1008"/>
      <c r="AE1974" s="1008"/>
      <c r="AF1974" s="1008"/>
      <c r="AG1974" s="1008"/>
      <c r="AH1974" s="1008"/>
      <c r="AI1974" s="1008"/>
    </row>
    <row r="1975" spans="1:35">
      <c r="A1975" s="1008">
        <v>24610</v>
      </c>
      <c r="B1975" s="1008">
        <v>1929</v>
      </c>
      <c r="C1975" s="1008">
        <v>7</v>
      </c>
      <c r="D1975" s="1009">
        <v>23149999</v>
      </c>
      <c r="E1975" s="1009">
        <v>23140200</v>
      </c>
      <c r="F1975" s="1007" t="s">
        <v>2691</v>
      </c>
      <c r="G1975" s="1007">
        <v>7</v>
      </c>
      <c r="H1975" s="1010">
        <v>99999999</v>
      </c>
      <c r="I1975" s="1009">
        <v>23140200</v>
      </c>
      <c r="J1975" s="1007" t="s">
        <v>2691</v>
      </c>
      <c r="O1975" s="1007" t="s">
        <v>648</v>
      </c>
      <c r="P1975" s="1007" t="s">
        <v>648</v>
      </c>
      <c r="S1975" s="1008" t="s">
        <v>657</v>
      </c>
      <c r="T1975" s="1008" t="s">
        <v>654</v>
      </c>
      <c r="U1975" s="1008" t="s">
        <v>649</v>
      </c>
      <c r="V1975" s="1008" t="s">
        <v>648</v>
      </c>
      <c r="W1975" s="1008" t="s">
        <v>546</v>
      </c>
      <c r="X1975" s="1008" t="s">
        <v>670</v>
      </c>
      <c r="Y1975" s="1008" t="s">
        <v>670</v>
      </c>
      <c r="Z1975" s="1008" t="s">
        <v>670</v>
      </c>
      <c r="AA1975" s="1008" t="s">
        <v>670</v>
      </c>
      <c r="AB1975" s="1008" t="s">
        <v>670</v>
      </c>
      <c r="AC1975" s="1008" t="s">
        <v>670</v>
      </c>
      <c r="AD1975" s="1008" t="s">
        <v>670</v>
      </c>
      <c r="AE1975" s="1008"/>
      <c r="AF1975" s="1008" t="s">
        <v>670</v>
      </c>
      <c r="AG1975" s="1008"/>
      <c r="AH1975" s="1008"/>
      <c r="AI1975" s="1008"/>
    </row>
    <row r="1976" spans="1:35">
      <c r="A1976" s="1008">
        <v>24611</v>
      </c>
      <c r="B1976" s="1008">
        <v>1930</v>
      </c>
      <c r="C1976" s="1008">
        <v>7</v>
      </c>
      <c r="D1976" s="1009">
        <v>23149999</v>
      </c>
      <c r="E1976" s="1009">
        <v>23140700</v>
      </c>
      <c r="F1976" s="1007" t="s">
        <v>2690</v>
      </c>
      <c r="G1976" s="1007">
        <v>7</v>
      </c>
      <c r="H1976" s="1010">
        <v>99999999</v>
      </c>
      <c r="I1976" s="1009">
        <v>23140700</v>
      </c>
      <c r="J1976" s="1007" t="s">
        <v>2690</v>
      </c>
      <c r="O1976" s="1007" t="s">
        <v>648</v>
      </c>
      <c r="P1976" s="1007" t="s">
        <v>648</v>
      </c>
      <c r="S1976" s="1008" t="s">
        <v>657</v>
      </c>
      <c r="T1976" s="1008" t="s">
        <v>654</v>
      </c>
      <c r="U1976" s="1008" t="s">
        <v>649</v>
      </c>
      <c r="V1976" s="1008" t="s">
        <v>648</v>
      </c>
      <c r="W1976" s="1008" t="s">
        <v>546</v>
      </c>
      <c r="X1976" s="1008" t="s">
        <v>670</v>
      </c>
      <c r="Y1976" s="1008" t="s">
        <v>670</v>
      </c>
      <c r="Z1976" s="1008" t="s">
        <v>670</v>
      </c>
      <c r="AA1976" s="1008" t="s">
        <v>670</v>
      </c>
      <c r="AB1976" s="1008" t="s">
        <v>670</v>
      </c>
      <c r="AC1976" s="1008" t="s">
        <v>670</v>
      </c>
      <c r="AD1976" s="1008" t="s">
        <v>670</v>
      </c>
      <c r="AE1976" s="1008"/>
      <c r="AF1976" s="1008" t="s">
        <v>670</v>
      </c>
      <c r="AG1976" s="1008"/>
      <c r="AH1976" s="1008"/>
      <c r="AI1976" s="1008"/>
    </row>
    <row r="1977" spans="1:35">
      <c r="A1977" s="1008">
        <v>24612</v>
      </c>
      <c r="B1977" s="1008">
        <v>5169</v>
      </c>
      <c r="C1977" s="1008">
        <v>7</v>
      </c>
      <c r="D1977" s="1009">
        <v>23149999</v>
      </c>
      <c r="E1977" s="1009">
        <v>23140800</v>
      </c>
      <c r="F1977" s="1007" t="s">
        <v>2689</v>
      </c>
      <c r="G1977" s="1007">
        <v>7</v>
      </c>
      <c r="H1977" s="1010">
        <v>99999999</v>
      </c>
      <c r="I1977" s="1009">
        <v>23140800</v>
      </c>
      <c r="J1977" s="1007" t="s">
        <v>2689</v>
      </c>
      <c r="O1977" s="1007" t="s">
        <v>648</v>
      </c>
      <c r="P1977" s="1007" t="s">
        <v>648</v>
      </c>
      <c r="S1977" s="1008" t="s">
        <v>657</v>
      </c>
      <c r="T1977" s="1008" t="s">
        <v>654</v>
      </c>
      <c r="U1977" s="1008" t="s">
        <v>649</v>
      </c>
      <c r="V1977" s="1008" t="s">
        <v>648</v>
      </c>
      <c r="W1977" s="1008" t="s">
        <v>546</v>
      </c>
      <c r="X1977" s="1008" t="s">
        <v>670</v>
      </c>
      <c r="Y1977" s="1008" t="s">
        <v>670</v>
      </c>
      <c r="Z1977" s="1008" t="s">
        <v>670</v>
      </c>
      <c r="AA1977" s="1008" t="s">
        <v>670</v>
      </c>
      <c r="AB1977" s="1008" t="s">
        <v>670</v>
      </c>
      <c r="AC1977" s="1008" t="s">
        <v>670</v>
      </c>
      <c r="AD1977" s="1008" t="s">
        <v>670</v>
      </c>
      <c r="AE1977" s="1008"/>
      <c r="AF1977" s="1008" t="s">
        <v>670</v>
      </c>
      <c r="AG1977" s="1008"/>
      <c r="AH1977" s="1008"/>
      <c r="AI1977" s="1008"/>
    </row>
    <row r="1978" spans="1:35">
      <c r="A1978" s="1008">
        <v>24613</v>
      </c>
      <c r="C1978" s="1008">
        <v>6</v>
      </c>
      <c r="D1978" s="1009">
        <v>23199900</v>
      </c>
      <c r="E1978" s="1009">
        <v>23149999</v>
      </c>
      <c r="F1978" s="1007" t="s">
        <v>2688</v>
      </c>
      <c r="O1978" s="1007" t="s">
        <v>648</v>
      </c>
      <c r="P1978" s="1007" t="s">
        <v>648</v>
      </c>
      <c r="S1978" s="1008" t="s">
        <v>657</v>
      </c>
      <c r="T1978" s="1008" t="s">
        <v>21</v>
      </c>
      <c r="U1978" s="1008" t="s">
        <v>649</v>
      </c>
      <c r="V1978" s="1008" t="s">
        <v>648</v>
      </c>
      <c r="W1978" s="1008" t="s">
        <v>546</v>
      </c>
      <c r="X1978" s="1008"/>
      <c r="Y1978" s="1008"/>
      <c r="Z1978" s="1008"/>
      <c r="AA1978" s="1008"/>
      <c r="AB1978" s="1008"/>
      <c r="AC1978" s="1008"/>
      <c r="AD1978" s="1008"/>
      <c r="AE1978" s="1008"/>
      <c r="AF1978" s="1008"/>
      <c r="AG1978" s="1008"/>
      <c r="AH1978" s="1008"/>
      <c r="AI1978" s="1008"/>
    </row>
    <row r="1979" spans="1:35">
      <c r="A1979" s="1008">
        <v>24614</v>
      </c>
      <c r="C1979" s="1008">
        <v>5</v>
      </c>
      <c r="D1979" s="1009">
        <v>23199999</v>
      </c>
      <c r="E1979" s="1009">
        <v>23199900</v>
      </c>
      <c r="F1979" s="1007" t="s">
        <v>2687</v>
      </c>
      <c r="O1979" s="1007" t="s">
        <v>648</v>
      </c>
      <c r="P1979" s="1007" t="s">
        <v>648</v>
      </c>
      <c r="S1979" s="1008" t="s">
        <v>657</v>
      </c>
      <c r="T1979" s="1008" t="s">
        <v>21</v>
      </c>
      <c r="U1979" s="1008" t="s">
        <v>649</v>
      </c>
      <c r="V1979" s="1008" t="s">
        <v>648</v>
      </c>
      <c r="W1979" s="1008" t="s">
        <v>546</v>
      </c>
      <c r="X1979" s="1008"/>
      <c r="Y1979" s="1008"/>
      <c r="Z1979" s="1008"/>
      <c r="AA1979" s="1008"/>
      <c r="AB1979" s="1008"/>
      <c r="AC1979" s="1008"/>
      <c r="AD1979" s="1008"/>
      <c r="AE1979" s="1008"/>
      <c r="AF1979" s="1008"/>
      <c r="AG1979" s="1008"/>
      <c r="AH1979" s="1008"/>
      <c r="AI1979" s="1008"/>
    </row>
    <row r="1980" spans="1:35">
      <c r="A1980" s="1008">
        <v>24615</v>
      </c>
      <c r="C1980" s="1008">
        <v>4</v>
      </c>
      <c r="D1980" s="1009">
        <v>29999999</v>
      </c>
      <c r="E1980" s="1009">
        <v>23199999</v>
      </c>
      <c r="F1980" s="1007" t="s">
        <v>2686</v>
      </c>
      <c r="O1980" s="1007" t="s">
        <v>648</v>
      </c>
      <c r="P1980" s="1007" t="s">
        <v>648</v>
      </c>
      <c r="S1980" s="1008" t="s">
        <v>657</v>
      </c>
      <c r="T1980" s="1008" t="s">
        <v>21</v>
      </c>
      <c r="U1980" s="1008" t="s">
        <v>649</v>
      </c>
      <c r="V1980" s="1008" t="s">
        <v>648</v>
      </c>
      <c r="W1980" s="1008" t="s">
        <v>546</v>
      </c>
      <c r="X1980" s="1008"/>
      <c r="Y1980" s="1008"/>
      <c r="Z1980" s="1008"/>
      <c r="AA1980" s="1008"/>
      <c r="AB1980" s="1008"/>
      <c r="AC1980" s="1008"/>
      <c r="AD1980" s="1008"/>
      <c r="AE1980" s="1008"/>
      <c r="AF1980" s="1008"/>
      <c r="AG1980" s="1008"/>
      <c r="AH1980" s="1008"/>
      <c r="AI1980" s="1008"/>
    </row>
    <row r="1981" spans="1:35">
      <c r="A1981" s="1008">
        <v>26379</v>
      </c>
      <c r="C1981" s="1008">
        <v>4</v>
      </c>
      <c r="D1981" s="1009">
        <v>23799999</v>
      </c>
      <c r="E1981" s="1009">
        <v>23500000</v>
      </c>
      <c r="F1981" s="1007" t="s">
        <v>2685</v>
      </c>
      <c r="O1981" s="1007" t="s">
        <v>648</v>
      </c>
      <c r="P1981" s="1007" t="s">
        <v>648</v>
      </c>
      <c r="S1981" s="1008" t="s">
        <v>657</v>
      </c>
      <c r="T1981" s="1008" t="s">
        <v>675</v>
      </c>
      <c r="U1981" s="1008" t="s">
        <v>649</v>
      </c>
      <c r="V1981" s="1008" t="s">
        <v>648</v>
      </c>
      <c r="W1981" s="1008" t="s">
        <v>546</v>
      </c>
      <c r="X1981" s="1008"/>
      <c r="Y1981" s="1008"/>
      <c r="Z1981" s="1008"/>
      <c r="AA1981" s="1008"/>
      <c r="AB1981" s="1008"/>
      <c r="AC1981" s="1008"/>
      <c r="AD1981" s="1008"/>
      <c r="AE1981" s="1008"/>
      <c r="AF1981" s="1008"/>
      <c r="AG1981" s="1008"/>
      <c r="AH1981" s="1008"/>
      <c r="AI1981" s="1008"/>
    </row>
    <row r="1982" spans="1:35">
      <c r="A1982" s="1008">
        <v>26378</v>
      </c>
      <c r="C1982" s="1008">
        <v>5</v>
      </c>
      <c r="D1982" s="1009">
        <v>23599999</v>
      </c>
      <c r="E1982" s="1009">
        <v>23501000</v>
      </c>
      <c r="F1982" s="1007" t="s">
        <v>2684</v>
      </c>
      <c r="O1982" s="1007" t="s">
        <v>648</v>
      </c>
      <c r="P1982" s="1007" t="s">
        <v>648</v>
      </c>
      <c r="S1982" s="1008" t="s">
        <v>657</v>
      </c>
      <c r="T1982" s="1008" t="s">
        <v>675</v>
      </c>
      <c r="U1982" s="1008" t="s">
        <v>649</v>
      </c>
      <c r="V1982" s="1008" t="s">
        <v>648</v>
      </c>
      <c r="W1982" s="1008" t="s">
        <v>546</v>
      </c>
      <c r="X1982" s="1008"/>
      <c r="Y1982" s="1008"/>
      <c r="Z1982" s="1008"/>
      <c r="AA1982" s="1008"/>
      <c r="AB1982" s="1008"/>
      <c r="AC1982" s="1008"/>
      <c r="AD1982" s="1008"/>
      <c r="AE1982" s="1008"/>
      <c r="AF1982" s="1008"/>
      <c r="AG1982" s="1008"/>
      <c r="AH1982" s="1008"/>
      <c r="AI1982" s="1008"/>
    </row>
    <row r="1983" spans="1:35">
      <c r="A1983" s="1008">
        <v>26377</v>
      </c>
      <c r="C1983" s="1008">
        <v>6</v>
      </c>
      <c r="D1983" s="1009">
        <v>23519999</v>
      </c>
      <c r="E1983" s="1009">
        <v>23510000</v>
      </c>
      <c r="F1983" s="1007" t="s">
        <v>2683</v>
      </c>
      <c r="O1983" s="1007" t="s">
        <v>648</v>
      </c>
      <c r="P1983" s="1007" t="s">
        <v>648</v>
      </c>
      <c r="S1983" s="1008" t="s">
        <v>657</v>
      </c>
      <c r="T1983" s="1008" t="s">
        <v>675</v>
      </c>
      <c r="U1983" s="1008" t="s">
        <v>649</v>
      </c>
      <c r="V1983" s="1008" t="s">
        <v>648</v>
      </c>
      <c r="W1983" s="1008" t="s">
        <v>546</v>
      </c>
      <c r="X1983" s="1008"/>
      <c r="Y1983" s="1008"/>
      <c r="Z1983" s="1008"/>
      <c r="AA1983" s="1008"/>
      <c r="AB1983" s="1008"/>
      <c r="AC1983" s="1008"/>
      <c r="AD1983" s="1008"/>
      <c r="AE1983" s="1008"/>
      <c r="AF1983" s="1008"/>
      <c r="AG1983" s="1008"/>
      <c r="AH1983" s="1008"/>
      <c r="AI1983" s="1008"/>
    </row>
    <row r="1984" spans="1:35">
      <c r="A1984" s="1008">
        <v>26376</v>
      </c>
      <c r="B1984" s="1008">
        <v>1932</v>
      </c>
      <c r="C1984" s="1008">
        <v>7</v>
      </c>
      <c r="D1984" s="1009">
        <v>23519999</v>
      </c>
      <c r="E1984" s="1009">
        <v>23510200</v>
      </c>
      <c r="F1984" s="1007" t="s">
        <v>2682</v>
      </c>
      <c r="G1984" s="1007">
        <v>7</v>
      </c>
      <c r="H1984" s="1010">
        <v>99999999</v>
      </c>
      <c r="I1984" s="1009">
        <v>23510200</v>
      </c>
      <c r="J1984" s="1007" t="s">
        <v>2682</v>
      </c>
      <c r="O1984" s="1007" t="s">
        <v>648</v>
      </c>
      <c r="P1984" s="1007" t="s">
        <v>648</v>
      </c>
      <c r="S1984" s="1008" t="s">
        <v>657</v>
      </c>
      <c r="T1984" s="1008" t="s">
        <v>654</v>
      </c>
      <c r="U1984" s="1008" t="s">
        <v>649</v>
      </c>
      <c r="V1984" s="1008" t="s">
        <v>648</v>
      </c>
      <c r="W1984" s="1008" t="s">
        <v>546</v>
      </c>
      <c r="X1984" s="1008" t="s">
        <v>670</v>
      </c>
      <c r="Y1984" s="1008" t="s">
        <v>670</v>
      </c>
      <c r="Z1984" s="1008" t="s">
        <v>670</v>
      </c>
      <c r="AA1984" s="1008" t="s">
        <v>670</v>
      </c>
      <c r="AB1984" s="1008" t="s">
        <v>670</v>
      </c>
      <c r="AC1984" s="1008" t="s">
        <v>670</v>
      </c>
      <c r="AD1984" s="1008" t="s">
        <v>670</v>
      </c>
      <c r="AE1984" s="1008"/>
      <c r="AF1984" s="1008" t="s">
        <v>670</v>
      </c>
      <c r="AG1984" s="1008"/>
      <c r="AH1984" s="1008"/>
      <c r="AI1984" s="1008"/>
    </row>
    <row r="1985" spans="1:35">
      <c r="A1985" s="1008">
        <v>26375</v>
      </c>
      <c r="B1985" s="1008">
        <v>1933</v>
      </c>
      <c r="C1985" s="1008">
        <v>7</v>
      </c>
      <c r="D1985" s="1009">
        <v>23519999</v>
      </c>
      <c r="E1985" s="1009">
        <v>23510300</v>
      </c>
      <c r="F1985" s="1007" t="s">
        <v>2681</v>
      </c>
      <c r="G1985" s="1007">
        <v>7</v>
      </c>
      <c r="H1985" s="1010">
        <v>99999999</v>
      </c>
      <c r="I1985" s="1009">
        <v>23510300</v>
      </c>
      <c r="J1985" s="1007" t="s">
        <v>2681</v>
      </c>
      <c r="O1985" s="1007" t="s">
        <v>648</v>
      </c>
      <c r="P1985" s="1007" t="s">
        <v>648</v>
      </c>
      <c r="S1985" s="1008" t="s">
        <v>657</v>
      </c>
      <c r="T1985" s="1008" t="s">
        <v>654</v>
      </c>
      <c r="U1985" s="1008" t="s">
        <v>649</v>
      </c>
      <c r="V1985" s="1008" t="s">
        <v>648</v>
      </c>
      <c r="W1985" s="1008" t="s">
        <v>546</v>
      </c>
      <c r="X1985" s="1008" t="s">
        <v>670</v>
      </c>
      <c r="Y1985" s="1008" t="s">
        <v>670</v>
      </c>
      <c r="Z1985" s="1008" t="s">
        <v>670</v>
      </c>
      <c r="AA1985" s="1008" t="s">
        <v>670</v>
      </c>
      <c r="AB1985" s="1008" t="s">
        <v>670</v>
      </c>
      <c r="AC1985" s="1008" t="s">
        <v>670</v>
      </c>
      <c r="AD1985" s="1008" t="s">
        <v>670</v>
      </c>
      <c r="AE1985" s="1008"/>
      <c r="AF1985" s="1008" t="s">
        <v>670</v>
      </c>
      <c r="AG1985" s="1008"/>
      <c r="AH1985" s="1008"/>
      <c r="AI1985" s="1008"/>
    </row>
    <row r="1986" spans="1:35">
      <c r="A1986" s="1008">
        <v>26374</v>
      </c>
      <c r="B1986" s="1008">
        <v>1934</v>
      </c>
      <c r="C1986" s="1008">
        <v>7</v>
      </c>
      <c r="D1986" s="1009">
        <v>23519999</v>
      </c>
      <c r="E1986" s="1009">
        <v>23510500</v>
      </c>
      <c r="F1986" s="1007" t="s">
        <v>2680</v>
      </c>
      <c r="G1986" s="1007">
        <v>7</v>
      </c>
      <c r="H1986" s="1010">
        <v>99999999</v>
      </c>
      <c r="I1986" s="1009">
        <v>23510500</v>
      </c>
      <c r="J1986" s="1007" t="s">
        <v>2680</v>
      </c>
      <c r="O1986" s="1007" t="s">
        <v>648</v>
      </c>
      <c r="P1986" s="1007" t="s">
        <v>648</v>
      </c>
      <c r="S1986" s="1008" t="s">
        <v>657</v>
      </c>
      <c r="T1986" s="1008" t="s">
        <v>654</v>
      </c>
      <c r="U1986" s="1008" t="s">
        <v>649</v>
      </c>
      <c r="V1986" s="1008" t="s">
        <v>648</v>
      </c>
      <c r="W1986" s="1008" t="s">
        <v>546</v>
      </c>
      <c r="X1986" s="1008" t="s">
        <v>670</v>
      </c>
      <c r="Y1986" s="1008" t="s">
        <v>670</v>
      </c>
      <c r="Z1986" s="1008" t="s">
        <v>670</v>
      </c>
      <c r="AA1986" s="1008" t="s">
        <v>670</v>
      </c>
      <c r="AB1986" s="1008" t="s">
        <v>670</v>
      </c>
      <c r="AC1986" s="1008" t="s">
        <v>670</v>
      </c>
      <c r="AD1986" s="1008" t="s">
        <v>670</v>
      </c>
      <c r="AE1986" s="1008"/>
      <c r="AF1986" s="1008" t="s">
        <v>670</v>
      </c>
      <c r="AG1986" s="1008"/>
      <c r="AH1986" s="1008"/>
      <c r="AI1986" s="1008"/>
    </row>
    <row r="1987" spans="1:35">
      <c r="A1987" s="1008">
        <v>26373</v>
      </c>
      <c r="B1987" s="1008">
        <v>1935</v>
      </c>
      <c r="C1987" s="1008">
        <v>7</v>
      </c>
      <c r="D1987" s="1009">
        <v>23519999</v>
      </c>
      <c r="E1987" s="1009">
        <v>23510700</v>
      </c>
      <c r="F1987" s="1007" t="s">
        <v>2679</v>
      </c>
      <c r="G1987" s="1007">
        <v>7</v>
      </c>
      <c r="H1987" s="1010">
        <v>99999999</v>
      </c>
      <c r="I1987" s="1009">
        <v>23510700</v>
      </c>
      <c r="J1987" s="1007" t="s">
        <v>2679</v>
      </c>
      <c r="O1987" s="1007" t="s">
        <v>648</v>
      </c>
      <c r="P1987" s="1007" t="s">
        <v>648</v>
      </c>
      <c r="S1987" s="1008" t="s">
        <v>657</v>
      </c>
      <c r="T1987" s="1008" t="s">
        <v>654</v>
      </c>
      <c r="U1987" s="1008" t="s">
        <v>649</v>
      </c>
      <c r="V1987" s="1008" t="s">
        <v>648</v>
      </c>
      <c r="W1987" s="1008" t="s">
        <v>546</v>
      </c>
      <c r="X1987" s="1008" t="s">
        <v>670</v>
      </c>
      <c r="Y1987" s="1008" t="s">
        <v>670</v>
      </c>
      <c r="Z1987" s="1008" t="s">
        <v>670</v>
      </c>
      <c r="AA1987" s="1008" t="s">
        <v>670</v>
      </c>
      <c r="AB1987" s="1008" t="s">
        <v>670</v>
      </c>
      <c r="AC1987" s="1008" t="s">
        <v>670</v>
      </c>
      <c r="AD1987" s="1008" t="s">
        <v>670</v>
      </c>
      <c r="AE1987" s="1008"/>
      <c r="AF1987" s="1008" t="s">
        <v>670</v>
      </c>
      <c r="AG1987" s="1008"/>
      <c r="AH1987" s="1008"/>
      <c r="AI1987" s="1008"/>
    </row>
    <row r="1988" spans="1:35">
      <c r="A1988" s="1008">
        <v>26372</v>
      </c>
      <c r="B1988" s="1008">
        <v>5175</v>
      </c>
      <c r="C1988" s="1008">
        <v>7</v>
      </c>
      <c r="D1988" s="1009">
        <v>23519999</v>
      </c>
      <c r="E1988" s="1009">
        <v>23510800</v>
      </c>
      <c r="F1988" s="1007" t="s">
        <v>2678</v>
      </c>
      <c r="G1988" s="1007">
        <v>7</v>
      </c>
      <c r="H1988" s="1010">
        <v>99999999</v>
      </c>
      <c r="I1988" s="1009">
        <v>23510800</v>
      </c>
      <c r="J1988" s="1007" t="s">
        <v>2678</v>
      </c>
      <c r="O1988" s="1007" t="s">
        <v>648</v>
      </c>
      <c r="P1988" s="1007" t="s">
        <v>648</v>
      </c>
      <c r="S1988" s="1008" t="s">
        <v>657</v>
      </c>
      <c r="T1988" s="1008" t="s">
        <v>654</v>
      </c>
      <c r="U1988" s="1008" t="s">
        <v>649</v>
      </c>
      <c r="V1988" s="1008" t="s">
        <v>648</v>
      </c>
      <c r="W1988" s="1008" t="s">
        <v>546</v>
      </c>
      <c r="X1988" s="1008" t="s">
        <v>670</v>
      </c>
      <c r="Y1988" s="1008" t="s">
        <v>670</v>
      </c>
      <c r="Z1988" s="1008" t="s">
        <v>670</v>
      </c>
      <c r="AA1988" s="1008" t="s">
        <v>670</v>
      </c>
      <c r="AB1988" s="1008" t="s">
        <v>670</v>
      </c>
      <c r="AC1988" s="1008" t="s">
        <v>670</v>
      </c>
      <c r="AD1988" s="1008" t="s">
        <v>670</v>
      </c>
      <c r="AE1988" s="1008"/>
      <c r="AF1988" s="1008" t="s">
        <v>670</v>
      </c>
      <c r="AG1988" s="1008"/>
      <c r="AH1988" s="1008"/>
      <c r="AI1988" s="1008"/>
    </row>
    <row r="1989" spans="1:35">
      <c r="A1989" s="1008">
        <v>26371</v>
      </c>
      <c r="C1989" s="1008">
        <v>6</v>
      </c>
      <c r="D1989" s="1009">
        <v>23599999</v>
      </c>
      <c r="E1989" s="1009">
        <v>23519999</v>
      </c>
      <c r="F1989" s="1007" t="s">
        <v>2677</v>
      </c>
      <c r="O1989" s="1007" t="s">
        <v>648</v>
      </c>
      <c r="P1989" s="1007" t="s">
        <v>648</v>
      </c>
      <c r="S1989" s="1008" t="s">
        <v>657</v>
      </c>
      <c r="T1989" s="1008" t="s">
        <v>21</v>
      </c>
      <c r="U1989" s="1008" t="s">
        <v>649</v>
      </c>
      <c r="V1989" s="1008" t="s">
        <v>648</v>
      </c>
      <c r="W1989" s="1008" t="s">
        <v>546</v>
      </c>
      <c r="X1989" s="1008"/>
      <c r="Y1989" s="1008"/>
      <c r="Z1989" s="1008"/>
      <c r="AA1989" s="1008"/>
      <c r="AB1989" s="1008"/>
      <c r="AC1989" s="1008"/>
      <c r="AD1989" s="1008"/>
      <c r="AE1989" s="1008"/>
      <c r="AF1989" s="1008"/>
      <c r="AG1989" s="1008"/>
      <c r="AH1989" s="1008"/>
      <c r="AI1989" s="1008"/>
    </row>
    <row r="1990" spans="1:35">
      <c r="A1990" s="1008">
        <v>26370</v>
      </c>
      <c r="C1990" s="1008">
        <v>5</v>
      </c>
      <c r="D1990" s="1009">
        <v>23799999</v>
      </c>
      <c r="E1990" s="1009">
        <v>23599999</v>
      </c>
      <c r="F1990" s="1007" t="s">
        <v>2676</v>
      </c>
      <c r="O1990" s="1007" t="s">
        <v>648</v>
      </c>
      <c r="P1990" s="1007" t="s">
        <v>648</v>
      </c>
      <c r="S1990" s="1008" t="s">
        <v>657</v>
      </c>
      <c r="T1990" s="1008" t="s">
        <v>21</v>
      </c>
      <c r="U1990" s="1008" t="s">
        <v>649</v>
      </c>
      <c r="V1990" s="1008" t="s">
        <v>648</v>
      </c>
      <c r="W1990" s="1008" t="s">
        <v>546</v>
      </c>
      <c r="X1990" s="1008"/>
      <c r="Y1990" s="1008"/>
      <c r="Z1990" s="1008"/>
      <c r="AA1990" s="1008"/>
      <c r="AB1990" s="1008"/>
      <c r="AC1990" s="1008"/>
      <c r="AD1990" s="1008"/>
      <c r="AE1990" s="1008"/>
      <c r="AF1990" s="1008"/>
      <c r="AG1990" s="1008"/>
      <c r="AH1990" s="1008"/>
      <c r="AI1990" s="1008"/>
    </row>
    <row r="1991" spans="1:35">
      <c r="A1991" s="1008">
        <v>26369</v>
      </c>
      <c r="C1991" s="1008">
        <v>5</v>
      </c>
      <c r="D1991" s="1009">
        <v>23699900</v>
      </c>
      <c r="E1991" s="1009">
        <v>23600000</v>
      </c>
      <c r="F1991" s="1007" t="s">
        <v>2675</v>
      </c>
      <c r="O1991" s="1007" t="s">
        <v>648</v>
      </c>
      <c r="P1991" s="1007" t="s">
        <v>648</v>
      </c>
      <c r="S1991" s="1008" t="s">
        <v>657</v>
      </c>
      <c r="T1991" s="1008" t="s">
        <v>675</v>
      </c>
      <c r="U1991" s="1008" t="s">
        <v>649</v>
      </c>
      <c r="V1991" s="1008" t="s">
        <v>648</v>
      </c>
      <c r="W1991" s="1008" t="s">
        <v>546</v>
      </c>
      <c r="X1991" s="1008"/>
      <c r="Y1991" s="1008"/>
      <c r="Z1991" s="1008"/>
      <c r="AA1991" s="1008"/>
      <c r="AB1991" s="1008"/>
      <c r="AC1991" s="1008"/>
      <c r="AD1991" s="1008"/>
      <c r="AE1991" s="1008"/>
      <c r="AF1991" s="1008"/>
      <c r="AG1991" s="1008"/>
      <c r="AH1991" s="1008"/>
      <c r="AI1991" s="1008"/>
    </row>
    <row r="1992" spans="1:35">
      <c r="A1992" s="1008">
        <v>26368</v>
      </c>
      <c r="C1992" s="1008">
        <v>6</v>
      </c>
      <c r="D1992" s="1009">
        <v>23619999</v>
      </c>
      <c r="E1992" s="1009">
        <v>23610000</v>
      </c>
      <c r="F1992" s="1007" t="s">
        <v>2674</v>
      </c>
      <c r="O1992" s="1007" t="s">
        <v>648</v>
      </c>
      <c r="P1992" s="1007" t="s">
        <v>648</v>
      </c>
      <c r="S1992" s="1008" t="s">
        <v>657</v>
      </c>
      <c r="T1992" s="1008" t="s">
        <v>675</v>
      </c>
      <c r="U1992" s="1008" t="s">
        <v>649</v>
      </c>
      <c r="V1992" s="1008" t="s">
        <v>648</v>
      </c>
      <c r="W1992" s="1008" t="s">
        <v>546</v>
      </c>
      <c r="X1992" s="1008"/>
      <c r="Y1992" s="1008"/>
      <c r="Z1992" s="1008"/>
      <c r="AA1992" s="1008"/>
      <c r="AB1992" s="1008"/>
      <c r="AC1992" s="1008"/>
      <c r="AD1992" s="1008"/>
      <c r="AE1992" s="1008"/>
      <c r="AF1992" s="1008"/>
      <c r="AG1992" s="1008"/>
      <c r="AH1992" s="1008"/>
      <c r="AI1992" s="1008"/>
    </row>
    <row r="1993" spans="1:35">
      <c r="A1993" s="1008">
        <v>26367</v>
      </c>
      <c r="B1993" s="1008">
        <v>1937</v>
      </c>
      <c r="C1993" s="1008">
        <v>7</v>
      </c>
      <c r="D1993" s="1009">
        <v>23619999</v>
      </c>
      <c r="E1993" s="1009">
        <v>23610200</v>
      </c>
      <c r="F1993" s="1007" t="s">
        <v>2673</v>
      </c>
      <c r="G1993" s="1007">
        <v>7</v>
      </c>
      <c r="H1993" s="1010">
        <v>99999999</v>
      </c>
      <c r="I1993" s="1009">
        <v>23610200</v>
      </c>
      <c r="J1993" s="1007" t="s">
        <v>2673</v>
      </c>
      <c r="O1993" s="1007" t="s">
        <v>648</v>
      </c>
      <c r="P1993" s="1007" t="s">
        <v>648</v>
      </c>
      <c r="S1993" s="1008" t="s">
        <v>657</v>
      </c>
      <c r="T1993" s="1008" t="s">
        <v>654</v>
      </c>
      <c r="U1993" s="1008" t="s">
        <v>649</v>
      </c>
      <c r="V1993" s="1008" t="s">
        <v>648</v>
      </c>
      <c r="W1993" s="1008" t="s">
        <v>546</v>
      </c>
      <c r="X1993" s="1008" t="s">
        <v>670</v>
      </c>
      <c r="Y1993" s="1008" t="s">
        <v>670</v>
      </c>
      <c r="Z1993" s="1008" t="s">
        <v>670</v>
      </c>
      <c r="AA1993" s="1008" t="s">
        <v>670</v>
      </c>
      <c r="AB1993" s="1008" t="s">
        <v>670</v>
      </c>
      <c r="AC1993" s="1008" t="s">
        <v>670</v>
      </c>
      <c r="AD1993" s="1008" t="s">
        <v>670</v>
      </c>
      <c r="AE1993" s="1008"/>
      <c r="AF1993" s="1008" t="s">
        <v>670</v>
      </c>
      <c r="AG1993" s="1008"/>
      <c r="AH1993" s="1008"/>
      <c r="AI1993" s="1008"/>
    </row>
    <row r="1994" spans="1:35">
      <c r="A1994" s="1008">
        <v>26366</v>
      </c>
      <c r="B1994" s="1008">
        <v>1938</v>
      </c>
      <c r="C1994" s="1008">
        <v>7</v>
      </c>
      <c r="D1994" s="1009">
        <v>23619999</v>
      </c>
      <c r="E1994" s="1009">
        <v>23610300</v>
      </c>
      <c r="F1994" s="1007" t="s">
        <v>2672</v>
      </c>
      <c r="G1994" s="1007">
        <v>7</v>
      </c>
      <c r="H1994" s="1010">
        <v>99999999</v>
      </c>
      <c r="I1994" s="1009">
        <v>23610300</v>
      </c>
      <c r="J1994" s="1007" t="s">
        <v>2672</v>
      </c>
      <c r="O1994" s="1007" t="s">
        <v>648</v>
      </c>
      <c r="P1994" s="1007" t="s">
        <v>648</v>
      </c>
      <c r="S1994" s="1008" t="s">
        <v>657</v>
      </c>
      <c r="T1994" s="1008" t="s">
        <v>654</v>
      </c>
      <c r="U1994" s="1008" t="s">
        <v>649</v>
      </c>
      <c r="V1994" s="1008" t="s">
        <v>648</v>
      </c>
      <c r="W1994" s="1008" t="s">
        <v>546</v>
      </c>
      <c r="X1994" s="1008" t="s">
        <v>670</v>
      </c>
      <c r="Y1994" s="1008" t="s">
        <v>670</v>
      </c>
      <c r="Z1994" s="1008" t="s">
        <v>670</v>
      </c>
      <c r="AA1994" s="1008" t="s">
        <v>670</v>
      </c>
      <c r="AB1994" s="1008" t="s">
        <v>670</v>
      </c>
      <c r="AC1994" s="1008" t="s">
        <v>670</v>
      </c>
      <c r="AD1994" s="1008" t="s">
        <v>670</v>
      </c>
      <c r="AE1994" s="1008"/>
      <c r="AF1994" s="1008" t="s">
        <v>670</v>
      </c>
      <c r="AG1994" s="1008"/>
      <c r="AH1994" s="1008"/>
      <c r="AI1994" s="1008"/>
    </row>
    <row r="1995" spans="1:35">
      <c r="A1995" s="1008">
        <v>26365</v>
      </c>
      <c r="B1995" s="1008">
        <v>1939</v>
      </c>
      <c r="C1995" s="1008">
        <v>7</v>
      </c>
      <c r="D1995" s="1009">
        <v>23619999</v>
      </c>
      <c r="E1995" s="1009">
        <v>23610500</v>
      </c>
      <c r="F1995" s="1007" t="s">
        <v>2671</v>
      </c>
      <c r="G1995" s="1007">
        <v>7</v>
      </c>
      <c r="H1995" s="1010">
        <v>99999999</v>
      </c>
      <c r="I1995" s="1009">
        <v>23610500</v>
      </c>
      <c r="J1995" s="1007" t="s">
        <v>2671</v>
      </c>
      <c r="O1995" s="1007" t="s">
        <v>648</v>
      </c>
      <c r="P1995" s="1007" t="s">
        <v>648</v>
      </c>
      <c r="S1995" s="1008" t="s">
        <v>657</v>
      </c>
      <c r="T1995" s="1008" t="s">
        <v>654</v>
      </c>
      <c r="U1995" s="1008" t="s">
        <v>649</v>
      </c>
      <c r="V1995" s="1008" t="s">
        <v>648</v>
      </c>
      <c r="W1995" s="1008" t="s">
        <v>546</v>
      </c>
      <c r="X1995" s="1008" t="s">
        <v>670</v>
      </c>
      <c r="Y1995" s="1008" t="s">
        <v>670</v>
      </c>
      <c r="Z1995" s="1008" t="s">
        <v>670</v>
      </c>
      <c r="AA1995" s="1008" t="s">
        <v>670</v>
      </c>
      <c r="AB1995" s="1008" t="s">
        <v>670</v>
      </c>
      <c r="AC1995" s="1008" t="s">
        <v>670</v>
      </c>
      <c r="AD1995" s="1008" t="s">
        <v>670</v>
      </c>
      <c r="AE1995" s="1008"/>
      <c r="AF1995" s="1008" t="s">
        <v>670</v>
      </c>
      <c r="AG1995" s="1008"/>
      <c r="AH1995" s="1008"/>
      <c r="AI1995" s="1008"/>
    </row>
    <row r="1996" spans="1:35">
      <c r="A1996" s="1008">
        <v>26364</v>
      </c>
      <c r="B1996" s="1008">
        <v>1940</v>
      </c>
      <c r="C1996" s="1008">
        <v>7</v>
      </c>
      <c r="D1996" s="1009">
        <v>23619999</v>
      </c>
      <c r="E1996" s="1009">
        <v>23610700</v>
      </c>
      <c r="F1996" s="1007" t="s">
        <v>2670</v>
      </c>
      <c r="G1996" s="1007">
        <v>7</v>
      </c>
      <c r="H1996" s="1010">
        <v>99999999</v>
      </c>
      <c r="I1996" s="1009">
        <v>23610700</v>
      </c>
      <c r="J1996" s="1007" t="s">
        <v>2670</v>
      </c>
      <c r="O1996" s="1007" t="s">
        <v>648</v>
      </c>
      <c r="P1996" s="1007" t="s">
        <v>648</v>
      </c>
      <c r="S1996" s="1008" t="s">
        <v>657</v>
      </c>
      <c r="T1996" s="1008" t="s">
        <v>654</v>
      </c>
      <c r="U1996" s="1008" t="s">
        <v>649</v>
      </c>
      <c r="V1996" s="1008" t="s">
        <v>648</v>
      </c>
      <c r="W1996" s="1008" t="s">
        <v>546</v>
      </c>
      <c r="X1996" s="1008" t="s">
        <v>670</v>
      </c>
      <c r="Y1996" s="1008" t="s">
        <v>670</v>
      </c>
      <c r="Z1996" s="1008" t="s">
        <v>670</v>
      </c>
      <c r="AA1996" s="1008" t="s">
        <v>670</v>
      </c>
      <c r="AB1996" s="1008" t="s">
        <v>670</v>
      </c>
      <c r="AC1996" s="1008" t="s">
        <v>670</v>
      </c>
      <c r="AD1996" s="1008" t="s">
        <v>670</v>
      </c>
      <c r="AE1996" s="1008"/>
      <c r="AF1996" s="1008" t="s">
        <v>670</v>
      </c>
      <c r="AG1996" s="1008"/>
      <c r="AH1996" s="1008"/>
      <c r="AI1996" s="1008"/>
    </row>
    <row r="1997" spans="1:35">
      <c r="A1997" s="1008">
        <v>26363</v>
      </c>
      <c r="B1997" s="1008">
        <v>5179</v>
      </c>
      <c r="C1997" s="1008">
        <v>7</v>
      </c>
      <c r="D1997" s="1009">
        <v>23619999</v>
      </c>
      <c r="E1997" s="1009">
        <v>23610800</v>
      </c>
      <c r="F1997" s="1007" t="s">
        <v>2669</v>
      </c>
      <c r="G1997" s="1007">
        <v>7</v>
      </c>
      <c r="H1997" s="1010">
        <v>99999999</v>
      </c>
      <c r="I1997" s="1009">
        <v>23610800</v>
      </c>
      <c r="J1997" s="1007" t="s">
        <v>2669</v>
      </c>
      <c r="O1997" s="1007" t="s">
        <v>648</v>
      </c>
      <c r="P1997" s="1007" t="s">
        <v>648</v>
      </c>
      <c r="S1997" s="1008" t="s">
        <v>657</v>
      </c>
      <c r="T1997" s="1008" t="s">
        <v>654</v>
      </c>
      <c r="U1997" s="1008" t="s">
        <v>649</v>
      </c>
      <c r="V1997" s="1008" t="s">
        <v>648</v>
      </c>
      <c r="W1997" s="1008" t="s">
        <v>546</v>
      </c>
      <c r="X1997" s="1008" t="s">
        <v>670</v>
      </c>
      <c r="Y1997" s="1008" t="s">
        <v>670</v>
      </c>
      <c r="Z1997" s="1008" t="s">
        <v>670</v>
      </c>
      <c r="AA1997" s="1008" t="s">
        <v>670</v>
      </c>
      <c r="AB1997" s="1008" t="s">
        <v>670</v>
      </c>
      <c r="AC1997" s="1008" t="s">
        <v>670</v>
      </c>
      <c r="AD1997" s="1008" t="s">
        <v>670</v>
      </c>
      <c r="AE1997" s="1008"/>
      <c r="AF1997" s="1008" t="s">
        <v>670</v>
      </c>
      <c r="AG1997" s="1008"/>
      <c r="AH1997" s="1008"/>
      <c r="AI1997" s="1008"/>
    </row>
    <row r="1998" spans="1:35">
      <c r="A1998" s="1008">
        <v>26362</v>
      </c>
      <c r="C1998" s="1008">
        <v>6</v>
      </c>
      <c r="D1998" s="1009">
        <v>23699900</v>
      </c>
      <c r="E1998" s="1009">
        <v>23619999</v>
      </c>
      <c r="F1998" s="1007" t="s">
        <v>2668</v>
      </c>
      <c r="O1998" s="1007" t="s">
        <v>648</v>
      </c>
      <c r="P1998" s="1007" t="s">
        <v>648</v>
      </c>
      <c r="S1998" s="1008" t="s">
        <v>657</v>
      </c>
      <c r="T1998" s="1008" t="s">
        <v>21</v>
      </c>
      <c r="U1998" s="1008" t="s">
        <v>649</v>
      </c>
      <c r="V1998" s="1008" t="s">
        <v>648</v>
      </c>
      <c r="W1998" s="1008" t="s">
        <v>546</v>
      </c>
      <c r="X1998" s="1008"/>
      <c r="Y1998" s="1008"/>
      <c r="Z1998" s="1008"/>
      <c r="AA1998" s="1008"/>
      <c r="AB1998" s="1008"/>
      <c r="AC1998" s="1008"/>
      <c r="AD1998" s="1008"/>
      <c r="AE1998" s="1008"/>
      <c r="AF1998" s="1008"/>
      <c r="AG1998" s="1008"/>
      <c r="AH1998" s="1008"/>
      <c r="AI1998" s="1008"/>
    </row>
    <row r="1999" spans="1:35">
      <c r="A1999" s="1008">
        <v>26361</v>
      </c>
      <c r="C1999" s="1008">
        <v>5</v>
      </c>
      <c r="D1999" s="1009">
        <v>23799999</v>
      </c>
      <c r="E1999" s="1009">
        <v>23699900</v>
      </c>
      <c r="F1999" s="1007" t="s">
        <v>2667</v>
      </c>
      <c r="O1999" s="1007" t="s">
        <v>648</v>
      </c>
      <c r="P1999" s="1007" t="s">
        <v>648</v>
      </c>
      <c r="S1999" s="1008" t="s">
        <v>657</v>
      </c>
      <c r="T1999" s="1008" t="s">
        <v>21</v>
      </c>
      <c r="U1999" s="1008" t="s">
        <v>649</v>
      </c>
      <c r="V1999" s="1008" t="s">
        <v>648</v>
      </c>
      <c r="W1999" s="1008" t="s">
        <v>546</v>
      </c>
      <c r="X1999" s="1008"/>
      <c r="Y1999" s="1008"/>
      <c r="Z1999" s="1008"/>
      <c r="AA1999" s="1008"/>
      <c r="AB1999" s="1008"/>
      <c r="AC1999" s="1008"/>
      <c r="AD1999" s="1008"/>
      <c r="AE1999" s="1008"/>
      <c r="AF1999" s="1008"/>
      <c r="AG1999" s="1008"/>
      <c r="AH1999" s="1008"/>
      <c r="AI1999" s="1008"/>
    </row>
    <row r="2000" spans="1:35">
      <c r="A2000" s="1008">
        <v>26360</v>
      </c>
      <c r="C2000" s="1008">
        <v>5</v>
      </c>
      <c r="D2000" s="1009">
        <v>23799900</v>
      </c>
      <c r="E2000" s="1009">
        <v>23700000</v>
      </c>
      <c r="F2000" s="1007" t="s">
        <v>2666</v>
      </c>
      <c r="O2000" s="1007" t="s">
        <v>648</v>
      </c>
      <c r="P2000" s="1007" t="s">
        <v>648</v>
      </c>
      <c r="S2000" s="1008" t="s">
        <v>657</v>
      </c>
      <c r="T2000" s="1008" t="s">
        <v>675</v>
      </c>
      <c r="U2000" s="1008" t="s">
        <v>649</v>
      </c>
      <c r="V2000" s="1008" t="s">
        <v>648</v>
      </c>
      <c r="W2000" s="1008" t="s">
        <v>546</v>
      </c>
      <c r="X2000" s="1008"/>
      <c r="Y2000" s="1008"/>
      <c r="Z2000" s="1008"/>
      <c r="AA2000" s="1008"/>
      <c r="AB2000" s="1008"/>
      <c r="AC2000" s="1008"/>
      <c r="AD2000" s="1008"/>
      <c r="AE2000" s="1008"/>
      <c r="AF2000" s="1008"/>
      <c r="AG2000" s="1008"/>
      <c r="AH2000" s="1008"/>
      <c r="AI2000" s="1008"/>
    </row>
    <row r="2001" spans="1:35">
      <c r="A2001" s="1008">
        <v>26359</v>
      </c>
      <c r="C2001" s="1008">
        <v>6</v>
      </c>
      <c r="D2001" s="1009">
        <v>23719999</v>
      </c>
      <c r="E2001" s="1009">
        <v>23710000</v>
      </c>
      <c r="F2001" s="1007" t="s">
        <v>2665</v>
      </c>
      <c r="O2001" s="1007" t="s">
        <v>648</v>
      </c>
      <c r="P2001" s="1007" t="s">
        <v>648</v>
      </c>
      <c r="S2001" s="1008" t="s">
        <v>657</v>
      </c>
      <c r="T2001" s="1008" t="s">
        <v>675</v>
      </c>
      <c r="U2001" s="1008" t="s">
        <v>649</v>
      </c>
      <c r="V2001" s="1008" t="s">
        <v>648</v>
      </c>
      <c r="W2001" s="1008" t="s">
        <v>546</v>
      </c>
      <c r="X2001" s="1008"/>
      <c r="Y2001" s="1008"/>
      <c r="Z2001" s="1008"/>
      <c r="AA2001" s="1008"/>
      <c r="AB2001" s="1008"/>
      <c r="AC2001" s="1008"/>
      <c r="AD2001" s="1008"/>
      <c r="AE2001" s="1008"/>
      <c r="AF2001" s="1008"/>
      <c r="AG2001" s="1008"/>
      <c r="AH2001" s="1008"/>
      <c r="AI2001" s="1008"/>
    </row>
    <row r="2002" spans="1:35">
      <c r="A2002" s="1008">
        <v>26358</v>
      </c>
      <c r="B2002" s="1008">
        <v>1942</v>
      </c>
      <c r="C2002" s="1008">
        <v>7</v>
      </c>
      <c r="D2002" s="1009">
        <v>23719999</v>
      </c>
      <c r="E2002" s="1009">
        <v>23710200</v>
      </c>
      <c r="F2002" s="1007" t="s">
        <v>2664</v>
      </c>
      <c r="G2002" s="1007">
        <v>7</v>
      </c>
      <c r="H2002" s="1010">
        <v>99999999</v>
      </c>
      <c r="I2002" s="1009">
        <v>23710200</v>
      </c>
      <c r="J2002" s="1007" t="s">
        <v>2664</v>
      </c>
      <c r="O2002" s="1007" t="s">
        <v>648</v>
      </c>
      <c r="P2002" s="1007" t="s">
        <v>648</v>
      </c>
      <c r="S2002" s="1008" t="s">
        <v>657</v>
      </c>
      <c r="T2002" s="1008" t="s">
        <v>654</v>
      </c>
      <c r="U2002" s="1008" t="s">
        <v>649</v>
      </c>
      <c r="V2002" s="1008" t="s">
        <v>648</v>
      </c>
      <c r="W2002" s="1008" t="s">
        <v>546</v>
      </c>
      <c r="X2002" s="1008" t="s">
        <v>670</v>
      </c>
      <c r="Y2002" s="1008" t="s">
        <v>670</v>
      </c>
      <c r="Z2002" s="1008" t="s">
        <v>670</v>
      </c>
      <c r="AA2002" s="1008" t="s">
        <v>670</v>
      </c>
      <c r="AB2002" s="1008" t="s">
        <v>670</v>
      </c>
      <c r="AC2002" s="1008" t="s">
        <v>670</v>
      </c>
      <c r="AD2002" s="1008" t="s">
        <v>670</v>
      </c>
      <c r="AE2002" s="1008"/>
      <c r="AF2002" s="1008" t="s">
        <v>670</v>
      </c>
      <c r="AG2002" s="1008"/>
      <c r="AH2002" s="1008"/>
      <c r="AI2002" s="1008"/>
    </row>
    <row r="2003" spans="1:35">
      <c r="A2003" s="1008">
        <v>26357</v>
      </c>
      <c r="B2003" s="1008">
        <v>1943</v>
      </c>
      <c r="C2003" s="1008">
        <v>7</v>
      </c>
      <c r="D2003" s="1009">
        <v>23719999</v>
      </c>
      <c r="E2003" s="1009">
        <v>23710300</v>
      </c>
      <c r="F2003" s="1007" t="s">
        <v>2663</v>
      </c>
      <c r="G2003" s="1007">
        <v>7</v>
      </c>
      <c r="H2003" s="1010">
        <v>99999999</v>
      </c>
      <c r="I2003" s="1009">
        <v>23710300</v>
      </c>
      <c r="J2003" s="1007" t="s">
        <v>2663</v>
      </c>
      <c r="O2003" s="1007" t="s">
        <v>648</v>
      </c>
      <c r="P2003" s="1007" t="s">
        <v>648</v>
      </c>
      <c r="S2003" s="1008" t="s">
        <v>657</v>
      </c>
      <c r="T2003" s="1008" t="s">
        <v>654</v>
      </c>
      <c r="U2003" s="1008" t="s">
        <v>649</v>
      </c>
      <c r="V2003" s="1008" t="s">
        <v>648</v>
      </c>
      <c r="W2003" s="1008" t="s">
        <v>546</v>
      </c>
      <c r="X2003" s="1008" t="s">
        <v>670</v>
      </c>
      <c r="Y2003" s="1008" t="s">
        <v>670</v>
      </c>
      <c r="Z2003" s="1008" t="s">
        <v>670</v>
      </c>
      <c r="AA2003" s="1008" t="s">
        <v>670</v>
      </c>
      <c r="AB2003" s="1008" t="s">
        <v>670</v>
      </c>
      <c r="AC2003" s="1008" t="s">
        <v>670</v>
      </c>
      <c r="AD2003" s="1008" t="s">
        <v>670</v>
      </c>
      <c r="AE2003" s="1008"/>
      <c r="AF2003" s="1008" t="s">
        <v>670</v>
      </c>
      <c r="AG2003" s="1008"/>
      <c r="AH2003" s="1008"/>
      <c r="AI2003" s="1008"/>
    </row>
    <row r="2004" spans="1:35">
      <c r="A2004" s="1008">
        <v>26356</v>
      </c>
      <c r="B2004" s="1008">
        <v>1944</v>
      </c>
      <c r="C2004" s="1008">
        <v>7</v>
      </c>
      <c r="D2004" s="1009">
        <v>23719999</v>
      </c>
      <c r="E2004" s="1009">
        <v>23710500</v>
      </c>
      <c r="F2004" s="1007" t="s">
        <v>2662</v>
      </c>
      <c r="G2004" s="1007">
        <v>7</v>
      </c>
      <c r="H2004" s="1010">
        <v>99999999</v>
      </c>
      <c r="I2004" s="1009">
        <v>23710500</v>
      </c>
      <c r="J2004" s="1007" t="s">
        <v>2662</v>
      </c>
      <c r="O2004" s="1007" t="s">
        <v>648</v>
      </c>
      <c r="P2004" s="1007" t="s">
        <v>648</v>
      </c>
      <c r="S2004" s="1008" t="s">
        <v>657</v>
      </c>
      <c r="T2004" s="1008" t="s">
        <v>654</v>
      </c>
      <c r="U2004" s="1008" t="s">
        <v>649</v>
      </c>
      <c r="V2004" s="1008" t="s">
        <v>648</v>
      </c>
      <c r="W2004" s="1008" t="s">
        <v>546</v>
      </c>
      <c r="X2004" s="1008" t="s">
        <v>670</v>
      </c>
      <c r="Y2004" s="1008" t="s">
        <v>670</v>
      </c>
      <c r="Z2004" s="1008" t="s">
        <v>670</v>
      </c>
      <c r="AA2004" s="1008" t="s">
        <v>670</v>
      </c>
      <c r="AB2004" s="1008" t="s">
        <v>670</v>
      </c>
      <c r="AC2004" s="1008" t="s">
        <v>670</v>
      </c>
      <c r="AD2004" s="1008" t="s">
        <v>670</v>
      </c>
      <c r="AE2004" s="1008"/>
      <c r="AF2004" s="1008" t="s">
        <v>670</v>
      </c>
      <c r="AG2004" s="1008"/>
      <c r="AH2004" s="1008"/>
      <c r="AI2004" s="1008"/>
    </row>
    <row r="2005" spans="1:35">
      <c r="A2005" s="1008">
        <v>26355</v>
      </c>
      <c r="B2005" s="1008">
        <v>1945</v>
      </c>
      <c r="C2005" s="1008">
        <v>7</v>
      </c>
      <c r="D2005" s="1009">
        <v>23719999</v>
      </c>
      <c r="E2005" s="1009">
        <v>23710700</v>
      </c>
      <c r="F2005" s="1007" t="s">
        <v>2661</v>
      </c>
      <c r="G2005" s="1007">
        <v>7</v>
      </c>
      <c r="H2005" s="1010">
        <v>99999999</v>
      </c>
      <c r="I2005" s="1009">
        <v>23710700</v>
      </c>
      <c r="J2005" s="1007" t="s">
        <v>2661</v>
      </c>
      <c r="O2005" s="1007" t="s">
        <v>648</v>
      </c>
      <c r="P2005" s="1007" t="s">
        <v>648</v>
      </c>
      <c r="S2005" s="1008" t="s">
        <v>657</v>
      </c>
      <c r="T2005" s="1008" t="s">
        <v>654</v>
      </c>
      <c r="U2005" s="1008" t="s">
        <v>649</v>
      </c>
      <c r="V2005" s="1008" t="s">
        <v>648</v>
      </c>
      <c r="W2005" s="1008" t="s">
        <v>546</v>
      </c>
      <c r="X2005" s="1008" t="s">
        <v>670</v>
      </c>
      <c r="Y2005" s="1008" t="s">
        <v>670</v>
      </c>
      <c r="Z2005" s="1008" t="s">
        <v>670</v>
      </c>
      <c r="AA2005" s="1008" t="s">
        <v>670</v>
      </c>
      <c r="AB2005" s="1008" t="s">
        <v>670</v>
      </c>
      <c r="AC2005" s="1008" t="s">
        <v>670</v>
      </c>
      <c r="AD2005" s="1008" t="s">
        <v>670</v>
      </c>
      <c r="AE2005" s="1008"/>
      <c r="AF2005" s="1008" t="s">
        <v>670</v>
      </c>
      <c r="AG2005" s="1008"/>
      <c r="AH2005" s="1008"/>
      <c r="AI2005" s="1008"/>
    </row>
    <row r="2006" spans="1:35">
      <c r="A2006" s="1008">
        <v>26354</v>
      </c>
      <c r="B2006" s="1008">
        <v>5183</v>
      </c>
      <c r="C2006" s="1008">
        <v>7</v>
      </c>
      <c r="D2006" s="1009">
        <v>23719999</v>
      </c>
      <c r="E2006" s="1009">
        <v>23710800</v>
      </c>
      <c r="F2006" s="1007" t="s">
        <v>2660</v>
      </c>
      <c r="G2006" s="1007">
        <v>7</v>
      </c>
      <c r="H2006" s="1010">
        <v>99999999</v>
      </c>
      <c r="I2006" s="1009">
        <v>23710800</v>
      </c>
      <c r="J2006" s="1007" t="s">
        <v>2660</v>
      </c>
      <c r="O2006" s="1007" t="s">
        <v>648</v>
      </c>
      <c r="P2006" s="1007" t="s">
        <v>648</v>
      </c>
      <c r="S2006" s="1008" t="s">
        <v>657</v>
      </c>
      <c r="T2006" s="1008" t="s">
        <v>654</v>
      </c>
      <c r="U2006" s="1008" t="s">
        <v>649</v>
      </c>
      <c r="V2006" s="1008" t="s">
        <v>648</v>
      </c>
      <c r="W2006" s="1008" t="s">
        <v>546</v>
      </c>
      <c r="X2006" s="1008" t="s">
        <v>670</v>
      </c>
      <c r="Y2006" s="1008" t="s">
        <v>670</v>
      </c>
      <c r="Z2006" s="1008" t="s">
        <v>670</v>
      </c>
      <c r="AA2006" s="1008" t="s">
        <v>670</v>
      </c>
      <c r="AB2006" s="1008" t="s">
        <v>670</v>
      </c>
      <c r="AC2006" s="1008" t="s">
        <v>670</v>
      </c>
      <c r="AD2006" s="1008" t="s">
        <v>670</v>
      </c>
      <c r="AE2006" s="1008"/>
      <c r="AF2006" s="1008" t="s">
        <v>670</v>
      </c>
      <c r="AG2006" s="1008"/>
      <c r="AH2006" s="1008"/>
      <c r="AI2006" s="1008"/>
    </row>
    <row r="2007" spans="1:35">
      <c r="A2007" s="1008">
        <v>26353</v>
      </c>
      <c r="C2007" s="1008">
        <v>6</v>
      </c>
      <c r="D2007" s="1009">
        <v>23799900</v>
      </c>
      <c r="E2007" s="1009">
        <v>23719999</v>
      </c>
      <c r="F2007" s="1007" t="s">
        <v>2659</v>
      </c>
      <c r="O2007" s="1007" t="s">
        <v>648</v>
      </c>
      <c r="P2007" s="1007" t="s">
        <v>648</v>
      </c>
      <c r="S2007" s="1008" t="s">
        <v>657</v>
      </c>
      <c r="T2007" s="1008" t="s">
        <v>21</v>
      </c>
      <c r="U2007" s="1008" t="s">
        <v>649</v>
      </c>
      <c r="V2007" s="1008" t="s">
        <v>648</v>
      </c>
      <c r="W2007" s="1008" t="s">
        <v>546</v>
      </c>
      <c r="X2007" s="1008"/>
      <c r="Y2007" s="1008"/>
      <c r="Z2007" s="1008"/>
      <c r="AA2007" s="1008"/>
      <c r="AB2007" s="1008"/>
      <c r="AC2007" s="1008"/>
      <c r="AD2007" s="1008"/>
      <c r="AE2007" s="1008"/>
      <c r="AF2007" s="1008"/>
      <c r="AG2007" s="1008"/>
      <c r="AH2007" s="1008"/>
      <c r="AI2007" s="1008"/>
    </row>
    <row r="2008" spans="1:35">
      <c r="A2008" s="1008">
        <v>26352</v>
      </c>
      <c r="C2008" s="1008">
        <v>5</v>
      </c>
      <c r="D2008" s="1009">
        <v>23799999</v>
      </c>
      <c r="E2008" s="1009">
        <v>23799900</v>
      </c>
      <c r="F2008" s="1007" t="s">
        <v>2658</v>
      </c>
      <c r="O2008" s="1007" t="s">
        <v>648</v>
      </c>
      <c r="P2008" s="1007" t="s">
        <v>648</v>
      </c>
      <c r="S2008" s="1008" t="s">
        <v>657</v>
      </c>
      <c r="T2008" s="1008" t="s">
        <v>21</v>
      </c>
      <c r="U2008" s="1008" t="s">
        <v>649</v>
      </c>
      <c r="V2008" s="1008" t="s">
        <v>648</v>
      </c>
      <c r="W2008" s="1008" t="s">
        <v>546</v>
      </c>
      <c r="X2008" s="1008"/>
      <c r="Y2008" s="1008"/>
      <c r="Z2008" s="1008"/>
      <c r="AA2008" s="1008"/>
      <c r="AB2008" s="1008"/>
      <c r="AC2008" s="1008"/>
      <c r="AD2008" s="1008"/>
      <c r="AE2008" s="1008"/>
      <c r="AF2008" s="1008"/>
      <c r="AG2008" s="1008"/>
      <c r="AH2008" s="1008"/>
      <c r="AI2008" s="1008"/>
    </row>
    <row r="2009" spans="1:35">
      <c r="A2009" s="1008">
        <v>26351</v>
      </c>
      <c r="C2009" s="1008">
        <v>4</v>
      </c>
      <c r="D2009" s="1009">
        <v>29999999</v>
      </c>
      <c r="E2009" s="1009">
        <v>23799999</v>
      </c>
      <c r="F2009" s="1007" t="s">
        <v>2657</v>
      </c>
      <c r="O2009" s="1007" t="s">
        <v>648</v>
      </c>
      <c r="P2009" s="1007" t="s">
        <v>648</v>
      </c>
      <c r="S2009" s="1008" t="s">
        <v>657</v>
      </c>
      <c r="T2009" s="1008" t="s">
        <v>21</v>
      </c>
      <c r="U2009" s="1008" t="s">
        <v>649</v>
      </c>
      <c r="V2009" s="1008" t="s">
        <v>648</v>
      </c>
      <c r="W2009" s="1008" t="s">
        <v>546</v>
      </c>
      <c r="X2009" s="1008"/>
      <c r="Y2009" s="1008"/>
      <c r="Z2009" s="1008"/>
      <c r="AA2009" s="1008"/>
      <c r="AB2009" s="1008"/>
      <c r="AC2009" s="1008"/>
      <c r="AD2009" s="1008"/>
      <c r="AE2009" s="1008"/>
      <c r="AF2009" s="1008"/>
      <c r="AG2009" s="1008"/>
      <c r="AH2009" s="1008"/>
      <c r="AI2009" s="1008"/>
    </row>
    <row r="2010" spans="1:35">
      <c r="A2010" s="1008">
        <v>24616</v>
      </c>
      <c r="C2010" s="1008">
        <v>4</v>
      </c>
      <c r="D2010" s="1009">
        <v>26699999</v>
      </c>
      <c r="E2010" s="1009">
        <v>26500000</v>
      </c>
      <c r="F2010" s="1007" t="s">
        <v>2656</v>
      </c>
      <c r="O2010" s="1007" t="s">
        <v>648</v>
      </c>
      <c r="P2010" s="1007" t="s">
        <v>648</v>
      </c>
      <c r="S2010" s="1008" t="s">
        <v>657</v>
      </c>
      <c r="T2010" s="1008" t="s">
        <v>675</v>
      </c>
      <c r="U2010" s="1008" t="s">
        <v>649</v>
      </c>
      <c r="V2010" s="1008" t="s">
        <v>648</v>
      </c>
      <c r="W2010" s="1008" t="s">
        <v>546</v>
      </c>
      <c r="X2010" s="1008"/>
      <c r="Y2010" s="1008"/>
      <c r="Z2010" s="1008"/>
      <c r="AA2010" s="1008"/>
      <c r="AB2010" s="1008"/>
      <c r="AC2010" s="1008"/>
      <c r="AD2010" s="1008"/>
      <c r="AE2010" s="1008"/>
      <c r="AF2010" s="1008"/>
      <c r="AG2010" s="1008"/>
      <c r="AH2010" s="1008"/>
      <c r="AI2010" s="1008"/>
    </row>
    <row r="2011" spans="1:35">
      <c r="A2011" s="1008">
        <v>24617</v>
      </c>
      <c r="C2011" s="1008">
        <v>5</v>
      </c>
      <c r="D2011" s="1009">
        <v>26599999</v>
      </c>
      <c r="E2011" s="1009">
        <v>26501000</v>
      </c>
      <c r="F2011" s="1007" t="s">
        <v>2655</v>
      </c>
      <c r="O2011" s="1007" t="s">
        <v>648</v>
      </c>
      <c r="P2011" s="1007" t="s">
        <v>648</v>
      </c>
      <c r="S2011" s="1008" t="s">
        <v>657</v>
      </c>
      <c r="T2011" s="1008" t="s">
        <v>675</v>
      </c>
      <c r="U2011" s="1008" t="s">
        <v>649</v>
      </c>
      <c r="V2011" s="1008" t="s">
        <v>648</v>
      </c>
      <c r="W2011" s="1008" t="s">
        <v>546</v>
      </c>
      <c r="X2011" s="1008"/>
      <c r="Y2011" s="1008"/>
      <c r="Z2011" s="1008"/>
      <c r="AA2011" s="1008"/>
      <c r="AB2011" s="1008"/>
      <c r="AC2011" s="1008"/>
      <c r="AD2011" s="1008"/>
      <c r="AE2011" s="1008"/>
      <c r="AF2011" s="1008"/>
      <c r="AG2011" s="1008"/>
      <c r="AH2011" s="1008"/>
      <c r="AI2011" s="1008"/>
    </row>
    <row r="2012" spans="1:35">
      <c r="A2012" s="1008">
        <v>24618</v>
      </c>
      <c r="C2012" s="1008">
        <v>6</v>
      </c>
      <c r="D2012" s="1009">
        <v>26519999</v>
      </c>
      <c r="E2012" s="1009">
        <v>26510000</v>
      </c>
      <c r="F2012" s="1007" t="s">
        <v>2654</v>
      </c>
      <c r="O2012" s="1007" t="s">
        <v>648</v>
      </c>
      <c r="P2012" s="1007" t="s">
        <v>648</v>
      </c>
      <c r="S2012" s="1008" t="s">
        <v>657</v>
      </c>
      <c r="T2012" s="1008" t="s">
        <v>675</v>
      </c>
      <c r="U2012" s="1008" t="s">
        <v>649</v>
      </c>
      <c r="V2012" s="1008" t="s">
        <v>648</v>
      </c>
      <c r="W2012" s="1008" t="s">
        <v>546</v>
      </c>
      <c r="X2012" s="1008"/>
      <c r="Y2012" s="1008"/>
      <c r="Z2012" s="1008"/>
      <c r="AA2012" s="1008"/>
      <c r="AB2012" s="1008"/>
      <c r="AC2012" s="1008"/>
      <c r="AD2012" s="1008"/>
      <c r="AE2012" s="1008"/>
      <c r="AF2012" s="1008"/>
      <c r="AG2012" s="1008"/>
      <c r="AH2012" s="1008"/>
      <c r="AI2012" s="1008"/>
    </row>
    <row r="2013" spans="1:35">
      <c r="A2013" s="1008">
        <v>24620</v>
      </c>
      <c r="B2013" s="1008">
        <v>1947</v>
      </c>
      <c r="C2013" s="1008">
        <v>7</v>
      </c>
      <c r="D2013" s="1009">
        <v>26519999</v>
      </c>
      <c r="E2013" s="1009">
        <v>26510400</v>
      </c>
      <c r="F2013" s="1007" t="s">
        <v>2653</v>
      </c>
      <c r="G2013" s="1007">
        <v>7</v>
      </c>
      <c r="H2013" s="1010">
        <v>99999999</v>
      </c>
      <c r="I2013" s="1009">
        <v>26510400</v>
      </c>
      <c r="J2013" s="1007" t="s">
        <v>2653</v>
      </c>
      <c r="O2013" s="1007" t="s">
        <v>648</v>
      </c>
      <c r="P2013" s="1007" t="s">
        <v>648</v>
      </c>
      <c r="S2013" s="1008" t="s">
        <v>657</v>
      </c>
      <c r="T2013" s="1008" t="s">
        <v>654</v>
      </c>
      <c r="U2013" s="1008" t="s">
        <v>649</v>
      </c>
      <c r="V2013" s="1008" t="s">
        <v>648</v>
      </c>
      <c r="W2013" s="1008" t="s">
        <v>546</v>
      </c>
      <c r="X2013" s="1008" t="s">
        <v>670</v>
      </c>
      <c r="Y2013" s="1008"/>
      <c r="Z2013" s="1008"/>
      <c r="AA2013" s="1008" t="s">
        <v>670</v>
      </c>
      <c r="AB2013" s="1008"/>
      <c r="AC2013" s="1008"/>
      <c r="AD2013" s="1008" t="s">
        <v>670</v>
      </c>
      <c r="AE2013" s="1008"/>
      <c r="AF2013" s="1008"/>
      <c r="AG2013" s="1008"/>
      <c r="AH2013" s="1008"/>
      <c r="AI2013" s="1008"/>
    </row>
    <row r="2014" spans="1:35">
      <c r="A2014" s="1008">
        <v>26350</v>
      </c>
      <c r="B2014" s="1008">
        <v>1948</v>
      </c>
      <c r="C2014" s="1008">
        <v>7</v>
      </c>
      <c r="D2014" s="1009">
        <v>26519999</v>
      </c>
      <c r="E2014" s="1009">
        <v>26510500</v>
      </c>
      <c r="F2014" s="1007" t="s">
        <v>2652</v>
      </c>
      <c r="G2014" s="1007">
        <v>7</v>
      </c>
      <c r="H2014" s="1010">
        <v>99999999</v>
      </c>
      <c r="I2014" s="1009">
        <v>26510500</v>
      </c>
      <c r="J2014" s="1007" t="s">
        <v>2652</v>
      </c>
      <c r="O2014" s="1007" t="s">
        <v>648</v>
      </c>
      <c r="P2014" s="1007" t="s">
        <v>648</v>
      </c>
      <c r="S2014" s="1008" t="s">
        <v>657</v>
      </c>
      <c r="T2014" s="1008" t="s">
        <v>654</v>
      </c>
      <c r="U2014" s="1008" t="s">
        <v>649</v>
      </c>
      <c r="V2014" s="1008" t="s">
        <v>648</v>
      </c>
      <c r="W2014" s="1008" t="s">
        <v>546</v>
      </c>
      <c r="X2014" s="1008" t="s">
        <v>670</v>
      </c>
      <c r="Y2014" s="1008"/>
      <c r="Z2014" s="1008"/>
      <c r="AA2014" s="1008" t="s">
        <v>670</v>
      </c>
      <c r="AB2014" s="1008"/>
      <c r="AC2014" s="1008"/>
      <c r="AD2014" s="1008" t="s">
        <v>670</v>
      </c>
      <c r="AE2014" s="1008"/>
      <c r="AF2014" s="1008"/>
      <c r="AG2014" s="1008"/>
      <c r="AH2014" s="1008"/>
      <c r="AI2014" s="1008"/>
    </row>
    <row r="2015" spans="1:35">
      <c r="A2015" s="1008">
        <v>24621</v>
      </c>
      <c r="B2015" s="1008">
        <v>5189</v>
      </c>
      <c r="C2015" s="1008">
        <v>7</v>
      </c>
      <c r="D2015" s="1009">
        <v>26519999</v>
      </c>
      <c r="E2015" s="1009">
        <v>26510800</v>
      </c>
      <c r="F2015" s="1007" t="s">
        <v>2651</v>
      </c>
      <c r="G2015" s="1007">
        <v>7</v>
      </c>
      <c r="H2015" s="1010">
        <v>99999999</v>
      </c>
      <c r="I2015" s="1009">
        <v>26510800</v>
      </c>
      <c r="J2015" s="1007" t="s">
        <v>2651</v>
      </c>
      <c r="O2015" s="1007" t="s">
        <v>648</v>
      </c>
      <c r="P2015" s="1007" t="s">
        <v>648</v>
      </c>
      <c r="S2015" s="1008" t="s">
        <v>657</v>
      </c>
      <c r="T2015" s="1008" t="s">
        <v>654</v>
      </c>
      <c r="U2015" s="1008" t="s">
        <v>649</v>
      </c>
      <c r="V2015" s="1008" t="s">
        <v>648</v>
      </c>
      <c r="W2015" s="1008" t="s">
        <v>546</v>
      </c>
      <c r="X2015" s="1008" t="s">
        <v>670</v>
      </c>
      <c r="Y2015" s="1008"/>
      <c r="Z2015" s="1008"/>
      <c r="AA2015" s="1008" t="s">
        <v>670</v>
      </c>
      <c r="AB2015" s="1008"/>
      <c r="AC2015" s="1008"/>
      <c r="AD2015" s="1008" t="s">
        <v>670</v>
      </c>
      <c r="AE2015" s="1008"/>
      <c r="AF2015" s="1008"/>
      <c r="AG2015" s="1008"/>
      <c r="AH2015" s="1008"/>
      <c r="AI2015" s="1008"/>
    </row>
    <row r="2016" spans="1:35">
      <c r="A2016" s="1008">
        <v>24622</v>
      </c>
      <c r="C2016" s="1008">
        <v>6</v>
      </c>
      <c r="D2016" s="1009">
        <v>26599999</v>
      </c>
      <c r="E2016" s="1009">
        <v>26519999</v>
      </c>
      <c r="F2016" s="1007" t="s">
        <v>2650</v>
      </c>
      <c r="O2016" s="1007" t="s">
        <v>648</v>
      </c>
      <c r="P2016" s="1007" t="s">
        <v>648</v>
      </c>
      <c r="S2016" s="1008" t="s">
        <v>657</v>
      </c>
      <c r="T2016" s="1008" t="s">
        <v>21</v>
      </c>
      <c r="U2016" s="1008" t="s">
        <v>649</v>
      </c>
      <c r="V2016" s="1008" t="s">
        <v>648</v>
      </c>
      <c r="W2016" s="1008" t="s">
        <v>546</v>
      </c>
      <c r="X2016" s="1008"/>
      <c r="Y2016" s="1008"/>
      <c r="Z2016" s="1008"/>
      <c r="AA2016" s="1008"/>
      <c r="AB2016" s="1008"/>
      <c r="AC2016" s="1008"/>
      <c r="AD2016" s="1008"/>
      <c r="AE2016" s="1008"/>
      <c r="AF2016" s="1008"/>
      <c r="AG2016" s="1008"/>
      <c r="AH2016" s="1008"/>
      <c r="AI2016" s="1008"/>
    </row>
    <row r="2017" spans="1:35">
      <c r="A2017" s="1008">
        <v>24623</v>
      </c>
      <c r="C2017" s="1008">
        <v>6</v>
      </c>
      <c r="D2017" s="1009">
        <v>26529999</v>
      </c>
      <c r="E2017" s="1009">
        <v>26520000</v>
      </c>
      <c r="F2017" s="1007" t="s">
        <v>2649</v>
      </c>
      <c r="O2017" s="1007" t="s">
        <v>648</v>
      </c>
      <c r="P2017" s="1007" t="s">
        <v>648</v>
      </c>
      <c r="S2017" s="1008" t="s">
        <v>657</v>
      </c>
      <c r="T2017" s="1008" t="s">
        <v>675</v>
      </c>
      <c r="U2017" s="1008" t="s">
        <v>649</v>
      </c>
      <c r="V2017" s="1008" t="s">
        <v>648</v>
      </c>
      <c r="W2017" s="1008" t="s">
        <v>546</v>
      </c>
      <c r="X2017" s="1008"/>
      <c r="Y2017" s="1008"/>
      <c r="Z2017" s="1008"/>
      <c r="AA2017" s="1008"/>
      <c r="AB2017" s="1008"/>
      <c r="AC2017" s="1008"/>
      <c r="AD2017" s="1008"/>
      <c r="AE2017" s="1008"/>
      <c r="AF2017" s="1008"/>
      <c r="AG2017" s="1008"/>
      <c r="AH2017" s="1008"/>
      <c r="AI2017" s="1008"/>
    </row>
    <row r="2018" spans="1:35">
      <c r="A2018" s="1008">
        <v>24625</v>
      </c>
      <c r="B2018" s="1008">
        <v>1950</v>
      </c>
      <c r="C2018" s="1008">
        <v>7</v>
      </c>
      <c r="D2018" s="1009">
        <v>26529999</v>
      </c>
      <c r="E2018" s="1009">
        <v>26520400</v>
      </c>
      <c r="F2018" s="1007" t="s">
        <v>2648</v>
      </c>
      <c r="G2018" s="1007">
        <v>7</v>
      </c>
      <c r="H2018" s="1010">
        <v>99999999</v>
      </c>
      <c r="I2018" s="1009">
        <v>26520400</v>
      </c>
      <c r="J2018" s="1007" t="s">
        <v>2648</v>
      </c>
      <c r="O2018" s="1007" t="s">
        <v>648</v>
      </c>
      <c r="P2018" s="1007" t="s">
        <v>648</v>
      </c>
      <c r="S2018" s="1008" t="s">
        <v>657</v>
      </c>
      <c r="T2018" s="1008" t="s">
        <v>654</v>
      </c>
      <c r="U2018" s="1008" t="s">
        <v>649</v>
      </c>
      <c r="V2018" s="1008" t="s">
        <v>648</v>
      </c>
      <c r="W2018" s="1008" t="s">
        <v>546</v>
      </c>
      <c r="X2018" s="1008" t="s">
        <v>670</v>
      </c>
      <c r="Y2018" s="1008"/>
      <c r="Z2018" s="1008"/>
      <c r="AA2018" s="1008" t="s">
        <v>670</v>
      </c>
      <c r="AB2018" s="1008"/>
      <c r="AC2018" s="1008"/>
      <c r="AD2018" s="1008" t="s">
        <v>670</v>
      </c>
      <c r="AE2018" s="1008"/>
      <c r="AF2018" s="1008"/>
      <c r="AG2018" s="1008"/>
      <c r="AH2018" s="1008"/>
      <c r="AI2018" s="1008"/>
    </row>
    <row r="2019" spans="1:35">
      <c r="A2019" s="1008">
        <v>26349</v>
      </c>
      <c r="B2019" s="1008">
        <v>1951</v>
      </c>
      <c r="C2019" s="1008">
        <v>7</v>
      </c>
      <c r="D2019" s="1009">
        <v>26529999</v>
      </c>
      <c r="E2019" s="1009">
        <v>26520500</v>
      </c>
      <c r="F2019" s="1007" t="s">
        <v>2647</v>
      </c>
      <c r="G2019" s="1007">
        <v>7</v>
      </c>
      <c r="H2019" s="1010">
        <v>99999999</v>
      </c>
      <c r="I2019" s="1009">
        <v>26520500</v>
      </c>
      <c r="J2019" s="1007" t="s">
        <v>2647</v>
      </c>
      <c r="O2019" s="1007" t="s">
        <v>648</v>
      </c>
      <c r="P2019" s="1007" t="s">
        <v>648</v>
      </c>
      <c r="S2019" s="1008" t="s">
        <v>657</v>
      </c>
      <c r="T2019" s="1008" t="s">
        <v>654</v>
      </c>
      <c r="U2019" s="1008" t="s">
        <v>649</v>
      </c>
      <c r="V2019" s="1008" t="s">
        <v>648</v>
      </c>
      <c r="W2019" s="1008" t="s">
        <v>546</v>
      </c>
      <c r="X2019" s="1008" t="s">
        <v>670</v>
      </c>
      <c r="Y2019" s="1008"/>
      <c r="Z2019" s="1008"/>
      <c r="AA2019" s="1008" t="s">
        <v>670</v>
      </c>
      <c r="AB2019" s="1008"/>
      <c r="AC2019" s="1008"/>
      <c r="AD2019" s="1008" t="s">
        <v>670</v>
      </c>
      <c r="AE2019" s="1008"/>
      <c r="AF2019" s="1008"/>
      <c r="AG2019" s="1008"/>
      <c r="AH2019" s="1008"/>
      <c r="AI2019" s="1008"/>
    </row>
    <row r="2020" spans="1:35">
      <c r="A2020" s="1008">
        <v>24626</v>
      </c>
      <c r="B2020" s="1008">
        <v>5191</v>
      </c>
      <c r="C2020" s="1008">
        <v>7</v>
      </c>
      <c r="D2020" s="1009">
        <v>26529999</v>
      </c>
      <c r="E2020" s="1009">
        <v>26520800</v>
      </c>
      <c r="F2020" s="1007" t="s">
        <v>2646</v>
      </c>
      <c r="G2020" s="1007">
        <v>7</v>
      </c>
      <c r="H2020" s="1010">
        <v>99999999</v>
      </c>
      <c r="I2020" s="1009">
        <v>26520800</v>
      </c>
      <c r="J2020" s="1007" t="s">
        <v>2646</v>
      </c>
      <c r="O2020" s="1007" t="s">
        <v>648</v>
      </c>
      <c r="P2020" s="1007" t="s">
        <v>648</v>
      </c>
      <c r="S2020" s="1008" t="s">
        <v>657</v>
      </c>
      <c r="T2020" s="1008" t="s">
        <v>654</v>
      </c>
      <c r="U2020" s="1008" t="s">
        <v>649</v>
      </c>
      <c r="V2020" s="1008" t="s">
        <v>648</v>
      </c>
      <c r="W2020" s="1008" t="s">
        <v>546</v>
      </c>
      <c r="X2020" s="1008" t="s">
        <v>670</v>
      </c>
      <c r="Y2020" s="1008"/>
      <c r="Z2020" s="1008"/>
      <c r="AA2020" s="1008" t="s">
        <v>670</v>
      </c>
      <c r="AB2020" s="1008"/>
      <c r="AC2020" s="1008"/>
      <c r="AD2020" s="1008" t="s">
        <v>670</v>
      </c>
      <c r="AE2020" s="1008"/>
      <c r="AF2020" s="1008"/>
      <c r="AG2020" s="1008"/>
      <c r="AH2020" s="1008"/>
      <c r="AI2020" s="1008"/>
    </row>
    <row r="2021" spans="1:35">
      <c r="A2021" s="1008">
        <v>24627</v>
      </c>
      <c r="C2021" s="1008">
        <v>6</v>
      </c>
      <c r="D2021" s="1009">
        <v>26599999</v>
      </c>
      <c r="E2021" s="1009">
        <v>26529999</v>
      </c>
      <c r="F2021" s="1007" t="s">
        <v>2645</v>
      </c>
      <c r="O2021" s="1007" t="s">
        <v>648</v>
      </c>
      <c r="P2021" s="1007" t="s">
        <v>648</v>
      </c>
      <c r="S2021" s="1008" t="s">
        <v>657</v>
      </c>
      <c r="T2021" s="1008" t="s">
        <v>21</v>
      </c>
      <c r="U2021" s="1008" t="s">
        <v>649</v>
      </c>
      <c r="V2021" s="1008" t="s">
        <v>648</v>
      </c>
      <c r="W2021" s="1008" t="s">
        <v>546</v>
      </c>
      <c r="X2021" s="1008"/>
      <c r="Y2021" s="1008"/>
      <c r="Z2021" s="1008"/>
      <c r="AA2021" s="1008"/>
      <c r="AB2021" s="1008"/>
      <c r="AC2021" s="1008"/>
      <c r="AD2021" s="1008"/>
      <c r="AE2021" s="1008"/>
      <c r="AF2021" s="1008"/>
      <c r="AG2021" s="1008"/>
      <c r="AH2021" s="1008"/>
      <c r="AI2021" s="1008"/>
    </row>
    <row r="2022" spans="1:35">
      <c r="A2022" s="1008">
        <v>24628</v>
      </c>
      <c r="C2022" s="1008">
        <v>5</v>
      </c>
      <c r="D2022" s="1009">
        <v>26699999</v>
      </c>
      <c r="E2022" s="1009">
        <v>26599999</v>
      </c>
      <c r="F2022" s="1007" t="s">
        <v>2644</v>
      </c>
      <c r="O2022" s="1007" t="s">
        <v>648</v>
      </c>
      <c r="P2022" s="1007" t="s">
        <v>648</v>
      </c>
      <c r="S2022" s="1008" t="s">
        <v>657</v>
      </c>
      <c r="T2022" s="1008" t="s">
        <v>21</v>
      </c>
      <c r="U2022" s="1008" t="s">
        <v>649</v>
      </c>
      <c r="V2022" s="1008" t="s">
        <v>648</v>
      </c>
      <c r="W2022" s="1008" t="s">
        <v>546</v>
      </c>
      <c r="X2022" s="1008"/>
      <c r="Y2022" s="1008"/>
      <c r="Z2022" s="1008"/>
      <c r="AA2022" s="1008"/>
      <c r="AB2022" s="1008"/>
      <c r="AC2022" s="1008"/>
      <c r="AD2022" s="1008"/>
      <c r="AE2022" s="1008"/>
      <c r="AF2022" s="1008"/>
      <c r="AG2022" s="1008"/>
      <c r="AH2022" s="1008"/>
      <c r="AI2022" s="1008"/>
    </row>
    <row r="2023" spans="1:35">
      <c r="A2023" s="1008">
        <v>24629</v>
      </c>
      <c r="C2023" s="1008">
        <v>5</v>
      </c>
      <c r="D2023" s="1009">
        <v>26699900</v>
      </c>
      <c r="E2023" s="1009">
        <v>26600000</v>
      </c>
      <c r="F2023" s="1007" t="s">
        <v>2589</v>
      </c>
      <c r="O2023" s="1007" t="s">
        <v>648</v>
      </c>
      <c r="P2023" s="1007" t="s">
        <v>648</v>
      </c>
      <c r="S2023" s="1008" t="s">
        <v>657</v>
      </c>
      <c r="T2023" s="1008" t="s">
        <v>675</v>
      </c>
      <c r="U2023" s="1008" t="s">
        <v>649</v>
      </c>
      <c r="V2023" s="1008" t="s">
        <v>648</v>
      </c>
      <c r="W2023" s="1008" t="s">
        <v>546</v>
      </c>
      <c r="X2023" s="1008"/>
      <c r="Y2023" s="1008"/>
      <c r="Z2023" s="1008"/>
      <c r="AA2023" s="1008"/>
      <c r="AB2023" s="1008"/>
      <c r="AC2023" s="1008"/>
      <c r="AD2023" s="1008"/>
      <c r="AE2023" s="1008"/>
      <c r="AF2023" s="1008"/>
      <c r="AG2023" s="1008"/>
      <c r="AH2023" s="1008"/>
      <c r="AI2023" s="1008"/>
    </row>
    <row r="2024" spans="1:35">
      <c r="A2024" s="1008">
        <v>24630</v>
      </c>
      <c r="C2024" s="1008">
        <v>6</v>
      </c>
      <c r="D2024" s="1009">
        <v>26619999</v>
      </c>
      <c r="E2024" s="1009">
        <v>26610000</v>
      </c>
      <c r="F2024" s="1007" t="s">
        <v>2643</v>
      </c>
      <c r="O2024" s="1007" t="s">
        <v>648</v>
      </c>
      <c r="P2024" s="1007" t="s">
        <v>648</v>
      </c>
      <c r="S2024" s="1008" t="s">
        <v>657</v>
      </c>
      <c r="T2024" s="1008" t="s">
        <v>675</v>
      </c>
      <c r="U2024" s="1008" t="s">
        <v>649</v>
      </c>
      <c r="V2024" s="1008" t="s">
        <v>648</v>
      </c>
      <c r="W2024" s="1008" t="s">
        <v>546</v>
      </c>
      <c r="X2024" s="1008"/>
      <c r="Y2024" s="1008"/>
      <c r="Z2024" s="1008"/>
      <c r="AA2024" s="1008"/>
      <c r="AB2024" s="1008"/>
      <c r="AC2024" s="1008"/>
      <c r="AD2024" s="1008"/>
      <c r="AE2024" s="1008"/>
      <c r="AF2024" s="1008"/>
      <c r="AG2024" s="1008"/>
      <c r="AH2024" s="1008"/>
      <c r="AI2024" s="1008"/>
    </row>
    <row r="2025" spans="1:35">
      <c r="A2025" s="1008">
        <v>24631</v>
      </c>
      <c r="B2025" s="1008">
        <v>1953</v>
      </c>
      <c r="C2025" s="1008">
        <v>7</v>
      </c>
      <c r="D2025" s="1009">
        <v>26619999</v>
      </c>
      <c r="E2025" s="1009">
        <v>26610400</v>
      </c>
      <c r="F2025" s="1007" t="s">
        <v>2642</v>
      </c>
      <c r="G2025" s="1007">
        <v>7</v>
      </c>
      <c r="H2025" s="1010">
        <v>99999999</v>
      </c>
      <c r="I2025" s="1009">
        <v>26610400</v>
      </c>
      <c r="J2025" s="1007" t="s">
        <v>2642</v>
      </c>
      <c r="O2025" s="1007" t="s">
        <v>648</v>
      </c>
      <c r="P2025" s="1007" t="s">
        <v>648</v>
      </c>
      <c r="S2025" s="1008" t="s">
        <v>657</v>
      </c>
      <c r="T2025" s="1008" t="s">
        <v>654</v>
      </c>
      <c r="U2025" s="1008" t="s">
        <v>649</v>
      </c>
      <c r="V2025" s="1008" t="s">
        <v>648</v>
      </c>
      <c r="W2025" s="1008" t="s">
        <v>546</v>
      </c>
      <c r="X2025" s="1008" t="s">
        <v>670</v>
      </c>
      <c r="Y2025" s="1008" t="s">
        <v>670</v>
      </c>
      <c r="Z2025" s="1008" t="s">
        <v>670</v>
      </c>
      <c r="AA2025" s="1008" t="s">
        <v>670</v>
      </c>
      <c r="AB2025" s="1008" t="s">
        <v>670</v>
      </c>
      <c r="AC2025" s="1008" t="s">
        <v>670</v>
      </c>
      <c r="AD2025" s="1008" t="s">
        <v>670</v>
      </c>
      <c r="AE2025" s="1008"/>
      <c r="AF2025" s="1008" t="s">
        <v>670</v>
      </c>
      <c r="AG2025" s="1008"/>
      <c r="AH2025" s="1008"/>
      <c r="AI2025" s="1008"/>
    </row>
    <row r="2026" spans="1:35">
      <c r="A2026" s="1008">
        <v>24632</v>
      </c>
      <c r="B2026" s="1008">
        <v>1954</v>
      </c>
      <c r="C2026" s="1008">
        <v>7</v>
      </c>
      <c r="D2026" s="1009">
        <v>26619999</v>
      </c>
      <c r="E2026" s="1009">
        <v>26610700</v>
      </c>
      <c r="F2026" s="1007" t="s">
        <v>2641</v>
      </c>
      <c r="G2026" s="1007">
        <v>7</v>
      </c>
      <c r="H2026" s="1010">
        <v>99999999</v>
      </c>
      <c r="I2026" s="1009">
        <v>26610700</v>
      </c>
      <c r="J2026" s="1007" t="s">
        <v>2641</v>
      </c>
      <c r="O2026" s="1007" t="s">
        <v>648</v>
      </c>
      <c r="P2026" s="1007" t="s">
        <v>648</v>
      </c>
      <c r="S2026" s="1008" t="s">
        <v>657</v>
      </c>
      <c r="T2026" s="1008" t="s">
        <v>654</v>
      </c>
      <c r="U2026" s="1008" t="s">
        <v>649</v>
      </c>
      <c r="V2026" s="1008" t="s">
        <v>648</v>
      </c>
      <c r="W2026" s="1008" t="s">
        <v>546</v>
      </c>
      <c r="X2026" s="1008" t="s">
        <v>670</v>
      </c>
      <c r="Y2026" s="1008" t="s">
        <v>670</v>
      </c>
      <c r="Z2026" s="1008" t="s">
        <v>670</v>
      </c>
      <c r="AA2026" s="1008" t="s">
        <v>670</v>
      </c>
      <c r="AB2026" s="1008" t="s">
        <v>670</v>
      </c>
      <c r="AC2026" s="1008" t="s">
        <v>670</v>
      </c>
      <c r="AD2026" s="1008" t="s">
        <v>670</v>
      </c>
      <c r="AE2026" s="1008"/>
      <c r="AF2026" s="1008" t="s">
        <v>670</v>
      </c>
      <c r="AG2026" s="1008"/>
      <c r="AH2026" s="1008"/>
      <c r="AI2026" s="1008"/>
    </row>
    <row r="2027" spans="1:35">
      <c r="A2027" s="1008">
        <v>24633</v>
      </c>
      <c r="B2027" s="1008">
        <v>5195</v>
      </c>
      <c r="C2027" s="1008">
        <v>7</v>
      </c>
      <c r="D2027" s="1009">
        <v>26619999</v>
      </c>
      <c r="E2027" s="1009">
        <v>26610800</v>
      </c>
      <c r="F2027" s="1007" t="s">
        <v>2640</v>
      </c>
      <c r="G2027" s="1007">
        <v>7</v>
      </c>
      <c r="H2027" s="1010">
        <v>99999999</v>
      </c>
      <c r="I2027" s="1009">
        <v>26610800</v>
      </c>
      <c r="J2027" s="1007" t="s">
        <v>2640</v>
      </c>
      <c r="O2027" s="1007" t="s">
        <v>648</v>
      </c>
      <c r="P2027" s="1007" t="s">
        <v>648</v>
      </c>
      <c r="S2027" s="1008" t="s">
        <v>657</v>
      </c>
      <c r="T2027" s="1008" t="s">
        <v>654</v>
      </c>
      <c r="U2027" s="1008" t="s">
        <v>649</v>
      </c>
      <c r="V2027" s="1008" t="s">
        <v>648</v>
      </c>
      <c r="W2027" s="1008" t="s">
        <v>546</v>
      </c>
      <c r="X2027" s="1008" t="s">
        <v>670</v>
      </c>
      <c r="Y2027" s="1008" t="s">
        <v>670</v>
      </c>
      <c r="Z2027" s="1008" t="s">
        <v>670</v>
      </c>
      <c r="AA2027" s="1008" t="s">
        <v>670</v>
      </c>
      <c r="AB2027" s="1008" t="s">
        <v>670</v>
      </c>
      <c r="AC2027" s="1008" t="s">
        <v>670</v>
      </c>
      <c r="AD2027" s="1008" t="s">
        <v>670</v>
      </c>
      <c r="AE2027" s="1008"/>
      <c r="AF2027" s="1008" t="s">
        <v>670</v>
      </c>
      <c r="AG2027" s="1008"/>
      <c r="AH2027" s="1008"/>
      <c r="AI2027" s="1008"/>
    </row>
    <row r="2028" spans="1:35">
      <c r="A2028" s="1008">
        <v>24634</v>
      </c>
      <c r="C2028" s="1008">
        <v>6</v>
      </c>
      <c r="D2028" s="1009">
        <v>26699900</v>
      </c>
      <c r="E2028" s="1009">
        <v>26619999</v>
      </c>
      <c r="F2028" s="1007" t="s">
        <v>2639</v>
      </c>
      <c r="O2028" s="1007" t="s">
        <v>648</v>
      </c>
      <c r="P2028" s="1007" t="s">
        <v>648</v>
      </c>
      <c r="S2028" s="1008" t="s">
        <v>657</v>
      </c>
      <c r="T2028" s="1008" t="s">
        <v>21</v>
      </c>
      <c r="U2028" s="1008" t="s">
        <v>649</v>
      </c>
      <c r="V2028" s="1008" t="s">
        <v>648</v>
      </c>
      <c r="W2028" s="1008" t="s">
        <v>546</v>
      </c>
      <c r="X2028" s="1008"/>
      <c r="Y2028" s="1008"/>
      <c r="Z2028" s="1008"/>
      <c r="AA2028" s="1008"/>
      <c r="AB2028" s="1008"/>
      <c r="AC2028" s="1008"/>
      <c r="AD2028" s="1008"/>
      <c r="AE2028" s="1008"/>
      <c r="AF2028" s="1008"/>
      <c r="AG2028" s="1008"/>
      <c r="AH2028" s="1008"/>
      <c r="AI2028" s="1008"/>
    </row>
    <row r="2029" spans="1:35">
      <c r="A2029" s="1008">
        <v>24635</v>
      </c>
      <c r="C2029" s="1008">
        <v>6</v>
      </c>
      <c r="D2029" s="1009">
        <v>26629999</v>
      </c>
      <c r="E2029" s="1009">
        <v>26620000</v>
      </c>
      <c r="F2029" s="1007" t="s">
        <v>2638</v>
      </c>
      <c r="O2029" s="1007" t="s">
        <v>648</v>
      </c>
      <c r="P2029" s="1007" t="s">
        <v>648</v>
      </c>
      <c r="S2029" s="1008" t="s">
        <v>657</v>
      </c>
      <c r="T2029" s="1008" t="s">
        <v>675</v>
      </c>
      <c r="U2029" s="1008" t="s">
        <v>649</v>
      </c>
      <c r="V2029" s="1008" t="s">
        <v>648</v>
      </c>
      <c r="W2029" s="1008" t="s">
        <v>546</v>
      </c>
      <c r="X2029" s="1008"/>
      <c r="Y2029" s="1008"/>
      <c r="Z2029" s="1008"/>
      <c r="AA2029" s="1008"/>
      <c r="AB2029" s="1008"/>
      <c r="AC2029" s="1008"/>
      <c r="AD2029" s="1008"/>
      <c r="AE2029" s="1008"/>
      <c r="AF2029" s="1008"/>
      <c r="AG2029" s="1008"/>
      <c r="AH2029" s="1008"/>
      <c r="AI2029" s="1008"/>
    </row>
    <row r="2030" spans="1:35">
      <c r="A2030" s="1008">
        <v>24636</v>
      </c>
      <c r="B2030" s="1008">
        <v>1956</v>
      </c>
      <c r="C2030" s="1008">
        <v>7</v>
      </c>
      <c r="D2030" s="1009">
        <v>26629999</v>
      </c>
      <c r="E2030" s="1009">
        <v>26620400</v>
      </c>
      <c r="F2030" s="1007" t="s">
        <v>2637</v>
      </c>
      <c r="G2030" s="1007">
        <v>7</v>
      </c>
      <c r="H2030" s="1010">
        <v>99999999</v>
      </c>
      <c r="I2030" s="1009">
        <v>26620400</v>
      </c>
      <c r="J2030" s="1007" t="s">
        <v>2637</v>
      </c>
      <c r="O2030" s="1007" t="s">
        <v>648</v>
      </c>
      <c r="P2030" s="1007" t="s">
        <v>648</v>
      </c>
      <c r="S2030" s="1008" t="s">
        <v>657</v>
      </c>
      <c r="T2030" s="1008" t="s">
        <v>654</v>
      </c>
      <c r="U2030" s="1008" t="s">
        <v>649</v>
      </c>
      <c r="V2030" s="1008" t="s">
        <v>648</v>
      </c>
      <c r="W2030" s="1008" t="s">
        <v>546</v>
      </c>
      <c r="X2030" s="1008" t="s">
        <v>670</v>
      </c>
      <c r="Y2030" s="1008" t="s">
        <v>670</v>
      </c>
      <c r="Z2030" s="1008" t="s">
        <v>670</v>
      </c>
      <c r="AA2030" s="1008" t="s">
        <v>670</v>
      </c>
      <c r="AB2030" s="1008" t="s">
        <v>670</v>
      </c>
      <c r="AC2030" s="1008" t="s">
        <v>670</v>
      </c>
      <c r="AD2030" s="1008" t="s">
        <v>670</v>
      </c>
      <c r="AE2030" s="1008"/>
      <c r="AF2030" s="1008" t="s">
        <v>670</v>
      </c>
      <c r="AG2030" s="1008"/>
      <c r="AH2030" s="1008"/>
      <c r="AI2030" s="1008"/>
    </row>
    <row r="2031" spans="1:35">
      <c r="A2031" s="1008">
        <v>24637</v>
      </c>
      <c r="B2031" s="1008">
        <v>1957</v>
      </c>
      <c r="C2031" s="1008">
        <v>7</v>
      </c>
      <c r="D2031" s="1009">
        <v>26629999</v>
      </c>
      <c r="E2031" s="1009">
        <v>26620700</v>
      </c>
      <c r="F2031" s="1007" t="s">
        <v>2636</v>
      </c>
      <c r="G2031" s="1007">
        <v>7</v>
      </c>
      <c r="H2031" s="1010">
        <v>99999999</v>
      </c>
      <c r="I2031" s="1009">
        <v>26620700</v>
      </c>
      <c r="J2031" s="1007" t="s">
        <v>2636</v>
      </c>
      <c r="O2031" s="1007" t="s">
        <v>648</v>
      </c>
      <c r="P2031" s="1007" t="s">
        <v>648</v>
      </c>
      <c r="S2031" s="1008" t="s">
        <v>657</v>
      </c>
      <c r="T2031" s="1008" t="s">
        <v>654</v>
      </c>
      <c r="U2031" s="1008" t="s">
        <v>649</v>
      </c>
      <c r="V2031" s="1008" t="s">
        <v>648</v>
      </c>
      <c r="W2031" s="1008" t="s">
        <v>546</v>
      </c>
      <c r="X2031" s="1008" t="s">
        <v>670</v>
      </c>
      <c r="Y2031" s="1008" t="s">
        <v>670</v>
      </c>
      <c r="Z2031" s="1008" t="s">
        <v>670</v>
      </c>
      <c r="AA2031" s="1008" t="s">
        <v>670</v>
      </c>
      <c r="AB2031" s="1008" t="s">
        <v>670</v>
      </c>
      <c r="AC2031" s="1008" t="s">
        <v>670</v>
      </c>
      <c r="AD2031" s="1008" t="s">
        <v>670</v>
      </c>
      <c r="AE2031" s="1008"/>
      <c r="AF2031" s="1008" t="s">
        <v>670</v>
      </c>
      <c r="AG2031" s="1008"/>
      <c r="AH2031" s="1008"/>
      <c r="AI2031" s="1008"/>
    </row>
    <row r="2032" spans="1:35">
      <c r="A2032" s="1008">
        <v>24638</v>
      </c>
      <c r="B2032" s="1008">
        <v>5197</v>
      </c>
      <c r="C2032" s="1008">
        <v>7</v>
      </c>
      <c r="D2032" s="1009">
        <v>26629999</v>
      </c>
      <c r="E2032" s="1009">
        <v>26620800</v>
      </c>
      <c r="F2032" s="1007" t="s">
        <v>2635</v>
      </c>
      <c r="G2032" s="1007">
        <v>7</v>
      </c>
      <c r="H2032" s="1010">
        <v>99999999</v>
      </c>
      <c r="I2032" s="1009">
        <v>26620800</v>
      </c>
      <c r="J2032" s="1007" t="s">
        <v>2635</v>
      </c>
      <c r="O2032" s="1007" t="s">
        <v>648</v>
      </c>
      <c r="P2032" s="1007" t="s">
        <v>648</v>
      </c>
      <c r="S2032" s="1008" t="s">
        <v>657</v>
      </c>
      <c r="T2032" s="1008" t="s">
        <v>654</v>
      </c>
      <c r="U2032" s="1008" t="s">
        <v>649</v>
      </c>
      <c r="V2032" s="1008" t="s">
        <v>648</v>
      </c>
      <c r="W2032" s="1008" t="s">
        <v>546</v>
      </c>
      <c r="X2032" s="1008" t="s">
        <v>670</v>
      </c>
      <c r="Y2032" s="1008" t="s">
        <v>670</v>
      </c>
      <c r="Z2032" s="1008" t="s">
        <v>670</v>
      </c>
      <c r="AA2032" s="1008" t="s">
        <v>670</v>
      </c>
      <c r="AB2032" s="1008" t="s">
        <v>670</v>
      </c>
      <c r="AC2032" s="1008" t="s">
        <v>670</v>
      </c>
      <c r="AD2032" s="1008" t="s">
        <v>670</v>
      </c>
      <c r="AE2032" s="1008"/>
      <c r="AF2032" s="1008" t="s">
        <v>670</v>
      </c>
      <c r="AG2032" s="1008"/>
      <c r="AH2032" s="1008"/>
      <c r="AI2032" s="1008"/>
    </row>
    <row r="2033" spans="1:35">
      <c r="A2033" s="1008">
        <v>24639</v>
      </c>
      <c r="C2033" s="1008">
        <v>6</v>
      </c>
      <c r="D2033" s="1009">
        <v>26699900</v>
      </c>
      <c r="E2033" s="1009">
        <v>26629999</v>
      </c>
      <c r="F2033" s="1007" t="s">
        <v>2634</v>
      </c>
      <c r="O2033" s="1007" t="s">
        <v>648</v>
      </c>
      <c r="P2033" s="1007" t="s">
        <v>648</v>
      </c>
      <c r="S2033" s="1008" t="s">
        <v>657</v>
      </c>
      <c r="T2033" s="1008" t="s">
        <v>21</v>
      </c>
      <c r="U2033" s="1008" t="s">
        <v>649</v>
      </c>
      <c r="V2033" s="1008" t="s">
        <v>648</v>
      </c>
      <c r="W2033" s="1008" t="s">
        <v>546</v>
      </c>
      <c r="X2033" s="1008"/>
      <c r="Y2033" s="1008"/>
      <c r="Z2033" s="1008"/>
      <c r="AA2033" s="1008"/>
      <c r="AB2033" s="1008"/>
      <c r="AC2033" s="1008"/>
      <c r="AD2033" s="1008"/>
      <c r="AE2033" s="1008"/>
      <c r="AF2033" s="1008"/>
      <c r="AG2033" s="1008"/>
      <c r="AH2033" s="1008"/>
      <c r="AI2033" s="1008"/>
    </row>
    <row r="2034" spans="1:35">
      <c r="A2034" s="1008">
        <v>24640</v>
      </c>
      <c r="C2034" s="1008">
        <v>5</v>
      </c>
      <c r="D2034" s="1009">
        <v>26699999</v>
      </c>
      <c r="E2034" s="1009">
        <v>26699900</v>
      </c>
      <c r="F2034" s="1007" t="s">
        <v>2578</v>
      </c>
      <c r="O2034" s="1007" t="s">
        <v>648</v>
      </c>
      <c r="P2034" s="1007" t="s">
        <v>648</v>
      </c>
      <c r="S2034" s="1008" t="s">
        <v>657</v>
      </c>
      <c r="T2034" s="1008" t="s">
        <v>21</v>
      </c>
      <c r="U2034" s="1008" t="s">
        <v>649</v>
      </c>
      <c r="V2034" s="1008" t="s">
        <v>648</v>
      </c>
      <c r="W2034" s="1008" t="s">
        <v>546</v>
      </c>
      <c r="X2034" s="1008"/>
      <c r="Y2034" s="1008"/>
      <c r="Z2034" s="1008"/>
      <c r="AA2034" s="1008"/>
      <c r="AB2034" s="1008"/>
      <c r="AC2034" s="1008"/>
      <c r="AD2034" s="1008"/>
      <c r="AE2034" s="1008"/>
      <c r="AF2034" s="1008"/>
      <c r="AG2034" s="1008"/>
      <c r="AH2034" s="1008"/>
      <c r="AI2034" s="1008"/>
    </row>
    <row r="2035" spans="1:35">
      <c r="A2035" s="1008">
        <v>24641</v>
      </c>
      <c r="C2035" s="1008">
        <v>4</v>
      </c>
      <c r="D2035" s="1009">
        <v>29999999</v>
      </c>
      <c r="E2035" s="1009">
        <v>26699999</v>
      </c>
      <c r="F2035" s="1007" t="s">
        <v>2633</v>
      </c>
      <c r="O2035" s="1007" t="s">
        <v>648</v>
      </c>
      <c r="P2035" s="1007" t="s">
        <v>648</v>
      </c>
      <c r="S2035" s="1008" t="s">
        <v>657</v>
      </c>
      <c r="T2035" s="1008" t="s">
        <v>21</v>
      </c>
      <c r="U2035" s="1008" t="s">
        <v>649</v>
      </c>
      <c r="V2035" s="1008" t="s">
        <v>648</v>
      </c>
      <c r="W2035" s="1008" t="s">
        <v>546</v>
      </c>
      <c r="X2035" s="1008"/>
      <c r="Y2035" s="1008"/>
      <c r="Z2035" s="1008"/>
      <c r="AA2035" s="1008"/>
      <c r="AB2035" s="1008"/>
      <c r="AC2035" s="1008"/>
      <c r="AD2035" s="1008"/>
      <c r="AE2035" s="1008"/>
      <c r="AF2035" s="1008"/>
      <c r="AG2035" s="1008"/>
      <c r="AH2035" s="1008"/>
      <c r="AI2035" s="1008"/>
    </row>
    <row r="2036" spans="1:35">
      <c r="A2036" s="1008">
        <v>24642</v>
      </c>
      <c r="C2036" s="1008">
        <v>4</v>
      </c>
      <c r="D2036" s="1009">
        <v>27399999</v>
      </c>
      <c r="E2036" s="1009">
        <v>27000000</v>
      </c>
      <c r="F2036" s="1007" t="s">
        <v>2632</v>
      </c>
      <c r="O2036" s="1007" t="s">
        <v>648</v>
      </c>
      <c r="P2036" s="1007" t="s">
        <v>648</v>
      </c>
      <c r="S2036" s="1008" t="s">
        <v>657</v>
      </c>
      <c r="T2036" s="1008" t="s">
        <v>675</v>
      </c>
      <c r="U2036" s="1008" t="s">
        <v>649</v>
      </c>
      <c r="V2036" s="1008" t="s">
        <v>648</v>
      </c>
      <c r="W2036" s="1008" t="s">
        <v>546</v>
      </c>
      <c r="X2036" s="1008"/>
      <c r="Y2036" s="1008"/>
      <c r="Z2036" s="1008"/>
      <c r="AA2036" s="1008"/>
      <c r="AB2036" s="1008"/>
      <c r="AC2036" s="1008"/>
      <c r="AD2036" s="1008"/>
      <c r="AE2036" s="1008"/>
      <c r="AF2036" s="1008"/>
      <c r="AG2036" s="1008"/>
      <c r="AH2036" s="1008"/>
      <c r="AI2036" s="1008"/>
    </row>
    <row r="2037" spans="1:35">
      <c r="A2037" s="1008">
        <v>24643</v>
      </c>
      <c r="C2037" s="1008">
        <v>5</v>
      </c>
      <c r="D2037" s="1009">
        <v>27099999</v>
      </c>
      <c r="E2037" s="1009">
        <v>27001000</v>
      </c>
      <c r="F2037" s="1007" t="s">
        <v>2631</v>
      </c>
      <c r="O2037" s="1007" t="s">
        <v>648</v>
      </c>
      <c r="P2037" s="1007" t="s">
        <v>648</v>
      </c>
      <c r="S2037" s="1008" t="s">
        <v>657</v>
      </c>
      <c r="T2037" s="1008" t="s">
        <v>675</v>
      </c>
      <c r="U2037" s="1008" t="s">
        <v>649</v>
      </c>
      <c r="V2037" s="1008" t="s">
        <v>648</v>
      </c>
      <c r="W2037" s="1008" t="s">
        <v>546</v>
      </c>
      <c r="X2037" s="1008"/>
      <c r="Y2037" s="1008"/>
      <c r="Z2037" s="1008"/>
      <c r="AA2037" s="1008"/>
      <c r="AB2037" s="1008"/>
      <c r="AC2037" s="1008"/>
      <c r="AD2037" s="1008"/>
      <c r="AE2037" s="1008"/>
      <c r="AF2037" s="1008"/>
      <c r="AG2037" s="1008"/>
      <c r="AH2037" s="1008"/>
      <c r="AI2037" s="1008"/>
    </row>
    <row r="2038" spans="1:35">
      <c r="A2038" s="1008">
        <v>24644</v>
      </c>
      <c r="B2038" s="1008">
        <v>5202</v>
      </c>
      <c r="C2038" s="1008">
        <v>6</v>
      </c>
      <c r="D2038" s="1009">
        <v>27099999</v>
      </c>
      <c r="E2038" s="1009">
        <v>27011000</v>
      </c>
      <c r="F2038" s="1007" t="s">
        <v>2631</v>
      </c>
      <c r="G2038" s="1007">
        <v>6</v>
      </c>
      <c r="H2038" s="1010">
        <v>99999999</v>
      </c>
      <c r="I2038" s="1009">
        <v>27011000</v>
      </c>
      <c r="J2038" s="1007" t="s">
        <v>2631</v>
      </c>
      <c r="O2038" s="1007" t="s">
        <v>648</v>
      </c>
      <c r="P2038" s="1007" t="s">
        <v>648</v>
      </c>
      <c r="S2038" s="1008" t="s">
        <v>657</v>
      </c>
      <c r="T2038" s="1008" t="s">
        <v>654</v>
      </c>
      <c r="U2038" s="1008" t="s">
        <v>649</v>
      </c>
      <c r="V2038" s="1008" t="s">
        <v>648</v>
      </c>
      <c r="W2038" s="1008" t="s">
        <v>546</v>
      </c>
      <c r="X2038" s="1008" t="s">
        <v>670</v>
      </c>
      <c r="Y2038" s="1008" t="s">
        <v>670</v>
      </c>
      <c r="Z2038" s="1008" t="s">
        <v>670</v>
      </c>
      <c r="AA2038" s="1008"/>
      <c r="AB2038" s="1008" t="s">
        <v>670</v>
      </c>
      <c r="AC2038" s="1008"/>
      <c r="AD2038" s="1008" t="s">
        <v>670</v>
      </c>
      <c r="AE2038" s="1008"/>
      <c r="AF2038" s="1008" t="s">
        <v>670</v>
      </c>
      <c r="AG2038" s="1008"/>
      <c r="AH2038" s="1008"/>
      <c r="AI2038" s="1008"/>
    </row>
    <row r="2039" spans="1:35">
      <c r="A2039" s="1008">
        <v>24645</v>
      </c>
      <c r="C2039" s="1008">
        <v>5</v>
      </c>
      <c r="D2039" s="1009">
        <v>27399999</v>
      </c>
      <c r="E2039" s="1009">
        <v>27099999</v>
      </c>
      <c r="F2039" s="1007" t="s">
        <v>2630</v>
      </c>
      <c r="O2039" s="1007" t="s">
        <v>648</v>
      </c>
      <c r="P2039" s="1007" t="s">
        <v>648</v>
      </c>
      <c r="S2039" s="1008" t="s">
        <v>657</v>
      </c>
      <c r="T2039" s="1008" t="s">
        <v>21</v>
      </c>
      <c r="U2039" s="1008" t="s">
        <v>649</v>
      </c>
      <c r="V2039" s="1008" t="s">
        <v>648</v>
      </c>
      <c r="W2039" s="1008" t="s">
        <v>546</v>
      </c>
      <c r="X2039" s="1008"/>
      <c r="Y2039" s="1008"/>
      <c r="Z2039" s="1008"/>
      <c r="AA2039" s="1008"/>
      <c r="AB2039" s="1008"/>
      <c r="AC2039" s="1008"/>
      <c r="AD2039" s="1008"/>
      <c r="AE2039" s="1008"/>
      <c r="AF2039" s="1008"/>
      <c r="AG2039" s="1008"/>
      <c r="AH2039" s="1008"/>
      <c r="AI2039" s="1008"/>
    </row>
    <row r="2040" spans="1:35">
      <c r="A2040" s="1008">
        <v>24646</v>
      </c>
      <c r="C2040" s="1008">
        <v>5</v>
      </c>
      <c r="D2040" s="1009">
        <v>27199999</v>
      </c>
      <c r="E2040" s="1009">
        <v>27100000</v>
      </c>
      <c r="F2040" s="1007" t="s">
        <v>2629</v>
      </c>
      <c r="O2040" s="1007" t="s">
        <v>648</v>
      </c>
      <c r="P2040" s="1007" t="s">
        <v>648</v>
      </c>
      <c r="S2040" s="1008" t="s">
        <v>657</v>
      </c>
      <c r="T2040" s="1008" t="s">
        <v>675</v>
      </c>
      <c r="U2040" s="1008" t="s">
        <v>649</v>
      </c>
      <c r="V2040" s="1008" t="s">
        <v>648</v>
      </c>
      <c r="W2040" s="1008" t="s">
        <v>546</v>
      </c>
      <c r="X2040" s="1008"/>
      <c r="Y2040" s="1008"/>
      <c r="Z2040" s="1008"/>
      <c r="AA2040" s="1008"/>
      <c r="AB2040" s="1008"/>
      <c r="AC2040" s="1008"/>
      <c r="AD2040" s="1008"/>
      <c r="AE2040" s="1008"/>
      <c r="AF2040" s="1008"/>
      <c r="AG2040" s="1008"/>
      <c r="AH2040" s="1008"/>
      <c r="AI2040" s="1008"/>
    </row>
    <row r="2041" spans="1:35">
      <c r="A2041" s="1008">
        <v>24647</v>
      </c>
      <c r="B2041" s="1008">
        <v>1960</v>
      </c>
      <c r="C2041" s="1008">
        <v>6</v>
      </c>
      <c r="D2041" s="1009">
        <v>27199999</v>
      </c>
      <c r="E2041" s="1009">
        <v>27100600</v>
      </c>
      <c r="F2041" s="1007" t="s">
        <v>2628</v>
      </c>
      <c r="G2041" s="1007">
        <v>6</v>
      </c>
      <c r="H2041" s="1010">
        <v>99999999</v>
      </c>
      <c r="I2041" s="1009">
        <v>27100600</v>
      </c>
      <c r="J2041" s="1007" t="s">
        <v>2628</v>
      </c>
      <c r="O2041" s="1007" t="s">
        <v>648</v>
      </c>
      <c r="P2041" s="1007" t="s">
        <v>648</v>
      </c>
      <c r="S2041" s="1008" t="s">
        <v>657</v>
      </c>
      <c r="T2041" s="1008" t="s">
        <v>654</v>
      </c>
      <c r="U2041" s="1008" t="s">
        <v>649</v>
      </c>
      <c r="V2041" s="1008" t="s">
        <v>648</v>
      </c>
      <c r="W2041" s="1008" t="s">
        <v>546</v>
      </c>
      <c r="X2041" s="1008" t="s">
        <v>670</v>
      </c>
      <c r="Y2041" s="1008" t="s">
        <v>670</v>
      </c>
      <c r="Z2041" s="1008" t="s">
        <v>670</v>
      </c>
      <c r="AA2041" s="1008" t="s">
        <v>670</v>
      </c>
      <c r="AB2041" s="1008" t="s">
        <v>670</v>
      </c>
      <c r="AC2041" s="1008" t="s">
        <v>670</v>
      </c>
      <c r="AD2041" s="1008" t="s">
        <v>670</v>
      </c>
      <c r="AE2041" s="1008"/>
      <c r="AF2041" s="1008" t="s">
        <v>670</v>
      </c>
      <c r="AG2041" s="1008"/>
      <c r="AH2041" s="1008"/>
      <c r="AI2041" s="1008"/>
    </row>
    <row r="2042" spans="1:35">
      <c r="A2042" s="1008">
        <v>24648</v>
      </c>
      <c r="B2042" s="1008">
        <v>5204</v>
      </c>
      <c r="C2042" s="1008">
        <v>6</v>
      </c>
      <c r="D2042" s="1009">
        <v>27199999</v>
      </c>
      <c r="E2042" s="1009">
        <v>27100700</v>
      </c>
      <c r="F2042" s="1007" t="s">
        <v>2627</v>
      </c>
      <c r="G2042" s="1007">
        <v>6</v>
      </c>
      <c r="H2042" s="1010">
        <v>99999999</v>
      </c>
      <c r="I2042" s="1009">
        <v>27100700</v>
      </c>
      <c r="J2042" s="1007" t="s">
        <v>2627</v>
      </c>
      <c r="O2042" s="1007" t="s">
        <v>648</v>
      </c>
      <c r="P2042" s="1007" t="s">
        <v>648</v>
      </c>
      <c r="S2042" s="1008" t="s">
        <v>657</v>
      </c>
      <c r="T2042" s="1008" t="s">
        <v>654</v>
      </c>
      <c r="U2042" s="1008" t="s">
        <v>649</v>
      </c>
      <c r="V2042" s="1008" t="s">
        <v>648</v>
      </c>
      <c r="W2042" s="1008" t="s">
        <v>546</v>
      </c>
      <c r="X2042" s="1008" t="s">
        <v>670</v>
      </c>
      <c r="Y2042" s="1008" t="s">
        <v>670</v>
      </c>
      <c r="Z2042" s="1008" t="s">
        <v>670</v>
      </c>
      <c r="AA2042" s="1008" t="s">
        <v>670</v>
      </c>
      <c r="AB2042" s="1008" t="s">
        <v>670</v>
      </c>
      <c r="AC2042" s="1008" t="s">
        <v>670</v>
      </c>
      <c r="AD2042" s="1008" t="s">
        <v>670</v>
      </c>
      <c r="AE2042" s="1008"/>
      <c r="AF2042" s="1008" t="s">
        <v>670</v>
      </c>
      <c r="AG2042" s="1008"/>
      <c r="AH2042" s="1008"/>
      <c r="AI2042" s="1008"/>
    </row>
    <row r="2043" spans="1:35">
      <c r="A2043" s="1008">
        <v>24649</v>
      </c>
      <c r="C2043" s="1008">
        <v>5</v>
      </c>
      <c r="D2043" s="1009">
        <v>27399999</v>
      </c>
      <c r="E2043" s="1009">
        <v>27199999</v>
      </c>
      <c r="F2043" s="1007" t="s">
        <v>2626</v>
      </c>
      <c r="O2043" s="1007" t="s">
        <v>648</v>
      </c>
      <c r="P2043" s="1007" t="s">
        <v>648</v>
      </c>
      <c r="S2043" s="1008" t="s">
        <v>657</v>
      </c>
      <c r="T2043" s="1008" t="s">
        <v>21</v>
      </c>
      <c r="U2043" s="1008" t="s">
        <v>649</v>
      </c>
      <c r="V2043" s="1008" t="s">
        <v>648</v>
      </c>
      <c r="W2043" s="1008" t="s">
        <v>546</v>
      </c>
      <c r="X2043" s="1008"/>
      <c r="Y2043" s="1008"/>
      <c r="Z2043" s="1008"/>
      <c r="AA2043" s="1008"/>
      <c r="AB2043" s="1008"/>
      <c r="AC2043" s="1008"/>
      <c r="AD2043" s="1008"/>
      <c r="AE2043" s="1008"/>
      <c r="AF2043" s="1008"/>
      <c r="AG2043" s="1008"/>
      <c r="AH2043" s="1008"/>
      <c r="AI2043" s="1008"/>
    </row>
    <row r="2044" spans="1:35">
      <c r="A2044" s="1008">
        <v>24650</v>
      </c>
      <c r="C2044" s="1008">
        <v>5</v>
      </c>
      <c r="D2044" s="1009">
        <v>27299999</v>
      </c>
      <c r="E2044" s="1009">
        <v>27200000</v>
      </c>
      <c r="F2044" s="1007" t="s">
        <v>2625</v>
      </c>
      <c r="O2044" s="1007" t="s">
        <v>648</v>
      </c>
      <c r="P2044" s="1007" t="s">
        <v>648</v>
      </c>
      <c r="S2044" s="1008" t="s">
        <v>657</v>
      </c>
      <c r="T2044" s="1008" t="s">
        <v>675</v>
      </c>
      <c r="U2044" s="1008" t="s">
        <v>649</v>
      </c>
      <c r="V2044" s="1008" t="s">
        <v>648</v>
      </c>
      <c r="W2044" s="1008" t="s">
        <v>546</v>
      </c>
      <c r="X2044" s="1008"/>
      <c r="Y2044" s="1008"/>
      <c r="Z2044" s="1008"/>
      <c r="AA2044" s="1008"/>
      <c r="AB2044" s="1008"/>
      <c r="AC2044" s="1008"/>
      <c r="AD2044" s="1008"/>
      <c r="AE2044" s="1008"/>
      <c r="AF2044" s="1008"/>
      <c r="AG2044" s="1008"/>
      <c r="AH2044" s="1008"/>
      <c r="AI2044" s="1008"/>
    </row>
    <row r="2045" spans="1:35">
      <c r="A2045" s="1008">
        <v>24651</v>
      </c>
      <c r="C2045" s="1008">
        <v>6</v>
      </c>
      <c r="D2045" s="1009">
        <v>27219999</v>
      </c>
      <c r="E2045" s="1009">
        <v>27210000</v>
      </c>
      <c r="F2045" s="1007" t="s">
        <v>2624</v>
      </c>
      <c r="O2045" s="1007" t="s">
        <v>648</v>
      </c>
      <c r="P2045" s="1007" t="s">
        <v>648</v>
      </c>
      <c r="S2045" s="1008" t="s">
        <v>657</v>
      </c>
      <c r="T2045" s="1008" t="s">
        <v>675</v>
      </c>
      <c r="U2045" s="1008" t="s">
        <v>649</v>
      </c>
      <c r="V2045" s="1008" t="s">
        <v>648</v>
      </c>
      <c r="W2045" s="1008" t="s">
        <v>546</v>
      </c>
      <c r="X2045" s="1008"/>
      <c r="Y2045" s="1008"/>
      <c r="Z2045" s="1008"/>
      <c r="AA2045" s="1008"/>
      <c r="AB2045" s="1008"/>
      <c r="AC2045" s="1008"/>
      <c r="AD2045" s="1008"/>
      <c r="AE2045" s="1008"/>
      <c r="AF2045" s="1008"/>
      <c r="AG2045" s="1008"/>
      <c r="AH2045" s="1008"/>
      <c r="AI2045" s="1008"/>
    </row>
    <row r="2046" spans="1:35">
      <c r="A2046" s="1008">
        <v>24652</v>
      </c>
      <c r="B2046" s="1008">
        <v>28</v>
      </c>
      <c r="C2046" s="1008">
        <v>7</v>
      </c>
      <c r="D2046" s="1009">
        <v>27219999</v>
      </c>
      <c r="E2046" s="1009">
        <v>27211000</v>
      </c>
      <c r="F2046" s="1007" t="s">
        <v>2624</v>
      </c>
      <c r="G2046" s="1007">
        <v>8</v>
      </c>
      <c r="H2046" s="1010">
        <v>99999999</v>
      </c>
      <c r="I2046" s="1009">
        <v>27211000</v>
      </c>
      <c r="J2046" s="1007" t="s">
        <v>2624</v>
      </c>
      <c r="O2046" s="1007" t="s">
        <v>648</v>
      </c>
      <c r="P2046" s="1007" t="s">
        <v>648</v>
      </c>
      <c r="S2046" s="1008" t="s">
        <v>657</v>
      </c>
      <c r="T2046" s="1008" t="s">
        <v>654</v>
      </c>
      <c r="U2046" s="1008" t="s">
        <v>649</v>
      </c>
      <c r="V2046" s="1008" t="s">
        <v>648</v>
      </c>
      <c r="W2046" s="1008" t="s">
        <v>546</v>
      </c>
      <c r="X2046" s="1008" t="s">
        <v>670</v>
      </c>
      <c r="Y2046" s="1008" t="s">
        <v>670</v>
      </c>
      <c r="Z2046" s="1008" t="s">
        <v>670</v>
      </c>
      <c r="AA2046" s="1008" t="s">
        <v>670</v>
      </c>
      <c r="AB2046" s="1008" t="s">
        <v>670</v>
      </c>
      <c r="AC2046" s="1008" t="s">
        <v>670</v>
      </c>
      <c r="AD2046" s="1008" t="s">
        <v>670</v>
      </c>
      <c r="AE2046" s="1008"/>
      <c r="AF2046" s="1008" t="s">
        <v>670</v>
      </c>
      <c r="AG2046" s="1008"/>
      <c r="AH2046" s="1008"/>
      <c r="AI2046" s="1008"/>
    </row>
    <row r="2047" spans="1:35">
      <c r="A2047" s="1008">
        <v>27027</v>
      </c>
      <c r="B2047" s="1008">
        <v>5908</v>
      </c>
      <c r="C2047" s="1008">
        <v>7</v>
      </c>
      <c r="D2047" s="1009">
        <v>27219999</v>
      </c>
      <c r="E2047" s="1009">
        <v>27211600</v>
      </c>
      <c r="F2047" s="1007" t="s">
        <v>2623</v>
      </c>
      <c r="G2047" s="1007" t="s">
        <v>648</v>
      </c>
      <c r="H2047" s="1010">
        <v>99999999</v>
      </c>
      <c r="I2047" s="1009">
        <v>27211600</v>
      </c>
      <c r="J2047" s="1007" t="s">
        <v>2623</v>
      </c>
      <c r="O2047" s="1007" t="s">
        <v>648</v>
      </c>
      <c r="P2047" s="1007" t="s">
        <v>648</v>
      </c>
      <c r="S2047" s="1008" t="s">
        <v>657</v>
      </c>
      <c r="T2047" s="1008" t="s">
        <v>654</v>
      </c>
      <c r="U2047" s="1008" t="s">
        <v>649</v>
      </c>
      <c r="V2047" s="1008" t="s">
        <v>648</v>
      </c>
      <c r="W2047" s="1008" t="s">
        <v>546</v>
      </c>
      <c r="X2047" s="1008" t="s">
        <v>670</v>
      </c>
      <c r="Y2047" s="1008" t="s">
        <v>670</v>
      </c>
      <c r="Z2047" s="1008" t="s">
        <v>670</v>
      </c>
      <c r="AA2047" s="1008"/>
      <c r="AB2047" s="1008" t="s">
        <v>670</v>
      </c>
      <c r="AC2047" s="1008"/>
      <c r="AD2047" s="1008"/>
      <c r="AE2047" s="1008"/>
      <c r="AF2047" s="1008" t="s">
        <v>670</v>
      </c>
      <c r="AG2047" s="1008"/>
      <c r="AH2047" s="1008"/>
      <c r="AI2047" s="1008"/>
    </row>
    <row r="2048" spans="1:35">
      <c r="A2048" s="1008">
        <v>27596</v>
      </c>
      <c r="B2048" s="1008">
        <v>6438</v>
      </c>
      <c r="C2048" s="1008">
        <v>7</v>
      </c>
      <c r="D2048" s="1009">
        <v>27219999</v>
      </c>
      <c r="E2048" s="1009">
        <v>27211800</v>
      </c>
      <c r="F2048" s="1007" t="s">
        <v>2622</v>
      </c>
      <c r="G2048" s="1007" t="s">
        <v>648</v>
      </c>
      <c r="H2048" s="1010">
        <v>99999999</v>
      </c>
      <c r="I2048" s="1009">
        <v>27211800</v>
      </c>
      <c r="J2048" s="1007" t="s">
        <v>2622</v>
      </c>
      <c r="O2048" s="1007" t="s">
        <v>648</v>
      </c>
      <c r="P2048" s="1007" t="s">
        <v>648</v>
      </c>
      <c r="S2048" s="1008" t="s">
        <v>657</v>
      </c>
      <c r="T2048" s="1008" t="s">
        <v>654</v>
      </c>
      <c r="U2048" s="1008" t="s">
        <v>649</v>
      </c>
      <c r="V2048" s="1008" t="s">
        <v>648</v>
      </c>
      <c r="W2048" s="1008" t="s">
        <v>546</v>
      </c>
      <c r="X2048" s="1008" t="s">
        <v>670</v>
      </c>
      <c r="Y2048" s="1008" t="s">
        <v>670</v>
      </c>
      <c r="Z2048" s="1008" t="s">
        <v>670</v>
      </c>
      <c r="AA2048" s="1008" t="s">
        <v>670</v>
      </c>
      <c r="AB2048" s="1008" t="s">
        <v>670</v>
      </c>
      <c r="AC2048" s="1008" t="s">
        <v>670</v>
      </c>
      <c r="AD2048" s="1008" t="s">
        <v>670</v>
      </c>
      <c r="AE2048" s="1008" t="s">
        <v>670</v>
      </c>
      <c r="AF2048" s="1008" t="s">
        <v>670</v>
      </c>
      <c r="AG2048" s="1008" t="s">
        <v>670</v>
      </c>
      <c r="AH2048" s="1008" t="s">
        <v>670</v>
      </c>
      <c r="AI2048" s="1008" t="s">
        <v>670</v>
      </c>
    </row>
    <row r="2049" spans="1:35">
      <c r="A2049" s="1008">
        <v>24653</v>
      </c>
      <c r="C2049" s="1008">
        <v>6</v>
      </c>
      <c r="D2049" s="1009">
        <v>27299999</v>
      </c>
      <c r="E2049" s="1009">
        <v>27219999</v>
      </c>
      <c r="F2049" s="1007" t="s">
        <v>2621</v>
      </c>
      <c r="O2049" s="1007" t="s">
        <v>648</v>
      </c>
      <c r="P2049" s="1007" t="s">
        <v>648</v>
      </c>
      <c r="S2049" s="1008" t="s">
        <v>657</v>
      </c>
      <c r="T2049" s="1008" t="s">
        <v>21</v>
      </c>
      <c r="U2049" s="1008" t="s">
        <v>649</v>
      </c>
      <c r="V2049" s="1008" t="s">
        <v>648</v>
      </c>
      <c r="W2049" s="1008" t="s">
        <v>546</v>
      </c>
      <c r="X2049" s="1008"/>
      <c r="Y2049" s="1008"/>
      <c r="Z2049" s="1008"/>
      <c r="AA2049" s="1008"/>
      <c r="AB2049" s="1008"/>
      <c r="AC2049" s="1008"/>
      <c r="AD2049" s="1008"/>
      <c r="AE2049" s="1008"/>
      <c r="AF2049" s="1008"/>
      <c r="AG2049" s="1008"/>
      <c r="AH2049" s="1008"/>
      <c r="AI2049" s="1008"/>
    </row>
    <row r="2050" spans="1:35">
      <c r="A2050" s="1008">
        <v>24654</v>
      </c>
      <c r="C2050" s="1008">
        <v>5</v>
      </c>
      <c r="D2050" s="1009">
        <v>27399999</v>
      </c>
      <c r="E2050" s="1009">
        <v>27299999</v>
      </c>
      <c r="F2050" s="1007" t="s">
        <v>2621</v>
      </c>
      <c r="O2050" s="1007" t="s">
        <v>648</v>
      </c>
      <c r="P2050" s="1007" t="s">
        <v>648</v>
      </c>
      <c r="S2050" s="1008" t="s">
        <v>657</v>
      </c>
      <c r="T2050" s="1008" t="s">
        <v>21</v>
      </c>
      <c r="U2050" s="1008" t="s">
        <v>649</v>
      </c>
      <c r="V2050" s="1008" t="s">
        <v>648</v>
      </c>
      <c r="W2050" s="1008" t="s">
        <v>546</v>
      </c>
      <c r="X2050" s="1008"/>
      <c r="Y2050" s="1008"/>
      <c r="Z2050" s="1008"/>
      <c r="AA2050" s="1008"/>
      <c r="AB2050" s="1008"/>
      <c r="AC2050" s="1008"/>
      <c r="AD2050" s="1008"/>
      <c r="AE2050" s="1008"/>
      <c r="AF2050" s="1008"/>
      <c r="AG2050" s="1008"/>
      <c r="AH2050" s="1008"/>
      <c r="AI2050" s="1008"/>
    </row>
    <row r="2051" spans="1:35">
      <c r="A2051" s="1008">
        <v>24655</v>
      </c>
      <c r="C2051" s="1008">
        <v>5</v>
      </c>
      <c r="D2051" s="1009">
        <v>27399900</v>
      </c>
      <c r="E2051" s="1009">
        <v>27300000</v>
      </c>
      <c r="F2051" s="1007" t="s">
        <v>2620</v>
      </c>
      <c r="O2051" s="1007" t="s">
        <v>648</v>
      </c>
      <c r="P2051" s="1007" t="s">
        <v>648</v>
      </c>
      <c r="S2051" s="1008" t="s">
        <v>657</v>
      </c>
      <c r="T2051" s="1008" t="s">
        <v>675</v>
      </c>
      <c r="U2051" s="1008" t="s">
        <v>649</v>
      </c>
      <c r="V2051" s="1008" t="s">
        <v>648</v>
      </c>
      <c r="W2051" s="1008" t="s">
        <v>546</v>
      </c>
      <c r="X2051" s="1008"/>
      <c r="Y2051" s="1008"/>
      <c r="Z2051" s="1008"/>
      <c r="AA2051" s="1008"/>
      <c r="AB2051" s="1008"/>
      <c r="AC2051" s="1008"/>
      <c r="AD2051" s="1008"/>
      <c r="AE2051" s="1008"/>
      <c r="AF2051" s="1008"/>
      <c r="AG2051" s="1008"/>
      <c r="AH2051" s="1008"/>
      <c r="AI2051" s="1008"/>
    </row>
    <row r="2052" spans="1:35">
      <c r="A2052" s="1008">
        <v>24656</v>
      </c>
      <c r="C2052" s="1008">
        <v>6</v>
      </c>
      <c r="D2052" s="1009">
        <v>27319999</v>
      </c>
      <c r="E2052" s="1009">
        <v>27310000</v>
      </c>
      <c r="F2052" s="1007" t="s">
        <v>2619</v>
      </c>
      <c r="O2052" s="1007" t="s">
        <v>648</v>
      </c>
      <c r="P2052" s="1007" t="s">
        <v>648</v>
      </c>
      <c r="S2052" s="1008" t="s">
        <v>657</v>
      </c>
      <c r="T2052" s="1008" t="s">
        <v>675</v>
      </c>
      <c r="U2052" s="1008" t="s">
        <v>649</v>
      </c>
      <c r="V2052" s="1008" t="s">
        <v>648</v>
      </c>
      <c r="W2052" s="1008" t="s">
        <v>546</v>
      </c>
      <c r="X2052" s="1008"/>
      <c r="Y2052" s="1008"/>
      <c r="Z2052" s="1008"/>
      <c r="AA2052" s="1008"/>
      <c r="AB2052" s="1008"/>
      <c r="AC2052" s="1008"/>
      <c r="AD2052" s="1008"/>
      <c r="AE2052" s="1008"/>
      <c r="AF2052" s="1008"/>
      <c r="AG2052" s="1008"/>
      <c r="AH2052" s="1008"/>
      <c r="AI2052" s="1008"/>
    </row>
    <row r="2053" spans="1:35">
      <c r="A2053" s="1008">
        <v>24657</v>
      </c>
      <c r="B2053" s="1008">
        <v>1963</v>
      </c>
      <c r="C2053" s="1008">
        <v>7</v>
      </c>
      <c r="D2053" s="1009">
        <v>27319999</v>
      </c>
      <c r="E2053" s="1009">
        <v>27311000</v>
      </c>
      <c r="F2053" s="1007" t="s">
        <v>2618</v>
      </c>
      <c r="G2053" s="1007">
        <v>7</v>
      </c>
      <c r="H2053" s="1010">
        <v>99999999</v>
      </c>
      <c r="I2053" s="1009">
        <v>27311000</v>
      </c>
      <c r="J2053" s="1007" t="s">
        <v>2618</v>
      </c>
      <c r="O2053" s="1007" t="s">
        <v>648</v>
      </c>
      <c r="P2053" s="1007" t="s">
        <v>648</v>
      </c>
      <c r="S2053" s="1008" t="s">
        <v>657</v>
      </c>
      <c r="T2053" s="1008" t="s">
        <v>654</v>
      </c>
      <c r="U2053" s="1008" t="s">
        <v>649</v>
      </c>
      <c r="V2053" s="1008" t="s">
        <v>648</v>
      </c>
      <c r="W2053" s="1008" t="s">
        <v>546</v>
      </c>
      <c r="X2053" s="1008" t="s">
        <v>670</v>
      </c>
      <c r="Y2053" s="1008" t="s">
        <v>670</v>
      </c>
      <c r="Z2053" s="1008" t="s">
        <v>670</v>
      </c>
      <c r="AA2053" s="1008" t="s">
        <v>670</v>
      </c>
      <c r="AB2053" s="1008" t="s">
        <v>670</v>
      </c>
      <c r="AC2053" s="1008" t="s">
        <v>670</v>
      </c>
      <c r="AD2053" s="1008" t="s">
        <v>670</v>
      </c>
      <c r="AE2053" s="1008"/>
      <c r="AF2053" s="1008" t="s">
        <v>670</v>
      </c>
      <c r="AG2053" s="1008"/>
      <c r="AH2053" s="1008"/>
      <c r="AI2053" s="1008"/>
    </row>
    <row r="2054" spans="1:35">
      <c r="A2054" s="1008">
        <v>24658</v>
      </c>
      <c r="B2054" s="1008">
        <v>5211</v>
      </c>
      <c r="C2054" s="1008">
        <v>7</v>
      </c>
      <c r="D2054" s="1009">
        <v>27319999</v>
      </c>
      <c r="E2054" s="1009">
        <v>27312000</v>
      </c>
      <c r="F2054" s="1007" t="s">
        <v>2617</v>
      </c>
      <c r="G2054" s="1007">
        <v>7</v>
      </c>
      <c r="H2054" s="1010">
        <v>99999999</v>
      </c>
      <c r="I2054" s="1009">
        <v>27312000</v>
      </c>
      <c r="J2054" s="1007" t="s">
        <v>2617</v>
      </c>
      <c r="O2054" s="1007" t="s">
        <v>648</v>
      </c>
      <c r="P2054" s="1007" t="s">
        <v>648</v>
      </c>
      <c r="S2054" s="1008" t="s">
        <v>657</v>
      </c>
      <c r="T2054" s="1008" t="s">
        <v>654</v>
      </c>
      <c r="U2054" s="1008" t="s">
        <v>649</v>
      </c>
      <c r="V2054" s="1008" t="s">
        <v>648</v>
      </c>
      <c r="W2054" s="1008" t="s">
        <v>546</v>
      </c>
      <c r="X2054" s="1008" t="s">
        <v>670</v>
      </c>
      <c r="Y2054" s="1008" t="s">
        <v>670</v>
      </c>
      <c r="Z2054" s="1008" t="s">
        <v>670</v>
      </c>
      <c r="AA2054" s="1008" t="s">
        <v>670</v>
      </c>
      <c r="AB2054" s="1008" t="s">
        <v>670</v>
      </c>
      <c r="AC2054" s="1008" t="s">
        <v>670</v>
      </c>
      <c r="AD2054" s="1008" t="s">
        <v>670</v>
      </c>
      <c r="AE2054" s="1008"/>
      <c r="AF2054" s="1008" t="s">
        <v>670</v>
      </c>
      <c r="AG2054" s="1008"/>
      <c r="AH2054" s="1008"/>
      <c r="AI2054" s="1008"/>
    </row>
    <row r="2055" spans="1:35">
      <c r="A2055" s="1008">
        <v>24659</v>
      </c>
      <c r="C2055" s="1008">
        <v>6</v>
      </c>
      <c r="D2055" s="1009">
        <v>27399900</v>
      </c>
      <c r="E2055" s="1009">
        <v>27319999</v>
      </c>
      <c r="F2055" s="1007" t="s">
        <v>2616</v>
      </c>
      <c r="O2055" s="1007" t="s">
        <v>648</v>
      </c>
      <c r="P2055" s="1007" t="s">
        <v>648</v>
      </c>
      <c r="S2055" s="1008" t="s">
        <v>657</v>
      </c>
      <c r="T2055" s="1008" t="s">
        <v>21</v>
      </c>
      <c r="U2055" s="1008" t="s">
        <v>649</v>
      </c>
      <c r="V2055" s="1008" t="s">
        <v>648</v>
      </c>
      <c r="W2055" s="1008" t="s">
        <v>546</v>
      </c>
      <c r="X2055" s="1008"/>
      <c r="Y2055" s="1008"/>
      <c r="Z2055" s="1008"/>
      <c r="AA2055" s="1008"/>
      <c r="AB2055" s="1008"/>
      <c r="AC2055" s="1008"/>
      <c r="AD2055" s="1008"/>
      <c r="AE2055" s="1008"/>
      <c r="AF2055" s="1008"/>
      <c r="AG2055" s="1008"/>
      <c r="AH2055" s="1008"/>
      <c r="AI2055" s="1008"/>
    </row>
    <row r="2056" spans="1:35">
      <c r="A2056" s="1008">
        <v>24660</v>
      </c>
      <c r="C2056" s="1008">
        <v>6</v>
      </c>
      <c r="D2056" s="1009">
        <v>27329999</v>
      </c>
      <c r="E2056" s="1009">
        <v>27320000</v>
      </c>
      <c r="F2056" s="1007" t="s">
        <v>2615</v>
      </c>
      <c r="O2056" s="1007" t="s">
        <v>648</v>
      </c>
      <c r="P2056" s="1007" t="s">
        <v>648</v>
      </c>
      <c r="S2056" s="1008" t="s">
        <v>657</v>
      </c>
      <c r="T2056" s="1008" t="s">
        <v>675</v>
      </c>
      <c r="U2056" s="1008" t="s">
        <v>649</v>
      </c>
      <c r="V2056" s="1008" t="s">
        <v>648</v>
      </c>
      <c r="W2056" s="1008" t="s">
        <v>546</v>
      </c>
      <c r="X2056" s="1008"/>
      <c r="Y2056" s="1008"/>
      <c r="Z2056" s="1008"/>
      <c r="AA2056" s="1008"/>
      <c r="AB2056" s="1008"/>
      <c r="AC2056" s="1008"/>
      <c r="AD2056" s="1008"/>
      <c r="AE2056" s="1008"/>
      <c r="AF2056" s="1008"/>
      <c r="AG2056" s="1008"/>
      <c r="AH2056" s="1008"/>
      <c r="AI2056" s="1008"/>
    </row>
    <row r="2057" spans="1:35">
      <c r="A2057" s="1008">
        <v>24661</v>
      </c>
      <c r="B2057" s="1008">
        <v>1965</v>
      </c>
      <c r="C2057" s="1008">
        <v>7</v>
      </c>
      <c r="D2057" s="1009">
        <v>27329999</v>
      </c>
      <c r="E2057" s="1009">
        <v>27321000</v>
      </c>
      <c r="F2057" s="1007" t="s">
        <v>2614</v>
      </c>
      <c r="G2057" s="1007">
        <v>7</v>
      </c>
      <c r="H2057" s="1010">
        <v>99999999</v>
      </c>
      <c r="I2057" s="1009">
        <v>27321000</v>
      </c>
      <c r="J2057" s="1007" t="s">
        <v>2614</v>
      </c>
      <c r="O2057" s="1007" t="s">
        <v>648</v>
      </c>
      <c r="P2057" s="1007" t="s">
        <v>648</v>
      </c>
      <c r="S2057" s="1008" t="s">
        <v>657</v>
      </c>
      <c r="T2057" s="1008" t="s">
        <v>654</v>
      </c>
      <c r="U2057" s="1008" t="s">
        <v>649</v>
      </c>
      <c r="V2057" s="1008" t="s">
        <v>648</v>
      </c>
      <c r="W2057" s="1008" t="s">
        <v>546</v>
      </c>
      <c r="X2057" s="1008" t="s">
        <v>670</v>
      </c>
      <c r="Y2057" s="1008" t="s">
        <v>670</v>
      </c>
      <c r="Z2057" s="1008" t="s">
        <v>670</v>
      </c>
      <c r="AA2057" s="1008" t="s">
        <v>670</v>
      </c>
      <c r="AB2057" s="1008" t="s">
        <v>670</v>
      </c>
      <c r="AC2057" s="1008" t="s">
        <v>670</v>
      </c>
      <c r="AD2057" s="1008" t="s">
        <v>670</v>
      </c>
      <c r="AE2057" s="1008"/>
      <c r="AF2057" s="1008" t="s">
        <v>670</v>
      </c>
      <c r="AG2057" s="1008"/>
      <c r="AH2057" s="1008"/>
      <c r="AI2057" s="1008"/>
    </row>
    <row r="2058" spans="1:35">
      <c r="A2058" s="1008">
        <v>24662</v>
      </c>
      <c r="B2058" s="1008">
        <v>5213</v>
      </c>
      <c r="C2058" s="1008">
        <v>7</v>
      </c>
      <c r="D2058" s="1009">
        <v>27329999</v>
      </c>
      <c r="E2058" s="1009">
        <v>27322000</v>
      </c>
      <c r="F2058" s="1007" t="s">
        <v>2613</v>
      </c>
      <c r="G2058" s="1007">
        <v>7</v>
      </c>
      <c r="H2058" s="1010">
        <v>99999999</v>
      </c>
      <c r="I2058" s="1009">
        <v>27322000</v>
      </c>
      <c r="J2058" s="1007" t="s">
        <v>2613</v>
      </c>
      <c r="O2058" s="1007" t="s">
        <v>648</v>
      </c>
      <c r="P2058" s="1007" t="s">
        <v>648</v>
      </c>
      <c r="S2058" s="1008" t="s">
        <v>657</v>
      </c>
      <c r="T2058" s="1008" t="s">
        <v>654</v>
      </c>
      <c r="U2058" s="1008" t="s">
        <v>649</v>
      </c>
      <c r="V2058" s="1008" t="s">
        <v>648</v>
      </c>
      <c r="W2058" s="1008" t="s">
        <v>546</v>
      </c>
      <c r="X2058" s="1008" t="s">
        <v>670</v>
      </c>
      <c r="Y2058" s="1008" t="s">
        <v>670</v>
      </c>
      <c r="Z2058" s="1008" t="s">
        <v>670</v>
      </c>
      <c r="AA2058" s="1008" t="s">
        <v>670</v>
      </c>
      <c r="AB2058" s="1008" t="s">
        <v>670</v>
      </c>
      <c r="AC2058" s="1008" t="s">
        <v>670</v>
      </c>
      <c r="AD2058" s="1008" t="s">
        <v>670</v>
      </c>
      <c r="AE2058" s="1008"/>
      <c r="AF2058" s="1008" t="s">
        <v>670</v>
      </c>
      <c r="AG2058" s="1008"/>
      <c r="AH2058" s="1008"/>
      <c r="AI2058" s="1008"/>
    </row>
    <row r="2059" spans="1:35">
      <c r="A2059" s="1008">
        <v>24663</v>
      </c>
      <c r="C2059" s="1008">
        <v>6</v>
      </c>
      <c r="D2059" s="1009">
        <v>27399900</v>
      </c>
      <c r="E2059" s="1009">
        <v>27329999</v>
      </c>
      <c r="F2059" s="1007" t="s">
        <v>2612</v>
      </c>
      <c r="O2059" s="1007" t="s">
        <v>648</v>
      </c>
      <c r="P2059" s="1007" t="s">
        <v>648</v>
      </c>
      <c r="S2059" s="1008" t="s">
        <v>657</v>
      </c>
      <c r="T2059" s="1008" t="s">
        <v>21</v>
      </c>
      <c r="U2059" s="1008" t="s">
        <v>649</v>
      </c>
      <c r="V2059" s="1008" t="s">
        <v>648</v>
      </c>
      <c r="W2059" s="1008" t="s">
        <v>546</v>
      </c>
      <c r="X2059" s="1008"/>
      <c r="Y2059" s="1008"/>
      <c r="Z2059" s="1008"/>
      <c r="AA2059" s="1008"/>
      <c r="AB2059" s="1008"/>
      <c r="AC2059" s="1008"/>
      <c r="AD2059" s="1008"/>
      <c r="AE2059" s="1008"/>
      <c r="AF2059" s="1008"/>
      <c r="AG2059" s="1008"/>
      <c r="AH2059" s="1008"/>
      <c r="AI2059" s="1008"/>
    </row>
    <row r="2060" spans="1:35">
      <c r="A2060" s="1008">
        <v>24664</v>
      </c>
      <c r="C2060" s="1008">
        <v>6</v>
      </c>
      <c r="D2060" s="1009">
        <v>27339999</v>
      </c>
      <c r="E2060" s="1009">
        <v>27330000</v>
      </c>
      <c r="F2060" s="1007" t="s">
        <v>2611</v>
      </c>
      <c r="O2060" s="1007" t="s">
        <v>648</v>
      </c>
      <c r="P2060" s="1007" t="s">
        <v>648</v>
      </c>
      <c r="S2060" s="1008" t="s">
        <v>657</v>
      </c>
      <c r="T2060" s="1008" t="s">
        <v>675</v>
      </c>
      <c r="U2060" s="1008" t="s">
        <v>649</v>
      </c>
      <c r="V2060" s="1008" t="s">
        <v>648</v>
      </c>
      <c r="W2060" s="1008" t="s">
        <v>546</v>
      </c>
      <c r="X2060" s="1008"/>
      <c r="Y2060" s="1008"/>
      <c r="Z2060" s="1008"/>
      <c r="AA2060" s="1008"/>
      <c r="AB2060" s="1008"/>
      <c r="AC2060" s="1008"/>
      <c r="AD2060" s="1008"/>
      <c r="AE2060" s="1008"/>
      <c r="AF2060" s="1008"/>
      <c r="AG2060" s="1008"/>
      <c r="AH2060" s="1008"/>
      <c r="AI2060" s="1008"/>
    </row>
    <row r="2061" spans="1:35">
      <c r="A2061" s="1008">
        <v>24665</v>
      </c>
      <c r="B2061" s="1008">
        <v>1967</v>
      </c>
      <c r="C2061" s="1008">
        <v>7</v>
      </c>
      <c r="D2061" s="1009">
        <v>27339999</v>
      </c>
      <c r="E2061" s="1009">
        <v>27331000</v>
      </c>
      <c r="F2061" s="1007" t="s">
        <v>2610</v>
      </c>
      <c r="G2061" s="1007">
        <v>7</v>
      </c>
      <c r="H2061" s="1010">
        <v>99999999</v>
      </c>
      <c r="I2061" s="1009">
        <v>27331000</v>
      </c>
      <c r="J2061" s="1007" t="s">
        <v>2610</v>
      </c>
      <c r="O2061" s="1007" t="s">
        <v>648</v>
      </c>
      <c r="P2061" s="1007" t="s">
        <v>648</v>
      </c>
      <c r="S2061" s="1008" t="s">
        <v>657</v>
      </c>
      <c r="T2061" s="1008" t="s">
        <v>654</v>
      </c>
      <c r="U2061" s="1008" t="s">
        <v>649</v>
      </c>
      <c r="V2061" s="1008" t="s">
        <v>648</v>
      </c>
      <c r="W2061" s="1008" t="s">
        <v>546</v>
      </c>
      <c r="X2061" s="1008" t="s">
        <v>670</v>
      </c>
      <c r="Y2061" s="1008" t="s">
        <v>670</v>
      </c>
      <c r="Z2061" s="1008" t="s">
        <v>670</v>
      </c>
      <c r="AA2061" s="1008" t="s">
        <v>670</v>
      </c>
      <c r="AB2061" s="1008" t="s">
        <v>670</v>
      </c>
      <c r="AC2061" s="1008" t="s">
        <v>670</v>
      </c>
      <c r="AD2061" s="1008" t="s">
        <v>670</v>
      </c>
      <c r="AE2061" s="1008"/>
      <c r="AF2061" s="1008" t="s">
        <v>670</v>
      </c>
      <c r="AG2061" s="1008"/>
      <c r="AH2061" s="1008"/>
      <c r="AI2061" s="1008"/>
    </row>
    <row r="2062" spans="1:35">
      <c r="A2062" s="1008">
        <v>24666</v>
      </c>
      <c r="B2062" s="1008">
        <v>1968</v>
      </c>
      <c r="C2062" s="1008">
        <v>7</v>
      </c>
      <c r="D2062" s="1009">
        <v>27339999</v>
      </c>
      <c r="E2062" s="1009">
        <v>27332000</v>
      </c>
      <c r="F2062" s="1007" t="s">
        <v>2609</v>
      </c>
      <c r="G2062" s="1007">
        <v>7</v>
      </c>
      <c r="H2062" s="1010">
        <v>99999999</v>
      </c>
      <c r="I2062" s="1009">
        <v>27332000</v>
      </c>
      <c r="J2062" s="1007" t="s">
        <v>2609</v>
      </c>
      <c r="O2062" s="1007" t="s">
        <v>648</v>
      </c>
      <c r="P2062" s="1007" t="s">
        <v>648</v>
      </c>
      <c r="S2062" s="1008" t="s">
        <v>657</v>
      </c>
      <c r="T2062" s="1008" t="s">
        <v>654</v>
      </c>
      <c r="U2062" s="1008" t="s">
        <v>649</v>
      </c>
      <c r="V2062" s="1008" t="s">
        <v>648</v>
      </c>
      <c r="W2062" s="1008" t="s">
        <v>546</v>
      </c>
      <c r="X2062" s="1008" t="s">
        <v>670</v>
      </c>
      <c r="Y2062" s="1008" t="s">
        <v>670</v>
      </c>
      <c r="Z2062" s="1008" t="s">
        <v>670</v>
      </c>
      <c r="AA2062" s="1008" t="s">
        <v>670</v>
      </c>
      <c r="AB2062" s="1008" t="s">
        <v>670</v>
      </c>
      <c r="AC2062" s="1008" t="s">
        <v>670</v>
      </c>
      <c r="AD2062" s="1008" t="s">
        <v>670</v>
      </c>
      <c r="AE2062" s="1008"/>
      <c r="AF2062" s="1008" t="s">
        <v>670</v>
      </c>
      <c r="AG2062" s="1008"/>
      <c r="AH2062" s="1008"/>
      <c r="AI2062" s="1008"/>
    </row>
    <row r="2063" spans="1:35">
      <c r="A2063" s="1008">
        <v>24667</v>
      </c>
      <c r="B2063" s="1008">
        <v>1969</v>
      </c>
      <c r="C2063" s="1008">
        <v>7</v>
      </c>
      <c r="D2063" s="1009">
        <v>27339999</v>
      </c>
      <c r="E2063" s="1009">
        <v>27333000</v>
      </c>
      <c r="F2063" s="1007" t="s">
        <v>2608</v>
      </c>
      <c r="G2063" s="1007">
        <v>7</v>
      </c>
      <c r="H2063" s="1010">
        <v>99999999</v>
      </c>
      <c r="I2063" s="1009">
        <v>27333000</v>
      </c>
      <c r="J2063" s="1007" t="s">
        <v>2608</v>
      </c>
      <c r="O2063" s="1007" t="s">
        <v>648</v>
      </c>
      <c r="P2063" s="1007" t="s">
        <v>648</v>
      </c>
      <c r="S2063" s="1008" t="s">
        <v>657</v>
      </c>
      <c r="T2063" s="1008" t="s">
        <v>654</v>
      </c>
      <c r="U2063" s="1008" t="s">
        <v>649</v>
      </c>
      <c r="V2063" s="1008" t="s">
        <v>648</v>
      </c>
      <c r="W2063" s="1008" t="s">
        <v>546</v>
      </c>
      <c r="X2063" s="1008" t="s">
        <v>670</v>
      </c>
      <c r="Y2063" s="1008" t="s">
        <v>670</v>
      </c>
      <c r="Z2063" s="1008" t="s">
        <v>670</v>
      </c>
      <c r="AA2063" s="1008" t="s">
        <v>670</v>
      </c>
      <c r="AB2063" s="1008" t="s">
        <v>670</v>
      </c>
      <c r="AC2063" s="1008" t="s">
        <v>670</v>
      </c>
      <c r="AD2063" s="1008" t="s">
        <v>670</v>
      </c>
      <c r="AE2063" s="1008"/>
      <c r="AF2063" s="1008" t="s">
        <v>670</v>
      </c>
      <c r="AG2063" s="1008"/>
      <c r="AH2063" s="1008"/>
      <c r="AI2063" s="1008"/>
    </row>
    <row r="2064" spans="1:35">
      <c r="A2064" s="1008">
        <v>24668</v>
      </c>
      <c r="B2064" s="1008">
        <v>1970</v>
      </c>
      <c r="C2064" s="1008">
        <v>7</v>
      </c>
      <c r="D2064" s="1009">
        <v>27339999</v>
      </c>
      <c r="E2064" s="1009">
        <v>27334000</v>
      </c>
      <c r="F2064" s="1007" t="s">
        <v>2607</v>
      </c>
      <c r="G2064" s="1007">
        <v>7</v>
      </c>
      <c r="H2064" s="1010">
        <v>99999999</v>
      </c>
      <c r="I2064" s="1009">
        <v>27334000</v>
      </c>
      <c r="J2064" s="1007" t="s">
        <v>2607</v>
      </c>
      <c r="O2064" s="1007" t="s">
        <v>648</v>
      </c>
      <c r="P2064" s="1007" t="s">
        <v>648</v>
      </c>
      <c r="S2064" s="1008" t="s">
        <v>657</v>
      </c>
      <c r="T2064" s="1008" t="s">
        <v>654</v>
      </c>
      <c r="U2064" s="1008" t="s">
        <v>649</v>
      </c>
      <c r="V2064" s="1008" t="s">
        <v>648</v>
      </c>
      <c r="W2064" s="1008" t="s">
        <v>546</v>
      </c>
      <c r="X2064" s="1008" t="s">
        <v>670</v>
      </c>
      <c r="Y2064" s="1008" t="s">
        <v>670</v>
      </c>
      <c r="Z2064" s="1008" t="s">
        <v>670</v>
      </c>
      <c r="AA2064" s="1008" t="s">
        <v>670</v>
      </c>
      <c r="AB2064" s="1008" t="s">
        <v>670</v>
      </c>
      <c r="AC2064" s="1008" t="s">
        <v>670</v>
      </c>
      <c r="AD2064" s="1008" t="s">
        <v>670</v>
      </c>
      <c r="AE2064" s="1008"/>
      <c r="AF2064" s="1008" t="s">
        <v>670</v>
      </c>
      <c r="AG2064" s="1008"/>
      <c r="AH2064" s="1008"/>
      <c r="AI2064" s="1008"/>
    </row>
    <row r="2065" spans="1:35">
      <c r="A2065" s="1008">
        <v>24669</v>
      </c>
      <c r="B2065" s="1008">
        <v>5215</v>
      </c>
      <c r="C2065" s="1008">
        <v>7</v>
      </c>
      <c r="D2065" s="1009">
        <v>27339999</v>
      </c>
      <c r="E2065" s="1009">
        <v>27335000</v>
      </c>
      <c r="F2065" s="1007" t="s">
        <v>2606</v>
      </c>
      <c r="G2065" s="1007">
        <v>7</v>
      </c>
      <c r="H2065" s="1010">
        <v>99999999</v>
      </c>
      <c r="I2065" s="1009">
        <v>27335000</v>
      </c>
      <c r="J2065" s="1007" t="s">
        <v>2606</v>
      </c>
      <c r="O2065" s="1007" t="s">
        <v>648</v>
      </c>
      <c r="P2065" s="1007" t="s">
        <v>648</v>
      </c>
      <c r="S2065" s="1008" t="s">
        <v>657</v>
      </c>
      <c r="T2065" s="1008" t="s">
        <v>654</v>
      </c>
      <c r="U2065" s="1008" t="s">
        <v>649</v>
      </c>
      <c r="V2065" s="1008" t="s">
        <v>648</v>
      </c>
      <c r="W2065" s="1008" t="s">
        <v>546</v>
      </c>
      <c r="X2065" s="1008" t="s">
        <v>670</v>
      </c>
      <c r="Y2065" s="1008" t="s">
        <v>670</v>
      </c>
      <c r="Z2065" s="1008" t="s">
        <v>670</v>
      </c>
      <c r="AA2065" s="1008" t="s">
        <v>670</v>
      </c>
      <c r="AB2065" s="1008" t="s">
        <v>670</v>
      </c>
      <c r="AC2065" s="1008" t="s">
        <v>670</v>
      </c>
      <c r="AD2065" s="1008" t="s">
        <v>670</v>
      </c>
      <c r="AE2065" s="1008"/>
      <c r="AF2065" s="1008" t="s">
        <v>670</v>
      </c>
      <c r="AG2065" s="1008"/>
      <c r="AH2065" s="1008"/>
      <c r="AI2065" s="1008"/>
    </row>
    <row r="2066" spans="1:35">
      <c r="A2066" s="1008">
        <v>24670</v>
      </c>
      <c r="C2066" s="1008">
        <v>6</v>
      </c>
      <c r="D2066" s="1009">
        <v>27399900</v>
      </c>
      <c r="E2066" s="1009">
        <v>27339999</v>
      </c>
      <c r="F2066" s="1007" t="s">
        <v>2605</v>
      </c>
      <c r="O2066" s="1007" t="s">
        <v>648</v>
      </c>
      <c r="P2066" s="1007" t="s">
        <v>648</v>
      </c>
      <c r="S2066" s="1008" t="s">
        <v>657</v>
      </c>
      <c r="T2066" s="1008" t="s">
        <v>21</v>
      </c>
      <c r="U2066" s="1008" t="s">
        <v>649</v>
      </c>
      <c r="V2066" s="1008" t="s">
        <v>648</v>
      </c>
      <c r="W2066" s="1008" t="s">
        <v>546</v>
      </c>
      <c r="X2066" s="1008"/>
      <c r="Y2066" s="1008"/>
      <c r="Z2066" s="1008"/>
      <c r="AA2066" s="1008"/>
      <c r="AB2066" s="1008"/>
      <c r="AC2066" s="1008"/>
      <c r="AD2066" s="1008"/>
      <c r="AE2066" s="1008"/>
      <c r="AF2066" s="1008"/>
      <c r="AG2066" s="1008"/>
      <c r="AH2066" s="1008"/>
      <c r="AI2066" s="1008"/>
    </row>
    <row r="2067" spans="1:35">
      <c r="A2067" s="1008">
        <v>24671</v>
      </c>
      <c r="C2067" s="1008">
        <v>5</v>
      </c>
      <c r="D2067" s="1009">
        <v>27399999</v>
      </c>
      <c r="E2067" s="1009">
        <v>27399900</v>
      </c>
      <c r="F2067" s="1007" t="s">
        <v>2604</v>
      </c>
      <c r="O2067" s="1007" t="s">
        <v>648</v>
      </c>
      <c r="P2067" s="1007" t="s">
        <v>648</v>
      </c>
      <c r="S2067" s="1008" t="s">
        <v>657</v>
      </c>
      <c r="T2067" s="1008" t="s">
        <v>21</v>
      </c>
      <c r="U2067" s="1008" t="s">
        <v>649</v>
      </c>
      <c r="V2067" s="1008" t="s">
        <v>648</v>
      </c>
      <c r="W2067" s="1008" t="s">
        <v>546</v>
      </c>
      <c r="X2067" s="1008"/>
      <c r="Y2067" s="1008"/>
      <c r="Z2067" s="1008"/>
      <c r="AA2067" s="1008"/>
      <c r="AB2067" s="1008"/>
      <c r="AC2067" s="1008"/>
      <c r="AD2067" s="1008"/>
      <c r="AE2067" s="1008"/>
      <c r="AF2067" s="1008"/>
      <c r="AG2067" s="1008"/>
      <c r="AH2067" s="1008"/>
      <c r="AI2067" s="1008"/>
    </row>
    <row r="2068" spans="1:35">
      <c r="A2068" s="1008">
        <v>24672</v>
      </c>
      <c r="C2068" s="1008">
        <v>4</v>
      </c>
      <c r="D2068" s="1009">
        <v>29999999</v>
      </c>
      <c r="E2068" s="1009">
        <v>27399999</v>
      </c>
      <c r="F2068" s="1007" t="s">
        <v>2603</v>
      </c>
      <c r="O2068" s="1007" t="s">
        <v>648</v>
      </c>
      <c r="P2068" s="1007" t="s">
        <v>648</v>
      </c>
      <c r="S2068" s="1008" t="s">
        <v>657</v>
      </c>
      <c r="T2068" s="1008" t="s">
        <v>21</v>
      </c>
      <c r="U2068" s="1008" t="s">
        <v>649</v>
      </c>
      <c r="V2068" s="1008" t="s">
        <v>648</v>
      </c>
      <c r="W2068" s="1008" t="s">
        <v>546</v>
      </c>
      <c r="X2068" s="1008"/>
      <c r="Y2068" s="1008"/>
      <c r="Z2068" s="1008"/>
      <c r="AA2068" s="1008"/>
      <c r="AB2068" s="1008"/>
      <c r="AC2068" s="1008"/>
      <c r="AD2068" s="1008"/>
      <c r="AE2068" s="1008"/>
      <c r="AF2068" s="1008"/>
      <c r="AG2068" s="1008"/>
      <c r="AH2068" s="1008"/>
      <c r="AI2068" s="1008"/>
    </row>
    <row r="2069" spans="1:35">
      <c r="A2069" s="1008">
        <v>26348</v>
      </c>
      <c r="C2069" s="1008">
        <v>4</v>
      </c>
      <c r="D2069" s="1009">
        <v>27699999</v>
      </c>
      <c r="E2069" s="1009">
        <v>27500000</v>
      </c>
      <c r="F2069" s="1007" t="s">
        <v>2602</v>
      </c>
      <c r="O2069" s="1007" t="s">
        <v>648</v>
      </c>
      <c r="P2069" s="1007" t="s">
        <v>648</v>
      </c>
      <c r="S2069" s="1008" t="s">
        <v>657</v>
      </c>
      <c r="T2069" s="1008" t="s">
        <v>675</v>
      </c>
      <c r="U2069" s="1008" t="s">
        <v>649</v>
      </c>
      <c r="V2069" s="1008" t="s">
        <v>648</v>
      </c>
      <c r="W2069" s="1008" t="s">
        <v>546</v>
      </c>
      <c r="X2069" s="1008"/>
      <c r="Y2069" s="1008"/>
      <c r="Z2069" s="1008"/>
      <c r="AA2069" s="1008"/>
      <c r="AB2069" s="1008"/>
      <c r="AC2069" s="1008"/>
      <c r="AD2069" s="1008"/>
      <c r="AE2069" s="1008"/>
      <c r="AF2069" s="1008"/>
      <c r="AG2069" s="1008"/>
      <c r="AH2069" s="1008"/>
      <c r="AI2069" s="1008"/>
    </row>
    <row r="2070" spans="1:35">
      <c r="A2070" s="1008">
        <v>26347</v>
      </c>
      <c r="C2070" s="1008">
        <v>5</v>
      </c>
      <c r="D2070" s="1009">
        <v>27599999</v>
      </c>
      <c r="E2070" s="1009">
        <v>27501000</v>
      </c>
      <c r="F2070" s="1007" t="s">
        <v>2601</v>
      </c>
      <c r="O2070" s="1007" t="s">
        <v>648</v>
      </c>
      <c r="P2070" s="1007" t="s">
        <v>648</v>
      </c>
      <c r="S2070" s="1008" t="s">
        <v>657</v>
      </c>
      <c r="T2070" s="1008" t="s">
        <v>675</v>
      </c>
      <c r="U2070" s="1008" t="s">
        <v>649</v>
      </c>
      <c r="V2070" s="1008" t="s">
        <v>648</v>
      </c>
      <c r="W2070" s="1008" t="s">
        <v>546</v>
      </c>
      <c r="X2070" s="1008"/>
      <c r="Y2070" s="1008"/>
      <c r="Z2070" s="1008"/>
      <c r="AA2070" s="1008"/>
      <c r="AB2070" s="1008"/>
      <c r="AC2070" s="1008"/>
      <c r="AD2070" s="1008"/>
      <c r="AE2070" s="1008"/>
      <c r="AF2070" s="1008"/>
      <c r="AG2070" s="1008"/>
      <c r="AH2070" s="1008"/>
      <c r="AI2070" s="1008"/>
    </row>
    <row r="2071" spans="1:35">
      <c r="A2071" s="1008">
        <v>26346</v>
      </c>
      <c r="C2071" s="1008">
        <v>6</v>
      </c>
      <c r="D2071" s="1009">
        <v>27519999</v>
      </c>
      <c r="E2071" s="1009">
        <v>27510000</v>
      </c>
      <c r="F2071" s="1007" t="s">
        <v>2600</v>
      </c>
      <c r="O2071" s="1007" t="s">
        <v>648</v>
      </c>
      <c r="P2071" s="1007" t="s">
        <v>648</v>
      </c>
      <c r="S2071" s="1008" t="s">
        <v>657</v>
      </c>
      <c r="T2071" s="1008" t="s">
        <v>675</v>
      </c>
      <c r="U2071" s="1008" t="s">
        <v>649</v>
      </c>
      <c r="V2071" s="1008" t="s">
        <v>648</v>
      </c>
      <c r="W2071" s="1008" t="s">
        <v>546</v>
      </c>
      <c r="X2071" s="1008"/>
      <c r="Y2071" s="1008"/>
      <c r="Z2071" s="1008"/>
      <c r="AA2071" s="1008"/>
      <c r="AB2071" s="1008"/>
      <c r="AC2071" s="1008"/>
      <c r="AD2071" s="1008"/>
      <c r="AE2071" s="1008"/>
      <c r="AF2071" s="1008"/>
      <c r="AG2071" s="1008"/>
      <c r="AH2071" s="1008"/>
      <c r="AI2071" s="1008"/>
    </row>
    <row r="2072" spans="1:35">
      <c r="A2072" s="1008">
        <v>26345</v>
      </c>
      <c r="B2072" s="1008">
        <v>1972</v>
      </c>
      <c r="C2072" s="1008">
        <v>7</v>
      </c>
      <c r="D2072" s="1009">
        <v>27519999</v>
      </c>
      <c r="E2072" s="1009">
        <v>27510300</v>
      </c>
      <c r="F2072" s="1007" t="s">
        <v>2599</v>
      </c>
      <c r="G2072" s="1007">
        <v>7</v>
      </c>
      <c r="H2072" s="1010">
        <v>99999999</v>
      </c>
      <c r="I2072" s="1009">
        <v>27510300</v>
      </c>
      <c r="J2072" s="1007" t="s">
        <v>2599</v>
      </c>
      <c r="O2072" s="1007" t="s">
        <v>648</v>
      </c>
      <c r="P2072" s="1007" t="s">
        <v>648</v>
      </c>
      <c r="S2072" s="1008" t="s">
        <v>657</v>
      </c>
      <c r="T2072" s="1008" t="s">
        <v>654</v>
      </c>
      <c r="U2072" s="1008" t="s">
        <v>649</v>
      </c>
      <c r="V2072" s="1008" t="s">
        <v>648</v>
      </c>
      <c r="W2072" s="1008" t="s">
        <v>546</v>
      </c>
      <c r="X2072" s="1008" t="s">
        <v>670</v>
      </c>
      <c r="Y2072" s="1008" t="s">
        <v>670</v>
      </c>
      <c r="Z2072" s="1008" t="s">
        <v>670</v>
      </c>
      <c r="AA2072" s="1008" t="s">
        <v>670</v>
      </c>
      <c r="AB2072" s="1008" t="s">
        <v>670</v>
      </c>
      <c r="AC2072" s="1008" t="s">
        <v>670</v>
      </c>
      <c r="AD2072" s="1008" t="s">
        <v>670</v>
      </c>
      <c r="AE2072" s="1008"/>
      <c r="AF2072" s="1008" t="s">
        <v>670</v>
      </c>
      <c r="AG2072" s="1008"/>
      <c r="AH2072" s="1008"/>
      <c r="AI2072" s="1008"/>
    </row>
    <row r="2073" spans="1:35">
      <c r="A2073" s="1008">
        <v>26344</v>
      </c>
      <c r="B2073" s="1008">
        <v>1973</v>
      </c>
      <c r="C2073" s="1008">
        <v>7</v>
      </c>
      <c r="D2073" s="1009">
        <v>27519999</v>
      </c>
      <c r="E2073" s="1009">
        <v>27510400</v>
      </c>
      <c r="F2073" s="1007" t="s">
        <v>2598</v>
      </c>
      <c r="G2073" s="1007">
        <v>7</v>
      </c>
      <c r="H2073" s="1010">
        <v>99999999</v>
      </c>
      <c r="I2073" s="1009">
        <v>27510400</v>
      </c>
      <c r="J2073" s="1007" t="s">
        <v>2598</v>
      </c>
      <c r="O2073" s="1007" t="s">
        <v>648</v>
      </c>
      <c r="P2073" s="1007" t="s">
        <v>648</v>
      </c>
      <c r="S2073" s="1008" t="s">
        <v>657</v>
      </c>
      <c r="T2073" s="1008" t="s">
        <v>654</v>
      </c>
      <c r="U2073" s="1008" t="s">
        <v>649</v>
      </c>
      <c r="V2073" s="1008" t="s">
        <v>648</v>
      </c>
      <c r="W2073" s="1008" t="s">
        <v>546</v>
      </c>
      <c r="X2073" s="1008" t="s">
        <v>670</v>
      </c>
      <c r="Y2073" s="1008" t="s">
        <v>670</v>
      </c>
      <c r="Z2073" s="1008" t="s">
        <v>670</v>
      </c>
      <c r="AA2073" s="1008" t="s">
        <v>670</v>
      </c>
      <c r="AB2073" s="1008" t="s">
        <v>670</v>
      </c>
      <c r="AC2073" s="1008" t="s">
        <v>670</v>
      </c>
      <c r="AD2073" s="1008" t="s">
        <v>670</v>
      </c>
      <c r="AE2073" s="1008"/>
      <c r="AF2073" s="1008" t="s">
        <v>670</v>
      </c>
      <c r="AG2073" s="1008"/>
      <c r="AH2073" s="1008"/>
      <c r="AI2073" s="1008"/>
    </row>
    <row r="2074" spans="1:35">
      <c r="A2074" s="1008">
        <v>26343</v>
      </c>
      <c r="B2074" s="1008">
        <v>5221</v>
      </c>
      <c r="C2074" s="1008">
        <v>7</v>
      </c>
      <c r="D2074" s="1009">
        <v>27519999</v>
      </c>
      <c r="E2074" s="1009">
        <v>27510800</v>
      </c>
      <c r="F2074" s="1007" t="s">
        <v>2597</v>
      </c>
      <c r="G2074" s="1007">
        <v>7</v>
      </c>
      <c r="H2074" s="1010">
        <v>99999999</v>
      </c>
      <c r="I2074" s="1009">
        <v>27510800</v>
      </c>
      <c r="J2074" s="1007" t="s">
        <v>2597</v>
      </c>
      <c r="O2074" s="1007" t="s">
        <v>648</v>
      </c>
      <c r="P2074" s="1007" t="s">
        <v>648</v>
      </c>
      <c r="S2074" s="1008" t="s">
        <v>657</v>
      </c>
      <c r="T2074" s="1008" t="s">
        <v>654</v>
      </c>
      <c r="U2074" s="1008" t="s">
        <v>649</v>
      </c>
      <c r="V2074" s="1008" t="s">
        <v>648</v>
      </c>
      <c r="W2074" s="1008" t="s">
        <v>546</v>
      </c>
      <c r="X2074" s="1008" t="s">
        <v>670</v>
      </c>
      <c r="Y2074" s="1008" t="s">
        <v>670</v>
      </c>
      <c r="Z2074" s="1008" t="s">
        <v>670</v>
      </c>
      <c r="AA2074" s="1008" t="s">
        <v>670</v>
      </c>
      <c r="AB2074" s="1008" t="s">
        <v>670</v>
      </c>
      <c r="AC2074" s="1008" t="s">
        <v>670</v>
      </c>
      <c r="AD2074" s="1008" t="s">
        <v>670</v>
      </c>
      <c r="AE2074" s="1008"/>
      <c r="AF2074" s="1008" t="s">
        <v>670</v>
      </c>
      <c r="AG2074" s="1008"/>
      <c r="AH2074" s="1008"/>
      <c r="AI2074" s="1008"/>
    </row>
    <row r="2075" spans="1:35">
      <c r="A2075" s="1008">
        <v>26342</v>
      </c>
      <c r="C2075" s="1008">
        <v>6</v>
      </c>
      <c r="D2075" s="1009">
        <v>27599999</v>
      </c>
      <c r="E2075" s="1009">
        <v>27519999</v>
      </c>
      <c r="F2075" s="1007" t="s">
        <v>2596</v>
      </c>
      <c r="O2075" s="1007" t="s">
        <v>648</v>
      </c>
      <c r="P2075" s="1007" t="s">
        <v>648</v>
      </c>
      <c r="S2075" s="1008" t="s">
        <v>657</v>
      </c>
      <c r="T2075" s="1008" t="s">
        <v>21</v>
      </c>
      <c r="U2075" s="1008" t="s">
        <v>649</v>
      </c>
      <c r="V2075" s="1008" t="s">
        <v>648</v>
      </c>
      <c r="W2075" s="1008" t="s">
        <v>546</v>
      </c>
      <c r="X2075" s="1008"/>
      <c r="Y2075" s="1008"/>
      <c r="Z2075" s="1008"/>
      <c r="AA2075" s="1008"/>
      <c r="AB2075" s="1008"/>
      <c r="AC2075" s="1008"/>
      <c r="AD2075" s="1008"/>
      <c r="AE2075" s="1008"/>
      <c r="AF2075" s="1008"/>
      <c r="AG2075" s="1008"/>
      <c r="AH2075" s="1008"/>
      <c r="AI2075" s="1008"/>
    </row>
    <row r="2076" spans="1:35">
      <c r="A2076" s="1008">
        <v>26341</v>
      </c>
      <c r="C2076" s="1008">
        <v>6</v>
      </c>
      <c r="D2076" s="1009">
        <v>27529999</v>
      </c>
      <c r="E2076" s="1009">
        <v>27520000</v>
      </c>
      <c r="F2076" s="1007" t="s">
        <v>2595</v>
      </c>
      <c r="O2076" s="1007" t="s">
        <v>648</v>
      </c>
      <c r="P2076" s="1007" t="s">
        <v>648</v>
      </c>
      <c r="S2076" s="1008" t="s">
        <v>657</v>
      </c>
      <c r="T2076" s="1008" t="s">
        <v>675</v>
      </c>
      <c r="U2076" s="1008" t="s">
        <v>649</v>
      </c>
      <c r="V2076" s="1008" t="s">
        <v>648</v>
      </c>
      <c r="W2076" s="1008" t="s">
        <v>546</v>
      </c>
      <c r="X2076" s="1008"/>
      <c r="Y2076" s="1008"/>
      <c r="Z2076" s="1008"/>
      <c r="AA2076" s="1008"/>
      <c r="AB2076" s="1008"/>
      <c r="AC2076" s="1008"/>
      <c r="AD2076" s="1008"/>
      <c r="AE2076" s="1008"/>
      <c r="AF2076" s="1008"/>
      <c r="AG2076" s="1008"/>
      <c r="AH2076" s="1008"/>
      <c r="AI2076" s="1008"/>
    </row>
    <row r="2077" spans="1:35">
      <c r="A2077" s="1008">
        <v>26340</v>
      </c>
      <c r="B2077" s="1008">
        <v>1975</v>
      </c>
      <c r="C2077" s="1008">
        <v>7</v>
      </c>
      <c r="D2077" s="1009">
        <v>27529999</v>
      </c>
      <c r="E2077" s="1009">
        <v>27520300</v>
      </c>
      <c r="F2077" s="1007" t="s">
        <v>2594</v>
      </c>
      <c r="G2077" s="1007">
        <v>7</v>
      </c>
      <c r="H2077" s="1010">
        <v>99999999</v>
      </c>
      <c r="I2077" s="1009">
        <v>27520300</v>
      </c>
      <c r="J2077" s="1007" t="s">
        <v>2594</v>
      </c>
      <c r="O2077" s="1007" t="s">
        <v>648</v>
      </c>
      <c r="P2077" s="1007" t="s">
        <v>648</v>
      </c>
      <c r="S2077" s="1008" t="s">
        <v>657</v>
      </c>
      <c r="T2077" s="1008" t="s">
        <v>654</v>
      </c>
      <c r="U2077" s="1008" t="s">
        <v>649</v>
      </c>
      <c r="V2077" s="1008" t="s">
        <v>648</v>
      </c>
      <c r="W2077" s="1008" t="s">
        <v>546</v>
      </c>
      <c r="X2077" s="1008" t="s">
        <v>670</v>
      </c>
      <c r="Y2077" s="1008" t="s">
        <v>670</v>
      </c>
      <c r="Z2077" s="1008" t="s">
        <v>670</v>
      </c>
      <c r="AA2077" s="1008" t="s">
        <v>670</v>
      </c>
      <c r="AB2077" s="1008" t="s">
        <v>670</v>
      </c>
      <c r="AC2077" s="1008" t="s">
        <v>670</v>
      </c>
      <c r="AD2077" s="1008" t="s">
        <v>670</v>
      </c>
      <c r="AE2077" s="1008"/>
      <c r="AF2077" s="1008" t="s">
        <v>670</v>
      </c>
      <c r="AG2077" s="1008"/>
      <c r="AH2077" s="1008"/>
      <c r="AI2077" s="1008"/>
    </row>
    <row r="2078" spans="1:35">
      <c r="A2078" s="1008">
        <v>26339</v>
      </c>
      <c r="B2078" s="1008">
        <v>1976</v>
      </c>
      <c r="C2078" s="1008">
        <v>7</v>
      </c>
      <c r="D2078" s="1009">
        <v>27529999</v>
      </c>
      <c r="E2078" s="1009">
        <v>27520400</v>
      </c>
      <c r="F2078" s="1007" t="s">
        <v>2593</v>
      </c>
      <c r="G2078" s="1007">
        <v>7</v>
      </c>
      <c r="H2078" s="1010">
        <v>99999999</v>
      </c>
      <c r="I2078" s="1009">
        <v>27520400</v>
      </c>
      <c r="J2078" s="1007" t="s">
        <v>2593</v>
      </c>
      <c r="O2078" s="1007" t="s">
        <v>648</v>
      </c>
      <c r="P2078" s="1007" t="s">
        <v>648</v>
      </c>
      <c r="S2078" s="1008" t="s">
        <v>657</v>
      </c>
      <c r="T2078" s="1008" t="s">
        <v>654</v>
      </c>
      <c r="U2078" s="1008" t="s">
        <v>649</v>
      </c>
      <c r="V2078" s="1008" t="s">
        <v>648</v>
      </c>
      <c r="W2078" s="1008" t="s">
        <v>546</v>
      </c>
      <c r="X2078" s="1008" t="s">
        <v>670</v>
      </c>
      <c r="Y2078" s="1008" t="s">
        <v>670</v>
      </c>
      <c r="Z2078" s="1008" t="s">
        <v>670</v>
      </c>
      <c r="AA2078" s="1008" t="s">
        <v>670</v>
      </c>
      <c r="AB2078" s="1008" t="s">
        <v>670</v>
      </c>
      <c r="AC2078" s="1008" t="s">
        <v>670</v>
      </c>
      <c r="AD2078" s="1008" t="s">
        <v>670</v>
      </c>
      <c r="AE2078" s="1008"/>
      <c r="AF2078" s="1008" t="s">
        <v>670</v>
      </c>
      <c r="AG2078" s="1008"/>
      <c r="AH2078" s="1008"/>
      <c r="AI2078" s="1008"/>
    </row>
    <row r="2079" spans="1:35">
      <c r="A2079" s="1008">
        <v>26338</v>
      </c>
      <c r="B2079" s="1008">
        <v>5223</v>
      </c>
      <c r="C2079" s="1008">
        <v>7</v>
      </c>
      <c r="D2079" s="1009">
        <v>27529999</v>
      </c>
      <c r="E2079" s="1009">
        <v>27520800</v>
      </c>
      <c r="F2079" s="1007" t="s">
        <v>2592</v>
      </c>
      <c r="G2079" s="1007">
        <v>7</v>
      </c>
      <c r="H2079" s="1010">
        <v>99999999</v>
      </c>
      <c r="I2079" s="1009">
        <v>27520800</v>
      </c>
      <c r="J2079" s="1007" t="s">
        <v>2592</v>
      </c>
      <c r="O2079" s="1007" t="s">
        <v>648</v>
      </c>
      <c r="P2079" s="1007" t="s">
        <v>648</v>
      </c>
      <c r="S2079" s="1008" t="s">
        <v>657</v>
      </c>
      <c r="T2079" s="1008" t="s">
        <v>654</v>
      </c>
      <c r="U2079" s="1008" t="s">
        <v>649</v>
      </c>
      <c r="V2079" s="1008" t="s">
        <v>648</v>
      </c>
      <c r="W2079" s="1008" t="s">
        <v>546</v>
      </c>
      <c r="X2079" s="1008" t="s">
        <v>670</v>
      </c>
      <c r="Y2079" s="1008" t="s">
        <v>670</v>
      </c>
      <c r="Z2079" s="1008" t="s">
        <v>670</v>
      </c>
      <c r="AA2079" s="1008" t="s">
        <v>670</v>
      </c>
      <c r="AB2079" s="1008" t="s">
        <v>670</v>
      </c>
      <c r="AC2079" s="1008" t="s">
        <v>670</v>
      </c>
      <c r="AD2079" s="1008" t="s">
        <v>670</v>
      </c>
      <c r="AE2079" s="1008"/>
      <c r="AF2079" s="1008" t="s">
        <v>670</v>
      </c>
      <c r="AG2079" s="1008"/>
      <c r="AH2079" s="1008"/>
      <c r="AI2079" s="1008"/>
    </row>
    <row r="2080" spans="1:35">
      <c r="A2080" s="1008">
        <v>26337</v>
      </c>
      <c r="C2080" s="1008">
        <v>6</v>
      </c>
      <c r="D2080" s="1009">
        <v>27599999</v>
      </c>
      <c r="E2080" s="1009">
        <v>27529999</v>
      </c>
      <c r="F2080" s="1007" t="s">
        <v>2591</v>
      </c>
      <c r="O2080" s="1007" t="s">
        <v>648</v>
      </c>
      <c r="P2080" s="1007" t="s">
        <v>648</v>
      </c>
      <c r="S2080" s="1008" t="s">
        <v>657</v>
      </c>
      <c r="T2080" s="1008" t="s">
        <v>21</v>
      </c>
      <c r="U2080" s="1008" t="s">
        <v>649</v>
      </c>
      <c r="V2080" s="1008" t="s">
        <v>648</v>
      </c>
      <c r="W2080" s="1008" t="s">
        <v>546</v>
      </c>
      <c r="X2080" s="1008"/>
      <c r="Y2080" s="1008"/>
      <c r="Z2080" s="1008"/>
      <c r="AA2080" s="1008"/>
      <c r="AB2080" s="1008"/>
      <c r="AC2080" s="1008"/>
      <c r="AD2080" s="1008"/>
      <c r="AE2080" s="1008"/>
      <c r="AF2080" s="1008"/>
      <c r="AG2080" s="1008"/>
      <c r="AH2080" s="1008"/>
      <c r="AI2080" s="1008"/>
    </row>
    <row r="2081" spans="1:35">
      <c r="A2081" s="1008">
        <v>26336</v>
      </c>
      <c r="C2081" s="1008">
        <v>5</v>
      </c>
      <c r="D2081" s="1009">
        <v>27699999</v>
      </c>
      <c r="E2081" s="1009">
        <v>27599999</v>
      </c>
      <c r="F2081" s="1007" t="s">
        <v>2590</v>
      </c>
      <c r="O2081" s="1007" t="s">
        <v>648</v>
      </c>
      <c r="P2081" s="1007" t="s">
        <v>648</v>
      </c>
      <c r="S2081" s="1008" t="s">
        <v>657</v>
      </c>
      <c r="T2081" s="1008" t="s">
        <v>21</v>
      </c>
      <c r="U2081" s="1008" t="s">
        <v>649</v>
      </c>
      <c r="V2081" s="1008" t="s">
        <v>648</v>
      </c>
      <c r="W2081" s="1008" t="s">
        <v>546</v>
      </c>
      <c r="X2081" s="1008"/>
      <c r="Y2081" s="1008"/>
      <c r="Z2081" s="1008"/>
      <c r="AA2081" s="1008"/>
      <c r="AB2081" s="1008"/>
      <c r="AC2081" s="1008"/>
      <c r="AD2081" s="1008"/>
      <c r="AE2081" s="1008"/>
      <c r="AF2081" s="1008"/>
      <c r="AG2081" s="1008"/>
      <c r="AH2081" s="1008"/>
      <c r="AI2081" s="1008"/>
    </row>
    <row r="2082" spans="1:35">
      <c r="A2082" s="1008">
        <v>26335</v>
      </c>
      <c r="C2082" s="1008">
        <v>5</v>
      </c>
      <c r="D2082" s="1009">
        <v>27699900</v>
      </c>
      <c r="E2082" s="1009">
        <v>27600000</v>
      </c>
      <c r="F2082" s="1007" t="s">
        <v>2589</v>
      </c>
      <c r="O2082" s="1007" t="s">
        <v>648</v>
      </c>
      <c r="P2082" s="1007" t="s">
        <v>648</v>
      </c>
      <c r="S2082" s="1008" t="s">
        <v>657</v>
      </c>
      <c r="T2082" s="1008" t="s">
        <v>675</v>
      </c>
      <c r="U2082" s="1008" t="s">
        <v>649</v>
      </c>
      <c r="V2082" s="1008" t="s">
        <v>648</v>
      </c>
      <c r="W2082" s="1008" t="s">
        <v>546</v>
      </c>
      <c r="X2082" s="1008"/>
      <c r="Y2082" s="1008"/>
      <c r="Z2082" s="1008"/>
      <c r="AA2082" s="1008"/>
      <c r="AB2082" s="1008"/>
      <c r="AC2082" s="1008"/>
      <c r="AD2082" s="1008"/>
      <c r="AE2082" s="1008"/>
      <c r="AF2082" s="1008"/>
      <c r="AG2082" s="1008"/>
      <c r="AH2082" s="1008"/>
      <c r="AI2082" s="1008"/>
    </row>
    <row r="2083" spans="1:35">
      <c r="A2083" s="1008">
        <v>26334</v>
      </c>
      <c r="C2083" s="1008">
        <v>6</v>
      </c>
      <c r="D2083" s="1009">
        <v>27619999</v>
      </c>
      <c r="E2083" s="1009">
        <v>27610000</v>
      </c>
      <c r="F2083" s="1007" t="s">
        <v>2588</v>
      </c>
      <c r="O2083" s="1007" t="s">
        <v>648</v>
      </c>
      <c r="P2083" s="1007" t="s">
        <v>648</v>
      </c>
      <c r="S2083" s="1008" t="s">
        <v>657</v>
      </c>
      <c r="T2083" s="1008" t="s">
        <v>675</v>
      </c>
      <c r="U2083" s="1008" t="s">
        <v>649</v>
      </c>
      <c r="V2083" s="1008" t="s">
        <v>648</v>
      </c>
      <c r="W2083" s="1008" t="s">
        <v>546</v>
      </c>
      <c r="X2083" s="1008"/>
      <c r="Y2083" s="1008"/>
      <c r="Z2083" s="1008"/>
      <c r="AA2083" s="1008"/>
      <c r="AB2083" s="1008"/>
      <c r="AC2083" s="1008"/>
      <c r="AD2083" s="1008"/>
      <c r="AE2083" s="1008"/>
      <c r="AF2083" s="1008"/>
      <c r="AG2083" s="1008"/>
      <c r="AH2083" s="1008"/>
      <c r="AI2083" s="1008"/>
    </row>
    <row r="2084" spans="1:35">
      <c r="A2084" s="1008">
        <v>26333</v>
      </c>
      <c r="B2084" s="1008">
        <v>1978</v>
      </c>
      <c r="C2084" s="1008">
        <v>7</v>
      </c>
      <c r="D2084" s="1009">
        <v>27619999</v>
      </c>
      <c r="E2084" s="1009">
        <v>27610400</v>
      </c>
      <c r="F2084" s="1007" t="s">
        <v>2587</v>
      </c>
      <c r="G2084" s="1007">
        <v>7</v>
      </c>
      <c r="H2084" s="1010">
        <v>99999999</v>
      </c>
      <c r="I2084" s="1009">
        <v>27610400</v>
      </c>
      <c r="J2084" s="1007" t="s">
        <v>2587</v>
      </c>
      <c r="O2084" s="1007" t="s">
        <v>648</v>
      </c>
      <c r="P2084" s="1007" t="s">
        <v>648</v>
      </c>
      <c r="S2084" s="1008" t="s">
        <v>657</v>
      </c>
      <c r="T2084" s="1008" t="s">
        <v>654</v>
      </c>
      <c r="U2084" s="1008" t="s">
        <v>649</v>
      </c>
      <c r="V2084" s="1008" t="s">
        <v>648</v>
      </c>
      <c r="W2084" s="1008" t="s">
        <v>546</v>
      </c>
      <c r="X2084" s="1008" t="s">
        <v>670</v>
      </c>
      <c r="Y2084" s="1008" t="s">
        <v>670</v>
      </c>
      <c r="Z2084" s="1008" t="s">
        <v>670</v>
      </c>
      <c r="AA2084" s="1008" t="s">
        <v>670</v>
      </c>
      <c r="AB2084" s="1008" t="s">
        <v>670</v>
      </c>
      <c r="AC2084" s="1008" t="s">
        <v>670</v>
      </c>
      <c r="AD2084" s="1008" t="s">
        <v>670</v>
      </c>
      <c r="AE2084" s="1008"/>
      <c r="AF2084" s="1008" t="s">
        <v>670</v>
      </c>
      <c r="AG2084" s="1008"/>
      <c r="AH2084" s="1008"/>
      <c r="AI2084" s="1008"/>
    </row>
    <row r="2085" spans="1:35">
      <c r="A2085" s="1008">
        <v>26332</v>
      </c>
      <c r="B2085" s="1008">
        <v>1979</v>
      </c>
      <c r="C2085" s="1008">
        <v>7</v>
      </c>
      <c r="D2085" s="1009">
        <v>27619999</v>
      </c>
      <c r="E2085" s="1009">
        <v>27610700</v>
      </c>
      <c r="F2085" s="1007" t="s">
        <v>2586</v>
      </c>
      <c r="G2085" s="1007">
        <v>7</v>
      </c>
      <c r="H2085" s="1010">
        <v>99999999</v>
      </c>
      <c r="I2085" s="1009">
        <v>27610700</v>
      </c>
      <c r="J2085" s="1007" t="s">
        <v>2586</v>
      </c>
      <c r="O2085" s="1007" t="s">
        <v>648</v>
      </c>
      <c r="P2085" s="1007" t="s">
        <v>648</v>
      </c>
      <c r="S2085" s="1008" t="s">
        <v>657</v>
      </c>
      <c r="T2085" s="1008" t="s">
        <v>654</v>
      </c>
      <c r="U2085" s="1008" t="s">
        <v>649</v>
      </c>
      <c r="V2085" s="1008" t="s">
        <v>648</v>
      </c>
      <c r="W2085" s="1008" t="s">
        <v>546</v>
      </c>
      <c r="X2085" s="1008" t="s">
        <v>670</v>
      </c>
      <c r="Y2085" s="1008" t="s">
        <v>670</v>
      </c>
      <c r="Z2085" s="1008" t="s">
        <v>670</v>
      </c>
      <c r="AA2085" s="1008" t="s">
        <v>670</v>
      </c>
      <c r="AB2085" s="1008" t="s">
        <v>670</v>
      </c>
      <c r="AC2085" s="1008" t="s">
        <v>670</v>
      </c>
      <c r="AD2085" s="1008" t="s">
        <v>670</v>
      </c>
      <c r="AE2085" s="1008"/>
      <c r="AF2085" s="1008" t="s">
        <v>670</v>
      </c>
      <c r="AG2085" s="1008"/>
      <c r="AH2085" s="1008"/>
      <c r="AI2085" s="1008"/>
    </row>
    <row r="2086" spans="1:35">
      <c r="A2086" s="1008">
        <v>26331</v>
      </c>
      <c r="B2086" s="1008">
        <v>5227</v>
      </c>
      <c r="C2086" s="1008">
        <v>7</v>
      </c>
      <c r="D2086" s="1009">
        <v>27619999</v>
      </c>
      <c r="E2086" s="1009">
        <v>27610800</v>
      </c>
      <c r="F2086" s="1007" t="s">
        <v>2585</v>
      </c>
      <c r="G2086" s="1007">
        <v>7</v>
      </c>
      <c r="H2086" s="1010">
        <v>99999999</v>
      </c>
      <c r="I2086" s="1009">
        <v>27610800</v>
      </c>
      <c r="J2086" s="1007" t="s">
        <v>2585</v>
      </c>
      <c r="O2086" s="1007" t="s">
        <v>648</v>
      </c>
      <c r="P2086" s="1007" t="s">
        <v>648</v>
      </c>
      <c r="S2086" s="1008" t="s">
        <v>657</v>
      </c>
      <c r="T2086" s="1008" t="s">
        <v>654</v>
      </c>
      <c r="U2086" s="1008" t="s">
        <v>649</v>
      </c>
      <c r="V2086" s="1008" t="s">
        <v>648</v>
      </c>
      <c r="W2086" s="1008" t="s">
        <v>546</v>
      </c>
      <c r="X2086" s="1008" t="s">
        <v>670</v>
      </c>
      <c r="Y2086" s="1008" t="s">
        <v>670</v>
      </c>
      <c r="Z2086" s="1008" t="s">
        <v>670</v>
      </c>
      <c r="AA2086" s="1008" t="s">
        <v>670</v>
      </c>
      <c r="AB2086" s="1008" t="s">
        <v>670</v>
      </c>
      <c r="AC2086" s="1008" t="s">
        <v>670</v>
      </c>
      <c r="AD2086" s="1008" t="s">
        <v>670</v>
      </c>
      <c r="AE2086" s="1008"/>
      <c r="AF2086" s="1008" t="s">
        <v>670</v>
      </c>
      <c r="AG2086" s="1008"/>
      <c r="AH2086" s="1008"/>
      <c r="AI2086" s="1008"/>
    </row>
    <row r="2087" spans="1:35">
      <c r="A2087" s="1008">
        <v>26330</v>
      </c>
      <c r="C2087" s="1008">
        <v>6</v>
      </c>
      <c r="D2087" s="1009">
        <v>27699900</v>
      </c>
      <c r="E2087" s="1009">
        <v>27619999</v>
      </c>
      <c r="F2087" s="1007" t="s">
        <v>2584</v>
      </c>
      <c r="O2087" s="1007" t="s">
        <v>648</v>
      </c>
      <c r="P2087" s="1007" t="s">
        <v>648</v>
      </c>
      <c r="S2087" s="1008" t="s">
        <v>657</v>
      </c>
      <c r="T2087" s="1008" t="s">
        <v>21</v>
      </c>
      <c r="U2087" s="1008" t="s">
        <v>649</v>
      </c>
      <c r="V2087" s="1008" t="s">
        <v>648</v>
      </c>
      <c r="W2087" s="1008" t="s">
        <v>546</v>
      </c>
      <c r="X2087" s="1008"/>
      <c r="Y2087" s="1008"/>
      <c r="Z2087" s="1008"/>
      <c r="AA2087" s="1008"/>
      <c r="AB2087" s="1008"/>
      <c r="AC2087" s="1008"/>
      <c r="AD2087" s="1008"/>
      <c r="AE2087" s="1008"/>
      <c r="AF2087" s="1008"/>
      <c r="AG2087" s="1008"/>
      <c r="AH2087" s="1008"/>
      <c r="AI2087" s="1008"/>
    </row>
    <row r="2088" spans="1:35">
      <c r="A2088" s="1008">
        <v>26329</v>
      </c>
      <c r="C2088" s="1008">
        <v>6</v>
      </c>
      <c r="D2088" s="1009">
        <v>27629999</v>
      </c>
      <c r="E2088" s="1009">
        <v>27620000</v>
      </c>
      <c r="F2088" s="1007" t="s">
        <v>2583</v>
      </c>
      <c r="O2088" s="1007" t="s">
        <v>648</v>
      </c>
      <c r="P2088" s="1007" t="s">
        <v>648</v>
      </c>
      <c r="S2088" s="1008" t="s">
        <v>657</v>
      </c>
      <c r="T2088" s="1008" t="s">
        <v>675</v>
      </c>
      <c r="U2088" s="1008" t="s">
        <v>649</v>
      </c>
      <c r="V2088" s="1008" t="s">
        <v>648</v>
      </c>
      <c r="W2088" s="1008" t="s">
        <v>546</v>
      </c>
      <c r="X2088" s="1008"/>
      <c r="Y2088" s="1008"/>
      <c r="Z2088" s="1008"/>
      <c r="AA2088" s="1008"/>
      <c r="AB2088" s="1008"/>
      <c r="AC2088" s="1008"/>
      <c r="AD2088" s="1008"/>
      <c r="AE2088" s="1008"/>
      <c r="AF2088" s="1008"/>
      <c r="AG2088" s="1008"/>
      <c r="AH2088" s="1008"/>
      <c r="AI2088" s="1008"/>
    </row>
    <row r="2089" spans="1:35">
      <c r="A2089" s="1008">
        <v>26328</v>
      </c>
      <c r="B2089" s="1008">
        <v>1981</v>
      </c>
      <c r="C2089" s="1008">
        <v>7</v>
      </c>
      <c r="D2089" s="1009">
        <v>27629999</v>
      </c>
      <c r="E2089" s="1009">
        <v>27620400</v>
      </c>
      <c r="F2089" s="1007" t="s">
        <v>2582</v>
      </c>
      <c r="G2089" s="1007">
        <v>7</v>
      </c>
      <c r="H2089" s="1010">
        <v>99999999</v>
      </c>
      <c r="I2089" s="1009">
        <v>27620400</v>
      </c>
      <c r="J2089" s="1007" t="s">
        <v>2582</v>
      </c>
      <c r="O2089" s="1007" t="s">
        <v>648</v>
      </c>
      <c r="P2089" s="1007" t="s">
        <v>648</v>
      </c>
      <c r="S2089" s="1008" t="s">
        <v>657</v>
      </c>
      <c r="T2089" s="1008" t="s">
        <v>654</v>
      </c>
      <c r="U2089" s="1008" t="s">
        <v>649</v>
      </c>
      <c r="V2089" s="1008" t="s">
        <v>648</v>
      </c>
      <c r="W2089" s="1008" t="s">
        <v>546</v>
      </c>
      <c r="X2089" s="1008" t="s">
        <v>670</v>
      </c>
      <c r="Y2089" s="1008" t="s">
        <v>670</v>
      </c>
      <c r="Z2089" s="1008" t="s">
        <v>670</v>
      </c>
      <c r="AA2089" s="1008" t="s">
        <v>670</v>
      </c>
      <c r="AB2089" s="1008" t="s">
        <v>670</v>
      </c>
      <c r="AC2089" s="1008" t="s">
        <v>670</v>
      </c>
      <c r="AD2089" s="1008" t="s">
        <v>670</v>
      </c>
      <c r="AE2089" s="1008"/>
      <c r="AF2089" s="1008" t="s">
        <v>670</v>
      </c>
      <c r="AG2089" s="1008"/>
      <c r="AH2089" s="1008"/>
      <c r="AI2089" s="1008"/>
    </row>
    <row r="2090" spans="1:35">
      <c r="A2090" s="1008">
        <v>26327</v>
      </c>
      <c r="B2090" s="1008">
        <v>1982</v>
      </c>
      <c r="C2090" s="1008">
        <v>7</v>
      </c>
      <c r="D2090" s="1009">
        <v>27629999</v>
      </c>
      <c r="E2090" s="1009">
        <v>27620700</v>
      </c>
      <c r="F2090" s="1007" t="s">
        <v>2581</v>
      </c>
      <c r="G2090" s="1007">
        <v>7</v>
      </c>
      <c r="H2090" s="1010">
        <v>99999999</v>
      </c>
      <c r="I2090" s="1009">
        <v>27620700</v>
      </c>
      <c r="J2090" s="1007" t="s">
        <v>2581</v>
      </c>
      <c r="O2090" s="1007" t="s">
        <v>648</v>
      </c>
      <c r="P2090" s="1007" t="s">
        <v>648</v>
      </c>
      <c r="S2090" s="1008" t="s">
        <v>657</v>
      </c>
      <c r="T2090" s="1008" t="s">
        <v>654</v>
      </c>
      <c r="U2090" s="1008" t="s">
        <v>649</v>
      </c>
      <c r="V2090" s="1008" t="s">
        <v>648</v>
      </c>
      <c r="W2090" s="1008" t="s">
        <v>546</v>
      </c>
      <c r="X2090" s="1008" t="s">
        <v>670</v>
      </c>
      <c r="Y2090" s="1008" t="s">
        <v>670</v>
      </c>
      <c r="Z2090" s="1008" t="s">
        <v>670</v>
      </c>
      <c r="AA2090" s="1008" t="s">
        <v>670</v>
      </c>
      <c r="AB2090" s="1008" t="s">
        <v>670</v>
      </c>
      <c r="AC2090" s="1008" t="s">
        <v>670</v>
      </c>
      <c r="AD2090" s="1008" t="s">
        <v>670</v>
      </c>
      <c r="AE2090" s="1008"/>
      <c r="AF2090" s="1008" t="s">
        <v>670</v>
      </c>
      <c r="AG2090" s="1008"/>
      <c r="AH2090" s="1008"/>
      <c r="AI2090" s="1008"/>
    </row>
    <row r="2091" spans="1:35">
      <c r="A2091" s="1008">
        <v>26326</v>
      </c>
      <c r="B2091" s="1008">
        <v>5229</v>
      </c>
      <c r="C2091" s="1008">
        <v>7</v>
      </c>
      <c r="D2091" s="1009">
        <v>27629999</v>
      </c>
      <c r="E2091" s="1009">
        <v>27620800</v>
      </c>
      <c r="F2091" s="1007" t="s">
        <v>2580</v>
      </c>
      <c r="G2091" s="1007">
        <v>7</v>
      </c>
      <c r="H2091" s="1010">
        <v>99999999</v>
      </c>
      <c r="I2091" s="1009">
        <v>27620800</v>
      </c>
      <c r="J2091" s="1007" t="s">
        <v>2580</v>
      </c>
      <c r="O2091" s="1007" t="s">
        <v>648</v>
      </c>
      <c r="P2091" s="1007" t="s">
        <v>648</v>
      </c>
      <c r="S2091" s="1008" t="s">
        <v>657</v>
      </c>
      <c r="T2091" s="1008" t="s">
        <v>654</v>
      </c>
      <c r="U2091" s="1008" t="s">
        <v>649</v>
      </c>
      <c r="V2091" s="1008" t="s">
        <v>648</v>
      </c>
      <c r="W2091" s="1008" t="s">
        <v>546</v>
      </c>
      <c r="X2091" s="1008" t="s">
        <v>670</v>
      </c>
      <c r="Y2091" s="1008" t="s">
        <v>670</v>
      </c>
      <c r="Z2091" s="1008" t="s">
        <v>670</v>
      </c>
      <c r="AA2091" s="1008" t="s">
        <v>670</v>
      </c>
      <c r="AB2091" s="1008" t="s">
        <v>670</v>
      </c>
      <c r="AC2091" s="1008" t="s">
        <v>670</v>
      </c>
      <c r="AD2091" s="1008" t="s">
        <v>670</v>
      </c>
      <c r="AE2091" s="1008"/>
      <c r="AF2091" s="1008" t="s">
        <v>670</v>
      </c>
      <c r="AG2091" s="1008"/>
      <c r="AH2091" s="1008"/>
      <c r="AI2091" s="1008"/>
    </row>
    <row r="2092" spans="1:35">
      <c r="A2092" s="1008">
        <v>26325</v>
      </c>
      <c r="C2092" s="1008">
        <v>6</v>
      </c>
      <c r="D2092" s="1009">
        <v>27699900</v>
      </c>
      <c r="E2092" s="1009">
        <v>27629999</v>
      </c>
      <c r="F2092" s="1007" t="s">
        <v>2579</v>
      </c>
      <c r="O2092" s="1007" t="s">
        <v>648</v>
      </c>
      <c r="P2092" s="1007" t="s">
        <v>648</v>
      </c>
      <c r="S2092" s="1008" t="s">
        <v>657</v>
      </c>
      <c r="T2092" s="1008" t="s">
        <v>21</v>
      </c>
      <c r="U2092" s="1008" t="s">
        <v>649</v>
      </c>
      <c r="V2092" s="1008" t="s">
        <v>648</v>
      </c>
      <c r="W2092" s="1008" t="s">
        <v>546</v>
      </c>
      <c r="X2092" s="1008"/>
      <c r="Y2092" s="1008"/>
      <c r="Z2092" s="1008"/>
      <c r="AA2092" s="1008"/>
      <c r="AB2092" s="1008"/>
      <c r="AC2092" s="1008"/>
      <c r="AD2092" s="1008"/>
      <c r="AE2092" s="1008"/>
      <c r="AF2092" s="1008"/>
      <c r="AG2092" s="1008"/>
      <c r="AH2092" s="1008"/>
      <c r="AI2092" s="1008"/>
    </row>
    <row r="2093" spans="1:35">
      <c r="A2093" s="1008">
        <v>26324</v>
      </c>
      <c r="C2093" s="1008">
        <v>5</v>
      </c>
      <c r="D2093" s="1009">
        <v>27699999</v>
      </c>
      <c r="E2093" s="1009">
        <v>27699900</v>
      </c>
      <c r="F2093" s="1007" t="s">
        <v>2578</v>
      </c>
      <c r="O2093" s="1007" t="s">
        <v>648</v>
      </c>
      <c r="P2093" s="1007" t="s">
        <v>648</v>
      </c>
      <c r="S2093" s="1008" t="s">
        <v>657</v>
      </c>
      <c r="T2093" s="1008" t="s">
        <v>21</v>
      </c>
      <c r="U2093" s="1008" t="s">
        <v>649</v>
      </c>
      <c r="V2093" s="1008" t="s">
        <v>648</v>
      </c>
      <c r="W2093" s="1008" t="s">
        <v>546</v>
      </c>
      <c r="X2093" s="1008"/>
      <c r="Y2093" s="1008"/>
      <c r="Z2093" s="1008"/>
      <c r="AA2093" s="1008"/>
      <c r="AB2093" s="1008"/>
      <c r="AC2093" s="1008"/>
      <c r="AD2093" s="1008"/>
      <c r="AE2093" s="1008"/>
      <c r="AF2093" s="1008"/>
      <c r="AG2093" s="1008"/>
      <c r="AH2093" s="1008"/>
      <c r="AI2093" s="1008"/>
    </row>
    <row r="2094" spans="1:35">
      <c r="A2094" s="1008">
        <v>26323</v>
      </c>
      <c r="C2094" s="1008">
        <v>4</v>
      </c>
      <c r="D2094" s="1009">
        <v>29999999</v>
      </c>
      <c r="E2094" s="1009">
        <v>27699999</v>
      </c>
      <c r="F2094" s="1007" t="s">
        <v>2577</v>
      </c>
      <c r="O2094" s="1007" t="s">
        <v>648</v>
      </c>
      <c r="P2094" s="1007" t="s">
        <v>648</v>
      </c>
      <c r="S2094" s="1008" t="s">
        <v>657</v>
      </c>
      <c r="T2094" s="1008" t="s">
        <v>21</v>
      </c>
      <c r="U2094" s="1008" t="s">
        <v>649</v>
      </c>
      <c r="V2094" s="1008" t="s">
        <v>648</v>
      </c>
      <c r="W2094" s="1008" t="s">
        <v>546</v>
      </c>
      <c r="X2094" s="1008"/>
      <c r="Y2094" s="1008"/>
      <c r="Z2094" s="1008"/>
      <c r="AA2094" s="1008"/>
      <c r="AB2094" s="1008"/>
      <c r="AC2094" s="1008"/>
      <c r="AD2094" s="1008"/>
      <c r="AE2094" s="1008"/>
      <c r="AF2094" s="1008"/>
      <c r="AG2094" s="1008"/>
      <c r="AH2094" s="1008"/>
      <c r="AI2094" s="1008"/>
    </row>
    <row r="2095" spans="1:35">
      <c r="A2095" s="1008">
        <v>24673</v>
      </c>
      <c r="C2095" s="1008">
        <v>4</v>
      </c>
      <c r="D2095" s="1009">
        <v>28199999</v>
      </c>
      <c r="E2095" s="1009">
        <v>28000000</v>
      </c>
      <c r="F2095" s="1007" t="s">
        <v>2576</v>
      </c>
      <c r="O2095" s="1007" t="s">
        <v>648</v>
      </c>
      <c r="P2095" s="1007" t="s">
        <v>648</v>
      </c>
      <c r="S2095" s="1008" t="s">
        <v>657</v>
      </c>
      <c r="T2095" s="1008" t="s">
        <v>675</v>
      </c>
      <c r="U2095" s="1008" t="s">
        <v>649</v>
      </c>
      <c r="V2095" s="1008" t="s">
        <v>648</v>
      </c>
      <c r="W2095" s="1008" t="s">
        <v>546</v>
      </c>
      <c r="X2095" s="1008"/>
      <c r="Y2095" s="1008"/>
      <c r="Z2095" s="1008"/>
      <c r="AA2095" s="1008"/>
      <c r="AB2095" s="1008"/>
      <c r="AC2095" s="1008"/>
      <c r="AD2095" s="1008"/>
      <c r="AE2095" s="1008"/>
      <c r="AF2095" s="1008"/>
      <c r="AG2095" s="1008"/>
      <c r="AH2095" s="1008"/>
      <c r="AI2095" s="1008"/>
    </row>
    <row r="2096" spans="1:35">
      <c r="A2096" s="1008">
        <v>24674</v>
      </c>
      <c r="C2096" s="1008">
        <v>5</v>
      </c>
      <c r="D2096" s="1009">
        <v>28199900</v>
      </c>
      <c r="E2096" s="1009">
        <v>28100000</v>
      </c>
      <c r="F2096" s="1007" t="s">
        <v>2575</v>
      </c>
      <c r="O2096" s="1007" t="s">
        <v>648</v>
      </c>
      <c r="P2096" s="1007" t="s">
        <v>648</v>
      </c>
      <c r="S2096" s="1008" t="s">
        <v>657</v>
      </c>
      <c r="T2096" s="1008" t="s">
        <v>675</v>
      </c>
      <c r="U2096" s="1008" t="s">
        <v>649</v>
      </c>
      <c r="V2096" s="1008" t="s">
        <v>648</v>
      </c>
      <c r="W2096" s="1008" t="s">
        <v>546</v>
      </c>
      <c r="X2096" s="1008"/>
      <c r="Y2096" s="1008"/>
      <c r="Z2096" s="1008"/>
      <c r="AA2096" s="1008"/>
      <c r="AB2096" s="1008"/>
      <c r="AC2096" s="1008"/>
      <c r="AD2096" s="1008"/>
      <c r="AE2096" s="1008"/>
      <c r="AF2096" s="1008"/>
      <c r="AG2096" s="1008"/>
      <c r="AH2096" s="1008"/>
      <c r="AI2096" s="1008"/>
    </row>
    <row r="2097" spans="1:35">
      <c r="A2097" s="1008">
        <v>24675</v>
      </c>
      <c r="B2097" s="1008">
        <v>766</v>
      </c>
      <c r="C2097" s="1008">
        <v>6</v>
      </c>
      <c r="D2097" s="1009">
        <v>28199900</v>
      </c>
      <c r="E2097" s="1009">
        <v>28110800</v>
      </c>
      <c r="F2097" s="1007" t="s">
        <v>2574</v>
      </c>
      <c r="G2097" s="1007">
        <v>8</v>
      </c>
      <c r="H2097" s="1010">
        <v>99999999</v>
      </c>
      <c r="I2097" s="1009">
        <v>28110800</v>
      </c>
      <c r="J2097" s="1007" t="s">
        <v>2574</v>
      </c>
      <c r="O2097" s="1007" t="s">
        <v>648</v>
      </c>
      <c r="P2097" s="1007" t="s">
        <v>648</v>
      </c>
      <c r="S2097" s="1008" t="s">
        <v>657</v>
      </c>
      <c r="T2097" s="1008" t="s">
        <v>654</v>
      </c>
      <c r="U2097" s="1008" t="s">
        <v>649</v>
      </c>
      <c r="V2097" s="1008" t="s">
        <v>648</v>
      </c>
      <c r="W2097" s="1008" t="s">
        <v>546</v>
      </c>
      <c r="X2097" s="1008" t="s">
        <v>670</v>
      </c>
      <c r="Y2097" s="1008" t="s">
        <v>670</v>
      </c>
      <c r="Z2097" s="1008" t="s">
        <v>670</v>
      </c>
      <c r="AA2097" s="1008" t="s">
        <v>670</v>
      </c>
      <c r="AB2097" s="1008" t="s">
        <v>670</v>
      </c>
      <c r="AC2097" s="1008" t="s">
        <v>670</v>
      </c>
      <c r="AD2097" s="1008" t="s">
        <v>670</v>
      </c>
      <c r="AE2097" s="1008"/>
      <c r="AF2097" s="1008" t="s">
        <v>670</v>
      </c>
      <c r="AG2097" s="1008"/>
      <c r="AH2097" s="1008"/>
      <c r="AI2097" s="1008"/>
    </row>
    <row r="2098" spans="1:35">
      <c r="A2098" s="1008">
        <v>24676</v>
      </c>
      <c r="C2098" s="1008">
        <v>5</v>
      </c>
      <c r="D2098" s="1009">
        <v>28199999</v>
      </c>
      <c r="E2098" s="1009">
        <v>28199900</v>
      </c>
      <c r="F2098" s="1007" t="s">
        <v>2573</v>
      </c>
      <c r="O2098" s="1007" t="s">
        <v>648</v>
      </c>
      <c r="P2098" s="1007" t="s">
        <v>648</v>
      </c>
      <c r="S2098" s="1008" t="s">
        <v>657</v>
      </c>
      <c r="T2098" s="1008" t="s">
        <v>21</v>
      </c>
      <c r="U2098" s="1008" t="s">
        <v>649</v>
      </c>
      <c r="V2098" s="1008" t="s">
        <v>648</v>
      </c>
      <c r="W2098" s="1008" t="s">
        <v>546</v>
      </c>
      <c r="X2098" s="1008"/>
      <c r="Y2098" s="1008"/>
      <c r="Z2098" s="1008"/>
      <c r="AA2098" s="1008"/>
      <c r="AB2098" s="1008"/>
      <c r="AC2098" s="1008"/>
      <c r="AD2098" s="1008"/>
      <c r="AE2098" s="1008"/>
      <c r="AF2098" s="1008"/>
      <c r="AG2098" s="1008"/>
      <c r="AH2098" s="1008"/>
      <c r="AI2098" s="1008"/>
    </row>
    <row r="2099" spans="1:35">
      <c r="A2099" s="1008">
        <v>24677</v>
      </c>
      <c r="C2099" s="1008">
        <v>4</v>
      </c>
      <c r="D2099" s="1009">
        <v>29999999</v>
      </c>
      <c r="E2099" s="1009">
        <v>28199999</v>
      </c>
      <c r="F2099" s="1007" t="s">
        <v>2572</v>
      </c>
      <c r="O2099" s="1007" t="s">
        <v>648</v>
      </c>
      <c r="P2099" s="1007" t="s">
        <v>648</v>
      </c>
      <c r="S2099" s="1008" t="s">
        <v>657</v>
      </c>
      <c r="T2099" s="1008" t="s">
        <v>21</v>
      </c>
      <c r="U2099" s="1008" t="s">
        <v>649</v>
      </c>
      <c r="V2099" s="1008" t="s">
        <v>648</v>
      </c>
      <c r="W2099" s="1008" t="s">
        <v>546</v>
      </c>
      <c r="X2099" s="1008"/>
      <c r="Y2099" s="1008"/>
      <c r="Z2099" s="1008"/>
      <c r="AA2099" s="1008"/>
      <c r="AB2099" s="1008"/>
      <c r="AC2099" s="1008"/>
      <c r="AD2099" s="1008"/>
      <c r="AE2099" s="1008"/>
      <c r="AF2099" s="1008"/>
      <c r="AG2099" s="1008"/>
      <c r="AH2099" s="1008"/>
      <c r="AI2099" s="1008"/>
    </row>
    <row r="2100" spans="1:35">
      <c r="A2100" s="1008">
        <v>24678</v>
      </c>
      <c r="C2100" s="1008">
        <v>4</v>
      </c>
      <c r="D2100" s="1009">
        <v>28599999</v>
      </c>
      <c r="E2100" s="1009">
        <v>28500000</v>
      </c>
      <c r="F2100" s="1007" t="s">
        <v>2571</v>
      </c>
      <c r="O2100" s="1007" t="s">
        <v>648</v>
      </c>
      <c r="P2100" s="1007" t="s">
        <v>648</v>
      </c>
      <c r="S2100" s="1008" t="s">
        <v>657</v>
      </c>
      <c r="T2100" s="1008" t="s">
        <v>675</v>
      </c>
      <c r="U2100" s="1008" t="s">
        <v>649</v>
      </c>
      <c r="V2100" s="1008" t="s">
        <v>648</v>
      </c>
      <c r="W2100" s="1008" t="s">
        <v>546</v>
      </c>
      <c r="X2100" s="1008"/>
      <c r="Y2100" s="1008"/>
      <c r="Z2100" s="1008"/>
      <c r="AA2100" s="1008"/>
      <c r="AB2100" s="1008"/>
      <c r="AC2100" s="1008"/>
      <c r="AD2100" s="1008"/>
      <c r="AE2100" s="1008"/>
      <c r="AF2100" s="1008"/>
      <c r="AG2100" s="1008"/>
      <c r="AH2100" s="1008"/>
      <c r="AI2100" s="1008"/>
    </row>
    <row r="2101" spans="1:35">
      <c r="A2101" s="1008">
        <v>24679</v>
      </c>
      <c r="C2101" s="1008">
        <v>5</v>
      </c>
      <c r="D2101" s="1009">
        <v>28599900</v>
      </c>
      <c r="E2101" s="1009">
        <v>28501000</v>
      </c>
      <c r="F2101" s="1007" t="s">
        <v>2571</v>
      </c>
      <c r="O2101" s="1007" t="s">
        <v>648</v>
      </c>
      <c r="P2101" s="1007" t="s">
        <v>648</v>
      </c>
      <c r="S2101" s="1008" t="s">
        <v>657</v>
      </c>
      <c r="T2101" s="1008" t="s">
        <v>675</v>
      </c>
      <c r="U2101" s="1008" t="s">
        <v>649</v>
      </c>
      <c r="V2101" s="1008" t="s">
        <v>648</v>
      </c>
      <c r="W2101" s="1008" t="s">
        <v>546</v>
      </c>
      <c r="X2101" s="1008"/>
      <c r="Y2101" s="1008"/>
      <c r="Z2101" s="1008"/>
      <c r="AA2101" s="1008"/>
      <c r="AB2101" s="1008"/>
      <c r="AC2101" s="1008"/>
      <c r="AD2101" s="1008"/>
      <c r="AE2101" s="1008"/>
      <c r="AF2101" s="1008"/>
      <c r="AG2101" s="1008"/>
      <c r="AH2101" s="1008"/>
      <c r="AI2101" s="1008"/>
    </row>
    <row r="2102" spans="1:35">
      <c r="A2102" s="1008">
        <v>24680</v>
      </c>
      <c r="C2102" s="1008">
        <v>6</v>
      </c>
      <c r="D2102" s="1009">
        <v>28519999</v>
      </c>
      <c r="E2102" s="1009">
        <v>28510000</v>
      </c>
      <c r="F2102" s="1007" t="s">
        <v>2570</v>
      </c>
      <c r="O2102" s="1007" t="s">
        <v>648</v>
      </c>
      <c r="P2102" s="1007" t="s">
        <v>648</v>
      </c>
      <c r="S2102" s="1008" t="s">
        <v>657</v>
      </c>
      <c r="T2102" s="1008" t="s">
        <v>675</v>
      </c>
      <c r="U2102" s="1008" t="s">
        <v>649</v>
      </c>
      <c r="V2102" s="1008" t="s">
        <v>648</v>
      </c>
      <c r="W2102" s="1008" t="s">
        <v>546</v>
      </c>
      <c r="X2102" s="1008"/>
      <c r="Y2102" s="1008"/>
      <c r="Z2102" s="1008"/>
      <c r="AA2102" s="1008"/>
      <c r="AB2102" s="1008"/>
      <c r="AC2102" s="1008"/>
      <c r="AD2102" s="1008"/>
      <c r="AE2102" s="1008"/>
      <c r="AF2102" s="1008"/>
      <c r="AG2102" s="1008"/>
      <c r="AH2102" s="1008"/>
      <c r="AI2102" s="1008"/>
    </row>
    <row r="2103" spans="1:35">
      <c r="A2103" s="1008">
        <v>24681</v>
      </c>
      <c r="B2103" s="1008">
        <v>456</v>
      </c>
      <c r="C2103" s="1008">
        <v>7</v>
      </c>
      <c r="D2103" s="1009">
        <v>28519999</v>
      </c>
      <c r="E2103" s="1009">
        <v>28510300</v>
      </c>
      <c r="F2103" s="1007" t="s">
        <v>2570</v>
      </c>
      <c r="G2103" s="1007">
        <v>8</v>
      </c>
      <c r="H2103" s="1010">
        <v>99999999</v>
      </c>
      <c r="I2103" s="1009">
        <v>28510300</v>
      </c>
      <c r="J2103" s="1007" t="s">
        <v>2570</v>
      </c>
      <c r="O2103" s="1007" t="s">
        <v>648</v>
      </c>
      <c r="P2103" s="1007" t="s">
        <v>648</v>
      </c>
      <c r="S2103" s="1008" t="s">
        <v>657</v>
      </c>
      <c r="T2103" s="1008" t="s">
        <v>654</v>
      </c>
      <c r="U2103" s="1008" t="s">
        <v>649</v>
      </c>
      <c r="V2103" s="1008" t="s">
        <v>648</v>
      </c>
      <c r="W2103" s="1008" t="s">
        <v>546</v>
      </c>
      <c r="X2103" s="1008" t="s">
        <v>670</v>
      </c>
      <c r="Y2103" s="1008" t="s">
        <v>670</v>
      </c>
      <c r="Z2103" s="1008" t="s">
        <v>670</v>
      </c>
      <c r="AA2103" s="1008"/>
      <c r="AB2103" s="1008" t="s">
        <v>670</v>
      </c>
      <c r="AC2103" s="1008"/>
      <c r="AD2103" s="1008" t="s">
        <v>670</v>
      </c>
      <c r="AE2103" s="1008"/>
      <c r="AF2103" s="1008" t="s">
        <v>670</v>
      </c>
      <c r="AG2103" s="1008"/>
      <c r="AH2103" s="1008"/>
      <c r="AI2103" s="1008"/>
    </row>
    <row r="2104" spans="1:35">
      <c r="A2104" s="1008">
        <v>24682</v>
      </c>
      <c r="C2104" s="1008">
        <v>6</v>
      </c>
      <c r="D2104" s="1009">
        <v>28599900</v>
      </c>
      <c r="E2104" s="1009">
        <v>28519999</v>
      </c>
      <c r="F2104" s="1007" t="s">
        <v>2569</v>
      </c>
      <c r="O2104" s="1007" t="s">
        <v>648</v>
      </c>
      <c r="P2104" s="1007" t="s">
        <v>648</v>
      </c>
      <c r="S2104" s="1008" t="s">
        <v>657</v>
      </c>
      <c r="T2104" s="1008" t="s">
        <v>21</v>
      </c>
      <c r="U2104" s="1008" t="s">
        <v>649</v>
      </c>
      <c r="V2104" s="1008" t="s">
        <v>648</v>
      </c>
      <c r="W2104" s="1008" t="s">
        <v>546</v>
      </c>
      <c r="X2104" s="1008"/>
      <c r="Y2104" s="1008"/>
      <c r="Z2104" s="1008"/>
      <c r="AA2104" s="1008"/>
      <c r="AB2104" s="1008"/>
      <c r="AC2104" s="1008"/>
      <c r="AD2104" s="1008"/>
      <c r="AE2104" s="1008"/>
      <c r="AF2104" s="1008"/>
      <c r="AG2104" s="1008"/>
      <c r="AH2104" s="1008"/>
      <c r="AI2104" s="1008"/>
    </row>
    <row r="2105" spans="1:35">
      <c r="A2105" s="1008">
        <v>24683</v>
      </c>
      <c r="C2105" s="1008">
        <v>6</v>
      </c>
      <c r="D2105" s="1009">
        <v>28529999</v>
      </c>
      <c r="E2105" s="1009">
        <v>28520000</v>
      </c>
      <c r="F2105" s="1007" t="s">
        <v>2568</v>
      </c>
      <c r="O2105" s="1007" t="s">
        <v>648</v>
      </c>
      <c r="P2105" s="1007" t="s">
        <v>648</v>
      </c>
      <c r="S2105" s="1008" t="s">
        <v>657</v>
      </c>
      <c r="T2105" s="1008" t="s">
        <v>675</v>
      </c>
      <c r="U2105" s="1008" t="s">
        <v>649</v>
      </c>
      <c r="V2105" s="1008" t="s">
        <v>648</v>
      </c>
      <c r="W2105" s="1008" t="s">
        <v>546</v>
      </c>
      <c r="X2105" s="1008"/>
      <c r="Y2105" s="1008"/>
      <c r="Z2105" s="1008"/>
      <c r="AA2105" s="1008"/>
      <c r="AB2105" s="1008"/>
      <c r="AC2105" s="1008"/>
      <c r="AD2105" s="1008"/>
      <c r="AE2105" s="1008"/>
      <c r="AF2105" s="1008"/>
      <c r="AG2105" s="1008"/>
      <c r="AH2105" s="1008"/>
      <c r="AI2105" s="1008"/>
    </row>
    <row r="2106" spans="1:35">
      <c r="A2106" s="1008">
        <v>24684</v>
      </c>
      <c r="B2106" s="1008">
        <v>457</v>
      </c>
      <c r="C2106" s="1008">
        <v>7</v>
      </c>
      <c r="D2106" s="1009">
        <v>28529999</v>
      </c>
      <c r="E2106" s="1009">
        <v>28520300</v>
      </c>
      <c r="F2106" s="1007" t="s">
        <v>2567</v>
      </c>
      <c r="G2106" s="1007">
        <v>8</v>
      </c>
      <c r="H2106" s="1010">
        <v>99999999</v>
      </c>
      <c r="I2106" s="1009">
        <v>28520300</v>
      </c>
      <c r="J2106" s="1007" t="s">
        <v>2567</v>
      </c>
      <c r="O2106" s="1007" t="s">
        <v>648</v>
      </c>
      <c r="P2106" s="1007" t="s">
        <v>648</v>
      </c>
      <c r="S2106" s="1008" t="s">
        <v>657</v>
      </c>
      <c r="T2106" s="1008" t="s">
        <v>654</v>
      </c>
      <c r="U2106" s="1008" t="s">
        <v>649</v>
      </c>
      <c r="V2106" s="1008" t="s">
        <v>648</v>
      </c>
      <c r="W2106" s="1008" t="s">
        <v>546</v>
      </c>
      <c r="X2106" s="1008" t="s">
        <v>670</v>
      </c>
      <c r="Y2106" s="1008" t="s">
        <v>670</v>
      </c>
      <c r="Z2106" s="1008" t="s">
        <v>670</v>
      </c>
      <c r="AA2106" s="1008"/>
      <c r="AB2106" s="1008" t="s">
        <v>670</v>
      </c>
      <c r="AC2106" s="1008"/>
      <c r="AD2106" s="1008"/>
      <c r="AE2106" s="1008"/>
      <c r="AF2106" s="1008" t="s">
        <v>670</v>
      </c>
      <c r="AG2106" s="1008"/>
      <c r="AH2106" s="1008"/>
      <c r="AI2106" s="1008"/>
    </row>
    <row r="2107" spans="1:35">
      <c r="A2107" s="1008">
        <v>27108</v>
      </c>
      <c r="B2107" s="1008">
        <v>5941</v>
      </c>
      <c r="C2107" s="1008">
        <v>7</v>
      </c>
      <c r="D2107" s="1009">
        <v>28529999</v>
      </c>
      <c r="E2107" s="1009">
        <v>28520310</v>
      </c>
      <c r="F2107" s="1007" t="s">
        <v>2566</v>
      </c>
      <c r="G2107" s="1007">
        <v>8</v>
      </c>
      <c r="H2107" s="1010">
        <v>99999999</v>
      </c>
      <c r="I2107" s="1009">
        <v>28520310</v>
      </c>
      <c r="J2107" s="1007" t="s">
        <v>2566</v>
      </c>
      <c r="O2107" s="1007" t="s">
        <v>648</v>
      </c>
      <c r="P2107" s="1007" t="s">
        <v>648</v>
      </c>
      <c r="S2107" s="1008" t="s">
        <v>657</v>
      </c>
      <c r="T2107" s="1008" t="s">
        <v>654</v>
      </c>
      <c r="U2107" s="1008" t="s">
        <v>649</v>
      </c>
      <c r="V2107" s="1008" t="s">
        <v>648</v>
      </c>
      <c r="W2107" s="1008" t="s">
        <v>546</v>
      </c>
      <c r="X2107" s="1008" t="s">
        <v>670</v>
      </c>
      <c r="Y2107" s="1008" t="s">
        <v>670</v>
      </c>
      <c r="Z2107" s="1008" t="s">
        <v>670</v>
      </c>
      <c r="AA2107" s="1008"/>
      <c r="AB2107" s="1008" t="s">
        <v>670</v>
      </c>
      <c r="AC2107" s="1008"/>
      <c r="AD2107" s="1008"/>
      <c r="AE2107" s="1008"/>
      <c r="AF2107" s="1008" t="s">
        <v>670</v>
      </c>
      <c r="AG2107" s="1008"/>
      <c r="AH2107" s="1008"/>
      <c r="AI2107" s="1008"/>
    </row>
    <row r="2108" spans="1:35">
      <c r="A2108" s="1008">
        <v>27109</v>
      </c>
      <c r="B2108" s="1008">
        <v>5942</v>
      </c>
      <c r="C2108" s="1008">
        <v>7</v>
      </c>
      <c r="D2108" s="1009">
        <v>28529999</v>
      </c>
      <c r="E2108" s="1009">
        <v>28520320</v>
      </c>
      <c r="F2108" s="1007" t="s">
        <v>2565</v>
      </c>
      <c r="G2108" s="1007">
        <v>8</v>
      </c>
      <c r="H2108" s="1010">
        <v>99999999</v>
      </c>
      <c r="I2108" s="1009">
        <v>28520320</v>
      </c>
      <c r="J2108" s="1007" t="s">
        <v>2565</v>
      </c>
      <c r="O2108" s="1007" t="s">
        <v>648</v>
      </c>
      <c r="P2108" s="1007" t="s">
        <v>648</v>
      </c>
      <c r="S2108" s="1008" t="s">
        <v>657</v>
      </c>
      <c r="T2108" s="1008" t="s">
        <v>654</v>
      </c>
      <c r="U2108" s="1008" t="s">
        <v>649</v>
      </c>
      <c r="V2108" s="1008" t="s">
        <v>648</v>
      </c>
      <c r="W2108" s="1008" t="s">
        <v>546</v>
      </c>
      <c r="X2108" s="1008" t="s">
        <v>670</v>
      </c>
      <c r="Y2108" s="1008" t="s">
        <v>670</v>
      </c>
      <c r="Z2108" s="1008" t="s">
        <v>670</v>
      </c>
      <c r="AA2108" s="1008"/>
      <c r="AB2108" s="1008" t="s">
        <v>670</v>
      </c>
      <c r="AC2108" s="1008"/>
      <c r="AD2108" s="1008"/>
      <c r="AE2108" s="1008"/>
      <c r="AF2108" s="1008" t="s">
        <v>670</v>
      </c>
      <c r="AG2108" s="1008"/>
      <c r="AH2108" s="1008"/>
      <c r="AI2108" s="1008"/>
    </row>
    <row r="2109" spans="1:35">
      <c r="A2109" s="1008">
        <v>27028</v>
      </c>
      <c r="B2109" s="1008">
        <v>5909</v>
      </c>
      <c r="C2109" s="1008">
        <v>7</v>
      </c>
      <c r="D2109" s="1009">
        <v>28529999</v>
      </c>
      <c r="E2109" s="1009">
        <v>28520600</v>
      </c>
      <c r="F2109" s="1007" t="s">
        <v>2564</v>
      </c>
      <c r="G2109" s="1007" t="s">
        <v>648</v>
      </c>
      <c r="H2109" s="1010">
        <v>99999999</v>
      </c>
      <c r="I2109" s="1009">
        <v>28520600</v>
      </c>
      <c r="J2109" s="1007" t="s">
        <v>2564</v>
      </c>
      <c r="O2109" s="1007" t="s">
        <v>648</v>
      </c>
      <c r="P2109" s="1007" t="s">
        <v>648</v>
      </c>
      <c r="S2109" s="1008" t="s">
        <v>657</v>
      </c>
      <c r="T2109" s="1008" t="s">
        <v>654</v>
      </c>
      <c r="U2109" s="1008" t="s">
        <v>649</v>
      </c>
      <c r="V2109" s="1008" t="s">
        <v>648</v>
      </c>
      <c r="W2109" s="1008" t="s">
        <v>546</v>
      </c>
      <c r="X2109" s="1008" t="s">
        <v>670</v>
      </c>
      <c r="Y2109" s="1008" t="s">
        <v>670</v>
      </c>
      <c r="Z2109" s="1008" t="s">
        <v>670</v>
      </c>
      <c r="AA2109" s="1008"/>
      <c r="AB2109" s="1008" t="s">
        <v>670</v>
      </c>
      <c r="AC2109" s="1008"/>
      <c r="AD2109" s="1008"/>
      <c r="AE2109" s="1008"/>
      <c r="AF2109" s="1008" t="s">
        <v>670</v>
      </c>
      <c r="AG2109" s="1008"/>
      <c r="AH2109" s="1008"/>
      <c r="AI2109" s="1008"/>
    </row>
    <row r="2110" spans="1:35">
      <c r="A2110" s="1008">
        <v>24685</v>
      </c>
      <c r="C2110" s="1008">
        <v>6</v>
      </c>
      <c r="D2110" s="1009">
        <v>28599900</v>
      </c>
      <c r="E2110" s="1009">
        <v>28529999</v>
      </c>
      <c r="F2110" s="1007" t="s">
        <v>2563</v>
      </c>
      <c r="O2110" s="1007" t="s">
        <v>648</v>
      </c>
      <c r="P2110" s="1007" t="s">
        <v>648</v>
      </c>
      <c r="S2110" s="1008" t="s">
        <v>657</v>
      </c>
      <c r="T2110" s="1008" t="s">
        <v>21</v>
      </c>
      <c r="U2110" s="1008" t="s">
        <v>649</v>
      </c>
      <c r="V2110" s="1008" t="s">
        <v>648</v>
      </c>
      <c r="W2110" s="1008" t="s">
        <v>546</v>
      </c>
      <c r="X2110" s="1008"/>
      <c r="Y2110" s="1008"/>
      <c r="Z2110" s="1008"/>
      <c r="AA2110" s="1008"/>
      <c r="AB2110" s="1008"/>
      <c r="AC2110" s="1008"/>
      <c r="AD2110" s="1008"/>
      <c r="AE2110" s="1008"/>
      <c r="AF2110" s="1008"/>
      <c r="AG2110" s="1008"/>
      <c r="AH2110" s="1008"/>
      <c r="AI2110" s="1008"/>
    </row>
    <row r="2111" spans="1:35">
      <c r="A2111" s="1008">
        <v>24686</v>
      </c>
      <c r="C2111" s="1008">
        <v>5</v>
      </c>
      <c r="D2111" s="1009">
        <v>28599999</v>
      </c>
      <c r="E2111" s="1009">
        <v>28599900</v>
      </c>
      <c r="F2111" s="1007" t="s">
        <v>2562</v>
      </c>
      <c r="O2111" s="1007" t="s">
        <v>648</v>
      </c>
      <c r="P2111" s="1007" t="s">
        <v>648</v>
      </c>
      <c r="S2111" s="1008" t="s">
        <v>657</v>
      </c>
      <c r="T2111" s="1008" t="s">
        <v>21</v>
      </c>
      <c r="U2111" s="1008" t="s">
        <v>649</v>
      </c>
      <c r="V2111" s="1008" t="s">
        <v>648</v>
      </c>
      <c r="W2111" s="1008" t="s">
        <v>546</v>
      </c>
      <c r="X2111" s="1008"/>
      <c r="Y2111" s="1008"/>
      <c r="Z2111" s="1008"/>
      <c r="AA2111" s="1008"/>
      <c r="AB2111" s="1008"/>
      <c r="AC2111" s="1008"/>
      <c r="AD2111" s="1008"/>
      <c r="AE2111" s="1008"/>
      <c r="AF2111" s="1008"/>
      <c r="AG2111" s="1008"/>
      <c r="AH2111" s="1008"/>
      <c r="AI2111" s="1008"/>
    </row>
    <row r="2112" spans="1:35">
      <c r="A2112" s="1008">
        <v>24687</v>
      </c>
      <c r="C2112" s="1008">
        <v>4</v>
      </c>
      <c r="D2112" s="1009">
        <v>29999999</v>
      </c>
      <c r="E2112" s="1009">
        <v>28599999</v>
      </c>
      <c r="F2112" s="1007" t="s">
        <v>2562</v>
      </c>
      <c r="O2112" s="1007" t="s">
        <v>648</v>
      </c>
      <c r="P2112" s="1007" t="s">
        <v>648</v>
      </c>
      <c r="S2112" s="1008" t="s">
        <v>657</v>
      </c>
      <c r="T2112" s="1008" t="s">
        <v>21</v>
      </c>
      <c r="U2112" s="1008" t="s">
        <v>649</v>
      </c>
      <c r="V2112" s="1008" t="s">
        <v>648</v>
      </c>
      <c r="W2112" s="1008" t="s">
        <v>546</v>
      </c>
      <c r="X2112" s="1008"/>
      <c r="Y2112" s="1008"/>
      <c r="Z2112" s="1008"/>
      <c r="AA2112" s="1008"/>
      <c r="AB2112" s="1008"/>
      <c r="AC2112" s="1008"/>
      <c r="AD2112" s="1008"/>
      <c r="AE2112" s="1008"/>
      <c r="AF2112" s="1008"/>
      <c r="AG2112" s="1008"/>
      <c r="AH2112" s="1008"/>
      <c r="AI2112" s="1008"/>
    </row>
    <row r="2113" spans="1:35">
      <c r="A2113" s="1008">
        <v>27637</v>
      </c>
      <c r="C2113" s="1008">
        <v>4</v>
      </c>
      <c r="D2113" s="1009">
        <v>28799999</v>
      </c>
      <c r="E2113" s="1009">
        <v>28700000</v>
      </c>
      <c r="F2113" s="1007" t="s">
        <v>2561</v>
      </c>
      <c r="O2113" s="1007" t="s">
        <v>648</v>
      </c>
      <c r="P2113" s="1007" t="s">
        <v>648</v>
      </c>
      <c r="S2113" s="1008" t="s">
        <v>657</v>
      </c>
      <c r="T2113" s="1008" t="s">
        <v>675</v>
      </c>
      <c r="U2113" s="1008" t="s">
        <v>649</v>
      </c>
      <c r="V2113" s="1008" t="s">
        <v>648</v>
      </c>
      <c r="W2113" s="1008" t="s">
        <v>546</v>
      </c>
      <c r="X2113" s="1008"/>
      <c r="Y2113" s="1008"/>
      <c r="Z2113" s="1008"/>
      <c r="AA2113" s="1008"/>
      <c r="AB2113" s="1008"/>
      <c r="AC2113" s="1008"/>
      <c r="AD2113" s="1008"/>
      <c r="AE2113" s="1008"/>
      <c r="AF2113" s="1008"/>
      <c r="AG2113" s="1008"/>
      <c r="AH2113" s="1008"/>
      <c r="AI2113" s="1008"/>
    </row>
    <row r="2114" spans="1:35">
      <c r="A2114" s="1008">
        <v>27630</v>
      </c>
      <c r="C2114" s="1008">
        <v>6</v>
      </c>
      <c r="D2114" s="1009">
        <v>28710999</v>
      </c>
      <c r="E2114" s="1009">
        <v>28710000</v>
      </c>
      <c r="F2114" s="1007" t="s">
        <v>2560</v>
      </c>
      <c r="O2114" s="1007" t="s">
        <v>648</v>
      </c>
      <c r="P2114" s="1007" t="s">
        <v>648</v>
      </c>
      <c r="S2114" s="1008" t="s">
        <v>657</v>
      </c>
      <c r="T2114" s="1008" t="s">
        <v>675</v>
      </c>
      <c r="U2114" s="1008" t="s">
        <v>649</v>
      </c>
      <c r="V2114" s="1008" t="s">
        <v>648</v>
      </c>
      <c r="W2114" s="1008" t="s">
        <v>546</v>
      </c>
      <c r="X2114" s="1008"/>
      <c r="Y2114" s="1008"/>
      <c r="Z2114" s="1008"/>
      <c r="AA2114" s="1008"/>
      <c r="AB2114" s="1008"/>
      <c r="AC2114" s="1008"/>
      <c r="AD2114" s="1008"/>
      <c r="AE2114" s="1008"/>
      <c r="AF2114" s="1008"/>
      <c r="AG2114" s="1008"/>
      <c r="AH2114" s="1008"/>
      <c r="AI2114" s="1008"/>
    </row>
    <row r="2115" spans="1:35">
      <c r="A2115" s="1008">
        <v>27635</v>
      </c>
      <c r="B2115" s="1008">
        <v>6469</v>
      </c>
      <c r="C2115" s="1008">
        <v>7</v>
      </c>
      <c r="D2115" s="1009">
        <v>28710999</v>
      </c>
      <c r="E2115" s="1009">
        <v>28710100</v>
      </c>
      <c r="F2115" s="1007" t="s">
        <v>2559</v>
      </c>
      <c r="G2115" s="1007">
        <v>8</v>
      </c>
      <c r="H2115" s="1010">
        <v>99999999</v>
      </c>
      <c r="I2115" s="1009">
        <v>28710100</v>
      </c>
      <c r="J2115" s="1007" t="s">
        <v>2559</v>
      </c>
      <c r="O2115" s="1007" t="s">
        <v>648</v>
      </c>
      <c r="P2115" s="1007" t="s">
        <v>648</v>
      </c>
      <c r="S2115" s="1008" t="s">
        <v>657</v>
      </c>
      <c r="T2115" s="1008" t="s">
        <v>654</v>
      </c>
      <c r="U2115" s="1008" t="s">
        <v>649</v>
      </c>
      <c r="V2115" s="1008" t="s">
        <v>648</v>
      </c>
      <c r="W2115" s="1008" t="s">
        <v>546</v>
      </c>
      <c r="X2115" s="1008" t="s">
        <v>670</v>
      </c>
      <c r="Y2115" s="1008" t="s">
        <v>670</v>
      </c>
      <c r="Z2115" s="1008"/>
      <c r="AA2115" s="1008" t="s">
        <v>670</v>
      </c>
      <c r="AB2115" s="1008"/>
      <c r="AC2115" s="1008"/>
      <c r="AD2115" s="1008"/>
      <c r="AE2115" s="1008"/>
      <c r="AF2115" s="1008" t="s">
        <v>670</v>
      </c>
      <c r="AG2115" s="1008"/>
      <c r="AH2115" s="1008"/>
      <c r="AI2115" s="1008"/>
    </row>
    <row r="2116" spans="1:35">
      <c r="A2116" s="1008">
        <v>27640</v>
      </c>
      <c r="B2116" s="1008">
        <v>6472</v>
      </c>
      <c r="C2116" s="1008">
        <v>7</v>
      </c>
      <c r="D2116" s="1009">
        <v>28710999</v>
      </c>
      <c r="E2116" s="1009">
        <v>28710102</v>
      </c>
      <c r="F2116" s="1007" t="s">
        <v>2558</v>
      </c>
      <c r="G2116" s="1007">
        <v>8</v>
      </c>
      <c r="H2116" s="1010">
        <v>99999999</v>
      </c>
      <c r="I2116" s="1009">
        <v>28710102</v>
      </c>
      <c r="J2116" s="1007" t="s">
        <v>2557</v>
      </c>
      <c r="O2116" s="1007" t="s">
        <v>648</v>
      </c>
      <c r="P2116" s="1007" t="s">
        <v>648</v>
      </c>
      <c r="S2116" s="1008" t="s">
        <v>657</v>
      </c>
      <c r="T2116" s="1008" t="s">
        <v>654</v>
      </c>
      <c r="U2116" s="1008" t="s">
        <v>649</v>
      </c>
      <c r="V2116" s="1008" t="s">
        <v>648</v>
      </c>
      <c r="W2116" s="1008" t="s">
        <v>546</v>
      </c>
      <c r="X2116" s="1008" t="s">
        <v>670</v>
      </c>
      <c r="Y2116" s="1008" t="s">
        <v>670</v>
      </c>
      <c r="Z2116" s="1008"/>
      <c r="AA2116" s="1008" t="s">
        <v>670</v>
      </c>
      <c r="AB2116" s="1008"/>
      <c r="AC2116" s="1008"/>
      <c r="AD2116" s="1008"/>
      <c r="AE2116" s="1008"/>
      <c r="AF2116" s="1008" t="s">
        <v>670</v>
      </c>
      <c r="AG2116" s="1008"/>
      <c r="AH2116" s="1008"/>
      <c r="AI2116" s="1008"/>
    </row>
    <row r="2117" spans="1:35">
      <c r="A2117" s="1008">
        <v>27720</v>
      </c>
      <c r="B2117" s="1008">
        <v>6542</v>
      </c>
      <c r="C2117" s="1008">
        <v>7</v>
      </c>
      <c r="D2117" s="1009">
        <v>28710999</v>
      </c>
      <c r="E2117" s="1009">
        <v>28710103</v>
      </c>
      <c r="F2117" s="1007" t="s">
        <v>2556</v>
      </c>
      <c r="G2117" s="1007">
        <v>8</v>
      </c>
      <c r="H2117" s="1010">
        <v>99999999</v>
      </c>
      <c r="I2117" s="1009">
        <v>28710103</v>
      </c>
      <c r="J2117" s="1007" t="s">
        <v>2555</v>
      </c>
      <c r="O2117" s="1007" t="s">
        <v>648</v>
      </c>
      <c r="P2117" s="1007" t="s">
        <v>648</v>
      </c>
      <c r="S2117" s="1008" t="s">
        <v>657</v>
      </c>
      <c r="T2117" s="1008" t="s">
        <v>654</v>
      </c>
      <c r="U2117" s="1008" t="s">
        <v>649</v>
      </c>
      <c r="V2117" s="1008" t="s">
        <v>648</v>
      </c>
      <c r="W2117" s="1008" t="s">
        <v>546</v>
      </c>
      <c r="X2117" s="1008" t="s">
        <v>670</v>
      </c>
      <c r="Y2117" s="1008" t="s">
        <v>670</v>
      </c>
      <c r="Z2117" s="1008"/>
      <c r="AA2117" s="1008" t="s">
        <v>670</v>
      </c>
      <c r="AB2117" s="1008"/>
      <c r="AC2117" s="1008"/>
      <c r="AD2117" s="1008"/>
      <c r="AE2117" s="1008"/>
      <c r="AF2117" s="1008" t="s">
        <v>670</v>
      </c>
      <c r="AG2117" s="1008"/>
      <c r="AH2117" s="1008"/>
      <c r="AI2117" s="1008"/>
    </row>
    <row r="2118" spans="1:35">
      <c r="A2118" s="1008">
        <v>27683</v>
      </c>
      <c r="B2118" s="1008">
        <v>6509</v>
      </c>
      <c r="C2118" s="1008">
        <v>7</v>
      </c>
      <c r="D2118" s="1009">
        <v>28710999</v>
      </c>
      <c r="E2118" s="1009">
        <v>28710104</v>
      </c>
      <c r="F2118" s="1007" t="s">
        <v>2554</v>
      </c>
      <c r="G2118" s="1007" t="s">
        <v>648</v>
      </c>
      <c r="H2118" s="1010">
        <v>99999999</v>
      </c>
      <c r="I2118" s="1009">
        <v>28710104</v>
      </c>
      <c r="J2118" s="1007" t="s">
        <v>2553</v>
      </c>
      <c r="O2118" s="1007" t="s">
        <v>648</v>
      </c>
      <c r="P2118" s="1007" t="s">
        <v>648</v>
      </c>
      <c r="S2118" s="1008" t="s">
        <v>657</v>
      </c>
      <c r="T2118" s="1008" t="s">
        <v>654</v>
      </c>
      <c r="U2118" s="1008" t="s">
        <v>649</v>
      </c>
      <c r="V2118" s="1008" t="s">
        <v>648</v>
      </c>
      <c r="W2118" s="1008" t="s">
        <v>546</v>
      </c>
      <c r="X2118" s="1008" t="s">
        <v>670</v>
      </c>
      <c r="Y2118" s="1008" t="s">
        <v>670</v>
      </c>
      <c r="Z2118" s="1008"/>
      <c r="AA2118" s="1008" t="s">
        <v>670</v>
      </c>
      <c r="AB2118" s="1008"/>
      <c r="AC2118" s="1008"/>
      <c r="AD2118" s="1008"/>
      <c r="AE2118" s="1008"/>
      <c r="AF2118" s="1008" t="s">
        <v>670</v>
      </c>
      <c r="AG2118" s="1008"/>
      <c r="AH2118" s="1008"/>
      <c r="AI2118" s="1008"/>
    </row>
    <row r="2119" spans="1:35">
      <c r="A2119" s="1008">
        <v>27693</v>
      </c>
      <c r="B2119" s="1008">
        <v>6517</v>
      </c>
      <c r="C2119" s="1008">
        <v>7</v>
      </c>
      <c r="D2119" s="1009">
        <v>28710999</v>
      </c>
      <c r="E2119" s="1009">
        <v>28710105</v>
      </c>
      <c r="F2119" s="1007" t="s">
        <v>2552</v>
      </c>
      <c r="G2119" s="1007">
        <v>8</v>
      </c>
      <c r="H2119" s="1010">
        <v>99999999</v>
      </c>
      <c r="I2119" s="1009">
        <v>28710105</v>
      </c>
      <c r="J2119" s="1007" t="s">
        <v>2552</v>
      </c>
      <c r="O2119" s="1007" t="s">
        <v>648</v>
      </c>
      <c r="P2119" s="1007" t="s">
        <v>648</v>
      </c>
      <c r="S2119" s="1008" t="s">
        <v>657</v>
      </c>
      <c r="T2119" s="1008" t="s">
        <v>654</v>
      </c>
      <c r="U2119" s="1008" t="s">
        <v>649</v>
      </c>
      <c r="V2119" s="1008" t="s">
        <v>648</v>
      </c>
      <c r="W2119" s="1008" t="s">
        <v>546</v>
      </c>
      <c r="X2119" s="1008" t="s">
        <v>670</v>
      </c>
      <c r="Y2119" s="1008" t="s">
        <v>670</v>
      </c>
      <c r="Z2119" s="1008"/>
      <c r="AA2119" s="1008" t="s">
        <v>670</v>
      </c>
      <c r="AB2119" s="1008"/>
      <c r="AC2119" s="1008"/>
      <c r="AD2119" s="1008"/>
      <c r="AE2119" s="1008"/>
      <c r="AF2119" s="1008" t="s">
        <v>670</v>
      </c>
      <c r="AG2119" s="1008"/>
      <c r="AH2119" s="1008"/>
      <c r="AI2119" s="1008"/>
    </row>
    <row r="2120" spans="1:35">
      <c r="A2120" s="1008">
        <v>27684</v>
      </c>
      <c r="B2120" s="1008">
        <v>6510</v>
      </c>
      <c r="C2120" s="1008">
        <v>7</v>
      </c>
      <c r="D2120" s="1009">
        <v>28710999</v>
      </c>
      <c r="E2120" s="1009">
        <v>28710106</v>
      </c>
      <c r="F2120" s="1007" t="s">
        <v>2551</v>
      </c>
      <c r="G2120" s="1007" t="s">
        <v>648</v>
      </c>
      <c r="H2120" s="1010">
        <v>99999999</v>
      </c>
      <c r="I2120" s="1009">
        <v>28710106</v>
      </c>
      <c r="J2120" s="1007" t="s">
        <v>2550</v>
      </c>
      <c r="O2120" s="1007" t="s">
        <v>648</v>
      </c>
      <c r="P2120" s="1007" t="s">
        <v>648</v>
      </c>
      <c r="S2120" s="1008" t="s">
        <v>657</v>
      </c>
      <c r="T2120" s="1008" t="s">
        <v>654</v>
      </c>
      <c r="U2120" s="1008" t="s">
        <v>649</v>
      </c>
      <c r="V2120" s="1008" t="s">
        <v>648</v>
      </c>
      <c r="W2120" s="1008" t="s">
        <v>546</v>
      </c>
      <c r="X2120" s="1008" t="s">
        <v>670</v>
      </c>
      <c r="Y2120" s="1008" t="s">
        <v>670</v>
      </c>
      <c r="Z2120" s="1008"/>
      <c r="AA2120" s="1008" t="s">
        <v>670</v>
      </c>
      <c r="AB2120" s="1008"/>
      <c r="AC2120" s="1008"/>
      <c r="AD2120" s="1008"/>
      <c r="AE2120" s="1008"/>
      <c r="AF2120" s="1008" t="s">
        <v>670</v>
      </c>
      <c r="AG2120" s="1008"/>
      <c r="AH2120" s="1008"/>
      <c r="AI2120" s="1008"/>
    </row>
    <row r="2121" spans="1:35">
      <c r="A2121" s="1008">
        <v>27721</v>
      </c>
      <c r="B2121" s="1008">
        <v>6543</v>
      </c>
      <c r="C2121" s="1008">
        <v>7</v>
      </c>
      <c r="D2121" s="1009">
        <v>28710999</v>
      </c>
      <c r="E2121" s="1009">
        <v>28710107</v>
      </c>
      <c r="F2121" s="1007" t="s">
        <v>2549</v>
      </c>
      <c r="G2121" s="1007">
        <v>8</v>
      </c>
      <c r="H2121" s="1010">
        <v>99999999</v>
      </c>
      <c r="I2121" s="1009">
        <v>28710107</v>
      </c>
      <c r="J2121" s="1007" t="s">
        <v>2549</v>
      </c>
      <c r="O2121" s="1007" t="s">
        <v>648</v>
      </c>
      <c r="P2121" s="1007" t="s">
        <v>648</v>
      </c>
      <c r="S2121" s="1008" t="s">
        <v>657</v>
      </c>
      <c r="T2121" s="1008" t="s">
        <v>654</v>
      </c>
      <c r="U2121" s="1008" t="s">
        <v>649</v>
      </c>
      <c r="V2121" s="1008" t="s">
        <v>648</v>
      </c>
      <c r="W2121" s="1008" t="s">
        <v>546</v>
      </c>
      <c r="X2121" s="1008" t="s">
        <v>670</v>
      </c>
      <c r="Y2121" s="1008" t="s">
        <v>670</v>
      </c>
      <c r="Z2121" s="1008"/>
      <c r="AA2121" s="1008" t="s">
        <v>670</v>
      </c>
      <c r="AB2121" s="1008"/>
      <c r="AC2121" s="1008"/>
      <c r="AD2121" s="1008"/>
      <c r="AE2121" s="1008"/>
      <c r="AF2121" s="1008" t="s">
        <v>670</v>
      </c>
      <c r="AG2121" s="1008"/>
      <c r="AH2121" s="1008"/>
      <c r="AI2121" s="1008"/>
    </row>
    <row r="2122" spans="1:35">
      <c r="A2122" s="1008">
        <v>27711</v>
      </c>
      <c r="B2122" s="1008">
        <v>6533</v>
      </c>
      <c r="C2122" s="1008">
        <v>7</v>
      </c>
      <c r="D2122" s="1009">
        <v>28710999</v>
      </c>
      <c r="E2122" s="1009">
        <v>28710108</v>
      </c>
      <c r="F2122" s="1007" t="s">
        <v>2548</v>
      </c>
      <c r="G2122" s="1007">
        <v>8</v>
      </c>
      <c r="H2122" s="1010">
        <v>99999999</v>
      </c>
      <c r="I2122" s="1009">
        <v>28710108</v>
      </c>
      <c r="J2122" s="1007" t="s">
        <v>2547</v>
      </c>
      <c r="O2122" s="1007" t="s">
        <v>648</v>
      </c>
      <c r="P2122" s="1007" t="s">
        <v>648</v>
      </c>
      <c r="S2122" s="1008" t="s">
        <v>657</v>
      </c>
      <c r="T2122" s="1008" t="s">
        <v>654</v>
      </c>
      <c r="U2122" s="1008" t="s">
        <v>649</v>
      </c>
      <c r="V2122" s="1008" t="s">
        <v>648</v>
      </c>
      <c r="W2122" s="1008" t="s">
        <v>546</v>
      </c>
      <c r="X2122" s="1008" t="s">
        <v>670</v>
      </c>
      <c r="Y2122" s="1008" t="s">
        <v>670</v>
      </c>
      <c r="Z2122" s="1008"/>
      <c r="AA2122" s="1008" t="s">
        <v>670</v>
      </c>
      <c r="AB2122" s="1008"/>
      <c r="AC2122" s="1008"/>
      <c r="AD2122" s="1008"/>
      <c r="AE2122" s="1008"/>
      <c r="AF2122" s="1008" t="s">
        <v>670</v>
      </c>
      <c r="AG2122" s="1008"/>
      <c r="AH2122" s="1008"/>
      <c r="AI2122" s="1008"/>
    </row>
    <row r="2123" spans="1:35">
      <c r="A2123" s="1008">
        <v>27815</v>
      </c>
      <c r="B2123" s="1008">
        <v>6620</v>
      </c>
      <c r="C2123" s="1008">
        <v>7</v>
      </c>
      <c r="D2123" s="1009">
        <v>28710999</v>
      </c>
      <c r="E2123" s="1009">
        <v>28710200</v>
      </c>
      <c r="F2123" s="1007" t="s">
        <v>2546</v>
      </c>
      <c r="G2123" s="1007">
        <v>8</v>
      </c>
      <c r="H2123" s="1010">
        <v>99999999</v>
      </c>
      <c r="I2123" s="1009">
        <v>28710200</v>
      </c>
      <c r="J2123" s="1007" t="s">
        <v>2546</v>
      </c>
      <c r="O2123" s="1007" t="s">
        <v>648</v>
      </c>
      <c r="P2123" s="1007" t="s">
        <v>648</v>
      </c>
      <c r="S2123" s="1008" t="s">
        <v>657</v>
      </c>
      <c r="T2123" s="1008" t="s">
        <v>654</v>
      </c>
      <c r="U2123" s="1008" t="s">
        <v>649</v>
      </c>
      <c r="V2123" s="1008" t="s">
        <v>648</v>
      </c>
      <c r="W2123" s="1008" t="s">
        <v>546</v>
      </c>
      <c r="X2123" s="1008" t="s">
        <v>670</v>
      </c>
      <c r="Y2123" s="1008" t="s">
        <v>670</v>
      </c>
      <c r="Z2123" s="1008"/>
      <c r="AA2123" s="1008" t="s">
        <v>670</v>
      </c>
      <c r="AB2123" s="1008"/>
      <c r="AC2123" s="1008"/>
      <c r="AD2123" s="1008"/>
      <c r="AE2123" s="1008"/>
      <c r="AF2123" s="1008" t="s">
        <v>670</v>
      </c>
      <c r="AG2123" s="1008"/>
      <c r="AH2123" s="1008"/>
      <c r="AI2123" s="1008"/>
    </row>
    <row r="2124" spans="1:35">
      <c r="A2124" s="1008">
        <v>27722</v>
      </c>
      <c r="C2124" s="1008">
        <v>6</v>
      </c>
      <c r="D2124" s="1009">
        <v>28799999</v>
      </c>
      <c r="E2124" s="1009">
        <v>28710999</v>
      </c>
      <c r="F2124" s="1007" t="s">
        <v>2529</v>
      </c>
      <c r="O2124" s="1007" t="s">
        <v>648</v>
      </c>
      <c r="P2124" s="1007" t="s">
        <v>648</v>
      </c>
      <c r="S2124" s="1008" t="s">
        <v>657</v>
      </c>
      <c r="T2124" s="1008" t="s">
        <v>21</v>
      </c>
      <c r="U2124" s="1008" t="s">
        <v>649</v>
      </c>
      <c r="V2124" s="1008" t="s">
        <v>648</v>
      </c>
      <c r="W2124" s="1008" t="s">
        <v>546</v>
      </c>
      <c r="X2124" s="1008"/>
      <c r="Y2124" s="1008"/>
      <c r="Z2124" s="1008"/>
      <c r="AA2124" s="1008"/>
      <c r="AB2124" s="1008"/>
      <c r="AC2124" s="1008"/>
      <c r="AD2124" s="1008"/>
      <c r="AE2124" s="1008"/>
      <c r="AF2124" s="1008"/>
      <c r="AG2124" s="1008"/>
      <c r="AH2124" s="1008"/>
      <c r="AI2124" s="1008"/>
    </row>
    <row r="2125" spans="1:35">
      <c r="A2125" s="1008">
        <v>27723</v>
      </c>
      <c r="C2125" s="1008">
        <v>6</v>
      </c>
      <c r="D2125" s="1009">
        <v>28711999</v>
      </c>
      <c r="E2125" s="1009">
        <v>28711000</v>
      </c>
      <c r="F2125" s="1007" t="s">
        <v>2545</v>
      </c>
      <c r="O2125" s="1007" t="s">
        <v>648</v>
      </c>
      <c r="P2125" s="1007" t="s">
        <v>648</v>
      </c>
      <c r="S2125" s="1008" t="s">
        <v>657</v>
      </c>
      <c r="T2125" s="1008" t="s">
        <v>675</v>
      </c>
      <c r="U2125" s="1008" t="s">
        <v>649</v>
      </c>
      <c r="V2125" s="1008" t="s">
        <v>648</v>
      </c>
      <c r="W2125" s="1008" t="s">
        <v>546</v>
      </c>
      <c r="X2125" s="1008"/>
      <c r="Y2125" s="1008"/>
      <c r="Z2125" s="1008"/>
      <c r="AA2125" s="1008"/>
      <c r="AB2125" s="1008"/>
      <c r="AC2125" s="1008"/>
      <c r="AD2125" s="1008"/>
      <c r="AE2125" s="1008"/>
      <c r="AF2125" s="1008"/>
      <c r="AG2125" s="1008"/>
      <c r="AH2125" s="1008"/>
      <c r="AI2125" s="1008"/>
    </row>
    <row r="2126" spans="1:35">
      <c r="A2126" s="1008">
        <v>27636</v>
      </c>
      <c r="B2126" s="1008">
        <v>6470</v>
      </c>
      <c r="C2126" s="1008">
        <v>7</v>
      </c>
      <c r="D2126" s="1009">
        <v>28711999</v>
      </c>
      <c r="E2126" s="1009">
        <v>28711100</v>
      </c>
      <c r="F2126" s="1007" t="s">
        <v>2544</v>
      </c>
      <c r="G2126" s="1007">
        <v>8</v>
      </c>
      <c r="H2126" s="1010">
        <v>99999999</v>
      </c>
      <c r="I2126" s="1009">
        <v>28711100</v>
      </c>
      <c r="J2126" s="1007" t="s">
        <v>2544</v>
      </c>
      <c r="O2126" s="1007" t="s">
        <v>648</v>
      </c>
      <c r="P2126" s="1007" t="s">
        <v>648</v>
      </c>
      <c r="S2126" s="1008" t="s">
        <v>657</v>
      </c>
      <c r="T2126" s="1008" t="s">
        <v>654</v>
      </c>
      <c r="U2126" s="1008" t="s">
        <v>649</v>
      </c>
      <c r="V2126" s="1008" t="s">
        <v>648</v>
      </c>
      <c r="W2126" s="1008" t="s">
        <v>546</v>
      </c>
      <c r="X2126" s="1008" t="s">
        <v>670</v>
      </c>
      <c r="Y2126" s="1008" t="s">
        <v>670</v>
      </c>
      <c r="Z2126" s="1008"/>
      <c r="AA2126" s="1008" t="s">
        <v>670</v>
      </c>
      <c r="AB2126" s="1008"/>
      <c r="AC2126" s="1008"/>
      <c r="AD2126" s="1008"/>
      <c r="AE2126" s="1008"/>
      <c r="AF2126" s="1008" t="s">
        <v>670</v>
      </c>
      <c r="AG2126" s="1008"/>
      <c r="AH2126" s="1008"/>
      <c r="AI2126" s="1008"/>
    </row>
    <row r="2127" spans="1:35">
      <c r="A2127" s="1008">
        <v>27641</v>
      </c>
      <c r="B2127" s="1008">
        <v>6473</v>
      </c>
      <c r="C2127" s="1008">
        <v>7</v>
      </c>
      <c r="D2127" s="1009">
        <v>28711999</v>
      </c>
      <c r="E2127" s="1009">
        <v>28711102</v>
      </c>
      <c r="F2127" s="1007" t="s">
        <v>2543</v>
      </c>
      <c r="G2127" s="1007">
        <v>8</v>
      </c>
      <c r="H2127" s="1010">
        <v>99999999</v>
      </c>
      <c r="I2127" s="1009">
        <v>28711102</v>
      </c>
      <c r="J2127" s="1007" t="s">
        <v>2542</v>
      </c>
      <c r="O2127" s="1007" t="s">
        <v>648</v>
      </c>
      <c r="P2127" s="1007" t="s">
        <v>648</v>
      </c>
      <c r="S2127" s="1008" t="s">
        <v>657</v>
      </c>
      <c r="T2127" s="1008" t="s">
        <v>654</v>
      </c>
      <c r="U2127" s="1008" t="s">
        <v>649</v>
      </c>
      <c r="V2127" s="1008" t="s">
        <v>648</v>
      </c>
      <c r="W2127" s="1008" t="s">
        <v>546</v>
      </c>
      <c r="X2127" s="1008" t="s">
        <v>670</v>
      </c>
      <c r="Y2127" s="1008" t="s">
        <v>670</v>
      </c>
      <c r="Z2127" s="1008"/>
      <c r="AA2127" s="1008" t="s">
        <v>670</v>
      </c>
      <c r="AB2127" s="1008"/>
      <c r="AC2127" s="1008"/>
      <c r="AD2127" s="1008"/>
      <c r="AE2127" s="1008"/>
      <c r="AF2127" s="1008" t="s">
        <v>670</v>
      </c>
      <c r="AG2127" s="1008"/>
      <c r="AH2127" s="1008"/>
      <c r="AI2127" s="1008"/>
    </row>
    <row r="2128" spans="1:35">
      <c r="A2128" s="1008">
        <v>27725</v>
      </c>
      <c r="B2128" s="1008">
        <v>6544</v>
      </c>
      <c r="C2128" s="1008">
        <v>7</v>
      </c>
      <c r="D2128" s="1009">
        <v>28711999</v>
      </c>
      <c r="E2128" s="1009">
        <v>28711103</v>
      </c>
      <c r="F2128" s="1007" t="s">
        <v>2541</v>
      </c>
      <c r="G2128" s="1007">
        <v>7</v>
      </c>
      <c r="H2128" s="1010">
        <v>99999999</v>
      </c>
      <c r="I2128" s="1009">
        <v>28711103</v>
      </c>
      <c r="J2128" s="1007" t="s">
        <v>2540</v>
      </c>
      <c r="O2128" s="1007" t="s">
        <v>648</v>
      </c>
      <c r="P2128" s="1007" t="s">
        <v>648</v>
      </c>
      <c r="S2128" s="1008" t="s">
        <v>657</v>
      </c>
      <c r="T2128" s="1008" t="s">
        <v>654</v>
      </c>
      <c r="U2128" s="1008" t="s">
        <v>649</v>
      </c>
      <c r="V2128" s="1008" t="s">
        <v>648</v>
      </c>
      <c r="W2128" s="1008" t="s">
        <v>546</v>
      </c>
      <c r="X2128" s="1008" t="s">
        <v>670</v>
      </c>
      <c r="Y2128" s="1008" t="s">
        <v>670</v>
      </c>
      <c r="Z2128" s="1008"/>
      <c r="AA2128" s="1008" t="s">
        <v>670</v>
      </c>
      <c r="AB2128" s="1008"/>
      <c r="AC2128" s="1008"/>
      <c r="AD2128" s="1008"/>
      <c r="AE2128" s="1008"/>
      <c r="AF2128" s="1008" t="s">
        <v>670</v>
      </c>
      <c r="AG2128" s="1008"/>
      <c r="AH2128" s="1008"/>
      <c r="AI2128" s="1008"/>
    </row>
    <row r="2129" spans="1:35">
      <c r="A2129" s="1008">
        <v>27685</v>
      </c>
      <c r="B2129" s="1008">
        <v>6511</v>
      </c>
      <c r="C2129" s="1008">
        <v>7</v>
      </c>
      <c r="D2129" s="1009">
        <v>28711999</v>
      </c>
      <c r="E2129" s="1009">
        <v>28711104</v>
      </c>
      <c r="F2129" s="1007" t="s">
        <v>2539</v>
      </c>
      <c r="G2129" s="1007" t="s">
        <v>648</v>
      </c>
      <c r="H2129" s="1010">
        <v>99999999</v>
      </c>
      <c r="I2129" s="1009">
        <v>28711104</v>
      </c>
      <c r="J2129" s="1007" t="s">
        <v>2538</v>
      </c>
      <c r="O2129" s="1007" t="s">
        <v>648</v>
      </c>
      <c r="P2129" s="1007" t="s">
        <v>648</v>
      </c>
      <c r="S2129" s="1008" t="s">
        <v>657</v>
      </c>
      <c r="T2129" s="1008" t="s">
        <v>654</v>
      </c>
      <c r="U2129" s="1008" t="s">
        <v>649</v>
      </c>
      <c r="V2129" s="1008" t="s">
        <v>648</v>
      </c>
      <c r="W2129" s="1008" t="s">
        <v>546</v>
      </c>
      <c r="X2129" s="1008" t="s">
        <v>670</v>
      </c>
      <c r="Y2129" s="1008" t="s">
        <v>670</v>
      </c>
      <c r="Z2129" s="1008"/>
      <c r="AA2129" s="1008" t="s">
        <v>670</v>
      </c>
      <c r="AB2129" s="1008"/>
      <c r="AC2129" s="1008"/>
      <c r="AD2129" s="1008"/>
      <c r="AE2129" s="1008"/>
      <c r="AF2129" s="1008" t="s">
        <v>670</v>
      </c>
      <c r="AG2129" s="1008"/>
      <c r="AH2129" s="1008"/>
      <c r="AI2129" s="1008"/>
    </row>
    <row r="2130" spans="1:35">
      <c r="A2130" s="1008">
        <v>27694</v>
      </c>
      <c r="B2130" s="1008">
        <v>6518</v>
      </c>
      <c r="C2130" s="1008">
        <v>7</v>
      </c>
      <c r="D2130" s="1009">
        <v>28711999</v>
      </c>
      <c r="E2130" s="1009">
        <v>28711105</v>
      </c>
      <c r="F2130" s="1007" t="s">
        <v>2537</v>
      </c>
      <c r="G2130" s="1007">
        <v>8</v>
      </c>
      <c r="H2130" s="1010">
        <v>99999999</v>
      </c>
      <c r="I2130" s="1009">
        <v>28711105</v>
      </c>
      <c r="J2130" s="1007" t="s">
        <v>2537</v>
      </c>
      <c r="O2130" s="1007" t="s">
        <v>648</v>
      </c>
      <c r="P2130" s="1007" t="s">
        <v>648</v>
      </c>
      <c r="S2130" s="1008" t="s">
        <v>657</v>
      </c>
      <c r="T2130" s="1008" t="s">
        <v>654</v>
      </c>
      <c r="U2130" s="1008" t="s">
        <v>649</v>
      </c>
      <c r="V2130" s="1008" t="s">
        <v>648</v>
      </c>
      <c r="W2130" s="1008" t="s">
        <v>546</v>
      </c>
      <c r="X2130" s="1008" t="s">
        <v>670</v>
      </c>
      <c r="Y2130" s="1008" t="s">
        <v>670</v>
      </c>
      <c r="Z2130" s="1008"/>
      <c r="AA2130" s="1008" t="s">
        <v>670</v>
      </c>
      <c r="AB2130" s="1008"/>
      <c r="AC2130" s="1008"/>
      <c r="AD2130" s="1008"/>
      <c r="AE2130" s="1008"/>
      <c r="AF2130" s="1008" t="s">
        <v>670</v>
      </c>
      <c r="AG2130" s="1008"/>
      <c r="AH2130" s="1008"/>
      <c r="AI2130" s="1008"/>
    </row>
    <row r="2131" spans="1:35">
      <c r="A2131" s="1008">
        <v>27686</v>
      </c>
      <c r="B2131" s="1008">
        <v>6512</v>
      </c>
      <c r="C2131" s="1008">
        <v>7</v>
      </c>
      <c r="D2131" s="1009">
        <v>28711999</v>
      </c>
      <c r="E2131" s="1009">
        <v>28711106</v>
      </c>
      <c r="F2131" s="1007" t="s">
        <v>2536</v>
      </c>
      <c r="G2131" s="1007" t="s">
        <v>648</v>
      </c>
      <c r="H2131" s="1010">
        <v>99999999</v>
      </c>
      <c r="I2131" s="1009">
        <v>28711106</v>
      </c>
      <c r="J2131" s="1007" t="s">
        <v>2535</v>
      </c>
      <c r="O2131" s="1007" t="s">
        <v>648</v>
      </c>
      <c r="P2131" s="1007" t="s">
        <v>648</v>
      </c>
      <c r="S2131" s="1008" t="s">
        <v>657</v>
      </c>
      <c r="T2131" s="1008" t="s">
        <v>654</v>
      </c>
      <c r="U2131" s="1008" t="s">
        <v>649</v>
      </c>
      <c r="V2131" s="1008" t="s">
        <v>648</v>
      </c>
      <c r="W2131" s="1008" t="s">
        <v>546</v>
      </c>
      <c r="X2131" s="1008" t="s">
        <v>670</v>
      </c>
      <c r="Y2131" s="1008" t="s">
        <v>670</v>
      </c>
      <c r="Z2131" s="1008"/>
      <c r="AA2131" s="1008" t="s">
        <v>670</v>
      </c>
      <c r="AB2131" s="1008"/>
      <c r="AC2131" s="1008"/>
      <c r="AD2131" s="1008"/>
      <c r="AE2131" s="1008"/>
      <c r="AF2131" s="1008" t="s">
        <v>670</v>
      </c>
      <c r="AG2131" s="1008"/>
      <c r="AH2131" s="1008"/>
      <c r="AI2131" s="1008"/>
    </row>
    <row r="2132" spans="1:35">
      <c r="A2132" s="1008">
        <v>27726</v>
      </c>
      <c r="B2132" s="1008">
        <v>6545</v>
      </c>
      <c r="C2132" s="1008">
        <v>7</v>
      </c>
      <c r="D2132" s="1009">
        <v>28711999</v>
      </c>
      <c r="E2132" s="1009">
        <v>28711107</v>
      </c>
      <c r="F2132" s="1007" t="s">
        <v>2534</v>
      </c>
      <c r="G2132" s="1007">
        <v>7</v>
      </c>
      <c r="H2132" s="1010">
        <v>99999999</v>
      </c>
      <c r="I2132" s="1009">
        <v>28711107</v>
      </c>
      <c r="J2132" s="1007" t="s">
        <v>2533</v>
      </c>
      <c r="O2132" s="1007" t="s">
        <v>648</v>
      </c>
      <c r="P2132" s="1007" t="s">
        <v>648</v>
      </c>
      <c r="S2132" s="1008" t="s">
        <v>657</v>
      </c>
      <c r="T2132" s="1008" t="s">
        <v>654</v>
      </c>
      <c r="U2132" s="1008" t="s">
        <v>649</v>
      </c>
      <c r="V2132" s="1008" t="s">
        <v>648</v>
      </c>
      <c r="W2132" s="1008" t="s">
        <v>546</v>
      </c>
      <c r="X2132" s="1008" t="s">
        <v>670</v>
      </c>
      <c r="Y2132" s="1008" t="s">
        <v>670</v>
      </c>
      <c r="Z2132" s="1008"/>
      <c r="AA2132" s="1008" t="s">
        <v>670</v>
      </c>
      <c r="AB2132" s="1008"/>
      <c r="AC2132" s="1008"/>
      <c r="AD2132" s="1008"/>
      <c r="AE2132" s="1008"/>
      <c r="AF2132" s="1008" t="s">
        <v>670</v>
      </c>
      <c r="AG2132" s="1008"/>
      <c r="AH2132" s="1008"/>
      <c r="AI2132" s="1008"/>
    </row>
    <row r="2133" spans="1:35">
      <c r="A2133" s="1008">
        <v>27712</v>
      </c>
      <c r="B2133" s="1008">
        <v>6534</v>
      </c>
      <c r="C2133" s="1008">
        <v>7</v>
      </c>
      <c r="D2133" s="1009">
        <v>28711999</v>
      </c>
      <c r="E2133" s="1009">
        <v>28711108</v>
      </c>
      <c r="F2133" s="1007" t="s">
        <v>2532</v>
      </c>
      <c r="G2133" s="1007">
        <v>8</v>
      </c>
      <c r="H2133" s="1010">
        <v>99999999</v>
      </c>
      <c r="I2133" s="1009">
        <v>28711108</v>
      </c>
      <c r="J2133" s="1007" t="s">
        <v>2532</v>
      </c>
      <c r="O2133" s="1007" t="s">
        <v>648</v>
      </c>
      <c r="P2133" s="1007" t="s">
        <v>648</v>
      </c>
      <c r="S2133" s="1008" t="s">
        <v>657</v>
      </c>
      <c r="T2133" s="1008" t="s">
        <v>654</v>
      </c>
      <c r="U2133" s="1008" t="s">
        <v>649</v>
      </c>
      <c r="V2133" s="1008" t="s">
        <v>648</v>
      </c>
      <c r="W2133" s="1008" t="s">
        <v>546</v>
      </c>
      <c r="X2133" s="1008" t="s">
        <v>670</v>
      </c>
      <c r="Y2133" s="1008" t="s">
        <v>670</v>
      </c>
      <c r="Z2133" s="1008"/>
      <c r="AA2133" s="1008" t="s">
        <v>670</v>
      </c>
      <c r="AB2133" s="1008"/>
      <c r="AC2133" s="1008"/>
      <c r="AD2133" s="1008"/>
      <c r="AE2133" s="1008"/>
      <c r="AF2133" s="1008" t="s">
        <v>670</v>
      </c>
      <c r="AG2133" s="1008"/>
      <c r="AH2133" s="1008"/>
      <c r="AI2133" s="1008"/>
    </row>
    <row r="2134" spans="1:35">
      <c r="A2134" s="1008">
        <v>27802</v>
      </c>
      <c r="B2134" s="1008">
        <v>6601</v>
      </c>
      <c r="C2134" s="1008">
        <v>7</v>
      </c>
      <c r="D2134" s="1009">
        <v>28711999</v>
      </c>
      <c r="E2134" s="1009">
        <v>28711109</v>
      </c>
      <c r="F2134" s="1007" t="s">
        <v>2531</v>
      </c>
      <c r="G2134" s="1007" t="s">
        <v>648</v>
      </c>
      <c r="H2134" s="1010">
        <v>99999999</v>
      </c>
      <c r="I2134" s="1009">
        <v>28711109</v>
      </c>
      <c r="J2134" s="1007" t="s">
        <v>2531</v>
      </c>
      <c r="O2134" s="1007" t="s">
        <v>648</v>
      </c>
      <c r="P2134" s="1007" t="s">
        <v>648</v>
      </c>
      <c r="S2134" s="1008" t="s">
        <v>657</v>
      </c>
      <c r="T2134" s="1008" t="s">
        <v>654</v>
      </c>
      <c r="U2134" s="1008" t="s">
        <v>649</v>
      </c>
      <c r="V2134" s="1008" t="s">
        <v>648</v>
      </c>
      <c r="W2134" s="1008" t="s">
        <v>546</v>
      </c>
      <c r="X2134" s="1008" t="s">
        <v>670</v>
      </c>
      <c r="Y2134" s="1008" t="s">
        <v>670</v>
      </c>
      <c r="Z2134" s="1008"/>
      <c r="AA2134" s="1008" t="s">
        <v>670</v>
      </c>
      <c r="AB2134" s="1008"/>
      <c r="AC2134" s="1008"/>
      <c r="AD2134" s="1008"/>
      <c r="AE2134" s="1008"/>
      <c r="AF2134" s="1008" t="s">
        <v>670</v>
      </c>
      <c r="AG2134" s="1008"/>
      <c r="AH2134" s="1008"/>
      <c r="AI2134" s="1008"/>
    </row>
    <row r="2135" spans="1:35">
      <c r="A2135" s="1008">
        <v>27724</v>
      </c>
      <c r="C2135" s="1008">
        <v>6</v>
      </c>
      <c r="D2135" s="1009">
        <v>28799999</v>
      </c>
      <c r="E2135" s="1009">
        <v>28711999</v>
      </c>
      <c r="F2135" s="1007" t="s">
        <v>2530</v>
      </c>
      <c r="O2135" s="1007" t="s">
        <v>648</v>
      </c>
      <c r="P2135" s="1007" t="s">
        <v>648</v>
      </c>
      <c r="S2135" s="1008" t="s">
        <v>657</v>
      </c>
      <c r="T2135" s="1008" t="s">
        <v>21</v>
      </c>
      <c r="U2135" s="1008" t="s">
        <v>649</v>
      </c>
      <c r="V2135" s="1008" t="s">
        <v>648</v>
      </c>
      <c r="W2135" s="1008" t="s">
        <v>546</v>
      </c>
      <c r="X2135" s="1008"/>
      <c r="Y2135" s="1008"/>
      <c r="Z2135" s="1008"/>
      <c r="AA2135" s="1008"/>
      <c r="AB2135" s="1008"/>
      <c r="AC2135" s="1008"/>
      <c r="AD2135" s="1008"/>
      <c r="AE2135" s="1008"/>
      <c r="AF2135" s="1008"/>
      <c r="AG2135" s="1008"/>
      <c r="AH2135" s="1008"/>
      <c r="AI2135" s="1008"/>
    </row>
    <row r="2136" spans="1:35">
      <c r="A2136" s="1008">
        <v>27631</v>
      </c>
      <c r="C2136" s="1008">
        <v>6</v>
      </c>
      <c r="D2136" s="1009">
        <v>28799999</v>
      </c>
      <c r="E2136" s="1009">
        <v>28719999</v>
      </c>
      <c r="F2136" s="1007" t="s">
        <v>2529</v>
      </c>
      <c r="O2136" s="1007" t="s">
        <v>648</v>
      </c>
      <c r="P2136" s="1007" t="s">
        <v>648</v>
      </c>
      <c r="S2136" s="1008" t="s">
        <v>657</v>
      </c>
      <c r="T2136" s="1008" t="s">
        <v>21</v>
      </c>
      <c r="U2136" s="1008" t="s">
        <v>649</v>
      </c>
      <c r="V2136" s="1008" t="s">
        <v>648</v>
      </c>
      <c r="W2136" s="1008" t="s">
        <v>546</v>
      </c>
      <c r="X2136" s="1008"/>
      <c r="Y2136" s="1008"/>
      <c r="Z2136" s="1008"/>
      <c r="AA2136" s="1008"/>
      <c r="AB2136" s="1008"/>
      <c r="AC2136" s="1008"/>
      <c r="AD2136" s="1008"/>
      <c r="AE2136" s="1008"/>
      <c r="AF2136" s="1008"/>
      <c r="AG2136" s="1008"/>
      <c r="AH2136" s="1008"/>
      <c r="AI2136" s="1008"/>
    </row>
    <row r="2137" spans="1:35">
      <c r="A2137" s="1008">
        <v>27789</v>
      </c>
      <c r="C2137" s="1008">
        <v>6</v>
      </c>
      <c r="D2137" s="1009">
        <v>28725999</v>
      </c>
      <c r="E2137" s="1009">
        <v>28725000</v>
      </c>
      <c r="F2137" s="1007" t="s">
        <v>2528</v>
      </c>
      <c r="O2137" s="1007" t="s">
        <v>648</v>
      </c>
      <c r="P2137" s="1007" t="s">
        <v>648</v>
      </c>
      <c r="S2137" s="1008" t="s">
        <v>657</v>
      </c>
      <c r="T2137" s="1008" t="s">
        <v>675</v>
      </c>
      <c r="U2137" s="1008" t="s">
        <v>649</v>
      </c>
      <c r="V2137" s="1008" t="s">
        <v>648</v>
      </c>
      <c r="W2137" s="1008" t="s">
        <v>546</v>
      </c>
      <c r="X2137" s="1008"/>
      <c r="Y2137" s="1008"/>
      <c r="Z2137" s="1008"/>
      <c r="AA2137" s="1008"/>
      <c r="AB2137" s="1008"/>
      <c r="AC2137" s="1008"/>
      <c r="AD2137" s="1008"/>
      <c r="AE2137" s="1008"/>
      <c r="AF2137" s="1008"/>
      <c r="AG2137" s="1008"/>
      <c r="AH2137" s="1008"/>
      <c r="AI2137" s="1008"/>
    </row>
    <row r="2138" spans="1:35">
      <c r="A2138" s="1008">
        <v>27791</v>
      </c>
      <c r="B2138" s="1008">
        <v>6592</v>
      </c>
      <c r="C2138" s="1008">
        <v>7</v>
      </c>
      <c r="D2138" s="1009">
        <v>28725999</v>
      </c>
      <c r="E2138" s="1009">
        <v>28725100</v>
      </c>
      <c r="F2138" s="1007" t="s">
        <v>2527</v>
      </c>
      <c r="G2138" s="1007">
        <v>8</v>
      </c>
      <c r="H2138" s="1010">
        <v>99999999</v>
      </c>
      <c r="I2138" s="1009">
        <v>28725100</v>
      </c>
      <c r="J2138" s="1007" t="s">
        <v>2527</v>
      </c>
      <c r="O2138" s="1007" t="s">
        <v>648</v>
      </c>
      <c r="P2138" s="1007" t="s">
        <v>648</v>
      </c>
      <c r="S2138" s="1008" t="s">
        <v>657</v>
      </c>
      <c r="T2138" s="1008" t="s">
        <v>654</v>
      </c>
      <c r="U2138" s="1008" t="s">
        <v>649</v>
      </c>
      <c r="V2138" s="1008" t="s">
        <v>648</v>
      </c>
      <c r="W2138" s="1008" t="s">
        <v>546</v>
      </c>
      <c r="X2138" s="1008" t="s">
        <v>670</v>
      </c>
      <c r="Y2138" s="1008" t="s">
        <v>670</v>
      </c>
      <c r="Z2138" s="1008"/>
      <c r="AA2138" s="1008" t="s">
        <v>670</v>
      </c>
      <c r="AB2138" s="1008"/>
      <c r="AC2138" s="1008"/>
      <c r="AD2138" s="1008"/>
      <c r="AE2138" s="1008"/>
      <c r="AF2138" s="1008" t="s">
        <v>670</v>
      </c>
      <c r="AG2138" s="1008"/>
      <c r="AH2138" s="1008"/>
      <c r="AI2138" s="1008"/>
    </row>
    <row r="2139" spans="1:35">
      <c r="A2139" s="1008">
        <v>27792</v>
      </c>
      <c r="B2139" s="1008">
        <v>6593</v>
      </c>
      <c r="C2139" s="1008">
        <v>7</v>
      </c>
      <c r="D2139" s="1009">
        <v>28725999</v>
      </c>
      <c r="E2139" s="1009">
        <v>28725101</v>
      </c>
      <c r="F2139" s="1007" t="s">
        <v>2526</v>
      </c>
      <c r="G2139" s="1007">
        <v>8</v>
      </c>
      <c r="H2139" s="1010">
        <v>99999999</v>
      </c>
      <c r="I2139" s="1009">
        <v>28725101</v>
      </c>
      <c r="J2139" s="1007" t="s">
        <v>2526</v>
      </c>
      <c r="O2139" s="1007" t="s">
        <v>648</v>
      </c>
      <c r="P2139" s="1007" t="s">
        <v>648</v>
      </c>
      <c r="S2139" s="1008" t="s">
        <v>657</v>
      </c>
      <c r="T2139" s="1008" t="s">
        <v>654</v>
      </c>
      <c r="U2139" s="1008" t="s">
        <v>649</v>
      </c>
      <c r="V2139" s="1008" t="s">
        <v>648</v>
      </c>
      <c r="W2139" s="1008" t="s">
        <v>546</v>
      </c>
      <c r="X2139" s="1008" t="s">
        <v>670</v>
      </c>
      <c r="Y2139" s="1008" t="s">
        <v>670</v>
      </c>
      <c r="Z2139" s="1008"/>
      <c r="AA2139" s="1008" t="s">
        <v>670</v>
      </c>
      <c r="AB2139" s="1008"/>
      <c r="AC2139" s="1008"/>
      <c r="AD2139" s="1008"/>
      <c r="AE2139" s="1008"/>
      <c r="AF2139" s="1008" t="s">
        <v>670</v>
      </c>
      <c r="AG2139" s="1008"/>
      <c r="AH2139" s="1008"/>
      <c r="AI2139" s="1008"/>
    </row>
    <row r="2140" spans="1:35">
      <c r="A2140" s="1008">
        <v>27793</v>
      </c>
      <c r="B2140" s="1008">
        <v>6594</v>
      </c>
      <c r="C2140" s="1008">
        <v>7</v>
      </c>
      <c r="D2140" s="1009">
        <v>28725999</v>
      </c>
      <c r="E2140" s="1009">
        <v>28725150</v>
      </c>
      <c r="F2140" s="1007" t="s">
        <v>2525</v>
      </c>
      <c r="G2140" s="1007">
        <v>8</v>
      </c>
      <c r="H2140" s="1010">
        <v>99999999</v>
      </c>
      <c r="I2140" s="1009">
        <v>28725150</v>
      </c>
      <c r="J2140" s="1007" t="s">
        <v>2525</v>
      </c>
      <c r="O2140" s="1007" t="s">
        <v>648</v>
      </c>
      <c r="P2140" s="1007" t="s">
        <v>648</v>
      </c>
      <c r="S2140" s="1008" t="s">
        <v>657</v>
      </c>
      <c r="T2140" s="1008" t="s">
        <v>654</v>
      </c>
      <c r="U2140" s="1008" t="s">
        <v>649</v>
      </c>
      <c r="V2140" s="1008" t="s">
        <v>648</v>
      </c>
      <c r="W2140" s="1008" t="s">
        <v>546</v>
      </c>
      <c r="X2140" s="1008" t="s">
        <v>670</v>
      </c>
      <c r="Y2140" s="1008" t="s">
        <v>670</v>
      </c>
      <c r="Z2140" s="1008"/>
      <c r="AA2140" s="1008" t="s">
        <v>670</v>
      </c>
      <c r="AB2140" s="1008"/>
      <c r="AC2140" s="1008"/>
      <c r="AD2140" s="1008"/>
      <c r="AE2140" s="1008"/>
      <c r="AF2140" s="1008" t="s">
        <v>670</v>
      </c>
      <c r="AG2140" s="1008"/>
      <c r="AH2140" s="1008"/>
      <c r="AI2140" s="1008"/>
    </row>
    <row r="2141" spans="1:35">
      <c r="A2141" s="1008">
        <v>27800</v>
      </c>
      <c r="B2141" s="1008">
        <v>6599</v>
      </c>
      <c r="C2141" s="1008">
        <v>7</v>
      </c>
      <c r="D2141" s="1009">
        <v>28725999</v>
      </c>
      <c r="E2141" s="1009">
        <v>28725151</v>
      </c>
      <c r="F2141" s="1007" t="s">
        <v>2524</v>
      </c>
      <c r="G2141" s="1007">
        <v>8</v>
      </c>
      <c r="H2141" s="1010">
        <v>99999999</v>
      </c>
      <c r="I2141" s="1009">
        <v>28725151</v>
      </c>
      <c r="J2141" s="1007" t="s">
        <v>2524</v>
      </c>
      <c r="O2141" s="1007" t="s">
        <v>648</v>
      </c>
      <c r="P2141" s="1007" t="s">
        <v>648</v>
      </c>
      <c r="S2141" s="1008" t="s">
        <v>657</v>
      </c>
      <c r="T2141" s="1008" t="s">
        <v>654</v>
      </c>
      <c r="U2141" s="1008" t="s">
        <v>649</v>
      </c>
      <c r="V2141" s="1008" t="s">
        <v>648</v>
      </c>
      <c r="W2141" s="1008" t="s">
        <v>546</v>
      </c>
      <c r="X2141" s="1008" t="s">
        <v>670</v>
      </c>
      <c r="Y2141" s="1008" t="s">
        <v>670</v>
      </c>
      <c r="Z2141" s="1008"/>
      <c r="AA2141" s="1008" t="s">
        <v>670</v>
      </c>
      <c r="AB2141" s="1008"/>
      <c r="AC2141" s="1008"/>
      <c r="AD2141" s="1008"/>
      <c r="AE2141" s="1008"/>
      <c r="AF2141" s="1008" t="s">
        <v>670</v>
      </c>
      <c r="AG2141" s="1008"/>
      <c r="AH2141" s="1008"/>
      <c r="AI2141" s="1008"/>
    </row>
    <row r="2142" spans="1:35">
      <c r="A2142" s="1008">
        <v>27790</v>
      </c>
      <c r="C2142" s="1008">
        <v>6</v>
      </c>
      <c r="D2142" s="1009">
        <v>28799999</v>
      </c>
      <c r="E2142" s="1009">
        <v>28725999</v>
      </c>
      <c r="F2142" s="1007" t="s">
        <v>2523</v>
      </c>
      <c r="O2142" s="1007" t="s">
        <v>648</v>
      </c>
      <c r="P2142" s="1007" t="s">
        <v>648</v>
      </c>
      <c r="S2142" s="1008" t="s">
        <v>657</v>
      </c>
      <c r="T2142" s="1008" t="s">
        <v>21</v>
      </c>
      <c r="U2142" s="1008" t="s">
        <v>649</v>
      </c>
      <c r="V2142" s="1008" t="s">
        <v>648</v>
      </c>
      <c r="W2142" s="1008" t="s">
        <v>546</v>
      </c>
      <c r="X2142" s="1008"/>
      <c r="Y2142" s="1008"/>
      <c r="Z2142" s="1008"/>
      <c r="AA2142" s="1008"/>
      <c r="AB2142" s="1008"/>
      <c r="AC2142" s="1008"/>
      <c r="AD2142" s="1008"/>
      <c r="AE2142" s="1008"/>
      <c r="AF2142" s="1008"/>
      <c r="AG2142" s="1008"/>
      <c r="AH2142" s="1008"/>
      <c r="AI2142" s="1008"/>
    </row>
    <row r="2143" spans="1:35">
      <c r="A2143" s="1008">
        <v>27638</v>
      </c>
      <c r="C2143" s="1008">
        <v>4</v>
      </c>
      <c r="D2143" s="1009">
        <v>29999999</v>
      </c>
      <c r="E2143" s="1009">
        <v>28799999</v>
      </c>
      <c r="F2143" s="1007" t="s">
        <v>2522</v>
      </c>
      <c r="O2143" s="1007" t="s">
        <v>648</v>
      </c>
      <c r="P2143" s="1007" t="s">
        <v>648</v>
      </c>
      <c r="S2143" s="1008" t="s">
        <v>657</v>
      </c>
      <c r="T2143" s="1008" t="s">
        <v>21</v>
      </c>
      <c r="U2143" s="1008" t="s">
        <v>649</v>
      </c>
      <c r="V2143" s="1008" t="s">
        <v>648</v>
      </c>
      <c r="W2143" s="1008" t="s">
        <v>546</v>
      </c>
      <c r="X2143" s="1008"/>
      <c r="Y2143" s="1008"/>
      <c r="Z2143" s="1008"/>
      <c r="AA2143" s="1008"/>
      <c r="AB2143" s="1008"/>
      <c r="AC2143" s="1008"/>
      <c r="AD2143" s="1008"/>
      <c r="AE2143" s="1008"/>
      <c r="AF2143" s="1008"/>
      <c r="AG2143" s="1008"/>
      <c r="AH2143" s="1008"/>
      <c r="AI2143" s="1008"/>
    </row>
    <row r="2144" spans="1:35">
      <c r="A2144" s="1008">
        <v>24688</v>
      </c>
      <c r="C2144" s="1008">
        <v>4</v>
      </c>
      <c r="D2144" s="1009">
        <v>29599999</v>
      </c>
      <c r="E2144" s="1009">
        <v>29500000</v>
      </c>
      <c r="F2144" s="1007" t="s">
        <v>2521</v>
      </c>
      <c r="O2144" s="1007" t="s">
        <v>648</v>
      </c>
      <c r="P2144" s="1007" t="s">
        <v>648</v>
      </c>
      <c r="S2144" s="1008" t="s">
        <v>657</v>
      </c>
      <c r="T2144" s="1008" t="s">
        <v>675</v>
      </c>
      <c r="U2144" s="1008" t="s">
        <v>649</v>
      </c>
      <c r="V2144" s="1008" t="s">
        <v>648</v>
      </c>
      <c r="W2144" s="1008" t="s">
        <v>546</v>
      </c>
      <c r="X2144" s="1008"/>
      <c r="Y2144" s="1008"/>
      <c r="Z2144" s="1008"/>
      <c r="AA2144" s="1008"/>
      <c r="AB2144" s="1008"/>
      <c r="AC2144" s="1008"/>
      <c r="AD2144" s="1008"/>
      <c r="AE2144" s="1008"/>
      <c r="AF2144" s="1008"/>
      <c r="AG2144" s="1008"/>
      <c r="AH2144" s="1008"/>
      <c r="AI2144" s="1008"/>
    </row>
    <row r="2145" spans="1:35">
      <c r="A2145" s="1008">
        <v>24689</v>
      </c>
      <c r="C2145" s="1008">
        <v>5</v>
      </c>
      <c r="D2145" s="1009">
        <v>29599900</v>
      </c>
      <c r="E2145" s="1009">
        <v>29501000</v>
      </c>
      <c r="F2145" s="1007" t="s">
        <v>2520</v>
      </c>
      <c r="O2145" s="1007" t="s">
        <v>648</v>
      </c>
      <c r="P2145" s="1007" t="s">
        <v>648</v>
      </c>
      <c r="S2145" s="1008" t="s">
        <v>657</v>
      </c>
      <c r="T2145" s="1008" t="s">
        <v>675</v>
      </c>
      <c r="U2145" s="1008" t="s">
        <v>649</v>
      </c>
      <c r="V2145" s="1008" t="s">
        <v>648</v>
      </c>
      <c r="W2145" s="1008" t="s">
        <v>546</v>
      </c>
      <c r="X2145" s="1008"/>
      <c r="Y2145" s="1008"/>
      <c r="Z2145" s="1008"/>
      <c r="AA2145" s="1008"/>
      <c r="AB2145" s="1008"/>
      <c r="AC2145" s="1008"/>
      <c r="AD2145" s="1008"/>
      <c r="AE2145" s="1008"/>
      <c r="AF2145" s="1008"/>
      <c r="AG2145" s="1008"/>
      <c r="AH2145" s="1008"/>
      <c r="AI2145" s="1008"/>
    </row>
    <row r="2146" spans="1:35">
      <c r="A2146" s="1008">
        <v>24690</v>
      </c>
      <c r="B2146" s="1008">
        <v>1987</v>
      </c>
      <c r="C2146" s="1008">
        <v>6</v>
      </c>
      <c r="D2146" s="1009">
        <v>29599900</v>
      </c>
      <c r="E2146" s="1009">
        <v>29510700</v>
      </c>
      <c r="F2146" s="1007" t="s">
        <v>2519</v>
      </c>
      <c r="G2146" s="1007">
        <v>6</v>
      </c>
      <c r="H2146" s="1010">
        <v>99999999</v>
      </c>
      <c r="I2146" s="1009">
        <v>29510700</v>
      </c>
      <c r="J2146" s="1007" t="s">
        <v>2519</v>
      </c>
      <c r="O2146" s="1007" t="s">
        <v>648</v>
      </c>
      <c r="P2146" s="1007" t="s">
        <v>648</v>
      </c>
      <c r="S2146" s="1008" t="s">
        <v>657</v>
      </c>
      <c r="T2146" s="1008" t="s">
        <v>654</v>
      </c>
      <c r="U2146" s="1008" t="s">
        <v>649</v>
      </c>
      <c r="V2146" s="1008" t="s">
        <v>648</v>
      </c>
      <c r="W2146" s="1008" t="s">
        <v>546</v>
      </c>
      <c r="X2146" s="1008" t="s">
        <v>670</v>
      </c>
      <c r="Y2146" s="1008" t="s">
        <v>670</v>
      </c>
      <c r="Z2146" s="1008" t="s">
        <v>670</v>
      </c>
      <c r="AA2146" s="1008" t="s">
        <v>670</v>
      </c>
      <c r="AB2146" s="1008" t="s">
        <v>670</v>
      </c>
      <c r="AC2146" s="1008" t="s">
        <v>670</v>
      </c>
      <c r="AD2146" s="1008" t="s">
        <v>670</v>
      </c>
      <c r="AE2146" s="1008"/>
      <c r="AF2146" s="1008" t="s">
        <v>670</v>
      </c>
      <c r="AG2146" s="1008"/>
      <c r="AH2146" s="1008"/>
      <c r="AI2146" s="1008"/>
    </row>
    <row r="2147" spans="1:35">
      <c r="A2147" s="1008">
        <v>24691</v>
      </c>
      <c r="B2147" s="1008">
        <v>5246</v>
      </c>
      <c r="C2147" s="1008">
        <v>6</v>
      </c>
      <c r="D2147" s="1009">
        <v>29599900</v>
      </c>
      <c r="E2147" s="1009">
        <v>29510800</v>
      </c>
      <c r="F2147" s="1007" t="s">
        <v>2518</v>
      </c>
      <c r="G2147" s="1007">
        <v>6</v>
      </c>
      <c r="H2147" s="1010">
        <v>99999999</v>
      </c>
      <c r="I2147" s="1009">
        <v>29510800</v>
      </c>
      <c r="J2147" s="1007" t="s">
        <v>2518</v>
      </c>
      <c r="O2147" s="1007" t="s">
        <v>648</v>
      </c>
      <c r="P2147" s="1007" t="s">
        <v>648</v>
      </c>
      <c r="S2147" s="1008" t="s">
        <v>657</v>
      </c>
      <c r="T2147" s="1008" t="s">
        <v>654</v>
      </c>
      <c r="U2147" s="1008" t="s">
        <v>649</v>
      </c>
      <c r="V2147" s="1008" t="s">
        <v>648</v>
      </c>
      <c r="W2147" s="1008" t="s">
        <v>546</v>
      </c>
      <c r="X2147" s="1008" t="s">
        <v>670</v>
      </c>
      <c r="Y2147" s="1008" t="s">
        <v>670</v>
      </c>
      <c r="Z2147" s="1008" t="s">
        <v>670</v>
      </c>
      <c r="AA2147" s="1008" t="s">
        <v>670</v>
      </c>
      <c r="AB2147" s="1008" t="s">
        <v>670</v>
      </c>
      <c r="AC2147" s="1008" t="s">
        <v>670</v>
      </c>
      <c r="AD2147" s="1008" t="s">
        <v>670</v>
      </c>
      <c r="AE2147" s="1008"/>
      <c r="AF2147" s="1008" t="s">
        <v>670</v>
      </c>
      <c r="AG2147" s="1008"/>
      <c r="AH2147" s="1008"/>
      <c r="AI2147" s="1008"/>
    </row>
    <row r="2148" spans="1:35">
      <c r="A2148" s="1008">
        <v>24692</v>
      </c>
      <c r="C2148" s="1008">
        <v>5</v>
      </c>
      <c r="D2148" s="1009">
        <v>29599999</v>
      </c>
      <c r="E2148" s="1009">
        <v>29599900</v>
      </c>
      <c r="F2148" s="1007" t="s">
        <v>2517</v>
      </c>
      <c r="O2148" s="1007" t="s">
        <v>648</v>
      </c>
      <c r="P2148" s="1007" t="s">
        <v>648</v>
      </c>
      <c r="S2148" s="1008" t="s">
        <v>657</v>
      </c>
      <c r="T2148" s="1008" t="s">
        <v>21</v>
      </c>
      <c r="U2148" s="1008" t="s">
        <v>649</v>
      </c>
      <c r="V2148" s="1008" t="s">
        <v>648</v>
      </c>
      <c r="W2148" s="1008" t="s">
        <v>546</v>
      </c>
      <c r="X2148" s="1008"/>
      <c r="Y2148" s="1008"/>
      <c r="Z2148" s="1008"/>
      <c r="AA2148" s="1008"/>
      <c r="AB2148" s="1008"/>
      <c r="AC2148" s="1008"/>
      <c r="AD2148" s="1008"/>
      <c r="AE2148" s="1008"/>
      <c r="AF2148" s="1008"/>
      <c r="AG2148" s="1008"/>
      <c r="AH2148" s="1008"/>
      <c r="AI2148" s="1008"/>
    </row>
    <row r="2149" spans="1:35">
      <c r="A2149" s="1008">
        <v>24693</v>
      </c>
      <c r="C2149" s="1008">
        <v>4</v>
      </c>
      <c r="D2149" s="1009">
        <v>29999999</v>
      </c>
      <c r="E2149" s="1009">
        <v>29599999</v>
      </c>
      <c r="F2149" s="1007" t="s">
        <v>2516</v>
      </c>
      <c r="O2149" s="1007" t="s">
        <v>648</v>
      </c>
      <c r="P2149" s="1007" t="s">
        <v>648</v>
      </c>
      <c r="S2149" s="1008" t="s">
        <v>657</v>
      </c>
      <c r="T2149" s="1008" t="s">
        <v>21</v>
      </c>
      <c r="U2149" s="1008" t="s">
        <v>649</v>
      </c>
      <c r="V2149" s="1008" t="s">
        <v>648</v>
      </c>
      <c r="W2149" s="1008" t="s">
        <v>546</v>
      </c>
      <c r="X2149" s="1008"/>
      <c r="Y2149" s="1008"/>
      <c r="Z2149" s="1008"/>
      <c r="AA2149" s="1008"/>
      <c r="AB2149" s="1008"/>
      <c r="AC2149" s="1008"/>
      <c r="AD2149" s="1008"/>
      <c r="AE2149" s="1008"/>
      <c r="AF2149" s="1008"/>
      <c r="AG2149" s="1008"/>
      <c r="AH2149" s="1008"/>
      <c r="AI2149" s="1008"/>
    </row>
    <row r="2150" spans="1:35">
      <c r="A2150" s="1008">
        <v>27818</v>
      </c>
      <c r="C2150" s="1008">
        <v>4</v>
      </c>
      <c r="D2150" s="1009">
        <v>29859999</v>
      </c>
      <c r="E2150" s="1009">
        <v>29800000</v>
      </c>
      <c r="F2150" s="1007" t="s">
        <v>2515</v>
      </c>
      <c r="O2150" s="1007" t="s">
        <v>648</v>
      </c>
      <c r="P2150" s="1007" t="s">
        <v>648</v>
      </c>
      <c r="S2150" s="1008" t="s">
        <v>657</v>
      </c>
      <c r="T2150" s="1008" t="s">
        <v>675</v>
      </c>
      <c r="U2150" s="1008" t="s">
        <v>649</v>
      </c>
      <c r="V2150" s="1008" t="s">
        <v>648</v>
      </c>
      <c r="W2150" s="1008" t="s">
        <v>546</v>
      </c>
      <c r="X2150" s="1008"/>
      <c r="Y2150" s="1008"/>
      <c r="Z2150" s="1008"/>
      <c r="AA2150" s="1008"/>
      <c r="AB2150" s="1008"/>
      <c r="AC2150" s="1008"/>
      <c r="AD2150" s="1008"/>
      <c r="AE2150" s="1008"/>
      <c r="AF2150" s="1008"/>
      <c r="AG2150" s="1008"/>
      <c r="AH2150" s="1008"/>
      <c r="AI2150" s="1008"/>
    </row>
    <row r="2151" spans="1:35">
      <c r="A2151" s="1008">
        <v>27819</v>
      </c>
      <c r="C2151" s="1008">
        <v>6</v>
      </c>
      <c r="D2151" s="1009">
        <v>29819990</v>
      </c>
      <c r="E2151" s="1009">
        <v>29810000</v>
      </c>
      <c r="F2151" s="1007" t="s">
        <v>2514</v>
      </c>
      <c r="O2151" s="1007" t="s">
        <v>648</v>
      </c>
      <c r="P2151" s="1007" t="s">
        <v>648</v>
      </c>
      <c r="S2151" s="1008" t="s">
        <v>657</v>
      </c>
      <c r="T2151" s="1008" t="s">
        <v>675</v>
      </c>
      <c r="U2151" s="1008" t="s">
        <v>649</v>
      </c>
      <c r="V2151" s="1008" t="s">
        <v>648</v>
      </c>
      <c r="W2151" s="1008" t="s">
        <v>546</v>
      </c>
      <c r="X2151" s="1008"/>
      <c r="Y2151" s="1008"/>
      <c r="Z2151" s="1008"/>
      <c r="AA2151" s="1008"/>
      <c r="AB2151" s="1008"/>
      <c r="AC2151" s="1008"/>
      <c r="AD2151" s="1008"/>
      <c r="AE2151" s="1008"/>
      <c r="AF2151" s="1008"/>
      <c r="AG2151" s="1008"/>
      <c r="AH2151" s="1008"/>
      <c r="AI2151" s="1008"/>
    </row>
    <row r="2152" spans="1:35">
      <c r="A2152" s="1008">
        <v>27820</v>
      </c>
      <c r="B2152" s="1008">
        <v>6630</v>
      </c>
      <c r="C2152" s="1008">
        <v>7</v>
      </c>
      <c r="D2152" s="1009">
        <v>29819990</v>
      </c>
      <c r="E2152" s="1009">
        <v>29810910</v>
      </c>
      <c r="F2152" s="1007" t="s">
        <v>2513</v>
      </c>
      <c r="G2152" s="1007" t="s">
        <v>648</v>
      </c>
      <c r="H2152" s="1010">
        <v>99999999</v>
      </c>
      <c r="I2152" s="1009">
        <v>29810910</v>
      </c>
      <c r="J2152" s="1007" t="s">
        <v>2513</v>
      </c>
      <c r="O2152" s="1007" t="s">
        <v>648</v>
      </c>
      <c r="P2152" s="1007" t="s">
        <v>648</v>
      </c>
      <c r="S2152" s="1008" t="s">
        <v>657</v>
      </c>
      <c r="T2152" s="1008" t="s">
        <v>654</v>
      </c>
      <c r="U2152" s="1008" t="s">
        <v>649</v>
      </c>
      <c r="V2152" s="1008" t="s">
        <v>648</v>
      </c>
      <c r="W2152" s="1008" t="s">
        <v>546</v>
      </c>
      <c r="X2152" s="1008"/>
      <c r="Y2152" s="1008"/>
      <c r="Z2152" s="1008"/>
      <c r="AA2152" s="1008"/>
      <c r="AB2152" s="1008"/>
      <c r="AC2152" s="1008"/>
      <c r="AD2152" s="1008"/>
      <c r="AE2152" s="1008"/>
      <c r="AF2152" s="1008"/>
      <c r="AG2152" s="1008"/>
      <c r="AH2152" s="1008"/>
      <c r="AI2152" s="1008"/>
    </row>
    <row r="2153" spans="1:35">
      <c r="A2153" s="1008">
        <v>27821</v>
      </c>
      <c r="B2153" s="1008">
        <v>6631</v>
      </c>
      <c r="C2153" s="1008">
        <v>7</v>
      </c>
      <c r="D2153" s="1009">
        <v>29819990</v>
      </c>
      <c r="E2153" s="1009">
        <v>29810920</v>
      </c>
      <c r="F2153" s="1007" t="s">
        <v>2512</v>
      </c>
      <c r="G2153" s="1007" t="s">
        <v>648</v>
      </c>
      <c r="H2153" s="1010">
        <v>99999999</v>
      </c>
      <c r="I2153" s="1009">
        <v>29810920</v>
      </c>
      <c r="J2153" s="1007" t="s">
        <v>2512</v>
      </c>
      <c r="O2153" s="1007" t="s">
        <v>648</v>
      </c>
      <c r="P2153" s="1007" t="s">
        <v>648</v>
      </c>
      <c r="S2153" s="1008" t="s">
        <v>650</v>
      </c>
      <c r="T2153" s="1008" t="s">
        <v>654</v>
      </c>
      <c r="U2153" s="1008" t="s">
        <v>649</v>
      </c>
      <c r="V2153" s="1008" t="s">
        <v>648</v>
      </c>
      <c r="W2153" s="1008" t="s">
        <v>546</v>
      </c>
      <c r="X2153" s="1008"/>
      <c r="Y2153" s="1008"/>
      <c r="Z2153" s="1008"/>
      <c r="AA2153" s="1008"/>
      <c r="AB2153" s="1008"/>
      <c r="AC2153" s="1008"/>
      <c r="AD2153" s="1008"/>
      <c r="AE2153" s="1008"/>
      <c r="AF2153" s="1008"/>
      <c r="AG2153" s="1008"/>
      <c r="AH2153" s="1008"/>
      <c r="AI2153" s="1008"/>
    </row>
    <row r="2154" spans="1:35">
      <c r="A2154" s="1008">
        <v>27822</v>
      </c>
      <c r="B2154" s="1008">
        <v>6632</v>
      </c>
      <c r="C2154" s="1008">
        <v>7</v>
      </c>
      <c r="D2154" s="1009">
        <v>29819990</v>
      </c>
      <c r="E2154" s="1009">
        <v>29810930</v>
      </c>
      <c r="F2154" s="1007" t="s">
        <v>2511</v>
      </c>
      <c r="G2154" s="1007" t="s">
        <v>648</v>
      </c>
      <c r="H2154" s="1010">
        <v>99999999</v>
      </c>
      <c r="I2154" s="1009">
        <v>29810930</v>
      </c>
      <c r="J2154" s="1007" t="s">
        <v>2510</v>
      </c>
      <c r="O2154" s="1007" t="s">
        <v>648</v>
      </c>
      <c r="P2154" s="1007" t="s">
        <v>648</v>
      </c>
      <c r="S2154" s="1008" t="s">
        <v>650</v>
      </c>
      <c r="T2154" s="1008" t="s">
        <v>654</v>
      </c>
      <c r="U2154" s="1008" t="s">
        <v>649</v>
      </c>
      <c r="V2154" s="1008" t="s">
        <v>648</v>
      </c>
      <c r="W2154" s="1008" t="s">
        <v>546</v>
      </c>
      <c r="X2154" s="1008"/>
      <c r="Y2154" s="1008"/>
      <c r="Z2154" s="1008"/>
      <c r="AA2154" s="1008"/>
      <c r="AB2154" s="1008"/>
      <c r="AC2154" s="1008"/>
      <c r="AD2154" s="1008"/>
      <c r="AE2154" s="1008"/>
      <c r="AF2154" s="1008"/>
      <c r="AG2154" s="1008"/>
      <c r="AH2154" s="1008"/>
      <c r="AI2154" s="1008"/>
    </row>
    <row r="2155" spans="1:35">
      <c r="A2155" s="1008">
        <v>27823</v>
      </c>
      <c r="B2155" s="1008">
        <v>6633</v>
      </c>
      <c r="C2155" s="1008">
        <v>7</v>
      </c>
      <c r="D2155" s="1009">
        <v>29819990</v>
      </c>
      <c r="E2155" s="1009">
        <v>29810940</v>
      </c>
      <c r="F2155" s="1007" t="s">
        <v>2509</v>
      </c>
      <c r="G2155" s="1007" t="s">
        <v>648</v>
      </c>
      <c r="H2155" s="1010">
        <v>99999999</v>
      </c>
      <c r="I2155" s="1009">
        <v>29810940</v>
      </c>
      <c r="J2155" s="1007" t="s">
        <v>2508</v>
      </c>
      <c r="O2155" s="1007" t="s">
        <v>648</v>
      </c>
      <c r="P2155" s="1007" t="s">
        <v>648</v>
      </c>
      <c r="S2155" s="1008" t="s">
        <v>650</v>
      </c>
      <c r="T2155" s="1008" t="s">
        <v>654</v>
      </c>
      <c r="U2155" s="1008" t="s">
        <v>649</v>
      </c>
      <c r="V2155" s="1008" t="s">
        <v>648</v>
      </c>
      <c r="W2155" s="1008" t="s">
        <v>546</v>
      </c>
      <c r="X2155" s="1008"/>
      <c r="Y2155" s="1008"/>
      <c r="Z2155" s="1008"/>
      <c r="AA2155" s="1008"/>
      <c r="AB2155" s="1008"/>
      <c r="AC2155" s="1008"/>
      <c r="AD2155" s="1008"/>
      <c r="AE2155" s="1008"/>
      <c r="AF2155" s="1008"/>
      <c r="AG2155" s="1008"/>
      <c r="AH2155" s="1008"/>
      <c r="AI2155" s="1008"/>
    </row>
    <row r="2156" spans="1:35">
      <c r="A2156" s="1008">
        <v>27824</v>
      </c>
      <c r="C2156" s="1008">
        <v>6</v>
      </c>
      <c r="D2156" s="1009">
        <v>29819999</v>
      </c>
      <c r="E2156" s="1009">
        <v>29819990</v>
      </c>
      <c r="F2156" s="1007" t="s">
        <v>2507</v>
      </c>
      <c r="O2156" s="1007" t="s">
        <v>648</v>
      </c>
      <c r="P2156" s="1007" t="s">
        <v>648</v>
      </c>
      <c r="S2156" s="1008" t="s">
        <v>657</v>
      </c>
      <c r="T2156" s="1008" t="s">
        <v>21</v>
      </c>
      <c r="U2156" s="1008" t="s">
        <v>649</v>
      </c>
      <c r="V2156" s="1008" t="s">
        <v>648</v>
      </c>
      <c r="W2156" s="1008" t="s">
        <v>546</v>
      </c>
      <c r="X2156" s="1008"/>
      <c r="Y2156" s="1008"/>
      <c r="Z2156" s="1008"/>
      <c r="AA2156" s="1008"/>
      <c r="AB2156" s="1008"/>
      <c r="AC2156" s="1008"/>
      <c r="AD2156" s="1008"/>
      <c r="AE2156" s="1008"/>
      <c r="AF2156" s="1008"/>
      <c r="AG2156" s="1008"/>
      <c r="AH2156" s="1008"/>
      <c r="AI2156" s="1008"/>
    </row>
    <row r="2157" spans="1:35">
      <c r="A2157" s="1008">
        <v>27825</v>
      </c>
      <c r="C2157" s="1008">
        <v>5</v>
      </c>
      <c r="D2157" s="1009">
        <v>29859999</v>
      </c>
      <c r="E2157" s="1009">
        <v>29819999</v>
      </c>
      <c r="F2157" s="1007" t="s">
        <v>2506</v>
      </c>
      <c r="O2157" s="1007" t="s">
        <v>648</v>
      </c>
      <c r="P2157" s="1007" t="s">
        <v>648</v>
      </c>
      <c r="S2157" s="1008" t="s">
        <v>657</v>
      </c>
      <c r="T2157" s="1008" t="s">
        <v>21</v>
      </c>
      <c r="U2157" s="1008" t="s">
        <v>649</v>
      </c>
      <c r="V2157" s="1008" t="s">
        <v>648</v>
      </c>
      <c r="W2157" s="1008" t="s">
        <v>546</v>
      </c>
      <c r="X2157" s="1008"/>
      <c r="Y2157" s="1008"/>
      <c r="Z2157" s="1008"/>
      <c r="AA2157" s="1008"/>
      <c r="AB2157" s="1008"/>
      <c r="AC2157" s="1008"/>
      <c r="AD2157" s="1008"/>
      <c r="AE2157" s="1008"/>
      <c r="AF2157" s="1008"/>
      <c r="AG2157" s="1008"/>
      <c r="AH2157" s="1008"/>
      <c r="AI2157" s="1008"/>
    </row>
    <row r="2158" spans="1:35">
      <c r="A2158" s="1008">
        <v>27826</v>
      </c>
      <c r="C2158" s="1008">
        <v>4</v>
      </c>
      <c r="D2158" s="1009">
        <v>29999999</v>
      </c>
      <c r="E2158" s="1009">
        <v>29859999</v>
      </c>
      <c r="F2158" s="1007" t="s">
        <v>2506</v>
      </c>
      <c r="O2158" s="1007" t="s">
        <v>648</v>
      </c>
      <c r="P2158" s="1007" t="s">
        <v>648</v>
      </c>
      <c r="S2158" s="1008" t="s">
        <v>657</v>
      </c>
      <c r="T2158" s="1008" t="s">
        <v>21</v>
      </c>
      <c r="U2158" s="1008" t="s">
        <v>649</v>
      </c>
      <c r="V2158" s="1008" t="s">
        <v>648</v>
      </c>
      <c r="W2158" s="1008" t="s">
        <v>546</v>
      </c>
      <c r="X2158" s="1008"/>
      <c r="Y2158" s="1008"/>
      <c r="Z2158" s="1008"/>
      <c r="AA2158" s="1008"/>
      <c r="AB2158" s="1008"/>
      <c r="AC2158" s="1008"/>
      <c r="AD2158" s="1008"/>
      <c r="AE2158" s="1008"/>
      <c r="AF2158" s="1008"/>
      <c r="AG2158" s="1008"/>
      <c r="AH2158" s="1008"/>
      <c r="AI2158" s="1008"/>
    </row>
    <row r="2159" spans="1:35">
      <c r="A2159" s="1008">
        <v>27827</v>
      </c>
      <c r="B2159" s="1008">
        <v>6634</v>
      </c>
      <c r="C2159" s="1008">
        <v>7</v>
      </c>
      <c r="D2159" s="1009">
        <v>29999999</v>
      </c>
      <c r="E2159" s="1009">
        <v>29910900</v>
      </c>
      <c r="F2159" s="1007" t="s">
        <v>2505</v>
      </c>
      <c r="G2159" s="1007" t="s">
        <v>648</v>
      </c>
      <c r="H2159" s="1010">
        <v>99999999</v>
      </c>
      <c r="I2159" s="1009">
        <v>29910900</v>
      </c>
      <c r="J2159" s="1007" t="s">
        <v>2504</v>
      </c>
      <c r="O2159" s="1007" t="s">
        <v>648</v>
      </c>
      <c r="P2159" s="1007" t="s">
        <v>648</v>
      </c>
      <c r="S2159" s="1008" t="s">
        <v>650</v>
      </c>
      <c r="T2159" s="1008" t="s">
        <v>654</v>
      </c>
      <c r="U2159" s="1008" t="s">
        <v>649</v>
      </c>
      <c r="V2159" s="1008" t="s">
        <v>648</v>
      </c>
      <c r="W2159" s="1008" t="s">
        <v>546</v>
      </c>
      <c r="X2159" s="1008"/>
      <c r="Y2159" s="1008"/>
      <c r="Z2159" s="1008"/>
      <c r="AA2159" s="1008"/>
      <c r="AB2159" s="1008"/>
      <c r="AC2159" s="1008"/>
      <c r="AD2159" s="1008"/>
      <c r="AE2159" s="1008"/>
      <c r="AF2159" s="1008"/>
      <c r="AG2159" s="1008"/>
      <c r="AH2159" s="1008"/>
      <c r="AI2159" s="1008"/>
    </row>
    <row r="2160" spans="1:35">
      <c r="A2160" s="1008">
        <v>24694</v>
      </c>
      <c r="C2160" s="1008">
        <v>3</v>
      </c>
      <c r="D2160" s="1009">
        <v>39999998</v>
      </c>
      <c r="E2160" s="1009">
        <v>29999999</v>
      </c>
      <c r="F2160" s="1007" t="s">
        <v>2503</v>
      </c>
      <c r="O2160" s="1007" t="s">
        <v>648</v>
      </c>
      <c r="P2160" s="1007" t="s">
        <v>648</v>
      </c>
      <c r="S2160" s="1008" t="s">
        <v>657</v>
      </c>
      <c r="T2160" s="1008" t="s">
        <v>21</v>
      </c>
      <c r="U2160" s="1008" t="s">
        <v>649</v>
      </c>
      <c r="V2160" s="1008" t="s">
        <v>648</v>
      </c>
      <c r="W2160" s="1008" t="s">
        <v>546</v>
      </c>
      <c r="X2160" s="1008"/>
      <c r="Y2160" s="1008"/>
      <c r="Z2160" s="1008"/>
      <c r="AA2160" s="1008"/>
      <c r="AB2160" s="1008"/>
      <c r="AC2160" s="1008"/>
      <c r="AD2160" s="1008"/>
      <c r="AE2160" s="1008"/>
      <c r="AF2160" s="1008"/>
      <c r="AG2160" s="1008"/>
      <c r="AH2160" s="1008"/>
      <c r="AI2160" s="1008"/>
    </row>
    <row r="2161" spans="1:35">
      <c r="A2161" s="1008">
        <v>24695</v>
      </c>
      <c r="C2161" s="1008">
        <v>3</v>
      </c>
      <c r="D2161" s="1009">
        <v>39999990</v>
      </c>
      <c r="E2161" s="1009">
        <v>30000000</v>
      </c>
      <c r="F2161" s="1007" t="s">
        <v>2502</v>
      </c>
      <c r="O2161" s="1007" t="s">
        <v>648</v>
      </c>
      <c r="P2161" s="1007" t="s">
        <v>648</v>
      </c>
      <c r="S2161" s="1008" t="s">
        <v>657</v>
      </c>
      <c r="T2161" s="1008" t="s">
        <v>675</v>
      </c>
      <c r="U2161" s="1008" t="s">
        <v>649</v>
      </c>
      <c r="V2161" s="1008" t="s">
        <v>648</v>
      </c>
      <c r="W2161" s="1008" t="s">
        <v>546</v>
      </c>
      <c r="X2161" s="1008"/>
      <c r="Y2161" s="1008"/>
      <c r="Z2161" s="1008"/>
      <c r="AA2161" s="1008"/>
      <c r="AB2161" s="1008"/>
      <c r="AC2161" s="1008"/>
      <c r="AD2161" s="1008"/>
      <c r="AE2161" s="1008"/>
      <c r="AF2161" s="1008"/>
      <c r="AG2161" s="1008"/>
      <c r="AH2161" s="1008"/>
      <c r="AI2161" s="1008"/>
    </row>
    <row r="2162" spans="1:35">
      <c r="A2162" s="1008">
        <v>24696</v>
      </c>
      <c r="C2162" s="1008">
        <v>4</v>
      </c>
      <c r="D2162" s="1009">
        <v>30199999</v>
      </c>
      <c r="E2162" s="1009">
        <v>30100000</v>
      </c>
      <c r="F2162" s="1007" t="s">
        <v>2501</v>
      </c>
      <c r="O2162" s="1007" t="s">
        <v>648</v>
      </c>
      <c r="P2162" s="1007" t="s">
        <v>648</v>
      </c>
      <c r="S2162" s="1008" t="s">
        <v>657</v>
      </c>
      <c r="T2162" s="1008" t="s">
        <v>675</v>
      </c>
      <c r="U2162" s="1008" t="s">
        <v>649</v>
      </c>
      <c r="V2162" s="1008" t="s">
        <v>648</v>
      </c>
      <c r="W2162" s="1008" t="s">
        <v>546</v>
      </c>
      <c r="X2162" s="1008"/>
      <c r="Y2162" s="1008"/>
      <c r="Z2162" s="1008"/>
      <c r="AA2162" s="1008"/>
      <c r="AB2162" s="1008"/>
      <c r="AC2162" s="1008"/>
      <c r="AD2162" s="1008"/>
      <c r="AE2162" s="1008"/>
      <c r="AF2162" s="1008"/>
      <c r="AG2162" s="1008"/>
      <c r="AH2162" s="1008"/>
      <c r="AI2162" s="1008"/>
    </row>
    <row r="2163" spans="1:35">
      <c r="A2163" s="1008">
        <v>24697</v>
      </c>
      <c r="C2163" s="1008">
        <v>5</v>
      </c>
      <c r="D2163" s="1009">
        <v>30199900</v>
      </c>
      <c r="E2163" s="1009">
        <v>30101000</v>
      </c>
      <c r="F2163" s="1007" t="s">
        <v>2500</v>
      </c>
      <c r="O2163" s="1007" t="s">
        <v>648</v>
      </c>
      <c r="P2163" s="1007" t="s">
        <v>648</v>
      </c>
      <c r="S2163" s="1008" t="s">
        <v>657</v>
      </c>
      <c r="T2163" s="1008" t="s">
        <v>675</v>
      </c>
      <c r="U2163" s="1008" t="s">
        <v>649</v>
      </c>
      <c r="V2163" s="1008" t="s">
        <v>648</v>
      </c>
      <c r="W2163" s="1008" t="s">
        <v>546</v>
      </c>
      <c r="X2163" s="1008"/>
      <c r="Y2163" s="1008"/>
      <c r="Z2163" s="1008"/>
      <c r="AA2163" s="1008"/>
      <c r="AB2163" s="1008"/>
      <c r="AC2163" s="1008"/>
      <c r="AD2163" s="1008"/>
      <c r="AE2163" s="1008"/>
      <c r="AF2163" s="1008"/>
      <c r="AG2163" s="1008"/>
      <c r="AH2163" s="1008"/>
      <c r="AI2163" s="1008"/>
    </row>
    <row r="2164" spans="1:35">
      <c r="A2164" s="1008">
        <v>26322</v>
      </c>
      <c r="B2164" s="1008">
        <v>638</v>
      </c>
      <c r="C2164" s="1008">
        <v>6</v>
      </c>
      <c r="D2164" s="1009">
        <v>30199900</v>
      </c>
      <c r="E2164" s="1009">
        <v>30111300</v>
      </c>
      <c r="F2164" s="1007" t="s">
        <v>2499</v>
      </c>
      <c r="G2164" s="1007">
        <v>8</v>
      </c>
      <c r="H2164" s="1010">
        <v>99999999</v>
      </c>
      <c r="I2164" s="1009">
        <v>30111300</v>
      </c>
      <c r="J2164" s="1007" t="s">
        <v>2499</v>
      </c>
      <c r="O2164" s="1007" t="s">
        <v>648</v>
      </c>
      <c r="P2164" s="1007" t="s">
        <v>648</v>
      </c>
      <c r="S2164" s="1008" t="s">
        <v>657</v>
      </c>
      <c r="T2164" s="1008" t="s">
        <v>654</v>
      </c>
      <c r="U2164" s="1008" t="s">
        <v>649</v>
      </c>
      <c r="V2164" s="1008" t="s">
        <v>648</v>
      </c>
      <c r="W2164" s="1008" t="s">
        <v>546</v>
      </c>
      <c r="X2164" s="1008" t="s">
        <v>670</v>
      </c>
      <c r="Y2164" s="1008" t="s">
        <v>670</v>
      </c>
      <c r="Z2164" s="1008" t="s">
        <v>670</v>
      </c>
      <c r="AA2164" s="1008" t="s">
        <v>670</v>
      </c>
      <c r="AB2164" s="1008" t="s">
        <v>670</v>
      </c>
      <c r="AC2164" s="1008" t="s">
        <v>670</v>
      </c>
      <c r="AD2164" s="1008" t="s">
        <v>670</v>
      </c>
      <c r="AE2164" s="1008" t="s">
        <v>670</v>
      </c>
      <c r="AF2164" s="1008" t="s">
        <v>670</v>
      </c>
      <c r="AG2164" s="1008" t="s">
        <v>670</v>
      </c>
      <c r="AH2164" s="1008" t="s">
        <v>670</v>
      </c>
      <c r="AI2164" s="1008" t="s">
        <v>670</v>
      </c>
    </row>
    <row r="2165" spans="1:35">
      <c r="A2165" s="1008">
        <v>27714</v>
      </c>
      <c r="B2165" s="1008">
        <v>6536</v>
      </c>
      <c r="C2165" s="1008">
        <v>6</v>
      </c>
      <c r="D2165" s="1009">
        <v>30199900</v>
      </c>
      <c r="E2165" s="1009">
        <v>30111305</v>
      </c>
      <c r="F2165" s="1007" t="s">
        <v>2498</v>
      </c>
      <c r="G2165" s="1007">
        <v>8</v>
      </c>
      <c r="H2165" s="1010">
        <v>99999999</v>
      </c>
      <c r="I2165" s="1009">
        <v>30111305</v>
      </c>
      <c r="J2165" s="1007" t="s">
        <v>2497</v>
      </c>
      <c r="O2165" s="1007" t="s">
        <v>648</v>
      </c>
      <c r="P2165" s="1007" t="s">
        <v>648</v>
      </c>
      <c r="S2165" s="1008" t="s">
        <v>657</v>
      </c>
      <c r="T2165" s="1008" t="s">
        <v>654</v>
      </c>
      <c r="U2165" s="1008" t="s">
        <v>649</v>
      </c>
      <c r="V2165" s="1008" t="s">
        <v>648</v>
      </c>
      <c r="W2165" s="1008" t="s">
        <v>546</v>
      </c>
      <c r="X2165" s="1008" t="s">
        <v>670</v>
      </c>
      <c r="Y2165" s="1008" t="s">
        <v>670</v>
      </c>
      <c r="Z2165" s="1008" t="s">
        <v>670</v>
      </c>
      <c r="AA2165" s="1008" t="s">
        <v>670</v>
      </c>
      <c r="AB2165" s="1008" t="s">
        <v>670</v>
      </c>
      <c r="AC2165" s="1008" t="s">
        <v>670</v>
      </c>
      <c r="AD2165" s="1008" t="s">
        <v>670</v>
      </c>
      <c r="AE2165" s="1008" t="s">
        <v>670</v>
      </c>
      <c r="AF2165" s="1008" t="s">
        <v>670</v>
      </c>
      <c r="AG2165" s="1008" t="s">
        <v>670</v>
      </c>
      <c r="AH2165" s="1008" t="s">
        <v>670</v>
      </c>
      <c r="AI2165" s="1008" t="s">
        <v>670</v>
      </c>
    </row>
    <row r="2166" spans="1:35">
      <c r="A2166" s="1008">
        <v>27609</v>
      </c>
      <c r="B2166" s="1008">
        <v>6447</v>
      </c>
      <c r="C2166" s="1008">
        <v>6</v>
      </c>
      <c r="D2166" s="1009">
        <v>30199900</v>
      </c>
      <c r="E2166" s="1009">
        <v>30111310</v>
      </c>
      <c r="F2166" s="1007" t="s">
        <v>2496</v>
      </c>
      <c r="G2166" s="1007">
        <v>6</v>
      </c>
      <c r="H2166" s="1010">
        <v>99999999</v>
      </c>
      <c r="I2166" s="1009">
        <v>30111310</v>
      </c>
      <c r="J2166" s="1007" t="s">
        <v>2495</v>
      </c>
      <c r="O2166" s="1007" t="s">
        <v>648</v>
      </c>
      <c r="P2166" s="1007" t="s">
        <v>648</v>
      </c>
      <c r="S2166" s="1008" t="s">
        <v>657</v>
      </c>
      <c r="T2166" s="1008" t="s">
        <v>654</v>
      </c>
      <c r="U2166" s="1008" t="s">
        <v>649</v>
      </c>
      <c r="V2166" s="1008" t="s">
        <v>648</v>
      </c>
      <c r="W2166" s="1008" t="s">
        <v>546</v>
      </c>
      <c r="X2166" s="1008" t="s">
        <v>670</v>
      </c>
      <c r="Y2166" s="1008" t="s">
        <v>670</v>
      </c>
      <c r="Z2166" s="1008" t="s">
        <v>670</v>
      </c>
      <c r="AA2166" s="1008" t="s">
        <v>670</v>
      </c>
      <c r="AB2166" s="1008" t="s">
        <v>670</v>
      </c>
      <c r="AC2166" s="1008" t="s">
        <v>670</v>
      </c>
      <c r="AD2166" s="1008" t="s">
        <v>670</v>
      </c>
      <c r="AE2166" s="1008" t="s">
        <v>670</v>
      </c>
      <c r="AF2166" s="1008" t="s">
        <v>670</v>
      </c>
      <c r="AG2166" s="1008" t="s">
        <v>670</v>
      </c>
      <c r="AH2166" s="1008" t="s">
        <v>670</v>
      </c>
      <c r="AI2166" s="1008" t="s">
        <v>670</v>
      </c>
    </row>
    <row r="2167" spans="1:35">
      <c r="A2167" s="1008">
        <v>27610</v>
      </c>
      <c r="B2167" s="1008">
        <v>6448</v>
      </c>
      <c r="C2167" s="1008">
        <v>6</v>
      </c>
      <c r="D2167" s="1009">
        <v>30199900</v>
      </c>
      <c r="E2167" s="1009">
        <v>30111330</v>
      </c>
      <c r="F2167" s="1007" t="s">
        <v>2494</v>
      </c>
      <c r="G2167" s="1007">
        <v>6</v>
      </c>
      <c r="H2167" s="1010">
        <v>99999999</v>
      </c>
      <c r="I2167" s="1009">
        <v>30111330</v>
      </c>
      <c r="J2167" s="1007" t="s">
        <v>2493</v>
      </c>
      <c r="O2167" s="1007" t="s">
        <v>648</v>
      </c>
      <c r="P2167" s="1007" t="s">
        <v>648</v>
      </c>
      <c r="S2167" s="1008" t="s">
        <v>657</v>
      </c>
      <c r="T2167" s="1008" t="s">
        <v>654</v>
      </c>
      <c r="U2167" s="1008" t="s">
        <v>649</v>
      </c>
      <c r="V2167" s="1008" t="s">
        <v>648</v>
      </c>
      <c r="W2167" s="1008" t="s">
        <v>546</v>
      </c>
      <c r="X2167" s="1008" t="s">
        <v>670</v>
      </c>
      <c r="Y2167" s="1008" t="s">
        <v>670</v>
      </c>
      <c r="Z2167" s="1008" t="s">
        <v>670</v>
      </c>
      <c r="AA2167" s="1008" t="s">
        <v>670</v>
      </c>
      <c r="AB2167" s="1008" t="s">
        <v>670</v>
      </c>
      <c r="AC2167" s="1008" t="s">
        <v>670</v>
      </c>
      <c r="AD2167" s="1008" t="s">
        <v>670</v>
      </c>
      <c r="AE2167" s="1008" t="s">
        <v>670</v>
      </c>
      <c r="AF2167" s="1008" t="s">
        <v>670</v>
      </c>
      <c r="AG2167" s="1008" t="s">
        <v>670</v>
      </c>
      <c r="AH2167" s="1008" t="s">
        <v>670</v>
      </c>
      <c r="AI2167" s="1008" t="s">
        <v>670</v>
      </c>
    </row>
    <row r="2168" spans="1:35">
      <c r="A2168" s="1008">
        <v>27117</v>
      </c>
      <c r="B2168" s="1008">
        <v>5950</v>
      </c>
      <c r="C2168" s="1008">
        <v>6</v>
      </c>
      <c r="D2168" s="1009">
        <v>30199900</v>
      </c>
      <c r="E2168" s="1009">
        <v>30111700</v>
      </c>
      <c r="F2168" s="1007" t="s">
        <v>2492</v>
      </c>
      <c r="G2168" s="1007">
        <v>8</v>
      </c>
      <c r="H2168" s="1010">
        <v>99999999</v>
      </c>
      <c r="I2168" s="1009">
        <v>30111700</v>
      </c>
      <c r="J2168" s="1007" t="s">
        <v>2491</v>
      </c>
      <c r="O2168" s="1007" t="s">
        <v>648</v>
      </c>
      <c r="P2168" s="1007" t="s">
        <v>648</v>
      </c>
      <c r="S2168" s="1008" t="s">
        <v>657</v>
      </c>
      <c r="T2168" s="1008" t="s">
        <v>654</v>
      </c>
      <c r="U2168" s="1008" t="s">
        <v>649</v>
      </c>
      <c r="V2168" s="1008" t="s">
        <v>648</v>
      </c>
      <c r="W2168" s="1008" t="s">
        <v>546</v>
      </c>
      <c r="X2168" s="1008" t="s">
        <v>670</v>
      </c>
      <c r="Y2168" s="1008" t="s">
        <v>670</v>
      </c>
      <c r="Z2168" s="1008" t="s">
        <v>670</v>
      </c>
      <c r="AA2168" s="1008" t="s">
        <v>670</v>
      </c>
      <c r="AB2168" s="1008" t="s">
        <v>670</v>
      </c>
      <c r="AC2168" s="1008" t="s">
        <v>670</v>
      </c>
      <c r="AD2168" s="1008" t="s">
        <v>670</v>
      </c>
      <c r="AE2168" s="1008" t="s">
        <v>670</v>
      </c>
      <c r="AF2168" s="1008" t="s">
        <v>670</v>
      </c>
      <c r="AG2168" s="1008" t="s">
        <v>670</v>
      </c>
      <c r="AH2168" s="1008" t="s">
        <v>670</v>
      </c>
      <c r="AI2168" s="1008" t="s">
        <v>670</v>
      </c>
    </row>
    <row r="2169" spans="1:35">
      <c r="A2169" s="1008">
        <v>26321</v>
      </c>
      <c r="B2169" s="1008">
        <v>639</v>
      </c>
      <c r="C2169" s="1008">
        <v>6</v>
      </c>
      <c r="D2169" s="1009">
        <v>30199900</v>
      </c>
      <c r="E2169" s="1009">
        <v>30112200</v>
      </c>
      <c r="F2169" s="1007" t="s">
        <v>2490</v>
      </c>
      <c r="G2169" s="1007">
        <v>8</v>
      </c>
      <c r="H2169" s="1010">
        <v>99999999</v>
      </c>
      <c r="I2169" s="1009">
        <v>30112200</v>
      </c>
      <c r="J2169" s="1007" t="s">
        <v>2489</v>
      </c>
      <c r="O2169" s="1007" t="s">
        <v>648</v>
      </c>
      <c r="P2169" s="1007" t="s">
        <v>648</v>
      </c>
      <c r="S2169" s="1008" t="s">
        <v>657</v>
      </c>
      <c r="T2169" s="1008" t="s">
        <v>654</v>
      </c>
      <c r="U2169" s="1008" t="s">
        <v>649</v>
      </c>
      <c r="V2169" s="1008" t="s">
        <v>648</v>
      </c>
      <c r="W2169" s="1008" t="s">
        <v>546</v>
      </c>
      <c r="X2169" s="1008" t="s">
        <v>670</v>
      </c>
      <c r="Y2169" s="1008" t="s">
        <v>670</v>
      </c>
      <c r="Z2169" s="1008" t="s">
        <v>670</v>
      </c>
      <c r="AA2169" s="1008" t="s">
        <v>670</v>
      </c>
      <c r="AB2169" s="1008" t="s">
        <v>670</v>
      </c>
      <c r="AC2169" s="1008" t="s">
        <v>670</v>
      </c>
      <c r="AD2169" s="1008" t="s">
        <v>670</v>
      </c>
      <c r="AE2169" s="1008" t="s">
        <v>670</v>
      </c>
      <c r="AF2169" s="1008" t="s">
        <v>670</v>
      </c>
      <c r="AG2169" s="1008" t="s">
        <v>670</v>
      </c>
      <c r="AH2169" s="1008" t="s">
        <v>670</v>
      </c>
      <c r="AI2169" s="1008" t="s">
        <v>670</v>
      </c>
    </row>
    <row r="2170" spans="1:35">
      <c r="A2170" s="1008">
        <v>27562</v>
      </c>
      <c r="B2170" s="1008">
        <v>6412</v>
      </c>
      <c r="C2170" s="1008">
        <v>6</v>
      </c>
      <c r="D2170" s="1009">
        <v>30199900</v>
      </c>
      <c r="E2170" s="1009">
        <v>30112205</v>
      </c>
      <c r="F2170" s="1007" t="s">
        <v>2488</v>
      </c>
      <c r="G2170" s="1007">
        <v>6</v>
      </c>
      <c r="H2170" s="1010">
        <v>99999999</v>
      </c>
      <c r="I2170" s="1009">
        <v>30112205</v>
      </c>
      <c r="J2170" s="1007" t="s">
        <v>2487</v>
      </c>
      <c r="O2170" s="1007" t="s">
        <v>648</v>
      </c>
      <c r="P2170" s="1007" t="s">
        <v>648</v>
      </c>
      <c r="S2170" s="1008" t="s">
        <v>657</v>
      </c>
      <c r="T2170" s="1008" t="s">
        <v>654</v>
      </c>
      <c r="U2170" s="1008" t="s">
        <v>649</v>
      </c>
      <c r="V2170" s="1008" t="s">
        <v>648</v>
      </c>
      <c r="W2170" s="1008" t="s">
        <v>546</v>
      </c>
      <c r="X2170" s="1008" t="s">
        <v>670</v>
      </c>
      <c r="Y2170" s="1008" t="s">
        <v>670</v>
      </c>
      <c r="Z2170" s="1008" t="s">
        <v>670</v>
      </c>
      <c r="AA2170" s="1008" t="s">
        <v>670</v>
      </c>
      <c r="AB2170" s="1008" t="s">
        <v>670</v>
      </c>
      <c r="AC2170" s="1008" t="s">
        <v>670</v>
      </c>
      <c r="AD2170" s="1008" t="s">
        <v>670</v>
      </c>
      <c r="AE2170" s="1008" t="s">
        <v>670</v>
      </c>
      <c r="AF2170" s="1008" t="s">
        <v>670</v>
      </c>
      <c r="AG2170" s="1008" t="s">
        <v>670</v>
      </c>
      <c r="AH2170" s="1008" t="s">
        <v>670</v>
      </c>
      <c r="AI2170" s="1008" t="s">
        <v>670</v>
      </c>
    </row>
    <row r="2171" spans="1:35">
      <c r="A2171" s="1008">
        <v>27087</v>
      </c>
      <c r="B2171" s="1008">
        <v>5917</v>
      </c>
      <c r="C2171" s="1008">
        <v>6</v>
      </c>
      <c r="D2171" s="1009">
        <v>30199900</v>
      </c>
      <c r="E2171" s="1009">
        <v>30112210</v>
      </c>
      <c r="F2171" s="1007" t="s">
        <v>2486</v>
      </c>
      <c r="G2171" s="1007" t="s">
        <v>648</v>
      </c>
      <c r="H2171" s="1010">
        <v>99999999</v>
      </c>
      <c r="I2171" s="1009">
        <v>30112210</v>
      </c>
      <c r="J2171" s="1007" t="s">
        <v>2485</v>
      </c>
      <c r="O2171" s="1007" t="s">
        <v>648</v>
      </c>
      <c r="P2171" s="1007" t="s">
        <v>648</v>
      </c>
      <c r="S2171" s="1008" t="s">
        <v>657</v>
      </c>
      <c r="T2171" s="1008" t="s">
        <v>654</v>
      </c>
      <c r="U2171" s="1008" t="s">
        <v>649</v>
      </c>
      <c r="V2171" s="1008" t="s">
        <v>648</v>
      </c>
      <c r="W2171" s="1008" t="s">
        <v>546</v>
      </c>
      <c r="X2171" s="1008" t="s">
        <v>670</v>
      </c>
      <c r="Y2171" s="1008" t="s">
        <v>670</v>
      </c>
      <c r="Z2171" s="1008" t="s">
        <v>670</v>
      </c>
      <c r="AA2171" s="1008" t="s">
        <v>670</v>
      </c>
      <c r="AB2171" s="1008" t="s">
        <v>670</v>
      </c>
      <c r="AC2171" s="1008" t="s">
        <v>670</v>
      </c>
      <c r="AD2171" s="1008" t="s">
        <v>670</v>
      </c>
      <c r="AE2171" s="1008" t="s">
        <v>670</v>
      </c>
      <c r="AF2171" s="1008" t="s">
        <v>670</v>
      </c>
      <c r="AG2171" s="1008" t="s">
        <v>670</v>
      </c>
      <c r="AH2171" s="1008" t="s">
        <v>670</v>
      </c>
      <c r="AI2171" s="1008" t="s">
        <v>670</v>
      </c>
    </row>
    <row r="2172" spans="1:35">
      <c r="A2172" s="1008">
        <v>27088</v>
      </c>
      <c r="B2172" s="1008">
        <v>5918</v>
      </c>
      <c r="C2172" s="1008">
        <v>6</v>
      </c>
      <c r="D2172" s="1009">
        <v>30199900</v>
      </c>
      <c r="E2172" s="1009">
        <v>30112220</v>
      </c>
      <c r="F2172" s="1007" t="s">
        <v>2484</v>
      </c>
      <c r="G2172" s="1007" t="s">
        <v>648</v>
      </c>
      <c r="H2172" s="1010">
        <v>99999999</v>
      </c>
      <c r="I2172" s="1009">
        <v>30112220</v>
      </c>
      <c r="J2172" s="1007" t="s">
        <v>2483</v>
      </c>
      <c r="O2172" s="1007" t="s">
        <v>648</v>
      </c>
      <c r="P2172" s="1007" t="s">
        <v>648</v>
      </c>
      <c r="S2172" s="1008" t="s">
        <v>657</v>
      </c>
      <c r="T2172" s="1008" t="s">
        <v>654</v>
      </c>
      <c r="U2172" s="1008" t="s">
        <v>649</v>
      </c>
      <c r="V2172" s="1008" t="s">
        <v>648</v>
      </c>
      <c r="W2172" s="1008" t="s">
        <v>546</v>
      </c>
      <c r="X2172" s="1008" t="s">
        <v>670</v>
      </c>
      <c r="Y2172" s="1008" t="s">
        <v>670</v>
      </c>
      <c r="Z2172" s="1008" t="s">
        <v>670</v>
      </c>
      <c r="AA2172" s="1008" t="s">
        <v>670</v>
      </c>
      <c r="AB2172" s="1008" t="s">
        <v>670</v>
      </c>
      <c r="AC2172" s="1008" t="s">
        <v>670</v>
      </c>
      <c r="AD2172" s="1008" t="s">
        <v>670</v>
      </c>
      <c r="AE2172" s="1008" t="s">
        <v>670</v>
      </c>
      <c r="AF2172" s="1008" t="s">
        <v>670</v>
      </c>
      <c r="AG2172" s="1008" t="s">
        <v>670</v>
      </c>
      <c r="AH2172" s="1008" t="s">
        <v>670</v>
      </c>
      <c r="AI2172" s="1008" t="s">
        <v>670</v>
      </c>
    </row>
    <row r="2173" spans="1:35">
      <c r="A2173" s="1008">
        <v>27089</v>
      </c>
      <c r="B2173" s="1008">
        <v>5919</v>
      </c>
      <c r="C2173" s="1008">
        <v>6</v>
      </c>
      <c r="D2173" s="1009">
        <v>30199900</v>
      </c>
      <c r="E2173" s="1009">
        <v>30112230</v>
      </c>
      <c r="F2173" s="1007" t="s">
        <v>2482</v>
      </c>
      <c r="G2173" s="1007" t="s">
        <v>648</v>
      </c>
      <c r="H2173" s="1010">
        <v>99999999</v>
      </c>
      <c r="I2173" s="1009">
        <v>30112230</v>
      </c>
      <c r="J2173" s="1007" t="s">
        <v>2481</v>
      </c>
      <c r="O2173" s="1007" t="s">
        <v>648</v>
      </c>
      <c r="P2173" s="1007" t="s">
        <v>648</v>
      </c>
      <c r="S2173" s="1008" t="s">
        <v>657</v>
      </c>
      <c r="T2173" s="1008" t="s">
        <v>654</v>
      </c>
      <c r="U2173" s="1008" t="s">
        <v>649</v>
      </c>
      <c r="V2173" s="1008" t="s">
        <v>648</v>
      </c>
      <c r="W2173" s="1008" t="s">
        <v>546</v>
      </c>
      <c r="X2173" s="1008" t="s">
        <v>670</v>
      </c>
      <c r="Y2173" s="1008" t="s">
        <v>670</v>
      </c>
      <c r="Z2173" s="1008" t="s">
        <v>670</v>
      </c>
      <c r="AA2173" s="1008" t="s">
        <v>670</v>
      </c>
      <c r="AB2173" s="1008" t="s">
        <v>670</v>
      </c>
      <c r="AC2173" s="1008" t="s">
        <v>670</v>
      </c>
      <c r="AD2173" s="1008" t="s">
        <v>670</v>
      </c>
      <c r="AE2173" s="1008" t="s">
        <v>670</v>
      </c>
      <c r="AF2173" s="1008" t="s">
        <v>670</v>
      </c>
      <c r="AG2173" s="1008" t="s">
        <v>670</v>
      </c>
      <c r="AH2173" s="1008" t="s">
        <v>670</v>
      </c>
      <c r="AI2173" s="1008" t="s">
        <v>670</v>
      </c>
    </row>
    <row r="2174" spans="1:35">
      <c r="A2174" s="1008">
        <v>27118</v>
      </c>
      <c r="B2174" s="1008">
        <v>5951</v>
      </c>
      <c r="C2174" s="1008">
        <v>6</v>
      </c>
      <c r="D2174" s="1009">
        <v>30199900</v>
      </c>
      <c r="E2174" s="1009">
        <v>30112290</v>
      </c>
      <c r="F2174" s="1007" t="s">
        <v>2480</v>
      </c>
      <c r="G2174" s="1007" t="s">
        <v>648</v>
      </c>
      <c r="H2174" s="1010">
        <v>99999999</v>
      </c>
      <c r="I2174" s="1009">
        <v>30112290</v>
      </c>
      <c r="J2174" s="1007" t="s">
        <v>2479</v>
      </c>
      <c r="O2174" s="1007" t="s">
        <v>648</v>
      </c>
      <c r="P2174" s="1007" t="s">
        <v>648</v>
      </c>
      <c r="S2174" s="1008" t="s">
        <v>657</v>
      </c>
      <c r="T2174" s="1008" t="s">
        <v>654</v>
      </c>
      <c r="U2174" s="1008" t="s">
        <v>649</v>
      </c>
      <c r="V2174" s="1008" t="s">
        <v>648</v>
      </c>
      <c r="W2174" s="1008" t="s">
        <v>546</v>
      </c>
      <c r="X2174" s="1008" t="s">
        <v>670</v>
      </c>
      <c r="Y2174" s="1008" t="s">
        <v>670</v>
      </c>
      <c r="Z2174" s="1008" t="s">
        <v>670</v>
      </c>
      <c r="AA2174" s="1008" t="s">
        <v>670</v>
      </c>
      <c r="AB2174" s="1008" t="s">
        <v>670</v>
      </c>
      <c r="AC2174" s="1008" t="s">
        <v>670</v>
      </c>
      <c r="AD2174" s="1008" t="s">
        <v>670</v>
      </c>
      <c r="AE2174" s="1008" t="s">
        <v>670</v>
      </c>
      <c r="AF2174" s="1008" t="s">
        <v>670</v>
      </c>
      <c r="AG2174" s="1008" t="s">
        <v>670</v>
      </c>
      <c r="AH2174" s="1008" t="s">
        <v>670</v>
      </c>
      <c r="AI2174" s="1008" t="s">
        <v>670</v>
      </c>
    </row>
    <row r="2175" spans="1:35">
      <c r="A2175" s="1008">
        <v>27127</v>
      </c>
      <c r="B2175" s="1008">
        <v>5958</v>
      </c>
      <c r="C2175" s="1008">
        <v>6</v>
      </c>
      <c r="D2175" s="1009">
        <v>30199900</v>
      </c>
      <c r="E2175" s="1009">
        <v>30112700</v>
      </c>
      <c r="F2175" s="1007" t="s">
        <v>2478</v>
      </c>
      <c r="G2175" s="1007" t="s">
        <v>648</v>
      </c>
      <c r="H2175" s="1010">
        <v>99999999</v>
      </c>
      <c r="I2175" s="1009">
        <v>30112700</v>
      </c>
      <c r="J2175" s="1007" t="s">
        <v>2477</v>
      </c>
      <c r="O2175" s="1007" t="s">
        <v>648</v>
      </c>
      <c r="P2175" s="1007" t="s">
        <v>648</v>
      </c>
      <c r="S2175" s="1008" t="s">
        <v>650</v>
      </c>
      <c r="T2175" s="1008" t="s">
        <v>654</v>
      </c>
      <c r="U2175" s="1008" t="s">
        <v>649</v>
      </c>
      <c r="V2175" s="1008" t="s">
        <v>648</v>
      </c>
      <c r="W2175" s="1008" t="s">
        <v>546</v>
      </c>
      <c r="X2175" s="1008" t="s">
        <v>670</v>
      </c>
      <c r="Y2175" s="1008" t="s">
        <v>670</v>
      </c>
      <c r="Z2175" s="1008" t="s">
        <v>670</v>
      </c>
      <c r="AA2175" s="1008" t="s">
        <v>670</v>
      </c>
      <c r="AB2175" s="1008" t="s">
        <v>670</v>
      </c>
      <c r="AC2175" s="1008" t="s">
        <v>670</v>
      </c>
      <c r="AD2175" s="1008" t="s">
        <v>670</v>
      </c>
      <c r="AE2175" s="1008" t="s">
        <v>670</v>
      </c>
      <c r="AF2175" s="1008" t="s">
        <v>670</v>
      </c>
      <c r="AG2175" s="1008" t="s">
        <v>670</v>
      </c>
      <c r="AH2175" s="1008" t="s">
        <v>670</v>
      </c>
      <c r="AI2175" s="1008" t="s">
        <v>670</v>
      </c>
    </row>
    <row r="2176" spans="1:35">
      <c r="A2176" s="1008">
        <v>26319</v>
      </c>
      <c r="B2176" s="1008">
        <v>1991</v>
      </c>
      <c r="C2176" s="1008">
        <v>6</v>
      </c>
      <c r="D2176" s="1009">
        <v>30199900</v>
      </c>
      <c r="E2176" s="1009">
        <v>30114500</v>
      </c>
      <c r="F2176" s="1007" t="s">
        <v>2476</v>
      </c>
      <c r="G2176" s="1007">
        <v>6</v>
      </c>
      <c r="H2176" s="1010">
        <v>99999999</v>
      </c>
      <c r="I2176" s="1009">
        <v>30114500</v>
      </c>
      <c r="J2176" s="1007" t="s">
        <v>2476</v>
      </c>
      <c r="O2176" s="1007" t="s">
        <v>648</v>
      </c>
      <c r="P2176" s="1007" t="s">
        <v>648</v>
      </c>
      <c r="S2176" s="1008" t="s">
        <v>657</v>
      </c>
      <c r="T2176" s="1008" t="s">
        <v>654</v>
      </c>
      <c r="U2176" s="1008" t="s">
        <v>649</v>
      </c>
      <c r="V2176" s="1008" t="s">
        <v>648</v>
      </c>
      <c r="W2176" s="1008" t="s">
        <v>546</v>
      </c>
      <c r="X2176" s="1008" t="s">
        <v>670</v>
      </c>
      <c r="Y2176" s="1008" t="s">
        <v>670</v>
      </c>
      <c r="Z2176" s="1008" t="s">
        <v>670</v>
      </c>
      <c r="AA2176" s="1008" t="s">
        <v>670</v>
      </c>
      <c r="AB2176" s="1008" t="s">
        <v>670</v>
      </c>
      <c r="AC2176" s="1008" t="s">
        <v>670</v>
      </c>
      <c r="AD2176" s="1008" t="s">
        <v>670</v>
      </c>
      <c r="AE2176" s="1008" t="s">
        <v>670</v>
      </c>
      <c r="AF2176" s="1008" t="s">
        <v>670</v>
      </c>
      <c r="AG2176" s="1008" t="s">
        <v>670</v>
      </c>
      <c r="AH2176" s="1008" t="s">
        <v>670</v>
      </c>
      <c r="AI2176" s="1008" t="s">
        <v>670</v>
      </c>
    </row>
    <row r="2177" spans="1:35">
      <c r="A2177" s="1008">
        <v>26318</v>
      </c>
      <c r="B2177" s="1008">
        <v>1992</v>
      </c>
      <c r="C2177" s="1008">
        <v>6</v>
      </c>
      <c r="D2177" s="1009">
        <v>30199900</v>
      </c>
      <c r="E2177" s="1009">
        <v>30115550</v>
      </c>
      <c r="F2177" s="1007" t="s">
        <v>2475</v>
      </c>
      <c r="G2177" s="1007">
        <v>6</v>
      </c>
      <c r="H2177" s="1010">
        <v>99999999</v>
      </c>
      <c r="I2177" s="1009">
        <v>30115550</v>
      </c>
      <c r="J2177" s="1007" t="s">
        <v>2475</v>
      </c>
      <c r="O2177" s="1007" t="s">
        <v>648</v>
      </c>
      <c r="P2177" s="1007" t="s">
        <v>648</v>
      </c>
      <c r="S2177" s="1008" t="s">
        <v>657</v>
      </c>
      <c r="T2177" s="1008" t="s">
        <v>654</v>
      </c>
      <c r="U2177" s="1008" t="s">
        <v>649</v>
      </c>
      <c r="V2177" s="1008" t="s">
        <v>648</v>
      </c>
      <c r="W2177" s="1008" t="s">
        <v>546</v>
      </c>
      <c r="X2177" s="1008" t="s">
        <v>670</v>
      </c>
      <c r="Y2177" s="1008" t="s">
        <v>670</v>
      </c>
      <c r="Z2177" s="1008" t="s">
        <v>670</v>
      </c>
      <c r="AA2177" s="1008" t="s">
        <v>670</v>
      </c>
      <c r="AB2177" s="1008" t="s">
        <v>670</v>
      </c>
      <c r="AC2177" s="1008" t="s">
        <v>670</v>
      </c>
      <c r="AD2177" s="1008" t="s">
        <v>670</v>
      </c>
      <c r="AE2177" s="1008" t="s">
        <v>670</v>
      </c>
      <c r="AF2177" s="1008" t="s">
        <v>670</v>
      </c>
      <c r="AG2177" s="1008" t="s">
        <v>670</v>
      </c>
      <c r="AH2177" s="1008" t="s">
        <v>670</v>
      </c>
      <c r="AI2177" s="1008" t="s">
        <v>670</v>
      </c>
    </row>
    <row r="2178" spans="1:35">
      <c r="A2178" s="1008">
        <v>27806</v>
      </c>
      <c r="B2178" s="1008">
        <v>6603</v>
      </c>
      <c r="C2178" s="1008">
        <v>6</v>
      </c>
      <c r="D2178" s="1009">
        <v>30199900</v>
      </c>
      <c r="E2178" s="1009">
        <v>30115600</v>
      </c>
      <c r="F2178" s="1007" t="s">
        <v>2474</v>
      </c>
      <c r="G2178" s="1007" t="s">
        <v>648</v>
      </c>
      <c r="H2178" s="1010">
        <v>99999999</v>
      </c>
      <c r="I2178" s="1009">
        <v>30115600</v>
      </c>
      <c r="J2178" s="1007" t="s">
        <v>2474</v>
      </c>
      <c r="O2178" s="1007" t="s">
        <v>648</v>
      </c>
      <c r="P2178" s="1007" t="s">
        <v>648</v>
      </c>
      <c r="S2178" s="1008" t="s">
        <v>657</v>
      </c>
      <c r="T2178" s="1008" t="s">
        <v>654</v>
      </c>
      <c r="U2178" s="1008" t="s">
        <v>649</v>
      </c>
      <c r="V2178" s="1008" t="s">
        <v>648</v>
      </c>
      <c r="W2178" s="1008" t="s">
        <v>546</v>
      </c>
      <c r="X2178" s="1008" t="s">
        <v>670</v>
      </c>
      <c r="Y2178" s="1008" t="s">
        <v>670</v>
      </c>
      <c r="Z2178" s="1008" t="s">
        <v>670</v>
      </c>
      <c r="AA2178" s="1008" t="s">
        <v>670</v>
      </c>
      <c r="AB2178" s="1008" t="s">
        <v>670</v>
      </c>
      <c r="AC2178" s="1008" t="s">
        <v>670</v>
      </c>
      <c r="AD2178" s="1008" t="s">
        <v>670</v>
      </c>
      <c r="AE2178" s="1008" t="s">
        <v>670</v>
      </c>
      <c r="AF2178" s="1008" t="s">
        <v>670</v>
      </c>
      <c r="AG2178" s="1008" t="s">
        <v>670</v>
      </c>
      <c r="AH2178" s="1008" t="s">
        <v>670</v>
      </c>
      <c r="AI2178" s="1008" t="s">
        <v>670</v>
      </c>
    </row>
    <row r="2179" spans="1:35">
      <c r="A2179" s="1008">
        <v>27807</v>
      </c>
      <c r="B2179" s="1008">
        <v>6604</v>
      </c>
      <c r="C2179" s="1008">
        <v>6</v>
      </c>
      <c r="D2179" s="1009">
        <v>30199900</v>
      </c>
      <c r="E2179" s="1009">
        <v>30115610</v>
      </c>
      <c r="F2179" s="1007" t="s">
        <v>2473</v>
      </c>
      <c r="G2179" s="1007" t="s">
        <v>648</v>
      </c>
      <c r="H2179" s="1010">
        <v>99999999</v>
      </c>
      <c r="I2179" s="1009">
        <v>30115610</v>
      </c>
      <c r="J2179" s="1007" t="s">
        <v>2473</v>
      </c>
      <c r="O2179" s="1007" t="s">
        <v>648</v>
      </c>
      <c r="P2179" s="1007" t="s">
        <v>648</v>
      </c>
      <c r="S2179" s="1008" t="s">
        <v>657</v>
      </c>
      <c r="T2179" s="1008" t="s">
        <v>654</v>
      </c>
      <c r="U2179" s="1008" t="s">
        <v>649</v>
      </c>
      <c r="V2179" s="1008" t="s">
        <v>648</v>
      </c>
      <c r="W2179" s="1008" t="s">
        <v>546</v>
      </c>
      <c r="X2179" s="1008" t="s">
        <v>670</v>
      </c>
      <c r="Y2179" s="1008" t="s">
        <v>670</v>
      </c>
      <c r="Z2179" s="1008" t="s">
        <v>670</v>
      </c>
      <c r="AA2179" s="1008" t="s">
        <v>670</v>
      </c>
      <c r="AB2179" s="1008" t="s">
        <v>670</v>
      </c>
      <c r="AC2179" s="1008" t="s">
        <v>670</v>
      </c>
      <c r="AD2179" s="1008" t="s">
        <v>670</v>
      </c>
      <c r="AE2179" s="1008" t="s">
        <v>670</v>
      </c>
      <c r="AF2179" s="1008" t="s">
        <v>670</v>
      </c>
      <c r="AG2179" s="1008" t="s">
        <v>670</v>
      </c>
      <c r="AH2179" s="1008" t="s">
        <v>670</v>
      </c>
      <c r="AI2179" s="1008" t="s">
        <v>670</v>
      </c>
    </row>
    <row r="2180" spans="1:35">
      <c r="A2180" s="1008">
        <v>27808</v>
      </c>
      <c r="B2180" s="1008">
        <v>6605</v>
      </c>
      <c r="C2180" s="1008">
        <v>6</v>
      </c>
      <c r="D2180" s="1009">
        <v>30199900</v>
      </c>
      <c r="E2180" s="1009">
        <v>30115620</v>
      </c>
      <c r="F2180" s="1007" t="s">
        <v>2472</v>
      </c>
      <c r="G2180" s="1007" t="s">
        <v>648</v>
      </c>
      <c r="H2180" s="1010">
        <v>99999999</v>
      </c>
      <c r="I2180" s="1009">
        <v>30115620</v>
      </c>
      <c r="J2180" s="1007" t="s">
        <v>2472</v>
      </c>
      <c r="O2180" s="1007" t="s">
        <v>648</v>
      </c>
      <c r="P2180" s="1007" t="s">
        <v>648</v>
      </c>
      <c r="S2180" s="1008" t="s">
        <v>657</v>
      </c>
      <c r="T2180" s="1008" t="s">
        <v>654</v>
      </c>
      <c r="U2180" s="1008" t="s">
        <v>649</v>
      </c>
      <c r="V2180" s="1008" t="s">
        <v>648</v>
      </c>
      <c r="W2180" s="1008" t="s">
        <v>546</v>
      </c>
      <c r="X2180" s="1008" t="s">
        <v>670</v>
      </c>
      <c r="Y2180" s="1008" t="s">
        <v>670</v>
      </c>
      <c r="Z2180" s="1008" t="s">
        <v>670</v>
      </c>
      <c r="AA2180" s="1008" t="s">
        <v>670</v>
      </c>
      <c r="AB2180" s="1008" t="s">
        <v>670</v>
      </c>
      <c r="AC2180" s="1008" t="s">
        <v>670</v>
      </c>
      <c r="AD2180" s="1008" t="s">
        <v>670</v>
      </c>
      <c r="AE2180" s="1008" t="s">
        <v>670</v>
      </c>
      <c r="AF2180" s="1008" t="s">
        <v>670</v>
      </c>
      <c r="AG2180" s="1008" t="s">
        <v>670</v>
      </c>
      <c r="AH2180" s="1008" t="s">
        <v>670</v>
      </c>
      <c r="AI2180" s="1008" t="s">
        <v>670</v>
      </c>
    </row>
    <row r="2181" spans="1:35">
      <c r="A2181" s="1008">
        <v>27809</v>
      </c>
      <c r="B2181" s="1008">
        <v>6615</v>
      </c>
      <c r="C2181" s="1008">
        <v>6</v>
      </c>
      <c r="D2181" s="1009">
        <v>30199900</v>
      </c>
      <c r="E2181" s="1009">
        <v>30115630</v>
      </c>
      <c r="F2181" s="1007" t="s">
        <v>2471</v>
      </c>
      <c r="G2181" s="1007">
        <v>8</v>
      </c>
      <c r="H2181" s="1010">
        <v>99999999</v>
      </c>
      <c r="I2181" s="1009">
        <v>30115630</v>
      </c>
      <c r="J2181" s="1007" t="s">
        <v>2471</v>
      </c>
      <c r="O2181" s="1007" t="s">
        <v>648</v>
      </c>
      <c r="P2181" s="1007" t="s">
        <v>648</v>
      </c>
      <c r="S2181" s="1008" t="s">
        <v>657</v>
      </c>
      <c r="T2181" s="1008" t="s">
        <v>654</v>
      </c>
      <c r="U2181" s="1008" t="s">
        <v>649</v>
      </c>
      <c r="V2181" s="1008" t="s">
        <v>648</v>
      </c>
      <c r="W2181" s="1008" t="s">
        <v>546</v>
      </c>
      <c r="X2181" s="1008" t="s">
        <v>670</v>
      </c>
      <c r="Y2181" s="1008" t="s">
        <v>670</v>
      </c>
      <c r="Z2181" s="1008"/>
      <c r="AA2181" s="1008" t="s">
        <v>670</v>
      </c>
      <c r="AB2181" s="1008" t="s">
        <v>670</v>
      </c>
      <c r="AC2181" s="1008" t="s">
        <v>670</v>
      </c>
      <c r="AD2181" s="1008" t="s">
        <v>670</v>
      </c>
      <c r="AE2181" s="1008" t="s">
        <v>670</v>
      </c>
      <c r="AF2181" s="1008" t="s">
        <v>670</v>
      </c>
      <c r="AG2181" s="1008" t="s">
        <v>670</v>
      </c>
      <c r="AH2181" s="1008" t="s">
        <v>670</v>
      </c>
      <c r="AI2181" s="1008"/>
    </row>
    <row r="2182" spans="1:35">
      <c r="A2182" s="1008">
        <v>26317</v>
      </c>
      <c r="B2182" s="1008">
        <v>5252</v>
      </c>
      <c r="C2182" s="1008">
        <v>6</v>
      </c>
      <c r="D2182" s="1009">
        <v>30199900</v>
      </c>
      <c r="E2182" s="1009">
        <v>30118800</v>
      </c>
      <c r="F2182" s="1007" t="s">
        <v>2470</v>
      </c>
      <c r="G2182" s="1007">
        <v>6</v>
      </c>
      <c r="H2182" s="1010">
        <v>99999999</v>
      </c>
      <c r="I2182" s="1009">
        <v>30118800</v>
      </c>
      <c r="J2182" s="1007" t="s">
        <v>2470</v>
      </c>
      <c r="O2182" s="1007" t="s">
        <v>648</v>
      </c>
      <c r="P2182" s="1007" t="s">
        <v>648</v>
      </c>
      <c r="S2182" s="1008" t="s">
        <v>657</v>
      </c>
      <c r="T2182" s="1008" t="s">
        <v>654</v>
      </c>
      <c r="U2182" s="1008" t="s">
        <v>649</v>
      </c>
      <c r="V2182" s="1008" t="s">
        <v>648</v>
      </c>
      <c r="W2182" s="1008" t="s">
        <v>546</v>
      </c>
      <c r="X2182" s="1008" t="s">
        <v>670</v>
      </c>
      <c r="Y2182" s="1008" t="s">
        <v>670</v>
      </c>
      <c r="Z2182" s="1008" t="s">
        <v>670</v>
      </c>
      <c r="AA2182" s="1008" t="s">
        <v>670</v>
      </c>
      <c r="AB2182" s="1008" t="s">
        <v>670</v>
      </c>
      <c r="AC2182" s="1008" t="s">
        <v>670</v>
      </c>
      <c r="AD2182" s="1008" t="s">
        <v>670</v>
      </c>
      <c r="AE2182" s="1008" t="s">
        <v>670</v>
      </c>
      <c r="AF2182" s="1008" t="s">
        <v>670</v>
      </c>
      <c r="AG2182" s="1008" t="s">
        <v>670</v>
      </c>
      <c r="AH2182" s="1008" t="s">
        <v>670</v>
      </c>
      <c r="AI2182" s="1008" t="s">
        <v>670</v>
      </c>
    </row>
    <row r="2183" spans="1:35">
      <c r="A2183" s="1008">
        <v>24706</v>
      </c>
      <c r="C2183" s="1008">
        <v>5</v>
      </c>
      <c r="D2183" s="1009">
        <v>30199999</v>
      </c>
      <c r="E2183" s="1009">
        <v>30199900</v>
      </c>
      <c r="F2183" s="1007" t="s">
        <v>2469</v>
      </c>
      <c r="O2183" s="1007" t="s">
        <v>648</v>
      </c>
      <c r="P2183" s="1007" t="s">
        <v>648</v>
      </c>
      <c r="S2183" s="1008" t="s">
        <v>657</v>
      </c>
      <c r="T2183" s="1008" t="s">
        <v>21</v>
      </c>
      <c r="U2183" s="1008" t="s">
        <v>649</v>
      </c>
      <c r="V2183" s="1008" t="s">
        <v>648</v>
      </c>
      <c r="W2183" s="1008" t="s">
        <v>546</v>
      </c>
      <c r="X2183" s="1008"/>
      <c r="Y2183" s="1008"/>
      <c r="Z2183" s="1008"/>
      <c r="AA2183" s="1008"/>
      <c r="AB2183" s="1008"/>
      <c r="AC2183" s="1008"/>
      <c r="AD2183" s="1008"/>
      <c r="AE2183" s="1008"/>
      <c r="AF2183" s="1008"/>
      <c r="AG2183" s="1008"/>
      <c r="AH2183" s="1008"/>
      <c r="AI2183" s="1008"/>
    </row>
    <row r="2184" spans="1:35">
      <c r="A2184" s="1008">
        <v>24707</v>
      </c>
      <c r="C2184" s="1008">
        <v>4</v>
      </c>
      <c r="D2184" s="1009">
        <v>39999990</v>
      </c>
      <c r="E2184" s="1009">
        <v>30199999</v>
      </c>
      <c r="F2184" s="1007" t="s">
        <v>2468</v>
      </c>
      <c r="O2184" s="1007" t="s">
        <v>648</v>
      </c>
      <c r="P2184" s="1007" t="s">
        <v>648</v>
      </c>
      <c r="S2184" s="1008" t="s">
        <v>657</v>
      </c>
      <c r="T2184" s="1008" t="s">
        <v>21</v>
      </c>
      <c r="U2184" s="1008" t="s">
        <v>649</v>
      </c>
      <c r="V2184" s="1008" t="s">
        <v>648</v>
      </c>
      <c r="W2184" s="1008" t="s">
        <v>546</v>
      </c>
      <c r="X2184" s="1008"/>
      <c r="Y2184" s="1008"/>
      <c r="Z2184" s="1008"/>
      <c r="AA2184" s="1008"/>
      <c r="AB2184" s="1008"/>
      <c r="AC2184" s="1008"/>
      <c r="AD2184" s="1008"/>
      <c r="AE2184" s="1008"/>
      <c r="AF2184" s="1008"/>
      <c r="AG2184" s="1008"/>
      <c r="AH2184" s="1008"/>
      <c r="AI2184" s="1008"/>
    </row>
    <row r="2185" spans="1:35">
      <c r="A2185" s="1008">
        <v>24708</v>
      </c>
      <c r="C2185" s="1008">
        <v>4</v>
      </c>
      <c r="D2185" s="1009">
        <v>31199999</v>
      </c>
      <c r="E2185" s="1009">
        <v>31100000</v>
      </c>
      <c r="F2185" s="1007" t="s">
        <v>2467</v>
      </c>
      <c r="O2185" s="1007" t="s">
        <v>648</v>
      </c>
      <c r="P2185" s="1007" t="s">
        <v>648</v>
      </c>
      <c r="S2185" s="1008" t="s">
        <v>657</v>
      </c>
      <c r="T2185" s="1008" t="s">
        <v>675</v>
      </c>
      <c r="U2185" s="1008" t="s">
        <v>649</v>
      </c>
      <c r="V2185" s="1008" t="s">
        <v>648</v>
      </c>
      <c r="W2185" s="1008" t="s">
        <v>546</v>
      </c>
      <c r="X2185" s="1008"/>
      <c r="Y2185" s="1008"/>
      <c r="Z2185" s="1008"/>
      <c r="AA2185" s="1008"/>
      <c r="AB2185" s="1008"/>
      <c r="AC2185" s="1008"/>
      <c r="AD2185" s="1008"/>
      <c r="AE2185" s="1008"/>
      <c r="AF2185" s="1008"/>
      <c r="AG2185" s="1008"/>
      <c r="AH2185" s="1008"/>
      <c r="AI2185" s="1008"/>
    </row>
    <row r="2186" spans="1:35">
      <c r="A2186" s="1008">
        <v>24709</v>
      </c>
      <c r="C2186" s="1008">
        <v>5</v>
      </c>
      <c r="D2186" s="1009">
        <v>31199900</v>
      </c>
      <c r="E2186" s="1009">
        <v>31101000</v>
      </c>
      <c r="F2186" s="1007" t="s">
        <v>2466</v>
      </c>
      <c r="O2186" s="1007" t="s">
        <v>648</v>
      </c>
      <c r="P2186" s="1007" t="s">
        <v>648</v>
      </c>
      <c r="S2186" s="1008" t="s">
        <v>657</v>
      </c>
      <c r="T2186" s="1008" t="s">
        <v>675</v>
      </c>
      <c r="U2186" s="1008" t="s">
        <v>649</v>
      </c>
      <c r="V2186" s="1008" t="s">
        <v>648</v>
      </c>
      <c r="W2186" s="1008" t="s">
        <v>546</v>
      </c>
      <c r="X2186" s="1008"/>
      <c r="Y2186" s="1008"/>
      <c r="Z2186" s="1008"/>
      <c r="AA2186" s="1008"/>
      <c r="AB2186" s="1008"/>
      <c r="AC2186" s="1008"/>
      <c r="AD2186" s="1008"/>
      <c r="AE2186" s="1008"/>
      <c r="AF2186" s="1008"/>
      <c r="AG2186" s="1008"/>
      <c r="AH2186" s="1008"/>
      <c r="AI2186" s="1008"/>
    </row>
    <row r="2187" spans="1:35">
      <c r="A2187" s="1008">
        <v>26316</v>
      </c>
      <c r="B2187" s="1008">
        <v>641</v>
      </c>
      <c r="C2187" s="1008">
        <v>6</v>
      </c>
      <c r="D2187" s="1009">
        <v>31199900</v>
      </c>
      <c r="E2187" s="1009">
        <v>31111300</v>
      </c>
      <c r="F2187" s="1007" t="s">
        <v>2465</v>
      </c>
      <c r="G2187" s="1007">
        <v>8</v>
      </c>
      <c r="H2187" s="1010">
        <v>99999999</v>
      </c>
      <c r="I2187" s="1009">
        <v>31111300</v>
      </c>
      <c r="J2187" s="1007" t="s">
        <v>2464</v>
      </c>
      <c r="O2187" s="1007" t="s">
        <v>648</v>
      </c>
      <c r="P2187" s="1007" t="s">
        <v>648</v>
      </c>
      <c r="S2187" s="1008" t="s">
        <v>657</v>
      </c>
      <c r="T2187" s="1008" t="s">
        <v>654</v>
      </c>
      <c r="U2187" s="1008" t="s">
        <v>649</v>
      </c>
      <c r="V2187" s="1008" t="s">
        <v>648</v>
      </c>
      <c r="W2187" s="1008" t="s">
        <v>546</v>
      </c>
      <c r="X2187" s="1008" t="s">
        <v>670</v>
      </c>
      <c r="Y2187" s="1008" t="s">
        <v>670</v>
      </c>
      <c r="Z2187" s="1008" t="s">
        <v>670</v>
      </c>
      <c r="AA2187" s="1008" t="s">
        <v>670</v>
      </c>
      <c r="AB2187" s="1008" t="s">
        <v>670</v>
      </c>
      <c r="AC2187" s="1008" t="s">
        <v>670</v>
      </c>
      <c r="AD2187" s="1008" t="s">
        <v>670</v>
      </c>
      <c r="AE2187" s="1008" t="s">
        <v>670</v>
      </c>
      <c r="AF2187" s="1008" t="s">
        <v>670</v>
      </c>
      <c r="AG2187" s="1008" t="s">
        <v>670</v>
      </c>
      <c r="AH2187" s="1008" t="s">
        <v>670</v>
      </c>
      <c r="AI2187" s="1008" t="s">
        <v>670</v>
      </c>
    </row>
    <row r="2188" spans="1:35">
      <c r="A2188" s="1008">
        <v>27715</v>
      </c>
      <c r="B2188" s="1008">
        <v>6537</v>
      </c>
      <c r="C2188" s="1008">
        <v>6</v>
      </c>
      <c r="D2188" s="1009">
        <v>31199900</v>
      </c>
      <c r="E2188" s="1009">
        <v>31111305</v>
      </c>
      <c r="F2188" s="1007" t="s">
        <v>2463</v>
      </c>
      <c r="G2188" s="1007">
        <v>8</v>
      </c>
      <c r="H2188" s="1010">
        <v>99999999</v>
      </c>
      <c r="I2188" s="1009">
        <v>31111305</v>
      </c>
      <c r="J2188" s="1007" t="s">
        <v>2463</v>
      </c>
      <c r="O2188" s="1007" t="s">
        <v>648</v>
      </c>
      <c r="P2188" s="1007" t="s">
        <v>648</v>
      </c>
      <c r="S2188" s="1008" t="s">
        <v>657</v>
      </c>
      <c r="T2188" s="1008" t="s">
        <v>654</v>
      </c>
      <c r="U2188" s="1008" t="s">
        <v>649</v>
      </c>
      <c r="V2188" s="1008" t="s">
        <v>648</v>
      </c>
      <c r="W2188" s="1008" t="s">
        <v>546</v>
      </c>
      <c r="X2188" s="1008" t="s">
        <v>670</v>
      </c>
      <c r="Y2188" s="1008" t="s">
        <v>670</v>
      </c>
      <c r="Z2188" s="1008" t="s">
        <v>670</v>
      </c>
      <c r="AA2188" s="1008" t="s">
        <v>670</v>
      </c>
      <c r="AB2188" s="1008" t="s">
        <v>670</v>
      </c>
      <c r="AC2188" s="1008" t="s">
        <v>670</v>
      </c>
      <c r="AD2188" s="1008" t="s">
        <v>670</v>
      </c>
      <c r="AE2188" s="1008" t="s">
        <v>670</v>
      </c>
      <c r="AF2188" s="1008" t="s">
        <v>670</v>
      </c>
      <c r="AG2188" s="1008" t="s">
        <v>670</v>
      </c>
      <c r="AH2188" s="1008" t="s">
        <v>670</v>
      </c>
      <c r="AI2188" s="1008" t="s">
        <v>670</v>
      </c>
    </row>
    <row r="2189" spans="1:35">
      <c r="A2189" s="1008">
        <v>27611</v>
      </c>
      <c r="B2189" s="1008">
        <v>6449</v>
      </c>
      <c r="C2189" s="1008">
        <v>6</v>
      </c>
      <c r="D2189" s="1009">
        <v>31199900</v>
      </c>
      <c r="E2189" s="1009">
        <v>31111310</v>
      </c>
      <c r="F2189" s="1007" t="s">
        <v>2462</v>
      </c>
      <c r="G2189" s="1007">
        <v>6</v>
      </c>
      <c r="H2189" s="1010">
        <v>99999999</v>
      </c>
      <c r="I2189" s="1009">
        <v>31111310</v>
      </c>
      <c r="J2189" s="1007" t="s">
        <v>2461</v>
      </c>
      <c r="O2189" s="1007" t="s">
        <v>648</v>
      </c>
      <c r="P2189" s="1007" t="s">
        <v>648</v>
      </c>
      <c r="S2189" s="1008" t="s">
        <v>657</v>
      </c>
      <c r="T2189" s="1008" t="s">
        <v>654</v>
      </c>
      <c r="U2189" s="1008" t="s">
        <v>649</v>
      </c>
      <c r="V2189" s="1008" t="s">
        <v>648</v>
      </c>
      <c r="W2189" s="1008" t="s">
        <v>546</v>
      </c>
      <c r="X2189" s="1008" t="s">
        <v>670</v>
      </c>
      <c r="Y2189" s="1008" t="s">
        <v>670</v>
      </c>
      <c r="Z2189" s="1008" t="s">
        <v>670</v>
      </c>
      <c r="AA2189" s="1008" t="s">
        <v>670</v>
      </c>
      <c r="AB2189" s="1008" t="s">
        <v>670</v>
      </c>
      <c r="AC2189" s="1008" t="s">
        <v>670</v>
      </c>
      <c r="AD2189" s="1008" t="s">
        <v>670</v>
      </c>
      <c r="AE2189" s="1008" t="s">
        <v>670</v>
      </c>
      <c r="AF2189" s="1008" t="s">
        <v>670</v>
      </c>
      <c r="AG2189" s="1008" t="s">
        <v>670</v>
      </c>
      <c r="AH2189" s="1008" t="s">
        <v>670</v>
      </c>
      <c r="AI2189" s="1008" t="s">
        <v>670</v>
      </c>
    </row>
    <row r="2190" spans="1:35">
      <c r="A2190" s="1008">
        <v>27612</v>
      </c>
      <c r="B2190" s="1008">
        <v>6450</v>
      </c>
      <c r="C2190" s="1008">
        <v>6</v>
      </c>
      <c r="D2190" s="1009">
        <v>31199900</v>
      </c>
      <c r="E2190" s="1009">
        <v>31111330</v>
      </c>
      <c r="F2190" s="1007" t="s">
        <v>2460</v>
      </c>
      <c r="G2190" s="1007">
        <v>6</v>
      </c>
      <c r="H2190" s="1010">
        <v>99999999</v>
      </c>
      <c r="I2190" s="1009">
        <v>31111330</v>
      </c>
      <c r="J2190" s="1007" t="s">
        <v>2459</v>
      </c>
      <c r="O2190" s="1007" t="s">
        <v>648</v>
      </c>
      <c r="P2190" s="1007" t="s">
        <v>648</v>
      </c>
      <c r="S2190" s="1008" t="s">
        <v>657</v>
      </c>
      <c r="T2190" s="1008" t="s">
        <v>654</v>
      </c>
      <c r="U2190" s="1008" t="s">
        <v>649</v>
      </c>
      <c r="V2190" s="1008" t="s">
        <v>648</v>
      </c>
      <c r="W2190" s="1008" t="s">
        <v>546</v>
      </c>
      <c r="X2190" s="1008" t="s">
        <v>670</v>
      </c>
      <c r="Y2190" s="1008" t="s">
        <v>670</v>
      </c>
      <c r="Z2190" s="1008" t="s">
        <v>670</v>
      </c>
      <c r="AA2190" s="1008" t="s">
        <v>670</v>
      </c>
      <c r="AB2190" s="1008" t="s">
        <v>670</v>
      </c>
      <c r="AC2190" s="1008" t="s">
        <v>670</v>
      </c>
      <c r="AD2190" s="1008" t="s">
        <v>670</v>
      </c>
      <c r="AE2190" s="1008" t="s">
        <v>670</v>
      </c>
      <c r="AF2190" s="1008" t="s">
        <v>670</v>
      </c>
      <c r="AG2190" s="1008" t="s">
        <v>670</v>
      </c>
      <c r="AH2190" s="1008" t="s">
        <v>670</v>
      </c>
      <c r="AI2190" s="1008" t="s">
        <v>670</v>
      </c>
    </row>
    <row r="2191" spans="1:35">
      <c r="A2191" s="1008">
        <v>27119</v>
      </c>
      <c r="B2191" s="1008">
        <v>5952</v>
      </c>
      <c r="C2191" s="1008">
        <v>6</v>
      </c>
      <c r="D2191" s="1009">
        <v>31199900</v>
      </c>
      <c r="E2191" s="1009">
        <v>31111700</v>
      </c>
      <c r="F2191" s="1007" t="s">
        <v>2458</v>
      </c>
      <c r="G2191" s="1007">
        <v>8</v>
      </c>
      <c r="H2191" s="1010">
        <v>99999999</v>
      </c>
      <c r="I2191" s="1009">
        <v>31111700</v>
      </c>
      <c r="J2191" s="1007" t="s">
        <v>2457</v>
      </c>
      <c r="O2191" s="1007" t="s">
        <v>648</v>
      </c>
      <c r="P2191" s="1007" t="s">
        <v>648</v>
      </c>
      <c r="S2191" s="1008" t="s">
        <v>657</v>
      </c>
      <c r="T2191" s="1008" t="s">
        <v>654</v>
      </c>
      <c r="U2191" s="1008" t="s">
        <v>649</v>
      </c>
      <c r="V2191" s="1008" t="s">
        <v>648</v>
      </c>
      <c r="W2191" s="1008" t="s">
        <v>546</v>
      </c>
      <c r="X2191" s="1008" t="s">
        <v>670</v>
      </c>
      <c r="Y2191" s="1008" t="s">
        <v>670</v>
      </c>
      <c r="Z2191" s="1008" t="s">
        <v>670</v>
      </c>
      <c r="AA2191" s="1008" t="s">
        <v>670</v>
      </c>
      <c r="AB2191" s="1008" t="s">
        <v>670</v>
      </c>
      <c r="AC2191" s="1008" t="s">
        <v>670</v>
      </c>
      <c r="AD2191" s="1008" t="s">
        <v>670</v>
      </c>
      <c r="AE2191" s="1008" t="s">
        <v>670</v>
      </c>
      <c r="AF2191" s="1008" t="s">
        <v>670</v>
      </c>
      <c r="AG2191" s="1008" t="s">
        <v>670</v>
      </c>
      <c r="AH2191" s="1008" t="s">
        <v>670</v>
      </c>
      <c r="AI2191" s="1008" t="s">
        <v>670</v>
      </c>
    </row>
    <row r="2192" spans="1:35">
      <c r="A2192" s="1008">
        <v>24710</v>
      </c>
      <c r="B2192" s="1008">
        <v>642</v>
      </c>
      <c r="C2192" s="1008">
        <v>6</v>
      </c>
      <c r="D2192" s="1009">
        <v>31199900</v>
      </c>
      <c r="E2192" s="1009">
        <v>31112200</v>
      </c>
      <c r="F2192" s="1007" t="s">
        <v>2456</v>
      </c>
      <c r="G2192" s="1007">
        <v>8</v>
      </c>
      <c r="H2192" s="1010">
        <v>99999999</v>
      </c>
      <c r="I2192" s="1009">
        <v>31112200</v>
      </c>
      <c r="J2192" s="1007" t="s">
        <v>2455</v>
      </c>
      <c r="O2192" s="1007" t="s">
        <v>648</v>
      </c>
      <c r="P2192" s="1007" t="s">
        <v>648</v>
      </c>
      <c r="S2192" s="1008" t="s">
        <v>657</v>
      </c>
      <c r="T2192" s="1008" t="s">
        <v>654</v>
      </c>
      <c r="U2192" s="1008" t="s">
        <v>649</v>
      </c>
      <c r="V2192" s="1008" t="s">
        <v>648</v>
      </c>
      <c r="W2192" s="1008" t="s">
        <v>546</v>
      </c>
      <c r="X2192" s="1008" t="s">
        <v>670</v>
      </c>
      <c r="Y2192" s="1008" t="s">
        <v>670</v>
      </c>
      <c r="Z2192" s="1008" t="s">
        <v>670</v>
      </c>
      <c r="AA2192" s="1008" t="s">
        <v>670</v>
      </c>
      <c r="AB2192" s="1008" t="s">
        <v>670</v>
      </c>
      <c r="AC2192" s="1008" t="s">
        <v>670</v>
      </c>
      <c r="AD2192" s="1008" t="s">
        <v>670</v>
      </c>
      <c r="AE2192" s="1008" t="s">
        <v>670</v>
      </c>
      <c r="AF2192" s="1008" t="s">
        <v>670</v>
      </c>
      <c r="AG2192" s="1008" t="s">
        <v>670</v>
      </c>
      <c r="AH2192" s="1008" t="s">
        <v>670</v>
      </c>
      <c r="AI2192" s="1008" t="s">
        <v>670</v>
      </c>
    </row>
    <row r="2193" spans="1:35">
      <c r="A2193" s="1008">
        <v>27563</v>
      </c>
      <c r="B2193" s="1008">
        <v>6413</v>
      </c>
      <c r="C2193" s="1008">
        <v>6</v>
      </c>
      <c r="D2193" s="1009">
        <v>31199900</v>
      </c>
      <c r="E2193" s="1009">
        <v>31112205</v>
      </c>
      <c r="F2193" s="1007" t="s">
        <v>2454</v>
      </c>
      <c r="G2193" s="1007">
        <v>6</v>
      </c>
      <c r="H2193" s="1010">
        <v>99999999</v>
      </c>
      <c r="I2193" s="1009">
        <v>31112205</v>
      </c>
      <c r="J2193" s="1007" t="s">
        <v>2453</v>
      </c>
      <c r="O2193" s="1007" t="s">
        <v>648</v>
      </c>
      <c r="P2193" s="1007" t="s">
        <v>648</v>
      </c>
      <c r="S2193" s="1008" t="s">
        <v>657</v>
      </c>
      <c r="T2193" s="1008" t="s">
        <v>654</v>
      </c>
      <c r="U2193" s="1008" t="s">
        <v>649</v>
      </c>
      <c r="V2193" s="1008" t="s">
        <v>648</v>
      </c>
      <c r="W2193" s="1008" t="s">
        <v>546</v>
      </c>
      <c r="X2193" s="1008" t="s">
        <v>670</v>
      </c>
      <c r="Y2193" s="1008" t="s">
        <v>670</v>
      </c>
      <c r="Z2193" s="1008" t="s">
        <v>670</v>
      </c>
      <c r="AA2193" s="1008" t="s">
        <v>670</v>
      </c>
      <c r="AB2193" s="1008" t="s">
        <v>670</v>
      </c>
      <c r="AC2193" s="1008" t="s">
        <v>670</v>
      </c>
      <c r="AD2193" s="1008" t="s">
        <v>670</v>
      </c>
      <c r="AE2193" s="1008" t="s">
        <v>670</v>
      </c>
      <c r="AF2193" s="1008" t="s">
        <v>670</v>
      </c>
      <c r="AG2193" s="1008" t="s">
        <v>670</v>
      </c>
      <c r="AH2193" s="1008" t="s">
        <v>670</v>
      </c>
      <c r="AI2193" s="1008" t="s">
        <v>670</v>
      </c>
    </row>
    <row r="2194" spans="1:35">
      <c r="A2194" s="1008">
        <v>27090</v>
      </c>
      <c r="B2194" s="1008">
        <v>5920</v>
      </c>
      <c r="C2194" s="1008">
        <v>6</v>
      </c>
      <c r="D2194" s="1009">
        <v>31199900</v>
      </c>
      <c r="E2194" s="1009">
        <v>31112210</v>
      </c>
      <c r="F2194" s="1007" t="s">
        <v>2452</v>
      </c>
      <c r="G2194" s="1007" t="s">
        <v>648</v>
      </c>
      <c r="H2194" s="1010">
        <v>99999999</v>
      </c>
      <c r="I2194" s="1009">
        <v>31112210</v>
      </c>
      <c r="J2194" s="1007" t="s">
        <v>2451</v>
      </c>
      <c r="O2194" s="1007" t="s">
        <v>648</v>
      </c>
      <c r="P2194" s="1007" t="s">
        <v>648</v>
      </c>
      <c r="S2194" s="1008" t="s">
        <v>657</v>
      </c>
      <c r="T2194" s="1008" t="s">
        <v>654</v>
      </c>
      <c r="U2194" s="1008" t="s">
        <v>649</v>
      </c>
      <c r="V2194" s="1008" t="s">
        <v>648</v>
      </c>
      <c r="W2194" s="1008" t="s">
        <v>546</v>
      </c>
      <c r="X2194" s="1008" t="s">
        <v>670</v>
      </c>
      <c r="Y2194" s="1008" t="s">
        <v>670</v>
      </c>
      <c r="Z2194" s="1008" t="s">
        <v>670</v>
      </c>
      <c r="AA2194" s="1008" t="s">
        <v>670</v>
      </c>
      <c r="AB2194" s="1008" t="s">
        <v>670</v>
      </c>
      <c r="AC2194" s="1008" t="s">
        <v>670</v>
      </c>
      <c r="AD2194" s="1008" t="s">
        <v>670</v>
      </c>
      <c r="AE2194" s="1008" t="s">
        <v>670</v>
      </c>
      <c r="AF2194" s="1008" t="s">
        <v>670</v>
      </c>
      <c r="AG2194" s="1008" t="s">
        <v>670</v>
      </c>
      <c r="AH2194" s="1008" t="s">
        <v>670</v>
      </c>
      <c r="AI2194" s="1008" t="s">
        <v>670</v>
      </c>
    </row>
    <row r="2195" spans="1:35">
      <c r="A2195" s="1008">
        <v>27091</v>
      </c>
      <c r="B2195" s="1008">
        <v>5921</v>
      </c>
      <c r="C2195" s="1008">
        <v>6</v>
      </c>
      <c r="D2195" s="1009">
        <v>31199900</v>
      </c>
      <c r="E2195" s="1009">
        <v>31112220</v>
      </c>
      <c r="F2195" s="1007" t="s">
        <v>2450</v>
      </c>
      <c r="G2195" s="1007" t="s">
        <v>648</v>
      </c>
      <c r="H2195" s="1010">
        <v>99999999</v>
      </c>
      <c r="I2195" s="1009">
        <v>31112220</v>
      </c>
      <c r="J2195" s="1007" t="s">
        <v>2449</v>
      </c>
      <c r="O2195" s="1007" t="s">
        <v>648</v>
      </c>
      <c r="P2195" s="1007" t="s">
        <v>648</v>
      </c>
      <c r="S2195" s="1008" t="s">
        <v>657</v>
      </c>
      <c r="T2195" s="1008" t="s">
        <v>654</v>
      </c>
      <c r="U2195" s="1008" t="s">
        <v>649</v>
      </c>
      <c r="V2195" s="1008" t="s">
        <v>648</v>
      </c>
      <c r="W2195" s="1008" t="s">
        <v>546</v>
      </c>
      <c r="X2195" s="1008" t="s">
        <v>670</v>
      </c>
      <c r="Y2195" s="1008" t="s">
        <v>670</v>
      </c>
      <c r="Z2195" s="1008" t="s">
        <v>670</v>
      </c>
      <c r="AA2195" s="1008" t="s">
        <v>670</v>
      </c>
      <c r="AB2195" s="1008" t="s">
        <v>670</v>
      </c>
      <c r="AC2195" s="1008" t="s">
        <v>670</v>
      </c>
      <c r="AD2195" s="1008" t="s">
        <v>670</v>
      </c>
      <c r="AE2195" s="1008" t="s">
        <v>670</v>
      </c>
      <c r="AF2195" s="1008" t="s">
        <v>670</v>
      </c>
      <c r="AG2195" s="1008" t="s">
        <v>670</v>
      </c>
      <c r="AH2195" s="1008" t="s">
        <v>670</v>
      </c>
      <c r="AI2195" s="1008" t="s">
        <v>670</v>
      </c>
    </row>
    <row r="2196" spans="1:35">
      <c r="A2196" s="1008">
        <v>27092</v>
      </c>
      <c r="B2196" s="1008">
        <v>5922</v>
      </c>
      <c r="C2196" s="1008">
        <v>6</v>
      </c>
      <c r="D2196" s="1009">
        <v>31199900</v>
      </c>
      <c r="E2196" s="1009">
        <v>31112230</v>
      </c>
      <c r="F2196" s="1007" t="s">
        <v>2448</v>
      </c>
      <c r="G2196" s="1007" t="s">
        <v>648</v>
      </c>
      <c r="H2196" s="1010">
        <v>99999999</v>
      </c>
      <c r="I2196" s="1009">
        <v>31112230</v>
      </c>
      <c r="J2196" s="1007" t="s">
        <v>2447</v>
      </c>
      <c r="O2196" s="1007" t="s">
        <v>648</v>
      </c>
      <c r="P2196" s="1007" t="s">
        <v>648</v>
      </c>
      <c r="S2196" s="1008" t="s">
        <v>657</v>
      </c>
      <c r="T2196" s="1008" t="s">
        <v>654</v>
      </c>
      <c r="U2196" s="1008" t="s">
        <v>649</v>
      </c>
      <c r="V2196" s="1008" t="s">
        <v>648</v>
      </c>
      <c r="W2196" s="1008" t="s">
        <v>546</v>
      </c>
      <c r="X2196" s="1008" t="s">
        <v>670</v>
      </c>
      <c r="Y2196" s="1008" t="s">
        <v>670</v>
      </c>
      <c r="Z2196" s="1008" t="s">
        <v>670</v>
      </c>
      <c r="AA2196" s="1008" t="s">
        <v>670</v>
      </c>
      <c r="AB2196" s="1008" t="s">
        <v>670</v>
      </c>
      <c r="AC2196" s="1008" t="s">
        <v>670</v>
      </c>
      <c r="AD2196" s="1008" t="s">
        <v>670</v>
      </c>
      <c r="AE2196" s="1008" t="s">
        <v>670</v>
      </c>
      <c r="AF2196" s="1008" t="s">
        <v>670</v>
      </c>
      <c r="AG2196" s="1008" t="s">
        <v>670</v>
      </c>
      <c r="AH2196" s="1008" t="s">
        <v>670</v>
      </c>
      <c r="AI2196" s="1008" t="s">
        <v>670</v>
      </c>
    </row>
    <row r="2197" spans="1:35">
      <c r="A2197" s="1008">
        <v>27120</v>
      </c>
      <c r="B2197" s="1008">
        <v>5953</v>
      </c>
      <c r="C2197" s="1008">
        <v>6</v>
      </c>
      <c r="D2197" s="1009">
        <v>31199900</v>
      </c>
      <c r="E2197" s="1009">
        <v>31112290</v>
      </c>
      <c r="F2197" s="1007" t="s">
        <v>2446</v>
      </c>
      <c r="G2197" s="1007" t="s">
        <v>648</v>
      </c>
      <c r="H2197" s="1010">
        <v>99999999</v>
      </c>
      <c r="I2197" s="1009">
        <v>31112290</v>
      </c>
      <c r="J2197" s="1007" t="s">
        <v>2445</v>
      </c>
      <c r="O2197" s="1007" t="s">
        <v>648</v>
      </c>
      <c r="P2197" s="1007" t="s">
        <v>648</v>
      </c>
      <c r="S2197" s="1008" t="s">
        <v>650</v>
      </c>
      <c r="T2197" s="1008" t="s">
        <v>654</v>
      </c>
      <c r="U2197" s="1008" t="s">
        <v>649</v>
      </c>
      <c r="V2197" s="1008" t="s">
        <v>648</v>
      </c>
      <c r="W2197" s="1008" t="s">
        <v>546</v>
      </c>
      <c r="X2197" s="1008" t="s">
        <v>670</v>
      </c>
      <c r="Y2197" s="1008" t="s">
        <v>670</v>
      </c>
      <c r="Z2197" s="1008" t="s">
        <v>670</v>
      </c>
      <c r="AA2197" s="1008" t="s">
        <v>670</v>
      </c>
      <c r="AB2197" s="1008" t="s">
        <v>670</v>
      </c>
      <c r="AC2197" s="1008" t="s">
        <v>670</v>
      </c>
      <c r="AD2197" s="1008" t="s">
        <v>670</v>
      </c>
      <c r="AE2197" s="1008" t="s">
        <v>670</v>
      </c>
      <c r="AF2197" s="1008" t="s">
        <v>670</v>
      </c>
      <c r="AG2197" s="1008" t="s">
        <v>670</v>
      </c>
      <c r="AH2197" s="1008" t="s">
        <v>670</v>
      </c>
      <c r="AI2197" s="1008" t="s">
        <v>670</v>
      </c>
    </row>
    <row r="2198" spans="1:35">
      <c r="A2198" s="1008">
        <v>27689</v>
      </c>
      <c r="B2198" s="1008">
        <v>6515</v>
      </c>
      <c r="C2198" s="1008">
        <v>6</v>
      </c>
      <c r="D2198" s="1009">
        <v>31199900</v>
      </c>
      <c r="E2198" s="1009">
        <v>31112300</v>
      </c>
      <c r="F2198" s="1007" t="s">
        <v>2444</v>
      </c>
      <c r="G2198" s="1007">
        <v>8</v>
      </c>
      <c r="H2198" s="1010">
        <v>99999999</v>
      </c>
      <c r="I2198" s="1009">
        <v>31112300</v>
      </c>
      <c r="J2198" s="1007" t="s">
        <v>2443</v>
      </c>
      <c r="O2198" s="1007" t="s">
        <v>648</v>
      </c>
      <c r="P2198" s="1007" t="s">
        <v>648</v>
      </c>
      <c r="S2198" s="1008" t="s">
        <v>657</v>
      </c>
      <c r="T2198" s="1008" t="s">
        <v>654</v>
      </c>
      <c r="U2198" s="1008" t="s">
        <v>649</v>
      </c>
      <c r="V2198" s="1008" t="s">
        <v>648</v>
      </c>
      <c r="W2198" s="1008" t="s">
        <v>546</v>
      </c>
      <c r="X2198" s="1008" t="s">
        <v>670</v>
      </c>
      <c r="Y2198" s="1008"/>
      <c r="Z2198" s="1008"/>
      <c r="AA2198" s="1008"/>
      <c r="AB2198" s="1008"/>
      <c r="AC2198" s="1008"/>
      <c r="AD2198" s="1008"/>
      <c r="AE2198" s="1008"/>
      <c r="AF2198" s="1008"/>
      <c r="AG2198" s="1008"/>
      <c r="AH2198" s="1008"/>
      <c r="AI2198" s="1008" t="s">
        <v>670</v>
      </c>
    </row>
    <row r="2199" spans="1:35">
      <c r="A2199" s="1008">
        <v>27128</v>
      </c>
      <c r="B2199" s="1008">
        <v>5959</v>
      </c>
      <c r="C2199" s="1008">
        <v>6</v>
      </c>
      <c r="D2199" s="1009">
        <v>31199900</v>
      </c>
      <c r="E2199" s="1009">
        <v>31112700</v>
      </c>
      <c r="F2199" s="1007" t="s">
        <v>2442</v>
      </c>
      <c r="G2199" s="1007" t="s">
        <v>648</v>
      </c>
      <c r="H2199" s="1010">
        <v>99999999</v>
      </c>
      <c r="I2199" s="1009">
        <v>31112700</v>
      </c>
      <c r="J2199" s="1007" t="s">
        <v>2441</v>
      </c>
      <c r="O2199" s="1007" t="s">
        <v>648</v>
      </c>
      <c r="P2199" s="1007" t="s">
        <v>648</v>
      </c>
      <c r="S2199" s="1008" t="s">
        <v>650</v>
      </c>
      <c r="T2199" s="1008" t="s">
        <v>654</v>
      </c>
      <c r="U2199" s="1008" t="s">
        <v>649</v>
      </c>
      <c r="V2199" s="1008" t="s">
        <v>648</v>
      </c>
      <c r="W2199" s="1008" t="s">
        <v>546</v>
      </c>
      <c r="X2199" s="1008" t="s">
        <v>670</v>
      </c>
      <c r="Y2199" s="1008" t="s">
        <v>670</v>
      </c>
      <c r="Z2199" s="1008" t="s">
        <v>670</v>
      </c>
      <c r="AA2199" s="1008" t="s">
        <v>670</v>
      </c>
      <c r="AB2199" s="1008" t="s">
        <v>670</v>
      </c>
      <c r="AC2199" s="1008" t="s">
        <v>670</v>
      </c>
      <c r="AD2199" s="1008" t="s">
        <v>670</v>
      </c>
      <c r="AE2199" s="1008" t="s">
        <v>670</v>
      </c>
      <c r="AF2199" s="1008" t="s">
        <v>670</v>
      </c>
      <c r="AG2199" s="1008" t="s">
        <v>670</v>
      </c>
      <c r="AH2199" s="1008" t="s">
        <v>670</v>
      </c>
      <c r="AI2199" s="1008" t="s">
        <v>670</v>
      </c>
    </row>
    <row r="2200" spans="1:35">
      <c r="A2200" s="1008">
        <v>24712</v>
      </c>
      <c r="B2200" s="1008">
        <v>5256</v>
      </c>
      <c r="C2200" s="1008">
        <v>6</v>
      </c>
      <c r="D2200" s="1009">
        <v>31199900</v>
      </c>
      <c r="E2200" s="1009">
        <v>31118800</v>
      </c>
      <c r="F2200" s="1007" t="s">
        <v>2440</v>
      </c>
      <c r="G2200" s="1007">
        <v>6</v>
      </c>
      <c r="H2200" s="1010">
        <v>99999999</v>
      </c>
      <c r="I2200" s="1009">
        <v>31118800</v>
      </c>
      <c r="J2200" s="1007" t="s">
        <v>2439</v>
      </c>
      <c r="O2200" s="1007" t="s">
        <v>648</v>
      </c>
      <c r="P2200" s="1007" t="s">
        <v>648</v>
      </c>
      <c r="S2200" s="1008" t="s">
        <v>657</v>
      </c>
      <c r="T2200" s="1008" t="s">
        <v>654</v>
      </c>
      <c r="U2200" s="1008" t="s">
        <v>649</v>
      </c>
      <c r="V2200" s="1008" t="s">
        <v>648</v>
      </c>
      <c r="W2200" s="1008" t="s">
        <v>546</v>
      </c>
      <c r="X2200" s="1008" t="s">
        <v>670</v>
      </c>
      <c r="Y2200" s="1008" t="s">
        <v>670</v>
      </c>
      <c r="Z2200" s="1008" t="s">
        <v>670</v>
      </c>
      <c r="AA2200" s="1008" t="s">
        <v>670</v>
      </c>
      <c r="AB2200" s="1008" t="s">
        <v>670</v>
      </c>
      <c r="AC2200" s="1008" t="s">
        <v>670</v>
      </c>
      <c r="AD2200" s="1008" t="s">
        <v>670</v>
      </c>
      <c r="AE2200" s="1008" t="s">
        <v>670</v>
      </c>
      <c r="AF2200" s="1008" t="s">
        <v>670</v>
      </c>
      <c r="AG2200" s="1008" t="s">
        <v>670</v>
      </c>
      <c r="AH2200" s="1008" t="s">
        <v>670</v>
      </c>
      <c r="AI2200" s="1008" t="s">
        <v>670</v>
      </c>
    </row>
    <row r="2201" spans="1:35">
      <c r="A2201" s="1008">
        <v>24713</v>
      </c>
      <c r="C2201" s="1008">
        <v>5</v>
      </c>
      <c r="D2201" s="1009">
        <v>31199999</v>
      </c>
      <c r="E2201" s="1009">
        <v>31199900</v>
      </c>
      <c r="F2201" s="1007" t="s">
        <v>2438</v>
      </c>
      <c r="O2201" s="1007" t="s">
        <v>648</v>
      </c>
      <c r="P2201" s="1007" t="s">
        <v>648</v>
      </c>
      <c r="S2201" s="1008" t="s">
        <v>657</v>
      </c>
      <c r="T2201" s="1008" t="s">
        <v>21</v>
      </c>
      <c r="U2201" s="1008" t="s">
        <v>649</v>
      </c>
      <c r="V2201" s="1008" t="s">
        <v>648</v>
      </c>
      <c r="W2201" s="1008" t="s">
        <v>546</v>
      </c>
      <c r="X2201" s="1008"/>
      <c r="Y2201" s="1008"/>
      <c r="Z2201" s="1008"/>
      <c r="AA2201" s="1008"/>
      <c r="AB2201" s="1008"/>
      <c r="AC2201" s="1008"/>
      <c r="AD2201" s="1008"/>
      <c r="AE2201" s="1008"/>
      <c r="AF2201" s="1008"/>
      <c r="AG2201" s="1008"/>
      <c r="AH2201" s="1008"/>
      <c r="AI2201" s="1008"/>
    </row>
    <row r="2202" spans="1:35">
      <c r="A2202" s="1008">
        <v>24714</v>
      </c>
      <c r="C2202" s="1008">
        <v>4</v>
      </c>
      <c r="D2202" s="1009">
        <v>39999990</v>
      </c>
      <c r="E2202" s="1009">
        <v>31199999</v>
      </c>
      <c r="F2202" s="1007" t="s">
        <v>2437</v>
      </c>
      <c r="O2202" s="1007" t="s">
        <v>648</v>
      </c>
      <c r="P2202" s="1007" t="s">
        <v>648</v>
      </c>
      <c r="S2202" s="1008" t="s">
        <v>657</v>
      </c>
      <c r="T2202" s="1008" t="s">
        <v>21</v>
      </c>
      <c r="U2202" s="1008" t="s">
        <v>649</v>
      </c>
      <c r="V2202" s="1008" t="s">
        <v>648</v>
      </c>
      <c r="W2202" s="1008" t="s">
        <v>546</v>
      </c>
      <c r="X2202" s="1008"/>
      <c r="Y2202" s="1008"/>
      <c r="Z2202" s="1008"/>
      <c r="AA2202" s="1008"/>
      <c r="AB2202" s="1008"/>
      <c r="AC2202" s="1008"/>
      <c r="AD2202" s="1008"/>
      <c r="AE2202" s="1008"/>
      <c r="AF2202" s="1008"/>
      <c r="AG2202" s="1008"/>
      <c r="AH2202" s="1008"/>
      <c r="AI2202" s="1008"/>
    </row>
    <row r="2203" spans="1:35">
      <c r="A2203" s="1008">
        <v>26527</v>
      </c>
      <c r="C2203" s="1008">
        <v>4</v>
      </c>
      <c r="D2203" s="1009">
        <v>33199999</v>
      </c>
      <c r="E2203" s="1009">
        <v>33000000</v>
      </c>
      <c r="F2203" s="1007" t="s">
        <v>2436</v>
      </c>
      <c r="O2203" s="1007" t="s">
        <v>648</v>
      </c>
      <c r="P2203" s="1007" t="s">
        <v>648</v>
      </c>
      <c r="S2203" s="1008" t="s">
        <v>657</v>
      </c>
      <c r="T2203" s="1008" t="s">
        <v>675</v>
      </c>
      <c r="U2203" s="1008" t="s">
        <v>649</v>
      </c>
      <c r="V2203" s="1008" t="s">
        <v>648</v>
      </c>
      <c r="W2203" s="1008" t="s">
        <v>546</v>
      </c>
      <c r="X2203" s="1008"/>
      <c r="Y2203" s="1008"/>
      <c r="Z2203" s="1008"/>
      <c r="AA2203" s="1008"/>
      <c r="AB2203" s="1008"/>
      <c r="AC2203" s="1008"/>
      <c r="AD2203" s="1008"/>
      <c r="AE2203" s="1008"/>
      <c r="AF2203" s="1008"/>
      <c r="AG2203" s="1008"/>
      <c r="AH2203" s="1008"/>
      <c r="AI2203" s="1008"/>
    </row>
    <row r="2204" spans="1:35">
      <c r="A2204" s="1008">
        <v>26525</v>
      </c>
      <c r="C2204" s="1008">
        <v>5</v>
      </c>
      <c r="D2204" s="1009">
        <v>33199900</v>
      </c>
      <c r="E2204" s="1009">
        <v>33001000</v>
      </c>
      <c r="F2204" s="1007" t="s">
        <v>2436</v>
      </c>
      <c r="O2204" s="1007" t="s">
        <v>648</v>
      </c>
      <c r="P2204" s="1007" t="s">
        <v>648</v>
      </c>
      <c r="S2204" s="1008" t="s">
        <v>657</v>
      </c>
      <c r="T2204" s="1008" t="s">
        <v>675</v>
      </c>
      <c r="U2204" s="1008" t="s">
        <v>649</v>
      </c>
      <c r="V2204" s="1008" t="s">
        <v>648</v>
      </c>
      <c r="W2204" s="1008" t="s">
        <v>546</v>
      </c>
      <c r="X2204" s="1008"/>
      <c r="Y2204" s="1008"/>
      <c r="Z2204" s="1008"/>
      <c r="AA2204" s="1008"/>
      <c r="AB2204" s="1008"/>
      <c r="AC2204" s="1008"/>
      <c r="AD2204" s="1008"/>
      <c r="AE2204" s="1008"/>
      <c r="AF2204" s="1008"/>
      <c r="AG2204" s="1008"/>
      <c r="AH2204" s="1008"/>
      <c r="AI2204" s="1008"/>
    </row>
    <row r="2205" spans="1:35">
      <c r="A2205" s="1008">
        <v>26320</v>
      </c>
      <c r="B2205" s="1008">
        <v>830</v>
      </c>
      <c r="C2205" s="1008">
        <v>6</v>
      </c>
      <c r="D2205" s="1009">
        <v>33199900</v>
      </c>
      <c r="E2205" s="1009">
        <v>33010000</v>
      </c>
      <c r="F2205" s="1007" t="s">
        <v>2431</v>
      </c>
      <c r="G2205" s="1007">
        <v>8</v>
      </c>
      <c r="H2205" s="1010">
        <v>99999999</v>
      </c>
      <c r="I2205" s="1009">
        <v>5121110</v>
      </c>
      <c r="J2205" s="1007" t="s">
        <v>2435</v>
      </c>
      <c r="O2205" s="1007" t="s">
        <v>648</v>
      </c>
      <c r="P2205" s="1007" t="s">
        <v>648</v>
      </c>
      <c r="S2205" s="1008" t="s">
        <v>657</v>
      </c>
      <c r="T2205" s="1008" t="s">
        <v>654</v>
      </c>
      <c r="U2205" s="1008" t="s">
        <v>649</v>
      </c>
      <c r="V2205" s="1008" t="s">
        <v>648</v>
      </c>
      <c r="W2205" s="1008" t="s">
        <v>546</v>
      </c>
      <c r="X2205" s="1008" t="s">
        <v>670</v>
      </c>
      <c r="Y2205" s="1008"/>
      <c r="Z2205" s="1008"/>
      <c r="AA2205" s="1008"/>
      <c r="AB2205" s="1008" t="s">
        <v>670</v>
      </c>
      <c r="AC2205" s="1008"/>
      <c r="AD2205" s="1008"/>
      <c r="AE2205" s="1008"/>
      <c r="AF2205" s="1008"/>
      <c r="AG2205" s="1008"/>
      <c r="AH2205" s="1008"/>
      <c r="AI2205" s="1008"/>
    </row>
    <row r="2206" spans="1:35">
      <c r="A2206" s="1008">
        <v>26320</v>
      </c>
      <c r="B2206" s="1008">
        <v>831</v>
      </c>
      <c r="C2206" s="1008">
        <v>6</v>
      </c>
      <c r="D2206" s="1009">
        <v>33199900</v>
      </c>
      <c r="E2206" s="1009">
        <v>33010000</v>
      </c>
      <c r="F2206" s="1007" t="s">
        <v>2431</v>
      </c>
      <c r="G2206" s="1007">
        <v>8</v>
      </c>
      <c r="H2206" s="1010">
        <v>99999999</v>
      </c>
      <c r="I2206" s="1009">
        <v>5121120</v>
      </c>
      <c r="J2206" s="1007" t="s">
        <v>2434</v>
      </c>
      <c r="O2206" s="1007" t="s">
        <v>648</v>
      </c>
      <c r="P2206" s="1007" t="s">
        <v>648</v>
      </c>
      <c r="S2206" s="1008" t="s">
        <v>657</v>
      </c>
      <c r="T2206" s="1008" t="s">
        <v>654</v>
      </c>
      <c r="U2206" s="1008" t="s">
        <v>649</v>
      </c>
      <c r="V2206" s="1008" t="s">
        <v>648</v>
      </c>
      <c r="W2206" s="1008" t="s">
        <v>546</v>
      </c>
      <c r="X2206" s="1008" t="s">
        <v>670</v>
      </c>
      <c r="Y2206" s="1008"/>
      <c r="Z2206" s="1008"/>
      <c r="AA2206" s="1008"/>
      <c r="AB2206" s="1008" t="s">
        <v>670</v>
      </c>
      <c r="AC2206" s="1008"/>
      <c r="AD2206" s="1008"/>
      <c r="AE2206" s="1008"/>
      <c r="AF2206" s="1008"/>
      <c r="AG2206" s="1008"/>
      <c r="AH2206" s="1008"/>
      <c r="AI2206" s="1008"/>
    </row>
    <row r="2207" spans="1:35">
      <c r="A2207" s="1008">
        <v>26320</v>
      </c>
      <c r="B2207" s="1008">
        <v>832</v>
      </c>
      <c r="C2207" s="1008">
        <v>6</v>
      </c>
      <c r="D2207" s="1009">
        <v>33199900</v>
      </c>
      <c r="E2207" s="1009">
        <v>33010000</v>
      </c>
      <c r="F2207" s="1007" t="s">
        <v>2431</v>
      </c>
      <c r="G2207" s="1007">
        <v>8</v>
      </c>
      <c r="H2207" s="1010">
        <v>99999999</v>
      </c>
      <c r="I2207" s="1009">
        <v>5121210</v>
      </c>
      <c r="J2207" s="1007" t="s">
        <v>2433</v>
      </c>
      <c r="O2207" s="1007" t="s">
        <v>648</v>
      </c>
      <c r="P2207" s="1007" t="s">
        <v>648</v>
      </c>
      <c r="S2207" s="1008" t="s">
        <v>657</v>
      </c>
      <c r="T2207" s="1008" t="s">
        <v>654</v>
      </c>
      <c r="U2207" s="1008" t="s">
        <v>649</v>
      </c>
      <c r="V2207" s="1008" t="s">
        <v>648</v>
      </c>
      <c r="W2207" s="1008" t="s">
        <v>546</v>
      </c>
      <c r="X2207" s="1008" t="s">
        <v>670</v>
      </c>
      <c r="Y2207" s="1008"/>
      <c r="Z2207" s="1008"/>
      <c r="AA2207" s="1008"/>
      <c r="AB2207" s="1008" t="s">
        <v>670</v>
      </c>
      <c r="AC2207" s="1008"/>
      <c r="AD2207" s="1008"/>
      <c r="AE2207" s="1008"/>
      <c r="AF2207" s="1008"/>
      <c r="AG2207" s="1008"/>
      <c r="AH2207" s="1008"/>
      <c r="AI2207" s="1008"/>
    </row>
    <row r="2208" spans="1:35">
      <c r="A2208" s="1008">
        <v>26320</v>
      </c>
      <c r="B2208" s="1008">
        <v>637</v>
      </c>
      <c r="C2208" s="1008">
        <v>6</v>
      </c>
      <c r="D2208" s="1009">
        <v>33199900</v>
      </c>
      <c r="E2208" s="1009">
        <v>33010000</v>
      </c>
      <c r="F2208" s="1007" t="s">
        <v>2431</v>
      </c>
      <c r="G2208" s="1007">
        <v>8</v>
      </c>
      <c r="H2208" s="1010">
        <v>99999999</v>
      </c>
      <c r="I2208" s="1009">
        <v>8311090</v>
      </c>
      <c r="J2208" s="1007" t="s">
        <v>2432</v>
      </c>
      <c r="O2208" s="1007" t="s">
        <v>648</v>
      </c>
      <c r="P2208" s="1007" t="s">
        <v>648</v>
      </c>
      <c r="S2208" s="1008" t="s">
        <v>657</v>
      </c>
      <c r="T2208" s="1008" t="s">
        <v>654</v>
      </c>
      <c r="U2208" s="1008" t="s">
        <v>649</v>
      </c>
      <c r="V2208" s="1008" t="s">
        <v>648</v>
      </c>
      <c r="W2208" s="1008" t="s">
        <v>546</v>
      </c>
      <c r="X2208" s="1008" t="s">
        <v>670</v>
      </c>
      <c r="Y2208" s="1008"/>
      <c r="Z2208" s="1008"/>
      <c r="AA2208" s="1008"/>
      <c r="AB2208" s="1008" t="s">
        <v>670</v>
      </c>
      <c r="AC2208" s="1008"/>
      <c r="AD2208" s="1008"/>
      <c r="AE2208" s="1008"/>
      <c r="AF2208" s="1008"/>
      <c r="AG2208" s="1008"/>
      <c r="AH2208" s="1008"/>
      <c r="AI2208" s="1008"/>
    </row>
    <row r="2209" spans="1:35">
      <c r="A2209" s="1008">
        <v>26320</v>
      </c>
      <c r="B2209" s="1008">
        <v>5260</v>
      </c>
      <c r="C2209" s="1008">
        <v>6</v>
      </c>
      <c r="D2209" s="1009">
        <v>33199900</v>
      </c>
      <c r="E2209" s="1009">
        <v>33010000</v>
      </c>
      <c r="F2209" s="1007" t="s">
        <v>2431</v>
      </c>
      <c r="G2209" s="1007">
        <v>6</v>
      </c>
      <c r="H2209" s="1010">
        <v>99999999</v>
      </c>
      <c r="I2209" s="1009">
        <v>33010000</v>
      </c>
      <c r="J2209" s="1007" t="s">
        <v>2431</v>
      </c>
      <c r="O2209" s="1007" t="s">
        <v>648</v>
      </c>
      <c r="P2209" s="1007" t="s">
        <v>648</v>
      </c>
      <c r="S2209" s="1008" t="s">
        <v>657</v>
      </c>
      <c r="T2209" s="1008" t="s">
        <v>654</v>
      </c>
      <c r="U2209" s="1008" t="s">
        <v>649</v>
      </c>
      <c r="V2209" s="1008" t="s">
        <v>648</v>
      </c>
      <c r="W2209" s="1008" t="s">
        <v>546</v>
      </c>
      <c r="X2209" s="1008" t="s">
        <v>670</v>
      </c>
      <c r="Y2209" s="1008" t="s">
        <v>670</v>
      </c>
      <c r="Z2209" s="1008" t="s">
        <v>670</v>
      </c>
      <c r="AA2209" s="1008" t="s">
        <v>670</v>
      </c>
      <c r="AB2209" s="1008" t="s">
        <v>670</v>
      </c>
      <c r="AC2209" s="1008" t="s">
        <v>670</v>
      </c>
      <c r="AD2209" s="1008" t="s">
        <v>670</v>
      </c>
      <c r="AE2209" s="1008"/>
      <c r="AF2209" s="1008" t="s">
        <v>670</v>
      </c>
      <c r="AG2209" s="1008"/>
      <c r="AH2209" s="1008"/>
      <c r="AI2209" s="1008"/>
    </row>
    <row r="2210" spans="1:35">
      <c r="A2210" s="1008">
        <v>26526</v>
      </c>
      <c r="C2210" s="1008">
        <v>5</v>
      </c>
      <c r="D2210" s="1009">
        <v>33199999</v>
      </c>
      <c r="E2210" s="1009">
        <v>33199900</v>
      </c>
      <c r="F2210" s="1007" t="s">
        <v>2430</v>
      </c>
      <c r="O2210" s="1007" t="s">
        <v>648</v>
      </c>
      <c r="P2210" s="1007" t="s">
        <v>648</v>
      </c>
      <c r="S2210" s="1008" t="s">
        <v>657</v>
      </c>
      <c r="T2210" s="1008" t="s">
        <v>21</v>
      </c>
      <c r="U2210" s="1008" t="s">
        <v>649</v>
      </c>
      <c r="V2210" s="1008" t="s">
        <v>648</v>
      </c>
      <c r="W2210" s="1008" t="s">
        <v>546</v>
      </c>
      <c r="X2210" s="1008"/>
      <c r="Y2210" s="1008"/>
      <c r="Z2210" s="1008"/>
      <c r="AA2210" s="1008"/>
      <c r="AB2210" s="1008"/>
      <c r="AC2210" s="1008"/>
      <c r="AD2210" s="1008"/>
      <c r="AE2210" s="1008"/>
      <c r="AF2210" s="1008"/>
      <c r="AG2210" s="1008"/>
      <c r="AH2210" s="1008"/>
      <c r="AI2210" s="1008"/>
    </row>
    <row r="2211" spans="1:35">
      <c r="A2211" s="1008">
        <v>26528</v>
      </c>
      <c r="C2211" s="1008">
        <v>4</v>
      </c>
      <c r="D2211" s="1009">
        <v>31199999</v>
      </c>
      <c r="E2211" s="1009">
        <v>33199999</v>
      </c>
      <c r="F2211" s="1007" t="s">
        <v>2430</v>
      </c>
      <c r="O2211" s="1007" t="s">
        <v>648</v>
      </c>
      <c r="P2211" s="1007" t="s">
        <v>648</v>
      </c>
      <c r="S2211" s="1008" t="s">
        <v>657</v>
      </c>
      <c r="T2211" s="1008" t="s">
        <v>21</v>
      </c>
      <c r="U2211" s="1008" t="s">
        <v>649</v>
      </c>
      <c r="V2211" s="1008" t="s">
        <v>648</v>
      </c>
      <c r="W2211" s="1008" t="s">
        <v>546</v>
      </c>
      <c r="X2211" s="1008"/>
      <c r="Y2211" s="1008"/>
      <c r="Z2211" s="1008"/>
      <c r="AA2211" s="1008"/>
      <c r="AB2211" s="1008"/>
      <c r="AC2211" s="1008"/>
      <c r="AD2211" s="1008"/>
      <c r="AE2211" s="1008"/>
      <c r="AF2211" s="1008"/>
      <c r="AG2211" s="1008"/>
      <c r="AH2211" s="1008"/>
      <c r="AI2211" s="1008"/>
    </row>
    <row r="2212" spans="1:35">
      <c r="A2212" s="1008">
        <v>24715</v>
      </c>
      <c r="C2212" s="1008">
        <v>4</v>
      </c>
      <c r="D2212" s="1009">
        <v>35099999</v>
      </c>
      <c r="E2212" s="1009">
        <v>35000000</v>
      </c>
      <c r="F2212" s="1007" t="s">
        <v>2429</v>
      </c>
      <c r="O2212" s="1007" t="s">
        <v>648</v>
      </c>
      <c r="P2212" s="1007" t="s">
        <v>648</v>
      </c>
      <c r="S2212" s="1008" t="s">
        <v>657</v>
      </c>
      <c r="T2212" s="1008" t="s">
        <v>675</v>
      </c>
      <c r="U2212" s="1008" t="s">
        <v>649</v>
      </c>
      <c r="V2212" s="1008" t="s">
        <v>648</v>
      </c>
      <c r="W2212" s="1008" t="s">
        <v>546</v>
      </c>
      <c r="X2212" s="1008"/>
      <c r="Y2212" s="1008"/>
      <c r="Z2212" s="1008"/>
      <c r="AA2212" s="1008"/>
      <c r="AB2212" s="1008"/>
      <c r="AC2212" s="1008"/>
      <c r="AD2212" s="1008"/>
      <c r="AE2212" s="1008"/>
      <c r="AF2212" s="1008"/>
      <c r="AG2212" s="1008"/>
      <c r="AH2212" s="1008"/>
      <c r="AI2212" s="1008"/>
    </row>
    <row r="2213" spans="1:35">
      <c r="A2213" s="1008">
        <v>24716</v>
      </c>
      <c r="C2213" s="1008">
        <v>5</v>
      </c>
      <c r="D2213" s="1009">
        <v>35099900</v>
      </c>
      <c r="E2213" s="1009">
        <v>35001000</v>
      </c>
      <c r="F2213" s="1007" t="s">
        <v>2428</v>
      </c>
      <c r="O2213" s="1007" t="s">
        <v>648</v>
      </c>
      <c r="P2213" s="1007" t="s">
        <v>648</v>
      </c>
      <c r="S2213" s="1008" t="s">
        <v>657</v>
      </c>
      <c r="T2213" s="1008" t="s">
        <v>675</v>
      </c>
      <c r="U2213" s="1008" t="s">
        <v>649</v>
      </c>
      <c r="V2213" s="1008" t="s">
        <v>648</v>
      </c>
      <c r="W2213" s="1008" t="s">
        <v>546</v>
      </c>
      <c r="X2213" s="1008"/>
      <c r="Y2213" s="1008"/>
      <c r="Z2213" s="1008"/>
      <c r="AA2213" s="1008"/>
      <c r="AB2213" s="1008"/>
      <c r="AC2213" s="1008"/>
      <c r="AD2213" s="1008"/>
      <c r="AE2213" s="1008"/>
      <c r="AF2213" s="1008"/>
      <c r="AG2213" s="1008"/>
      <c r="AH2213" s="1008"/>
      <c r="AI2213" s="1008"/>
    </row>
    <row r="2214" spans="1:35">
      <c r="A2214" s="1008">
        <v>24717</v>
      </c>
      <c r="C2214" s="1008">
        <v>6</v>
      </c>
      <c r="D2214" s="1009">
        <v>35019999</v>
      </c>
      <c r="E2214" s="1009">
        <v>35010000</v>
      </c>
      <c r="F2214" s="1007" t="s">
        <v>2427</v>
      </c>
      <c r="O2214" s="1007" t="s">
        <v>648</v>
      </c>
      <c r="P2214" s="1007" t="s">
        <v>648</v>
      </c>
      <c r="S2214" s="1008" t="s">
        <v>657</v>
      </c>
      <c r="T2214" s="1008" t="s">
        <v>675</v>
      </c>
      <c r="U2214" s="1008" t="s">
        <v>649</v>
      </c>
      <c r="V2214" s="1008" t="s">
        <v>648</v>
      </c>
      <c r="W2214" s="1008" t="s">
        <v>546</v>
      </c>
      <c r="X2214" s="1008"/>
      <c r="Y2214" s="1008"/>
      <c r="Z2214" s="1008"/>
      <c r="AA2214" s="1008"/>
      <c r="AB2214" s="1008"/>
      <c r="AC2214" s="1008"/>
      <c r="AD2214" s="1008"/>
      <c r="AE2214" s="1008"/>
      <c r="AF2214" s="1008"/>
      <c r="AG2214" s="1008"/>
      <c r="AH2214" s="1008"/>
      <c r="AI2214" s="1008"/>
    </row>
    <row r="2215" spans="1:35">
      <c r="A2215" s="1008">
        <v>24718</v>
      </c>
      <c r="B2215" s="1008">
        <v>1998</v>
      </c>
      <c r="C2215" s="1008">
        <v>7</v>
      </c>
      <c r="D2215" s="1009">
        <v>35019999</v>
      </c>
      <c r="E2215" s="1009">
        <v>35010200</v>
      </c>
      <c r="F2215" s="1007" t="s">
        <v>2426</v>
      </c>
      <c r="G2215" s="1007">
        <v>7</v>
      </c>
      <c r="H2215" s="1010">
        <v>99999999</v>
      </c>
      <c r="I2215" s="1009">
        <v>35010200</v>
      </c>
      <c r="J2215" s="1007" t="s">
        <v>2426</v>
      </c>
      <c r="O2215" s="1007" t="s">
        <v>648</v>
      </c>
      <c r="P2215" s="1007" t="s">
        <v>648</v>
      </c>
      <c r="S2215" s="1008" t="s">
        <v>657</v>
      </c>
      <c r="T2215" s="1008" t="s">
        <v>654</v>
      </c>
      <c r="U2215" s="1008" t="s">
        <v>649</v>
      </c>
      <c r="V2215" s="1008" t="s">
        <v>648</v>
      </c>
      <c r="W2215" s="1008" t="s">
        <v>546</v>
      </c>
      <c r="X2215" s="1008" t="s">
        <v>670</v>
      </c>
      <c r="Y2215" s="1008" t="s">
        <v>670</v>
      </c>
      <c r="Z2215" s="1008" t="s">
        <v>670</v>
      </c>
      <c r="AA2215" s="1008" t="s">
        <v>670</v>
      </c>
      <c r="AB2215" s="1008" t="s">
        <v>670</v>
      </c>
      <c r="AC2215" s="1008" t="s">
        <v>670</v>
      </c>
      <c r="AD2215" s="1008" t="s">
        <v>670</v>
      </c>
      <c r="AE2215" s="1008"/>
      <c r="AF2215" s="1008" t="s">
        <v>670</v>
      </c>
      <c r="AG2215" s="1008"/>
      <c r="AH2215" s="1008"/>
      <c r="AI2215" s="1008"/>
    </row>
    <row r="2216" spans="1:35">
      <c r="A2216" s="1008">
        <v>24719</v>
      </c>
      <c r="B2216" s="1008">
        <v>1999</v>
      </c>
      <c r="C2216" s="1008">
        <v>7</v>
      </c>
      <c r="D2216" s="1009">
        <v>35019999</v>
      </c>
      <c r="E2216" s="1009">
        <v>35010300</v>
      </c>
      <c r="F2216" s="1007" t="s">
        <v>2425</v>
      </c>
      <c r="G2216" s="1007">
        <v>7</v>
      </c>
      <c r="H2216" s="1010">
        <v>99999999</v>
      </c>
      <c r="I2216" s="1009">
        <v>35010300</v>
      </c>
      <c r="J2216" s="1007" t="s">
        <v>2425</v>
      </c>
      <c r="O2216" s="1007" t="s">
        <v>648</v>
      </c>
      <c r="P2216" s="1007" t="s">
        <v>648</v>
      </c>
      <c r="S2216" s="1008" t="s">
        <v>657</v>
      </c>
      <c r="T2216" s="1008" t="s">
        <v>654</v>
      </c>
      <c r="U2216" s="1008" t="s">
        <v>649</v>
      </c>
      <c r="V2216" s="1008" t="s">
        <v>648</v>
      </c>
      <c r="W2216" s="1008" t="s">
        <v>546</v>
      </c>
      <c r="X2216" s="1008" t="s">
        <v>670</v>
      </c>
      <c r="Y2216" s="1008" t="s">
        <v>670</v>
      </c>
      <c r="Z2216" s="1008" t="s">
        <v>670</v>
      </c>
      <c r="AA2216" s="1008" t="s">
        <v>670</v>
      </c>
      <c r="AB2216" s="1008" t="s">
        <v>670</v>
      </c>
      <c r="AC2216" s="1008" t="s">
        <v>670</v>
      </c>
      <c r="AD2216" s="1008" t="s">
        <v>670</v>
      </c>
      <c r="AE2216" s="1008"/>
      <c r="AF2216" s="1008" t="s">
        <v>670</v>
      </c>
      <c r="AG2216" s="1008"/>
      <c r="AH2216" s="1008"/>
      <c r="AI2216" s="1008"/>
    </row>
    <row r="2217" spans="1:35">
      <c r="A2217" s="1008">
        <v>24720</v>
      </c>
      <c r="B2217" s="1008">
        <v>5265</v>
      </c>
      <c r="C2217" s="1008">
        <v>7</v>
      </c>
      <c r="D2217" s="1009">
        <v>35019999</v>
      </c>
      <c r="E2217" s="1009">
        <v>35010600</v>
      </c>
      <c r="F2217" s="1007" t="s">
        <v>2424</v>
      </c>
      <c r="G2217" s="1007">
        <v>7</v>
      </c>
      <c r="H2217" s="1010">
        <v>99999999</v>
      </c>
      <c r="I2217" s="1009">
        <v>35010600</v>
      </c>
      <c r="J2217" s="1007" t="s">
        <v>2424</v>
      </c>
      <c r="O2217" s="1007" t="s">
        <v>648</v>
      </c>
      <c r="P2217" s="1007" t="s">
        <v>648</v>
      </c>
      <c r="S2217" s="1008" t="s">
        <v>657</v>
      </c>
      <c r="T2217" s="1008" t="s">
        <v>654</v>
      </c>
      <c r="U2217" s="1008" t="s">
        <v>649</v>
      </c>
      <c r="V2217" s="1008" t="s">
        <v>648</v>
      </c>
      <c r="W2217" s="1008" t="s">
        <v>546</v>
      </c>
      <c r="X2217" s="1008" t="s">
        <v>670</v>
      </c>
      <c r="Y2217" s="1008" t="s">
        <v>670</v>
      </c>
      <c r="Z2217" s="1008" t="s">
        <v>670</v>
      </c>
      <c r="AA2217" s="1008" t="s">
        <v>670</v>
      </c>
      <c r="AB2217" s="1008" t="s">
        <v>670</v>
      </c>
      <c r="AC2217" s="1008" t="s">
        <v>670</v>
      </c>
      <c r="AD2217" s="1008" t="s">
        <v>670</v>
      </c>
      <c r="AE2217" s="1008"/>
      <c r="AF2217" s="1008" t="s">
        <v>670</v>
      </c>
      <c r="AG2217" s="1008"/>
      <c r="AH2217" s="1008"/>
      <c r="AI2217" s="1008"/>
    </row>
    <row r="2218" spans="1:35">
      <c r="A2218" s="1008">
        <v>24721</v>
      </c>
      <c r="C2218" s="1008">
        <v>6</v>
      </c>
      <c r="D2218" s="1009">
        <v>35099900</v>
      </c>
      <c r="E2218" s="1009">
        <v>35019999</v>
      </c>
      <c r="F2218" s="1007" t="s">
        <v>2423</v>
      </c>
      <c r="O2218" s="1007" t="s">
        <v>648</v>
      </c>
      <c r="P2218" s="1007" t="s">
        <v>648</v>
      </c>
      <c r="S2218" s="1008" t="s">
        <v>657</v>
      </c>
      <c r="T2218" s="1008" t="s">
        <v>21</v>
      </c>
      <c r="U2218" s="1008" t="s">
        <v>649</v>
      </c>
      <c r="V2218" s="1008" t="s">
        <v>648</v>
      </c>
      <c r="W2218" s="1008" t="s">
        <v>546</v>
      </c>
      <c r="X2218" s="1008"/>
      <c r="Y2218" s="1008"/>
      <c r="Z2218" s="1008"/>
      <c r="AA2218" s="1008"/>
      <c r="AB2218" s="1008"/>
      <c r="AC2218" s="1008"/>
      <c r="AD2218" s="1008"/>
      <c r="AE2218" s="1008"/>
      <c r="AF2218" s="1008"/>
      <c r="AG2218" s="1008"/>
      <c r="AH2218" s="1008"/>
      <c r="AI2218" s="1008"/>
    </row>
    <row r="2219" spans="1:35">
      <c r="A2219" s="1008">
        <v>24722</v>
      </c>
      <c r="C2219" s="1008">
        <v>6</v>
      </c>
      <c r="D2219" s="1009">
        <v>35029999</v>
      </c>
      <c r="E2219" s="1009">
        <v>35020000</v>
      </c>
      <c r="F2219" s="1007" t="s">
        <v>2422</v>
      </c>
      <c r="O2219" s="1007" t="s">
        <v>648</v>
      </c>
      <c r="P2219" s="1007" t="s">
        <v>648</v>
      </c>
      <c r="S2219" s="1008" t="s">
        <v>657</v>
      </c>
      <c r="T2219" s="1008" t="s">
        <v>675</v>
      </c>
      <c r="U2219" s="1008" t="s">
        <v>649</v>
      </c>
      <c r="V2219" s="1008" t="s">
        <v>648</v>
      </c>
      <c r="W2219" s="1008" t="s">
        <v>546</v>
      </c>
      <c r="X2219" s="1008"/>
      <c r="Y2219" s="1008"/>
      <c r="Z2219" s="1008"/>
      <c r="AA2219" s="1008"/>
      <c r="AB2219" s="1008"/>
      <c r="AC2219" s="1008"/>
      <c r="AD2219" s="1008"/>
      <c r="AE2219" s="1008"/>
      <c r="AF2219" s="1008"/>
      <c r="AG2219" s="1008"/>
      <c r="AH2219" s="1008"/>
      <c r="AI2219" s="1008"/>
    </row>
    <row r="2220" spans="1:35">
      <c r="A2220" s="1008">
        <v>24723</v>
      </c>
      <c r="B2220" s="1008">
        <v>2001</v>
      </c>
      <c r="C2220" s="1008">
        <v>7</v>
      </c>
      <c r="D2220" s="1009">
        <v>35029999</v>
      </c>
      <c r="E2220" s="1009">
        <v>35020200</v>
      </c>
      <c r="F2220" s="1007" t="s">
        <v>2421</v>
      </c>
      <c r="G2220" s="1007">
        <v>7</v>
      </c>
      <c r="H2220" s="1010">
        <v>99999999</v>
      </c>
      <c r="I2220" s="1009">
        <v>35020200</v>
      </c>
      <c r="J2220" s="1007" t="s">
        <v>2421</v>
      </c>
      <c r="O2220" s="1007" t="s">
        <v>648</v>
      </c>
      <c r="P2220" s="1007" t="s">
        <v>648</v>
      </c>
      <c r="S2220" s="1008" t="s">
        <v>657</v>
      </c>
      <c r="T2220" s="1008" t="s">
        <v>654</v>
      </c>
      <c r="U2220" s="1008" t="s">
        <v>649</v>
      </c>
      <c r="V2220" s="1008" t="s">
        <v>648</v>
      </c>
      <c r="W2220" s="1008" t="s">
        <v>546</v>
      </c>
      <c r="X2220" s="1008" t="s">
        <v>670</v>
      </c>
      <c r="Y2220" s="1008" t="s">
        <v>670</v>
      </c>
      <c r="Z2220" s="1008" t="s">
        <v>670</v>
      </c>
      <c r="AA2220" s="1008" t="s">
        <v>670</v>
      </c>
      <c r="AB2220" s="1008" t="s">
        <v>670</v>
      </c>
      <c r="AC2220" s="1008" t="s">
        <v>670</v>
      </c>
      <c r="AD2220" s="1008" t="s">
        <v>670</v>
      </c>
      <c r="AE2220" s="1008"/>
      <c r="AF2220" s="1008" t="s">
        <v>670</v>
      </c>
      <c r="AG2220" s="1008"/>
      <c r="AH2220" s="1008"/>
      <c r="AI2220" s="1008"/>
    </row>
    <row r="2221" spans="1:35">
      <c r="A2221" s="1008">
        <v>24724</v>
      </c>
      <c r="B2221" s="1008">
        <v>2002</v>
      </c>
      <c r="C2221" s="1008">
        <v>7</v>
      </c>
      <c r="D2221" s="1009">
        <v>35029999</v>
      </c>
      <c r="E2221" s="1009">
        <v>35020300</v>
      </c>
      <c r="F2221" s="1007" t="s">
        <v>2420</v>
      </c>
      <c r="G2221" s="1007">
        <v>7</v>
      </c>
      <c r="H2221" s="1010">
        <v>99999999</v>
      </c>
      <c r="I2221" s="1009">
        <v>35020300</v>
      </c>
      <c r="J2221" s="1007" t="s">
        <v>2420</v>
      </c>
      <c r="O2221" s="1007" t="s">
        <v>648</v>
      </c>
      <c r="P2221" s="1007" t="s">
        <v>648</v>
      </c>
      <c r="S2221" s="1008" t="s">
        <v>657</v>
      </c>
      <c r="T2221" s="1008" t="s">
        <v>654</v>
      </c>
      <c r="U2221" s="1008" t="s">
        <v>649</v>
      </c>
      <c r="V2221" s="1008" t="s">
        <v>648</v>
      </c>
      <c r="W2221" s="1008" t="s">
        <v>546</v>
      </c>
      <c r="X2221" s="1008" t="s">
        <v>670</v>
      </c>
      <c r="Y2221" s="1008" t="s">
        <v>670</v>
      </c>
      <c r="Z2221" s="1008" t="s">
        <v>670</v>
      </c>
      <c r="AA2221" s="1008" t="s">
        <v>670</v>
      </c>
      <c r="AB2221" s="1008" t="s">
        <v>670</v>
      </c>
      <c r="AC2221" s="1008" t="s">
        <v>670</v>
      </c>
      <c r="AD2221" s="1008" t="s">
        <v>670</v>
      </c>
      <c r="AE2221" s="1008"/>
      <c r="AF2221" s="1008" t="s">
        <v>670</v>
      </c>
      <c r="AG2221" s="1008"/>
      <c r="AH2221" s="1008"/>
      <c r="AI2221" s="1008"/>
    </row>
    <row r="2222" spans="1:35">
      <c r="A2222" s="1008">
        <v>24725</v>
      </c>
      <c r="B2222" s="1008">
        <v>5267</v>
      </c>
      <c r="C2222" s="1008">
        <v>7</v>
      </c>
      <c r="D2222" s="1009">
        <v>35029999</v>
      </c>
      <c r="E2222" s="1009">
        <v>35020600</v>
      </c>
      <c r="F2222" s="1007" t="s">
        <v>2419</v>
      </c>
      <c r="G2222" s="1007">
        <v>7</v>
      </c>
      <c r="H2222" s="1010">
        <v>99999999</v>
      </c>
      <c r="I2222" s="1009">
        <v>35020600</v>
      </c>
      <c r="J2222" s="1007" t="s">
        <v>2419</v>
      </c>
      <c r="O2222" s="1007" t="s">
        <v>648</v>
      </c>
      <c r="P2222" s="1007" t="s">
        <v>648</v>
      </c>
      <c r="S2222" s="1008" t="s">
        <v>657</v>
      </c>
      <c r="T2222" s="1008" t="s">
        <v>654</v>
      </c>
      <c r="U2222" s="1008" t="s">
        <v>649</v>
      </c>
      <c r="V2222" s="1008" t="s">
        <v>648</v>
      </c>
      <c r="W2222" s="1008" t="s">
        <v>546</v>
      </c>
      <c r="X2222" s="1008" t="s">
        <v>670</v>
      </c>
      <c r="Y2222" s="1008" t="s">
        <v>670</v>
      </c>
      <c r="Z2222" s="1008" t="s">
        <v>670</v>
      </c>
      <c r="AA2222" s="1008" t="s">
        <v>670</v>
      </c>
      <c r="AB2222" s="1008" t="s">
        <v>670</v>
      </c>
      <c r="AC2222" s="1008" t="s">
        <v>670</v>
      </c>
      <c r="AD2222" s="1008" t="s">
        <v>670</v>
      </c>
      <c r="AE2222" s="1008"/>
      <c r="AF2222" s="1008" t="s">
        <v>670</v>
      </c>
      <c r="AG2222" s="1008"/>
      <c r="AH2222" s="1008"/>
      <c r="AI2222" s="1008"/>
    </row>
    <row r="2223" spans="1:35">
      <c r="A2223" s="1008">
        <v>24726</v>
      </c>
      <c r="C2223" s="1008">
        <v>6</v>
      </c>
      <c r="D2223" s="1009">
        <v>35099900</v>
      </c>
      <c r="E2223" s="1009">
        <v>35029999</v>
      </c>
      <c r="F2223" s="1007" t="s">
        <v>2418</v>
      </c>
      <c r="O2223" s="1007" t="s">
        <v>648</v>
      </c>
      <c r="P2223" s="1007" t="s">
        <v>648</v>
      </c>
      <c r="S2223" s="1008" t="s">
        <v>657</v>
      </c>
      <c r="T2223" s="1008" t="s">
        <v>21</v>
      </c>
      <c r="U2223" s="1008" t="s">
        <v>649</v>
      </c>
      <c r="V2223" s="1008" t="s">
        <v>648</v>
      </c>
      <c r="W2223" s="1008" t="s">
        <v>546</v>
      </c>
      <c r="X2223" s="1008"/>
      <c r="Y2223" s="1008"/>
      <c r="Z2223" s="1008"/>
      <c r="AA2223" s="1008"/>
      <c r="AB2223" s="1008"/>
      <c r="AC2223" s="1008"/>
      <c r="AD2223" s="1008"/>
      <c r="AE2223" s="1008"/>
      <c r="AF2223" s="1008"/>
      <c r="AG2223" s="1008"/>
      <c r="AH2223" s="1008"/>
      <c r="AI2223" s="1008"/>
    </row>
    <row r="2224" spans="1:35">
      <c r="A2224" s="1008">
        <v>24727</v>
      </c>
      <c r="C2224" s="1008">
        <v>5</v>
      </c>
      <c r="D2224" s="1009">
        <v>35099999</v>
      </c>
      <c r="E2224" s="1009">
        <v>35099900</v>
      </c>
      <c r="F2224" s="1007" t="s">
        <v>2417</v>
      </c>
      <c r="O2224" s="1007" t="s">
        <v>648</v>
      </c>
      <c r="P2224" s="1007" t="s">
        <v>648</v>
      </c>
      <c r="S2224" s="1008" t="s">
        <v>657</v>
      </c>
      <c r="T2224" s="1008" t="s">
        <v>21</v>
      </c>
      <c r="U2224" s="1008" t="s">
        <v>649</v>
      </c>
      <c r="V2224" s="1008" t="s">
        <v>648</v>
      </c>
      <c r="W2224" s="1008" t="s">
        <v>546</v>
      </c>
      <c r="X2224" s="1008"/>
      <c r="Y2224" s="1008"/>
      <c r="Z2224" s="1008"/>
      <c r="AA2224" s="1008"/>
      <c r="AB2224" s="1008"/>
      <c r="AC2224" s="1008"/>
      <c r="AD2224" s="1008"/>
      <c r="AE2224" s="1008"/>
      <c r="AF2224" s="1008"/>
      <c r="AG2224" s="1008"/>
      <c r="AH2224" s="1008"/>
      <c r="AI2224" s="1008"/>
    </row>
    <row r="2225" spans="1:35">
      <c r="A2225" s="1008">
        <v>24728</v>
      </c>
      <c r="C2225" s="1008">
        <v>4</v>
      </c>
      <c r="D2225" s="1009">
        <v>39999990</v>
      </c>
      <c r="E2225" s="1009">
        <v>35099999</v>
      </c>
      <c r="F2225" s="1007" t="s">
        <v>2416</v>
      </c>
      <c r="O2225" s="1007" t="s">
        <v>648</v>
      </c>
      <c r="P2225" s="1007" t="s">
        <v>648</v>
      </c>
      <c r="S2225" s="1008" t="s">
        <v>657</v>
      </c>
      <c r="T2225" s="1008" t="s">
        <v>21</v>
      </c>
      <c r="U2225" s="1008" t="s">
        <v>649</v>
      </c>
      <c r="V2225" s="1008" t="s">
        <v>648</v>
      </c>
      <c r="W2225" s="1008" t="s">
        <v>546</v>
      </c>
      <c r="X2225" s="1008"/>
      <c r="Y2225" s="1008"/>
      <c r="Z2225" s="1008"/>
      <c r="AA2225" s="1008"/>
      <c r="AB2225" s="1008"/>
      <c r="AC2225" s="1008"/>
      <c r="AD2225" s="1008"/>
      <c r="AE2225" s="1008"/>
      <c r="AF2225" s="1008"/>
      <c r="AG2225" s="1008"/>
      <c r="AH2225" s="1008"/>
      <c r="AI2225" s="1008"/>
    </row>
    <row r="2226" spans="1:35">
      <c r="A2226" s="1008">
        <v>24729</v>
      </c>
      <c r="C2226" s="1008">
        <v>4</v>
      </c>
      <c r="D2226" s="1009">
        <v>39099999</v>
      </c>
      <c r="E2226" s="1009">
        <v>39000000</v>
      </c>
      <c r="F2226" s="1007" t="s">
        <v>2415</v>
      </c>
      <c r="O2226" s="1007" t="s">
        <v>648</v>
      </c>
      <c r="P2226" s="1007" t="s">
        <v>648</v>
      </c>
      <c r="S2226" s="1008" t="s">
        <v>657</v>
      </c>
      <c r="T2226" s="1008" t="s">
        <v>675</v>
      </c>
      <c r="U2226" s="1008" t="s">
        <v>649</v>
      </c>
      <c r="V2226" s="1008" t="s">
        <v>648</v>
      </c>
      <c r="W2226" s="1008" t="s">
        <v>546</v>
      </c>
      <c r="X2226" s="1008"/>
      <c r="Y2226" s="1008"/>
      <c r="Z2226" s="1008"/>
      <c r="AA2226" s="1008"/>
      <c r="AB2226" s="1008"/>
      <c r="AC2226" s="1008"/>
      <c r="AD2226" s="1008"/>
      <c r="AE2226" s="1008"/>
      <c r="AF2226" s="1008"/>
      <c r="AG2226" s="1008"/>
      <c r="AH2226" s="1008"/>
      <c r="AI2226" s="1008"/>
    </row>
    <row r="2227" spans="1:35">
      <c r="A2227" s="1008">
        <v>24730</v>
      </c>
      <c r="C2227" s="1008">
        <v>5</v>
      </c>
      <c r="D2227" s="1009">
        <v>39099900</v>
      </c>
      <c r="E2227" s="1009">
        <v>39001000</v>
      </c>
      <c r="F2227" s="1007" t="s">
        <v>2415</v>
      </c>
      <c r="O2227" s="1007" t="s">
        <v>648</v>
      </c>
      <c r="P2227" s="1007" t="s">
        <v>648</v>
      </c>
      <c r="S2227" s="1008" t="s">
        <v>657</v>
      </c>
      <c r="T2227" s="1008" t="s">
        <v>675</v>
      </c>
      <c r="U2227" s="1008" t="s">
        <v>649</v>
      </c>
      <c r="V2227" s="1008" t="s">
        <v>648</v>
      </c>
      <c r="W2227" s="1008" t="s">
        <v>546</v>
      </c>
      <c r="X2227" s="1008"/>
      <c r="Y2227" s="1008"/>
      <c r="Z2227" s="1008"/>
      <c r="AA2227" s="1008"/>
      <c r="AB2227" s="1008"/>
      <c r="AC2227" s="1008"/>
      <c r="AD2227" s="1008"/>
      <c r="AE2227" s="1008"/>
      <c r="AF2227" s="1008"/>
      <c r="AG2227" s="1008"/>
      <c r="AH2227" s="1008"/>
      <c r="AI2227" s="1008"/>
    </row>
    <row r="2228" spans="1:35">
      <c r="A2228" s="1008">
        <v>24731</v>
      </c>
      <c r="B2228" s="1008">
        <v>786</v>
      </c>
      <c r="C2228" s="1008">
        <v>6</v>
      </c>
      <c r="D2228" s="1009">
        <v>39099900</v>
      </c>
      <c r="E2228" s="1009">
        <v>39010700</v>
      </c>
      <c r="F2228" s="1007" t="s">
        <v>2415</v>
      </c>
      <c r="G2228" s="1007">
        <v>8</v>
      </c>
      <c r="H2228" s="1010">
        <v>99999999</v>
      </c>
      <c r="I2228" s="1009">
        <v>39010700</v>
      </c>
      <c r="J2228" s="1007" t="s">
        <v>2415</v>
      </c>
      <c r="O2228" s="1007" t="s">
        <v>648</v>
      </c>
      <c r="P2228" s="1007" t="s">
        <v>648</v>
      </c>
      <c r="S2228" s="1008" t="s">
        <v>657</v>
      </c>
      <c r="T2228" s="1008" t="s">
        <v>654</v>
      </c>
      <c r="U2228" s="1008" t="s">
        <v>649</v>
      </c>
      <c r="V2228" s="1008" t="s">
        <v>648</v>
      </c>
      <c r="W2228" s="1008" t="s">
        <v>546</v>
      </c>
      <c r="X2228" s="1008" t="s">
        <v>670</v>
      </c>
      <c r="Y2228" s="1008" t="s">
        <v>670</v>
      </c>
      <c r="Z2228" s="1008" t="s">
        <v>670</v>
      </c>
      <c r="AA2228" s="1008" t="s">
        <v>670</v>
      </c>
      <c r="AB2228" s="1008" t="s">
        <v>670</v>
      </c>
      <c r="AC2228" s="1008" t="s">
        <v>670</v>
      </c>
      <c r="AD2228" s="1008" t="s">
        <v>670</v>
      </c>
      <c r="AE2228" s="1008" t="s">
        <v>670</v>
      </c>
      <c r="AF2228" s="1008" t="s">
        <v>670</v>
      </c>
      <c r="AG2228" s="1008"/>
      <c r="AH2228" s="1008"/>
      <c r="AI2228" s="1008"/>
    </row>
    <row r="2229" spans="1:35">
      <c r="A2229" s="1008">
        <v>27690</v>
      </c>
      <c r="B2229" s="1008">
        <v>6516</v>
      </c>
      <c r="C2229" s="1008">
        <v>6</v>
      </c>
      <c r="D2229" s="1009">
        <v>39099900</v>
      </c>
      <c r="E2229" s="1009">
        <v>39010710</v>
      </c>
      <c r="F2229" s="1007" t="s">
        <v>2414</v>
      </c>
      <c r="G2229" s="1007">
        <v>8</v>
      </c>
      <c r="H2229" s="1010">
        <v>99999999</v>
      </c>
      <c r="I2229" s="1009">
        <v>39010710</v>
      </c>
      <c r="J2229" s="1007" t="s">
        <v>2413</v>
      </c>
      <c r="O2229" s="1007" t="s">
        <v>648</v>
      </c>
      <c r="P2229" s="1007" t="s">
        <v>648</v>
      </c>
      <c r="S2229" s="1008" t="s">
        <v>657</v>
      </c>
      <c r="T2229" s="1008" t="s">
        <v>654</v>
      </c>
      <c r="U2229" s="1008" t="s">
        <v>649</v>
      </c>
      <c r="V2229" s="1008" t="s">
        <v>648</v>
      </c>
      <c r="W2229" s="1008" t="s">
        <v>546</v>
      </c>
      <c r="X2229" s="1008" t="s">
        <v>670</v>
      </c>
      <c r="Y2229" s="1008"/>
      <c r="Z2229" s="1008"/>
      <c r="AA2229" s="1008"/>
      <c r="AB2229" s="1008"/>
      <c r="AC2229" s="1008"/>
      <c r="AD2229" s="1008"/>
      <c r="AE2229" s="1008"/>
      <c r="AF2229" s="1008"/>
      <c r="AG2229" s="1008"/>
      <c r="AH2229" s="1008"/>
      <c r="AI2229" s="1008" t="s">
        <v>670</v>
      </c>
    </row>
    <row r="2230" spans="1:35">
      <c r="A2230" s="1008">
        <v>27811</v>
      </c>
      <c r="C2230" s="1008">
        <v>6</v>
      </c>
      <c r="D2230" s="1009">
        <v>39099900</v>
      </c>
      <c r="E2230" s="1009">
        <v>39010715</v>
      </c>
      <c r="F2230" s="1007" t="s">
        <v>2412</v>
      </c>
      <c r="O2230" s="1007" t="s">
        <v>648</v>
      </c>
      <c r="P2230" s="1007" t="s">
        <v>648</v>
      </c>
      <c r="S2230" s="1008" t="s">
        <v>657</v>
      </c>
      <c r="T2230" s="1008" t="s">
        <v>654</v>
      </c>
      <c r="U2230" s="1008" t="s">
        <v>649</v>
      </c>
      <c r="V2230" s="1008" t="s">
        <v>648</v>
      </c>
      <c r="W2230" s="1008" t="s">
        <v>546</v>
      </c>
      <c r="X2230" s="1008"/>
      <c r="Y2230" s="1008"/>
      <c r="Z2230" s="1008"/>
      <c r="AA2230" s="1008"/>
      <c r="AB2230" s="1008"/>
      <c r="AC2230" s="1008"/>
      <c r="AD2230" s="1008"/>
      <c r="AE2230" s="1008"/>
      <c r="AF2230" s="1008"/>
      <c r="AG2230" s="1008"/>
      <c r="AH2230" s="1008"/>
      <c r="AI2230" s="1008"/>
    </row>
    <row r="2231" spans="1:35">
      <c r="A2231" s="1008">
        <v>27716</v>
      </c>
      <c r="B2231" s="1008">
        <v>6538</v>
      </c>
      <c r="C2231" s="1008">
        <v>6</v>
      </c>
      <c r="D2231" s="1009">
        <v>39099900</v>
      </c>
      <c r="E2231" s="1009">
        <v>39010720</v>
      </c>
      <c r="F2231" s="1007" t="s">
        <v>2411</v>
      </c>
      <c r="G2231" s="1007">
        <v>8</v>
      </c>
      <c r="H2231" s="1010">
        <v>99999999</v>
      </c>
      <c r="I2231" s="1009">
        <v>39010720</v>
      </c>
      <c r="J2231" s="1007" t="s">
        <v>2411</v>
      </c>
      <c r="O2231" s="1007" t="s">
        <v>648</v>
      </c>
      <c r="P2231" s="1007" t="s">
        <v>648</v>
      </c>
      <c r="S2231" s="1008" t="s">
        <v>657</v>
      </c>
      <c r="T2231" s="1008" t="s">
        <v>654</v>
      </c>
      <c r="U2231" s="1008" t="s">
        <v>649</v>
      </c>
      <c r="V2231" s="1008" t="s">
        <v>648</v>
      </c>
      <c r="W2231" s="1008" t="s">
        <v>546</v>
      </c>
      <c r="X2231" s="1008" t="s">
        <v>670</v>
      </c>
      <c r="Y2231" s="1008" t="s">
        <v>670</v>
      </c>
      <c r="Z2231" s="1008"/>
      <c r="AA2231" s="1008"/>
      <c r="AB2231" s="1008"/>
      <c r="AC2231" s="1008"/>
      <c r="AD2231" s="1008"/>
      <c r="AE2231" s="1008"/>
      <c r="AF2231" s="1008" t="s">
        <v>670</v>
      </c>
      <c r="AG2231" s="1008"/>
      <c r="AH2231" s="1008"/>
      <c r="AI2231" s="1008"/>
    </row>
    <row r="2232" spans="1:35">
      <c r="A2232" s="1008">
        <v>27717</v>
      </c>
      <c r="B2232" s="1008">
        <v>6539</v>
      </c>
      <c r="C2232" s="1008">
        <v>6</v>
      </c>
      <c r="D2232" s="1009">
        <v>39099900</v>
      </c>
      <c r="E2232" s="1009">
        <v>39010730</v>
      </c>
      <c r="F2232" s="1007" t="s">
        <v>2410</v>
      </c>
      <c r="G2232" s="1007">
        <v>8</v>
      </c>
      <c r="H2232" s="1010">
        <v>99999999</v>
      </c>
      <c r="I2232" s="1009">
        <v>39010730</v>
      </c>
      <c r="J2232" s="1007" t="s">
        <v>2410</v>
      </c>
      <c r="O2232" s="1007" t="s">
        <v>648</v>
      </c>
      <c r="P2232" s="1007" t="s">
        <v>648</v>
      </c>
      <c r="S2232" s="1008" t="s">
        <v>657</v>
      </c>
      <c r="T2232" s="1008" t="s">
        <v>654</v>
      </c>
      <c r="U2232" s="1008" t="s">
        <v>649</v>
      </c>
      <c r="V2232" s="1008" t="s">
        <v>648</v>
      </c>
      <c r="W2232" s="1008" t="s">
        <v>546</v>
      </c>
      <c r="X2232" s="1008" t="s">
        <v>670</v>
      </c>
      <c r="Y2232" s="1008" t="s">
        <v>670</v>
      </c>
      <c r="Z2232" s="1008"/>
      <c r="AA2232" s="1008"/>
      <c r="AB2232" s="1008"/>
      <c r="AC2232" s="1008"/>
      <c r="AD2232" s="1008"/>
      <c r="AE2232" s="1008"/>
      <c r="AF2232" s="1008" t="s">
        <v>670</v>
      </c>
      <c r="AG2232" s="1008"/>
      <c r="AH2232" s="1008"/>
      <c r="AI2232" s="1008"/>
    </row>
    <row r="2233" spans="1:35">
      <c r="A2233" s="1008">
        <v>24732</v>
      </c>
      <c r="B2233" s="1008">
        <v>5272</v>
      </c>
      <c r="C2233" s="1008">
        <v>6</v>
      </c>
      <c r="D2233" s="1009">
        <v>39099900</v>
      </c>
      <c r="E2233" s="1009">
        <v>39010800</v>
      </c>
      <c r="F2233" s="1007" t="s">
        <v>2409</v>
      </c>
      <c r="G2233" s="1007">
        <v>6</v>
      </c>
      <c r="H2233" s="1010">
        <v>99999999</v>
      </c>
      <c r="I2233" s="1009">
        <v>39010800</v>
      </c>
      <c r="J2233" s="1007" t="s">
        <v>2409</v>
      </c>
      <c r="O2233" s="1007" t="s">
        <v>648</v>
      </c>
      <c r="P2233" s="1007" t="s">
        <v>648</v>
      </c>
      <c r="S2233" s="1008" t="s">
        <v>657</v>
      </c>
      <c r="T2233" s="1008" t="s">
        <v>654</v>
      </c>
      <c r="U2233" s="1008" t="s">
        <v>649</v>
      </c>
      <c r="V2233" s="1008" t="s">
        <v>648</v>
      </c>
      <c r="W2233" s="1008" t="s">
        <v>546</v>
      </c>
      <c r="X2233" s="1008" t="s">
        <v>670</v>
      </c>
      <c r="Y2233" s="1008" t="s">
        <v>670</v>
      </c>
      <c r="Z2233" s="1008" t="s">
        <v>670</v>
      </c>
      <c r="AA2233" s="1008" t="s">
        <v>670</v>
      </c>
      <c r="AB2233" s="1008" t="s">
        <v>670</v>
      </c>
      <c r="AC2233" s="1008" t="s">
        <v>670</v>
      </c>
      <c r="AD2233" s="1008" t="s">
        <v>670</v>
      </c>
      <c r="AE2233" s="1008"/>
      <c r="AF2233" s="1008" t="s">
        <v>670</v>
      </c>
      <c r="AG2233" s="1008" t="s">
        <v>670</v>
      </c>
      <c r="AH2233" s="1008"/>
      <c r="AI2233" s="1008"/>
    </row>
    <row r="2234" spans="1:35">
      <c r="A2234" s="1008">
        <v>24733</v>
      </c>
      <c r="C2234" s="1008">
        <v>5</v>
      </c>
      <c r="D2234" s="1009">
        <v>39099999</v>
      </c>
      <c r="E2234" s="1009">
        <v>39099900</v>
      </c>
      <c r="F2234" s="1007" t="s">
        <v>2408</v>
      </c>
      <c r="O2234" s="1007" t="s">
        <v>648</v>
      </c>
      <c r="P2234" s="1007" t="s">
        <v>648</v>
      </c>
      <c r="S2234" s="1008" t="s">
        <v>657</v>
      </c>
      <c r="T2234" s="1008" t="s">
        <v>21</v>
      </c>
      <c r="U2234" s="1008" t="s">
        <v>649</v>
      </c>
      <c r="V2234" s="1008" t="s">
        <v>648</v>
      </c>
      <c r="W2234" s="1008" t="s">
        <v>546</v>
      </c>
      <c r="X2234" s="1008"/>
      <c r="Y2234" s="1008"/>
      <c r="Z2234" s="1008"/>
      <c r="AA2234" s="1008"/>
      <c r="AB2234" s="1008"/>
      <c r="AC2234" s="1008"/>
      <c r="AD2234" s="1008"/>
      <c r="AE2234" s="1008"/>
      <c r="AF2234" s="1008"/>
      <c r="AG2234" s="1008"/>
      <c r="AH2234" s="1008"/>
      <c r="AI2234" s="1008"/>
    </row>
    <row r="2235" spans="1:35">
      <c r="A2235" s="1008">
        <v>24734</v>
      </c>
      <c r="C2235" s="1008">
        <v>4</v>
      </c>
      <c r="D2235" s="1009">
        <v>39999990</v>
      </c>
      <c r="E2235" s="1009">
        <v>39099999</v>
      </c>
      <c r="F2235" s="1007" t="s">
        <v>2408</v>
      </c>
      <c r="O2235" s="1007" t="s">
        <v>648</v>
      </c>
      <c r="P2235" s="1007" t="s">
        <v>648</v>
      </c>
      <c r="S2235" s="1008" t="s">
        <v>657</v>
      </c>
      <c r="T2235" s="1008" t="s">
        <v>21</v>
      </c>
      <c r="U2235" s="1008" t="s">
        <v>649</v>
      </c>
      <c r="V2235" s="1008" t="s">
        <v>648</v>
      </c>
      <c r="W2235" s="1008" t="s">
        <v>546</v>
      </c>
      <c r="X2235" s="1008"/>
      <c r="Y2235" s="1008"/>
      <c r="Z2235" s="1008"/>
      <c r="AA2235" s="1008"/>
      <c r="AB2235" s="1008"/>
      <c r="AC2235" s="1008"/>
      <c r="AD2235" s="1008"/>
      <c r="AE2235" s="1008"/>
      <c r="AF2235" s="1008"/>
      <c r="AG2235" s="1008"/>
      <c r="AH2235" s="1008"/>
      <c r="AI2235" s="1008"/>
    </row>
    <row r="2236" spans="1:35">
      <c r="A2236" s="1008">
        <v>24735</v>
      </c>
      <c r="C2236" s="1008">
        <v>4</v>
      </c>
      <c r="D2236" s="1009">
        <v>39900000</v>
      </c>
      <c r="E2236" s="1009">
        <v>39100000</v>
      </c>
      <c r="F2236" s="1007" t="s">
        <v>2406</v>
      </c>
      <c r="O2236" s="1007" t="s">
        <v>648</v>
      </c>
      <c r="P2236" s="1007" t="s">
        <v>648</v>
      </c>
      <c r="S2236" s="1008" t="s">
        <v>657</v>
      </c>
      <c r="T2236" s="1008" t="s">
        <v>675</v>
      </c>
      <c r="U2236" s="1008" t="s">
        <v>649</v>
      </c>
      <c r="V2236" s="1008" t="s">
        <v>648</v>
      </c>
      <c r="W2236" s="1008" t="s">
        <v>546</v>
      </c>
      <c r="X2236" s="1008"/>
      <c r="Y2236" s="1008"/>
      <c r="Z2236" s="1008"/>
      <c r="AA2236" s="1008"/>
      <c r="AB2236" s="1008"/>
      <c r="AC2236" s="1008"/>
      <c r="AD2236" s="1008"/>
      <c r="AE2236" s="1008"/>
      <c r="AF2236" s="1008"/>
      <c r="AG2236" s="1008"/>
      <c r="AH2236" s="1008"/>
      <c r="AI2236" s="1008"/>
    </row>
    <row r="2237" spans="1:35">
      <c r="A2237" s="1008">
        <v>24736</v>
      </c>
      <c r="C2237" s="1008">
        <v>5</v>
      </c>
      <c r="D2237" s="1009">
        <v>39111999</v>
      </c>
      <c r="E2237" s="1009">
        <v>39110000</v>
      </c>
      <c r="F2237" s="1007" t="s">
        <v>2406</v>
      </c>
      <c r="O2237" s="1007" t="s">
        <v>648</v>
      </c>
      <c r="P2237" s="1007" t="s">
        <v>648</v>
      </c>
      <c r="S2237" s="1008" t="s">
        <v>657</v>
      </c>
      <c r="T2237" s="1008" t="s">
        <v>675</v>
      </c>
      <c r="U2237" s="1008" t="s">
        <v>649</v>
      </c>
      <c r="V2237" s="1008" t="s">
        <v>648</v>
      </c>
      <c r="W2237" s="1008" t="s">
        <v>546</v>
      </c>
      <c r="X2237" s="1008"/>
      <c r="Y2237" s="1008"/>
      <c r="Z2237" s="1008"/>
      <c r="AA2237" s="1008"/>
      <c r="AB2237" s="1008"/>
      <c r="AC2237" s="1008"/>
      <c r="AD2237" s="1008"/>
      <c r="AE2237" s="1008"/>
      <c r="AF2237" s="1008"/>
      <c r="AG2237" s="1008"/>
      <c r="AH2237" s="1008"/>
      <c r="AI2237" s="1008"/>
    </row>
    <row r="2238" spans="1:35">
      <c r="A2238" s="1008">
        <v>24737</v>
      </c>
      <c r="B2238" s="1008">
        <v>787</v>
      </c>
      <c r="C2238" s="1008">
        <v>6</v>
      </c>
      <c r="D2238" s="1009">
        <v>39111999</v>
      </c>
      <c r="E2238" s="1009">
        <v>39111000</v>
      </c>
      <c r="F2238" s="1007" t="s">
        <v>2407</v>
      </c>
      <c r="G2238" s="1007">
        <v>7</v>
      </c>
      <c r="H2238" s="1010">
        <v>99999999</v>
      </c>
      <c r="I2238" s="1009">
        <v>39111000</v>
      </c>
      <c r="J2238" s="1007" t="s">
        <v>2407</v>
      </c>
      <c r="O2238" s="1007" t="s">
        <v>648</v>
      </c>
      <c r="P2238" s="1007" t="s">
        <v>648</v>
      </c>
      <c r="S2238" s="1008" t="s">
        <v>657</v>
      </c>
      <c r="T2238" s="1008" t="s">
        <v>654</v>
      </c>
      <c r="U2238" s="1008" t="s">
        <v>649</v>
      </c>
      <c r="V2238" s="1008" t="s">
        <v>648</v>
      </c>
      <c r="W2238" s="1008" t="s">
        <v>546</v>
      </c>
      <c r="X2238" s="1008" t="s">
        <v>670</v>
      </c>
      <c r="Y2238" s="1008" t="s">
        <v>670</v>
      </c>
      <c r="Z2238" s="1008" t="s">
        <v>670</v>
      </c>
      <c r="AA2238" s="1008" t="s">
        <v>670</v>
      </c>
      <c r="AB2238" s="1008" t="s">
        <v>670</v>
      </c>
      <c r="AC2238" s="1008" t="s">
        <v>670</v>
      </c>
      <c r="AD2238" s="1008" t="s">
        <v>670</v>
      </c>
      <c r="AE2238" s="1008"/>
      <c r="AF2238" s="1008" t="s">
        <v>670</v>
      </c>
      <c r="AG2238" s="1008"/>
      <c r="AH2238" s="1008"/>
      <c r="AI2238" s="1008"/>
    </row>
    <row r="2239" spans="1:35">
      <c r="A2239" s="1008">
        <v>24738</v>
      </c>
      <c r="C2239" s="1008">
        <v>5</v>
      </c>
      <c r="D2239" s="1009">
        <v>39900000</v>
      </c>
      <c r="E2239" s="1009">
        <v>39111999</v>
      </c>
      <c r="F2239" s="1007" t="s">
        <v>2406</v>
      </c>
      <c r="O2239" s="1007" t="s">
        <v>648</v>
      </c>
      <c r="P2239" s="1007" t="s">
        <v>648</v>
      </c>
      <c r="S2239" s="1008" t="s">
        <v>657</v>
      </c>
      <c r="T2239" s="1008" t="s">
        <v>21</v>
      </c>
      <c r="U2239" s="1008" t="s">
        <v>649</v>
      </c>
      <c r="V2239" s="1008" t="s">
        <v>648</v>
      </c>
      <c r="W2239" s="1008" t="s">
        <v>546</v>
      </c>
      <c r="X2239" s="1008"/>
      <c r="Y2239" s="1008"/>
      <c r="Z2239" s="1008"/>
      <c r="AA2239" s="1008"/>
      <c r="AB2239" s="1008"/>
      <c r="AC2239" s="1008"/>
      <c r="AD2239" s="1008"/>
      <c r="AE2239" s="1008"/>
      <c r="AF2239" s="1008"/>
      <c r="AG2239" s="1008"/>
      <c r="AH2239" s="1008"/>
      <c r="AI2239" s="1008"/>
    </row>
    <row r="2240" spans="1:35">
      <c r="A2240" s="1008">
        <v>24739</v>
      </c>
      <c r="C2240" s="1008">
        <v>4</v>
      </c>
      <c r="D2240" s="1009">
        <v>39999990</v>
      </c>
      <c r="E2240" s="1009">
        <v>39900000</v>
      </c>
      <c r="F2240" s="1007" t="s">
        <v>2405</v>
      </c>
      <c r="O2240" s="1007" t="s">
        <v>648</v>
      </c>
      <c r="P2240" s="1007" t="s">
        <v>648</v>
      </c>
      <c r="S2240" s="1008" t="s">
        <v>657</v>
      </c>
      <c r="T2240" s="1008" t="s">
        <v>21</v>
      </c>
      <c r="U2240" s="1008" t="s">
        <v>649</v>
      </c>
      <c r="V2240" s="1008" t="s">
        <v>648</v>
      </c>
      <c r="W2240" s="1008" t="s">
        <v>546</v>
      </c>
      <c r="X2240" s="1008"/>
      <c r="Y2240" s="1008"/>
      <c r="Z2240" s="1008"/>
      <c r="AA2240" s="1008"/>
      <c r="AB2240" s="1008"/>
      <c r="AC2240" s="1008"/>
      <c r="AD2240" s="1008"/>
      <c r="AE2240" s="1008"/>
      <c r="AF2240" s="1008"/>
      <c r="AG2240" s="1008"/>
      <c r="AH2240" s="1008"/>
      <c r="AI2240" s="1008"/>
    </row>
    <row r="2241" spans="1:35">
      <c r="A2241" s="1008">
        <v>24740</v>
      </c>
      <c r="C2241" s="1008">
        <v>3</v>
      </c>
      <c r="D2241" s="1009">
        <v>39999998</v>
      </c>
      <c r="E2241" s="1009">
        <v>39999990</v>
      </c>
      <c r="F2241" s="1007" t="s">
        <v>2404</v>
      </c>
      <c r="O2241" s="1007" t="s">
        <v>648</v>
      </c>
      <c r="P2241" s="1007" t="s">
        <v>648</v>
      </c>
      <c r="S2241" s="1008" t="s">
        <v>657</v>
      </c>
      <c r="T2241" s="1008" t="s">
        <v>21</v>
      </c>
      <c r="U2241" s="1008" t="s">
        <v>649</v>
      </c>
      <c r="V2241" s="1008" t="s">
        <v>648</v>
      </c>
      <c r="W2241" s="1008" t="s">
        <v>546</v>
      </c>
      <c r="X2241" s="1008"/>
      <c r="Y2241" s="1008"/>
      <c r="Z2241" s="1008"/>
      <c r="AA2241" s="1008"/>
      <c r="AB2241" s="1008"/>
      <c r="AC2241" s="1008"/>
      <c r="AD2241" s="1008"/>
      <c r="AE2241" s="1008"/>
      <c r="AF2241" s="1008"/>
      <c r="AG2241" s="1008"/>
      <c r="AH2241" s="1008"/>
      <c r="AI2241" s="1008"/>
    </row>
    <row r="2242" spans="1:35">
      <c r="A2242" s="1008">
        <v>24741</v>
      </c>
      <c r="C2242" s="1008">
        <v>2</v>
      </c>
      <c r="D2242" s="1009">
        <v>39999999</v>
      </c>
      <c r="E2242" s="1009">
        <v>39999998</v>
      </c>
      <c r="F2242" s="1007" t="s">
        <v>2403</v>
      </c>
      <c r="O2242" s="1007" t="s">
        <v>648</v>
      </c>
      <c r="P2242" s="1007" t="s">
        <v>648</v>
      </c>
      <c r="S2242" s="1008" t="s">
        <v>657</v>
      </c>
      <c r="T2242" s="1008" t="s">
        <v>21</v>
      </c>
      <c r="U2242" s="1008" t="s">
        <v>649</v>
      </c>
      <c r="V2242" s="1008" t="s">
        <v>648</v>
      </c>
      <c r="W2242" s="1008" t="s">
        <v>546</v>
      </c>
      <c r="X2242" s="1008"/>
      <c r="Y2242" s="1008"/>
      <c r="Z2242" s="1008"/>
      <c r="AA2242" s="1008"/>
      <c r="AB2242" s="1008"/>
      <c r="AC2242" s="1008"/>
      <c r="AD2242" s="1008"/>
      <c r="AE2242" s="1008"/>
      <c r="AF2242" s="1008"/>
      <c r="AG2242" s="1008"/>
      <c r="AH2242" s="1008"/>
      <c r="AI2242" s="1008"/>
    </row>
    <row r="2243" spans="1:35">
      <c r="A2243" s="1008">
        <v>24742</v>
      </c>
      <c r="C2243" s="1008">
        <v>1</v>
      </c>
      <c r="D2243" s="1009">
        <v>99999999</v>
      </c>
      <c r="E2243" s="1009">
        <v>39999999</v>
      </c>
      <c r="F2243" s="1007" t="s">
        <v>2402</v>
      </c>
      <c r="O2243" s="1007" t="s">
        <v>648</v>
      </c>
      <c r="P2243" s="1007" t="s">
        <v>648</v>
      </c>
      <c r="S2243" s="1008" t="s">
        <v>657</v>
      </c>
      <c r="T2243" s="1008" t="s">
        <v>21</v>
      </c>
      <c r="U2243" s="1008" t="s">
        <v>649</v>
      </c>
      <c r="V2243" s="1008" t="s">
        <v>648</v>
      </c>
      <c r="W2243" s="1008" t="s">
        <v>546</v>
      </c>
      <c r="X2243" s="1008"/>
      <c r="Y2243" s="1008"/>
      <c r="Z2243" s="1008"/>
      <c r="AA2243" s="1008"/>
      <c r="AB2243" s="1008"/>
      <c r="AC2243" s="1008"/>
      <c r="AD2243" s="1008"/>
      <c r="AE2243" s="1008"/>
      <c r="AF2243" s="1008"/>
      <c r="AG2243" s="1008"/>
      <c r="AH2243" s="1008"/>
      <c r="AI2243" s="1008"/>
    </row>
    <row r="2244" spans="1:35">
      <c r="A2244" s="1008">
        <v>24743</v>
      </c>
      <c r="C2244" s="1008">
        <v>1</v>
      </c>
      <c r="D2244" s="1009">
        <v>89999999</v>
      </c>
      <c r="E2244" s="1009">
        <v>40000000</v>
      </c>
      <c r="F2244" s="1007" t="s">
        <v>2401</v>
      </c>
      <c r="O2244" s="1007" t="s">
        <v>648</v>
      </c>
      <c r="P2244" s="1007" t="s">
        <v>648</v>
      </c>
      <c r="S2244" s="1008" t="s">
        <v>657</v>
      </c>
      <c r="T2244" s="1008" t="s">
        <v>675</v>
      </c>
      <c r="U2244" s="1008" t="s">
        <v>653</v>
      </c>
      <c r="V2244" s="1008" t="s">
        <v>648</v>
      </c>
      <c r="W2244" s="1008" t="s">
        <v>546</v>
      </c>
      <c r="X2244" s="1008"/>
      <c r="Y2244" s="1008"/>
      <c r="Z2244" s="1008"/>
      <c r="AA2244" s="1008"/>
      <c r="AB2244" s="1008"/>
      <c r="AC2244" s="1008"/>
      <c r="AD2244" s="1008"/>
      <c r="AE2244" s="1008"/>
      <c r="AF2244" s="1008"/>
      <c r="AG2244" s="1008"/>
      <c r="AH2244" s="1008"/>
      <c r="AI2244" s="1008"/>
    </row>
    <row r="2245" spans="1:35">
      <c r="A2245" s="1008">
        <v>24744</v>
      </c>
      <c r="C2245" s="1008">
        <v>2</v>
      </c>
      <c r="D2245" s="1009">
        <v>79999999</v>
      </c>
      <c r="E2245" s="1009">
        <v>40000010</v>
      </c>
      <c r="F2245" s="1007" t="s">
        <v>2400</v>
      </c>
      <c r="O2245" s="1007" t="s">
        <v>648</v>
      </c>
      <c r="P2245" s="1007" t="s">
        <v>648</v>
      </c>
      <c r="S2245" s="1008" t="s">
        <v>657</v>
      </c>
      <c r="T2245" s="1008" t="s">
        <v>675</v>
      </c>
      <c r="U2245" s="1008" t="s">
        <v>653</v>
      </c>
      <c r="V2245" s="1008" t="s">
        <v>648</v>
      </c>
      <c r="W2245" s="1008" t="s">
        <v>546</v>
      </c>
      <c r="X2245" s="1008"/>
      <c r="Y2245" s="1008"/>
      <c r="Z2245" s="1008"/>
      <c r="AA2245" s="1008"/>
      <c r="AB2245" s="1008"/>
      <c r="AC2245" s="1008"/>
      <c r="AD2245" s="1008"/>
      <c r="AE2245" s="1008"/>
      <c r="AF2245" s="1008"/>
      <c r="AG2245" s="1008"/>
      <c r="AH2245" s="1008"/>
      <c r="AI2245" s="1008"/>
    </row>
    <row r="2246" spans="1:35">
      <c r="A2246" s="1008">
        <v>24745</v>
      </c>
      <c r="C2246" s="1008">
        <v>3</v>
      </c>
      <c r="D2246" s="1009">
        <v>49999999</v>
      </c>
      <c r="E2246" s="1009">
        <v>40000100</v>
      </c>
      <c r="F2246" s="1007" t="s">
        <v>2399</v>
      </c>
      <c r="O2246" s="1007" t="s">
        <v>648</v>
      </c>
      <c r="P2246" s="1007" t="s">
        <v>648</v>
      </c>
      <c r="S2246" s="1008" t="s">
        <v>657</v>
      </c>
      <c r="T2246" s="1008" t="s">
        <v>675</v>
      </c>
      <c r="U2246" s="1008" t="s">
        <v>653</v>
      </c>
      <c r="V2246" s="1008" t="s">
        <v>648</v>
      </c>
      <c r="W2246" s="1008" t="s">
        <v>546</v>
      </c>
      <c r="X2246" s="1008"/>
      <c r="Y2246" s="1008"/>
      <c r="Z2246" s="1008"/>
      <c r="AA2246" s="1008"/>
      <c r="AB2246" s="1008"/>
      <c r="AC2246" s="1008"/>
      <c r="AD2246" s="1008"/>
      <c r="AE2246" s="1008"/>
      <c r="AF2246" s="1008"/>
      <c r="AG2246" s="1008"/>
      <c r="AH2246" s="1008"/>
      <c r="AI2246" s="1008"/>
    </row>
    <row r="2247" spans="1:35">
      <c r="A2247" s="1008">
        <v>24746</v>
      </c>
      <c r="C2247" s="1008">
        <v>4</v>
      </c>
      <c r="D2247" s="1009">
        <v>40199999</v>
      </c>
      <c r="E2247" s="1009">
        <v>40100000</v>
      </c>
      <c r="F2247" s="1007" t="s">
        <v>2398</v>
      </c>
      <c r="O2247" s="1007" t="s">
        <v>648</v>
      </c>
      <c r="P2247" s="1007" t="s">
        <v>648</v>
      </c>
      <c r="S2247" s="1008" t="s">
        <v>657</v>
      </c>
      <c r="T2247" s="1008" t="s">
        <v>675</v>
      </c>
      <c r="U2247" s="1008" t="s">
        <v>653</v>
      </c>
      <c r="V2247" s="1008" t="s">
        <v>648</v>
      </c>
      <c r="W2247" s="1008" t="s">
        <v>546</v>
      </c>
      <c r="X2247" s="1008"/>
      <c r="Y2247" s="1008"/>
      <c r="Z2247" s="1008"/>
      <c r="AA2247" s="1008"/>
      <c r="AB2247" s="1008"/>
      <c r="AC2247" s="1008"/>
      <c r="AD2247" s="1008"/>
      <c r="AE2247" s="1008"/>
      <c r="AF2247" s="1008"/>
      <c r="AG2247" s="1008"/>
      <c r="AH2247" s="1008"/>
      <c r="AI2247" s="1008"/>
    </row>
    <row r="2248" spans="1:35">
      <c r="A2248" s="1008">
        <v>24747</v>
      </c>
      <c r="C2248" s="1008">
        <v>5</v>
      </c>
      <c r="D2248" s="1009">
        <v>40119999</v>
      </c>
      <c r="E2248" s="1009">
        <v>40110000</v>
      </c>
      <c r="F2248" s="1007" t="s">
        <v>2397</v>
      </c>
      <c r="O2248" s="1007" t="s">
        <v>648</v>
      </c>
      <c r="P2248" s="1007" t="s">
        <v>648</v>
      </c>
      <c r="S2248" s="1008" t="s">
        <v>657</v>
      </c>
      <c r="T2248" s="1008" t="s">
        <v>675</v>
      </c>
      <c r="U2248" s="1008" t="s">
        <v>653</v>
      </c>
      <c r="V2248" s="1008" t="s">
        <v>648</v>
      </c>
      <c r="W2248" s="1008" t="s">
        <v>546</v>
      </c>
      <c r="X2248" s="1008"/>
      <c r="Y2248" s="1008"/>
      <c r="Z2248" s="1008"/>
      <c r="AA2248" s="1008"/>
      <c r="AB2248" s="1008"/>
      <c r="AC2248" s="1008"/>
      <c r="AD2248" s="1008"/>
      <c r="AE2248" s="1008"/>
      <c r="AF2248" s="1008"/>
      <c r="AG2248" s="1008"/>
      <c r="AH2248" s="1008"/>
      <c r="AI2248" s="1008"/>
    </row>
    <row r="2249" spans="1:35">
      <c r="A2249" s="1008">
        <v>24748</v>
      </c>
      <c r="B2249" s="1008">
        <v>8</v>
      </c>
      <c r="C2249" s="1008">
        <v>6</v>
      </c>
      <c r="D2249" s="1009">
        <v>40119999</v>
      </c>
      <c r="E2249" s="1009">
        <v>40111000</v>
      </c>
      <c r="F2249" s="1007" t="s">
        <v>2396</v>
      </c>
      <c r="G2249" s="1007">
        <v>8</v>
      </c>
      <c r="H2249" s="1010">
        <v>99999999</v>
      </c>
      <c r="I2249" s="1009">
        <v>40111000</v>
      </c>
      <c r="J2249" s="1007" t="s">
        <v>2395</v>
      </c>
      <c r="O2249" s="1007" t="s">
        <v>648</v>
      </c>
      <c r="P2249" s="1007" t="s">
        <v>648</v>
      </c>
      <c r="S2249" s="1008" t="s">
        <v>657</v>
      </c>
      <c r="T2249" s="1008" t="s">
        <v>654</v>
      </c>
      <c r="U2249" s="1008" t="s">
        <v>653</v>
      </c>
      <c r="V2249" s="1008" t="s">
        <v>648</v>
      </c>
      <c r="W2249" s="1008" t="s">
        <v>546</v>
      </c>
      <c r="X2249" s="1008" t="s">
        <v>670</v>
      </c>
      <c r="Y2249" s="1008" t="s">
        <v>670</v>
      </c>
      <c r="Z2249" s="1008"/>
      <c r="AA2249" s="1008"/>
      <c r="AB2249" s="1008"/>
      <c r="AC2249" s="1008"/>
      <c r="AD2249" s="1008"/>
      <c r="AE2249" s="1008"/>
      <c r="AF2249" s="1008" t="s">
        <v>670</v>
      </c>
      <c r="AG2249" s="1008"/>
      <c r="AH2249" s="1008"/>
      <c r="AI2249" s="1008"/>
    </row>
    <row r="2250" spans="1:35">
      <c r="A2250" s="1008">
        <v>27050</v>
      </c>
      <c r="B2250" s="1008">
        <v>9</v>
      </c>
      <c r="C2250" s="1008">
        <v>6</v>
      </c>
      <c r="D2250" s="1009">
        <v>40119999</v>
      </c>
      <c r="E2250" s="1009">
        <v>40112000</v>
      </c>
      <c r="F2250" s="1007" t="s">
        <v>2394</v>
      </c>
      <c r="G2250" s="1007">
        <v>8</v>
      </c>
      <c r="H2250" s="1010">
        <v>99999999</v>
      </c>
      <c r="I2250" s="1009">
        <v>40112000</v>
      </c>
      <c r="J2250" s="1007" t="s">
        <v>2393</v>
      </c>
      <c r="O2250" s="1007" t="s">
        <v>648</v>
      </c>
      <c r="P2250" s="1007" t="s">
        <v>648</v>
      </c>
      <c r="S2250" s="1008" t="s">
        <v>657</v>
      </c>
      <c r="T2250" s="1008" t="s">
        <v>654</v>
      </c>
      <c r="U2250" s="1008" t="s">
        <v>653</v>
      </c>
      <c r="V2250" s="1008" t="s">
        <v>648</v>
      </c>
      <c r="W2250" s="1008" t="s">
        <v>546</v>
      </c>
      <c r="X2250" s="1008" t="s">
        <v>670</v>
      </c>
      <c r="Y2250" s="1008" t="s">
        <v>670</v>
      </c>
      <c r="Z2250" s="1008"/>
      <c r="AA2250" s="1008"/>
      <c r="AB2250" s="1008"/>
      <c r="AC2250" s="1008"/>
      <c r="AD2250" s="1008"/>
      <c r="AE2250" s="1008"/>
      <c r="AF2250" s="1008" t="s">
        <v>670</v>
      </c>
      <c r="AG2250" s="1008"/>
      <c r="AH2250" s="1008"/>
      <c r="AI2250" s="1008"/>
    </row>
    <row r="2251" spans="1:35">
      <c r="A2251" s="1008">
        <v>27051</v>
      </c>
      <c r="B2251" s="1008">
        <v>10</v>
      </c>
      <c r="C2251" s="1008">
        <v>6</v>
      </c>
      <c r="D2251" s="1009">
        <v>40119999</v>
      </c>
      <c r="E2251" s="1009">
        <v>40113000</v>
      </c>
      <c r="F2251" s="1007" t="s">
        <v>2392</v>
      </c>
      <c r="G2251" s="1007">
        <v>8</v>
      </c>
      <c r="H2251" s="1010">
        <v>99999999</v>
      </c>
      <c r="I2251" s="1009">
        <v>40113000</v>
      </c>
      <c r="J2251" s="1007" t="s">
        <v>2391</v>
      </c>
      <c r="O2251" s="1007" t="s">
        <v>648</v>
      </c>
      <c r="P2251" s="1007" t="s">
        <v>648</v>
      </c>
      <c r="S2251" s="1008" t="s">
        <v>657</v>
      </c>
      <c r="T2251" s="1008" t="s">
        <v>654</v>
      </c>
      <c r="U2251" s="1008" t="s">
        <v>653</v>
      </c>
      <c r="V2251" s="1008" t="s">
        <v>648</v>
      </c>
      <c r="W2251" s="1008" t="s">
        <v>546</v>
      </c>
      <c r="X2251" s="1008" t="s">
        <v>670</v>
      </c>
      <c r="Y2251" s="1008" t="s">
        <v>670</v>
      </c>
      <c r="Z2251" s="1008"/>
      <c r="AA2251" s="1008"/>
      <c r="AB2251" s="1008"/>
      <c r="AC2251" s="1008"/>
      <c r="AD2251" s="1008"/>
      <c r="AE2251" s="1008"/>
      <c r="AF2251" s="1008" t="s">
        <v>670</v>
      </c>
      <c r="AG2251" s="1008"/>
      <c r="AH2251" s="1008"/>
      <c r="AI2251" s="1008"/>
    </row>
    <row r="2252" spans="1:35">
      <c r="A2252" s="1008">
        <v>27052</v>
      </c>
      <c r="B2252" s="1008">
        <v>11</v>
      </c>
      <c r="C2252" s="1008">
        <v>6</v>
      </c>
      <c r="D2252" s="1009">
        <v>40119999</v>
      </c>
      <c r="E2252" s="1009">
        <v>40114000</v>
      </c>
      <c r="F2252" s="1007" t="s">
        <v>2390</v>
      </c>
      <c r="G2252" s="1007">
        <v>8</v>
      </c>
      <c r="H2252" s="1010">
        <v>99999999</v>
      </c>
      <c r="I2252" s="1009">
        <v>40114000</v>
      </c>
      <c r="J2252" s="1007" t="s">
        <v>2389</v>
      </c>
      <c r="O2252" s="1007" t="s">
        <v>648</v>
      </c>
      <c r="P2252" s="1007" t="s">
        <v>648</v>
      </c>
      <c r="S2252" s="1008" t="s">
        <v>657</v>
      </c>
      <c r="T2252" s="1008" t="s">
        <v>654</v>
      </c>
      <c r="U2252" s="1008" t="s">
        <v>653</v>
      </c>
      <c r="V2252" s="1008" t="s">
        <v>648</v>
      </c>
      <c r="W2252" s="1008" t="s">
        <v>546</v>
      </c>
      <c r="X2252" s="1008" t="s">
        <v>670</v>
      </c>
      <c r="Y2252" s="1008" t="s">
        <v>670</v>
      </c>
      <c r="Z2252" s="1008"/>
      <c r="AA2252" s="1008"/>
      <c r="AB2252" s="1008"/>
      <c r="AC2252" s="1008"/>
      <c r="AD2252" s="1008"/>
      <c r="AE2252" s="1008"/>
      <c r="AF2252" s="1008" t="s">
        <v>670</v>
      </c>
      <c r="AG2252" s="1008"/>
      <c r="AH2252" s="1008"/>
      <c r="AI2252" s="1008"/>
    </row>
    <row r="2253" spans="1:35">
      <c r="A2253" s="1008">
        <v>27053</v>
      </c>
      <c r="B2253" s="1008">
        <v>12</v>
      </c>
      <c r="C2253" s="1008">
        <v>6</v>
      </c>
      <c r="D2253" s="1009">
        <v>40119999</v>
      </c>
      <c r="E2253" s="1009">
        <v>40115000</v>
      </c>
      <c r="F2253" s="1007" t="s">
        <v>2388</v>
      </c>
      <c r="G2253" s="1007">
        <v>8</v>
      </c>
      <c r="H2253" s="1010">
        <v>99999999</v>
      </c>
      <c r="I2253" s="1009">
        <v>40115000</v>
      </c>
      <c r="J2253" s="1007" t="s">
        <v>2387</v>
      </c>
      <c r="O2253" s="1007" t="s">
        <v>648</v>
      </c>
      <c r="P2253" s="1007" t="s">
        <v>648</v>
      </c>
      <c r="S2253" s="1008" t="s">
        <v>657</v>
      </c>
      <c r="T2253" s="1008" t="s">
        <v>654</v>
      </c>
      <c r="U2253" s="1008" t="s">
        <v>653</v>
      </c>
      <c r="V2253" s="1008" t="s">
        <v>648</v>
      </c>
      <c r="W2253" s="1008" t="s">
        <v>546</v>
      </c>
      <c r="X2253" s="1008" t="s">
        <v>670</v>
      </c>
      <c r="Y2253" s="1008" t="s">
        <v>670</v>
      </c>
      <c r="Z2253" s="1008"/>
      <c r="AA2253" s="1008"/>
      <c r="AB2253" s="1008"/>
      <c r="AC2253" s="1008"/>
      <c r="AD2253" s="1008"/>
      <c r="AE2253" s="1008"/>
      <c r="AF2253" s="1008" t="s">
        <v>670</v>
      </c>
      <c r="AG2253" s="1008"/>
      <c r="AH2253" s="1008"/>
      <c r="AI2253" s="1008"/>
    </row>
    <row r="2254" spans="1:35">
      <c r="A2254" s="1008">
        <v>27054</v>
      </c>
      <c r="B2254" s="1008">
        <v>13</v>
      </c>
      <c r="C2254" s="1008">
        <v>6</v>
      </c>
      <c r="D2254" s="1009">
        <v>40119999</v>
      </c>
      <c r="E2254" s="1009">
        <v>40116000</v>
      </c>
      <c r="F2254" s="1007" t="s">
        <v>2386</v>
      </c>
      <c r="G2254" s="1007">
        <v>8</v>
      </c>
      <c r="H2254" s="1010">
        <v>99999999</v>
      </c>
      <c r="I2254" s="1009">
        <v>40116000</v>
      </c>
      <c r="J2254" s="1007" t="s">
        <v>2385</v>
      </c>
      <c r="O2254" s="1007" t="s">
        <v>648</v>
      </c>
      <c r="P2254" s="1007" t="s">
        <v>648</v>
      </c>
      <c r="S2254" s="1008" t="s">
        <v>657</v>
      </c>
      <c r="T2254" s="1008" t="s">
        <v>654</v>
      </c>
      <c r="U2254" s="1008" t="s">
        <v>653</v>
      </c>
      <c r="V2254" s="1008" t="s">
        <v>648</v>
      </c>
      <c r="W2254" s="1008" t="s">
        <v>546</v>
      </c>
      <c r="X2254" s="1008" t="s">
        <v>670</v>
      </c>
      <c r="Y2254" s="1008" t="s">
        <v>670</v>
      </c>
      <c r="Z2254" s="1008"/>
      <c r="AA2254" s="1008"/>
      <c r="AB2254" s="1008"/>
      <c r="AC2254" s="1008"/>
      <c r="AD2254" s="1008"/>
      <c r="AE2254" s="1008"/>
      <c r="AF2254" s="1008" t="s">
        <v>670</v>
      </c>
      <c r="AG2254" s="1008"/>
      <c r="AH2254" s="1008"/>
      <c r="AI2254" s="1008"/>
    </row>
    <row r="2255" spans="1:35">
      <c r="A2255" s="1008">
        <v>27111</v>
      </c>
      <c r="B2255" s="1008">
        <v>5944</v>
      </c>
      <c r="C2255" s="1008">
        <v>6</v>
      </c>
      <c r="D2255" s="1009">
        <v>40119999</v>
      </c>
      <c r="E2255" s="1009">
        <v>40117000</v>
      </c>
      <c r="F2255" s="1007" t="s">
        <v>2384</v>
      </c>
      <c r="G2255" s="1007">
        <v>8</v>
      </c>
      <c r="H2255" s="1010">
        <v>99999999</v>
      </c>
      <c r="I2255" s="1009">
        <v>40117000</v>
      </c>
      <c r="J2255" s="1007" t="s">
        <v>2383</v>
      </c>
      <c r="O2255" s="1007" t="s">
        <v>648</v>
      </c>
      <c r="P2255" s="1007" t="s">
        <v>648</v>
      </c>
      <c r="S2255" s="1008" t="s">
        <v>657</v>
      </c>
      <c r="T2255" s="1008" t="s">
        <v>654</v>
      </c>
      <c r="U2255" s="1008" t="s">
        <v>653</v>
      </c>
      <c r="V2255" s="1008" t="s">
        <v>648</v>
      </c>
      <c r="W2255" s="1008" t="s">
        <v>546</v>
      </c>
      <c r="X2255" s="1008" t="s">
        <v>670</v>
      </c>
      <c r="Y2255" s="1008" t="s">
        <v>670</v>
      </c>
      <c r="Z2255" s="1008"/>
      <c r="AA2255" s="1008"/>
      <c r="AB2255" s="1008"/>
      <c r="AC2255" s="1008"/>
      <c r="AD2255" s="1008"/>
      <c r="AE2255" s="1008"/>
      <c r="AF2255" s="1008" t="s">
        <v>670</v>
      </c>
      <c r="AG2255" s="1008"/>
      <c r="AH2255" s="1008"/>
      <c r="AI2255" s="1008"/>
    </row>
    <row r="2256" spans="1:35">
      <c r="A2256" s="1008">
        <v>27328</v>
      </c>
      <c r="B2256" s="1008">
        <v>6241</v>
      </c>
      <c r="C2256" s="1008">
        <v>6</v>
      </c>
      <c r="D2256" s="1009">
        <v>40119999</v>
      </c>
      <c r="E2256" s="1009">
        <v>40118000</v>
      </c>
      <c r="F2256" s="1007" t="s">
        <v>2382</v>
      </c>
      <c r="G2256" s="1007">
        <v>8</v>
      </c>
      <c r="H2256" s="1010">
        <v>99999999</v>
      </c>
      <c r="I2256" s="1009">
        <v>40118000</v>
      </c>
      <c r="J2256" s="1007" t="s">
        <v>2381</v>
      </c>
      <c r="O2256" s="1007" t="s">
        <v>648</v>
      </c>
      <c r="P2256" s="1007" t="s">
        <v>648</v>
      </c>
      <c r="S2256" s="1008" t="s">
        <v>657</v>
      </c>
      <c r="T2256" s="1008" t="s">
        <v>654</v>
      </c>
      <c r="U2256" s="1008" t="s">
        <v>653</v>
      </c>
      <c r="V2256" s="1008" t="s">
        <v>648</v>
      </c>
      <c r="W2256" s="1008" t="s">
        <v>546</v>
      </c>
      <c r="X2256" s="1008" t="s">
        <v>670</v>
      </c>
      <c r="Y2256" s="1008" t="s">
        <v>670</v>
      </c>
      <c r="Z2256" s="1008"/>
      <c r="AA2256" s="1008"/>
      <c r="AB2256" s="1008"/>
      <c r="AC2256" s="1008"/>
      <c r="AD2256" s="1008"/>
      <c r="AE2256" s="1008"/>
      <c r="AF2256" s="1008" t="s">
        <v>670</v>
      </c>
      <c r="AG2256" s="1008"/>
      <c r="AH2256" s="1008"/>
      <c r="AI2256" s="1008"/>
    </row>
    <row r="2257" spans="1:35">
      <c r="A2257" s="1008">
        <v>27055</v>
      </c>
      <c r="B2257" s="1008">
        <v>5286</v>
      </c>
      <c r="C2257" s="1008">
        <v>6</v>
      </c>
      <c r="D2257" s="1009">
        <v>40119999</v>
      </c>
      <c r="E2257" s="1009">
        <v>40119000</v>
      </c>
      <c r="F2257" s="1007" t="s">
        <v>2380</v>
      </c>
      <c r="G2257" s="1007">
        <v>8</v>
      </c>
      <c r="H2257" s="1010">
        <v>99999999</v>
      </c>
      <c r="I2257" s="1009">
        <v>40119000</v>
      </c>
      <c r="J2257" s="1007" t="s">
        <v>2379</v>
      </c>
      <c r="O2257" s="1007" t="s">
        <v>648</v>
      </c>
      <c r="P2257" s="1007" t="s">
        <v>648</v>
      </c>
      <c r="S2257" s="1008" t="s">
        <v>657</v>
      </c>
      <c r="T2257" s="1008" t="s">
        <v>654</v>
      </c>
      <c r="U2257" s="1008" t="s">
        <v>653</v>
      </c>
      <c r="V2257" s="1008" t="s">
        <v>648</v>
      </c>
      <c r="W2257" s="1008" t="s">
        <v>546</v>
      </c>
      <c r="X2257" s="1008" t="s">
        <v>670</v>
      </c>
      <c r="Y2257" s="1008" t="s">
        <v>670</v>
      </c>
      <c r="Z2257" s="1008"/>
      <c r="AA2257" s="1008"/>
      <c r="AB2257" s="1008"/>
      <c r="AC2257" s="1008"/>
      <c r="AD2257" s="1008"/>
      <c r="AE2257" s="1008"/>
      <c r="AF2257" s="1008" t="s">
        <v>670</v>
      </c>
      <c r="AG2257" s="1008"/>
      <c r="AH2257" s="1008"/>
      <c r="AI2257" s="1008"/>
    </row>
    <row r="2258" spans="1:35">
      <c r="A2258" s="1008">
        <v>27585</v>
      </c>
      <c r="B2258" s="1008">
        <v>6434</v>
      </c>
      <c r="C2258" s="1008">
        <v>6</v>
      </c>
      <c r="D2258" s="1009">
        <v>40119999</v>
      </c>
      <c r="E2258" s="1009">
        <v>40119050</v>
      </c>
      <c r="F2258" s="1007" t="s">
        <v>2378</v>
      </c>
      <c r="G2258" s="1007">
        <v>8</v>
      </c>
      <c r="H2258" s="1010">
        <v>99999999</v>
      </c>
      <c r="I2258" s="1009">
        <v>40119050</v>
      </c>
      <c r="J2258" s="1007" t="s">
        <v>2377</v>
      </c>
      <c r="O2258" s="1007" t="s">
        <v>648</v>
      </c>
      <c r="P2258" s="1007" t="s">
        <v>648</v>
      </c>
      <c r="S2258" s="1008" t="s">
        <v>657</v>
      </c>
      <c r="T2258" s="1008" t="s">
        <v>654</v>
      </c>
      <c r="U2258" s="1008" t="s">
        <v>653</v>
      </c>
      <c r="V2258" s="1008" t="s">
        <v>648</v>
      </c>
      <c r="W2258" s="1008" t="s">
        <v>546</v>
      </c>
      <c r="X2258" s="1008" t="s">
        <v>670</v>
      </c>
      <c r="Y2258" s="1008" t="s">
        <v>670</v>
      </c>
      <c r="Z2258" s="1008"/>
      <c r="AA2258" s="1008"/>
      <c r="AB2258" s="1008"/>
      <c r="AC2258" s="1008"/>
      <c r="AD2258" s="1008"/>
      <c r="AE2258" s="1008"/>
      <c r="AF2258" s="1008" t="s">
        <v>670</v>
      </c>
      <c r="AG2258" s="1008"/>
      <c r="AH2258" s="1008"/>
      <c r="AI2258" s="1008"/>
    </row>
    <row r="2259" spans="1:35">
      <c r="A2259" s="1008">
        <v>27735</v>
      </c>
      <c r="B2259" s="1008">
        <v>6553</v>
      </c>
      <c r="C2259" s="1008">
        <v>6</v>
      </c>
      <c r="D2259" s="1009">
        <v>40119999</v>
      </c>
      <c r="E2259" s="1009">
        <v>40119090</v>
      </c>
      <c r="F2259" s="1007" t="s">
        <v>2376</v>
      </c>
      <c r="G2259" s="1007" t="s">
        <v>648</v>
      </c>
      <c r="H2259" s="1010">
        <v>99999999</v>
      </c>
      <c r="I2259" s="1009">
        <v>40119090</v>
      </c>
      <c r="J2259" s="1007" t="s">
        <v>2375</v>
      </c>
      <c r="O2259" s="1007" t="s">
        <v>648</v>
      </c>
      <c r="P2259" s="1007" t="s">
        <v>648</v>
      </c>
      <c r="S2259" s="1008" t="s">
        <v>657</v>
      </c>
      <c r="T2259" s="1008" t="s">
        <v>654</v>
      </c>
      <c r="U2259" s="1008" t="s">
        <v>653</v>
      </c>
      <c r="V2259" s="1008" t="s">
        <v>648</v>
      </c>
      <c r="W2259" s="1008" t="s">
        <v>546</v>
      </c>
      <c r="X2259" s="1008" t="s">
        <v>670</v>
      </c>
      <c r="Y2259" s="1008" t="s">
        <v>670</v>
      </c>
      <c r="Z2259" s="1008"/>
      <c r="AA2259" s="1008"/>
      <c r="AB2259" s="1008"/>
      <c r="AC2259" s="1008"/>
      <c r="AD2259" s="1008"/>
      <c r="AE2259" s="1008"/>
      <c r="AF2259" s="1008" t="s">
        <v>670</v>
      </c>
      <c r="AG2259" s="1008"/>
      <c r="AH2259" s="1008"/>
      <c r="AI2259" s="1008"/>
    </row>
    <row r="2260" spans="1:35">
      <c r="A2260" s="1008">
        <v>27029</v>
      </c>
      <c r="B2260" s="1008">
        <v>5910</v>
      </c>
      <c r="C2260" s="1008">
        <v>6</v>
      </c>
      <c r="D2260" s="1009">
        <v>40119999</v>
      </c>
      <c r="E2260" s="1009">
        <v>40119600</v>
      </c>
      <c r="F2260" s="1007" t="s">
        <v>2374</v>
      </c>
      <c r="G2260" s="1007" t="s">
        <v>648</v>
      </c>
      <c r="H2260" s="1010">
        <v>99999999</v>
      </c>
      <c r="I2260" s="1009">
        <v>40119600</v>
      </c>
      <c r="J2260" s="1007" t="s">
        <v>2374</v>
      </c>
      <c r="O2260" s="1007" t="s">
        <v>648</v>
      </c>
      <c r="P2260" s="1007" t="s">
        <v>648</v>
      </c>
      <c r="S2260" s="1008" t="s">
        <v>657</v>
      </c>
      <c r="T2260" s="1008" t="s">
        <v>654</v>
      </c>
      <c r="U2260" s="1008" t="s">
        <v>653</v>
      </c>
      <c r="V2260" s="1008" t="s">
        <v>648</v>
      </c>
      <c r="W2260" s="1008" t="s">
        <v>546</v>
      </c>
      <c r="X2260" s="1008" t="s">
        <v>670</v>
      </c>
      <c r="Y2260" s="1008" t="s">
        <v>670</v>
      </c>
      <c r="Z2260" s="1008" t="s">
        <v>670</v>
      </c>
      <c r="AA2260" s="1008"/>
      <c r="AB2260" s="1008" t="s">
        <v>670</v>
      </c>
      <c r="AC2260" s="1008"/>
      <c r="AD2260" s="1008"/>
      <c r="AE2260" s="1008"/>
      <c r="AF2260" s="1008" t="s">
        <v>670</v>
      </c>
      <c r="AG2260" s="1008"/>
      <c r="AH2260" s="1008"/>
      <c r="AI2260" s="1008"/>
    </row>
    <row r="2261" spans="1:35">
      <c r="A2261" s="1008">
        <v>24749</v>
      </c>
      <c r="C2261" s="1008">
        <v>5</v>
      </c>
      <c r="D2261" s="1009">
        <v>40199999</v>
      </c>
      <c r="E2261" s="1009">
        <v>40119999</v>
      </c>
      <c r="F2261" s="1007" t="s">
        <v>2373</v>
      </c>
      <c r="O2261" s="1007" t="s">
        <v>648</v>
      </c>
      <c r="P2261" s="1007" t="s">
        <v>648</v>
      </c>
      <c r="S2261" s="1008" t="s">
        <v>657</v>
      </c>
      <c r="T2261" s="1008" t="s">
        <v>21</v>
      </c>
      <c r="U2261" s="1008" t="s">
        <v>653</v>
      </c>
      <c r="V2261" s="1008" t="s">
        <v>648</v>
      </c>
      <c r="W2261" s="1008" t="s">
        <v>546</v>
      </c>
      <c r="X2261" s="1008"/>
      <c r="Y2261" s="1008"/>
      <c r="Z2261" s="1008"/>
      <c r="AA2261" s="1008"/>
      <c r="AB2261" s="1008"/>
      <c r="AC2261" s="1008"/>
      <c r="AD2261" s="1008"/>
      <c r="AE2261" s="1008"/>
      <c r="AF2261" s="1008"/>
      <c r="AG2261" s="1008"/>
      <c r="AH2261" s="1008"/>
      <c r="AI2261" s="1008"/>
    </row>
    <row r="2262" spans="1:35">
      <c r="A2262" s="1008">
        <v>24750</v>
      </c>
      <c r="C2262" s="1008">
        <v>5</v>
      </c>
      <c r="D2262" s="1009">
        <v>40129999</v>
      </c>
      <c r="E2262" s="1009">
        <v>40120000</v>
      </c>
      <c r="F2262" s="1007" t="s">
        <v>2372</v>
      </c>
      <c r="O2262" s="1007" t="s">
        <v>648</v>
      </c>
      <c r="P2262" s="1007" t="s">
        <v>648</v>
      </c>
      <c r="S2262" s="1008" t="s">
        <v>657</v>
      </c>
      <c r="T2262" s="1008" t="s">
        <v>675</v>
      </c>
      <c r="U2262" s="1008" t="s">
        <v>653</v>
      </c>
      <c r="V2262" s="1008" t="s">
        <v>648</v>
      </c>
      <c r="W2262" s="1008" t="s">
        <v>546</v>
      </c>
      <c r="X2262" s="1008"/>
      <c r="Y2262" s="1008"/>
      <c r="Z2262" s="1008"/>
      <c r="AA2262" s="1008"/>
      <c r="AB2262" s="1008"/>
      <c r="AC2262" s="1008"/>
      <c r="AD2262" s="1008"/>
      <c r="AE2262" s="1008"/>
      <c r="AF2262" s="1008"/>
      <c r="AG2262" s="1008"/>
      <c r="AH2262" s="1008"/>
      <c r="AI2262" s="1008"/>
    </row>
    <row r="2263" spans="1:35">
      <c r="A2263" s="1008">
        <v>24751</v>
      </c>
      <c r="B2263" s="1008">
        <v>2008</v>
      </c>
      <c r="C2263" s="1008">
        <v>6</v>
      </c>
      <c r="D2263" s="1009">
        <v>40129999</v>
      </c>
      <c r="E2263" s="1009">
        <v>40121000</v>
      </c>
      <c r="F2263" s="1007" t="s">
        <v>2371</v>
      </c>
      <c r="G2263" s="1007">
        <v>6</v>
      </c>
      <c r="H2263" s="1010">
        <v>99999999</v>
      </c>
      <c r="I2263" s="1009">
        <v>40121000</v>
      </c>
      <c r="J2263" s="1007" t="s">
        <v>2371</v>
      </c>
      <c r="O2263" s="1007" t="s">
        <v>648</v>
      </c>
      <c r="P2263" s="1007" t="s">
        <v>648</v>
      </c>
      <c r="S2263" s="1008" t="s">
        <v>657</v>
      </c>
      <c r="T2263" s="1008" t="s">
        <v>654</v>
      </c>
      <c r="U2263" s="1008" t="s">
        <v>653</v>
      </c>
      <c r="V2263" s="1008" t="s">
        <v>648</v>
      </c>
      <c r="W2263" s="1008" t="s">
        <v>546</v>
      </c>
      <c r="X2263" s="1008" t="s">
        <v>670</v>
      </c>
      <c r="Y2263" s="1008" t="s">
        <v>670</v>
      </c>
      <c r="Z2263" s="1008"/>
      <c r="AA2263" s="1008"/>
      <c r="AB2263" s="1008"/>
      <c r="AC2263" s="1008"/>
      <c r="AD2263" s="1008"/>
      <c r="AE2263" s="1008"/>
      <c r="AF2263" s="1008" t="s">
        <v>670</v>
      </c>
      <c r="AG2263" s="1008"/>
      <c r="AH2263" s="1008"/>
      <c r="AI2263" s="1008"/>
    </row>
    <row r="2264" spans="1:35">
      <c r="A2264" s="1008">
        <v>24752</v>
      </c>
      <c r="B2264" s="1008">
        <v>2009</v>
      </c>
      <c r="C2264" s="1008">
        <v>6</v>
      </c>
      <c r="D2264" s="1009">
        <v>40129999</v>
      </c>
      <c r="E2264" s="1009">
        <v>40122000</v>
      </c>
      <c r="F2264" s="1007" t="s">
        <v>2370</v>
      </c>
      <c r="G2264" s="1007">
        <v>6</v>
      </c>
      <c r="H2264" s="1010">
        <v>99999999</v>
      </c>
      <c r="I2264" s="1009">
        <v>40122000</v>
      </c>
      <c r="J2264" s="1007" t="s">
        <v>2370</v>
      </c>
      <c r="O2264" s="1007" t="s">
        <v>648</v>
      </c>
      <c r="P2264" s="1007" t="s">
        <v>648</v>
      </c>
      <c r="S2264" s="1008" t="s">
        <v>657</v>
      </c>
      <c r="T2264" s="1008" t="s">
        <v>654</v>
      </c>
      <c r="U2264" s="1008" t="s">
        <v>653</v>
      </c>
      <c r="V2264" s="1008" t="s">
        <v>648</v>
      </c>
      <c r="W2264" s="1008" t="s">
        <v>546</v>
      </c>
      <c r="X2264" s="1008" t="s">
        <v>670</v>
      </c>
      <c r="Y2264" s="1008" t="s">
        <v>670</v>
      </c>
      <c r="Z2264" s="1008"/>
      <c r="AA2264" s="1008"/>
      <c r="AB2264" s="1008"/>
      <c r="AC2264" s="1008"/>
      <c r="AD2264" s="1008"/>
      <c r="AE2264" s="1008"/>
      <c r="AF2264" s="1008" t="s">
        <v>670</v>
      </c>
      <c r="AG2264" s="1008"/>
      <c r="AH2264" s="1008"/>
      <c r="AI2264" s="1008"/>
    </row>
    <row r="2265" spans="1:35">
      <c r="A2265" s="1008">
        <v>24753</v>
      </c>
      <c r="B2265" s="1008">
        <v>428</v>
      </c>
      <c r="C2265" s="1008">
        <v>6</v>
      </c>
      <c r="D2265" s="1009">
        <v>40129999</v>
      </c>
      <c r="E2265" s="1009">
        <v>40123000</v>
      </c>
      <c r="F2265" s="1007" t="s">
        <v>2369</v>
      </c>
      <c r="G2265" s="1007">
        <v>8</v>
      </c>
      <c r="H2265" s="1010">
        <v>99999999</v>
      </c>
      <c r="I2265" s="1009">
        <v>40123000</v>
      </c>
      <c r="J2265" s="1007" t="s">
        <v>2369</v>
      </c>
      <c r="O2265" s="1007" t="s">
        <v>648</v>
      </c>
      <c r="P2265" s="1007" t="s">
        <v>648</v>
      </c>
      <c r="S2265" s="1008" t="s">
        <v>657</v>
      </c>
      <c r="T2265" s="1008" t="s">
        <v>654</v>
      </c>
      <c r="U2265" s="1008" t="s">
        <v>653</v>
      </c>
      <c r="V2265" s="1008" t="s">
        <v>648</v>
      </c>
      <c r="W2265" s="1008" t="s">
        <v>546</v>
      </c>
      <c r="X2265" s="1008" t="s">
        <v>670</v>
      </c>
      <c r="Y2265" s="1008" t="s">
        <v>670</v>
      </c>
      <c r="Z2265" s="1008"/>
      <c r="AA2265" s="1008"/>
      <c r="AB2265" s="1008"/>
      <c r="AC2265" s="1008"/>
      <c r="AD2265" s="1008"/>
      <c r="AE2265" s="1008"/>
      <c r="AF2265" s="1008" t="s">
        <v>670</v>
      </c>
      <c r="AG2265" s="1008"/>
      <c r="AH2265" s="1008"/>
      <c r="AI2265" s="1008"/>
    </row>
    <row r="2266" spans="1:35">
      <c r="A2266" s="1008">
        <v>27763</v>
      </c>
      <c r="B2266" s="1008">
        <v>6572</v>
      </c>
      <c r="C2266" s="1008">
        <v>6</v>
      </c>
      <c r="D2266" s="1009">
        <v>40129999</v>
      </c>
      <c r="E2266" s="1009">
        <v>40124000</v>
      </c>
      <c r="F2266" s="1007" t="s">
        <v>2368</v>
      </c>
      <c r="G2266" s="1007">
        <v>8</v>
      </c>
      <c r="H2266" s="1010">
        <v>99999999</v>
      </c>
      <c r="I2266" s="1009">
        <v>40124000</v>
      </c>
      <c r="J2266" s="1007" t="s">
        <v>2368</v>
      </c>
      <c r="O2266" s="1007" t="s">
        <v>648</v>
      </c>
      <c r="P2266" s="1007" t="s">
        <v>648</v>
      </c>
      <c r="S2266" s="1008" t="s">
        <v>657</v>
      </c>
      <c r="T2266" s="1008" t="s">
        <v>654</v>
      </c>
      <c r="U2266" s="1008" t="s">
        <v>653</v>
      </c>
      <c r="V2266" s="1008" t="s">
        <v>648</v>
      </c>
      <c r="W2266" s="1008" t="s">
        <v>546</v>
      </c>
      <c r="X2266" s="1008" t="s">
        <v>670</v>
      </c>
      <c r="Y2266" s="1008" t="s">
        <v>670</v>
      </c>
      <c r="Z2266" s="1008"/>
      <c r="AA2266" s="1008"/>
      <c r="AB2266" s="1008"/>
      <c r="AC2266" s="1008"/>
      <c r="AD2266" s="1008"/>
      <c r="AE2266" s="1008"/>
      <c r="AF2266" s="1008" t="s">
        <v>670</v>
      </c>
      <c r="AG2266" s="1008"/>
      <c r="AH2266" s="1008"/>
      <c r="AI2266" s="1008"/>
    </row>
    <row r="2267" spans="1:35">
      <c r="A2267" s="1008">
        <v>27764</v>
      </c>
      <c r="B2267" s="1008">
        <v>6573</v>
      </c>
      <c r="C2267" s="1008">
        <v>6</v>
      </c>
      <c r="D2267" s="1009">
        <v>40129999</v>
      </c>
      <c r="E2267" s="1009">
        <v>40125000</v>
      </c>
      <c r="F2267" s="1007" t="s">
        <v>2367</v>
      </c>
      <c r="G2267" s="1007">
        <v>8</v>
      </c>
      <c r="H2267" s="1010">
        <v>99999999</v>
      </c>
      <c r="I2267" s="1009">
        <v>40125000</v>
      </c>
      <c r="J2267" s="1007" t="s">
        <v>2367</v>
      </c>
      <c r="O2267" s="1007" t="s">
        <v>648</v>
      </c>
      <c r="P2267" s="1007" t="s">
        <v>648</v>
      </c>
      <c r="S2267" s="1008" t="s">
        <v>657</v>
      </c>
      <c r="T2267" s="1008" t="s">
        <v>654</v>
      </c>
      <c r="U2267" s="1008" t="s">
        <v>653</v>
      </c>
      <c r="V2267" s="1008" t="s">
        <v>648</v>
      </c>
      <c r="W2267" s="1008" t="s">
        <v>546</v>
      </c>
      <c r="X2267" s="1008" t="s">
        <v>670</v>
      </c>
      <c r="Y2267" s="1008" t="s">
        <v>670</v>
      </c>
      <c r="Z2267" s="1008"/>
      <c r="AA2267" s="1008"/>
      <c r="AB2267" s="1008"/>
      <c r="AC2267" s="1008"/>
      <c r="AD2267" s="1008"/>
      <c r="AE2267" s="1008"/>
      <c r="AF2267" s="1008" t="s">
        <v>670</v>
      </c>
      <c r="AG2267" s="1008"/>
      <c r="AH2267" s="1008"/>
      <c r="AI2267" s="1008"/>
    </row>
    <row r="2268" spans="1:35">
      <c r="A2268" s="1008">
        <v>24754</v>
      </c>
      <c r="C2268" s="1008">
        <v>5</v>
      </c>
      <c r="D2268" s="1009">
        <v>40199999</v>
      </c>
      <c r="E2268" s="1009">
        <v>40129999</v>
      </c>
      <c r="F2268" s="1007" t="s">
        <v>2366</v>
      </c>
      <c r="O2268" s="1007" t="s">
        <v>648</v>
      </c>
      <c r="P2268" s="1007" t="s">
        <v>648</v>
      </c>
      <c r="S2268" s="1008" t="s">
        <v>657</v>
      </c>
      <c r="T2268" s="1008" t="s">
        <v>21</v>
      </c>
      <c r="U2268" s="1008" t="s">
        <v>653</v>
      </c>
      <c r="V2268" s="1008" t="s">
        <v>648</v>
      </c>
      <c r="W2268" s="1008" t="s">
        <v>546</v>
      </c>
      <c r="X2268" s="1008"/>
      <c r="Y2268" s="1008"/>
      <c r="Z2268" s="1008"/>
      <c r="AA2268" s="1008"/>
      <c r="AB2268" s="1008"/>
      <c r="AC2268" s="1008"/>
      <c r="AD2268" s="1008"/>
      <c r="AE2268" s="1008"/>
      <c r="AF2268" s="1008"/>
      <c r="AG2268" s="1008"/>
      <c r="AH2268" s="1008"/>
      <c r="AI2268" s="1008"/>
    </row>
    <row r="2269" spans="1:35">
      <c r="A2269" s="1008">
        <v>24755</v>
      </c>
      <c r="C2269" s="1008">
        <v>5</v>
      </c>
      <c r="D2269" s="1009">
        <v>40139999</v>
      </c>
      <c r="E2269" s="1009">
        <v>40130000</v>
      </c>
      <c r="F2269" s="1007" t="s">
        <v>2365</v>
      </c>
      <c r="O2269" s="1007" t="s">
        <v>648</v>
      </c>
      <c r="P2269" s="1007" t="s">
        <v>648</v>
      </c>
      <c r="S2269" s="1008" t="s">
        <v>657</v>
      </c>
      <c r="T2269" s="1008" t="s">
        <v>675</v>
      </c>
      <c r="U2269" s="1008" t="s">
        <v>653</v>
      </c>
      <c r="V2269" s="1008" t="s">
        <v>648</v>
      </c>
      <c r="W2269" s="1008" t="s">
        <v>546</v>
      </c>
      <c r="X2269" s="1008"/>
      <c r="Y2269" s="1008"/>
      <c r="Z2269" s="1008"/>
      <c r="AA2269" s="1008"/>
      <c r="AB2269" s="1008"/>
      <c r="AC2269" s="1008"/>
      <c r="AD2269" s="1008"/>
      <c r="AE2269" s="1008"/>
      <c r="AF2269" s="1008"/>
      <c r="AG2269" s="1008"/>
      <c r="AH2269" s="1008"/>
      <c r="AI2269" s="1008"/>
    </row>
    <row r="2270" spans="1:35">
      <c r="A2270" s="1008">
        <v>24756</v>
      </c>
      <c r="B2270" s="1008">
        <v>5290</v>
      </c>
      <c r="C2270" s="1008">
        <v>6</v>
      </c>
      <c r="D2270" s="1009">
        <v>40139999</v>
      </c>
      <c r="E2270" s="1009">
        <v>40131000</v>
      </c>
      <c r="F2270" s="1007" t="s">
        <v>2364</v>
      </c>
      <c r="G2270" s="1007">
        <v>6</v>
      </c>
      <c r="H2270" s="1010">
        <v>99999999</v>
      </c>
      <c r="I2270" s="1009">
        <v>40131000</v>
      </c>
      <c r="J2270" s="1007" t="s">
        <v>2364</v>
      </c>
      <c r="O2270" s="1007" t="s">
        <v>648</v>
      </c>
      <c r="P2270" s="1007" t="s">
        <v>648</v>
      </c>
      <c r="S2270" s="1008" t="s">
        <v>657</v>
      </c>
      <c r="T2270" s="1008" t="s">
        <v>654</v>
      </c>
      <c r="U2270" s="1008" t="s">
        <v>653</v>
      </c>
      <c r="V2270" s="1008" t="s">
        <v>648</v>
      </c>
      <c r="W2270" s="1008" t="s">
        <v>546</v>
      </c>
      <c r="X2270" s="1008" t="s">
        <v>670</v>
      </c>
      <c r="Y2270" s="1008" t="s">
        <v>670</v>
      </c>
      <c r="Z2270" s="1008" t="s">
        <v>670</v>
      </c>
      <c r="AA2270" s="1008" t="s">
        <v>670</v>
      </c>
      <c r="AB2270" s="1008" t="s">
        <v>670</v>
      </c>
      <c r="AC2270" s="1008" t="s">
        <v>670</v>
      </c>
      <c r="AD2270" s="1008" t="s">
        <v>670</v>
      </c>
      <c r="AE2270" s="1008"/>
      <c r="AF2270" s="1008" t="s">
        <v>670</v>
      </c>
      <c r="AG2270" s="1008"/>
      <c r="AH2270" s="1008"/>
      <c r="AI2270" s="1008"/>
    </row>
    <row r="2271" spans="1:35">
      <c r="A2271" s="1008">
        <v>24757</v>
      </c>
      <c r="C2271" s="1008">
        <v>5</v>
      </c>
      <c r="D2271" s="1009">
        <v>40199999</v>
      </c>
      <c r="E2271" s="1009">
        <v>40139999</v>
      </c>
      <c r="F2271" s="1007" t="s">
        <v>2363</v>
      </c>
      <c r="O2271" s="1007" t="s">
        <v>648</v>
      </c>
      <c r="P2271" s="1007" t="s">
        <v>648</v>
      </c>
      <c r="S2271" s="1008" t="s">
        <v>657</v>
      </c>
      <c r="T2271" s="1008" t="s">
        <v>21</v>
      </c>
      <c r="U2271" s="1008" t="s">
        <v>653</v>
      </c>
      <c r="V2271" s="1008" t="s">
        <v>648</v>
      </c>
      <c r="W2271" s="1008" t="s">
        <v>546</v>
      </c>
      <c r="X2271" s="1008"/>
      <c r="Y2271" s="1008"/>
      <c r="Z2271" s="1008"/>
      <c r="AA2271" s="1008"/>
      <c r="AB2271" s="1008"/>
      <c r="AC2271" s="1008"/>
      <c r="AD2271" s="1008"/>
      <c r="AE2271" s="1008"/>
      <c r="AF2271" s="1008"/>
      <c r="AG2271" s="1008"/>
      <c r="AH2271" s="1008"/>
      <c r="AI2271" s="1008"/>
    </row>
    <row r="2272" spans="1:35">
      <c r="A2272" s="1008">
        <v>24758</v>
      </c>
      <c r="C2272" s="1008">
        <v>4</v>
      </c>
      <c r="D2272" s="1009">
        <v>49999999</v>
      </c>
      <c r="E2272" s="1009">
        <v>40199999</v>
      </c>
      <c r="F2272" s="1007" t="s">
        <v>2362</v>
      </c>
      <c r="O2272" s="1007" t="s">
        <v>648</v>
      </c>
      <c r="P2272" s="1007" t="s">
        <v>648</v>
      </c>
      <c r="S2272" s="1008" t="s">
        <v>657</v>
      </c>
      <c r="T2272" s="1008" t="s">
        <v>21</v>
      </c>
      <c r="U2272" s="1008" t="s">
        <v>653</v>
      </c>
      <c r="V2272" s="1008" t="s">
        <v>648</v>
      </c>
      <c r="W2272" s="1008" t="s">
        <v>546</v>
      </c>
      <c r="X2272" s="1008"/>
      <c r="Y2272" s="1008"/>
      <c r="Z2272" s="1008"/>
      <c r="AA2272" s="1008"/>
      <c r="AB2272" s="1008"/>
      <c r="AC2272" s="1008"/>
      <c r="AD2272" s="1008"/>
      <c r="AE2272" s="1008"/>
      <c r="AF2272" s="1008"/>
      <c r="AG2272" s="1008"/>
      <c r="AH2272" s="1008"/>
      <c r="AI2272" s="1008"/>
    </row>
    <row r="2273" spans="1:35">
      <c r="A2273" s="1008">
        <v>24759</v>
      </c>
      <c r="C2273" s="1008">
        <v>4</v>
      </c>
      <c r="D2273" s="1009">
        <v>40299999</v>
      </c>
      <c r="E2273" s="1009">
        <v>40200000</v>
      </c>
      <c r="F2273" s="1007" t="s">
        <v>2361</v>
      </c>
      <c r="O2273" s="1007" t="s">
        <v>648</v>
      </c>
      <c r="P2273" s="1007" t="s">
        <v>648</v>
      </c>
      <c r="S2273" s="1008" t="s">
        <v>657</v>
      </c>
      <c r="T2273" s="1008" t="s">
        <v>675</v>
      </c>
      <c r="U2273" s="1008" t="s">
        <v>653</v>
      </c>
      <c r="V2273" s="1008" t="s">
        <v>648</v>
      </c>
      <c r="W2273" s="1008" t="s">
        <v>546</v>
      </c>
      <c r="X2273" s="1008"/>
      <c r="Y2273" s="1008"/>
      <c r="Z2273" s="1008"/>
      <c r="AA2273" s="1008"/>
      <c r="AB2273" s="1008"/>
      <c r="AC2273" s="1008"/>
      <c r="AD2273" s="1008"/>
      <c r="AE2273" s="1008"/>
      <c r="AF2273" s="1008"/>
      <c r="AG2273" s="1008"/>
      <c r="AH2273" s="1008"/>
      <c r="AI2273" s="1008"/>
    </row>
    <row r="2274" spans="1:35">
      <c r="A2274" s="1008">
        <v>24760</v>
      </c>
      <c r="C2274" s="1008">
        <v>5</v>
      </c>
      <c r="D2274" s="1009">
        <v>40219999</v>
      </c>
      <c r="E2274" s="1009">
        <v>40210000</v>
      </c>
      <c r="F2274" s="1007" t="s">
        <v>1068</v>
      </c>
      <c r="O2274" s="1007" t="s">
        <v>648</v>
      </c>
      <c r="P2274" s="1007" t="s">
        <v>648</v>
      </c>
      <c r="S2274" s="1008" t="s">
        <v>657</v>
      </c>
      <c r="T2274" s="1008" t="s">
        <v>675</v>
      </c>
      <c r="U2274" s="1008" t="s">
        <v>653</v>
      </c>
      <c r="V2274" s="1008" t="s">
        <v>648</v>
      </c>
      <c r="W2274" s="1008" t="s">
        <v>546</v>
      </c>
      <c r="X2274" s="1008"/>
      <c r="Y2274" s="1008"/>
      <c r="Z2274" s="1008"/>
      <c r="AA2274" s="1008"/>
      <c r="AB2274" s="1008"/>
      <c r="AC2274" s="1008"/>
      <c r="AD2274" s="1008"/>
      <c r="AE2274" s="1008"/>
      <c r="AF2274" s="1008"/>
      <c r="AG2274" s="1008"/>
      <c r="AH2274" s="1008"/>
      <c r="AI2274" s="1008"/>
    </row>
    <row r="2275" spans="1:35">
      <c r="A2275" s="1008">
        <v>24761</v>
      </c>
      <c r="B2275" s="1008">
        <v>14</v>
      </c>
      <c r="C2275" s="1008">
        <v>6</v>
      </c>
      <c r="D2275" s="1009">
        <v>40219999</v>
      </c>
      <c r="E2275" s="1009">
        <v>40211000</v>
      </c>
      <c r="F2275" s="1007" t="s">
        <v>2360</v>
      </c>
      <c r="G2275" s="1007">
        <v>8</v>
      </c>
      <c r="H2275" s="1010">
        <v>99999999</v>
      </c>
      <c r="I2275" s="1009">
        <v>40211000</v>
      </c>
      <c r="J2275" s="1007" t="s">
        <v>2360</v>
      </c>
      <c r="O2275" s="1007" t="s">
        <v>648</v>
      </c>
      <c r="P2275" s="1007" t="s">
        <v>648</v>
      </c>
      <c r="S2275" s="1008" t="s">
        <v>657</v>
      </c>
      <c r="T2275" s="1008" t="s">
        <v>654</v>
      </c>
      <c r="U2275" s="1008" t="s">
        <v>653</v>
      </c>
      <c r="V2275" s="1008" t="s">
        <v>648</v>
      </c>
      <c r="W2275" s="1008" t="s">
        <v>546</v>
      </c>
      <c r="X2275" s="1008" t="s">
        <v>670</v>
      </c>
      <c r="Y2275" s="1008" t="s">
        <v>670</v>
      </c>
      <c r="Z2275" s="1008" t="s">
        <v>670</v>
      </c>
      <c r="AA2275" s="1008"/>
      <c r="AB2275" s="1008"/>
      <c r="AC2275" s="1008"/>
      <c r="AD2275" s="1008"/>
      <c r="AE2275" s="1008"/>
      <c r="AF2275" s="1008" t="s">
        <v>670</v>
      </c>
      <c r="AG2275" s="1008"/>
      <c r="AH2275" s="1008"/>
      <c r="AI2275" s="1008"/>
    </row>
    <row r="2276" spans="1:35">
      <c r="A2276" s="1008">
        <v>24762</v>
      </c>
      <c r="C2276" s="1008">
        <v>5</v>
      </c>
      <c r="D2276" s="1009">
        <v>40299999</v>
      </c>
      <c r="E2276" s="1009">
        <v>40219999</v>
      </c>
      <c r="F2276" s="1007" t="s">
        <v>1066</v>
      </c>
      <c r="O2276" s="1007" t="s">
        <v>648</v>
      </c>
      <c r="P2276" s="1007" t="s">
        <v>648</v>
      </c>
      <c r="S2276" s="1008" t="s">
        <v>657</v>
      </c>
      <c r="T2276" s="1008" t="s">
        <v>21</v>
      </c>
      <c r="U2276" s="1008" t="s">
        <v>653</v>
      </c>
      <c r="V2276" s="1008" t="s">
        <v>648</v>
      </c>
      <c r="W2276" s="1008" t="s">
        <v>546</v>
      </c>
      <c r="X2276" s="1008"/>
      <c r="Y2276" s="1008"/>
      <c r="Z2276" s="1008"/>
      <c r="AA2276" s="1008"/>
      <c r="AB2276" s="1008"/>
      <c r="AC2276" s="1008"/>
      <c r="AD2276" s="1008"/>
      <c r="AE2276" s="1008"/>
      <c r="AF2276" s="1008"/>
      <c r="AG2276" s="1008"/>
      <c r="AH2276" s="1008"/>
      <c r="AI2276" s="1008"/>
    </row>
    <row r="2277" spans="1:35">
      <c r="A2277" s="1008">
        <v>24763</v>
      </c>
      <c r="C2277" s="1008">
        <v>5</v>
      </c>
      <c r="D2277" s="1009">
        <v>40229999</v>
      </c>
      <c r="E2277" s="1009">
        <v>40220000</v>
      </c>
      <c r="F2277" s="1007" t="s">
        <v>1050</v>
      </c>
      <c r="O2277" s="1007" t="s">
        <v>648</v>
      </c>
      <c r="P2277" s="1007" t="s">
        <v>648</v>
      </c>
      <c r="S2277" s="1008" t="s">
        <v>657</v>
      </c>
      <c r="T2277" s="1008" t="s">
        <v>675</v>
      </c>
      <c r="U2277" s="1008" t="s">
        <v>653</v>
      </c>
      <c r="V2277" s="1008" t="s">
        <v>648</v>
      </c>
      <c r="W2277" s="1008" t="s">
        <v>546</v>
      </c>
      <c r="X2277" s="1008"/>
      <c r="Y2277" s="1008"/>
      <c r="Z2277" s="1008"/>
      <c r="AA2277" s="1008"/>
      <c r="AB2277" s="1008"/>
      <c r="AC2277" s="1008"/>
      <c r="AD2277" s="1008"/>
      <c r="AE2277" s="1008"/>
      <c r="AF2277" s="1008"/>
      <c r="AG2277" s="1008"/>
      <c r="AH2277" s="1008"/>
      <c r="AI2277" s="1008"/>
    </row>
    <row r="2278" spans="1:35">
      <c r="A2278" s="1008">
        <v>24764</v>
      </c>
      <c r="B2278" s="1008">
        <v>2013</v>
      </c>
      <c r="C2278" s="1008">
        <v>6</v>
      </c>
      <c r="D2278" s="1009">
        <v>40229999</v>
      </c>
      <c r="E2278" s="1009">
        <v>40221000</v>
      </c>
      <c r="F2278" s="1007" t="s">
        <v>2359</v>
      </c>
      <c r="G2278" s="1007">
        <v>6</v>
      </c>
      <c r="H2278" s="1010">
        <v>99999999</v>
      </c>
      <c r="I2278" s="1009">
        <v>40221000</v>
      </c>
      <c r="J2278" s="1007" t="s">
        <v>2359</v>
      </c>
      <c r="O2278" s="1007" t="s">
        <v>648</v>
      </c>
      <c r="P2278" s="1007" t="s">
        <v>648</v>
      </c>
      <c r="S2278" s="1008" t="s">
        <v>657</v>
      </c>
      <c r="T2278" s="1008" t="s">
        <v>654</v>
      </c>
      <c r="U2278" s="1008" t="s">
        <v>653</v>
      </c>
      <c r="V2278" s="1008" t="s">
        <v>648</v>
      </c>
      <c r="W2278" s="1008" t="s">
        <v>546</v>
      </c>
      <c r="X2278" s="1008" t="s">
        <v>670</v>
      </c>
      <c r="Y2278" s="1008" t="s">
        <v>670</v>
      </c>
      <c r="Z2278" s="1008"/>
      <c r="AA2278" s="1008"/>
      <c r="AB2278" s="1008"/>
      <c r="AC2278" s="1008"/>
      <c r="AD2278" s="1008"/>
      <c r="AE2278" s="1008"/>
      <c r="AF2278" s="1008" t="s">
        <v>670</v>
      </c>
      <c r="AG2278" s="1008"/>
      <c r="AH2278" s="1008"/>
      <c r="AI2278" s="1008"/>
    </row>
    <row r="2279" spans="1:35">
      <c r="A2279" s="1008">
        <v>24765</v>
      </c>
      <c r="B2279" s="1008">
        <v>2014</v>
      </c>
      <c r="C2279" s="1008">
        <v>6</v>
      </c>
      <c r="D2279" s="1009">
        <v>40229999</v>
      </c>
      <c r="E2279" s="1009">
        <v>40222000</v>
      </c>
      <c r="F2279" s="1007" t="s">
        <v>2358</v>
      </c>
      <c r="G2279" s="1007">
        <v>6</v>
      </c>
      <c r="H2279" s="1010">
        <v>99999999</v>
      </c>
      <c r="I2279" s="1009">
        <v>40222000</v>
      </c>
      <c r="J2279" s="1007" t="s">
        <v>2358</v>
      </c>
      <c r="O2279" s="1007" t="s">
        <v>648</v>
      </c>
      <c r="P2279" s="1007" t="s">
        <v>648</v>
      </c>
      <c r="S2279" s="1008" t="s">
        <v>657</v>
      </c>
      <c r="T2279" s="1008" t="s">
        <v>654</v>
      </c>
      <c r="U2279" s="1008" t="s">
        <v>653</v>
      </c>
      <c r="V2279" s="1008" t="s">
        <v>648</v>
      </c>
      <c r="W2279" s="1008" t="s">
        <v>546</v>
      </c>
      <c r="X2279" s="1008" t="s">
        <v>670</v>
      </c>
      <c r="Y2279" s="1008" t="s">
        <v>670</v>
      </c>
      <c r="Z2279" s="1008"/>
      <c r="AA2279" s="1008"/>
      <c r="AB2279" s="1008"/>
      <c r="AC2279" s="1008"/>
      <c r="AD2279" s="1008"/>
      <c r="AE2279" s="1008"/>
      <c r="AF2279" s="1008" t="s">
        <v>670</v>
      </c>
      <c r="AG2279" s="1008"/>
      <c r="AH2279" s="1008"/>
      <c r="AI2279" s="1008"/>
    </row>
    <row r="2280" spans="1:35">
      <c r="A2280" s="1008">
        <v>24766</v>
      </c>
      <c r="B2280" s="1008">
        <v>427</v>
      </c>
      <c r="C2280" s="1008">
        <v>6</v>
      </c>
      <c r="D2280" s="1009">
        <v>40229999</v>
      </c>
      <c r="E2280" s="1009">
        <v>40223000</v>
      </c>
      <c r="F2280" s="1007" t="s">
        <v>2357</v>
      </c>
      <c r="G2280" s="1007">
        <v>8</v>
      </c>
      <c r="H2280" s="1010">
        <v>99999999</v>
      </c>
      <c r="I2280" s="1009">
        <v>40223000</v>
      </c>
      <c r="J2280" s="1007" t="s">
        <v>2357</v>
      </c>
      <c r="O2280" s="1007" t="s">
        <v>648</v>
      </c>
      <c r="P2280" s="1007" t="s">
        <v>648</v>
      </c>
      <c r="S2280" s="1008" t="s">
        <v>657</v>
      </c>
      <c r="T2280" s="1008" t="s">
        <v>654</v>
      </c>
      <c r="U2280" s="1008" t="s">
        <v>653</v>
      </c>
      <c r="V2280" s="1008" t="s">
        <v>648</v>
      </c>
      <c r="W2280" s="1008" t="s">
        <v>546</v>
      </c>
      <c r="X2280" s="1008" t="s">
        <v>670</v>
      </c>
      <c r="Y2280" s="1008" t="s">
        <v>670</v>
      </c>
      <c r="Z2280" s="1008"/>
      <c r="AA2280" s="1008"/>
      <c r="AB2280" s="1008"/>
      <c r="AC2280" s="1008"/>
      <c r="AD2280" s="1008"/>
      <c r="AE2280" s="1008"/>
      <c r="AF2280" s="1008" t="s">
        <v>670</v>
      </c>
      <c r="AG2280" s="1008"/>
      <c r="AH2280" s="1008"/>
      <c r="AI2280" s="1008"/>
    </row>
    <row r="2281" spans="1:35">
      <c r="A2281" s="1008">
        <v>24767</v>
      </c>
      <c r="C2281" s="1008">
        <v>5</v>
      </c>
      <c r="D2281" s="1009">
        <v>40299999</v>
      </c>
      <c r="E2281" s="1009">
        <v>40229999</v>
      </c>
      <c r="F2281" s="1007" t="s">
        <v>1047</v>
      </c>
      <c r="O2281" s="1007" t="s">
        <v>648</v>
      </c>
      <c r="P2281" s="1007" t="s">
        <v>648</v>
      </c>
      <c r="S2281" s="1008" t="s">
        <v>657</v>
      </c>
      <c r="T2281" s="1008" t="s">
        <v>21</v>
      </c>
      <c r="U2281" s="1008" t="s">
        <v>653</v>
      </c>
      <c r="V2281" s="1008" t="s">
        <v>648</v>
      </c>
      <c r="W2281" s="1008" t="s">
        <v>546</v>
      </c>
      <c r="X2281" s="1008"/>
      <c r="Y2281" s="1008"/>
      <c r="Z2281" s="1008"/>
      <c r="AA2281" s="1008"/>
      <c r="AB2281" s="1008"/>
      <c r="AC2281" s="1008"/>
      <c r="AD2281" s="1008"/>
      <c r="AE2281" s="1008"/>
      <c r="AF2281" s="1008"/>
      <c r="AG2281" s="1008"/>
      <c r="AH2281" s="1008"/>
      <c r="AI2281" s="1008"/>
    </row>
    <row r="2282" spans="1:35">
      <c r="A2282" s="1008">
        <v>24768</v>
      </c>
      <c r="C2282" s="1008">
        <v>5</v>
      </c>
      <c r="D2282" s="1009">
        <v>40239999</v>
      </c>
      <c r="E2282" s="1009">
        <v>40230000</v>
      </c>
      <c r="F2282" s="1007" t="s">
        <v>2356</v>
      </c>
      <c r="O2282" s="1007" t="s">
        <v>648</v>
      </c>
      <c r="P2282" s="1007" t="s">
        <v>648</v>
      </c>
      <c r="S2282" s="1008" t="s">
        <v>657</v>
      </c>
      <c r="T2282" s="1008" t="s">
        <v>675</v>
      </c>
      <c r="U2282" s="1008" t="s">
        <v>653</v>
      </c>
      <c r="V2282" s="1008" t="s">
        <v>648</v>
      </c>
      <c r="W2282" s="1008" t="s">
        <v>546</v>
      </c>
      <c r="X2282" s="1008"/>
      <c r="Y2282" s="1008"/>
      <c r="Z2282" s="1008"/>
      <c r="AA2282" s="1008"/>
      <c r="AB2282" s="1008"/>
      <c r="AC2282" s="1008"/>
      <c r="AD2282" s="1008"/>
      <c r="AE2282" s="1008"/>
      <c r="AF2282" s="1008"/>
      <c r="AG2282" s="1008"/>
      <c r="AH2282" s="1008"/>
      <c r="AI2282" s="1008"/>
    </row>
    <row r="2283" spans="1:35">
      <c r="A2283" s="1008">
        <v>24769</v>
      </c>
      <c r="B2283" s="1008">
        <v>768</v>
      </c>
      <c r="C2283" s="1008">
        <v>6</v>
      </c>
      <c r="D2283" s="1009">
        <v>40239999</v>
      </c>
      <c r="E2283" s="1009">
        <v>40231000</v>
      </c>
      <c r="F2283" s="1007" t="s">
        <v>2355</v>
      </c>
      <c r="G2283" s="1007">
        <v>8</v>
      </c>
      <c r="H2283" s="1010">
        <v>99999999</v>
      </c>
      <c r="I2283" s="1009">
        <v>40231000</v>
      </c>
      <c r="J2283" s="1007" t="s">
        <v>2355</v>
      </c>
      <c r="O2283" s="1007" t="s">
        <v>648</v>
      </c>
      <c r="P2283" s="1007" t="s">
        <v>648</v>
      </c>
      <c r="S2283" s="1008" t="s">
        <v>657</v>
      </c>
      <c r="T2283" s="1008" t="s">
        <v>654</v>
      </c>
      <c r="U2283" s="1008" t="s">
        <v>653</v>
      </c>
      <c r="V2283" s="1008" t="s">
        <v>648</v>
      </c>
      <c r="W2283" s="1008" t="s">
        <v>546</v>
      </c>
      <c r="X2283" s="1008" t="s">
        <v>670</v>
      </c>
      <c r="Y2283" s="1008" t="s">
        <v>670</v>
      </c>
      <c r="Z2283" s="1008" t="s">
        <v>670</v>
      </c>
      <c r="AA2283" s="1008" t="s">
        <v>670</v>
      </c>
      <c r="AB2283" s="1008" t="s">
        <v>670</v>
      </c>
      <c r="AC2283" s="1008" t="s">
        <v>670</v>
      </c>
      <c r="AD2283" s="1008" t="s">
        <v>670</v>
      </c>
      <c r="AE2283" s="1008"/>
      <c r="AF2283" s="1008" t="s">
        <v>670</v>
      </c>
      <c r="AG2283" s="1008"/>
      <c r="AH2283" s="1008"/>
      <c r="AI2283" s="1008"/>
    </row>
    <row r="2284" spans="1:35">
      <c r="A2284" s="1008">
        <v>24770</v>
      </c>
      <c r="C2284" s="1008">
        <v>5</v>
      </c>
      <c r="D2284" s="1009">
        <v>40299999</v>
      </c>
      <c r="E2284" s="1009">
        <v>40239999</v>
      </c>
      <c r="F2284" s="1007" t="s">
        <v>2354</v>
      </c>
      <c r="O2284" s="1007" t="s">
        <v>648</v>
      </c>
      <c r="P2284" s="1007" t="s">
        <v>648</v>
      </c>
      <c r="S2284" s="1008" t="s">
        <v>657</v>
      </c>
      <c r="T2284" s="1008" t="s">
        <v>21</v>
      </c>
      <c r="U2284" s="1008" t="s">
        <v>653</v>
      </c>
      <c r="V2284" s="1008" t="s">
        <v>648</v>
      </c>
      <c r="W2284" s="1008" t="s">
        <v>546</v>
      </c>
      <c r="X2284" s="1008"/>
      <c r="Y2284" s="1008"/>
      <c r="Z2284" s="1008"/>
      <c r="AA2284" s="1008"/>
      <c r="AB2284" s="1008"/>
      <c r="AC2284" s="1008"/>
      <c r="AD2284" s="1008"/>
      <c r="AE2284" s="1008"/>
      <c r="AF2284" s="1008"/>
      <c r="AG2284" s="1008"/>
      <c r="AH2284" s="1008"/>
      <c r="AI2284" s="1008"/>
    </row>
    <row r="2285" spans="1:35">
      <c r="A2285" s="1008">
        <v>24771</v>
      </c>
      <c r="C2285" s="1008">
        <v>4</v>
      </c>
      <c r="D2285" s="1009">
        <v>49999999</v>
      </c>
      <c r="E2285" s="1009">
        <v>40299999</v>
      </c>
      <c r="F2285" s="1007" t="s">
        <v>2353</v>
      </c>
      <c r="O2285" s="1007" t="s">
        <v>648</v>
      </c>
      <c r="P2285" s="1007" t="s">
        <v>648</v>
      </c>
      <c r="S2285" s="1008" t="s">
        <v>657</v>
      </c>
      <c r="T2285" s="1008" t="s">
        <v>21</v>
      </c>
      <c r="U2285" s="1008" t="s">
        <v>653</v>
      </c>
      <c r="V2285" s="1008" t="s">
        <v>648</v>
      </c>
      <c r="W2285" s="1008" t="s">
        <v>546</v>
      </c>
      <c r="X2285" s="1008"/>
      <c r="Y2285" s="1008"/>
      <c r="Z2285" s="1008"/>
      <c r="AA2285" s="1008"/>
      <c r="AB2285" s="1008"/>
      <c r="AC2285" s="1008"/>
      <c r="AD2285" s="1008"/>
      <c r="AE2285" s="1008"/>
      <c r="AF2285" s="1008"/>
      <c r="AG2285" s="1008"/>
      <c r="AH2285" s="1008"/>
      <c r="AI2285" s="1008"/>
    </row>
    <row r="2286" spans="1:35">
      <c r="A2286" s="1008">
        <v>24772</v>
      </c>
      <c r="C2286" s="1008">
        <v>4</v>
      </c>
      <c r="D2286" s="1009">
        <v>41999999</v>
      </c>
      <c r="E2286" s="1009">
        <v>41000000</v>
      </c>
      <c r="F2286" s="1007" t="s">
        <v>2352</v>
      </c>
      <c r="O2286" s="1007" t="s">
        <v>648</v>
      </c>
      <c r="P2286" s="1007" t="s">
        <v>648</v>
      </c>
      <c r="S2286" s="1008" t="s">
        <v>657</v>
      </c>
      <c r="T2286" s="1008" t="s">
        <v>675</v>
      </c>
      <c r="U2286" s="1008" t="s">
        <v>653</v>
      </c>
      <c r="V2286" s="1008" t="s">
        <v>648</v>
      </c>
      <c r="W2286" s="1008" t="s">
        <v>546</v>
      </c>
      <c r="X2286" s="1008"/>
      <c r="Y2286" s="1008"/>
      <c r="Z2286" s="1008"/>
      <c r="AA2286" s="1008"/>
      <c r="AB2286" s="1008"/>
      <c r="AC2286" s="1008"/>
      <c r="AD2286" s="1008"/>
      <c r="AE2286" s="1008"/>
      <c r="AF2286" s="1008"/>
      <c r="AG2286" s="1008"/>
      <c r="AH2286" s="1008"/>
      <c r="AI2286" s="1008"/>
    </row>
    <row r="2287" spans="1:35">
      <c r="A2287" s="1008">
        <v>24773</v>
      </c>
      <c r="C2287" s="1008">
        <v>5</v>
      </c>
      <c r="D2287" s="1009">
        <v>41199999</v>
      </c>
      <c r="E2287" s="1009">
        <v>41100000</v>
      </c>
      <c r="F2287" s="1007" t="s">
        <v>20</v>
      </c>
      <c r="O2287" s="1007" t="s">
        <v>648</v>
      </c>
      <c r="P2287" s="1007" t="s">
        <v>648</v>
      </c>
      <c r="S2287" s="1008" t="s">
        <v>657</v>
      </c>
      <c r="T2287" s="1008" t="s">
        <v>675</v>
      </c>
      <c r="U2287" s="1008" t="s">
        <v>653</v>
      </c>
      <c r="V2287" s="1008" t="s">
        <v>648</v>
      </c>
      <c r="W2287" s="1008" t="s">
        <v>546</v>
      </c>
      <c r="X2287" s="1008"/>
      <c r="Y2287" s="1008"/>
      <c r="Z2287" s="1008"/>
      <c r="AA2287" s="1008"/>
      <c r="AB2287" s="1008"/>
      <c r="AC2287" s="1008"/>
      <c r="AD2287" s="1008"/>
      <c r="AE2287" s="1008"/>
      <c r="AF2287" s="1008"/>
      <c r="AG2287" s="1008"/>
      <c r="AH2287" s="1008"/>
      <c r="AI2287" s="1008"/>
    </row>
    <row r="2288" spans="1:35">
      <c r="A2288" s="1008">
        <v>24774</v>
      </c>
      <c r="C2288" s="1008">
        <v>6</v>
      </c>
      <c r="D2288" s="1009">
        <v>41119999</v>
      </c>
      <c r="E2288" s="1009">
        <v>41110000</v>
      </c>
      <c r="F2288" s="1007" t="s">
        <v>20</v>
      </c>
      <c r="O2288" s="1007" t="s">
        <v>648</v>
      </c>
      <c r="P2288" s="1007" t="s">
        <v>648</v>
      </c>
      <c r="S2288" s="1008" t="s">
        <v>657</v>
      </c>
      <c r="T2288" s="1008" t="s">
        <v>675</v>
      </c>
      <c r="U2288" s="1008" t="s">
        <v>653</v>
      </c>
      <c r="V2288" s="1008" t="s">
        <v>648</v>
      </c>
      <c r="W2288" s="1008" t="s">
        <v>546</v>
      </c>
      <c r="X2288" s="1008"/>
      <c r="Y2288" s="1008"/>
      <c r="Z2288" s="1008"/>
      <c r="AA2288" s="1008"/>
      <c r="AB2288" s="1008"/>
      <c r="AC2288" s="1008"/>
      <c r="AD2288" s="1008"/>
      <c r="AE2288" s="1008"/>
      <c r="AF2288" s="1008"/>
      <c r="AG2288" s="1008"/>
      <c r="AH2288" s="1008"/>
      <c r="AI2288" s="1008"/>
    </row>
    <row r="2289" spans="1:35">
      <c r="A2289" s="1008">
        <v>26315</v>
      </c>
      <c r="B2289" s="1008">
        <v>21</v>
      </c>
      <c r="C2289" s="1008">
        <v>7</v>
      </c>
      <c r="D2289" s="1009">
        <v>41119999</v>
      </c>
      <c r="E2289" s="1009">
        <v>41111000</v>
      </c>
      <c r="F2289" s="1007" t="s">
        <v>2351</v>
      </c>
      <c r="G2289" s="1007">
        <v>8</v>
      </c>
      <c r="H2289" s="1010">
        <v>99999999</v>
      </c>
      <c r="I2289" s="1009">
        <v>41111000</v>
      </c>
      <c r="J2289" s="1007" t="s">
        <v>2351</v>
      </c>
      <c r="O2289" s="1007" t="s">
        <v>648</v>
      </c>
      <c r="P2289" s="1007" t="s">
        <v>648</v>
      </c>
      <c r="S2289" s="1008" t="s">
        <v>657</v>
      </c>
      <c r="T2289" s="1008" t="s">
        <v>654</v>
      </c>
      <c r="U2289" s="1008" t="s">
        <v>653</v>
      </c>
      <c r="V2289" s="1008" t="s">
        <v>648</v>
      </c>
      <c r="W2289" s="1008" t="s">
        <v>546</v>
      </c>
      <c r="X2289" s="1008" t="s">
        <v>670</v>
      </c>
      <c r="Y2289" s="1008"/>
      <c r="Z2289" s="1008"/>
      <c r="AA2289" s="1008" t="s">
        <v>670</v>
      </c>
      <c r="AB2289" s="1008"/>
      <c r="AC2289" s="1008"/>
      <c r="AD2289" s="1008" t="s">
        <v>670</v>
      </c>
      <c r="AE2289" s="1008"/>
      <c r="AF2289" s="1008"/>
      <c r="AG2289" s="1008"/>
      <c r="AH2289" s="1008"/>
      <c r="AI2289" s="1008"/>
    </row>
    <row r="2290" spans="1:35">
      <c r="A2290" s="1008">
        <v>24775</v>
      </c>
      <c r="C2290" s="1008">
        <v>6</v>
      </c>
      <c r="D2290" s="1009">
        <v>41199999</v>
      </c>
      <c r="E2290" s="1009">
        <v>41119999</v>
      </c>
      <c r="F2290" s="1007" t="s">
        <v>2016</v>
      </c>
      <c r="O2290" s="1007" t="s">
        <v>648</v>
      </c>
      <c r="P2290" s="1007" t="s">
        <v>648</v>
      </c>
      <c r="S2290" s="1008" t="s">
        <v>657</v>
      </c>
      <c r="T2290" s="1008" t="s">
        <v>21</v>
      </c>
      <c r="U2290" s="1008" t="s">
        <v>653</v>
      </c>
      <c r="V2290" s="1008" t="s">
        <v>648</v>
      </c>
      <c r="W2290" s="1008" t="s">
        <v>546</v>
      </c>
      <c r="X2290" s="1008"/>
      <c r="Y2290" s="1008"/>
      <c r="Z2290" s="1008"/>
      <c r="AA2290" s="1008"/>
      <c r="AB2290" s="1008"/>
      <c r="AC2290" s="1008"/>
      <c r="AD2290" s="1008"/>
      <c r="AE2290" s="1008"/>
      <c r="AF2290" s="1008"/>
      <c r="AG2290" s="1008"/>
      <c r="AH2290" s="1008"/>
      <c r="AI2290" s="1008"/>
    </row>
    <row r="2291" spans="1:35">
      <c r="A2291" s="1008">
        <v>24776</v>
      </c>
      <c r="C2291" s="1008">
        <v>5</v>
      </c>
      <c r="D2291" s="1009">
        <v>41999999</v>
      </c>
      <c r="E2291" s="1009">
        <v>41199999</v>
      </c>
      <c r="F2291" s="1007" t="s">
        <v>2016</v>
      </c>
      <c r="O2291" s="1007" t="s">
        <v>648</v>
      </c>
      <c r="P2291" s="1007" t="s">
        <v>648</v>
      </c>
      <c r="S2291" s="1008" t="s">
        <v>657</v>
      </c>
      <c r="T2291" s="1008" t="s">
        <v>21</v>
      </c>
      <c r="U2291" s="1008" t="s">
        <v>653</v>
      </c>
      <c r="V2291" s="1008" t="s">
        <v>648</v>
      </c>
      <c r="W2291" s="1008" t="s">
        <v>546</v>
      </c>
      <c r="X2291" s="1008"/>
      <c r="Y2291" s="1008"/>
      <c r="Z2291" s="1008"/>
      <c r="AA2291" s="1008"/>
      <c r="AB2291" s="1008"/>
      <c r="AC2291" s="1008"/>
      <c r="AD2291" s="1008"/>
      <c r="AE2291" s="1008"/>
      <c r="AF2291" s="1008"/>
      <c r="AG2291" s="1008"/>
      <c r="AH2291" s="1008"/>
      <c r="AI2291" s="1008"/>
    </row>
    <row r="2292" spans="1:35">
      <c r="A2292" s="1008">
        <v>24777</v>
      </c>
      <c r="C2292" s="1008">
        <v>5</v>
      </c>
      <c r="D2292" s="1009">
        <v>41299999</v>
      </c>
      <c r="E2292" s="1009">
        <v>41200000</v>
      </c>
      <c r="F2292" s="1007" t="s">
        <v>2350</v>
      </c>
      <c r="O2292" s="1007" t="s">
        <v>648</v>
      </c>
      <c r="P2292" s="1007" t="s">
        <v>648</v>
      </c>
      <c r="S2292" s="1008" t="s">
        <v>657</v>
      </c>
      <c r="T2292" s="1008" t="s">
        <v>675</v>
      </c>
      <c r="U2292" s="1008" t="s">
        <v>653</v>
      </c>
      <c r="V2292" s="1008" t="s">
        <v>648</v>
      </c>
      <c r="W2292" s="1008" t="s">
        <v>546</v>
      </c>
      <c r="X2292" s="1008"/>
      <c r="Y2292" s="1008"/>
      <c r="Z2292" s="1008"/>
      <c r="AA2292" s="1008"/>
      <c r="AB2292" s="1008"/>
      <c r="AC2292" s="1008"/>
      <c r="AD2292" s="1008"/>
      <c r="AE2292" s="1008"/>
      <c r="AF2292" s="1008"/>
      <c r="AG2292" s="1008"/>
      <c r="AH2292" s="1008"/>
      <c r="AI2292" s="1008"/>
    </row>
    <row r="2293" spans="1:35">
      <c r="A2293" s="1008">
        <v>24778</v>
      </c>
      <c r="C2293" s="1008">
        <v>6</v>
      </c>
      <c r="D2293" s="1009">
        <v>41219999</v>
      </c>
      <c r="E2293" s="1009">
        <v>41210000</v>
      </c>
      <c r="F2293" s="1007" t="s">
        <v>2349</v>
      </c>
      <c r="O2293" s="1007" t="s">
        <v>648</v>
      </c>
      <c r="P2293" s="1007" t="s">
        <v>648</v>
      </c>
      <c r="S2293" s="1008" t="s">
        <v>657</v>
      </c>
      <c r="T2293" s="1008" t="s">
        <v>675</v>
      </c>
      <c r="U2293" s="1008" t="s">
        <v>653</v>
      </c>
      <c r="V2293" s="1008" t="s">
        <v>648</v>
      </c>
      <c r="W2293" s="1008" t="s">
        <v>546</v>
      </c>
      <c r="X2293" s="1008"/>
      <c r="Y2293" s="1008"/>
      <c r="Z2293" s="1008"/>
      <c r="AA2293" s="1008"/>
      <c r="AB2293" s="1008"/>
      <c r="AC2293" s="1008"/>
      <c r="AD2293" s="1008"/>
      <c r="AE2293" s="1008"/>
      <c r="AF2293" s="1008"/>
      <c r="AG2293" s="1008"/>
      <c r="AH2293" s="1008"/>
      <c r="AI2293" s="1008"/>
    </row>
    <row r="2294" spans="1:35">
      <c r="A2294" s="1008">
        <v>24779</v>
      </c>
      <c r="B2294" s="1008">
        <v>24</v>
      </c>
      <c r="C2294" s="1008">
        <v>7</v>
      </c>
      <c r="D2294" s="1009">
        <v>41219999</v>
      </c>
      <c r="E2294" s="1009">
        <v>41211000</v>
      </c>
      <c r="F2294" s="1007" t="s">
        <v>2348</v>
      </c>
      <c r="G2294" s="1007">
        <v>8</v>
      </c>
      <c r="H2294" s="1010">
        <v>99999999</v>
      </c>
      <c r="I2294" s="1009">
        <v>41211000</v>
      </c>
      <c r="J2294" s="1007" t="s">
        <v>2348</v>
      </c>
      <c r="O2294" s="1007" t="s">
        <v>648</v>
      </c>
      <c r="P2294" s="1007" t="s">
        <v>648</v>
      </c>
      <c r="S2294" s="1008" t="s">
        <v>657</v>
      </c>
      <c r="T2294" s="1008" t="s">
        <v>654</v>
      </c>
      <c r="U2294" s="1008" t="s">
        <v>653</v>
      </c>
      <c r="V2294" s="1008" t="s">
        <v>648</v>
      </c>
      <c r="W2294" s="1008" t="s">
        <v>546</v>
      </c>
      <c r="X2294" s="1008" t="s">
        <v>670</v>
      </c>
      <c r="Y2294" s="1008"/>
      <c r="Z2294" s="1008"/>
      <c r="AA2294" s="1008" t="s">
        <v>670</v>
      </c>
      <c r="AB2294" s="1008" t="s">
        <v>670</v>
      </c>
      <c r="AC2294" s="1008"/>
      <c r="AD2294" s="1008" t="s">
        <v>670</v>
      </c>
      <c r="AE2294" s="1008"/>
      <c r="AF2294" s="1008"/>
      <c r="AG2294" s="1008" t="s">
        <v>670</v>
      </c>
      <c r="AH2294" s="1008"/>
      <c r="AI2294" s="1008"/>
    </row>
    <row r="2295" spans="1:35">
      <c r="A2295" s="1008">
        <v>27812</v>
      </c>
      <c r="B2295" s="1008">
        <v>6617</v>
      </c>
      <c r="C2295" s="1008">
        <v>7</v>
      </c>
      <c r="D2295" s="1009">
        <v>41219999</v>
      </c>
      <c r="E2295" s="1009">
        <v>41211100</v>
      </c>
      <c r="F2295" s="1007" t="s">
        <v>2347</v>
      </c>
      <c r="G2295" s="1007">
        <v>8</v>
      </c>
      <c r="H2295" s="1010">
        <v>99999999</v>
      </c>
      <c r="I2295" s="1009">
        <v>41211100</v>
      </c>
      <c r="J2295" s="1007" t="s">
        <v>2347</v>
      </c>
      <c r="O2295" s="1007" t="s">
        <v>648</v>
      </c>
      <c r="P2295" s="1007" t="s">
        <v>648</v>
      </c>
      <c r="S2295" s="1008" t="s">
        <v>657</v>
      </c>
      <c r="T2295" s="1008" t="s">
        <v>654</v>
      </c>
      <c r="U2295" s="1008" t="s">
        <v>653</v>
      </c>
      <c r="V2295" s="1008" t="s">
        <v>648</v>
      </c>
      <c r="W2295" s="1008" t="s">
        <v>546</v>
      </c>
      <c r="X2295" s="1008" t="s">
        <v>670</v>
      </c>
      <c r="Y2295" s="1008" t="s">
        <v>670</v>
      </c>
      <c r="Z2295" s="1008"/>
      <c r="AA2295" s="1008" t="s">
        <v>670</v>
      </c>
      <c r="AB2295" s="1008" t="s">
        <v>670</v>
      </c>
      <c r="AC2295" s="1008"/>
      <c r="AD2295" s="1008" t="s">
        <v>670</v>
      </c>
      <c r="AE2295" s="1008"/>
      <c r="AF2295" s="1008" t="s">
        <v>670</v>
      </c>
      <c r="AG2295" s="1008" t="s">
        <v>670</v>
      </c>
      <c r="AH2295" s="1008"/>
      <c r="AI2295" s="1008"/>
    </row>
    <row r="2296" spans="1:35">
      <c r="A2296" s="1008">
        <v>27103</v>
      </c>
      <c r="B2296" s="1008">
        <v>5936</v>
      </c>
      <c r="C2296" s="1008">
        <v>7</v>
      </c>
      <c r="D2296" s="1009">
        <v>41219999</v>
      </c>
      <c r="E2296" s="1009">
        <v>41212000</v>
      </c>
      <c r="F2296" s="1007" t="s">
        <v>2346</v>
      </c>
      <c r="G2296" s="1007" t="s">
        <v>648</v>
      </c>
      <c r="H2296" s="1010">
        <v>99999999</v>
      </c>
      <c r="I2296" s="1009">
        <v>41212000</v>
      </c>
      <c r="J2296" s="1007" t="s">
        <v>2346</v>
      </c>
      <c r="O2296" s="1007" t="s">
        <v>648</v>
      </c>
      <c r="P2296" s="1007" t="s">
        <v>648</v>
      </c>
      <c r="S2296" s="1008" t="s">
        <v>657</v>
      </c>
      <c r="T2296" s="1008" t="s">
        <v>654</v>
      </c>
      <c r="U2296" s="1008" t="s">
        <v>653</v>
      </c>
      <c r="V2296" s="1008" t="s">
        <v>648</v>
      </c>
      <c r="W2296" s="1008" t="s">
        <v>546</v>
      </c>
      <c r="X2296" s="1008" t="s">
        <v>670</v>
      </c>
      <c r="Y2296" s="1008"/>
      <c r="Z2296" s="1008"/>
      <c r="AA2296" s="1008" t="s">
        <v>670</v>
      </c>
      <c r="AB2296" s="1008" t="s">
        <v>670</v>
      </c>
      <c r="AC2296" s="1008" t="s">
        <v>670</v>
      </c>
      <c r="AD2296" s="1008" t="s">
        <v>670</v>
      </c>
      <c r="AE2296" s="1008"/>
      <c r="AF2296" s="1008"/>
      <c r="AG2296" s="1008" t="s">
        <v>670</v>
      </c>
      <c r="AH2296" s="1008"/>
      <c r="AI2296" s="1008"/>
    </row>
    <row r="2297" spans="1:35">
      <c r="A2297" s="1008">
        <v>27104</v>
      </c>
      <c r="B2297" s="1008">
        <v>5937</v>
      </c>
      <c r="C2297" s="1008">
        <v>7</v>
      </c>
      <c r="D2297" s="1009">
        <v>41219999</v>
      </c>
      <c r="E2297" s="1009">
        <v>41213000</v>
      </c>
      <c r="F2297" s="1007" t="s">
        <v>2345</v>
      </c>
      <c r="G2297" s="1007" t="s">
        <v>648</v>
      </c>
      <c r="H2297" s="1010">
        <v>99999999</v>
      </c>
      <c r="I2297" s="1009">
        <v>41213000</v>
      </c>
      <c r="J2297" s="1007" t="s">
        <v>2345</v>
      </c>
      <c r="O2297" s="1007" t="s">
        <v>648</v>
      </c>
      <c r="P2297" s="1007" t="s">
        <v>648</v>
      </c>
      <c r="S2297" s="1008" t="s">
        <v>657</v>
      </c>
      <c r="T2297" s="1008" t="s">
        <v>654</v>
      </c>
      <c r="U2297" s="1008" t="s">
        <v>653</v>
      </c>
      <c r="V2297" s="1008" t="s">
        <v>648</v>
      </c>
      <c r="W2297" s="1008" t="s">
        <v>546</v>
      </c>
      <c r="X2297" s="1008" t="s">
        <v>670</v>
      </c>
      <c r="Y2297" s="1008"/>
      <c r="Z2297" s="1008"/>
      <c r="AA2297" s="1008" t="s">
        <v>670</v>
      </c>
      <c r="AB2297" s="1008" t="s">
        <v>670</v>
      </c>
      <c r="AC2297" s="1008"/>
      <c r="AD2297" s="1008" t="s">
        <v>670</v>
      </c>
      <c r="AE2297" s="1008"/>
      <c r="AF2297" s="1008"/>
      <c r="AG2297" s="1008" t="s">
        <v>670</v>
      </c>
      <c r="AH2297" s="1008"/>
      <c r="AI2297" s="1008"/>
    </row>
    <row r="2298" spans="1:35">
      <c r="A2298" s="1008">
        <v>27330</v>
      </c>
      <c r="B2298" s="1008">
        <v>6243</v>
      </c>
      <c r="C2298" s="1008">
        <v>7</v>
      </c>
      <c r="D2298" s="1009">
        <v>41219999</v>
      </c>
      <c r="E2298" s="1009">
        <v>41214000</v>
      </c>
      <c r="F2298" s="1007" t="s">
        <v>2344</v>
      </c>
      <c r="G2298" s="1007" t="s">
        <v>648</v>
      </c>
      <c r="H2298" s="1010">
        <v>99999999</v>
      </c>
      <c r="I2298" s="1009">
        <v>41214000</v>
      </c>
      <c r="J2298" s="1007" t="s">
        <v>2344</v>
      </c>
      <c r="O2298" s="1007" t="s">
        <v>648</v>
      </c>
      <c r="P2298" s="1007" t="s">
        <v>648</v>
      </c>
      <c r="S2298" s="1008" t="s">
        <v>657</v>
      </c>
      <c r="T2298" s="1008" t="s">
        <v>654</v>
      </c>
      <c r="U2298" s="1008" t="s">
        <v>653</v>
      </c>
      <c r="V2298" s="1008" t="s">
        <v>648</v>
      </c>
      <c r="W2298" s="1008" t="s">
        <v>546</v>
      </c>
      <c r="X2298" s="1008" t="s">
        <v>670</v>
      </c>
      <c r="Y2298" s="1008"/>
      <c r="Z2298" s="1008"/>
      <c r="AA2298" s="1008"/>
      <c r="AB2298" s="1008"/>
      <c r="AC2298" s="1008"/>
      <c r="AD2298" s="1008"/>
      <c r="AE2298" s="1008"/>
      <c r="AF2298" s="1008"/>
      <c r="AG2298" s="1008"/>
      <c r="AH2298" s="1008"/>
      <c r="AI2298" s="1008"/>
    </row>
    <row r="2299" spans="1:35">
      <c r="A2299" s="1008">
        <v>27813</v>
      </c>
      <c r="B2299" s="1008">
        <v>6618</v>
      </c>
      <c r="C2299" s="1008">
        <v>7</v>
      </c>
      <c r="D2299" s="1009">
        <v>41219999</v>
      </c>
      <c r="E2299" s="1009">
        <v>41214100</v>
      </c>
      <c r="F2299" s="1007" t="s">
        <v>2343</v>
      </c>
      <c r="G2299" s="1007">
        <v>8</v>
      </c>
      <c r="H2299" s="1010">
        <v>99999999</v>
      </c>
      <c r="I2299" s="1009">
        <v>41214100</v>
      </c>
      <c r="J2299" s="1007" t="s">
        <v>2343</v>
      </c>
      <c r="O2299" s="1007" t="s">
        <v>648</v>
      </c>
      <c r="P2299" s="1007" t="s">
        <v>648</v>
      </c>
      <c r="S2299" s="1008" t="s">
        <v>657</v>
      </c>
      <c r="T2299" s="1008" t="s">
        <v>654</v>
      </c>
      <c r="U2299" s="1008" t="s">
        <v>653</v>
      </c>
      <c r="V2299" s="1008" t="s">
        <v>648</v>
      </c>
      <c r="W2299" s="1008" t="s">
        <v>546</v>
      </c>
      <c r="X2299" s="1008" t="s">
        <v>670</v>
      </c>
      <c r="Y2299" s="1008" t="s">
        <v>670</v>
      </c>
      <c r="Z2299" s="1008"/>
      <c r="AA2299" s="1008"/>
      <c r="AB2299" s="1008"/>
      <c r="AC2299" s="1008"/>
      <c r="AD2299" s="1008"/>
      <c r="AE2299" s="1008"/>
      <c r="AF2299" s="1008" t="s">
        <v>670</v>
      </c>
      <c r="AG2299" s="1008"/>
      <c r="AH2299" s="1008"/>
      <c r="AI2299" s="1008"/>
    </row>
    <row r="2300" spans="1:35">
      <c r="A2300" s="1008">
        <v>27738</v>
      </c>
      <c r="B2300" s="1008">
        <v>6554</v>
      </c>
      <c r="C2300" s="1008">
        <v>7</v>
      </c>
      <c r="D2300" s="1009">
        <v>41219999</v>
      </c>
      <c r="E2300" s="1009">
        <v>41215000</v>
      </c>
      <c r="F2300" s="1007" t="s">
        <v>2342</v>
      </c>
      <c r="G2300" s="1007" t="s">
        <v>648</v>
      </c>
      <c r="H2300" s="1010">
        <v>99999999</v>
      </c>
      <c r="I2300" s="1009">
        <v>41215000</v>
      </c>
      <c r="J2300" s="1007" t="s">
        <v>2341</v>
      </c>
      <c r="O2300" s="1007" t="s">
        <v>648</v>
      </c>
      <c r="P2300" s="1007" t="s">
        <v>648</v>
      </c>
      <c r="S2300" s="1008" t="s">
        <v>657</v>
      </c>
      <c r="T2300" s="1008" t="s">
        <v>654</v>
      </c>
      <c r="U2300" s="1008" t="s">
        <v>653</v>
      </c>
      <c r="V2300" s="1008" t="s">
        <v>648</v>
      </c>
      <c r="W2300" s="1008" t="s">
        <v>546</v>
      </c>
      <c r="X2300" s="1008" t="s">
        <v>670</v>
      </c>
      <c r="Y2300" s="1008" t="s">
        <v>670</v>
      </c>
      <c r="Z2300" s="1008" t="s">
        <v>670</v>
      </c>
      <c r="AA2300" s="1008" t="s">
        <v>670</v>
      </c>
      <c r="AB2300" s="1008"/>
      <c r="AC2300" s="1008"/>
      <c r="AD2300" s="1008"/>
      <c r="AE2300" s="1008"/>
      <c r="AF2300" s="1008" t="s">
        <v>670</v>
      </c>
      <c r="AG2300" s="1008"/>
      <c r="AH2300" s="1008"/>
      <c r="AI2300" s="1008"/>
    </row>
    <row r="2301" spans="1:35">
      <c r="A2301" s="1008">
        <v>27814</v>
      </c>
      <c r="B2301" s="1008">
        <v>6619</v>
      </c>
      <c r="C2301" s="1008">
        <v>7</v>
      </c>
      <c r="D2301" s="1009">
        <v>41219999</v>
      </c>
      <c r="E2301" s="1009">
        <v>41215100</v>
      </c>
      <c r="F2301" s="1007" t="s">
        <v>2340</v>
      </c>
      <c r="G2301" s="1007">
        <v>8</v>
      </c>
      <c r="H2301" s="1010">
        <v>99999999</v>
      </c>
      <c r="I2301" s="1009">
        <v>41215100</v>
      </c>
      <c r="J2301" s="1007" t="s">
        <v>2340</v>
      </c>
      <c r="O2301" s="1007" t="s">
        <v>648</v>
      </c>
      <c r="P2301" s="1007" t="s">
        <v>648</v>
      </c>
      <c r="S2301" s="1008" t="s">
        <v>657</v>
      </c>
      <c r="T2301" s="1008" t="s">
        <v>654</v>
      </c>
      <c r="U2301" s="1008" t="s">
        <v>653</v>
      </c>
      <c r="V2301" s="1008" t="s">
        <v>648</v>
      </c>
      <c r="W2301" s="1008" t="s">
        <v>546</v>
      </c>
      <c r="X2301" s="1008" t="s">
        <v>670</v>
      </c>
      <c r="Y2301" s="1008" t="s">
        <v>670</v>
      </c>
      <c r="Z2301" s="1008" t="s">
        <v>670</v>
      </c>
      <c r="AA2301" s="1008" t="s">
        <v>670</v>
      </c>
      <c r="AB2301" s="1008"/>
      <c r="AC2301" s="1008"/>
      <c r="AD2301" s="1008"/>
      <c r="AE2301" s="1008"/>
      <c r="AF2301" s="1008" t="s">
        <v>670</v>
      </c>
      <c r="AG2301" s="1008"/>
      <c r="AH2301" s="1008"/>
      <c r="AI2301" s="1008"/>
    </row>
    <row r="2302" spans="1:35">
      <c r="A2302" s="1008">
        <v>27747</v>
      </c>
      <c r="B2302" s="1008">
        <v>6564</v>
      </c>
      <c r="C2302" s="1008">
        <v>7</v>
      </c>
      <c r="D2302" s="1009">
        <v>41219999</v>
      </c>
      <c r="E2302" s="1009">
        <v>41216000</v>
      </c>
      <c r="F2302" s="1007" t="s">
        <v>2339</v>
      </c>
      <c r="G2302" s="1007" t="s">
        <v>648</v>
      </c>
      <c r="H2302" s="1010">
        <v>99999999</v>
      </c>
      <c r="I2302" s="1009">
        <v>41216000</v>
      </c>
      <c r="J2302" s="1007" t="s">
        <v>2339</v>
      </c>
      <c r="O2302" s="1007" t="s">
        <v>648</v>
      </c>
      <c r="P2302" s="1007" t="s">
        <v>648</v>
      </c>
      <c r="S2302" s="1008" t="s">
        <v>657</v>
      </c>
      <c r="T2302" s="1008" t="s">
        <v>654</v>
      </c>
      <c r="U2302" s="1008" t="s">
        <v>653</v>
      </c>
      <c r="V2302" s="1008" t="s">
        <v>648</v>
      </c>
      <c r="W2302" s="1008" t="s">
        <v>546</v>
      </c>
      <c r="X2302" s="1008" t="s">
        <v>670</v>
      </c>
      <c r="Y2302" s="1008" t="s">
        <v>670</v>
      </c>
      <c r="Z2302" s="1008" t="s">
        <v>670</v>
      </c>
      <c r="AA2302" s="1008" t="s">
        <v>670</v>
      </c>
      <c r="AB2302" s="1008"/>
      <c r="AC2302" s="1008"/>
      <c r="AD2302" s="1008"/>
      <c r="AE2302" s="1008"/>
      <c r="AF2302" s="1008" t="s">
        <v>670</v>
      </c>
      <c r="AG2302" s="1008"/>
      <c r="AH2302" s="1008"/>
      <c r="AI2302" s="1008"/>
    </row>
    <row r="2303" spans="1:35">
      <c r="A2303" s="1008">
        <v>24780</v>
      </c>
      <c r="C2303" s="1008">
        <v>6</v>
      </c>
      <c r="D2303" s="1009">
        <v>41299999</v>
      </c>
      <c r="E2303" s="1009">
        <v>41219999</v>
      </c>
      <c r="F2303" s="1007" t="s">
        <v>2338</v>
      </c>
      <c r="O2303" s="1007" t="s">
        <v>648</v>
      </c>
      <c r="P2303" s="1007" t="s">
        <v>648</v>
      </c>
      <c r="S2303" s="1008" t="s">
        <v>657</v>
      </c>
      <c r="T2303" s="1008" t="s">
        <v>21</v>
      </c>
      <c r="U2303" s="1008" t="s">
        <v>653</v>
      </c>
      <c r="V2303" s="1008" t="s">
        <v>648</v>
      </c>
      <c r="W2303" s="1008" t="s">
        <v>546</v>
      </c>
      <c r="X2303" s="1008"/>
      <c r="Y2303" s="1008"/>
      <c r="Z2303" s="1008"/>
      <c r="AA2303" s="1008"/>
      <c r="AB2303" s="1008"/>
      <c r="AC2303" s="1008"/>
      <c r="AD2303" s="1008"/>
      <c r="AE2303" s="1008"/>
      <c r="AF2303" s="1008"/>
      <c r="AG2303" s="1008"/>
      <c r="AH2303" s="1008"/>
      <c r="AI2303" s="1008"/>
    </row>
    <row r="2304" spans="1:35">
      <c r="A2304" s="1008">
        <v>24781</v>
      </c>
      <c r="C2304" s="1008">
        <v>6</v>
      </c>
      <c r="D2304" s="1009">
        <v>41229999</v>
      </c>
      <c r="E2304" s="1009">
        <v>41220000</v>
      </c>
      <c r="F2304" s="1007" t="s">
        <v>2337</v>
      </c>
      <c r="O2304" s="1007" t="s">
        <v>648</v>
      </c>
      <c r="P2304" s="1007" t="s">
        <v>648</v>
      </c>
      <c r="S2304" s="1008" t="s">
        <v>657</v>
      </c>
      <c r="T2304" s="1008" t="s">
        <v>675</v>
      </c>
      <c r="U2304" s="1008" t="s">
        <v>653</v>
      </c>
      <c r="V2304" s="1008" t="s">
        <v>648</v>
      </c>
      <c r="W2304" s="1008" t="s">
        <v>546</v>
      </c>
      <c r="X2304" s="1008"/>
      <c r="Y2304" s="1008"/>
      <c r="Z2304" s="1008"/>
      <c r="AA2304" s="1008"/>
      <c r="AB2304" s="1008"/>
      <c r="AC2304" s="1008"/>
      <c r="AD2304" s="1008"/>
      <c r="AE2304" s="1008"/>
      <c r="AF2304" s="1008"/>
      <c r="AG2304" s="1008"/>
      <c r="AH2304" s="1008"/>
      <c r="AI2304" s="1008"/>
    </row>
    <row r="2305" spans="1:35">
      <c r="A2305" s="1008">
        <v>24782</v>
      </c>
      <c r="B2305" s="1008">
        <v>26</v>
      </c>
      <c r="C2305" s="1008">
        <v>7</v>
      </c>
      <c r="D2305" s="1009">
        <v>41229999</v>
      </c>
      <c r="E2305" s="1009">
        <v>41221000</v>
      </c>
      <c r="F2305" s="1007" t="s">
        <v>2336</v>
      </c>
      <c r="G2305" s="1007">
        <v>8</v>
      </c>
      <c r="H2305" s="1010">
        <v>99999999</v>
      </c>
      <c r="I2305" s="1009">
        <v>41221000</v>
      </c>
      <c r="J2305" s="1007" t="s">
        <v>2336</v>
      </c>
      <c r="O2305" s="1007" t="s">
        <v>648</v>
      </c>
      <c r="P2305" s="1007" t="s">
        <v>648</v>
      </c>
      <c r="S2305" s="1008" t="s">
        <v>657</v>
      </c>
      <c r="T2305" s="1008" t="s">
        <v>654</v>
      </c>
      <c r="U2305" s="1008" t="s">
        <v>653</v>
      </c>
      <c r="V2305" s="1008" t="s">
        <v>648</v>
      </c>
      <c r="W2305" s="1008" t="s">
        <v>546</v>
      </c>
      <c r="X2305" s="1008" t="s">
        <v>670</v>
      </c>
      <c r="Y2305" s="1008"/>
      <c r="Z2305" s="1008"/>
      <c r="AA2305" s="1008" t="s">
        <v>670</v>
      </c>
      <c r="AB2305" s="1008" t="s">
        <v>670</v>
      </c>
      <c r="AC2305" s="1008" t="s">
        <v>670</v>
      </c>
      <c r="AD2305" s="1008" t="s">
        <v>670</v>
      </c>
      <c r="AE2305" s="1008"/>
      <c r="AF2305" s="1008"/>
      <c r="AG2305" s="1008"/>
      <c r="AH2305" s="1008"/>
      <c r="AI2305" s="1008"/>
    </row>
    <row r="2306" spans="1:35">
      <c r="A2306" s="1008">
        <v>24783</v>
      </c>
      <c r="B2306" s="1008">
        <v>27</v>
      </c>
      <c r="C2306" s="1008">
        <v>7</v>
      </c>
      <c r="D2306" s="1009">
        <v>41229999</v>
      </c>
      <c r="E2306" s="1009">
        <v>41222000</v>
      </c>
      <c r="F2306" s="1007" t="s">
        <v>2335</v>
      </c>
      <c r="G2306" s="1007">
        <v>8</v>
      </c>
      <c r="H2306" s="1010">
        <v>99999999</v>
      </c>
      <c r="I2306" s="1009">
        <v>41222000</v>
      </c>
      <c r="J2306" s="1007" t="s">
        <v>2335</v>
      </c>
      <c r="O2306" s="1007" t="s">
        <v>648</v>
      </c>
      <c r="P2306" s="1007" t="s">
        <v>648</v>
      </c>
      <c r="S2306" s="1008" t="s">
        <v>657</v>
      </c>
      <c r="T2306" s="1008" t="s">
        <v>654</v>
      </c>
      <c r="U2306" s="1008" t="s">
        <v>653</v>
      </c>
      <c r="V2306" s="1008" t="s">
        <v>648</v>
      </c>
      <c r="W2306" s="1008" t="s">
        <v>546</v>
      </c>
      <c r="X2306" s="1008" t="s">
        <v>670</v>
      </c>
      <c r="Y2306" s="1008"/>
      <c r="Z2306" s="1008"/>
      <c r="AA2306" s="1008" t="s">
        <v>670</v>
      </c>
      <c r="AB2306" s="1008"/>
      <c r="AC2306" s="1008"/>
      <c r="AD2306" s="1008" t="s">
        <v>670</v>
      </c>
      <c r="AE2306" s="1008"/>
      <c r="AF2306" s="1008"/>
      <c r="AG2306" s="1008"/>
      <c r="AH2306" s="1008"/>
      <c r="AI2306" s="1008"/>
    </row>
    <row r="2307" spans="1:35">
      <c r="A2307" s="1008">
        <v>24784</v>
      </c>
      <c r="B2307" s="1008">
        <v>1232</v>
      </c>
      <c r="C2307" s="1008">
        <v>7</v>
      </c>
      <c r="D2307" s="1009">
        <v>41229999</v>
      </c>
      <c r="E2307" s="1009">
        <v>41223000</v>
      </c>
      <c r="F2307" s="1007" t="s">
        <v>2334</v>
      </c>
      <c r="G2307" s="1007">
        <v>8</v>
      </c>
      <c r="H2307" s="1010">
        <v>99999999</v>
      </c>
      <c r="I2307" s="1009">
        <v>41223000</v>
      </c>
      <c r="J2307" s="1007" t="s">
        <v>2334</v>
      </c>
      <c r="O2307" s="1007" t="s">
        <v>648</v>
      </c>
      <c r="P2307" s="1007" t="s">
        <v>648</v>
      </c>
      <c r="S2307" s="1008" t="s">
        <v>657</v>
      </c>
      <c r="T2307" s="1008" t="s">
        <v>654</v>
      </c>
      <c r="U2307" s="1008" t="s">
        <v>653</v>
      </c>
      <c r="V2307" s="1008" t="s">
        <v>648</v>
      </c>
      <c r="W2307" s="1008" t="s">
        <v>546</v>
      </c>
      <c r="X2307" s="1008" t="s">
        <v>670</v>
      </c>
      <c r="Y2307" s="1008"/>
      <c r="Z2307" s="1008"/>
      <c r="AA2307" s="1008" t="s">
        <v>670</v>
      </c>
      <c r="AB2307" s="1008"/>
      <c r="AC2307" s="1008"/>
      <c r="AD2307" s="1008" t="s">
        <v>670</v>
      </c>
      <c r="AE2307" s="1008"/>
      <c r="AF2307" s="1008"/>
      <c r="AG2307" s="1008"/>
      <c r="AH2307" s="1008"/>
      <c r="AI2307" s="1008"/>
    </row>
    <row r="2308" spans="1:35">
      <c r="A2308" s="1008">
        <v>24785</v>
      </c>
      <c r="B2308" s="1008">
        <v>1233</v>
      </c>
      <c r="C2308" s="1008">
        <v>7</v>
      </c>
      <c r="D2308" s="1009">
        <v>41229999</v>
      </c>
      <c r="E2308" s="1009">
        <v>41224000</v>
      </c>
      <c r="F2308" s="1007" t="s">
        <v>2333</v>
      </c>
      <c r="G2308" s="1007">
        <v>8</v>
      </c>
      <c r="H2308" s="1010">
        <v>99999999</v>
      </c>
      <c r="I2308" s="1009">
        <v>41224000</v>
      </c>
      <c r="J2308" s="1007" t="s">
        <v>2333</v>
      </c>
      <c r="O2308" s="1007" t="s">
        <v>648</v>
      </c>
      <c r="P2308" s="1007" t="s">
        <v>648</v>
      </c>
      <c r="S2308" s="1008" t="s">
        <v>657</v>
      </c>
      <c r="T2308" s="1008" t="s">
        <v>654</v>
      </c>
      <c r="U2308" s="1008" t="s">
        <v>653</v>
      </c>
      <c r="V2308" s="1008" t="s">
        <v>648</v>
      </c>
      <c r="W2308" s="1008" t="s">
        <v>546</v>
      </c>
      <c r="X2308" s="1008" t="s">
        <v>670</v>
      </c>
      <c r="Y2308" s="1008"/>
      <c r="Z2308" s="1008"/>
      <c r="AA2308" s="1008" t="s">
        <v>670</v>
      </c>
      <c r="AB2308" s="1008"/>
      <c r="AC2308" s="1008"/>
      <c r="AD2308" s="1008" t="s">
        <v>670</v>
      </c>
      <c r="AE2308" s="1008"/>
      <c r="AF2308" s="1008"/>
      <c r="AG2308" s="1008"/>
      <c r="AH2308" s="1008"/>
      <c r="AI2308" s="1008"/>
    </row>
    <row r="2309" spans="1:35">
      <c r="A2309" s="1008">
        <v>24786</v>
      </c>
      <c r="B2309" s="1008">
        <v>2023</v>
      </c>
      <c r="C2309" s="1008">
        <v>7</v>
      </c>
      <c r="D2309" s="1009">
        <v>41229999</v>
      </c>
      <c r="E2309" s="1009">
        <v>41225000</v>
      </c>
      <c r="F2309" s="1007" t="s">
        <v>2332</v>
      </c>
      <c r="G2309" s="1007">
        <v>7</v>
      </c>
      <c r="H2309" s="1010">
        <v>99999999</v>
      </c>
      <c r="I2309" s="1009">
        <v>41225000</v>
      </c>
      <c r="J2309" s="1007" t="s">
        <v>2332</v>
      </c>
      <c r="O2309" s="1007" t="s">
        <v>648</v>
      </c>
      <c r="P2309" s="1007" t="s">
        <v>648</v>
      </c>
      <c r="S2309" s="1008" t="s">
        <v>657</v>
      </c>
      <c r="T2309" s="1008" t="s">
        <v>654</v>
      </c>
      <c r="U2309" s="1008" t="s">
        <v>653</v>
      </c>
      <c r="V2309" s="1008" t="s">
        <v>648</v>
      </c>
      <c r="W2309" s="1008" t="s">
        <v>546</v>
      </c>
      <c r="X2309" s="1008" t="s">
        <v>670</v>
      </c>
      <c r="Y2309" s="1008"/>
      <c r="Z2309" s="1008"/>
      <c r="AA2309" s="1008" t="s">
        <v>670</v>
      </c>
      <c r="AB2309" s="1008"/>
      <c r="AC2309" s="1008"/>
      <c r="AD2309" s="1008" t="s">
        <v>670</v>
      </c>
      <c r="AE2309" s="1008"/>
      <c r="AF2309" s="1008"/>
      <c r="AG2309" s="1008"/>
      <c r="AH2309" s="1008"/>
      <c r="AI2309" s="1008"/>
    </row>
    <row r="2310" spans="1:35">
      <c r="A2310" s="1008">
        <v>24787</v>
      </c>
      <c r="B2310" s="1008">
        <v>2024</v>
      </c>
      <c r="C2310" s="1008">
        <v>7</v>
      </c>
      <c r="D2310" s="1009">
        <v>41229999</v>
      </c>
      <c r="E2310" s="1009">
        <v>41226000</v>
      </c>
      <c r="F2310" s="1007" t="s">
        <v>2331</v>
      </c>
      <c r="G2310" s="1007">
        <v>7</v>
      </c>
      <c r="H2310" s="1010">
        <v>99999999</v>
      </c>
      <c r="I2310" s="1009">
        <v>41226000</v>
      </c>
      <c r="J2310" s="1007" t="s">
        <v>2331</v>
      </c>
      <c r="O2310" s="1007" t="s">
        <v>648</v>
      </c>
      <c r="P2310" s="1007" t="s">
        <v>648</v>
      </c>
      <c r="S2310" s="1008" t="s">
        <v>657</v>
      </c>
      <c r="T2310" s="1008" t="s">
        <v>654</v>
      </c>
      <c r="U2310" s="1008" t="s">
        <v>653</v>
      </c>
      <c r="V2310" s="1008" t="s">
        <v>648</v>
      </c>
      <c r="W2310" s="1008" t="s">
        <v>546</v>
      </c>
      <c r="X2310" s="1008" t="s">
        <v>670</v>
      </c>
      <c r="Y2310" s="1008"/>
      <c r="Z2310" s="1008"/>
      <c r="AA2310" s="1008" t="s">
        <v>670</v>
      </c>
      <c r="AB2310" s="1008"/>
      <c r="AC2310" s="1008"/>
      <c r="AD2310" s="1008" t="s">
        <v>670</v>
      </c>
      <c r="AE2310" s="1008"/>
      <c r="AF2310" s="1008"/>
      <c r="AG2310" s="1008"/>
      <c r="AH2310" s="1008"/>
      <c r="AI2310" s="1008"/>
    </row>
    <row r="2311" spans="1:35">
      <c r="A2311" s="1008">
        <v>26523</v>
      </c>
      <c r="B2311" s="1008">
        <v>1236</v>
      </c>
      <c r="C2311" s="1008">
        <v>7</v>
      </c>
      <c r="D2311" s="1009">
        <v>41229999</v>
      </c>
      <c r="E2311" s="1009">
        <v>41227000</v>
      </c>
      <c r="F2311" s="1007" t="s">
        <v>2330</v>
      </c>
      <c r="G2311" s="1007">
        <v>8</v>
      </c>
      <c r="H2311" s="1010">
        <v>99999999</v>
      </c>
      <c r="I2311" s="1009">
        <v>41227000</v>
      </c>
      <c r="J2311" s="1007" t="s">
        <v>2330</v>
      </c>
      <c r="O2311" s="1007" t="s">
        <v>648</v>
      </c>
      <c r="P2311" s="1007" t="s">
        <v>648</v>
      </c>
      <c r="S2311" s="1008" t="s">
        <v>657</v>
      </c>
      <c r="T2311" s="1008" t="s">
        <v>654</v>
      </c>
      <c r="U2311" s="1008" t="s">
        <v>653</v>
      </c>
      <c r="V2311" s="1008" t="s">
        <v>648</v>
      </c>
      <c r="W2311" s="1008" t="s">
        <v>546</v>
      </c>
      <c r="X2311" s="1008" t="s">
        <v>670</v>
      </c>
      <c r="Y2311" s="1008"/>
      <c r="Z2311" s="1008"/>
      <c r="AA2311" s="1008" t="s">
        <v>670</v>
      </c>
      <c r="AB2311" s="1008"/>
      <c r="AC2311" s="1008"/>
      <c r="AD2311" s="1008" t="s">
        <v>670</v>
      </c>
      <c r="AE2311" s="1008"/>
      <c r="AF2311" s="1008"/>
      <c r="AG2311" s="1008"/>
      <c r="AH2311" s="1008"/>
      <c r="AI2311" s="1008"/>
    </row>
    <row r="2312" spans="1:35">
      <c r="A2312" s="1008">
        <v>27691</v>
      </c>
      <c r="C2312" s="1008">
        <v>7</v>
      </c>
      <c r="D2312" s="1009">
        <v>41227099</v>
      </c>
      <c r="E2312" s="1009">
        <v>41227040</v>
      </c>
      <c r="F2312" s="1007" t="s">
        <v>2329</v>
      </c>
      <c r="O2312" s="1007" t="s">
        <v>648</v>
      </c>
      <c r="P2312" s="1007" t="s">
        <v>648</v>
      </c>
      <c r="S2312" s="1008" t="s">
        <v>657</v>
      </c>
      <c r="T2312" s="1008" t="s">
        <v>675</v>
      </c>
      <c r="U2312" s="1008" t="s">
        <v>653</v>
      </c>
      <c r="V2312" s="1008" t="s">
        <v>648</v>
      </c>
      <c r="W2312" s="1008" t="s">
        <v>546</v>
      </c>
      <c r="X2312" s="1008"/>
      <c r="Y2312" s="1008"/>
      <c r="Z2312" s="1008"/>
      <c r="AA2312" s="1008"/>
      <c r="AB2312" s="1008"/>
      <c r="AC2312" s="1008"/>
      <c r="AD2312" s="1008"/>
      <c r="AE2312" s="1008"/>
      <c r="AF2312" s="1008"/>
      <c r="AG2312" s="1008"/>
      <c r="AH2312" s="1008"/>
      <c r="AI2312" s="1008"/>
    </row>
    <row r="2313" spans="1:35">
      <c r="A2313" s="1008">
        <v>27555</v>
      </c>
      <c r="B2313" s="1008">
        <v>6407</v>
      </c>
      <c r="C2313" s="1008">
        <v>8</v>
      </c>
      <c r="D2313" s="1009">
        <v>41227099</v>
      </c>
      <c r="E2313" s="1009">
        <v>41227050</v>
      </c>
      <c r="F2313" s="1007" t="s">
        <v>2328</v>
      </c>
      <c r="G2313" s="1007">
        <v>8</v>
      </c>
      <c r="H2313" s="1010">
        <v>99999999</v>
      </c>
      <c r="I2313" s="1009">
        <v>41227050</v>
      </c>
      <c r="J2313" s="1007" t="s">
        <v>2328</v>
      </c>
      <c r="O2313" s="1007" t="s">
        <v>648</v>
      </c>
      <c r="P2313" s="1007" t="s">
        <v>648</v>
      </c>
      <c r="S2313" s="1008" t="s">
        <v>657</v>
      </c>
      <c r="T2313" s="1008" t="s">
        <v>654</v>
      </c>
      <c r="U2313" s="1008" t="s">
        <v>653</v>
      </c>
      <c r="V2313" s="1008" t="s">
        <v>648</v>
      </c>
      <c r="W2313" s="1008" t="s">
        <v>546</v>
      </c>
      <c r="X2313" s="1008" t="s">
        <v>670</v>
      </c>
      <c r="Y2313" s="1008"/>
      <c r="Z2313" s="1008"/>
      <c r="AA2313" s="1008" t="s">
        <v>670</v>
      </c>
      <c r="AB2313" s="1008"/>
      <c r="AC2313" s="1008"/>
      <c r="AD2313" s="1008"/>
      <c r="AE2313" s="1008"/>
      <c r="AF2313" s="1008"/>
      <c r="AG2313" s="1008"/>
      <c r="AH2313" s="1008"/>
      <c r="AI2313" s="1008"/>
    </row>
    <row r="2314" spans="1:35">
      <c r="A2314" s="1008">
        <v>27647</v>
      </c>
      <c r="B2314" s="1008">
        <v>6478</v>
      </c>
      <c r="C2314" s="1008">
        <v>8</v>
      </c>
      <c r="D2314" s="1009">
        <v>41227099</v>
      </c>
      <c r="E2314" s="1009">
        <v>41227052</v>
      </c>
      <c r="F2314" s="1007" t="s">
        <v>2327</v>
      </c>
      <c r="G2314" s="1007">
        <v>8</v>
      </c>
      <c r="H2314" s="1010">
        <v>99999999</v>
      </c>
      <c r="I2314" s="1009">
        <v>41227052</v>
      </c>
      <c r="J2314" s="1007" t="s">
        <v>2326</v>
      </c>
      <c r="O2314" s="1007" t="s">
        <v>648</v>
      </c>
      <c r="P2314" s="1007" t="s">
        <v>648</v>
      </c>
      <c r="S2314" s="1008" t="s">
        <v>657</v>
      </c>
      <c r="T2314" s="1008" t="s">
        <v>654</v>
      </c>
      <c r="U2314" s="1008" t="s">
        <v>653</v>
      </c>
      <c r="V2314" s="1008" t="s">
        <v>648</v>
      </c>
      <c r="W2314" s="1008" t="s">
        <v>546</v>
      </c>
      <c r="X2314" s="1008" t="s">
        <v>670</v>
      </c>
      <c r="Y2314" s="1008"/>
      <c r="Z2314" s="1008"/>
      <c r="AA2314" s="1008" t="s">
        <v>670</v>
      </c>
      <c r="AB2314" s="1008"/>
      <c r="AC2314" s="1008"/>
      <c r="AD2314" s="1008"/>
      <c r="AE2314" s="1008"/>
      <c r="AF2314" s="1008"/>
      <c r="AG2314" s="1008"/>
      <c r="AH2314" s="1008"/>
      <c r="AI2314" s="1008"/>
    </row>
    <row r="2315" spans="1:35">
      <c r="A2315" s="1008">
        <v>27556</v>
      </c>
      <c r="B2315" s="1008">
        <v>6408</v>
      </c>
      <c r="C2315" s="1008">
        <v>8</v>
      </c>
      <c r="D2315" s="1009">
        <v>41227099</v>
      </c>
      <c r="E2315" s="1009">
        <v>41227055</v>
      </c>
      <c r="F2315" s="1007" t="s">
        <v>2325</v>
      </c>
      <c r="G2315" s="1007">
        <v>8</v>
      </c>
      <c r="H2315" s="1010">
        <v>99999999</v>
      </c>
      <c r="I2315" s="1009">
        <v>41227055</v>
      </c>
      <c r="J2315" s="1007" t="s">
        <v>2325</v>
      </c>
      <c r="O2315" s="1007" t="s">
        <v>648</v>
      </c>
      <c r="P2315" s="1007" t="s">
        <v>648</v>
      </c>
      <c r="S2315" s="1008" t="s">
        <v>657</v>
      </c>
      <c r="T2315" s="1008" t="s">
        <v>654</v>
      </c>
      <c r="U2315" s="1008" t="s">
        <v>653</v>
      </c>
      <c r="V2315" s="1008" t="s">
        <v>648</v>
      </c>
      <c r="W2315" s="1008" t="s">
        <v>546</v>
      </c>
      <c r="X2315" s="1008" t="s">
        <v>670</v>
      </c>
      <c r="Y2315" s="1008"/>
      <c r="Z2315" s="1008"/>
      <c r="AA2315" s="1008" t="s">
        <v>670</v>
      </c>
      <c r="AB2315" s="1008"/>
      <c r="AC2315" s="1008"/>
      <c r="AD2315" s="1008"/>
      <c r="AE2315" s="1008"/>
      <c r="AF2315" s="1008"/>
      <c r="AG2315" s="1008"/>
      <c r="AH2315" s="1008"/>
      <c r="AI2315" s="1008"/>
    </row>
    <row r="2316" spans="1:35">
      <c r="A2316" s="1008">
        <v>27692</v>
      </c>
      <c r="C2316" s="1008">
        <v>7</v>
      </c>
      <c r="D2316" s="1009">
        <v>41299999</v>
      </c>
      <c r="E2316" s="1009">
        <v>41227099</v>
      </c>
      <c r="F2316" s="1007" t="s">
        <v>2324</v>
      </c>
      <c r="O2316" s="1007" t="s">
        <v>648</v>
      </c>
      <c r="P2316" s="1007" t="s">
        <v>648</v>
      </c>
      <c r="S2316" s="1008" t="s">
        <v>657</v>
      </c>
      <c r="T2316" s="1008" t="s">
        <v>21</v>
      </c>
      <c r="U2316" s="1008" t="s">
        <v>653</v>
      </c>
      <c r="V2316" s="1008" t="s">
        <v>648</v>
      </c>
      <c r="W2316" s="1008" t="s">
        <v>546</v>
      </c>
      <c r="X2316" s="1008"/>
      <c r="Y2316" s="1008"/>
      <c r="Z2316" s="1008"/>
      <c r="AA2316" s="1008"/>
      <c r="AB2316" s="1008"/>
      <c r="AC2316" s="1008"/>
      <c r="AD2316" s="1008"/>
      <c r="AE2316" s="1008"/>
      <c r="AF2316" s="1008"/>
      <c r="AG2316" s="1008"/>
      <c r="AH2316" s="1008"/>
      <c r="AI2316" s="1008"/>
    </row>
    <row r="2317" spans="1:35">
      <c r="A2317" s="1008">
        <v>24788</v>
      </c>
      <c r="C2317" s="1008">
        <v>6</v>
      </c>
      <c r="D2317" s="1009">
        <v>41299999</v>
      </c>
      <c r="E2317" s="1009">
        <v>41229999</v>
      </c>
      <c r="F2317" s="1007" t="s">
        <v>2323</v>
      </c>
      <c r="O2317" s="1007" t="s">
        <v>648</v>
      </c>
      <c r="P2317" s="1007" t="s">
        <v>648</v>
      </c>
      <c r="S2317" s="1008" t="s">
        <v>657</v>
      </c>
      <c r="T2317" s="1008" t="s">
        <v>21</v>
      </c>
      <c r="U2317" s="1008" t="s">
        <v>653</v>
      </c>
      <c r="V2317" s="1008" t="s">
        <v>648</v>
      </c>
      <c r="W2317" s="1008" t="s">
        <v>546</v>
      </c>
      <c r="X2317" s="1008"/>
      <c r="Y2317" s="1008"/>
      <c r="Z2317" s="1008"/>
      <c r="AA2317" s="1008"/>
      <c r="AB2317" s="1008"/>
      <c r="AC2317" s="1008"/>
      <c r="AD2317" s="1008"/>
      <c r="AE2317" s="1008"/>
      <c r="AF2317" s="1008"/>
      <c r="AG2317" s="1008"/>
      <c r="AH2317" s="1008"/>
      <c r="AI2317" s="1008"/>
    </row>
    <row r="2318" spans="1:35">
      <c r="A2318" s="1008">
        <v>24789</v>
      </c>
      <c r="C2318" s="1008">
        <v>6</v>
      </c>
      <c r="D2318" s="1009">
        <v>41239999</v>
      </c>
      <c r="E2318" s="1009">
        <v>41230000</v>
      </c>
      <c r="F2318" s="1007" t="s">
        <v>2322</v>
      </c>
      <c r="O2318" s="1007" t="s">
        <v>648</v>
      </c>
      <c r="P2318" s="1007" t="s">
        <v>648</v>
      </c>
      <c r="S2318" s="1008" t="s">
        <v>657</v>
      </c>
      <c r="T2318" s="1008" t="s">
        <v>675</v>
      </c>
      <c r="U2318" s="1008" t="s">
        <v>653</v>
      </c>
      <c r="V2318" s="1008" t="s">
        <v>648</v>
      </c>
      <c r="W2318" s="1008" t="s">
        <v>546</v>
      </c>
      <c r="X2318" s="1008"/>
      <c r="Y2318" s="1008"/>
      <c r="Z2318" s="1008"/>
      <c r="AA2318" s="1008"/>
      <c r="AB2318" s="1008"/>
      <c r="AC2318" s="1008"/>
      <c r="AD2318" s="1008"/>
      <c r="AE2318" s="1008"/>
      <c r="AF2318" s="1008"/>
      <c r="AG2318" s="1008"/>
      <c r="AH2318" s="1008"/>
      <c r="AI2318" s="1008"/>
    </row>
    <row r="2319" spans="1:35">
      <c r="A2319" s="1008">
        <v>24790</v>
      </c>
      <c r="B2319" s="1008">
        <v>2026</v>
      </c>
      <c r="C2319" s="1008">
        <v>7</v>
      </c>
      <c r="D2319" s="1009">
        <v>41239999</v>
      </c>
      <c r="E2319" s="1009">
        <v>41231000</v>
      </c>
      <c r="F2319" s="1007" t="s">
        <v>2321</v>
      </c>
      <c r="G2319" s="1007">
        <v>7</v>
      </c>
      <c r="H2319" s="1010">
        <v>99999999</v>
      </c>
      <c r="I2319" s="1009">
        <v>41231000</v>
      </c>
      <c r="J2319" s="1007" t="s">
        <v>2321</v>
      </c>
      <c r="O2319" s="1007" t="s">
        <v>648</v>
      </c>
      <c r="P2319" s="1007" t="s">
        <v>648</v>
      </c>
      <c r="S2319" s="1008" t="s">
        <v>657</v>
      </c>
      <c r="T2319" s="1008" t="s">
        <v>654</v>
      </c>
      <c r="U2319" s="1008" t="s">
        <v>653</v>
      </c>
      <c r="V2319" s="1008" t="s">
        <v>648</v>
      </c>
      <c r="W2319" s="1008" t="s">
        <v>546</v>
      </c>
      <c r="X2319" s="1008" t="s">
        <v>670</v>
      </c>
      <c r="Y2319" s="1008"/>
      <c r="Z2319" s="1008"/>
      <c r="AA2319" s="1008"/>
      <c r="AB2319" s="1008"/>
      <c r="AC2319" s="1008"/>
      <c r="AD2319" s="1008" t="s">
        <v>670</v>
      </c>
      <c r="AE2319" s="1008"/>
      <c r="AF2319" s="1008"/>
      <c r="AG2319" s="1008"/>
      <c r="AH2319" s="1008"/>
      <c r="AI2319" s="1008"/>
    </row>
    <row r="2320" spans="1:35">
      <c r="A2320" s="1008">
        <v>24791</v>
      </c>
      <c r="B2320" s="1008">
        <v>2027</v>
      </c>
      <c r="C2320" s="1008">
        <v>7</v>
      </c>
      <c r="D2320" s="1009">
        <v>41239999</v>
      </c>
      <c r="E2320" s="1009">
        <v>41232000</v>
      </c>
      <c r="F2320" s="1007" t="s">
        <v>2320</v>
      </c>
      <c r="G2320" s="1007">
        <v>7</v>
      </c>
      <c r="H2320" s="1010">
        <v>99999999</v>
      </c>
      <c r="I2320" s="1009">
        <v>41232000</v>
      </c>
      <c r="J2320" s="1007" t="s">
        <v>2320</v>
      </c>
      <c r="O2320" s="1007" t="s">
        <v>648</v>
      </c>
      <c r="P2320" s="1007" t="s">
        <v>648</v>
      </c>
      <c r="S2320" s="1008" t="s">
        <v>657</v>
      </c>
      <c r="T2320" s="1008" t="s">
        <v>654</v>
      </c>
      <c r="U2320" s="1008" t="s">
        <v>653</v>
      </c>
      <c r="V2320" s="1008" t="s">
        <v>648</v>
      </c>
      <c r="W2320" s="1008" t="s">
        <v>546</v>
      </c>
      <c r="X2320" s="1008" t="s">
        <v>670</v>
      </c>
      <c r="Y2320" s="1008"/>
      <c r="Z2320" s="1008"/>
      <c r="AA2320" s="1008" t="s">
        <v>670</v>
      </c>
      <c r="AB2320" s="1008"/>
      <c r="AC2320" s="1008"/>
      <c r="AD2320" s="1008" t="s">
        <v>670</v>
      </c>
      <c r="AE2320" s="1008"/>
      <c r="AF2320" s="1008"/>
      <c r="AG2320" s="1008"/>
      <c r="AH2320" s="1008"/>
      <c r="AI2320" s="1008"/>
    </row>
    <row r="2321" spans="1:35">
      <c r="A2321" s="1008">
        <v>24792</v>
      </c>
      <c r="B2321" s="1008">
        <v>2028</v>
      </c>
      <c r="C2321" s="1008">
        <v>7</v>
      </c>
      <c r="D2321" s="1009">
        <v>41239999</v>
      </c>
      <c r="E2321" s="1009">
        <v>41233000</v>
      </c>
      <c r="F2321" s="1007" t="s">
        <v>2319</v>
      </c>
      <c r="G2321" s="1007">
        <v>7</v>
      </c>
      <c r="H2321" s="1010">
        <v>99999999</v>
      </c>
      <c r="I2321" s="1009">
        <v>41233000</v>
      </c>
      <c r="J2321" s="1007" t="s">
        <v>2319</v>
      </c>
      <c r="O2321" s="1007" t="s">
        <v>648</v>
      </c>
      <c r="P2321" s="1007" t="s">
        <v>648</v>
      </c>
      <c r="S2321" s="1008" t="s">
        <v>657</v>
      </c>
      <c r="T2321" s="1008" t="s">
        <v>654</v>
      </c>
      <c r="U2321" s="1008" t="s">
        <v>653</v>
      </c>
      <c r="V2321" s="1008" t="s">
        <v>648</v>
      </c>
      <c r="W2321" s="1008" t="s">
        <v>546</v>
      </c>
      <c r="X2321" s="1008" t="s">
        <v>670</v>
      </c>
      <c r="Y2321" s="1008"/>
      <c r="Z2321" s="1008"/>
      <c r="AA2321" s="1008"/>
      <c r="AB2321" s="1008"/>
      <c r="AC2321" s="1008"/>
      <c r="AD2321" s="1008" t="s">
        <v>670</v>
      </c>
      <c r="AE2321" s="1008"/>
      <c r="AF2321" s="1008"/>
      <c r="AG2321" s="1008"/>
      <c r="AH2321" s="1008"/>
      <c r="AI2321" s="1008"/>
    </row>
    <row r="2322" spans="1:35">
      <c r="A2322" s="1008">
        <v>24793</v>
      </c>
      <c r="B2322" s="1008">
        <v>2029</v>
      </c>
      <c r="C2322" s="1008">
        <v>7</v>
      </c>
      <c r="D2322" s="1009">
        <v>41239999</v>
      </c>
      <c r="E2322" s="1009">
        <v>41234000</v>
      </c>
      <c r="F2322" s="1007" t="s">
        <v>2318</v>
      </c>
      <c r="G2322" s="1007">
        <v>7</v>
      </c>
      <c r="H2322" s="1010">
        <v>99999999</v>
      </c>
      <c r="I2322" s="1009">
        <v>41234000</v>
      </c>
      <c r="J2322" s="1007" t="s">
        <v>2318</v>
      </c>
      <c r="O2322" s="1007" t="s">
        <v>648</v>
      </c>
      <c r="P2322" s="1007" t="s">
        <v>648</v>
      </c>
      <c r="S2322" s="1008" t="s">
        <v>657</v>
      </c>
      <c r="T2322" s="1008" t="s">
        <v>654</v>
      </c>
      <c r="U2322" s="1008" t="s">
        <v>653</v>
      </c>
      <c r="V2322" s="1008" t="s">
        <v>648</v>
      </c>
      <c r="W2322" s="1008" t="s">
        <v>546</v>
      </c>
      <c r="X2322" s="1008" t="s">
        <v>670</v>
      </c>
      <c r="Y2322" s="1008"/>
      <c r="Z2322" s="1008"/>
      <c r="AA2322" s="1008"/>
      <c r="AB2322" s="1008"/>
      <c r="AC2322" s="1008"/>
      <c r="AD2322" s="1008" t="s">
        <v>670</v>
      </c>
      <c r="AE2322" s="1008"/>
      <c r="AF2322" s="1008"/>
      <c r="AG2322" s="1008"/>
      <c r="AH2322" s="1008"/>
      <c r="AI2322" s="1008"/>
    </row>
    <row r="2323" spans="1:35">
      <c r="A2323" s="1008">
        <v>24794</v>
      </c>
      <c r="B2323" s="1008">
        <v>2030</v>
      </c>
      <c r="C2323" s="1008">
        <v>7</v>
      </c>
      <c r="D2323" s="1009">
        <v>41239999</v>
      </c>
      <c r="E2323" s="1009">
        <v>41235000</v>
      </c>
      <c r="F2323" s="1007" t="s">
        <v>2317</v>
      </c>
      <c r="G2323" s="1007">
        <v>7</v>
      </c>
      <c r="H2323" s="1010">
        <v>99999999</v>
      </c>
      <c r="I2323" s="1009">
        <v>41235000</v>
      </c>
      <c r="J2323" s="1007" t="s">
        <v>2317</v>
      </c>
      <c r="O2323" s="1007" t="s">
        <v>648</v>
      </c>
      <c r="P2323" s="1007" t="s">
        <v>648</v>
      </c>
      <c r="S2323" s="1008" t="s">
        <v>657</v>
      </c>
      <c r="T2323" s="1008" t="s">
        <v>654</v>
      </c>
      <c r="U2323" s="1008" t="s">
        <v>653</v>
      </c>
      <c r="V2323" s="1008" t="s">
        <v>648</v>
      </c>
      <c r="W2323" s="1008" t="s">
        <v>546</v>
      </c>
      <c r="X2323" s="1008" t="s">
        <v>670</v>
      </c>
      <c r="Y2323" s="1008"/>
      <c r="Z2323" s="1008"/>
      <c r="AA2323" s="1008"/>
      <c r="AB2323" s="1008"/>
      <c r="AC2323" s="1008"/>
      <c r="AD2323" s="1008" t="s">
        <v>670</v>
      </c>
      <c r="AE2323" s="1008"/>
      <c r="AF2323" s="1008"/>
      <c r="AG2323" s="1008"/>
      <c r="AH2323" s="1008"/>
      <c r="AI2323" s="1008"/>
    </row>
    <row r="2324" spans="1:35">
      <c r="A2324" s="1008">
        <v>24795</v>
      </c>
      <c r="B2324" s="1008">
        <v>2031</v>
      </c>
      <c r="C2324" s="1008">
        <v>7</v>
      </c>
      <c r="D2324" s="1009">
        <v>41239999</v>
      </c>
      <c r="E2324" s="1009">
        <v>41236000</v>
      </c>
      <c r="F2324" s="1007" t="s">
        <v>2316</v>
      </c>
      <c r="G2324" s="1007">
        <v>7</v>
      </c>
      <c r="H2324" s="1010">
        <v>99999999</v>
      </c>
      <c r="I2324" s="1009">
        <v>41236000</v>
      </c>
      <c r="J2324" s="1007" t="s">
        <v>2316</v>
      </c>
      <c r="O2324" s="1007" t="s">
        <v>648</v>
      </c>
      <c r="P2324" s="1007" t="s">
        <v>648</v>
      </c>
      <c r="S2324" s="1008" t="s">
        <v>657</v>
      </c>
      <c r="T2324" s="1008" t="s">
        <v>654</v>
      </c>
      <c r="U2324" s="1008" t="s">
        <v>653</v>
      </c>
      <c r="V2324" s="1008" t="s">
        <v>648</v>
      </c>
      <c r="W2324" s="1008" t="s">
        <v>546</v>
      </c>
      <c r="X2324" s="1008" t="s">
        <v>670</v>
      </c>
      <c r="Y2324" s="1008"/>
      <c r="Z2324" s="1008"/>
      <c r="AA2324" s="1008"/>
      <c r="AB2324" s="1008"/>
      <c r="AC2324" s="1008"/>
      <c r="AD2324" s="1008" t="s">
        <v>670</v>
      </c>
      <c r="AE2324" s="1008"/>
      <c r="AF2324" s="1008"/>
      <c r="AG2324" s="1008"/>
      <c r="AH2324" s="1008"/>
      <c r="AI2324" s="1008"/>
    </row>
    <row r="2325" spans="1:35">
      <c r="A2325" s="1008">
        <v>24796</v>
      </c>
      <c r="B2325" s="1008">
        <v>2032</v>
      </c>
      <c r="C2325" s="1008">
        <v>7</v>
      </c>
      <c r="D2325" s="1009">
        <v>41239999</v>
      </c>
      <c r="E2325" s="1009">
        <v>41237000</v>
      </c>
      <c r="F2325" s="1007" t="s">
        <v>2315</v>
      </c>
      <c r="G2325" s="1007">
        <v>7</v>
      </c>
      <c r="H2325" s="1010">
        <v>99999999</v>
      </c>
      <c r="I2325" s="1009">
        <v>41237000</v>
      </c>
      <c r="J2325" s="1007" t="s">
        <v>2315</v>
      </c>
      <c r="O2325" s="1007" t="s">
        <v>648</v>
      </c>
      <c r="P2325" s="1007" t="s">
        <v>648</v>
      </c>
      <c r="S2325" s="1008" t="s">
        <v>657</v>
      </c>
      <c r="T2325" s="1008" t="s">
        <v>654</v>
      </c>
      <c r="U2325" s="1008" t="s">
        <v>653</v>
      </c>
      <c r="V2325" s="1008" t="s">
        <v>648</v>
      </c>
      <c r="W2325" s="1008" t="s">
        <v>546</v>
      </c>
      <c r="X2325" s="1008" t="s">
        <v>670</v>
      </c>
      <c r="Y2325" s="1008"/>
      <c r="Z2325" s="1008"/>
      <c r="AA2325" s="1008"/>
      <c r="AB2325" s="1008"/>
      <c r="AC2325" s="1008"/>
      <c r="AD2325" s="1008" t="s">
        <v>670</v>
      </c>
      <c r="AE2325" s="1008"/>
      <c r="AF2325" s="1008"/>
      <c r="AG2325" s="1008"/>
      <c r="AH2325" s="1008"/>
      <c r="AI2325" s="1008"/>
    </row>
    <row r="2326" spans="1:35">
      <c r="A2326" s="1008">
        <v>24797</v>
      </c>
      <c r="B2326" s="1008">
        <v>5311</v>
      </c>
      <c r="C2326" s="1008">
        <v>7</v>
      </c>
      <c r="D2326" s="1009">
        <v>41239999</v>
      </c>
      <c r="E2326" s="1009">
        <v>41238000</v>
      </c>
      <c r="F2326" s="1007" t="s">
        <v>2314</v>
      </c>
      <c r="G2326" s="1007">
        <v>7</v>
      </c>
      <c r="H2326" s="1010">
        <v>99999999</v>
      </c>
      <c r="I2326" s="1009">
        <v>41238000</v>
      </c>
      <c r="J2326" s="1007" t="s">
        <v>2314</v>
      </c>
      <c r="O2326" s="1007" t="s">
        <v>648</v>
      </c>
      <c r="P2326" s="1007" t="s">
        <v>648</v>
      </c>
      <c r="S2326" s="1008" t="s">
        <v>657</v>
      </c>
      <c r="T2326" s="1008" t="s">
        <v>654</v>
      </c>
      <c r="U2326" s="1008" t="s">
        <v>653</v>
      </c>
      <c r="V2326" s="1008" t="s">
        <v>648</v>
      </c>
      <c r="W2326" s="1008" t="s">
        <v>546</v>
      </c>
      <c r="X2326" s="1008" t="s">
        <v>670</v>
      </c>
      <c r="Y2326" s="1008"/>
      <c r="Z2326" s="1008"/>
      <c r="AA2326" s="1008"/>
      <c r="AB2326" s="1008"/>
      <c r="AC2326" s="1008"/>
      <c r="AD2326" s="1008" t="s">
        <v>670</v>
      </c>
      <c r="AE2326" s="1008"/>
      <c r="AF2326" s="1008"/>
      <c r="AG2326" s="1008"/>
      <c r="AH2326" s="1008"/>
      <c r="AI2326" s="1008"/>
    </row>
    <row r="2327" spans="1:35">
      <c r="A2327" s="1008">
        <v>24798</v>
      </c>
      <c r="C2327" s="1008">
        <v>6</v>
      </c>
      <c r="D2327" s="1009">
        <v>41299999</v>
      </c>
      <c r="E2327" s="1009">
        <v>41239999</v>
      </c>
      <c r="F2327" s="1007" t="s">
        <v>2313</v>
      </c>
      <c r="O2327" s="1007" t="s">
        <v>648</v>
      </c>
      <c r="P2327" s="1007" t="s">
        <v>648</v>
      </c>
      <c r="S2327" s="1008" t="s">
        <v>657</v>
      </c>
      <c r="T2327" s="1008" t="s">
        <v>21</v>
      </c>
      <c r="U2327" s="1008" t="s">
        <v>653</v>
      </c>
      <c r="V2327" s="1008" t="s">
        <v>648</v>
      </c>
      <c r="W2327" s="1008" t="s">
        <v>546</v>
      </c>
      <c r="X2327" s="1008"/>
      <c r="Y2327" s="1008"/>
      <c r="Z2327" s="1008"/>
      <c r="AA2327" s="1008"/>
      <c r="AB2327" s="1008"/>
      <c r="AC2327" s="1008"/>
      <c r="AD2327" s="1008"/>
      <c r="AE2327" s="1008"/>
      <c r="AF2327" s="1008"/>
      <c r="AG2327" s="1008"/>
      <c r="AH2327" s="1008"/>
      <c r="AI2327" s="1008"/>
    </row>
    <row r="2328" spans="1:35">
      <c r="A2328" s="1008">
        <v>24799</v>
      </c>
      <c r="C2328" s="1008">
        <v>5</v>
      </c>
      <c r="D2328" s="1009">
        <v>41999999</v>
      </c>
      <c r="E2328" s="1009">
        <v>41299999</v>
      </c>
      <c r="F2328" s="1007" t="s">
        <v>2312</v>
      </c>
      <c r="O2328" s="1007" t="s">
        <v>648</v>
      </c>
      <c r="P2328" s="1007" t="s">
        <v>648</v>
      </c>
      <c r="S2328" s="1008" t="s">
        <v>657</v>
      </c>
      <c r="T2328" s="1008" t="s">
        <v>21</v>
      </c>
      <c r="U2328" s="1008" t="s">
        <v>653</v>
      </c>
      <c r="V2328" s="1008" t="s">
        <v>648</v>
      </c>
      <c r="W2328" s="1008" t="s">
        <v>546</v>
      </c>
      <c r="X2328" s="1008"/>
      <c r="Y2328" s="1008"/>
      <c r="Z2328" s="1008"/>
      <c r="AA2328" s="1008"/>
      <c r="AB2328" s="1008"/>
      <c r="AC2328" s="1008"/>
      <c r="AD2328" s="1008"/>
      <c r="AE2328" s="1008"/>
      <c r="AF2328" s="1008"/>
      <c r="AG2328" s="1008"/>
      <c r="AH2328" s="1008"/>
      <c r="AI2328" s="1008"/>
    </row>
    <row r="2329" spans="1:35">
      <c r="A2329" s="1008">
        <v>24800</v>
      </c>
      <c r="C2329" s="1008">
        <v>5</v>
      </c>
      <c r="D2329" s="1009">
        <v>41399999</v>
      </c>
      <c r="E2329" s="1009">
        <v>41300000</v>
      </c>
      <c r="F2329" s="1007" t="s">
        <v>2311</v>
      </c>
      <c r="O2329" s="1007" t="s">
        <v>648</v>
      </c>
      <c r="P2329" s="1007" t="s">
        <v>648</v>
      </c>
      <c r="S2329" s="1008" t="s">
        <v>657</v>
      </c>
      <c r="T2329" s="1008" t="s">
        <v>675</v>
      </c>
      <c r="U2329" s="1008" t="s">
        <v>653</v>
      </c>
      <c r="V2329" s="1008" t="s">
        <v>648</v>
      </c>
      <c r="W2329" s="1008" t="s">
        <v>546</v>
      </c>
      <c r="X2329" s="1008"/>
      <c r="Y2329" s="1008"/>
      <c r="Z2329" s="1008"/>
      <c r="AA2329" s="1008"/>
      <c r="AB2329" s="1008"/>
      <c r="AC2329" s="1008"/>
      <c r="AD2329" s="1008"/>
      <c r="AE2329" s="1008"/>
      <c r="AF2329" s="1008"/>
      <c r="AG2329" s="1008"/>
      <c r="AH2329" s="1008"/>
      <c r="AI2329" s="1008"/>
    </row>
    <row r="2330" spans="1:35">
      <c r="A2330" s="1008">
        <v>24801</v>
      </c>
      <c r="C2330" s="1008">
        <v>6</v>
      </c>
      <c r="D2330" s="1009">
        <v>41319999</v>
      </c>
      <c r="E2330" s="1009">
        <v>41310000</v>
      </c>
      <c r="F2330" s="1007" t="s">
        <v>2310</v>
      </c>
      <c r="O2330" s="1007" t="s">
        <v>648</v>
      </c>
      <c r="P2330" s="1007" t="s">
        <v>648</v>
      </c>
      <c r="S2330" s="1008" t="s">
        <v>657</v>
      </c>
      <c r="T2330" s="1008" t="s">
        <v>675</v>
      </c>
      <c r="U2330" s="1008" t="s">
        <v>653</v>
      </c>
      <c r="V2330" s="1008" t="s">
        <v>648</v>
      </c>
      <c r="W2330" s="1008" t="s">
        <v>546</v>
      </c>
      <c r="X2330" s="1008"/>
      <c r="Y2330" s="1008"/>
      <c r="Z2330" s="1008"/>
      <c r="AA2330" s="1008"/>
      <c r="AB2330" s="1008"/>
      <c r="AC2330" s="1008"/>
      <c r="AD2330" s="1008"/>
      <c r="AE2330" s="1008"/>
      <c r="AF2330" s="1008"/>
      <c r="AG2330" s="1008"/>
      <c r="AH2330" s="1008"/>
      <c r="AI2330" s="1008"/>
    </row>
    <row r="2331" spans="1:35">
      <c r="A2331" s="1008">
        <v>24802</v>
      </c>
      <c r="B2331" s="1008">
        <v>25</v>
      </c>
      <c r="C2331" s="1008">
        <v>8</v>
      </c>
      <c r="D2331" s="1009">
        <v>41319999</v>
      </c>
      <c r="E2331" s="1009">
        <v>41311000</v>
      </c>
      <c r="F2331" s="1007" t="s">
        <v>2309</v>
      </c>
      <c r="G2331" s="1007">
        <v>8</v>
      </c>
      <c r="H2331" s="1010">
        <v>99999999</v>
      </c>
      <c r="I2331" s="1009">
        <v>41311000</v>
      </c>
      <c r="J2331" s="1007" t="s">
        <v>2309</v>
      </c>
      <c r="O2331" s="1007" t="s">
        <v>648</v>
      </c>
      <c r="P2331" s="1007" t="s">
        <v>648</v>
      </c>
      <c r="S2331" s="1008" t="s">
        <v>657</v>
      </c>
      <c r="T2331" s="1008" t="s">
        <v>654</v>
      </c>
      <c r="U2331" s="1008" t="s">
        <v>653</v>
      </c>
      <c r="V2331" s="1008" t="s">
        <v>648</v>
      </c>
      <c r="W2331" s="1008" t="s">
        <v>546</v>
      </c>
      <c r="X2331" s="1008" t="s">
        <v>670</v>
      </c>
      <c r="Y2331" s="1008" t="s">
        <v>670</v>
      </c>
      <c r="Z2331" s="1008" t="s">
        <v>670</v>
      </c>
      <c r="AA2331" s="1008" t="s">
        <v>670</v>
      </c>
      <c r="AB2331" s="1008"/>
      <c r="AC2331" s="1008"/>
      <c r="AD2331" s="1008" t="s">
        <v>670</v>
      </c>
      <c r="AE2331" s="1008" t="s">
        <v>670</v>
      </c>
      <c r="AF2331" s="1008" t="s">
        <v>670</v>
      </c>
      <c r="AG2331" s="1008"/>
      <c r="AH2331" s="1008"/>
      <c r="AI2331" s="1008"/>
    </row>
    <row r="2332" spans="1:35">
      <c r="A2332" s="1008">
        <v>24803</v>
      </c>
      <c r="B2332" s="1008">
        <v>2035</v>
      </c>
      <c r="C2332" s="1008">
        <v>8</v>
      </c>
      <c r="D2332" s="1009">
        <v>41319999</v>
      </c>
      <c r="E2332" s="1009">
        <v>41312000</v>
      </c>
      <c r="F2332" s="1007" t="s">
        <v>2308</v>
      </c>
      <c r="G2332" s="1007">
        <v>8</v>
      </c>
      <c r="H2332" s="1010">
        <v>99999999</v>
      </c>
      <c r="I2332" s="1009">
        <v>41312000</v>
      </c>
      <c r="J2332" s="1007" t="s">
        <v>2308</v>
      </c>
      <c r="O2332" s="1007" t="s">
        <v>648</v>
      </c>
      <c r="P2332" s="1007" t="s">
        <v>648</v>
      </c>
      <c r="S2332" s="1008" t="s">
        <v>657</v>
      </c>
      <c r="T2332" s="1008" t="s">
        <v>654</v>
      </c>
      <c r="U2332" s="1008" t="s">
        <v>653</v>
      </c>
      <c r="V2332" s="1008" t="s">
        <v>648</v>
      </c>
      <c r="W2332" s="1008" t="s">
        <v>546</v>
      </c>
      <c r="X2332" s="1008" t="s">
        <v>670</v>
      </c>
      <c r="Y2332" s="1008"/>
      <c r="Z2332" s="1008" t="s">
        <v>670</v>
      </c>
      <c r="AA2332" s="1008" t="s">
        <v>670</v>
      </c>
      <c r="AB2332" s="1008"/>
      <c r="AC2332" s="1008"/>
      <c r="AD2332" s="1008" t="s">
        <v>670</v>
      </c>
      <c r="AE2332" s="1008"/>
      <c r="AF2332" s="1008"/>
      <c r="AG2332" s="1008"/>
      <c r="AH2332" s="1008"/>
      <c r="AI2332" s="1008"/>
    </row>
    <row r="2333" spans="1:35">
      <c r="A2333" s="1008">
        <v>24804</v>
      </c>
      <c r="B2333" s="1008">
        <v>2036</v>
      </c>
      <c r="C2333" s="1008">
        <v>8</v>
      </c>
      <c r="D2333" s="1009">
        <v>41319999</v>
      </c>
      <c r="E2333" s="1009">
        <v>41313000</v>
      </c>
      <c r="F2333" s="1007" t="s">
        <v>2307</v>
      </c>
      <c r="G2333" s="1007">
        <v>8</v>
      </c>
      <c r="H2333" s="1010">
        <v>99999999</v>
      </c>
      <c r="I2333" s="1009">
        <v>41313000</v>
      </c>
      <c r="J2333" s="1007" t="s">
        <v>2307</v>
      </c>
      <c r="O2333" s="1007" t="s">
        <v>648</v>
      </c>
      <c r="P2333" s="1007" t="s">
        <v>648</v>
      </c>
      <c r="S2333" s="1008" t="s">
        <v>657</v>
      </c>
      <c r="T2333" s="1008" t="s">
        <v>654</v>
      </c>
      <c r="U2333" s="1008" t="s">
        <v>653</v>
      </c>
      <c r="V2333" s="1008" t="s">
        <v>648</v>
      </c>
      <c r="W2333" s="1008" t="s">
        <v>546</v>
      </c>
      <c r="X2333" s="1008" t="s">
        <v>670</v>
      </c>
      <c r="Y2333" s="1008"/>
      <c r="Z2333" s="1008" t="s">
        <v>670</v>
      </c>
      <c r="AA2333" s="1008" t="s">
        <v>670</v>
      </c>
      <c r="AB2333" s="1008"/>
      <c r="AC2333" s="1008"/>
      <c r="AD2333" s="1008" t="s">
        <v>670</v>
      </c>
      <c r="AE2333" s="1008"/>
      <c r="AF2333" s="1008"/>
      <c r="AG2333" s="1008"/>
      <c r="AH2333" s="1008"/>
      <c r="AI2333" s="1008"/>
    </row>
    <row r="2334" spans="1:35">
      <c r="A2334" s="1008">
        <v>24805</v>
      </c>
      <c r="B2334" s="1008">
        <v>2037</v>
      </c>
      <c r="C2334" s="1008">
        <v>8</v>
      </c>
      <c r="D2334" s="1009">
        <v>41319999</v>
      </c>
      <c r="E2334" s="1009">
        <v>41314000</v>
      </c>
      <c r="F2334" s="1007" t="s">
        <v>2306</v>
      </c>
      <c r="G2334" s="1007">
        <v>8</v>
      </c>
      <c r="H2334" s="1010">
        <v>99999999</v>
      </c>
      <c r="I2334" s="1009">
        <v>41314000</v>
      </c>
      <c r="J2334" s="1007" t="s">
        <v>2306</v>
      </c>
      <c r="O2334" s="1007" t="s">
        <v>648</v>
      </c>
      <c r="P2334" s="1007" t="s">
        <v>648</v>
      </c>
      <c r="S2334" s="1008" t="s">
        <v>657</v>
      </c>
      <c r="T2334" s="1008" t="s">
        <v>654</v>
      </c>
      <c r="U2334" s="1008" t="s">
        <v>653</v>
      </c>
      <c r="V2334" s="1008" t="s">
        <v>648</v>
      </c>
      <c r="W2334" s="1008" t="s">
        <v>546</v>
      </c>
      <c r="X2334" s="1008" t="s">
        <v>670</v>
      </c>
      <c r="Y2334" s="1008"/>
      <c r="Z2334" s="1008" t="s">
        <v>670</v>
      </c>
      <c r="AA2334" s="1008" t="s">
        <v>670</v>
      </c>
      <c r="AB2334" s="1008"/>
      <c r="AC2334" s="1008"/>
      <c r="AD2334" s="1008" t="s">
        <v>670</v>
      </c>
      <c r="AE2334" s="1008"/>
      <c r="AF2334" s="1008"/>
      <c r="AG2334" s="1008"/>
      <c r="AH2334" s="1008"/>
      <c r="AI2334" s="1008"/>
    </row>
    <row r="2335" spans="1:35">
      <c r="A2335" s="1008">
        <v>24806</v>
      </c>
      <c r="B2335" s="1008">
        <v>2038</v>
      </c>
      <c r="C2335" s="1008">
        <v>8</v>
      </c>
      <c r="D2335" s="1009">
        <v>41319999</v>
      </c>
      <c r="E2335" s="1009">
        <v>41315000</v>
      </c>
      <c r="F2335" s="1007" t="s">
        <v>2305</v>
      </c>
      <c r="G2335" s="1007">
        <v>8</v>
      </c>
      <c r="H2335" s="1010">
        <v>99999999</v>
      </c>
      <c r="I2335" s="1009">
        <v>41315000</v>
      </c>
      <c r="J2335" s="1007" t="s">
        <v>2305</v>
      </c>
      <c r="O2335" s="1007" t="s">
        <v>648</v>
      </c>
      <c r="P2335" s="1007" t="s">
        <v>648</v>
      </c>
      <c r="S2335" s="1008" t="s">
        <v>657</v>
      </c>
      <c r="T2335" s="1008" t="s">
        <v>654</v>
      </c>
      <c r="U2335" s="1008" t="s">
        <v>653</v>
      </c>
      <c r="V2335" s="1008" t="s">
        <v>648</v>
      </c>
      <c r="W2335" s="1008" t="s">
        <v>546</v>
      </c>
      <c r="X2335" s="1008" t="s">
        <v>670</v>
      </c>
      <c r="Y2335" s="1008" t="s">
        <v>670</v>
      </c>
      <c r="Z2335" s="1008" t="s">
        <v>670</v>
      </c>
      <c r="AA2335" s="1008" t="s">
        <v>670</v>
      </c>
      <c r="AB2335" s="1008"/>
      <c r="AC2335" s="1008"/>
      <c r="AD2335" s="1008" t="s">
        <v>670</v>
      </c>
      <c r="AE2335" s="1008"/>
      <c r="AF2335" s="1008" t="s">
        <v>670</v>
      </c>
      <c r="AG2335" s="1008"/>
      <c r="AH2335" s="1008"/>
      <c r="AI2335" s="1008"/>
    </row>
    <row r="2336" spans="1:35">
      <c r="A2336" s="1008">
        <v>24807</v>
      </c>
      <c r="B2336" s="1008">
        <v>2039</v>
      </c>
      <c r="C2336" s="1008">
        <v>8</v>
      </c>
      <c r="D2336" s="1009">
        <v>41319999</v>
      </c>
      <c r="E2336" s="1009">
        <v>41316000</v>
      </c>
      <c r="F2336" s="1007" t="s">
        <v>2304</v>
      </c>
      <c r="G2336" s="1007">
        <v>8</v>
      </c>
      <c r="H2336" s="1010">
        <v>99999999</v>
      </c>
      <c r="I2336" s="1009">
        <v>41316000</v>
      </c>
      <c r="J2336" s="1007" t="s">
        <v>2304</v>
      </c>
      <c r="O2336" s="1007" t="s">
        <v>648</v>
      </c>
      <c r="P2336" s="1007" t="s">
        <v>648</v>
      </c>
      <c r="S2336" s="1008" t="s">
        <v>657</v>
      </c>
      <c r="T2336" s="1008" t="s">
        <v>654</v>
      </c>
      <c r="U2336" s="1008" t="s">
        <v>653</v>
      </c>
      <c r="V2336" s="1008" t="s">
        <v>648</v>
      </c>
      <c r="W2336" s="1008" t="s">
        <v>546</v>
      </c>
      <c r="X2336" s="1008" t="s">
        <v>670</v>
      </c>
      <c r="Y2336" s="1008"/>
      <c r="Z2336" s="1008" t="s">
        <v>670</v>
      </c>
      <c r="AA2336" s="1008" t="s">
        <v>670</v>
      </c>
      <c r="AB2336" s="1008"/>
      <c r="AC2336" s="1008"/>
      <c r="AD2336" s="1008" t="s">
        <v>670</v>
      </c>
      <c r="AE2336" s="1008"/>
      <c r="AF2336" s="1008"/>
      <c r="AG2336" s="1008"/>
      <c r="AH2336" s="1008"/>
      <c r="AI2336" s="1008"/>
    </row>
    <row r="2337" spans="1:35">
      <c r="A2337" s="1008">
        <v>24808</v>
      </c>
      <c r="B2337" s="1008">
        <v>2040</v>
      </c>
      <c r="C2337" s="1008">
        <v>8</v>
      </c>
      <c r="D2337" s="1009">
        <v>41319999</v>
      </c>
      <c r="E2337" s="1009">
        <v>41317000</v>
      </c>
      <c r="F2337" s="1007" t="s">
        <v>2303</v>
      </c>
      <c r="G2337" s="1007">
        <v>8</v>
      </c>
      <c r="H2337" s="1010">
        <v>99999999</v>
      </c>
      <c r="I2337" s="1009">
        <v>41317000</v>
      </c>
      <c r="J2337" s="1007" t="s">
        <v>2303</v>
      </c>
      <c r="O2337" s="1007" t="s">
        <v>648</v>
      </c>
      <c r="P2337" s="1007" t="s">
        <v>648</v>
      </c>
      <c r="S2337" s="1008" t="s">
        <v>657</v>
      </c>
      <c r="T2337" s="1008" t="s">
        <v>654</v>
      </c>
      <c r="U2337" s="1008" t="s">
        <v>653</v>
      </c>
      <c r="V2337" s="1008" t="s">
        <v>648</v>
      </c>
      <c r="W2337" s="1008" t="s">
        <v>546</v>
      </c>
      <c r="X2337" s="1008" t="s">
        <v>670</v>
      </c>
      <c r="Y2337" s="1008"/>
      <c r="Z2337" s="1008" t="s">
        <v>670</v>
      </c>
      <c r="AA2337" s="1008" t="s">
        <v>670</v>
      </c>
      <c r="AB2337" s="1008"/>
      <c r="AC2337" s="1008"/>
      <c r="AD2337" s="1008" t="s">
        <v>670</v>
      </c>
      <c r="AE2337" s="1008"/>
      <c r="AF2337" s="1008"/>
      <c r="AG2337" s="1008"/>
      <c r="AH2337" s="1008"/>
      <c r="AI2337" s="1008"/>
    </row>
    <row r="2338" spans="1:35">
      <c r="A2338" s="1008">
        <v>24809</v>
      </c>
      <c r="B2338" s="1008">
        <v>5315</v>
      </c>
      <c r="C2338" s="1008">
        <v>8</v>
      </c>
      <c r="D2338" s="1009">
        <v>41319999</v>
      </c>
      <c r="E2338" s="1009">
        <v>41318000</v>
      </c>
      <c r="F2338" s="1007" t="s">
        <v>2302</v>
      </c>
      <c r="G2338" s="1007">
        <v>8</v>
      </c>
      <c r="H2338" s="1010">
        <v>99999999</v>
      </c>
      <c r="I2338" s="1009">
        <v>41318000</v>
      </c>
      <c r="J2338" s="1007" t="s">
        <v>2302</v>
      </c>
      <c r="O2338" s="1007" t="s">
        <v>648</v>
      </c>
      <c r="P2338" s="1007" t="s">
        <v>648</v>
      </c>
      <c r="S2338" s="1008" t="s">
        <v>657</v>
      </c>
      <c r="T2338" s="1008" t="s">
        <v>654</v>
      </c>
      <c r="U2338" s="1008" t="s">
        <v>653</v>
      </c>
      <c r="V2338" s="1008" t="s">
        <v>648</v>
      </c>
      <c r="W2338" s="1008" t="s">
        <v>546</v>
      </c>
      <c r="X2338" s="1008" t="s">
        <v>670</v>
      </c>
      <c r="Y2338" s="1008"/>
      <c r="Z2338" s="1008" t="s">
        <v>670</v>
      </c>
      <c r="AA2338" s="1008" t="s">
        <v>670</v>
      </c>
      <c r="AB2338" s="1008"/>
      <c r="AC2338" s="1008"/>
      <c r="AD2338" s="1008" t="s">
        <v>670</v>
      </c>
      <c r="AE2338" s="1008"/>
      <c r="AF2338" s="1008"/>
      <c r="AG2338" s="1008"/>
      <c r="AH2338" s="1008"/>
      <c r="AI2338" s="1008"/>
    </row>
    <row r="2339" spans="1:35">
      <c r="A2339" s="1008">
        <v>27613</v>
      </c>
      <c r="B2339" s="1008">
        <v>6451</v>
      </c>
      <c r="C2339" s="1008">
        <v>8</v>
      </c>
      <c r="D2339" s="1009">
        <v>41319999</v>
      </c>
      <c r="E2339" s="1009">
        <v>41319900</v>
      </c>
      <c r="F2339" s="1007" t="s">
        <v>2301</v>
      </c>
      <c r="G2339" s="1007">
        <v>8</v>
      </c>
      <c r="H2339" s="1010">
        <v>99999999</v>
      </c>
      <c r="I2339" s="1009">
        <v>41319900</v>
      </c>
      <c r="J2339" s="1007" t="s">
        <v>2300</v>
      </c>
      <c r="O2339" s="1007" t="s">
        <v>648</v>
      </c>
      <c r="P2339" s="1007" t="s">
        <v>648</v>
      </c>
      <c r="S2339" s="1008" t="s">
        <v>657</v>
      </c>
      <c r="T2339" s="1008" t="s">
        <v>654</v>
      </c>
      <c r="U2339" s="1008" t="s">
        <v>653</v>
      </c>
      <c r="V2339" s="1008" t="s">
        <v>648</v>
      </c>
      <c r="W2339" s="1008" t="s">
        <v>546</v>
      </c>
      <c r="X2339" s="1008" t="s">
        <v>670</v>
      </c>
      <c r="Y2339" s="1008"/>
      <c r="Z2339" s="1008" t="s">
        <v>670</v>
      </c>
      <c r="AA2339" s="1008" t="s">
        <v>670</v>
      </c>
      <c r="AB2339" s="1008"/>
      <c r="AC2339" s="1008"/>
      <c r="AD2339" s="1008" t="s">
        <v>670</v>
      </c>
      <c r="AE2339" s="1008"/>
      <c r="AF2339" s="1008"/>
      <c r="AG2339" s="1008"/>
      <c r="AH2339" s="1008"/>
      <c r="AI2339" s="1008"/>
    </row>
    <row r="2340" spans="1:35">
      <c r="A2340" s="1008">
        <v>24810</v>
      </c>
      <c r="C2340" s="1008">
        <v>6</v>
      </c>
      <c r="D2340" s="1009">
        <v>41399999</v>
      </c>
      <c r="E2340" s="1009">
        <v>41319999</v>
      </c>
      <c r="F2340" s="1007" t="s">
        <v>2299</v>
      </c>
      <c r="O2340" s="1007" t="s">
        <v>648</v>
      </c>
      <c r="P2340" s="1007" t="s">
        <v>648</v>
      </c>
      <c r="S2340" s="1008" t="s">
        <v>657</v>
      </c>
      <c r="T2340" s="1008" t="s">
        <v>21</v>
      </c>
      <c r="U2340" s="1008" t="s">
        <v>653</v>
      </c>
      <c r="V2340" s="1008" t="s">
        <v>648</v>
      </c>
      <c r="W2340" s="1008" t="s">
        <v>546</v>
      </c>
      <c r="X2340" s="1008"/>
      <c r="Y2340" s="1008"/>
      <c r="Z2340" s="1008"/>
      <c r="AA2340" s="1008"/>
      <c r="AB2340" s="1008"/>
      <c r="AC2340" s="1008"/>
      <c r="AD2340" s="1008"/>
      <c r="AE2340" s="1008"/>
      <c r="AF2340" s="1008"/>
      <c r="AG2340" s="1008"/>
      <c r="AH2340" s="1008"/>
      <c r="AI2340" s="1008"/>
    </row>
    <row r="2341" spans="1:35">
      <c r="A2341" s="1008">
        <v>24811</v>
      </c>
      <c r="C2341" s="1008">
        <v>6</v>
      </c>
      <c r="D2341" s="1009">
        <v>41329999</v>
      </c>
      <c r="E2341" s="1009">
        <v>41320000</v>
      </c>
      <c r="F2341" s="1007" t="s">
        <v>2298</v>
      </c>
      <c r="O2341" s="1007" t="s">
        <v>648</v>
      </c>
      <c r="P2341" s="1007" t="s">
        <v>648</v>
      </c>
      <c r="S2341" s="1008" t="s">
        <v>657</v>
      </c>
      <c r="T2341" s="1008" t="s">
        <v>675</v>
      </c>
      <c r="U2341" s="1008" t="s">
        <v>653</v>
      </c>
      <c r="V2341" s="1008" t="s">
        <v>648</v>
      </c>
      <c r="W2341" s="1008" t="s">
        <v>546</v>
      </c>
      <c r="X2341" s="1008"/>
      <c r="Y2341" s="1008"/>
      <c r="Z2341" s="1008"/>
      <c r="AA2341" s="1008"/>
      <c r="AB2341" s="1008"/>
      <c r="AC2341" s="1008"/>
      <c r="AD2341" s="1008"/>
      <c r="AE2341" s="1008"/>
      <c r="AF2341" s="1008"/>
      <c r="AG2341" s="1008"/>
      <c r="AH2341" s="1008"/>
      <c r="AI2341" s="1008"/>
    </row>
    <row r="2342" spans="1:35">
      <c r="A2342" s="1008">
        <v>24812</v>
      </c>
      <c r="C2342" s="1008">
        <v>7</v>
      </c>
      <c r="D2342" s="1009">
        <v>41321999</v>
      </c>
      <c r="E2342" s="1009">
        <v>41321000</v>
      </c>
      <c r="F2342" s="1007" t="s">
        <v>2297</v>
      </c>
      <c r="O2342" s="1007" t="s">
        <v>648</v>
      </c>
      <c r="P2342" s="1007" t="s">
        <v>648</v>
      </c>
      <c r="S2342" s="1008" t="s">
        <v>657</v>
      </c>
      <c r="T2342" s="1008" t="s">
        <v>675</v>
      </c>
      <c r="U2342" s="1008" t="s">
        <v>653</v>
      </c>
      <c r="V2342" s="1008" t="s">
        <v>648</v>
      </c>
      <c r="W2342" s="1008" t="s">
        <v>546</v>
      </c>
      <c r="X2342" s="1008"/>
      <c r="Y2342" s="1008"/>
      <c r="Z2342" s="1008"/>
      <c r="AA2342" s="1008"/>
      <c r="AB2342" s="1008"/>
      <c r="AC2342" s="1008"/>
      <c r="AD2342" s="1008"/>
      <c r="AE2342" s="1008"/>
      <c r="AF2342" s="1008"/>
      <c r="AG2342" s="1008"/>
      <c r="AH2342" s="1008"/>
      <c r="AI2342" s="1008"/>
    </row>
    <row r="2343" spans="1:35">
      <c r="A2343" s="1008">
        <v>24813</v>
      </c>
      <c r="B2343" s="1008">
        <v>2042</v>
      </c>
      <c r="C2343" s="1008">
        <v>8</v>
      </c>
      <c r="D2343" s="1009">
        <v>41321999</v>
      </c>
      <c r="E2343" s="1009">
        <v>41321100</v>
      </c>
      <c r="F2343" s="1007" t="s">
        <v>2296</v>
      </c>
      <c r="G2343" s="1007">
        <v>8</v>
      </c>
      <c r="H2343" s="1010">
        <v>99999999</v>
      </c>
      <c r="I2343" s="1009">
        <v>41321100</v>
      </c>
      <c r="J2343" s="1007" t="s">
        <v>2296</v>
      </c>
      <c r="O2343" s="1007" t="s">
        <v>648</v>
      </c>
      <c r="P2343" s="1007" t="s">
        <v>648</v>
      </c>
      <c r="S2343" s="1008" t="s">
        <v>657</v>
      </c>
      <c r="T2343" s="1008" t="s">
        <v>654</v>
      </c>
      <c r="U2343" s="1008" t="s">
        <v>653</v>
      </c>
      <c r="V2343" s="1008" t="s">
        <v>648</v>
      </c>
      <c r="W2343" s="1008" t="s">
        <v>546</v>
      </c>
      <c r="X2343" s="1008" t="s">
        <v>670</v>
      </c>
      <c r="Y2343" s="1008" t="s">
        <v>670</v>
      </c>
      <c r="Z2343" s="1008" t="s">
        <v>670</v>
      </c>
      <c r="AA2343" s="1008" t="s">
        <v>670</v>
      </c>
      <c r="AB2343" s="1008" t="s">
        <v>670</v>
      </c>
      <c r="AC2343" s="1008" t="s">
        <v>670</v>
      </c>
      <c r="AD2343" s="1008" t="s">
        <v>670</v>
      </c>
      <c r="AE2343" s="1008"/>
      <c r="AF2343" s="1008" t="s">
        <v>670</v>
      </c>
      <c r="AG2343" s="1008"/>
      <c r="AH2343" s="1008"/>
      <c r="AI2343" s="1008"/>
    </row>
    <row r="2344" spans="1:35">
      <c r="A2344" s="1008">
        <v>24814</v>
      </c>
      <c r="B2344" s="1008">
        <v>5318</v>
      </c>
      <c r="C2344" s="1008">
        <v>8</v>
      </c>
      <c r="D2344" s="1009">
        <v>41321999</v>
      </c>
      <c r="E2344" s="1009">
        <v>41321200</v>
      </c>
      <c r="F2344" s="1007" t="s">
        <v>2295</v>
      </c>
      <c r="G2344" s="1007">
        <v>8</v>
      </c>
      <c r="H2344" s="1010">
        <v>99999999</v>
      </c>
      <c r="I2344" s="1009">
        <v>41321200</v>
      </c>
      <c r="J2344" s="1007" t="s">
        <v>2295</v>
      </c>
      <c r="O2344" s="1007" t="s">
        <v>648</v>
      </c>
      <c r="P2344" s="1007" t="s">
        <v>648</v>
      </c>
      <c r="S2344" s="1008" t="s">
        <v>657</v>
      </c>
      <c r="T2344" s="1008" t="s">
        <v>654</v>
      </c>
      <c r="U2344" s="1008" t="s">
        <v>653</v>
      </c>
      <c r="V2344" s="1008" t="s">
        <v>648</v>
      </c>
      <c r="W2344" s="1008" t="s">
        <v>546</v>
      </c>
      <c r="X2344" s="1008" t="s">
        <v>670</v>
      </c>
      <c r="Y2344" s="1008" t="s">
        <v>670</v>
      </c>
      <c r="Z2344" s="1008" t="s">
        <v>670</v>
      </c>
      <c r="AA2344" s="1008" t="s">
        <v>670</v>
      </c>
      <c r="AB2344" s="1008" t="s">
        <v>670</v>
      </c>
      <c r="AC2344" s="1008" t="s">
        <v>670</v>
      </c>
      <c r="AD2344" s="1008" t="s">
        <v>670</v>
      </c>
      <c r="AE2344" s="1008"/>
      <c r="AF2344" s="1008" t="s">
        <v>670</v>
      </c>
      <c r="AG2344" s="1008"/>
      <c r="AH2344" s="1008"/>
      <c r="AI2344" s="1008"/>
    </row>
    <row r="2345" spans="1:35">
      <c r="A2345" s="1008">
        <v>24815</v>
      </c>
      <c r="C2345" s="1008">
        <v>7</v>
      </c>
      <c r="D2345" s="1009">
        <v>41329999</v>
      </c>
      <c r="E2345" s="1009">
        <v>41321999</v>
      </c>
      <c r="F2345" s="1007" t="s">
        <v>2294</v>
      </c>
      <c r="O2345" s="1007" t="s">
        <v>648</v>
      </c>
      <c r="P2345" s="1007" t="s">
        <v>648</v>
      </c>
      <c r="S2345" s="1008" t="s">
        <v>657</v>
      </c>
      <c r="T2345" s="1008" t="s">
        <v>21</v>
      </c>
      <c r="U2345" s="1008" t="s">
        <v>653</v>
      </c>
      <c r="V2345" s="1008" t="s">
        <v>648</v>
      </c>
      <c r="W2345" s="1008" t="s">
        <v>546</v>
      </c>
      <c r="X2345" s="1008"/>
      <c r="Y2345" s="1008"/>
      <c r="Z2345" s="1008"/>
      <c r="AA2345" s="1008"/>
      <c r="AB2345" s="1008"/>
      <c r="AC2345" s="1008"/>
      <c r="AD2345" s="1008"/>
      <c r="AE2345" s="1008"/>
      <c r="AF2345" s="1008"/>
      <c r="AG2345" s="1008"/>
      <c r="AH2345" s="1008"/>
      <c r="AI2345" s="1008"/>
    </row>
    <row r="2346" spans="1:35">
      <c r="A2346" s="1008">
        <v>24816</v>
      </c>
      <c r="C2346" s="1008">
        <v>7</v>
      </c>
      <c r="D2346" s="1009">
        <v>41322999</v>
      </c>
      <c r="E2346" s="1009">
        <v>41322000</v>
      </c>
      <c r="F2346" s="1007" t="s">
        <v>2293</v>
      </c>
      <c r="O2346" s="1007" t="s">
        <v>648</v>
      </c>
      <c r="P2346" s="1007" t="s">
        <v>648</v>
      </c>
      <c r="S2346" s="1008" t="s">
        <v>657</v>
      </c>
      <c r="T2346" s="1008" t="s">
        <v>675</v>
      </c>
      <c r="U2346" s="1008" t="s">
        <v>653</v>
      </c>
      <c r="V2346" s="1008" t="s">
        <v>648</v>
      </c>
      <c r="W2346" s="1008" t="s">
        <v>546</v>
      </c>
      <c r="X2346" s="1008"/>
      <c r="Y2346" s="1008"/>
      <c r="Z2346" s="1008"/>
      <c r="AA2346" s="1008"/>
      <c r="AB2346" s="1008"/>
      <c r="AC2346" s="1008"/>
      <c r="AD2346" s="1008"/>
      <c r="AE2346" s="1008"/>
      <c r="AF2346" s="1008"/>
      <c r="AG2346" s="1008"/>
      <c r="AH2346" s="1008"/>
      <c r="AI2346" s="1008"/>
    </row>
    <row r="2347" spans="1:35">
      <c r="A2347" s="1008">
        <v>24817</v>
      </c>
      <c r="B2347" s="1008">
        <v>2044</v>
      </c>
      <c r="C2347" s="1008">
        <v>8</v>
      </c>
      <c r="D2347" s="1009">
        <v>41322999</v>
      </c>
      <c r="E2347" s="1009">
        <v>41322100</v>
      </c>
      <c r="F2347" s="1007" t="s">
        <v>2292</v>
      </c>
      <c r="G2347" s="1007">
        <v>8</v>
      </c>
      <c r="H2347" s="1010">
        <v>99999999</v>
      </c>
      <c r="I2347" s="1009">
        <v>41322100</v>
      </c>
      <c r="J2347" s="1007" t="s">
        <v>2292</v>
      </c>
      <c r="O2347" s="1007" t="s">
        <v>648</v>
      </c>
      <c r="P2347" s="1007" t="s">
        <v>648</v>
      </c>
      <c r="S2347" s="1008" t="s">
        <v>657</v>
      </c>
      <c r="T2347" s="1008" t="s">
        <v>654</v>
      </c>
      <c r="U2347" s="1008" t="s">
        <v>653</v>
      </c>
      <c r="V2347" s="1008" t="s">
        <v>648</v>
      </c>
      <c r="W2347" s="1008" t="s">
        <v>546</v>
      </c>
      <c r="X2347" s="1008" t="s">
        <v>670</v>
      </c>
      <c r="Y2347" s="1008" t="s">
        <v>670</v>
      </c>
      <c r="Z2347" s="1008" t="s">
        <v>670</v>
      </c>
      <c r="AA2347" s="1008" t="s">
        <v>670</v>
      </c>
      <c r="AB2347" s="1008" t="s">
        <v>670</v>
      </c>
      <c r="AC2347" s="1008" t="s">
        <v>670</v>
      </c>
      <c r="AD2347" s="1008" t="s">
        <v>670</v>
      </c>
      <c r="AE2347" s="1008"/>
      <c r="AF2347" s="1008" t="s">
        <v>670</v>
      </c>
      <c r="AG2347" s="1008"/>
      <c r="AH2347" s="1008"/>
      <c r="AI2347" s="1008"/>
    </row>
    <row r="2348" spans="1:35">
      <c r="A2348" s="1008">
        <v>24818</v>
      </c>
      <c r="B2348" s="1008">
        <v>5320</v>
      </c>
      <c r="C2348" s="1008">
        <v>8</v>
      </c>
      <c r="D2348" s="1009">
        <v>41322999</v>
      </c>
      <c r="E2348" s="1009">
        <v>41322200</v>
      </c>
      <c r="F2348" s="1007" t="s">
        <v>2291</v>
      </c>
      <c r="G2348" s="1007">
        <v>8</v>
      </c>
      <c r="H2348" s="1010">
        <v>99999999</v>
      </c>
      <c r="I2348" s="1009">
        <v>41322200</v>
      </c>
      <c r="J2348" s="1007" t="s">
        <v>2291</v>
      </c>
      <c r="O2348" s="1007" t="s">
        <v>648</v>
      </c>
      <c r="P2348" s="1007" t="s">
        <v>648</v>
      </c>
      <c r="S2348" s="1008" t="s">
        <v>657</v>
      </c>
      <c r="T2348" s="1008" t="s">
        <v>654</v>
      </c>
      <c r="U2348" s="1008" t="s">
        <v>653</v>
      </c>
      <c r="V2348" s="1008" t="s">
        <v>648</v>
      </c>
      <c r="W2348" s="1008" t="s">
        <v>546</v>
      </c>
      <c r="X2348" s="1008" t="s">
        <v>670</v>
      </c>
      <c r="Y2348" s="1008" t="s">
        <v>670</v>
      </c>
      <c r="Z2348" s="1008" t="s">
        <v>670</v>
      </c>
      <c r="AA2348" s="1008" t="s">
        <v>670</v>
      </c>
      <c r="AB2348" s="1008" t="s">
        <v>670</v>
      </c>
      <c r="AC2348" s="1008" t="s">
        <v>670</v>
      </c>
      <c r="AD2348" s="1008" t="s">
        <v>670</v>
      </c>
      <c r="AE2348" s="1008"/>
      <c r="AF2348" s="1008" t="s">
        <v>670</v>
      </c>
      <c r="AG2348" s="1008"/>
      <c r="AH2348" s="1008"/>
      <c r="AI2348" s="1008"/>
    </row>
    <row r="2349" spans="1:35">
      <c r="A2349" s="1008">
        <v>24819</v>
      </c>
      <c r="C2349" s="1008">
        <v>7</v>
      </c>
      <c r="D2349" s="1009">
        <v>41329999</v>
      </c>
      <c r="E2349" s="1009">
        <v>41322999</v>
      </c>
      <c r="F2349" s="1007" t="s">
        <v>2290</v>
      </c>
      <c r="O2349" s="1007" t="s">
        <v>648</v>
      </c>
      <c r="P2349" s="1007" t="s">
        <v>648</v>
      </c>
      <c r="S2349" s="1008" t="s">
        <v>657</v>
      </c>
      <c r="T2349" s="1008" t="s">
        <v>21</v>
      </c>
      <c r="U2349" s="1008" t="s">
        <v>653</v>
      </c>
      <c r="V2349" s="1008" t="s">
        <v>648</v>
      </c>
      <c r="W2349" s="1008" t="s">
        <v>546</v>
      </c>
      <c r="X2349" s="1008"/>
      <c r="Y2349" s="1008"/>
      <c r="Z2349" s="1008"/>
      <c r="AA2349" s="1008"/>
      <c r="AB2349" s="1008"/>
      <c r="AC2349" s="1008"/>
      <c r="AD2349" s="1008"/>
      <c r="AE2349" s="1008"/>
      <c r="AF2349" s="1008"/>
      <c r="AG2349" s="1008"/>
      <c r="AH2349" s="1008"/>
      <c r="AI2349" s="1008"/>
    </row>
    <row r="2350" spans="1:35">
      <c r="A2350" s="1008">
        <v>24820</v>
      </c>
      <c r="C2350" s="1008">
        <v>6</v>
      </c>
      <c r="D2350" s="1009">
        <v>41399999</v>
      </c>
      <c r="E2350" s="1009">
        <v>41329999</v>
      </c>
      <c r="F2350" s="1007" t="s">
        <v>2289</v>
      </c>
      <c r="O2350" s="1007" t="s">
        <v>648</v>
      </c>
      <c r="P2350" s="1007" t="s">
        <v>648</v>
      </c>
      <c r="S2350" s="1008" t="s">
        <v>657</v>
      </c>
      <c r="T2350" s="1008" t="s">
        <v>21</v>
      </c>
      <c r="U2350" s="1008" t="s">
        <v>653</v>
      </c>
      <c r="V2350" s="1008" t="s">
        <v>648</v>
      </c>
      <c r="W2350" s="1008" t="s">
        <v>546</v>
      </c>
      <c r="X2350" s="1008"/>
      <c r="Y2350" s="1008"/>
      <c r="Z2350" s="1008"/>
      <c r="AA2350" s="1008"/>
      <c r="AB2350" s="1008"/>
      <c r="AC2350" s="1008"/>
      <c r="AD2350" s="1008"/>
      <c r="AE2350" s="1008"/>
      <c r="AF2350" s="1008"/>
      <c r="AG2350" s="1008"/>
      <c r="AH2350" s="1008"/>
      <c r="AI2350" s="1008"/>
    </row>
    <row r="2351" spans="1:35">
      <c r="A2351" s="1008">
        <v>24821</v>
      </c>
      <c r="C2351" s="1008">
        <v>5</v>
      </c>
      <c r="D2351" s="1009">
        <v>41999999</v>
      </c>
      <c r="E2351" s="1009">
        <v>41399999</v>
      </c>
      <c r="F2351" s="1007" t="s">
        <v>2288</v>
      </c>
      <c r="O2351" s="1007" t="s">
        <v>648</v>
      </c>
      <c r="P2351" s="1007" t="s">
        <v>648</v>
      </c>
      <c r="S2351" s="1008" t="s">
        <v>657</v>
      </c>
      <c r="T2351" s="1008" t="s">
        <v>21</v>
      </c>
      <c r="U2351" s="1008" t="s">
        <v>653</v>
      </c>
      <c r="V2351" s="1008" t="s">
        <v>648</v>
      </c>
      <c r="W2351" s="1008" t="s">
        <v>546</v>
      </c>
      <c r="X2351" s="1008"/>
      <c r="Y2351" s="1008"/>
      <c r="Z2351" s="1008"/>
      <c r="AA2351" s="1008"/>
      <c r="AB2351" s="1008"/>
      <c r="AC2351" s="1008"/>
      <c r="AD2351" s="1008"/>
      <c r="AE2351" s="1008"/>
      <c r="AF2351" s="1008"/>
      <c r="AG2351" s="1008"/>
      <c r="AH2351" s="1008"/>
      <c r="AI2351" s="1008"/>
    </row>
    <row r="2352" spans="1:35">
      <c r="A2352" s="1008">
        <v>24822</v>
      </c>
      <c r="C2352" s="1008">
        <v>5</v>
      </c>
      <c r="D2352" s="1009">
        <v>41499999</v>
      </c>
      <c r="E2352" s="1009">
        <v>41400000</v>
      </c>
      <c r="F2352" s="1007" t="s">
        <v>2287</v>
      </c>
      <c r="O2352" s="1007" t="s">
        <v>648</v>
      </c>
      <c r="P2352" s="1007" t="s">
        <v>648</v>
      </c>
      <c r="S2352" s="1008" t="s">
        <v>657</v>
      </c>
      <c r="T2352" s="1008" t="s">
        <v>675</v>
      </c>
      <c r="U2352" s="1008" t="s">
        <v>653</v>
      </c>
      <c r="V2352" s="1008" t="s">
        <v>648</v>
      </c>
      <c r="W2352" s="1008" t="s">
        <v>546</v>
      </c>
      <c r="X2352" s="1008"/>
      <c r="Y2352" s="1008"/>
      <c r="Z2352" s="1008"/>
      <c r="AA2352" s="1008"/>
      <c r="AB2352" s="1008"/>
      <c r="AC2352" s="1008"/>
      <c r="AD2352" s="1008"/>
      <c r="AE2352" s="1008"/>
      <c r="AF2352" s="1008"/>
      <c r="AG2352" s="1008"/>
      <c r="AH2352" s="1008"/>
      <c r="AI2352" s="1008"/>
    </row>
    <row r="2353" spans="1:35">
      <c r="A2353" s="1008">
        <v>24823</v>
      </c>
      <c r="C2353" s="1008">
        <v>6</v>
      </c>
      <c r="D2353" s="1009">
        <v>41419999</v>
      </c>
      <c r="E2353" s="1009">
        <v>41410000</v>
      </c>
      <c r="F2353" s="1007" t="s">
        <v>2286</v>
      </c>
      <c r="O2353" s="1007" t="s">
        <v>648</v>
      </c>
      <c r="P2353" s="1007" t="s">
        <v>648</v>
      </c>
      <c r="S2353" s="1008" t="s">
        <v>657</v>
      </c>
      <c r="T2353" s="1008" t="s">
        <v>675</v>
      </c>
      <c r="U2353" s="1008" t="s">
        <v>653</v>
      </c>
      <c r="V2353" s="1008" t="s">
        <v>648</v>
      </c>
      <c r="W2353" s="1008" t="s">
        <v>546</v>
      </c>
      <c r="X2353" s="1008"/>
      <c r="Y2353" s="1008"/>
      <c r="Z2353" s="1008"/>
      <c r="AA2353" s="1008"/>
      <c r="AB2353" s="1008"/>
      <c r="AC2353" s="1008"/>
      <c r="AD2353" s="1008"/>
      <c r="AE2353" s="1008"/>
      <c r="AF2353" s="1008"/>
      <c r="AG2353" s="1008"/>
      <c r="AH2353" s="1008"/>
      <c r="AI2353" s="1008"/>
    </row>
    <row r="2354" spans="1:35">
      <c r="A2354" s="1008">
        <v>24824</v>
      </c>
      <c r="B2354" s="1008">
        <v>1234</v>
      </c>
      <c r="C2354" s="1008">
        <v>7</v>
      </c>
      <c r="D2354" s="1009">
        <v>41419999</v>
      </c>
      <c r="E2354" s="1009">
        <v>41411000</v>
      </c>
      <c r="F2354" s="1007" t="s">
        <v>2286</v>
      </c>
      <c r="G2354" s="1007">
        <v>8</v>
      </c>
      <c r="H2354" s="1010">
        <v>99999999</v>
      </c>
      <c r="I2354" s="1009">
        <v>41411000</v>
      </c>
      <c r="J2354" s="1007" t="s">
        <v>2286</v>
      </c>
      <c r="O2354" s="1007" t="s">
        <v>648</v>
      </c>
      <c r="P2354" s="1007" t="s">
        <v>648</v>
      </c>
      <c r="S2354" s="1008" t="s">
        <v>657</v>
      </c>
      <c r="T2354" s="1008" t="s">
        <v>654</v>
      </c>
      <c r="U2354" s="1008" t="s">
        <v>653</v>
      </c>
      <c r="V2354" s="1008" t="s">
        <v>648</v>
      </c>
      <c r="W2354" s="1008" t="s">
        <v>546</v>
      </c>
      <c r="X2354" s="1008" t="s">
        <v>670</v>
      </c>
      <c r="Y2354" s="1008"/>
      <c r="Z2354" s="1008"/>
      <c r="AA2354" s="1008"/>
      <c r="AB2354" s="1008"/>
      <c r="AC2354" s="1008"/>
      <c r="AD2354" s="1008" t="s">
        <v>670</v>
      </c>
      <c r="AE2354" s="1008"/>
      <c r="AF2354" s="1008"/>
      <c r="AG2354" s="1008"/>
      <c r="AH2354" s="1008"/>
      <c r="AI2354" s="1008"/>
    </row>
    <row r="2355" spans="1:35">
      <c r="A2355" s="1008">
        <v>24825</v>
      </c>
      <c r="B2355" s="1008">
        <v>2047</v>
      </c>
      <c r="C2355" s="1008">
        <v>7</v>
      </c>
      <c r="D2355" s="1009">
        <v>41419999</v>
      </c>
      <c r="E2355" s="1009">
        <v>41412000</v>
      </c>
      <c r="F2355" s="1007" t="s">
        <v>2285</v>
      </c>
      <c r="G2355" s="1007">
        <v>7</v>
      </c>
      <c r="H2355" s="1010">
        <v>99999999</v>
      </c>
      <c r="I2355" s="1009">
        <v>41412000</v>
      </c>
      <c r="J2355" s="1007" t="s">
        <v>2285</v>
      </c>
      <c r="O2355" s="1007" t="s">
        <v>648</v>
      </c>
      <c r="P2355" s="1007" t="s">
        <v>648</v>
      </c>
      <c r="S2355" s="1008" t="s">
        <v>657</v>
      </c>
      <c r="T2355" s="1008" t="s">
        <v>654</v>
      </c>
      <c r="U2355" s="1008" t="s">
        <v>653</v>
      </c>
      <c r="V2355" s="1008" t="s">
        <v>648</v>
      </c>
      <c r="W2355" s="1008" t="s">
        <v>546</v>
      </c>
      <c r="X2355" s="1008" t="s">
        <v>670</v>
      </c>
      <c r="Y2355" s="1008"/>
      <c r="Z2355" s="1008"/>
      <c r="AA2355" s="1008"/>
      <c r="AB2355" s="1008"/>
      <c r="AC2355" s="1008"/>
      <c r="AD2355" s="1008" t="s">
        <v>670</v>
      </c>
      <c r="AE2355" s="1008"/>
      <c r="AF2355" s="1008"/>
      <c r="AG2355" s="1008"/>
      <c r="AH2355" s="1008"/>
      <c r="AI2355" s="1008"/>
    </row>
    <row r="2356" spans="1:35">
      <c r="A2356" s="1008">
        <v>24826</v>
      </c>
      <c r="B2356" s="1008">
        <v>2048</v>
      </c>
      <c r="C2356" s="1008">
        <v>7</v>
      </c>
      <c r="D2356" s="1009">
        <v>41419999</v>
      </c>
      <c r="E2356" s="1009">
        <v>41413000</v>
      </c>
      <c r="F2356" s="1007" t="s">
        <v>2284</v>
      </c>
      <c r="G2356" s="1007">
        <v>7</v>
      </c>
      <c r="H2356" s="1010">
        <v>99999999</v>
      </c>
      <c r="I2356" s="1009">
        <v>41413000</v>
      </c>
      <c r="J2356" s="1007" t="s">
        <v>2284</v>
      </c>
      <c r="O2356" s="1007" t="s">
        <v>648</v>
      </c>
      <c r="P2356" s="1007" t="s">
        <v>648</v>
      </c>
      <c r="S2356" s="1008" t="s">
        <v>657</v>
      </c>
      <c r="T2356" s="1008" t="s">
        <v>654</v>
      </c>
      <c r="U2356" s="1008" t="s">
        <v>653</v>
      </c>
      <c r="V2356" s="1008" t="s">
        <v>648</v>
      </c>
      <c r="W2356" s="1008" t="s">
        <v>546</v>
      </c>
      <c r="X2356" s="1008" t="s">
        <v>670</v>
      </c>
      <c r="Y2356" s="1008"/>
      <c r="Z2356" s="1008"/>
      <c r="AA2356" s="1008"/>
      <c r="AB2356" s="1008"/>
      <c r="AC2356" s="1008"/>
      <c r="AD2356" s="1008" t="s">
        <v>670</v>
      </c>
      <c r="AE2356" s="1008"/>
      <c r="AF2356" s="1008"/>
      <c r="AG2356" s="1008"/>
      <c r="AH2356" s="1008"/>
      <c r="AI2356" s="1008"/>
    </row>
    <row r="2357" spans="1:35">
      <c r="A2357" s="1008">
        <v>24827</v>
      </c>
      <c r="B2357" s="1008">
        <v>5325</v>
      </c>
      <c r="C2357" s="1008">
        <v>7</v>
      </c>
      <c r="D2357" s="1009">
        <v>41419999</v>
      </c>
      <c r="E2357" s="1009">
        <v>41414000</v>
      </c>
      <c r="F2357" s="1007" t="s">
        <v>2283</v>
      </c>
      <c r="G2357" s="1007">
        <v>7</v>
      </c>
      <c r="H2357" s="1010">
        <v>99999999</v>
      </c>
      <c r="I2357" s="1009">
        <v>41414000</v>
      </c>
      <c r="J2357" s="1007" t="s">
        <v>2283</v>
      </c>
      <c r="O2357" s="1007" t="s">
        <v>648</v>
      </c>
      <c r="P2357" s="1007" t="s">
        <v>648</v>
      </c>
      <c r="S2357" s="1008" t="s">
        <v>657</v>
      </c>
      <c r="T2357" s="1008" t="s">
        <v>654</v>
      </c>
      <c r="U2357" s="1008" t="s">
        <v>653</v>
      </c>
      <c r="V2357" s="1008" t="s">
        <v>648</v>
      </c>
      <c r="W2357" s="1008" t="s">
        <v>546</v>
      </c>
      <c r="X2357" s="1008" t="s">
        <v>670</v>
      </c>
      <c r="Y2357" s="1008"/>
      <c r="Z2357" s="1008"/>
      <c r="AA2357" s="1008"/>
      <c r="AB2357" s="1008"/>
      <c r="AC2357" s="1008"/>
      <c r="AD2357" s="1008" t="s">
        <v>670</v>
      </c>
      <c r="AE2357" s="1008"/>
      <c r="AF2357" s="1008"/>
      <c r="AG2357" s="1008"/>
      <c r="AH2357" s="1008"/>
      <c r="AI2357" s="1008"/>
    </row>
    <row r="2358" spans="1:35">
      <c r="A2358" s="1008">
        <v>24828</v>
      </c>
      <c r="C2358" s="1008">
        <v>6</v>
      </c>
      <c r="D2358" s="1009">
        <v>41499999</v>
      </c>
      <c r="E2358" s="1009">
        <v>41419999</v>
      </c>
      <c r="F2358" s="1007" t="s">
        <v>2282</v>
      </c>
      <c r="O2358" s="1007" t="s">
        <v>648</v>
      </c>
      <c r="P2358" s="1007" t="s">
        <v>648</v>
      </c>
      <c r="S2358" s="1008" t="s">
        <v>657</v>
      </c>
      <c r="T2358" s="1008" t="s">
        <v>21</v>
      </c>
      <c r="U2358" s="1008" t="s">
        <v>653</v>
      </c>
      <c r="V2358" s="1008" t="s">
        <v>648</v>
      </c>
      <c r="W2358" s="1008" t="s">
        <v>546</v>
      </c>
      <c r="X2358" s="1008"/>
      <c r="Y2358" s="1008"/>
      <c r="Z2358" s="1008"/>
      <c r="AA2358" s="1008"/>
      <c r="AB2358" s="1008"/>
      <c r="AC2358" s="1008"/>
      <c r="AD2358" s="1008"/>
      <c r="AE2358" s="1008"/>
      <c r="AF2358" s="1008"/>
      <c r="AG2358" s="1008"/>
      <c r="AH2358" s="1008"/>
      <c r="AI2358" s="1008"/>
    </row>
    <row r="2359" spans="1:35">
      <c r="A2359" s="1008">
        <v>24829</v>
      </c>
      <c r="C2359" s="1008">
        <v>6</v>
      </c>
      <c r="D2359" s="1009">
        <v>41429999</v>
      </c>
      <c r="E2359" s="1009">
        <v>41420000</v>
      </c>
      <c r="F2359" s="1007" t="s">
        <v>2281</v>
      </c>
      <c r="O2359" s="1007" t="s">
        <v>648</v>
      </c>
      <c r="P2359" s="1007" t="s">
        <v>648</v>
      </c>
      <c r="S2359" s="1008" t="s">
        <v>657</v>
      </c>
      <c r="T2359" s="1008" t="s">
        <v>675</v>
      </c>
      <c r="U2359" s="1008" t="s">
        <v>653</v>
      </c>
      <c r="V2359" s="1008" t="s">
        <v>648</v>
      </c>
      <c r="W2359" s="1008" t="s">
        <v>546</v>
      </c>
      <c r="X2359" s="1008"/>
      <c r="Y2359" s="1008"/>
      <c r="Z2359" s="1008"/>
      <c r="AA2359" s="1008"/>
      <c r="AB2359" s="1008"/>
      <c r="AC2359" s="1008"/>
      <c r="AD2359" s="1008"/>
      <c r="AE2359" s="1008"/>
      <c r="AF2359" s="1008"/>
      <c r="AG2359" s="1008"/>
      <c r="AH2359" s="1008"/>
      <c r="AI2359" s="1008"/>
    </row>
    <row r="2360" spans="1:35">
      <c r="A2360" s="1008">
        <v>24830</v>
      </c>
      <c r="B2360" s="1008">
        <v>2050</v>
      </c>
      <c r="C2360" s="1008">
        <v>7</v>
      </c>
      <c r="D2360" s="1009">
        <v>41429999</v>
      </c>
      <c r="E2360" s="1009">
        <v>41421000</v>
      </c>
      <c r="F2360" s="1007" t="s">
        <v>2281</v>
      </c>
      <c r="G2360" s="1007">
        <v>7</v>
      </c>
      <c r="H2360" s="1010">
        <v>99999999</v>
      </c>
      <c r="I2360" s="1009">
        <v>41421000</v>
      </c>
      <c r="J2360" s="1007" t="s">
        <v>2281</v>
      </c>
      <c r="O2360" s="1007" t="s">
        <v>648</v>
      </c>
      <c r="P2360" s="1007" t="s">
        <v>648</v>
      </c>
      <c r="S2360" s="1008" t="s">
        <v>657</v>
      </c>
      <c r="T2360" s="1008" t="s">
        <v>654</v>
      </c>
      <c r="U2360" s="1008" t="s">
        <v>653</v>
      </c>
      <c r="V2360" s="1008" t="s">
        <v>648</v>
      </c>
      <c r="W2360" s="1008" t="s">
        <v>546</v>
      </c>
      <c r="X2360" s="1008" t="s">
        <v>670</v>
      </c>
      <c r="Y2360" s="1008"/>
      <c r="Z2360" s="1008"/>
      <c r="AA2360" s="1008"/>
      <c r="AB2360" s="1008"/>
      <c r="AC2360" s="1008"/>
      <c r="AD2360" s="1008" t="s">
        <v>670</v>
      </c>
      <c r="AE2360" s="1008"/>
      <c r="AF2360" s="1008"/>
      <c r="AG2360" s="1008"/>
      <c r="AH2360" s="1008"/>
      <c r="AI2360" s="1008"/>
    </row>
    <row r="2361" spans="1:35">
      <c r="A2361" s="1008">
        <v>24831</v>
      </c>
      <c r="B2361" s="1008">
        <v>2051</v>
      </c>
      <c r="C2361" s="1008">
        <v>7</v>
      </c>
      <c r="D2361" s="1009">
        <v>41429999</v>
      </c>
      <c r="E2361" s="1009">
        <v>41422000</v>
      </c>
      <c r="F2361" s="1007" t="s">
        <v>2280</v>
      </c>
      <c r="G2361" s="1007">
        <v>7</v>
      </c>
      <c r="H2361" s="1010">
        <v>99999999</v>
      </c>
      <c r="I2361" s="1009">
        <v>41422000</v>
      </c>
      <c r="J2361" s="1007" t="s">
        <v>2280</v>
      </c>
      <c r="O2361" s="1007" t="s">
        <v>648</v>
      </c>
      <c r="P2361" s="1007" t="s">
        <v>648</v>
      </c>
      <c r="S2361" s="1008" t="s">
        <v>657</v>
      </c>
      <c r="T2361" s="1008" t="s">
        <v>654</v>
      </c>
      <c r="U2361" s="1008" t="s">
        <v>653</v>
      </c>
      <c r="V2361" s="1008" t="s">
        <v>648</v>
      </c>
      <c r="W2361" s="1008" t="s">
        <v>546</v>
      </c>
      <c r="X2361" s="1008" t="s">
        <v>670</v>
      </c>
      <c r="Y2361" s="1008"/>
      <c r="Z2361" s="1008"/>
      <c r="AA2361" s="1008"/>
      <c r="AB2361" s="1008"/>
      <c r="AC2361" s="1008"/>
      <c r="AD2361" s="1008" t="s">
        <v>670</v>
      </c>
      <c r="AE2361" s="1008"/>
      <c r="AF2361" s="1008"/>
      <c r="AG2361" s="1008"/>
      <c r="AH2361" s="1008"/>
      <c r="AI2361" s="1008"/>
    </row>
    <row r="2362" spans="1:35">
      <c r="A2362" s="1008">
        <v>24832</v>
      </c>
      <c r="B2362" s="1008">
        <v>5327</v>
      </c>
      <c r="C2362" s="1008">
        <v>7</v>
      </c>
      <c r="D2362" s="1009">
        <v>41429999</v>
      </c>
      <c r="E2362" s="1009">
        <v>41423000</v>
      </c>
      <c r="F2362" s="1007" t="s">
        <v>2279</v>
      </c>
      <c r="G2362" s="1007">
        <v>7</v>
      </c>
      <c r="H2362" s="1010">
        <v>99999999</v>
      </c>
      <c r="I2362" s="1009">
        <v>41423000</v>
      </c>
      <c r="J2362" s="1007" t="s">
        <v>2279</v>
      </c>
      <c r="O2362" s="1007" t="s">
        <v>648</v>
      </c>
      <c r="P2362" s="1007" t="s">
        <v>648</v>
      </c>
      <c r="S2362" s="1008" t="s">
        <v>657</v>
      </c>
      <c r="T2362" s="1008" t="s">
        <v>654</v>
      </c>
      <c r="U2362" s="1008" t="s">
        <v>653</v>
      </c>
      <c r="V2362" s="1008" t="s">
        <v>648</v>
      </c>
      <c r="W2362" s="1008" t="s">
        <v>546</v>
      </c>
      <c r="X2362" s="1008" t="s">
        <v>670</v>
      </c>
      <c r="Y2362" s="1008"/>
      <c r="Z2362" s="1008"/>
      <c r="AA2362" s="1008"/>
      <c r="AB2362" s="1008"/>
      <c r="AC2362" s="1008"/>
      <c r="AD2362" s="1008" t="s">
        <v>670</v>
      </c>
      <c r="AE2362" s="1008"/>
      <c r="AF2362" s="1008"/>
      <c r="AG2362" s="1008"/>
      <c r="AH2362" s="1008"/>
      <c r="AI2362" s="1008"/>
    </row>
    <row r="2363" spans="1:35">
      <c r="A2363" s="1008">
        <v>24833</v>
      </c>
      <c r="C2363" s="1008">
        <v>6</v>
      </c>
      <c r="D2363" s="1009">
        <v>41499999</v>
      </c>
      <c r="E2363" s="1009">
        <v>41429999</v>
      </c>
      <c r="F2363" s="1007" t="s">
        <v>2278</v>
      </c>
      <c r="O2363" s="1007" t="s">
        <v>648</v>
      </c>
      <c r="P2363" s="1007" t="s">
        <v>648</v>
      </c>
      <c r="S2363" s="1008" t="s">
        <v>657</v>
      </c>
      <c r="T2363" s="1008" t="s">
        <v>21</v>
      </c>
      <c r="U2363" s="1008" t="s">
        <v>653</v>
      </c>
      <c r="V2363" s="1008" t="s">
        <v>648</v>
      </c>
      <c r="W2363" s="1008" t="s">
        <v>546</v>
      </c>
      <c r="X2363" s="1008"/>
      <c r="Y2363" s="1008"/>
      <c r="Z2363" s="1008"/>
      <c r="AA2363" s="1008"/>
      <c r="AB2363" s="1008"/>
      <c r="AC2363" s="1008"/>
      <c r="AD2363" s="1008"/>
      <c r="AE2363" s="1008"/>
      <c r="AF2363" s="1008"/>
      <c r="AG2363" s="1008"/>
      <c r="AH2363" s="1008"/>
      <c r="AI2363" s="1008"/>
    </row>
    <row r="2364" spans="1:35">
      <c r="A2364" s="1008">
        <v>24834</v>
      </c>
      <c r="C2364" s="1008">
        <v>6</v>
      </c>
      <c r="D2364" s="1009">
        <v>41439999</v>
      </c>
      <c r="E2364" s="1009">
        <v>41430000</v>
      </c>
      <c r="F2364" s="1007" t="s">
        <v>2277</v>
      </c>
      <c r="O2364" s="1007" t="s">
        <v>648</v>
      </c>
      <c r="P2364" s="1007" t="s">
        <v>648</v>
      </c>
      <c r="S2364" s="1008" t="s">
        <v>657</v>
      </c>
      <c r="T2364" s="1008" t="s">
        <v>675</v>
      </c>
      <c r="U2364" s="1008" t="s">
        <v>653</v>
      </c>
      <c r="V2364" s="1008" t="s">
        <v>648</v>
      </c>
      <c r="W2364" s="1008" t="s">
        <v>546</v>
      </c>
      <c r="X2364" s="1008"/>
      <c r="Y2364" s="1008"/>
      <c r="Z2364" s="1008"/>
      <c r="AA2364" s="1008"/>
      <c r="AB2364" s="1008"/>
      <c r="AC2364" s="1008"/>
      <c r="AD2364" s="1008"/>
      <c r="AE2364" s="1008"/>
      <c r="AF2364" s="1008"/>
      <c r="AG2364" s="1008"/>
      <c r="AH2364" s="1008"/>
      <c r="AI2364" s="1008"/>
    </row>
    <row r="2365" spans="1:35">
      <c r="A2365" s="1008">
        <v>24835</v>
      </c>
      <c r="B2365" s="1008">
        <v>2053</v>
      </c>
      <c r="C2365" s="1008">
        <v>7</v>
      </c>
      <c r="D2365" s="1009">
        <v>41439999</v>
      </c>
      <c r="E2365" s="1009">
        <v>41431000</v>
      </c>
      <c r="F2365" s="1007" t="s">
        <v>2277</v>
      </c>
      <c r="G2365" s="1007">
        <v>7</v>
      </c>
      <c r="H2365" s="1010">
        <v>99999999</v>
      </c>
      <c r="I2365" s="1009">
        <v>41431000</v>
      </c>
      <c r="J2365" s="1007" t="s">
        <v>2277</v>
      </c>
      <c r="O2365" s="1007" t="s">
        <v>648</v>
      </c>
      <c r="P2365" s="1007" t="s">
        <v>648</v>
      </c>
      <c r="S2365" s="1008" t="s">
        <v>657</v>
      </c>
      <c r="T2365" s="1008" t="s">
        <v>654</v>
      </c>
      <c r="U2365" s="1008" t="s">
        <v>653</v>
      </c>
      <c r="V2365" s="1008" t="s">
        <v>648</v>
      </c>
      <c r="W2365" s="1008" t="s">
        <v>546</v>
      </c>
      <c r="X2365" s="1008" t="s">
        <v>670</v>
      </c>
      <c r="Y2365" s="1008"/>
      <c r="Z2365" s="1008"/>
      <c r="AA2365" s="1008"/>
      <c r="AB2365" s="1008"/>
      <c r="AC2365" s="1008"/>
      <c r="AD2365" s="1008" t="s">
        <v>670</v>
      </c>
      <c r="AE2365" s="1008"/>
      <c r="AF2365" s="1008"/>
      <c r="AG2365" s="1008"/>
      <c r="AH2365" s="1008"/>
      <c r="AI2365" s="1008"/>
    </row>
    <row r="2366" spans="1:35">
      <c r="A2366" s="1008">
        <v>24836</v>
      </c>
      <c r="B2366" s="1008">
        <v>2054</v>
      </c>
      <c r="C2366" s="1008">
        <v>7</v>
      </c>
      <c r="D2366" s="1009">
        <v>41439999</v>
      </c>
      <c r="E2366" s="1009">
        <v>41432000</v>
      </c>
      <c r="F2366" s="1007" t="s">
        <v>2276</v>
      </c>
      <c r="G2366" s="1007">
        <v>7</v>
      </c>
      <c r="H2366" s="1010">
        <v>99999999</v>
      </c>
      <c r="I2366" s="1009">
        <v>41432000</v>
      </c>
      <c r="J2366" s="1007" t="s">
        <v>2276</v>
      </c>
      <c r="O2366" s="1007" t="s">
        <v>648</v>
      </c>
      <c r="P2366" s="1007" t="s">
        <v>648</v>
      </c>
      <c r="S2366" s="1008" t="s">
        <v>657</v>
      </c>
      <c r="T2366" s="1008" t="s">
        <v>654</v>
      </c>
      <c r="U2366" s="1008" t="s">
        <v>653</v>
      </c>
      <c r="V2366" s="1008" t="s">
        <v>648</v>
      </c>
      <c r="W2366" s="1008" t="s">
        <v>546</v>
      </c>
      <c r="X2366" s="1008" t="s">
        <v>670</v>
      </c>
      <c r="Y2366" s="1008"/>
      <c r="Z2366" s="1008"/>
      <c r="AA2366" s="1008"/>
      <c r="AB2366" s="1008"/>
      <c r="AC2366" s="1008"/>
      <c r="AD2366" s="1008" t="s">
        <v>670</v>
      </c>
      <c r="AE2366" s="1008"/>
      <c r="AF2366" s="1008"/>
      <c r="AG2366" s="1008"/>
      <c r="AH2366" s="1008"/>
      <c r="AI2366" s="1008"/>
    </row>
    <row r="2367" spans="1:35">
      <c r="A2367" s="1008">
        <v>24837</v>
      </c>
      <c r="B2367" s="1008">
        <v>2055</v>
      </c>
      <c r="C2367" s="1008">
        <v>7</v>
      </c>
      <c r="D2367" s="1009">
        <v>41439999</v>
      </c>
      <c r="E2367" s="1009">
        <v>41433000</v>
      </c>
      <c r="F2367" s="1007" t="s">
        <v>2275</v>
      </c>
      <c r="G2367" s="1007">
        <v>7</v>
      </c>
      <c r="H2367" s="1010">
        <v>99999999</v>
      </c>
      <c r="I2367" s="1009">
        <v>41433000</v>
      </c>
      <c r="J2367" s="1007" t="s">
        <v>2275</v>
      </c>
      <c r="O2367" s="1007" t="s">
        <v>648</v>
      </c>
      <c r="P2367" s="1007" t="s">
        <v>648</v>
      </c>
      <c r="S2367" s="1008" t="s">
        <v>657</v>
      </c>
      <c r="T2367" s="1008" t="s">
        <v>654</v>
      </c>
      <c r="U2367" s="1008" t="s">
        <v>653</v>
      </c>
      <c r="V2367" s="1008" t="s">
        <v>648</v>
      </c>
      <c r="W2367" s="1008" t="s">
        <v>546</v>
      </c>
      <c r="X2367" s="1008" t="s">
        <v>670</v>
      </c>
      <c r="Y2367" s="1008"/>
      <c r="Z2367" s="1008"/>
      <c r="AA2367" s="1008"/>
      <c r="AB2367" s="1008"/>
      <c r="AC2367" s="1008"/>
      <c r="AD2367" s="1008" t="s">
        <v>670</v>
      </c>
      <c r="AE2367" s="1008"/>
      <c r="AF2367" s="1008"/>
      <c r="AG2367" s="1008"/>
      <c r="AH2367" s="1008"/>
      <c r="AI2367" s="1008"/>
    </row>
    <row r="2368" spans="1:35">
      <c r="A2368" s="1008">
        <v>24838</v>
      </c>
      <c r="B2368" s="1008">
        <v>5329</v>
      </c>
      <c r="C2368" s="1008">
        <v>7</v>
      </c>
      <c r="D2368" s="1009">
        <v>41439999</v>
      </c>
      <c r="E2368" s="1009">
        <v>41434000</v>
      </c>
      <c r="F2368" s="1007" t="s">
        <v>2274</v>
      </c>
      <c r="G2368" s="1007">
        <v>7</v>
      </c>
      <c r="H2368" s="1010">
        <v>99999999</v>
      </c>
      <c r="I2368" s="1009">
        <v>41434000</v>
      </c>
      <c r="J2368" s="1007" t="s">
        <v>2274</v>
      </c>
      <c r="O2368" s="1007" t="s">
        <v>648</v>
      </c>
      <c r="P2368" s="1007" t="s">
        <v>648</v>
      </c>
      <c r="S2368" s="1008" t="s">
        <v>657</v>
      </c>
      <c r="T2368" s="1008" t="s">
        <v>654</v>
      </c>
      <c r="U2368" s="1008" t="s">
        <v>653</v>
      </c>
      <c r="V2368" s="1008" t="s">
        <v>648</v>
      </c>
      <c r="W2368" s="1008" t="s">
        <v>546</v>
      </c>
      <c r="X2368" s="1008" t="s">
        <v>670</v>
      </c>
      <c r="Y2368" s="1008"/>
      <c r="Z2368" s="1008"/>
      <c r="AA2368" s="1008"/>
      <c r="AB2368" s="1008"/>
      <c r="AC2368" s="1008"/>
      <c r="AD2368" s="1008" t="s">
        <v>670</v>
      </c>
      <c r="AE2368" s="1008"/>
      <c r="AF2368" s="1008"/>
      <c r="AG2368" s="1008"/>
      <c r="AH2368" s="1008"/>
      <c r="AI2368" s="1008"/>
    </row>
    <row r="2369" spans="1:35">
      <c r="A2369" s="1008">
        <v>24839</v>
      </c>
      <c r="C2369" s="1008">
        <v>6</v>
      </c>
      <c r="D2369" s="1009">
        <v>41499999</v>
      </c>
      <c r="E2369" s="1009">
        <v>41439999</v>
      </c>
      <c r="F2369" s="1007" t="s">
        <v>2273</v>
      </c>
      <c r="O2369" s="1007" t="s">
        <v>648</v>
      </c>
      <c r="P2369" s="1007" t="s">
        <v>648</v>
      </c>
      <c r="S2369" s="1008" t="s">
        <v>657</v>
      </c>
      <c r="T2369" s="1008" t="s">
        <v>21</v>
      </c>
      <c r="U2369" s="1008" t="s">
        <v>653</v>
      </c>
      <c r="V2369" s="1008" t="s">
        <v>648</v>
      </c>
      <c r="W2369" s="1008" t="s">
        <v>546</v>
      </c>
      <c r="X2369" s="1008"/>
      <c r="Y2369" s="1008"/>
      <c r="Z2369" s="1008"/>
      <c r="AA2369" s="1008"/>
      <c r="AB2369" s="1008"/>
      <c r="AC2369" s="1008"/>
      <c r="AD2369" s="1008"/>
      <c r="AE2369" s="1008"/>
      <c r="AF2369" s="1008"/>
      <c r="AG2369" s="1008"/>
      <c r="AH2369" s="1008"/>
      <c r="AI2369" s="1008"/>
    </row>
    <row r="2370" spans="1:35">
      <c r="A2370" s="1008">
        <v>24840</v>
      </c>
      <c r="C2370" s="1008">
        <v>6</v>
      </c>
      <c r="D2370" s="1009">
        <v>41449999</v>
      </c>
      <c r="E2370" s="1009">
        <v>41440000</v>
      </c>
      <c r="F2370" s="1007" t="s">
        <v>2272</v>
      </c>
      <c r="O2370" s="1007" t="s">
        <v>648</v>
      </c>
      <c r="P2370" s="1007" t="s">
        <v>648</v>
      </c>
      <c r="S2370" s="1008" t="s">
        <v>657</v>
      </c>
      <c r="T2370" s="1008" t="s">
        <v>675</v>
      </c>
      <c r="U2370" s="1008" t="s">
        <v>653</v>
      </c>
      <c r="V2370" s="1008" t="s">
        <v>648</v>
      </c>
      <c r="W2370" s="1008" t="s">
        <v>546</v>
      </c>
      <c r="X2370" s="1008"/>
      <c r="Y2370" s="1008"/>
      <c r="Z2370" s="1008"/>
      <c r="AA2370" s="1008"/>
      <c r="AB2370" s="1008"/>
      <c r="AC2370" s="1008"/>
      <c r="AD2370" s="1008"/>
      <c r="AE2370" s="1008"/>
      <c r="AF2370" s="1008"/>
      <c r="AG2370" s="1008"/>
      <c r="AH2370" s="1008"/>
      <c r="AI2370" s="1008"/>
    </row>
    <row r="2371" spans="1:35">
      <c r="A2371" s="1008">
        <v>24841</v>
      </c>
      <c r="B2371" s="1008">
        <v>2057</v>
      </c>
      <c r="C2371" s="1008">
        <v>7</v>
      </c>
      <c r="D2371" s="1009">
        <v>41449999</v>
      </c>
      <c r="E2371" s="1009">
        <v>41441000</v>
      </c>
      <c r="F2371" s="1007" t="s">
        <v>2272</v>
      </c>
      <c r="G2371" s="1007">
        <v>7</v>
      </c>
      <c r="H2371" s="1010">
        <v>99999999</v>
      </c>
      <c r="I2371" s="1009">
        <v>41441000</v>
      </c>
      <c r="J2371" s="1007" t="s">
        <v>2272</v>
      </c>
      <c r="O2371" s="1007" t="s">
        <v>648</v>
      </c>
      <c r="P2371" s="1007" t="s">
        <v>648</v>
      </c>
      <c r="S2371" s="1008" t="s">
        <v>657</v>
      </c>
      <c r="T2371" s="1008" t="s">
        <v>654</v>
      </c>
      <c r="U2371" s="1008" t="s">
        <v>653</v>
      </c>
      <c r="V2371" s="1008" t="s">
        <v>648</v>
      </c>
      <c r="W2371" s="1008" t="s">
        <v>546</v>
      </c>
      <c r="X2371" s="1008" t="s">
        <v>670</v>
      </c>
      <c r="Y2371" s="1008"/>
      <c r="Z2371" s="1008"/>
      <c r="AA2371" s="1008"/>
      <c r="AB2371" s="1008"/>
      <c r="AC2371" s="1008"/>
      <c r="AD2371" s="1008" t="s">
        <v>670</v>
      </c>
      <c r="AE2371" s="1008"/>
      <c r="AF2371" s="1008"/>
      <c r="AG2371" s="1008"/>
      <c r="AH2371" s="1008"/>
      <c r="AI2371" s="1008"/>
    </row>
    <row r="2372" spans="1:35">
      <c r="A2372" s="1008">
        <v>24842</v>
      </c>
      <c r="B2372" s="1008">
        <v>2058</v>
      </c>
      <c r="C2372" s="1008">
        <v>7</v>
      </c>
      <c r="D2372" s="1009">
        <v>41449999</v>
      </c>
      <c r="E2372" s="1009">
        <v>41442000</v>
      </c>
      <c r="F2372" s="1007" t="s">
        <v>2271</v>
      </c>
      <c r="G2372" s="1007">
        <v>7</v>
      </c>
      <c r="H2372" s="1010">
        <v>99999999</v>
      </c>
      <c r="I2372" s="1009">
        <v>41442000</v>
      </c>
      <c r="J2372" s="1007" t="s">
        <v>2271</v>
      </c>
      <c r="O2372" s="1007" t="s">
        <v>648</v>
      </c>
      <c r="P2372" s="1007" t="s">
        <v>648</v>
      </c>
      <c r="S2372" s="1008" t="s">
        <v>657</v>
      </c>
      <c r="T2372" s="1008" t="s">
        <v>654</v>
      </c>
      <c r="U2372" s="1008" t="s">
        <v>653</v>
      </c>
      <c r="V2372" s="1008" t="s">
        <v>648</v>
      </c>
      <c r="W2372" s="1008" t="s">
        <v>546</v>
      </c>
      <c r="X2372" s="1008" t="s">
        <v>670</v>
      </c>
      <c r="Y2372" s="1008"/>
      <c r="Z2372" s="1008"/>
      <c r="AA2372" s="1008"/>
      <c r="AB2372" s="1008"/>
      <c r="AC2372" s="1008"/>
      <c r="AD2372" s="1008" t="s">
        <v>670</v>
      </c>
      <c r="AE2372" s="1008"/>
      <c r="AF2372" s="1008"/>
      <c r="AG2372" s="1008"/>
      <c r="AH2372" s="1008"/>
      <c r="AI2372" s="1008"/>
    </row>
    <row r="2373" spans="1:35">
      <c r="A2373" s="1008">
        <v>24843</v>
      </c>
      <c r="B2373" s="1008">
        <v>5331</v>
      </c>
      <c r="C2373" s="1008">
        <v>7</v>
      </c>
      <c r="D2373" s="1009">
        <v>41449999</v>
      </c>
      <c r="E2373" s="1009">
        <v>41443000</v>
      </c>
      <c r="F2373" s="1007" t="s">
        <v>2270</v>
      </c>
      <c r="G2373" s="1007">
        <v>7</v>
      </c>
      <c r="H2373" s="1010">
        <v>99999999</v>
      </c>
      <c r="I2373" s="1009">
        <v>41443000</v>
      </c>
      <c r="J2373" s="1007" t="s">
        <v>2270</v>
      </c>
      <c r="O2373" s="1007" t="s">
        <v>648</v>
      </c>
      <c r="P2373" s="1007" t="s">
        <v>648</v>
      </c>
      <c r="S2373" s="1008" t="s">
        <v>657</v>
      </c>
      <c r="T2373" s="1008" t="s">
        <v>654</v>
      </c>
      <c r="U2373" s="1008" t="s">
        <v>653</v>
      </c>
      <c r="V2373" s="1008" t="s">
        <v>648</v>
      </c>
      <c r="W2373" s="1008" t="s">
        <v>546</v>
      </c>
      <c r="X2373" s="1008" t="s">
        <v>670</v>
      </c>
      <c r="Y2373" s="1008"/>
      <c r="Z2373" s="1008"/>
      <c r="AA2373" s="1008"/>
      <c r="AB2373" s="1008"/>
      <c r="AC2373" s="1008"/>
      <c r="AD2373" s="1008" t="s">
        <v>670</v>
      </c>
      <c r="AE2373" s="1008"/>
      <c r="AF2373" s="1008"/>
      <c r="AG2373" s="1008"/>
      <c r="AH2373" s="1008"/>
      <c r="AI2373" s="1008"/>
    </row>
    <row r="2374" spans="1:35">
      <c r="A2374" s="1008">
        <v>24844</v>
      </c>
      <c r="C2374" s="1008">
        <v>6</v>
      </c>
      <c r="D2374" s="1009">
        <v>41499999</v>
      </c>
      <c r="E2374" s="1009">
        <v>41449999</v>
      </c>
      <c r="F2374" s="1007" t="s">
        <v>2269</v>
      </c>
      <c r="O2374" s="1007" t="s">
        <v>648</v>
      </c>
      <c r="P2374" s="1007" t="s">
        <v>648</v>
      </c>
      <c r="S2374" s="1008" t="s">
        <v>657</v>
      </c>
      <c r="T2374" s="1008" t="s">
        <v>21</v>
      </c>
      <c r="U2374" s="1008" t="s">
        <v>653</v>
      </c>
      <c r="V2374" s="1008" t="s">
        <v>648</v>
      </c>
      <c r="W2374" s="1008" t="s">
        <v>546</v>
      </c>
      <c r="X2374" s="1008"/>
      <c r="Y2374" s="1008"/>
      <c r="Z2374" s="1008"/>
      <c r="AA2374" s="1008"/>
      <c r="AB2374" s="1008"/>
      <c r="AC2374" s="1008"/>
      <c r="AD2374" s="1008"/>
      <c r="AE2374" s="1008"/>
      <c r="AF2374" s="1008"/>
      <c r="AG2374" s="1008"/>
      <c r="AH2374" s="1008"/>
      <c r="AI2374" s="1008"/>
    </row>
    <row r="2375" spans="1:35">
      <c r="A2375" s="1008">
        <v>24845</v>
      </c>
      <c r="C2375" s="1008">
        <v>6</v>
      </c>
      <c r="D2375" s="1009">
        <v>41459999</v>
      </c>
      <c r="E2375" s="1009">
        <v>41450000</v>
      </c>
      <c r="F2375" s="1007" t="s">
        <v>2268</v>
      </c>
      <c r="O2375" s="1007" t="s">
        <v>648</v>
      </c>
      <c r="P2375" s="1007" t="s">
        <v>648</v>
      </c>
      <c r="S2375" s="1008" t="s">
        <v>657</v>
      </c>
      <c r="T2375" s="1008" t="s">
        <v>675</v>
      </c>
      <c r="U2375" s="1008" t="s">
        <v>653</v>
      </c>
      <c r="V2375" s="1008" t="s">
        <v>648</v>
      </c>
      <c r="W2375" s="1008" t="s">
        <v>546</v>
      </c>
      <c r="X2375" s="1008"/>
      <c r="Y2375" s="1008"/>
      <c r="Z2375" s="1008"/>
      <c r="AA2375" s="1008"/>
      <c r="AB2375" s="1008"/>
      <c r="AC2375" s="1008"/>
      <c r="AD2375" s="1008"/>
      <c r="AE2375" s="1008"/>
      <c r="AF2375" s="1008"/>
      <c r="AG2375" s="1008"/>
      <c r="AH2375" s="1008"/>
      <c r="AI2375" s="1008"/>
    </row>
    <row r="2376" spans="1:35">
      <c r="A2376" s="1008">
        <v>24846</v>
      </c>
      <c r="B2376" s="1008">
        <v>5333</v>
      </c>
      <c r="C2376" s="1008">
        <v>7</v>
      </c>
      <c r="D2376" s="1009">
        <v>41459999</v>
      </c>
      <c r="E2376" s="1009">
        <v>41451000</v>
      </c>
      <c r="F2376" s="1007" t="s">
        <v>2268</v>
      </c>
      <c r="G2376" s="1007">
        <v>7</v>
      </c>
      <c r="H2376" s="1010">
        <v>99999999</v>
      </c>
      <c r="I2376" s="1009">
        <v>41451000</v>
      </c>
      <c r="J2376" s="1007" t="s">
        <v>2268</v>
      </c>
      <c r="O2376" s="1007" t="s">
        <v>648</v>
      </c>
      <c r="P2376" s="1007" t="s">
        <v>648</v>
      </c>
      <c r="S2376" s="1008" t="s">
        <v>657</v>
      </c>
      <c r="T2376" s="1008" t="s">
        <v>654</v>
      </c>
      <c r="U2376" s="1008" t="s">
        <v>653</v>
      </c>
      <c r="V2376" s="1008" t="s">
        <v>648</v>
      </c>
      <c r="W2376" s="1008" t="s">
        <v>546</v>
      </c>
      <c r="X2376" s="1008" t="s">
        <v>670</v>
      </c>
      <c r="Y2376" s="1008"/>
      <c r="Z2376" s="1008"/>
      <c r="AA2376" s="1008"/>
      <c r="AB2376" s="1008"/>
      <c r="AC2376" s="1008"/>
      <c r="AD2376" s="1008" t="s">
        <v>670</v>
      </c>
      <c r="AE2376" s="1008"/>
      <c r="AF2376" s="1008"/>
      <c r="AG2376" s="1008"/>
      <c r="AH2376" s="1008"/>
      <c r="AI2376" s="1008"/>
    </row>
    <row r="2377" spans="1:35">
      <c r="A2377" s="1008">
        <v>24847</v>
      </c>
      <c r="C2377" s="1008">
        <v>6</v>
      </c>
      <c r="D2377" s="1009">
        <v>41499999</v>
      </c>
      <c r="E2377" s="1009">
        <v>41459999</v>
      </c>
      <c r="F2377" s="1007" t="s">
        <v>2267</v>
      </c>
      <c r="O2377" s="1007" t="s">
        <v>648</v>
      </c>
      <c r="P2377" s="1007" t="s">
        <v>648</v>
      </c>
      <c r="S2377" s="1008" t="s">
        <v>657</v>
      </c>
      <c r="T2377" s="1008" t="s">
        <v>21</v>
      </c>
      <c r="U2377" s="1008" t="s">
        <v>653</v>
      </c>
      <c r="V2377" s="1008" t="s">
        <v>648</v>
      </c>
      <c r="W2377" s="1008" t="s">
        <v>546</v>
      </c>
      <c r="X2377" s="1008"/>
      <c r="Y2377" s="1008"/>
      <c r="Z2377" s="1008"/>
      <c r="AA2377" s="1008"/>
      <c r="AB2377" s="1008"/>
      <c r="AC2377" s="1008"/>
      <c r="AD2377" s="1008"/>
      <c r="AE2377" s="1008"/>
      <c r="AF2377" s="1008"/>
      <c r="AG2377" s="1008"/>
      <c r="AH2377" s="1008"/>
      <c r="AI2377" s="1008"/>
    </row>
    <row r="2378" spans="1:35">
      <c r="A2378" s="1008">
        <v>24848</v>
      </c>
      <c r="C2378" s="1008">
        <v>6</v>
      </c>
      <c r="D2378" s="1009">
        <v>41469999</v>
      </c>
      <c r="E2378" s="1009">
        <v>41460000</v>
      </c>
      <c r="F2378" s="1007" t="s">
        <v>2266</v>
      </c>
      <c r="O2378" s="1007" t="s">
        <v>648</v>
      </c>
      <c r="P2378" s="1007" t="s">
        <v>648</v>
      </c>
      <c r="S2378" s="1008" t="s">
        <v>657</v>
      </c>
      <c r="T2378" s="1008" t="s">
        <v>675</v>
      </c>
      <c r="U2378" s="1008" t="s">
        <v>653</v>
      </c>
      <c r="V2378" s="1008" t="s">
        <v>648</v>
      </c>
      <c r="W2378" s="1008" t="s">
        <v>546</v>
      </c>
      <c r="X2378" s="1008"/>
      <c r="Y2378" s="1008"/>
      <c r="Z2378" s="1008"/>
      <c r="AA2378" s="1008"/>
      <c r="AB2378" s="1008"/>
      <c r="AC2378" s="1008"/>
      <c r="AD2378" s="1008"/>
      <c r="AE2378" s="1008"/>
      <c r="AF2378" s="1008"/>
      <c r="AG2378" s="1008"/>
      <c r="AH2378" s="1008"/>
      <c r="AI2378" s="1008"/>
    </row>
    <row r="2379" spans="1:35">
      <c r="A2379" s="1008">
        <v>24849</v>
      </c>
      <c r="B2379" s="1008">
        <v>5335</v>
      </c>
      <c r="C2379" s="1008">
        <v>7</v>
      </c>
      <c r="D2379" s="1009">
        <v>41469999</v>
      </c>
      <c r="E2379" s="1009">
        <v>41461000</v>
      </c>
      <c r="F2379" s="1007" t="s">
        <v>2265</v>
      </c>
      <c r="G2379" s="1007">
        <v>7</v>
      </c>
      <c r="H2379" s="1010">
        <v>99999999</v>
      </c>
      <c r="I2379" s="1009">
        <v>41461000</v>
      </c>
      <c r="J2379" s="1007" t="s">
        <v>2265</v>
      </c>
      <c r="O2379" s="1007" t="s">
        <v>648</v>
      </c>
      <c r="P2379" s="1007" t="s">
        <v>648</v>
      </c>
      <c r="S2379" s="1008" t="s">
        <v>657</v>
      </c>
      <c r="T2379" s="1008" t="s">
        <v>654</v>
      </c>
      <c r="U2379" s="1008" t="s">
        <v>653</v>
      </c>
      <c r="V2379" s="1008" t="s">
        <v>648</v>
      </c>
      <c r="W2379" s="1008" t="s">
        <v>546</v>
      </c>
      <c r="X2379" s="1008" t="s">
        <v>670</v>
      </c>
      <c r="Y2379" s="1008"/>
      <c r="Z2379" s="1008"/>
      <c r="AA2379" s="1008"/>
      <c r="AB2379" s="1008"/>
      <c r="AC2379" s="1008"/>
      <c r="AD2379" s="1008" t="s">
        <v>670</v>
      </c>
      <c r="AE2379" s="1008"/>
      <c r="AF2379" s="1008"/>
      <c r="AG2379" s="1008"/>
      <c r="AH2379" s="1008"/>
      <c r="AI2379" s="1008"/>
    </row>
    <row r="2380" spans="1:35">
      <c r="A2380" s="1008">
        <v>24850</v>
      </c>
      <c r="C2380" s="1008">
        <v>6</v>
      </c>
      <c r="D2380" s="1009">
        <v>41499999</v>
      </c>
      <c r="E2380" s="1009">
        <v>41469999</v>
      </c>
      <c r="F2380" s="1007" t="s">
        <v>2264</v>
      </c>
      <c r="O2380" s="1007" t="s">
        <v>648</v>
      </c>
      <c r="P2380" s="1007" t="s">
        <v>648</v>
      </c>
      <c r="S2380" s="1008" t="s">
        <v>657</v>
      </c>
      <c r="T2380" s="1008" t="s">
        <v>21</v>
      </c>
      <c r="U2380" s="1008" t="s">
        <v>653</v>
      </c>
      <c r="V2380" s="1008" t="s">
        <v>648</v>
      </c>
      <c r="W2380" s="1008" t="s">
        <v>546</v>
      </c>
      <c r="X2380" s="1008"/>
      <c r="Y2380" s="1008"/>
      <c r="Z2380" s="1008"/>
      <c r="AA2380" s="1008"/>
      <c r="AB2380" s="1008"/>
      <c r="AC2380" s="1008"/>
      <c r="AD2380" s="1008"/>
      <c r="AE2380" s="1008"/>
      <c r="AF2380" s="1008"/>
      <c r="AG2380" s="1008"/>
      <c r="AH2380" s="1008"/>
      <c r="AI2380" s="1008"/>
    </row>
    <row r="2381" spans="1:35">
      <c r="A2381" s="1008">
        <v>24851</v>
      </c>
      <c r="C2381" s="1008">
        <v>6</v>
      </c>
      <c r="D2381" s="1009">
        <v>41479999</v>
      </c>
      <c r="E2381" s="1009">
        <v>41470000</v>
      </c>
      <c r="F2381" s="1007" t="s">
        <v>2263</v>
      </c>
      <c r="O2381" s="1007" t="s">
        <v>648</v>
      </c>
      <c r="P2381" s="1007" t="s">
        <v>648</v>
      </c>
      <c r="S2381" s="1008" t="s">
        <v>657</v>
      </c>
      <c r="T2381" s="1008" t="s">
        <v>675</v>
      </c>
      <c r="U2381" s="1008" t="s">
        <v>653</v>
      </c>
      <c r="V2381" s="1008" t="s">
        <v>648</v>
      </c>
      <c r="W2381" s="1008" t="s">
        <v>546</v>
      </c>
      <c r="X2381" s="1008"/>
      <c r="Y2381" s="1008"/>
      <c r="Z2381" s="1008"/>
      <c r="AA2381" s="1008"/>
      <c r="AB2381" s="1008"/>
      <c r="AC2381" s="1008"/>
      <c r="AD2381" s="1008"/>
      <c r="AE2381" s="1008"/>
      <c r="AF2381" s="1008"/>
      <c r="AG2381" s="1008"/>
      <c r="AH2381" s="1008"/>
      <c r="AI2381" s="1008"/>
    </row>
    <row r="2382" spans="1:35">
      <c r="A2382" s="1008">
        <v>24852</v>
      </c>
      <c r="C2382" s="1008">
        <v>7</v>
      </c>
      <c r="D2382" s="1009">
        <v>41471999</v>
      </c>
      <c r="E2382" s="1009">
        <v>41471000</v>
      </c>
      <c r="F2382" s="1007" t="s">
        <v>2262</v>
      </c>
      <c r="O2382" s="1007" t="s">
        <v>648</v>
      </c>
      <c r="P2382" s="1007" t="s">
        <v>648</v>
      </c>
      <c r="S2382" s="1008" t="s">
        <v>657</v>
      </c>
      <c r="T2382" s="1008" t="s">
        <v>675</v>
      </c>
      <c r="U2382" s="1008" t="s">
        <v>653</v>
      </c>
      <c r="V2382" s="1008" t="s">
        <v>648</v>
      </c>
      <c r="W2382" s="1008" t="s">
        <v>546</v>
      </c>
      <c r="X2382" s="1008"/>
      <c r="Y2382" s="1008"/>
      <c r="Z2382" s="1008"/>
      <c r="AA2382" s="1008"/>
      <c r="AB2382" s="1008"/>
      <c r="AC2382" s="1008"/>
      <c r="AD2382" s="1008"/>
      <c r="AE2382" s="1008"/>
      <c r="AF2382" s="1008"/>
      <c r="AG2382" s="1008"/>
      <c r="AH2382" s="1008"/>
      <c r="AI2382" s="1008"/>
    </row>
    <row r="2383" spans="1:35">
      <c r="A2383" s="1008">
        <v>24853</v>
      </c>
      <c r="B2383" s="1008">
        <v>2062</v>
      </c>
      <c r="C2383" s="1008">
        <v>8</v>
      </c>
      <c r="D2383" s="1009">
        <v>41471999</v>
      </c>
      <c r="E2383" s="1009">
        <v>41471125</v>
      </c>
      <c r="F2383" s="1007" t="s">
        <v>2261</v>
      </c>
      <c r="G2383" s="1007">
        <v>8</v>
      </c>
      <c r="H2383" s="1010">
        <v>99999999</v>
      </c>
      <c r="I2383" s="1009">
        <v>41471125</v>
      </c>
      <c r="J2383" s="1007" t="s">
        <v>2261</v>
      </c>
      <c r="O2383" s="1007" t="s">
        <v>648</v>
      </c>
      <c r="P2383" s="1007" t="s">
        <v>648</v>
      </c>
      <c r="S2383" s="1008" t="s">
        <v>657</v>
      </c>
      <c r="T2383" s="1008" t="s">
        <v>654</v>
      </c>
      <c r="U2383" s="1008" t="s">
        <v>653</v>
      </c>
      <c r="V2383" s="1008" t="s">
        <v>648</v>
      </c>
      <c r="W2383" s="1008" t="s">
        <v>546</v>
      </c>
      <c r="X2383" s="1008" t="s">
        <v>670</v>
      </c>
      <c r="Y2383" s="1008"/>
      <c r="Z2383" s="1008"/>
      <c r="AA2383" s="1008"/>
      <c r="AB2383" s="1008"/>
      <c r="AC2383" s="1008"/>
      <c r="AD2383" s="1008" t="s">
        <v>670</v>
      </c>
      <c r="AE2383" s="1008"/>
      <c r="AF2383" s="1008"/>
      <c r="AG2383" s="1008"/>
      <c r="AH2383" s="1008"/>
      <c r="AI2383" s="1008"/>
    </row>
    <row r="2384" spans="1:35">
      <c r="A2384" s="1008">
        <v>24854</v>
      </c>
      <c r="B2384" s="1008">
        <v>2063</v>
      </c>
      <c r="C2384" s="1008">
        <v>8</v>
      </c>
      <c r="D2384" s="1009">
        <v>41471999</v>
      </c>
      <c r="E2384" s="1009">
        <v>41471129</v>
      </c>
      <c r="F2384" s="1007" t="s">
        <v>2260</v>
      </c>
      <c r="G2384" s="1007">
        <v>8</v>
      </c>
      <c r="H2384" s="1010">
        <v>99999999</v>
      </c>
      <c r="I2384" s="1009">
        <v>41471129</v>
      </c>
      <c r="J2384" s="1007" t="s">
        <v>2260</v>
      </c>
      <c r="O2384" s="1007" t="s">
        <v>648</v>
      </c>
      <c r="P2384" s="1007" t="s">
        <v>648</v>
      </c>
      <c r="S2384" s="1008" t="s">
        <v>657</v>
      </c>
      <c r="T2384" s="1008" t="s">
        <v>654</v>
      </c>
      <c r="U2384" s="1008" t="s">
        <v>653</v>
      </c>
      <c r="V2384" s="1008" t="s">
        <v>648</v>
      </c>
      <c r="W2384" s="1008" t="s">
        <v>546</v>
      </c>
      <c r="X2384" s="1008" t="s">
        <v>670</v>
      </c>
      <c r="Y2384" s="1008"/>
      <c r="Z2384" s="1008"/>
      <c r="AA2384" s="1008"/>
      <c r="AB2384" s="1008"/>
      <c r="AC2384" s="1008"/>
      <c r="AD2384" s="1008" t="s">
        <v>670</v>
      </c>
      <c r="AE2384" s="1008"/>
      <c r="AF2384" s="1008"/>
      <c r="AG2384" s="1008"/>
      <c r="AH2384" s="1008"/>
      <c r="AI2384" s="1008"/>
    </row>
    <row r="2385" spans="1:35">
      <c r="A2385" s="1008">
        <v>24855</v>
      </c>
      <c r="B2385" s="1008">
        <v>2064</v>
      </c>
      <c r="C2385" s="1008">
        <v>8</v>
      </c>
      <c r="D2385" s="1009">
        <v>41471999</v>
      </c>
      <c r="E2385" s="1009">
        <v>41471130</v>
      </c>
      <c r="F2385" s="1007" t="s">
        <v>2259</v>
      </c>
      <c r="G2385" s="1007">
        <v>8</v>
      </c>
      <c r="H2385" s="1010">
        <v>99999999</v>
      </c>
      <c r="I2385" s="1009">
        <v>41471130</v>
      </c>
      <c r="J2385" s="1007" t="s">
        <v>2259</v>
      </c>
      <c r="O2385" s="1007" t="s">
        <v>648</v>
      </c>
      <c r="P2385" s="1007" t="s">
        <v>648</v>
      </c>
      <c r="S2385" s="1008" t="s">
        <v>657</v>
      </c>
      <c r="T2385" s="1008" t="s">
        <v>654</v>
      </c>
      <c r="U2385" s="1008" t="s">
        <v>653</v>
      </c>
      <c r="V2385" s="1008" t="s">
        <v>648</v>
      </c>
      <c r="W2385" s="1008" t="s">
        <v>546</v>
      </c>
      <c r="X2385" s="1008" t="s">
        <v>670</v>
      </c>
      <c r="Y2385" s="1008"/>
      <c r="Z2385" s="1008"/>
      <c r="AA2385" s="1008"/>
      <c r="AB2385" s="1008"/>
      <c r="AC2385" s="1008"/>
      <c r="AD2385" s="1008" t="s">
        <v>670</v>
      </c>
      <c r="AE2385" s="1008"/>
      <c r="AF2385" s="1008"/>
      <c r="AG2385" s="1008"/>
      <c r="AH2385" s="1008"/>
      <c r="AI2385" s="1008"/>
    </row>
    <row r="2386" spans="1:35">
      <c r="A2386" s="1008">
        <v>24856</v>
      </c>
      <c r="B2386" s="1008">
        <v>2065</v>
      </c>
      <c r="C2386" s="1008">
        <v>8</v>
      </c>
      <c r="D2386" s="1009">
        <v>41471999</v>
      </c>
      <c r="E2386" s="1009">
        <v>41471139</v>
      </c>
      <c r="F2386" s="1007" t="s">
        <v>2258</v>
      </c>
      <c r="G2386" s="1007">
        <v>8</v>
      </c>
      <c r="H2386" s="1010">
        <v>99999999</v>
      </c>
      <c r="I2386" s="1009">
        <v>41471139</v>
      </c>
      <c r="J2386" s="1007" t="s">
        <v>2258</v>
      </c>
      <c r="O2386" s="1007" t="s">
        <v>648</v>
      </c>
      <c r="P2386" s="1007" t="s">
        <v>648</v>
      </c>
      <c r="S2386" s="1008" t="s">
        <v>657</v>
      </c>
      <c r="T2386" s="1008" t="s">
        <v>654</v>
      </c>
      <c r="U2386" s="1008" t="s">
        <v>653</v>
      </c>
      <c r="V2386" s="1008" t="s">
        <v>648</v>
      </c>
      <c r="W2386" s="1008" t="s">
        <v>546</v>
      </c>
      <c r="X2386" s="1008" t="s">
        <v>670</v>
      </c>
      <c r="Y2386" s="1008"/>
      <c r="Z2386" s="1008"/>
      <c r="AA2386" s="1008"/>
      <c r="AB2386" s="1008"/>
      <c r="AC2386" s="1008"/>
      <c r="AD2386" s="1008" t="s">
        <v>670</v>
      </c>
      <c r="AE2386" s="1008"/>
      <c r="AF2386" s="1008"/>
      <c r="AG2386" s="1008"/>
      <c r="AH2386" s="1008"/>
      <c r="AI2386" s="1008"/>
    </row>
    <row r="2387" spans="1:35">
      <c r="A2387" s="1008">
        <v>24857</v>
      </c>
      <c r="B2387" s="1008">
        <v>2066</v>
      </c>
      <c r="C2387" s="1008">
        <v>8</v>
      </c>
      <c r="D2387" s="1009">
        <v>41471999</v>
      </c>
      <c r="E2387" s="1009">
        <v>41471150</v>
      </c>
      <c r="F2387" s="1007" t="s">
        <v>2257</v>
      </c>
      <c r="G2387" s="1007">
        <v>8</v>
      </c>
      <c r="H2387" s="1010">
        <v>99999999</v>
      </c>
      <c r="I2387" s="1009">
        <v>41471150</v>
      </c>
      <c r="J2387" s="1007" t="s">
        <v>2257</v>
      </c>
      <c r="O2387" s="1007" t="s">
        <v>648</v>
      </c>
      <c r="P2387" s="1007" t="s">
        <v>648</v>
      </c>
      <c r="S2387" s="1008" t="s">
        <v>657</v>
      </c>
      <c r="T2387" s="1008" t="s">
        <v>654</v>
      </c>
      <c r="U2387" s="1008" t="s">
        <v>653</v>
      </c>
      <c r="V2387" s="1008" t="s">
        <v>648</v>
      </c>
      <c r="W2387" s="1008" t="s">
        <v>546</v>
      </c>
      <c r="X2387" s="1008" t="s">
        <v>670</v>
      </c>
      <c r="Y2387" s="1008"/>
      <c r="Z2387" s="1008"/>
      <c r="AA2387" s="1008"/>
      <c r="AB2387" s="1008"/>
      <c r="AC2387" s="1008"/>
      <c r="AD2387" s="1008" t="s">
        <v>670</v>
      </c>
      <c r="AE2387" s="1008"/>
      <c r="AF2387" s="1008"/>
      <c r="AG2387" s="1008"/>
      <c r="AH2387" s="1008"/>
      <c r="AI2387" s="1008"/>
    </row>
    <row r="2388" spans="1:35">
      <c r="A2388" s="1008">
        <v>24858</v>
      </c>
      <c r="B2388" s="1008">
        <v>2067</v>
      </c>
      <c r="C2388" s="1008">
        <v>8</v>
      </c>
      <c r="D2388" s="1009">
        <v>41471999</v>
      </c>
      <c r="E2388" s="1009">
        <v>41471159</v>
      </c>
      <c r="F2388" s="1007" t="s">
        <v>2256</v>
      </c>
      <c r="G2388" s="1007">
        <v>8</v>
      </c>
      <c r="H2388" s="1010">
        <v>99999999</v>
      </c>
      <c r="I2388" s="1009">
        <v>41471159</v>
      </c>
      <c r="J2388" s="1007" t="s">
        <v>2256</v>
      </c>
      <c r="O2388" s="1007" t="s">
        <v>648</v>
      </c>
      <c r="P2388" s="1007" t="s">
        <v>648</v>
      </c>
      <c r="S2388" s="1008" t="s">
        <v>657</v>
      </c>
      <c r="T2388" s="1008" t="s">
        <v>654</v>
      </c>
      <c r="U2388" s="1008" t="s">
        <v>653</v>
      </c>
      <c r="V2388" s="1008" t="s">
        <v>648</v>
      </c>
      <c r="W2388" s="1008" t="s">
        <v>546</v>
      </c>
      <c r="X2388" s="1008" t="s">
        <v>670</v>
      </c>
      <c r="Y2388" s="1008"/>
      <c r="Z2388" s="1008"/>
      <c r="AA2388" s="1008"/>
      <c r="AB2388" s="1008"/>
      <c r="AC2388" s="1008"/>
      <c r="AD2388" s="1008" t="s">
        <v>670</v>
      </c>
      <c r="AE2388" s="1008"/>
      <c r="AF2388" s="1008"/>
      <c r="AG2388" s="1008"/>
      <c r="AH2388" s="1008"/>
      <c r="AI2388" s="1008"/>
    </row>
    <row r="2389" spans="1:35">
      <c r="A2389" s="1008">
        <v>24859</v>
      </c>
      <c r="B2389" s="1008">
        <v>2068</v>
      </c>
      <c r="C2389" s="1008">
        <v>8</v>
      </c>
      <c r="D2389" s="1009">
        <v>41471999</v>
      </c>
      <c r="E2389" s="1009">
        <v>41471170</v>
      </c>
      <c r="F2389" s="1007" t="s">
        <v>2255</v>
      </c>
      <c r="G2389" s="1007">
        <v>8</v>
      </c>
      <c r="H2389" s="1010">
        <v>99999999</v>
      </c>
      <c r="I2389" s="1009">
        <v>41471170</v>
      </c>
      <c r="J2389" s="1007" t="s">
        <v>2255</v>
      </c>
      <c r="O2389" s="1007" t="s">
        <v>648</v>
      </c>
      <c r="P2389" s="1007" t="s">
        <v>648</v>
      </c>
      <c r="S2389" s="1008" t="s">
        <v>657</v>
      </c>
      <c r="T2389" s="1008" t="s">
        <v>654</v>
      </c>
      <c r="U2389" s="1008" t="s">
        <v>653</v>
      </c>
      <c r="V2389" s="1008" t="s">
        <v>648</v>
      </c>
      <c r="W2389" s="1008" t="s">
        <v>546</v>
      </c>
      <c r="X2389" s="1008" t="s">
        <v>670</v>
      </c>
      <c r="Y2389" s="1008"/>
      <c r="Z2389" s="1008"/>
      <c r="AA2389" s="1008"/>
      <c r="AB2389" s="1008"/>
      <c r="AC2389" s="1008"/>
      <c r="AD2389" s="1008" t="s">
        <v>670</v>
      </c>
      <c r="AE2389" s="1008"/>
      <c r="AF2389" s="1008"/>
      <c r="AG2389" s="1008"/>
      <c r="AH2389" s="1008"/>
      <c r="AI2389" s="1008"/>
    </row>
    <row r="2390" spans="1:35">
      <c r="A2390" s="1008">
        <v>24860</v>
      </c>
      <c r="B2390" s="1008">
        <v>2069</v>
      </c>
      <c r="C2390" s="1008">
        <v>8</v>
      </c>
      <c r="D2390" s="1009">
        <v>41471999</v>
      </c>
      <c r="E2390" s="1009">
        <v>41471179</v>
      </c>
      <c r="F2390" s="1007" t="s">
        <v>2254</v>
      </c>
      <c r="G2390" s="1007">
        <v>8</v>
      </c>
      <c r="H2390" s="1010">
        <v>99999999</v>
      </c>
      <c r="I2390" s="1009">
        <v>41471179</v>
      </c>
      <c r="J2390" s="1007" t="s">
        <v>2254</v>
      </c>
      <c r="O2390" s="1007" t="s">
        <v>648</v>
      </c>
      <c r="P2390" s="1007" t="s">
        <v>648</v>
      </c>
      <c r="S2390" s="1008" t="s">
        <v>657</v>
      </c>
      <c r="T2390" s="1008" t="s">
        <v>654</v>
      </c>
      <c r="U2390" s="1008" t="s">
        <v>653</v>
      </c>
      <c r="V2390" s="1008" t="s">
        <v>648</v>
      </c>
      <c r="W2390" s="1008" t="s">
        <v>546</v>
      </c>
      <c r="X2390" s="1008" t="s">
        <v>670</v>
      </c>
      <c r="Y2390" s="1008"/>
      <c r="Z2390" s="1008"/>
      <c r="AA2390" s="1008"/>
      <c r="AB2390" s="1008"/>
      <c r="AC2390" s="1008"/>
      <c r="AD2390" s="1008" t="s">
        <v>670</v>
      </c>
      <c r="AE2390" s="1008"/>
      <c r="AF2390" s="1008"/>
      <c r="AG2390" s="1008"/>
      <c r="AH2390" s="1008"/>
      <c r="AI2390" s="1008"/>
    </row>
    <row r="2391" spans="1:35">
      <c r="A2391" s="1008">
        <v>24861</v>
      </c>
      <c r="B2391" s="1008">
        <v>2070</v>
      </c>
      <c r="C2391" s="1008">
        <v>8</v>
      </c>
      <c r="D2391" s="1009">
        <v>41471999</v>
      </c>
      <c r="E2391" s="1009">
        <v>41471180</v>
      </c>
      <c r="F2391" s="1007" t="s">
        <v>2253</v>
      </c>
      <c r="G2391" s="1007">
        <v>8</v>
      </c>
      <c r="H2391" s="1010">
        <v>99999999</v>
      </c>
      <c r="I2391" s="1009">
        <v>41471180</v>
      </c>
      <c r="J2391" s="1007" t="s">
        <v>2253</v>
      </c>
      <c r="O2391" s="1007" t="s">
        <v>648</v>
      </c>
      <c r="P2391" s="1007" t="s">
        <v>648</v>
      </c>
      <c r="S2391" s="1008" t="s">
        <v>657</v>
      </c>
      <c r="T2391" s="1008" t="s">
        <v>654</v>
      </c>
      <c r="U2391" s="1008" t="s">
        <v>653</v>
      </c>
      <c r="V2391" s="1008" t="s">
        <v>648</v>
      </c>
      <c r="W2391" s="1008" t="s">
        <v>546</v>
      </c>
      <c r="X2391" s="1008" t="s">
        <v>670</v>
      </c>
      <c r="Y2391" s="1008"/>
      <c r="Z2391" s="1008"/>
      <c r="AA2391" s="1008"/>
      <c r="AB2391" s="1008"/>
      <c r="AC2391" s="1008"/>
      <c r="AD2391" s="1008" t="s">
        <v>670</v>
      </c>
      <c r="AE2391" s="1008"/>
      <c r="AF2391" s="1008"/>
      <c r="AG2391" s="1008"/>
      <c r="AH2391" s="1008"/>
      <c r="AI2391" s="1008"/>
    </row>
    <row r="2392" spans="1:35">
      <c r="A2392" s="1008">
        <v>24862</v>
      </c>
      <c r="B2392" s="1008">
        <v>2071</v>
      </c>
      <c r="C2392" s="1008">
        <v>8</v>
      </c>
      <c r="D2392" s="1009">
        <v>41471999</v>
      </c>
      <c r="E2392" s="1009">
        <v>41471189</v>
      </c>
      <c r="F2392" s="1007" t="s">
        <v>2252</v>
      </c>
      <c r="G2392" s="1007">
        <v>8</v>
      </c>
      <c r="H2392" s="1010">
        <v>99999999</v>
      </c>
      <c r="I2392" s="1009">
        <v>41471189</v>
      </c>
      <c r="J2392" s="1007" t="s">
        <v>2252</v>
      </c>
      <c r="O2392" s="1007" t="s">
        <v>648</v>
      </c>
      <c r="P2392" s="1007" t="s">
        <v>648</v>
      </c>
      <c r="S2392" s="1008" t="s">
        <v>657</v>
      </c>
      <c r="T2392" s="1008" t="s">
        <v>654</v>
      </c>
      <c r="U2392" s="1008" t="s">
        <v>653</v>
      </c>
      <c r="V2392" s="1008" t="s">
        <v>648</v>
      </c>
      <c r="W2392" s="1008" t="s">
        <v>546</v>
      </c>
      <c r="X2392" s="1008" t="s">
        <v>670</v>
      </c>
      <c r="Y2392" s="1008"/>
      <c r="Z2392" s="1008"/>
      <c r="AA2392" s="1008"/>
      <c r="AB2392" s="1008"/>
      <c r="AC2392" s="1008"/>
      <c r="AD2392" s="1008" t="s">
        <v>670</v>
      </c>
      <c r="AE2392" s="1008"/>
      <c r="AF2392" s="1008"/>
      <c r="AG2392" s="1008"/>
      <c r="AH2392" s="1008"/>
      <c r="AI2392" s="1008"/>
    </row>
    <row r="2393" spans="1:35">
      <c r="A2393" s="1008">
        <v>24863</v>
      </c>
      <c r="B2393" s="1008">
        <v>2072</v>
      </c>
      <c r="C2393" s="1008">
        <v>8</v>
      </c>
      <c r="D2393" s="1009">
        <v>41471999</v>
      </c>
      <c r="E2393" s="1009">
        <v>41471190</v>
      </c>
      <c r="F2393" s="1007" t="s">
        <v>2251</v>
      </c>
      <c r="G2393" s="1007">
        <v>8</v>
      </c>
      <c r="H2393" s="1010">
        <v>99999999</v>
      </c>
      <c r="I2393" s="1009">
        <v>41471190</v>
      </c>
      <c r="J2393" s="1007" t="s">
        <v>2251</v>
      </c>
      <c r="O2393" s="1007" t="s">
        <v>648</v>
      </c>
      <c r="P2393" s="1007" t="s">
        <v>648</v>
      </c>
      <c r="S2393" s="1008" t="s">
        <v>657</v>
      </c>
      <c r="T2393" s="1008" t="s">
        <v>654</v>
      </c>
      <c r="U2393" s="1008" t="s">
        <v>653</v>
      </c>
      <c r="V2393" s="1008" t="s">
        <v>648</v>
      </c>
      <c r="W2393" s="1008" t="s">
        <v>546</v>
      </c>
      <c r="X2393" s="1008" t="s">
        <v>670</v>
      </c>
      <c r="Y2393" s="1008"/>
      <c r="Z2393" s="1008"/>
      <c r="AA2393" s="1008"/>
      <c r="AB2393" s="1008"/>
      <c r="AC2393" s="1008"/>
      <c r="AD2393" s="1008" t="s">
        <v>670</v>
      </c>
      <c r="AE2393" s="1008"/>
      <c r="AF2393" s="1008"/>
      <c r="AG2393" s="1008"/>
      <c r="AH2393" s="1008"/>
      <c r="AI2393" s="1008"/>
    </row>
    <row r="2394" spans="1:35">
      <c r="A2394" s="1008">
        <v>24864</v>
      </c>
      <c r="B2394" s="1008">
        <v>2073</v>
      </c>
      <c r="C2394" s="1008">
        <v>8</v>
      </c>
      <c r="D2394" s="1009">
        <v>41471999</v>
      </c>
      <c r="E2394" s="1009">
        <v>41471199</v>
      </c>
      <c r="F2394" s="1007" t="s">
        <v>2250</v>
      </c>
      <c r="G2394" s="1007">
        <v>8</v>
      </c>
      <c r="H2394" s="1010">
        <v>99999999</v>
      </c>
      <c r="I2394" s="1009">
        <v>41471199</v>
      </c>
      <c r="J2394" s="1007" t="s">
        <v>2250</v>
      </c>
      <c r="O2394" s="1007" t="s">
        <v>648</v>
      </c>
      <c r="P2394" s="1007" t="s">
        <v>648</v>
      </c>
      <c r="S2394" s="1008" t="s">
        <v>657</v>
      </c>
      <c r="T2394" s="1008" t="s">
        <v>654</v>
      </c>
      <c r="U2394" s="1008" t="s">
        <v>653</v>
      </c>
      <c r="V2394" s="1008" t="s">
        <v>648</v>
      </c>
      <c r="W2394" s="1008" t="s">
        <v>546</v>
      </c>
      <c r="X2394" s="1008" t="s">
        <v>670</v>
      </c>
      <c r="Y2394" s="1008"/>
      <c r="Z2394" s="1008"/>
      <c r="AA2394" s="1008"/>
      <c r="AB2394" s="1008"/>
      <c r="AC2394" s="1008"/>
      <c r="AD2394" s="1008" t="s">
        <v>670</v>
      </c>
      <c r="AE2394" s="1008"/>
      <c r="AF2394" s="1008"/>
      <c r="AG2394" s="1008"/>
      <c r="AH2394" s="1008"/>
      <c r="AI2394" s="1008"/>
    </row>
    <row r="2395" spans="1:35">
      <c r="A2395" s="1008">
        <v>24865</v>
      </c>
      <c r="B2395" s="1008">
        <v>2074</v>
      </c>
      <c r="C2395" s="1008">
        <v>8</v>
      </c>
      <c r="D2395" s="1009">
        <v>41471999</v>
      </c>
      <c r="E2395" s="1009">
        <v>41471210</v>
      </c>
      <c r="F2395" s="1007" t="s">
        <v>2249</v>
      </c>
      <c r="G2395" s="1007">
        <v>8</v>
      </c>
      <c r="H2395" s="1010">
        <v>99999999</v>
      </c>
      <c r="I2395" s="1009">
        <v>41471210</v>
      </c>
      <c r="J2395" s="1007" t="s">
        <v>2249</v>
      </c>
      <c r="O2395" s="1007" t="s">
        <v>648</v>
      </c>
      <c r="P2395" s="1007" t="s">
        <v>648</v>
      </c>
      <c r="S2395" s="1008" t="s">
        <v>657</v>
      </c>
      <c r="T2395" s="1008" t="s">
        <v>654</v>
      </c>
      <c r="U2395" s="1008" t="s">
        <v>653</v>
      </c>
      <c r="V2395" s="1008" t="s">
        <v>648</v>
      </c>
      <c r="W2395" s="1008" t="s">
        <v>546</v>
      </c>
      <c r="X2395" s="1008" t="s">
        <v>670</v>
      </c>
      <c r="Y2395" s="1008"/>
      <c r="Z2395" s="1008"/>
      <c r="AA2395" s="1008"/>
      <c r="AB2395" s="1008"/>
      <c r="AC2395" s="1008"/>
      <c r="AD2395" s="1008" t="s">
        <v>670</v>
      </c>
      <c r="AE2395" s="1008"/>
      <c r="AF2395" s="1008"/>
      <c r="AG2395" s="1008"/>
      <c r="AH2395" s="1008"/>
      <c r="AI2395" s="1008"/>
    </row>
    <row r="2396" spans="1:35">
      <c r="A2396" s="1008">
        <v>24866</v>
      </c>
      <c r="B2396" s="1008">
        <v>2075</v>
      </c>
      <c r="C2396" s="1008">
        <v>8</v>
      </c>
      <c r="D2396" s="1009">
        <v>41471999</v>
      </c>
      <c r="E2396" s="1009">
        <v>41471219</v>
      </c>
      <c r="F2396" s="1007" t="s">
        <v>2248</v>
      </c>
      <c r="G2396" s="1007">
        <v>8</v>
      </c>
      <c r="H2396" s="1010">
        <v>99999999</v>
      </c>
      <c r="I2396" s="1009">
        <v>41471219</v>
      </c>
      <c r="J2396" s="1007" t="s">
        <v>2248</v>
      </c>
      <c r="O2396" s="1007" t="s">
        <v>648</v>
      </c>
      <c r="P2396" s="1007" t="s">
        <v>648</v>
      </c>
      <c r="S2396" s="1008" t="s">
        <v>657</v>
      </c>
      <c r="T2396" s="1008" t="s">
        <v>654</v>
      </c>
      <c r="U2396" s="1008" t="s">
        <v>653</v>
      </c>
      <c r="V2396" s="1008" t="s">
        <v>648</v>
      </c>
      <c r="W2396" s="1008" t="s">
        <v>546</v>
      </c>
      <c r="X2396" s="1008" t="s">
        <v>670</v>
      </c>
      <c r="Y2396" s="1008"/>
      <c r="Z2396" s="1008"/>
      <c r="AA2396" s="1008"/>
      <c r="AB2396" s="1008"/>
      <c r="AC2396" s="1008"/>
      <c r="AD2396" s="1008" t="s">
        <v>670</v>
      </c>
      <c r="AE2396" s="1008"/>
      <c r="AF2396" s="1008"/>
      <c r="AG2396" s="1008"/>
      <c r="AH2396" s="1008"/>
      <c r="AI2396" s="1008"/>
    </row>
    <row r="2397" spans="1:35">
      <c r="A2397" s="1008">
        <v>24867</v>
      </c>
      <c r="B2397" s="1008">
        <v>2076</v>
      </c>
      <c r="C2397" s="1008">
        <v>8</v>
      </c>
      <c r="D2397" s="1009">
        <v>41471999</v>
      </c>
      <c r="E2397" s="1009">
        <v>41471220</v>
      </c>
      <c r="F2397" s="1007" t="s">
        <v>2247</v>
      </c>
      <c r="G2397" s="1007">
        <v>8</v>
      </c>
      <c r="H2397" s="1010">
        <v>99999999</v>
      </c>
      <c r="I2397" s="1009">
        <v>41471220</v>
      </c>
      <c r="J2397" s="1007" t="s">
        <v>2247</v>
      </c>
      <c r="O2397" s="1007" t="s">
        <v>648</v>
      </c>
      <c r="P2397" s="1007" t="s">
        <v>648</v>
      </c>
      <c r="S2397" s="1008" t="s">
        <v>657</v>
      </c>
      <c r="T2397" s="1008" t="s">
        <v>654</v>
      </c>
      <c r="U2397" s="1008" t="s">
        <v>653</v>
      </c>
      <c r="V2397" s="1008" t="s">
        <v>648</v>
      </c>
      <c r="W2397" s="1008" t="s">
        <v>546</v>
      </c>
      <c r="X2397" s="1008" t="s">
        <v>670</v>
      </c>
      <c r="Y2397" s="1008"/>
      <c r="Z2397" s="1008"/>
      <c r="AA2397" s="1008"/>
      <c r="AB2397" s="1008"/>
      <c r="AC2397" s="1008"/>
      <c r="AD2397" s="1008" t="s">
        <v>670</v>
      </c>
      <c r="AE2397" s="1008"/>
      <c r="AF2397" s="1008"/>
      <c r="AG2397" s="1008"/>
      <c r="AH2397" s="1008"/>
      <c r="AI2397" s="1008"/>
    </row>
    <row r="2398" spans="1:35">
      <c r="A2398" s="1008">
        <v>24868</v>
      </c>
      <c r="B2398" s="1008">
        <v>2077</v>
      </c>
      <c r="C2398" s="1008">
        <v>8</v>
      </c>
      <c r="D2398" s="1009">
        <v>41471999</v>
      </c>
      <c r="E2398" s="1009">
        <v>41471229</v>
      </c>
      <c r="F2398" s="1007" t="s">
        <v>2246</v>
      </c>
      <c r="G2398" s="1007">
        <v>8</v>
      </c>
      <c r="H2398" s="1010">
        <v>99999999</v>
      </c>
      <c r="I2398" s="1009">
        <v>41471229</v>
      </c>
      <c r="J2398" s="1007" t="s">
        <v>2246</v>
      </c>
      <c r="O2398" s="1007" t="s">
        <v>648</v>
      </c>
      <c r="P2398" s="1007" t="s">
        <v>648</v>
      </c>
      <c r="S2398" s="1008" t="s">
        <v>657</v>
      </c>
      <c r="T2398" s="1008" t="s">
        <v>654</v>
      </c>
      <c r="U2398" s="1008" t="s">
        <v>653</v>
      </c>
      <c r="V2398" s="1008" t="s">
        <v>648</v>
      </c>
      <c r="W2398" s="1008" t="s">
        <v>546</v>
      </c>
      <c r="X2398" s="1008" t="s">
        <v>670</v>
      </c>
      <c r="Y2398" s="1008"/>
      <c r="Z2398" s="1008"/>
      <c r="AA2398" s="1008"/>
      <c r="AB2398" s="1008"/>
      <c r="AC2398" s="1008"/>
      <c r="AD2398" s="1008" t="s">
        <v>670</v>
      </c>
      <c r="AE2398" s="1008"/>
      <c r="AF2398" s="1008"/>
      <c r="AG2398" s="1008"/>
      <c r="AH2398" s="1008"/>
      <c r="AI2398" s="1008"/>
    </row>
    <row r="2399" spans="1:35">
      <c r="A2399" s="1008">
        <v>24869</v>
      </c>
      <c r="B2399" s="1008">
        <v>2078</v>
      </c>
      <c r="C2399" s="1008">
        <v>8</v>
      </c>
      <c r="D2399" s="1009">
        <v>41471999</v>
      </c>
      <c r="E2399" s="1009">
        <v>41471250</v>
      </c>
      <c r="F2399" s="1007" t="s">
        <v>2245</v>
      </c>
      <c r="G2399" s="1007">
        <v>8</v>
      </c>
      <c r="H2399" s="1010">
        <v>99999999</v>
      </c>
      <c r="I2399" s="1009">
        <v>41471250</v>
      </c>
      <c r="J2399" s="1007" t="s">
        <v>2245</v>
      </c>
      <c r="O2399" s="1007" t="s">
        <v>648</v>
      </c>
      <c r="P2399" s="1007" t="s">
        <v>648</v>
      </c>
      <c r="S2399" s="1008" t="s">
        <v>657</v>
      </c>
      <c r="T2399" s="1008" t="s">
        <v>654</v>
      </c>
      <c r="U2399" s="1008" t="s">
        <v>653</v>
      </c>
      <c r="V2399" s="1008" t="s">
        <v>648</v>
      </c>
      <c r="W2399" s="1008" t="s">
        <v>546</v>
      </c>
      <c r="X2399" s="1008" t="s">
        <v>670</v>
      </c>
      <c r="Y2399" s="1008"/>
      <c r="Z2399" s="1008"/>
      <c r="AA2399" s="1008"/>
      <c r="AB2399" s="1008"/>
      <c r="AC2399" s="1008"/>
      <c r="AD2399" s="1008" t="s">
        <v>670</v>
      </c>
      <c r="AE2399" s="1008"/>
      <c r="AF2399" s="1008"/>
      <c r="AG2399" s="1008"/>
      <c r="AH2399" s="1008"/>
      <c r="AI2399" s="1008"/>
    </row>
    <row r="2400" spans="1:35">
      <c r="A2400" s="1008">
        <v>24870</v>
      </c>
      <c r="B2400" s="1008">
        <v>2079</v>
      </c>
      <c r="C2400" s="1008">
        <v>8</v>
      </c>
      <c r="D2400" s="1009">
        <v>41471999</v>
      </c>
      <c r="E2400" s="1009">
        <v>41471259</v>
      </c>
      <c r="F2400" s="1007" t="s">
        <v>2244</v>
      </c>
      <c r="G2400" s="1007">
        <v>8</v>
      </c>
      <c r="H2400" s="1010">
        <v>99999999</v>
      </c>
      <c r="I2400" s="1009">
        <v>41471259</v>
      </c>
      <c r="J2400" s="1007" t="s">
        <v>2244</v>
      </c>
      <c r="O2400" s="1007" t="s">
        <v>648</v>
      </c>
      <c r="P2400" s="1007" t="s">
        <v>648</v>
      </c>
      <c r="S2400" s="1008" t="s">
        <v>657</v>
      </c>
      <c r="T2400" s="1008" t="s">
        <v>654</v>
      </c>
      <c r="U2400" s="1008" t="s">
        <v>653</v>
      </c>
      <c r="V2400" s="1008" t="s">
        <v>648</v>
      </c>
      <c r="W2400" s="1008" t="s">
        <v>546</v>
      </c>
      <c r="X2400" s="1008" t="s">
        <v>670</v>
      </c>
      <c r="Y2400" s="1008"/>
      <c r="Z2400" s="1008"/>
      <c r="AA2400" s="1008"/>
      <c r="AB2400" s="1008"/>
      <c r="AC2400" s="1008"/>
      <c r="AD2400" s="1008" t="s">
        <v>670</v>
      </c>
      <c r="AE2400" s="1008"/>
      <c r="AF2400" s="1008"/>
      <c r="AG2400" s="1008"/>
      <c r="AH2400" s="1008"/>
      <c r="AI2400" s="1008"/>
    </row>
    <row r="2401" spans="1:35">
      <c r="A2401" s="1008">
        <v>24871</v>
      </c>
      <c r="B2401" s="1008">
        <v>2080</v>
      </c>
      <c r="C2401" s="1008">
        <v>8</v>
      </c>
      <c r="D2401" s="1009">
        <v>41471999</v>
      </c>
      <c r="E2401" s="1009">
        <v>41471315</v>
      </c>
      <c r="F2401" s="1007" t="s">
        <v>2243</v>
      </c>
      <c r="G2401" s="1007">
        <v>8</v>
      </c>
      <c r="H2401" s="1010">
        <v>99999999</v>
      </c>
      <c r="I2401" s="1009">
        <v>41471315</v>
      </c>
      <c r="J2401" s="1007" t="s">
        <v>2243</v>
      </c>
      <c r="O2401" s="1007" t="s">
        <v>648</v>
      </c>
      <c r="P2401" s="1007" t="s">
        <v>648</v>
      </c>
      <c r="S2401" s="1008" t="s">
        <v>657</v>
      </c>
      <c r="T2401" s="1008" t="s">
        <v>654</v>
      </c>
      <c r="U2401" s="1008" t="s">
        <v>653</v>
      </c>
      <c r="V2401" s="1008" t="s">
        <v>648</v>
      </c>
      <c r="W2401" s="1008" t="s">
        <v>546</v>
      </c>
      <c r="X2401" s="1008" t="s">
        <v>670</v>
      </c>
      <c r="Y2401" s="1008"/>
      <c r="Z2401" s="1008"/>
      <c r="AA2401" s="1008"/>
      <c r="AB2401" s="1008"/>
      <c r="AC2401" s="1008"/>
      <c r="AD2401" s="1008" t="s">
        <v>670</v>
      </c>
      <c r="AE2401" s="1008"/>
      <c r="AF2401" s="1008"/>
      <c r="AG2401" s="1008"/>
      <c r="AH2401" s="1008"/>
      <c r="AI2401" s="1008"/>
    </row>
    <row r="2402" spans="1:35">
      <c r="A2402" s="1008">
        <v>24872</v>
      </c>
      <c r="B2402" s="1008">
        <v>2081</v>
      </c>
      <c r="C2402" s="1008">
        <v>8</v>
      </c>
      <c r="D2402" s="1009">
        <v>41471999</v>
      </c>
      <c r="E2402" s="1009">
        <v>41471319</v>
      </c>
      <c r="F2402" s="1007" t="s">
        <v>2242</v>
      </c>
      <c r="G2402" s="1007">
        <v>8</v>
      </c>
      <c r="H2402" s="1010">
        <v>99999999</v>
      </c>
      <c r="I2402" s="1009">
        <v>41471319</v>
      </c>
      <c r="J2402" s="1007" t="s">
        <v>2242</v>
      </c>
      <c r="O2402" s="1007" t="s">
        <v>648</v>
      </c>
      <c r="P2402" s="1007" t="s">
        <v>648</v>
      </c>
      <c r="S2402" s="1008" t="s">
        <v>657</v>
      </c>
      <c r="T2402" s="1008" t="s">
        <v>654</v>
      </c>
      <c r="U2402" s="1008" t="s">
        <v>653</v>
      </c>
      <c r="V2402" s="1008" t="s">
        <v>648</v>
      </c>
      <c r="W2402" s="1008" t="s">
        <v>546</v>
      </c>
      <c r="X2402" s="1008" t="s">
        <v>670</v>
      </c>
      <c r="Y2402" s="1008"/>
      <c r="Z2402" s="1008"/>
      <c r="AA2402" s="1008"/>
      <c r="AB2402" s="1008"/>
      <c r="AC2402" s="1008"/>
      <c r="AD2402" s="1008" t="s">
        <v>670</v>
      </c>
      <c r="AE2402" s="1008"/>
      <c r="AF2402" s="1008"/>
      <c r="AG2402" s="1008"/>
      <c r="AH2402" s="1008"/>
      <c r="AI2402" s="1008"/>
    </row>
    <row r="2403" spans="1:35">
      <c r="A2403" s="1008">
        <v>24873</v>
      </c>
      <c r="B2403" s="1008">
        <v>2082</v>
      </c>
      <c r="C2403" s="1008">
        <v>8</v>
      </c>
      <c r="D2403" s="1009">
        <v>41471999</v>
      </c>
      <c r="E2403" s="1009">
        <v>41471370</v>
      </c>
      <c r="F2403" s="1007" t="s">
        <v>2241</v>
      </c>
      <c r="G2403" s="1007">
        <v>8</v>
      </c>
      <c r="H2403" s="1010">
        <v>99999999</v>
      </c>
      <c r="I2403" s="1009">
        <v>41471370</v>
      </c>
      <c r="J2403" s="1007" t="s">
        <v>2241</v>
      </c>
      <c r="O2403" s="1007" t="s">
        <v>648</v>
      </c>
      <c r="P2403" s="1007" t="s">
        <v>648</v>
      </c>
      <c r="S2403" s="1008" t="s">
        <v>657</v>
      </c>
      <c r="T2403" s="1008" t="s">
        <v>654</v>
      </c>
      <c r="U2403" s="1008" t="s">
        <v>653</v>
      </c>
      <c r="V2403" s="1008" t="s">
        <v>648</v>
      </c>
      <c r="W2403" s="1008" t="s">
        <v>546</v>
      </c>
      <c r="X2403" s="1008" t="s">
        <v>670</v>
      </c>
      <c r="Y2403" s="1008"/>
      <c r="Z2403" s="1008"/>
      <c r="AA2403" s="1008"/>
      <c r="AB2403" s="1008"/>
      <c r="AC2403" s="1008"/>
      <c r="AD2403" s="1008" t="s">
        <v>670</v>
      </c>
      <c r="AE2403" s="1008"/>
      <c r="AF2403" s="1008"/>
      <c r="AG2403" s="1008"/>
      <c r="AH2403" s="1008"/>
      <c r="AI2403" s="1008"/>
    </row>
    <row r="2404" spans="1:35">
      <c r="A2404" s="1008">
        <v>24874</v>
      </c>
      <c r="B2404" s="1008">
        <v>2083</v>
      </c>
      <c r="C2404" s="1008">
        <v>8</v>
      </c>
      <c r="D2404" s="1009">
        <v>41471999</v>
      </c>
      <c r="E2404" s="1009">
        <v>41471379</v>
      </c>
      <c r="F2404" s="1007" t="s">
        <v>2240</v>
      </c>
      <c r="G2404" s="1007">
        <v>8</v>
      </c>
      <c r="H2404" s="1010">
        <v>99999999</v>
      </c>
      <c r="I2404" s="1009">
        <v>41471379</v>
      </c>
      <c r="J2404" s="1007" t="s">
        <v>2240</v>
      </c>
      <c r="O2404" s="1007" t="s">
        <v>648</v>
      </c>
      <c r="P2404" s="1007" t="s">
        <v>648</v>
      </c>
      <c r="S2404" s="1008" t="s">
        <v>657</v>
      </c>
      <c r="T2404" s="1008" t="s">
        <v>654</v>
      </c>
      <c r="U2404" s="1008" t="s">
        <v>653</v>
      </c>
      <c r="V2404" s="1008" t="s">
        <v>648</v>
      </c>
      <c r="W2404" s="1008" t="s">
        <v>546</v>
      </c>
      <c r="X2404" s="1008" t="s">
        <v>670</v>
      </c>
      <c r="Y2404" s="1008"/>
      <c r="Z2404" s="1008"/>
      <c r="AA2404" s="1008"/>
      <c r="AB2404" s="1008"/>
      <c r="AC2404" s="1008"/>
      <c r="AD2404" s="1008" t="s">
        <v>670</v>
      </c>
      <c r="AE2404" s="1008"/>
      <c r="AF2404" s="1008"/>
      <c r="AG2404" s="1008"/>
      <c r="AH2404" s="1008"/>
      <c r="AI2404" s="1008"/>
    </row>
    <row r="2405" spans="1:35">
      <c r="A2405" s="1008">
        <v>24875</v>
      </c>
      <c r="B2405" s="1008">
        <v>2084</v>
      </c>
      <c r="C2405" s="1008">
        <v>8</v>
      </c>
      <c r="D2405" s="1009">
        <v>41471999</v>
      </c>
      <c r="E2405" s="1009">
        <v>41471510</v>
      </c>
      <c r="F2405" s="1007" t="s">
        <v>2239</v>
      </c>
      <c r="G2405" s="1007">
        <v>8</v>
      </c>
      <c r="H2405" s="1010">
        <v>99999999</v>
      </c>
      <c r="I2405" s="1009">
        <v>41471510</v>
      </c>
      <c r="J2405" s="1007" t="s">
        <v>2239</v>
      </c>
      <c r="O2405" s="1007" t="s">
        <v>648</v>
      </c>
      <c r="P2405" s="1007" t="s">
        <v>648</v>
      </c>
      <c r="S2405" s="1008" t="s">
        <v>657</v>
      </c>
      <c r="T2405" s="1008" t="s">
        <v>654</v>
      </c>
      <c r="U2405" s="1008" t="s">
        <v>653</v>
      </c>
      <c r="V2405" s="1008" t="s">
        <v>648</v>
      </c>
      <c r="W2405" s="1008" t="s">
        <v>546</v>
      </c>
      <c r="X2405" s="1008" t="s">
        <v>670</v>
      </c>
      <c r="Y2405" s="1008"/>
      <c r="Z2405" s="1008"/>
      <c r="AA2405" s="1008"/>
      <c r="AB2405" s="1008"/>
      <c r="AC2405" s="1008"/>
      <c r="AD2405" s="1008" t="s">
        <v>670</v>
      </c>
      <c r="AE2405" s="1008"/>
      <c r="AF2405" s="1008"/>
      <c r="AG2405" s="1008"/>
      <c r="AH2405" s="1008"/>
      <c r="AI2405" s="1008"/>
    </row>
    <row r="2406" spans="1:35">
      <c r="A2406" s="1008">
        <v>24876</v>
      </c>
      <c r="B2406" s="1008">
        <v>5338</v>
      </c>
      <c r="C2406" s="1008">
        <v>8</v>
      </c>
      <c r="D2406" s="1009">
        <v>41471999</v>
      </c>
      <c r="E2406" s="1009">
        <v>41471519</v>
      </c>
      <c r="F2406" s="1007" t="s">
        <v>2238</v>
      </c>
      <c r="G2406" s="1007">
        <v>8</v>
      </c>
      <c r="H2406" s="1010">
        <v>99999999</v>
      </c>
      <c r="I2406" s="1009">
        <v>41471519</v>
      </c>
      <c r="J2406" s="1007" t="s">
        <v>2238</v>
      </c>
      <c r="O2406" s="1007" t="s">
        <v>648</v>
      </c>
      <c r="P2406" s="1007" t="s">
        <v>648</v>
      </c>
      <c r="S2406" s="1008" t="s">
        <v>657</v>
      </c>
      <c r="T2406" s="1008" t="s">
        <v>654</v>
      </c>
      <c r="U2406" s="1008" t="s">
        <v>653</v>
      </c>
      <c r="V2406" s="1008" t="s">
        <v>648</v>
      </c>
      <c r="W2406" s="1008" t="s">
        <v>546</v>
      </c>
      <c r="X2406" s="1008" t="s">
        <v>670</v>
      </c>
      <c r="Y2406" s="1008"/>
      <c r="Z2406" s="1008"/>
      <c r="AA2406" s="1008"/>
      <c r="AB2406" s="1008"/>
      <c r="AC2406" s="1008"/>
      <c r="AD2406" s="1008" t="s">
        <v>670</v>
      </c>
      <c r="AE2406" s="1008"/>
      <c r="AF2406" s="1008"/>
      <c r="AG2406" s="1008"/>
      <c r="AH2406" s="1008"/>
      <c r="AI2406" s="1008"/>
    </row>
    <row r="2407" spans="1:35">
      <c r="A2407" s="1008">
        <v>24877</v>
      </c>
      <c r="C2407" s="1008">
        <v>7</v>
      </c>
      <c r="D2407" s="1009">
        <v>41479999</v>
      </c>
      <c r="E2407" s="1009">
        <v>41471999</v>
      </c>
      <c r="F2407" s="1007" t="s">
        <v>2237</v>
      </c>
      <c r="O2407" s="1007" t="s">
        <v>648</v>
      </c>
      <c r="P2407" s="1007" t="s">
        <v>648</v>
      </c>
      <c r="S2407" s="1008" t="s">
        <v>657</v>
      </c>
      <c r="T2407" s="1008" t="s">
        <v>21</v>
      </c>
      <c r="U2407" s="1008" t="s">
        <v>653</v>
      </c>
      <c r="V2407" s="1008" t="s">
        <v>648</v>
      </c>
      <c r="W2407" s="1008" t="s">
        <v>546</v>
      </c>
      <c r="X2407" s="1008"/>
      <c r="Y2407" s="1008"/>
      <c r="Z2407" s="1008"/>
      <c r="AA2407" s="1008"/>
      <c r="AB2407" s="1008"/>
      <c r="AC2407" s="1008"/>
      <c r="AD2407" s="1008"/>
      <c r="AE2407" s="1008"/>
      <c r="AF2407" s="1008"/>
      <c r="AG2407" s="1008"/>
      <c r="AH2407" s="1008"/>
      <c r="AI2407" s="1008"/>
    </row>
    <row r="2408" spans="1:35">
      <c r="A2408" s="1008">
        <v>24878</v>
      </c>
      <c r="C2408" s="1008">
        <v>7</v>
      </c>
      <c r="D2408" s="1009">
        <v>41472999</v>
      </c>
      <c r="E2408" s="1009">
        <v>41472000</v>
      </c>
      <c r="F2408" s="1007" t="s">
        <v>2236</v>
      </c>
      <c r="O2408" s="1007" t="s">
        <v>648</v>
      </c>
      <c r="P2408" s="1007" t="s">
        <v>648</v>
      </c>
      <c r="S2408" s="1008" t="s">
        <v>657</v>
      </c>
      <c r="T2408" s="1008" t="s">
        <v>675</v>
      </c>
      <c r="U2408" s="1008" t="s">
        <v>653</v>
      </c>
      <c r="V2408" s="1008" t="s">
        <v>648</v>
      </c>
      <c r="W2408" s="1008" t="s">
        <v>546</v>
      </c>
      <c r="X2408" s="1008"/>
      <c r="Y2408" s="1008"/>
      <c r="Z2408" s="1008"/>
      <c r="AA2408" s="1008"/>
      <c r="AB2408" s="1008"/>
      <c r="AC2408" s="1008"/>
      <c r="AD2408" s="1008"/>
      <c r="AE2408" s="1008"/>
      <c r="AF2408" s="1008"/>
      <c r="AG2408" s="1008"/>
      <c r="AH2408" s="1008"/>
      <c r="AI2408" s="1008"/>
    </row>
    <row r="2409" spans="1:35">
      <c r="A2409" s="1008">
        <v>24879</v>
      </c>
      <c r="B2409" s="1008">
        <v>2086</v>
      </c>
      <c r="C2409" s="1008">
        <v>8</v>
      </c>
      <c r="D2409" s="1009">
        <v>41472999</v>
      </c>
      <c r="E2409" s="1009">
        <v>41472110</v>
      </c>
      <c r="F2409" s="1007" t="s">
        <v>2235</v>
      </c>
      <c r="G2409" s="1007">
        <v>8</v>
      </c>
      <c r="H2409" s="1010">
        <v>99999999</v>
      </c>
      <c r="I2409" s="1009">
        <v>41472110</v>
      </c>
      <c r="J2409" s="1007" t="s">
        <v>2235</v>
      </c>
      <c r="O2409" s="1007" t="s">
        <v>648</v>
      </c>
      <c r="P2409" s="1007" t="s">
        <v>648</v>
      </c>
      <c r="S2409" s="1008" t="s">
        <v>657</v>
      </c>
      <c r="T2409" s="1008" t="s">
        <v>654</v>
      </c>
      <c r="U2409" s="1008" t="s">
        <v>653</v>
      </c>
      <c r="V2409" s="1008" t="s">
        <v>648</v>
      </c>
      <c r="W2409" s="1008" t="s">
        <v>546</v>
      </c>
      <c r="X2409" s="1008" t="s">
        <v>670</v>
      </c>
      <c r="Y2409" s="1008"/>
      <c r="Z2409" s="1008"/>
      <c r="AA2409" s="1008"/>
      <c r="AB2409" s="1008"/>
      <c r="AC2409" s="1008"/>
      <c r="AD2409" s="1008" t="s">
        <v>670</v>
      </c>
      <c r="AE2409" s="1008"/>
      <c r="AF2409" s="1008"/>
      <c r="AG2409" s="1008"/>
      <c r="AH2409" s="1008"/>
      <c r="AI2409" s="1008"/>
    </row>
    <row r="2410" spans="1:35">
      <c r="A2410" s="1008">
        <v>24880</v>
      </c>
      <c r="B2410" s="1008">
        <v>2087</v>
      </c>
      <c r="C2410" s="1008">
        <v>8</v>
      </c>
      <c r="D2410" s="1009">
        <v>41472999</v>
      </c>
      <c r="E2410" s="1009">
        <v>41472119</v>
      </c>
      <c r="F2410" s="1007" t="s">
        <v>2234</v>
      </c>
      <c r="G2410" s="1007">
        <v>8</v>
      </c>
      <c r="H2410" s="1010">
        <v>99999999</v>
      </c>
      <c r="I2410" s="1009">
        <v>41472119</v>
      </c>
      <c r="J2410" s="1007" t="s">
        <v>2234</v>
      </c>
      <c r="O2410" s="1007" t="s">
        <v>648</v>
      </c>
      <c r="P2410" s="1007" t="s">
        <v>648</v>
      </c>
      <c r="S2410" s="1008" t="s">
        <v>657</v>
      </c>
      <c r="T2410" s="1008" t="s">
        <v>654</v>
      </c>
      <c r="U2410" s="1008" t="s">
        <v>653</v>
      </c>
      <c r="V2410" s="1008" t="s">
        <v>648</v>
      </c>
      <c r="W2410" s="1008" t="s">
        <v>546</v>
      </c>
      <c r="X2410" s="1008" t="s">
        <v>670</v>
      </c>
      <c r="Y2410" s="1008"/>
      <c r="Z2410" s="1008"/>
      <c r="AA2410" s="1008"/>
      <c r="AB2410" s="1008"/>
      <c r="AC2410" s="1008"/>
      <c r="AD2410" s="1008" t="s">
        <v>670</v>
      </c>
      <c r="AE2410" s="1008"/>
      <c r="AF2410" s="1008"/>
      <c r="AG2410" s="1008"/>
      <c r="AH2410" s="1008"/>
      <c r="AI2410" s="1008"/>
    </row>
    <row r="2411" spans="1:35">
      <c r="A2411" s="1008">
        <v>24881</v>
      </c>
      <c r="B2411" s="1008">
        <v>2088</v>
      </c>
      <c r="C2411" s="1008">
        <v>8</v>
      </c>
      <c r="D2411" s="1009">
        <v>41472999</v>
      </c>
      <c r="E2411" s="1009">
        <v>41472120</v>
      </c>
      <c r="F2411" s="1007" t="s">
        <v>2233</v>
      </c>
      <c r="G2411" s="1007">
        <v>8</v>
      </c>
      <c r="H2411" s="1010">
        <v>99999999</v>
      </c>
      <c r="I2411" s="1009">
        <v>41472120</v>
      </c>
      <c r="J2411" s="1007" t="s">
        <v>2233</v>
      </c>
      <c r="O2411" s="1007" t="s">
        <v>648</v>
      </c>
      <c r="P2411" s="1007" t="s">
        <v>648</v>
      </c>
      <c r="S2411" s="1008" t="s">
        <v>657</v>
      </c>
      <c r="T2411" s="1008" t="s">
        <v>654</v>
      </c>
      <c r="U2411" s="1008" t="s">
        <v>653</v>
      </c>
      <c r="V2411" s="1008" t="s">
        <v>648</v>
      </c>
      <c r="W2411" s="1008" t="s">
        <v>546</v>
      </c>
      <c r="X2411" s="1008" t="s">
        <v>670</v>
      </c>
      <c r="Y2411" s="1008"/>
      <c r="Z2411" s="1008"/>
      <c r="AA2411" s="1008"/>
      <c r="AB2411" s="1008"/>
      <c r="AC2411" s="1008"/>
      <c r="AD2411" s="1008" t="s">
        <v>670</v>
      </c>
      <c r="AE2411" s="1008"/>
      <c r="AF2411" s="1008"/>
      <c r="AG2411" s="1008"/>
      <c r="AH2411" s="1008"/>
      <c r="AI2411" s="1008"/>
    </row>
    <row r="2412" spans="1:35">
      <c r="A2412" s="1008">
        <v>24882</v>
      </c>
      <c r="B2412" s="1008">
        <v>2089</v>
      </c>
      <c r="C2412" s="1008">
        <v>8</v>
      </c>
      <c r="D2412" s="1009">
        <v>41472999</v>
      </c>
      <c r="E2412" s="1009">
        <v>41472129</v>
      </c>
      <c r="F2412" s="1007" t="s">
        <v>2232</v>
      </c>
      <c r="G2412" s="1007">
        <v>8</v>
      </c>
      <c r="H2412" s="1010">
        <v>99999999</v>
      </c>
      <c r="I2412" s="1009">
        <v>41472129</v>
      </c>
      <c r="J2412" s="1007" t="s">
        <v>2232</v>
      </c>
      <c r="O2412" s="1007" t="s">
        <v>648</v>
      </c>
      <c r="P2412" s="1007" t="s">
        <v>648</v>
      </c>
      <c r="S2412" s="1008" t="s">
        <v>657</v>
      </c>
      <c r="T2412" s="1008" t="s">
        <v>654</v>
      </c>
      <c r="U2412" s="1008" t="s">
        <v>653</v>
      </c>
      <c r="V2412" s="1008" t="s">
        <v>648</v>
      </c>
      <c r="W2412" s="1008" t="s">
        <v>546</v>
      </c>
      <c r="X2412" s="1008" t="s">
        <v>670</v>
      </c>
      <c r="Y2412" s="1008"/>
      <c r="Z2412" s="1008"/>
      <c r="AA2412" s="1008"/>
      <c r="AB2412" s="1008"/>
      <c r="AC2412" s="1008"/>
      <c r="AD2412" s="1008" t="s">
        <v>670</v>
      </c>
      <c r="AE2412" s="1008"/>
      <c r="AF2412" s="1008"/>
      <c r="AG2412" s="1008"/>
      <c r="AH2412" s="1008"/>
      <c r="AI2412" s="1008"/>
    </row>
    <row r="2413" spans="1:35">
      <c r="A2413" s="1008">
        <v>24883</v>
      </c>
      <c r="B2413" s="1008">
        <v>2090</v>
      </c>
      <c r="C2413" s="1008">
        <v>8</v>
      </c>
      <c r="D2413" s="1009">
        <v>41472999</v>
      </c>
      <c r="E2413" s="1009">
        <v>41472130</v>
      </c>
      <c r="F2413" s="1007" t="s">
        <v>2231</v>
      </c>
      <c r="G2413" s="1007">
        <v>8</v>
      </c>
      <c r="H2413" s="1010">
        <v>99999999</v>
      </c>
      <c r="I2413" s="1009">
        <v>41472130</v>
      </c>
      <c r="J2413" s="1007" t="s">
        <v>2231</v>
      </c>
      <c r="O2413" s="1007" t="s">
        <v>648</v>
      </c>
      <c r="P2413" s="1007" t="s">
        <v>648</v>
      </c>
      <c r="S2413" s="1008" t="s">
        <v>657</v>
      </c>
      <c r="T2413" s="1008" t="s">
        <v>654</v>
      </c>
      <c r="U2413" s="1008" t="s">
        <v>653</v>
      </c>
      <c r="V2413" s="1008" t="s">
        <v>648</v>
      </c>
      <c r="W2413" s="1008" t="s">
        <v>546</v>
      </c>
      <c r="X2413" s="1008" t="s">
        <v>670</v>
      </c>
      <c r="Y2413" s="1008"/>
      <c r="Z2413" s="1008"/>
      <c r="AA2413" s="1008"/>
      <c r="AB2413" s="1008"/>
      <c r="AC2413" s="1008"/>
      <c r="AD2413" s="1008" t="s">
        <v>670</v>
      </c>
      <c r="AE2413" s="1008"/>
      <c r="AF2413" s="1008"/>
      <c r="AG2413" s="1008"/>
      <c r="AH2413" s="1008"/>
      <c r="AI2413" s="1008"/>
    </row>
    <row r="2414" spans="1:35">
      <c r="A2414" s="1008">
        <v>24884</v>
      </c>
      <c r="B2414" s="1008">
        <v>2091</v>
      </c>
      <c r="C2414" s="1008">
        <v>8</v>
      </c>
      <c r="D2414" s="1009">
        <v>41472999</v>
      </c>
      <c r="E2414" s="1009">
        <v>41472139</v>
      </c>
      <c r="F2414" s="1007" t="s">
        <v>2230</v>
      </c>
      <c r="G2414" s="1007">
        <v>8</v>
      </c>
      <c r="H2414" s="1010">
        <v>99999999</v>
      </c>
      <c r="I2414" s="1009">
        <v>41472139</v>
      </c>
      <c r="J2414" s="1007" t="s">
        <v>2230</v>
      </c>
      <c r="O2414" s="1007" t="s">
        <v>648</v>
      </c>
      <c r="P2414" s="1007" t="s">
        <v>648</v>
      </c>
      <c r="S2414" s="1008" t="s">
        <v>657</v>
      </c>
      <c r="T2414" s="1008" t="s">
        <v>654</v>
      </c>
      <c r="U2414" s="1008" t="s">
        <v>653</v>
      </c>
      <c r="V2414" s="1008" t="s">
        <v>648</v>
      </c>
      <c r="W2414" s="1008" t="s">
        <v>546</v>
      </c>
      <c r="X2414" s="1008" t="s">
        <v>670</v>
      </c>
      <c r="Y2414" s="1008"/>
      <c r="Z2414" s="1008"/>
      <c r="AA2414" s="1008"/>
      <c r="AB2414" s="1008"/>
      <c r="AC2414" s="1008"/>
      <c r="AD2414" s="1008" t="s">
        <v>670</v>
      </c>
      <c r="AE2414" s="1008"/>
      <c r="AF2414" s="1008"/>
      <c r="AG2414" s="1008"/>
      <c r="AH2414" s="1008"/>
      <c r="AI2414" s="1008"/>
    </row>
    <row r="2415" spans="1:35">
      <c r="A2415" s="1008">
        <v>24885</v>
      </c>
      <c r="B2415" s="1008">
        <v>2092</v>
      </c>
      <c r="C2415" s="1008">
        <v>8</v>
      </c>
      <c r="D2415" s="1009">
        <v>41472999</v>
      </c>
      <c r="E2415" s="1009">
        <v>41472140</v>
      </c>
      <c r="F2415" s="1007" t="s">
        <v>2229</v>
      </c>
      <c r="G2415" s="1007">
        <v>8</v>
      </c>
      <c r="H2415" s="1010">
        <v>99999999</v>
      </c>
      <c r="I2415" s="1009">
        <v>41472140</v>
      </c>
      <c r="J2415" s="1007" t="s">
        <v>2229</v>
      </c>
      <c r="O2415" s="1007" t="s">
        <v>648</v>
      </c>
      <c r="P2415" s="1007" t="s">
        <v>648</v>
      </c>
      <c r="S2415" s="1008" t="s">
        <v>657</v>
      </c>
      <c r="T2415" s="1008" t="s">
        <v>654</v>
      </c>
      <c r="U2415" s="1008" t="s">
        <v>653</v>
      </c>
      <c r="V2415" s="1008" t="s">
        <v>648</v>
      </c>
      <c r="W2415" s="1008" t="s">
        <v>546</v>
      </c>
      <c r="X2415" s="1008" t="s">
        <v>670</v>
      </c>
      <c r="Y2415" s="1008"/>
      <c r="Z2415" s="1008"/>
      <c r="AA2415" s="1008"/>
      <c r="AB2415" s="1008"/>
      <c r="AC2415" s="1008"/>
      <c r="AD2415" s="1008" t="s">
        <v>670</v>
      </c>
      <c r="AE2415" s="1008"/>
      <c r="AF2415" s="1008"/>
      <c r="AG2415" s="1008"/>
      <c r="AH2415" s="1008"/>
      <c r="AI2415" s="1008"/>
    </row>
    <row r="2416" spans="1:35">
      <c r="A2416" s="1008">
        <v>24886</v>
      </c>
      <c r="B2416" s="1008">
        <v>2093</v>
      </c>
      <c r="C2416" s="1008">
        <v>8</v>
      </c>
      <c r="D2416" s="1009">
        <v>41472999</v>
      </c>
      <c r="E2416" s="1009">
        <v>41472149</v>
      </c>
      <c r="F2416" s="1007" t="s">
        <v>2228</v>
      </c>
      <c r="G2416" s="1007">
        <v>8</v>
      </c>
      <c r="H2416" s="1010">
        <v>99999999</v>
      </c>
      <c r="I2416" s="1009">
        <v>41472149</v>
      </c>
      <c r="J2416" s="1007" t="s">
        <v>2228</v>
      </c>
      <c r="O2416" s="1007" t="s">
        <v>648</v>
      </c>
      <c r="P2416" s="1007" t="s">
        <v>648</v>
      </c>
      <c r="S2416" s="1008" t="s">
        <v>657</v>
      </c>
      <c r="T2416" s="1008" t="s">
        <v>654</v>
      </c>
      <c r="U2416" s="1008" t="s">
        <v>653</v>
      </c>
      <c r="V2416" s="1008" t="s">
        <v>648</v>
      </c>
      <c r="W2416" s="1008" t="s">
        <v>546</v>
      </c>
      <c r="X2416" s="1008" t="s">
        <v>670</v>
      </c>
      <c r="Y2416" s="1008"/>
      <c r="Z2416" s="1008"/>
      <c r="AA2416" s="1008"/>
      <c r="AB2416" s="1008"/>
      <c r="AC2416" s="1008"/>
      <c r="AD2416" s="1008" t="s">
        <v>670</v>
      </c>
      <c r="AE2416" s="1008"/>
      <c r="AF2416" s="1008"/>
      <c r="AG2416" s="1008"/>
      <c r="AH2416" s="1008"/>
      <c r="AI2416" s="1008"/>
    </row>
    <row r="2417" spans="1:35">
      <c r="A2417" s="1008">
        <v>24887</v>
      </c>
      <c r="B2417" s="1008">
        <v>2094</v>
      </c>
      <c r="C2417" s="1008">
        <v>8</v>
      </c>
      <c r="D2417" s="1009">
        <v>41472999</v>
      </c>
      <c r="E2417" s="1009">
        <v>41472150</v>
      </c>
      <c r="F2417" s="1007" t="s">
        <v>2227</v>
      </c>
      <c r="G2417" s="1007">
        <v>8</v>
      </c>
      <c r="H2417" s="1010">
        <v>99999999</v>
      </c>
      <c r="I2417" s="1009">
        <v>41472150</v>
      </c>
      <c r="J2417" s="1007" t="s">
        <v>2227</v>
      </c>
      <c r="O2417" s="1007" t="s">
        <v>648</v>
      </c>
      <c r="P2417" s="1007" t="s">
        <v>648</v>
      </c>
      <c r="S2417" s="1008" t="s">
        <v>657</v>
      </c>
      <c r="T2417" s="1008" t="s">
        <v>654</v>
      </c>
      <c r="U2417" s="1008" t="s">
        <v>653</v>
      </c>
      <c r="V2417" s="1008" t="s">
        <v>648</v>
      </c>
      <c r="W2417" s="1008" t="s">
        <v>546</v>
      </c>
      <c r="X2417" s="1008" t="s">
        <v>670</v>
      </c>
      <c r="Y2417" s="1008"/>
      <c r="Z2417" s="1008"/>
      <c r="AA2417" s="1008"/>
      <c r="AB2417" s="1008"/>
      <c r="AC2417" s="1008"/>
      <c r="AD2417" s="1008" t="s">
        <v>670</v>
      </c>
      <c r="AE2417" s="1008"/>
      <c r="AF2417" s="1008"/>
      <c r="AG2417" s="1008"/>
      <c r="AH2417" s="1008"/>
      <c r="AI2417" s="1008"/>
    </row>
    <row r="2418" spans="1:35">
      <c r="A2418" s="1008">
        <v>24888</v>
      </c>
      <c r="B2418" s="1008">
        <v>2095</v>
      </c>
      <c r="C2418" s="1008">
        <v>8</v>
      </c>
      <c r="D2418" s="1009">
        <v>41472999</v>
      </c>
      <c r="E2418" s="1009">
        <v>41472159</v>
      </c>
      <c r="F2418" s="1007" t="s">
        <v>2226</v>
      </c>
      <c r="G2418" s="1007">
        <v>8</v>
      </c>
      <c r="H2418" s="1010">
        <v>99999999</v>
      </c>
      <c r="I2418" s="1009">
        <v>41472159</v>
      </c>
      <c r="J2418" s="1007" t="s">
        <v>2226</v>
      </c>
      <c r="O2418" s="1007" t="s">
        <v>648</v>
      </c>
      <c r="P2418" s="1007" t="s">
        <v>648</v>
      </c>
      <c r="S2418" s="1008" t="s">
        <v>657</v>
      </c>
      <c r="T2418" s="1008" t="s">
        <v>654</v>
      </c>
      <c r="U2418" s="1008" t="s">
        <v>653</v>
      </c>
      <c r="V2418" s="1008" t="s">
        <v>648</v>
      </c>
      <c r="W2418" s="1008" t="s">
        <v>546</v>
      </c>
      <c r="X2418" s="1008" t="s">
        <v>670</v>
      </c>
      <c r="Y2418" s="1008"/>
      <c r="Z2418" s="1008"/>
      <c r="AA2418" s="1008"/>
      <c r="AB2418" s="1008"/>
      <c r="AC2418" s="1008"/>
      <c r="AD2418" s="1008" t="s">
        <v>670</v>
      </c>
      <c r="AE2418" s="1008"/>
      <c r="AF2418" s="1008"/>
      <c r="AG2418" s="1008"/>
      <c r="AH2418" s="1008"/>
      <c r="AI2418" s="1008"/>
    </row>
    <row r="2419" spans="1:35">
      <c r="A2419" s="1008">
        <v>24889</v>
      </c>
      <c r="B2419" s="1008">
        <v>2096</v>
      </c>
      <c r="C2419" s="1008">
        <v>8</v>
      </c>
      <c r="D2419" s="1009">
        <v>41472999</v>
      </c>
      <c r="E2419" s="1009">
        <v>41472160</v>
      </c>
      <c r="F2419" s="1007" t="s">
        <v>2225</v>
      </c>
      <c r="G2419" s="1007">
        <v>8</v>
      </c>
      <c r="H2419" s="1010">
        <v>99999999</v>
      </c>
      <c r="I2419" s="1009">
        <v>41472160</v>
      </c>
      <c r="J2419" s="1007" t="s">
        <v>2225</v>
      </c>
      <c r="O2419" s="1007" t="s">
        <v>648</v>
      </c>
      <c r="P2419" s="1007" t="s">
        <v>648</v>
      </c>
      <c r="S2419" s="1008" t="s">
        <v>657</v>
      </c>
      <c r="T2419" s="1008" t="s">
        <v>654</v>
      </c>
      <c r="U2419" s="1008" t="s">
        <v>653</v>
      </c>
      <c r="V2419" s="1008" t="s">
        <v>648</v>
      </c>
      <c r="W2419" s="1008" t="s">
        <v>546</v>
      </c>
      <c r="X2419" s="1008" t="s">
        <v>670</v>
      </c>
      <c r="Y2419" s="1008"/>
      <c r="Z2419" s="1008"/>
      <c r="AA2419" s="1008"/>
      <c r="AB2419" s="1008"/>
      <c r="AC2419" s="1008"/>
      <c r="AD2419" s="1008" t="s">
        <v>670</v>
      </c>
      <c r="AE2419" s="1008"/>
      <c r="AF2419" s="1008"/>
      <c r="AG2419" s="1008"/>
      <c r="AH2419" s="1008"/>
      <c r="AI2419" s="1008"/>
    </row>
    <row r="2420" spans="1:35">
      <c r="A2420" s="1008">
        <v>24890</v>
      </c>
      <c r="B2420" s="1008">
        <v>2097</v>
      </c>
      <c r="C2420" s="1008">
        <v>8</v>
      </c>
      <c r="D2420" s="1009">
        <v>41472999</v>
      </c>
      <c r="E2420" s="1009">
        <v>41472169</v>
      </c>
      <c r="F2420" s="1007" t="s">
        <v>2224</v>
      </c>
      <c r="G2420" s="1007">
        <v>8</v>
      </c>
      <c r="H2420" s="1010">
        <v>99999999</v>
      </c>
      <c r="I2420" s="1009">
        <v>41472169</v>
      </c>
      <c r="J2420" s="1007" t="s">
        <v>2224</v>
      </c>
      <c r="O2420" s="1007" t="s">
        <v>648</v>
      </c>
      <c r="P2420" s="1007" t="s">
        <v>648</v>
      </c>
      <c r="S2420" s="1008" t="s">
        <v>657</v>
      </c>
      <c r="T2420" s="1008" t="s">
        <v>654</v>
      </c>
      <c r="U2420" s="1008" t="s">
        <v>653</v>
      </c>
      <c r="V2420" s="1008" t="s">
        <v>648</v>
      </c>
      <c r="W2420" s="1008" t="s">
        <v>546</v>
      </c>
      <c r="X2420" s="1008" t="s">
        <v>670</v>
      </c>
      <c r="Y2420" s="1008"/>
      <c r="Z2420" s="1008"/>
      <c r="AA2420" s="1008"/>
      <c r="AB2420" s="1008"/>
      <c r="AC2420" s="1008"/>
      <c r="AD2420" s="1008" t="s">
        <v>670</v>
      </c>
      <c r="AE2420" s="1008"/>
      <c r="AF2420" s="1008"/>
      <c r="AG2420" s="1008"/>
      <c r="AH2420" s="1008"/>
      <c r="AI2420" s="1008"/>
    </row>
    <row r="2421" spans="1:35">
      <c r="A2421" s="1008">
        <v>24891</v>
      </c>
      <c r="B2421" s="1008">
        <v>2098</v>
      </c>
      <c r="C2421" s="1008">
        <v>8</v>
      </c>
      <c r="D2421" s="1009">
        <v>41472999</v>
      </c>
      <c r="E2421" s="1009">
        <v>41472170</v>
      </c>
      <c r="F2421" s="1007" t="s">
        <v>2223</v>
      </c>
      <c r="G2421" s="1007">
        <v>8</v>
      </c>
      <c r="H2421" s="1010">
        <v>99999999</v>
      </c>
      <c r="I2421" s="1009">
        <v>41472170</v>
      </c>
      <c r="J2421" s="1007" t="s">
        <v>2223</v>
      </c>
      <c r="O2421" s="1007" t="s">
        <v>648</v>
      </c>
      <c r="P2421" s="1007" t="s">
        <v>648</v>
      </c>
      <c r="S2421" s="1008" t="s">
        <v>657</v>
      </c>
      <c r="T2421" s="1008" t="s">
        <v>654</v>
      </c>
      <c r="U2421" s="1008" t="s">
        <v>653</v>
      </c>
      <c r="V2421" s="1008" t="s">
        <v>648</v>
      </c>
      <c r="W2421" s="1008" t="s">
        <v>546</v>
      </c>
      <c r="X2421" s="1008" t="s">
        <v>670</v>
      </c>
      <c r="Y2421" s="1008"/>
      <c r="Z2421" s="1008"/>
      <c r="AA2421" s="1008"/>
      <c r="AB2421" s="1008"/>
      <c r="AC2421" s="1008"/>
      <c r="AD2421" s="1008" t="s">
        <v>670</v>
      </c>
      <c r="AE2421" s="1008"/>
      <c r="AF2421" s="1008"/>
      <c r="AG2421" s="1008"/>
      <c r="AH2421" s="1008"/>
      <c r="AI2421" s="1008"/>
    </row>
    <row r="2422" spans="1:35">
      <c r="A2422" s="1008">
        <v>24892</v>
      </c>
      <c r="B2422" s="1008">
        <v>5340</v>
      </c>
      <c r="C2422" s="1008">
        <v>8</v>
      </c>
      <c r="D2422" s="1009">
        <v>41472999</v>
      </c>
      <c r="E2422" s="1009">
        <v>41472179</v>
      </c>
      <c r="F2422" s="1007" t="s">
        <v>2222</v>
      </c>
      <c r="G2422" s="1007">
        <v>8</v>
      </c>
      <c r="H2422" s="1010">
        <v>99999999</v>
      </c>
      <c r="I2422" s="1009">
        <v>41472179</v>
      </c>
      <c r="J2422" s="1007" t="s">
        <v>2222</v>
      </c>
      <c r="O2422" s="1007" t="s">
        <v>648</v>
      </c>
      <c r="P2422" s="1007" t="s">
        <v>648</v>
      </c>
      <c r="S2422" s="1008" t="s">
        <v>657</v>
      </c>
      <c r="T2422" s="1008" t="s">
        <v>654</v>
      </c>
      <c r="U2422" s="1008" t="s">
        <v>653</v>
      </c>
      <c r="V2422" s="1008" t="s">
        <v>648</v>
      </c>
      <c r="W2422" s="1008" t="s">
        <v>546</v>
      </c>
      <c r="X2422" s="1008" t="s">
        <v>670</v>
      </c>
      <c r="Y2422" s="1008"/>
      <c r="Z2422" s="1008"/>
      <c r="AA2422" s="1008"/>
      <c r="AB2422" s="1008"/>
      <c r="AC2422" s="1008"/>
      <c r="AD2422" s="1008" t="s">
        <v>670</v>
      </c>
      <c r="AE2422" s="1008"/>
      <c r="AF2422" s="1008"/>
      <c r="AG2422" s="1008"/>
      <c r="AH2422" s="1008"/>
      <c r="AI2422" s="1008"/>
    </row>
    <row r="2423" spans="1:35">
      <c r="A2423" s="1008">
        <v>24893</v>
      </c>
      <c r="C2423" s="1008">
        <v>7</v>
      </c>
      <c r="D2423" s="1009">
        <v>41479999</v>
      </c>
      <c r="E2423" s="1009">
        <v>41472999</v>
      </c>
      <c r="F2423" s="1007" t="s">
        <v>2221</v>
      </c>
      <c r="O2423" s="1007" t="s">
        <v>648</v>
      </c>
      <c r="P2423" s="1007" t="s">
        <v>648</v>
      </c>
      <c r="S2423" s="1008" t="s">
        <v>657</v>
      </c>
      <c r="T2423" s="1008" t="s">
        <v>21</v>
      </c>
      <c r="U2423" s="1008" t="s">
        <v>653</v>
      </c>
      <c r="V2423" s="1008" t="s">
        <v>648</v>
      </c>
      <c r="W2423" s="1008" t="s">
        <v>546</v>
      </c>
      <c r="X2423" s="1008"/>
      <c r="Y2423" s="1008"/>
      <c r="Z2423" s="1008"/>
      <c r="AA2423" s="1008"/>
      <c r="AB2423" s="1008"/>
      <c r="AC2423" s="1008"/>
      <c r="AD2423" s="1008"/>
      <c r="AE2423" s="1008"/>
      <c r="AF2423" s="1008"/>
      <c r="AG2423" s="1008"/>
      <c r="AH2423" s="1008"/>
      <c r="AI2423" s="1008"/>
    </row>
    <row r="2424" spans="1:35">
      <c r="A2424" s="1008">
        <v>24894</v>
      </c>
      <c r="C2424" s="1008">
        <v>7</v>
      </c>
      <c r="D2424" s="1009">
        <v>41473999</v>
      </c>
      <c r="E2424" s="1009">
        <v>41473000</v>
      </c>
      <c r="F2424" s="1007" t="s">
        <v>2220</v>
      </c>
      <c r="O2424" s="1007" t="s">
        <v>648</v>
      </c>
      <c r="P2424" s="1007" t="s">
        <v>648</v>
      </c>
      <c r="S2424" s="1008" t="s">
        <v>657</v>
      </c>
      <c r="T2424" s="1008" t="s">
        <v>675</v>
      </c>
      <c r="U2424" s="1008" t="s">
        <v>653</v>
      </c>
      <c r="V2424" s="1008" t="s">
        <v>648</v>
      </c>
      <c r="W2424" s="1008" t="s">
        <v>546</v>
      </c>
      <c r="X2424" s="1008"/>
      <c r="Y2424" s="1008"/>
      <c r="Z2424" s="1008"/>
      <c r="AA2424" s="1008"/>
      <c r="AB2424" s="1008"/>
      <c r="AC2424" s="1008"/>
      <c r="AD2424" s="1008"/>
      <c r="AE2424" s="1008"/>
      <c r="AF2424" s="1008"/>
      <c r="AG2424" s="1008"/>
      <c r="AH2424" s="1008"/>
      <c r="AI2424" s="1008"/>
    </row>
    <row r="2425" spans="1:35">
      <c r="A2425" s="1008">
        <v>24895</v>
      </c>
      <c r="B2425" s="1008">
        <v>2100</v>
      </c>
      <c r="C2425" s="1008">
        <v>8</v>
      </c>
      <c r="D2425" s="1009">
        <v>41473999</v>
      </c>
      <c r="E2425" s="1009">
        <v>41473120</v>
      </c>
      <c r="F2425" s="1007" t="s">
        <v>2219</v>
      </c>
      <c r="G2425" s="1007">
        <v>8</v>
      </c>
      <c r="H2425" s="1010">
        <v>99999999</v>
      </c>
      <c r="I2425" s="1009">
        <v>41473120</v>
      </c>
      <c r="J2425" s="1007" t="s">
        <v>2219</v>
      </c>
      <c r="O2425" s="1007" t="s">
        <v>648</v>
      </c>
      <c r="P2425" s="1007" t="s">
        <v>648</v>
      </c>
      <c r="S2425" s="1008" t="s">
        <v>657</v>
      </c>
      <c r="T2425" s="1008" t="s">
        <v>654</v>
      </c>
      <c r="U2425" s="1008" t="s">
        <v>653</v>
      </c>
      <c r="V2425" s="1008" t="s">
        <v>648</v>
      </c>
      <c r="W2425" s="1008" t="s">
        <v>546</v>
      </c>
      <c r="X2425" s="1008" t="s">
        <v>670</v>
      </c>
      <c r="Y2425" s="1008"/>
      <c r="Z2425" s="1008"/>
      <c r="AA2425" s="1008"/>
      <c r="AB2425" s="1008"/>
      <c r="AC2425" s="1008"/>
      <c r="AD2425" s="1008" t="s">
        <v>670</v>
      </c>
      <c r="AE2425" s="1008"/>
      <c r="AF2425" s="1008"/>
      <c r="AG2425" s="1008"/>
      <c r="AH2425" s="1008"/>
      <c r="AI2425" s="1008"/>
    </row>
    <row r="2426" spans="1:35">
      <c r="A2426" s="1008">
        <v>24896</v>
      </c>
      <c r="B2426" s="1008">
        <v>5342</v>
      </c>
      <c r="C2426" s="1008">
        <v>8</v>
      </c>
      <c r="D2426" s="1009">
        <v>41473999</v>
      </c>
      <c r="E2426" s="1009">
        <v>41473129</v>
      </c>
      <c r="F2426" s="1007" t="s">
        <v>2218</v>
      </c>
      <c r="G2426" s="1007">
        <v>8</v>
      </c>
      <c r="H2426" s="1010">
        <v>99999999</v>
      </c>
      <c r="I2426" s="1009">
        <v>41473129</v>
      </c>
      <c r="J2426" s="1007" t="s">
        <v>2218</v>
      </c>
      <c r="O2426" s="1007" t="s">
        <v>648</v>
      </c>
      <c r="P2426" s="1007" t="s">
        <v>648</v>
      </c>
      <c r="S2426" s="1008" t="s">
        <v>657</v>
      </c>
      <c r="T2426" s="1008" t="s">
        <v>654</v>
      </c>
      <c r="U2426" s="1008" t="s">
        <v>653</v>
      </c>
      <c r="V2426" s="1008" t="s">
        <v>648</v>
      </c>
      <c r="W2426" s="1008" t="s">
        <v>546</v>
      </c>
      <c r="X2426" s="1008" t="s">
        <v>670</v>
      </c>
      <c r="Y2426" s="1008"/>
      <c r="Z2426" s="1008"/>
      <c r="AA2426" s="1008"/>
      <c r="AB2426" s="1008"/>
      <c r="AC2426" s="1008"/>
      <c r="AD2426" s="1008" t="s">
        <v>670</v>
      </c>
      <c r="AE2426" s="1008"/>
      <c r="AF2426" s="1008"/>
      <c r="AG2426" s="1008"/>
      <c r="AH2426" s="1008"/>
      <c r="AI2426" s="1008"/>
    </row>
    <row r="2427" spans="1:35">
      <c r="A2427" s="1008">
        <v>24897</v>
      </c>
      <c r="C2427" s="1008">
        <v>7</v>
      </c>
      <c r="D2427" s="1009">
        <v>41479999</v>
      </c>
      <c r="E2427" s="1009">
        <v>41473999</v>
      </c>
      <c r="F2427" s="1007" t="s">
        <v>2217</v>
      </c>
      <c r="O2427" s="1007" t="s">
        <v>648</v>
      </c>
      <c r="P2427" s="1007" t="s">
        <v>648</v>
      </c>
      <c r="S2427" s="1008" t="s">
        <v>657</v>
      </c>
      <c r="T2427" s="1008" t="s">
        <v>21</v>
      </c>
      <c r="U2427" s="1008" t="s">
        <v>653</v>
      </c>
      <c r="V2427" s="1008" t="s">
        <v>648</v>
      </c>
      <c r="W2427" s="1008" t="s">
        <v>546</v>
      </c>
      <c r="X2427" s="1008"/>
      <c r="Y2427" s="1008"/>
      <c r="Z2427" s="1008"/>
      <c r="AA2427" s="1008"/>
      <c r="AB2427" s="1008"/>
      <c r="AC2427" s="1008"/>
      <c r="AD2427" s="1008"/>
      <c r="AE2427" s="1008"/>
      <c r="AF2427" s="1008"/>
      <c r="AG2427" s="1008"/>
      <c r="AH2427" s="1008"/>
      <c r="AI2427" s="1008"/>
    </row>
    <row r="2428" spans="1:35">
      <c r="A2428" s="1008">
        <v>24898</v>
      </c>
      <c r="C2428" s="1008">
        <v>6</v>
      </c>
      <c r="D2428" s="1009">
        <v>41499999</v>
      </c>
      <c r="E2428" s="1009">
        <v>41479999</v>
      </c>
      <c r="F2428" s="1007" t="s">
        <v>2216</v>
      </c>
      <c r="O2428" s="1007" t="s">
        <v>648</v>
      </c>
      <c r="P2428" s="1007" t="s">
        <v>648</v>
      </c>
      <c r="S2428" s="1008" t="s">
        <v>657</v>
      </c>
      <c r="T2428" s="1008" t="s">
        <v>21</v>
      </c>
      <c r="U2428" s="1008" t="s">
        <v>653</v>
      </c>
      <c r="V2428" s="1008" t="s">
        <v>648</v>
      </c>
      <c r="W2428" s="1008" t="s">
        <v>546</v>
      </c>
      <c r="X2428" s="1008"/>
      <c r="Y2428" s="1008"/>
      <c r="Z2428" s="1008"/>
      <c r="AA2428" s="1008"/>
      <c r="AB2428" s="1008"/>
      <c r="AC2428" s="1008"/>
      <c r="AD2428" s="1008"/>
      <c r="AE2428" s="1008"/>
      <c r="AF2428" s="1008"/>
      <c r="AG2428" s="1008"/>
      <c r="AH2428" s="1008"/>
      <c r="AI2428" s="1008"/>
    </row>
    <row r="2429" spans="1:35">
      <c r="A2429" s="1008">
        <v>24899</v>
      </c>
      <c r="C2429" s="1008">
        <v>5</v>
      </c>
      <c r="D2429" s="1009">
        <v>41999999</v>
      </c>
      <c r="E2429" s="1009">
        <v>41499999</v>
      </c>
      <c r="F2429" s="1007" t="s">
        <v>2215</v>
      </c>
      <c r="O2429" s="1007" t="s">
        <v>648</v>
      </c>
      <c r="P2429" s="1007" t="s">
        <v>648</v>
      </c>
      <c r="S2429" s="1008" t="s">
        <v>657</v>
      </c>
      <c r="T2429" s="1008" t="s">
        <v>21</v>
      </c>
      <c r="U2429" s="1008" t="s">
        <v>653</v>
      </c>
      <c r="V2429" s="1008" t="s">
        <v>648</v>
      </c>
      <c r="W2429" s="1008" t="s">
        <v>546</v>
      </c>
      <c r="X2429" s="1008"/>
      <c r="Y2429" s="1008"/>
      <c r="Z2429" s="1008"/>
      <c r="AA2429" s="1008"/>
      <c r="AB2429" s="1008"/>
      <c r="AC2429" s="1008"/>
      <c r="AD2429" s="1008"/>
      <c r="AE2429" s="1008"/>
      <c r="AF2429" s="1008"/>
      <c r="AG2429" s="1008"/>
      <c r="AH2429" s="1008"/>
      <c r="AI2429" s="1008"/>
    </row>
    <row r="2430" spans="1:35">
      <c r="A2430" s="1008">
        <v>24900</v>
      </c>
      <c r="C2430" s="1008">
        <v>5</v>
      </c>
      <c r="D2430" s="1009">
        <v>41599999</v>
      </c>
      <c r="E2430" s="1009">
        <v>41500000</v>
      </c>
      <c r="F2430" s="1007" t="s">
        <v>2214</v>
      </c>
      <c r="O2430" s="1007" t="s">
        <v>648</v>
      </c>
      <c r="P2430" s="1007" t="s">
        <v>648</v>
      </c>
      <c r="S2430" s="1008" t="s">
        <v>657</v>
      </c>
      <c r="T2430" s="1008" t="s">
        <v>675</v>
      </c>
      <c r="U2430" s="1008" t="s">
        <v>653</v>
      </c>
      <c r="V2430" s="1008" t="s">
        <v>648</v>
      </c>
      <c r="W2430" s="1008" t="s">
        <v>546</v>
      </c>
      <c r="X2430" s="1008"/>
      <c r="Y2430" s="1008"/>
      <c r="Z2430" s="1008"/>
      <c r="AA2430" s="1008"/>
      <c r="AB2430" s="1008"/>
      <c r="AC2430" s="1008"/>
      <c r="AD2430" s="1008"/>
      <c r="AE2430" s="1008"/>
      <c r="AF2430" s="1008"/>
      <c r="AG2430" s="1008"/>
      <c r="AH2430" s="1008"/>
      <c r="AI2430" s="1008"/>
    </row>
    <row r="2431" spans="1:35">
      <c r="A2431" s="1008">
        <v>24901</v>
      </c>
      <c r="C2431" s="1008">
        <v>6</v>
      </c>
      <c r="D2431" s="1009">
        <v>41519999</v>
      </c>
      <c r="E2431" s="1009">
        <v>41510000</v>
      </c>
      <c r="F2431" s="1007" t="s">
        <v>2213</v>
      </c>
      <c r="O2431" s="1007" t="s">
        <v>648</v>
      </c>
      <c r="P2431" s="1007" t="s">
        <v>648</v>
      </c>
      <c r="S2431" s="1008" t="s">
        <v>657</v>
      </c>
      <c r="T2431" s="1008" t="s">
        <v>675</v>
      </c>
      <c r="U2431" s="1008" t="s">
        <v>653</v>
      </c>
      <c r="V2431" s="1008" t="s">
        <v>648</v>
      </c>
      <c r="W2431" s="1008" t="s">
        <v>546</v>
      </c>
      <c r="X2431" s="1008"/>
      <c r="Y2431" s="1008"/>
      <c r="Z2431" s="1008"/>
      <c r="AA2431" s="1008"/>
      <c r="AB2431" s="1008"/>
      <c r="AC2431" s="1008"/>
      <c r="AD2431" s="1008"/>
      <c r="AE2431" s="1008"/>
      <c r="AF2431" s="1008"/>
      <c r="AG2431" s="1008"/>
      <c r="AH2431" s="1008"/>
      <c r="AI2431" s="1008"/>
    </row>
    <row r="2432" spans="1:35">
      <c r="A2432" s="1008">
        <v>24902</v>
      </c>
      <c r="B2432" s="1008">
        <v>2102</v>
      </c>
      <c r="C2432" s="1008">
        <v>7</v>
      </c>
      <c r="D2432" s="1009">
        <v>41519999</v>
      </c>
      <c r="E2432" s="1009">
        <v>41511000</v>
      </c>
      <c r="F2432" s="1007" t="s">
        <v>2213</v>
      </c>
      <c r="G2432" s="1007">
        <v>7</v>
      </c>
      <c r="H2432" s="1010">
        <v>99999999</v>
      </c>
      <c r="I2432" s="1009">
        <v>41511000</v>
      </c>
      <c r="J2432" s="1007" t="s">
        <v>2213</v>
      </c>
      <c r="O2432" s="1007" t="s">
        <v>648</v>
      </c>
      <c r="P2432" s="1007" t="s">
        <v>648</v>
      </c>
      <c r="S2432" s="1008" t="s">
        <v>657</v>
      </c>
      <c r="T2432" s="1008" t="s">
        <v>654</v>
      </c>
      <c r="U2432" s="1008" t="s">
        <v>653</v>
      </c>
      <c r="V2432" s="1008" t="s">
        <v>648</v>
      </c>
      <c r="W2432" s="1008" t="s">
        <v>546</v>
      </c>
      <c r="X2432" s="1008" t="s">
        <v>670</v>
      </c>
      <c r="Y2432" s="1008" t="s">
        <v>670</v>
      </c>
      <c r="Z2432" s="1008" t="s">
        <v>670</v>
      </c>
      <c r="AA2432" s="1008" t="s">
        <v>670</v>
      </c>
      <c r="AB2432" s="1008" t="s">
        <v>670</v>
      </c>
      <c r="AC2432" s="1008" t="s">
        <v>670</v>
      </c>
      <c r="AD2432" s="1008" t="s">
        <v>670</v>
      </c>
      <c r="AE2432" s="1008"/>
      <c r="AF2432" s="1008" t="s">
        <v>670</v>
      </c>
      <c r="AG2432" s="1008"/>
      <c r="AH2432" s="1008"/>
      <c r="AI2432" s="1008"/>
    </row>
    <row r="2433" spans="1:35">
      <c r="A2433" s="1008">
        <v>24903</v>
      </c>
      <c r="B2433" s="1008">
        <v>2103</v>
      </c>
      <c r="C2433" s="1008">
        <v>7</v>
      </c>
      <c r="D2433" s="1009">
        <v>41519999</v>
      </c>
      <c r="E2433" s="1009">
        <v>41512000</v>
      </c>
      <c r="F2433" s="1007" t="s">
        <v>2212</v>
      </c>
      <c r="G2433" s="1007">
        <v>7</v>
      </c>
      <c r="H2433" s="1010">
        <v>99999999</v>
      </c>
      <c r="I2433" s="1009">
        <v>41512000</v>
      </c>
      <c r="J2433" s="1007" t="s">
        <v>2212</v>
      </c>
      <c r="O2433" s="1007" t="s">
        <v>648</v>
      </c>
      <c r="P2433" s="1007" t="s">
        <v>648</v>
      </c>
      <c r="S2433" s="1008" t="s">
        <v>657</v>
      </c>
      <c r="T2433" s="1008" t="s">
        <v>654</v>
      </c>
      <c r="U2433" s="1008" t="s">
        <v>653</v>
      </c>
      <c r="V2433" s="1008" t="s">
        <v>648</v>
      </c>
      <c r="W2433" s="1008" t="s">
        <v>546</v>
      </c>
      <c r="X2433" s="1008" t="s">
        <v>670</v>
      </c>
      <c r="Y2433" s="1008" t="s">
        <v>670</v>
      </c>
      <c r="Z2433" s="1008" t="s">
        <v>670</v>
      </c>
      <c r="AA2433" s="1008" t="s">
        <v>670</v>
      </c>
      <c r="AB2433" s="1008" t="s">
        <v>670</v>
      </c>
      <c r="AC2433" s="1008" t="s">
        <v>670</v>
      </c>
      <c r="AD2433" s="1008" t="s">
        <v>670</v>
      </c>
      <c r="AE2433" s="1008"/>
      <c r="AF2433" s="1008" t="s">
        <v>670</v>
      </c>
      <c r="AG2433" s="1008"/>
      <c r="AH2433" s="1008"/>
      <c r="AI2433" s="1008"/>
    </row>
    <row r="2434" spans="1:35">
      <c r="A2434" s="1008">
        <v>24904</v>
      </c>
      <c r="B2434" s="1008">
        <v>2104</v>
      </c>
      <c r="C2434" s="1008">
        <v>7</v>
      </c>
      <c r="D2434" s="1009">
        <v>41519999</v>
      </c>
      <c r="E2434" s="1009">
        <v>41513000</v>
      </c>
      <c r="F2434" s="1007" t="s">
        <v>2211</v>
      </c>
      <c r="G2434" s="1007">
        <v>7</v>
      </c>
      <c r="H2434" s="1010">
        <v>99999999</v>
      </c>
      <c r="I2434" s="1009">
        <v>41513000</v>
      </c>
      <c r="J2434" s="1007" t="s">
        <v>2211</v>
      </c>
      <c r="O2434" s="1007" t="s">
        <v>648</v>
      </c>
      <c r="P2434" s="1007" t="s">
        <v>648</v>
      </c>
      <c r="S2434" s="1008" t="s">
        <v>657</v>
      </c>
      <c r="T2434" s="1008" t="s">
        <v>654</v>
      </c>
      <c r="U2434" s="1008" t="s">
        <v>653</v>
      </c>
      <c r="V2434" s="1008" t="s">
        <v>648</v>
      </c>
      <c r="W2434" s="1008" t="s">
        <v>546</v>
      </c>
      <c r="X2434" s="1008" t="s">
        <v>670</v>
      </c>
      <c r="Y2434" s="1008" t="s">
        <v>670</v>
      </c>
      <c r="Z2434" s="1008" t="s">
        <v>670</v>
      </c>
      <c r="AA2434" s="1008" t="s">
        <v>670</v>
      </c>
      <c r="AB2434" s="1008" t="s">
        <v>670</v>
      </c>
      <c r="AC2434" s="1008" t="s">
        <v>670</v>
      </c>
      <c r="AD2434" s="1008" t="s">
        <v>670</v>
      </c>
      <c r="AE2434" s="1008"/>
      <c r="AF2434" s="1008" t="s">
        <v>670</v>
      </c>
      <c r="AG2434" s="1008"/>
      <c r="AH2434" s="1008"/>
      <c r="AI2434" s="1008"/>
    </row>
    <row r="2435" spans="1:35">
      <c r="A2435" s="1008">
        <v>24906</v>
      </c>
      <c r="B2435" s="1008">
        <v>5347</v>
      </c>
      <c r="C2435" s="1008">
        <v>7</v>
      </c>
      <c r="D2435" s="1009">
        <v>41519999</v>
      </c>
      <c r="E2435" s="1009">
        <v>41515000</v>
      </c>
      <c r="F2435" s="1007" t="s">
        <v>2210</v>
      </c>
      <c r="G2435" s="1007">
        <v>7</v>
      </c>
      <c r="H2435" s="1010">
        <v>99999999</v>
      </c>
      <c r="I2435" s="1009">
        <v>41515000</v>
      </c>
      <c r="J2435" s="1007" t="s">
        <v>2210</v>
      </c>
      <c r="O2435" s="1007" t="s">
        <v>648</v>
      </c>
      <c r="P2435" s="1007" t="s">
        <v>648</v>
      </c>
      <c r="S2435" s="1008" t="s">
        <v>657</v>
      </c>
      <c r="T2435" s="1008" t="s">
        <v>654</v>
      </c>
      <c r="U2435" s="1008" t="s">
        <v>653</v>
      </c>
      <c r="V2435" s="1008" t="s">
        <v>648</v>
      </c>
      <c r="W2435" s="1008" t="s">
        <v>546</v>
      </c>
      <c r="X2435" s="1008" t="s">
        <v>670</v>
      </c>
      <c r="Y2435" s="1008" t="s">
        <v>670</v>
      </c>
      <c r="Z2435" s="1008" t="s">
        <v>670</v>
      </c>
      <c r="AA2435" s="1008" t="s">
        <v>670</v>
      </c>
      <c r="AB2435" s="1008" t="s">
        <v>670</v>
      </c>
      <c r="AC2435" s="1008" t="s">
        <v>670</v>
      </c>
      <c r="AD2435" s="1008" t="s">
        <v>670</v>
      </c>
      <c r="AE2435" s="1008"/>
      <c r="AF2435" s="1008" t="s">
        <v>670</v>
      </c>
      <c r="AG2435" s="1008"/>
      <c r="AH2435" s="1008"/>
      <c r="AI2435" s="1008"/>
    </row>
    <row r="2436" spans="1:35">
      <c r="A2436" s="1008">
        <v>24908</v>
      </c>
      <c r="C2436" s="1008">
        <v>6</v>
      </c>
      <c r="D2436" s="1009">
        <v>41599999</v>
      </c>
      <c r="E2436" s="1009">
        <v>41519999</v>
      </c>
      <c r="F2436" s="1007" t="s">
        <v>2209</v>
      </c>
      <c r="O2436" s="1007" t="s">
        <v>648</v>
      </c>
      <c r="P2436" s="1007" t="s">
        <v>648</v>
      </c>
      <c r="S2436" s="1008" t="s">
        <v>657</v>
      </c>
      <c r="T2436" s="1008" t="s">
        <v>21</v>
      </c>
      <c r="U2436" s="1008" t="s">
        <v>653</v>
      </c>
      <c r="V2436" s="1008" t="s">
        <v>648</v>
      </c>
      <c r="W2436" s="1008" t="s">
        <v>546</v>
      </c>
      <c r="X2436" s="1008"/>
      <c r="Y2436" s="1008"/>
      <c r="Z2436" s="1008"/>
      <c r="AA2436" s="1008"/>
      <c r="AB2436" s="1008"/>
      <c r="AC2436" s="1008"/>
      <c r="AD2436" s="1008"/>
      <c r="AE2436" s="1008"/>
      <c r="AF2436" s="1008"/>
      <c r="AG2436" s="1008"/>
      <c r="AH2436" s="1008"/>
      <c r="AI2436" s="1008"/>
    </row>
    <row r="2437" spans="1:35">
      <c r="A2437" s="1008">
        <v>24909</v>
      </c>
      <c r="C2437" s="1008">
        <v>6</v>
      </c>
      <c r="D2437" s="1009">
        <v>41529999</v>
      </c>
      <c r="E2437" s="1009">
        <v>41520000</v>
      </c>
      <c r="F2437" s="1007" t="s">
        <v>2208</v>
      </c>
      <c r="O2437" s="1007" t="s">
        <v>648</v>
      </c>
      <c r="P2437" s="1007" t="s">
        <v>648</v>
      </c>
      <c r="S2437" s="1008" t="s">
        <v>657</v>
      </c>
      <c r="T2437" s="1008" t="s">
        <v>675</v>
      </c>
      <c r="U2437" s="1008" t="s">
        <v>653</v>
      </c>
      <c r="V2437" s="1008" t="s">
        <v>648</v>
      </c>
      <c r="W2437" s="1008" t="s">
        <v>546</v>
      </c>
      <c r="X2437" s="1008"/>
      <c r="Y2437" s="1008"/>
      <c r="Z2437" s="1008"/>
      <c r="AA2437" s="1008"/>
      <c r="AB2437" s="1008"/>
      <c r="AC2437" s="1008"/>
      <c r="AD2437" s="1008"/>
      <c r="AE2437" s="1008"/>
      <c r="AF2437" s="1008"/>
      <c r="AG2437" s="1008"/>
      <c r="AH2437" s="1008"/>
      <c r="AI2437" s="1008"/>
    </row>
    <row r="2438" spans="1:35">
      <c r="A2438" s="1008">
        <v>24910</v>
      </c>
      <c r="B2438" s="1008">
        <v>2106</v>
      </c>
      <c r="C2438" s="1008">
        <v>7</v>
      </c>
      <c r="D2438" s="1009">
        <v>41529999</v>
      </c>
      <c r="E2438" s="1009">
        <v>41521000</v>
      </c>
      <c r="F2438" s="1007" t="s">
        <v>2207</v>
      </c>
      <c r="G2438" s="1007">
        <v>7</v>
      </c>
      <c r="H2438" s="1010">
        <v>99999999</v>
      </c>
      <c r="I2438" s="1009">
        <v>41521000</v>
      </c>
      <c r="J2438" s="1007" t="s">
        <v>2207</v>
      </c>
      <c r="O2438" s="1007" t="s">
        <v>648</v>
      </c>
      <c r="P2438" s="1007" t="s">
        <v>648</v>
      </c>
      <c r="S2438" s="1008" t="s">
        <v>657</v>
      </c>
      <c r="T2438" s="1008" t="s">
        <v>654</v>
      </c>
      <c r="U2438" s="1008" t="s">
        <v>653</v>
      </c>
      <c r="V2438" s="1008" t="s">
        <v>648</v>
      </c>
      <c r="W2438" s="1008" t="s">
        <v>546</v>
      </c>
      <c r="X2438" s="1008" t="s">
        <v>670</v>
      </c>
      <c r="Y2438" s="1008" t="s">
        <v>670</v>
      </c>
      <c r="Z2438" s="1008" t="s">
        <v>670</v>
      </c>
      <c r="AA2438" s="1008" t="s">
        <v>670</v>
      </c>
      <c r="AB2438" s="1008" t="s">
        <v>670</v>
      </c>
      <c r="AC2438" s="1008" t="s">
        <v>670</v>
      </c>
      <c r="AD2438" s="1008" t="s">
        <v>670</v>
      </c>
      <c r="AE2438" s="1008"/>
      <c r="AF2438" s="1008" t="s">
        <v>670</v>
      </c>
      <c r="AG2438" s="1008"/>
      <c r="AH2438" s="1008"/>
      <c r="AI2438" s="1008"/>
    </row>
    <row r="2439" spans="1:35">
      <c r="A2439" s="1008">
        <v>24911</v>
      </c>
      <c r="B2439" s="1008">
        <v>2107</v>
      </c>
      <c r="C2439" s="1008">
        <v>7</v>
      </c>
      <c r="D2439" s="1009">
        <v>41529999</v>
      </c>
      <c r="E2439" s="1009">
        <v>41522000</v>
      </c>
      <c r="F2439" s="1007" t="s">
        <v>2206</v>
      </c>
      <c r="G2439" s="1007">
        <v>7</v>
      </c>
      <c r="H2439" s="1010">
        <v>99999999</v>
      </c>
      <c r="I2439" s="1009">
        <v>41522000</v>
      </c>
      <c r="J2439" s="1007" t="s">
        <v>2206</v>
      </c>
      <c r="O2439" s="1007" t="s">
        <v>648</v>
      </c>
      <c r="P2439" s="1007" t="s">
        <v>648</v>
      </c>
      <c r="S2439" s="1008" t="s">
        <v>657</v>
      </c>
      <c r="T2439" s="1008" t="s">
        <v>654</v>
      </c>
      <c r="U2439" s="1008" t="s">
        <v>653</v>
      </c>
      <c r="V2439" s="1008" t="s">
        <v>648</v>
      </c>
      <c r="W2439" s="1008" t="s">
        <v>546</v>
      </c>
      <c r="X2439" s="1008" t="s">
        <v>670</v>
      </c>
      <c r="Y2439" s="1008" t="s">
        <v>670</v>
      </c>
      <c r="Z2439" s="1008" t="s">
        <v>670</v>
      </c>
      <c r="AA2439" s="1008" t="s">
        <v>670</v>
      </c>
      <c r="AB2439" s="1008" t="s">
        <v>670</v>
      </c>
      <c r="AC2439" s="1008" t="s">
        <v>670</v>
      </c>
      <c r="AD2439" s="1008" t="s">
        <v>670</v>
      </c>
      <c r="AE2439" s="1008"/>
      <c r="AF2439" s="1008" t="s">
        <v>670</v>
      </c>
      <c r="AG2439" s="1008"/>
      <c r="AH2439" s="1008"/>
      <c r="AI2439" s="1008"/>
    </row>
    <row r="2440" spans="1:35">
      <c r="A2440" s="1008">
        <v>24912</v>
      </c>
      <c r="B2440" s="1008">
        <v>5349</v>
      </c>
      <c r="C2440" s="1008">
        <v>7</v>
      </c>
      <c r="D2440" s="1009">
        <v>41529999</v>
      </c>
      <c r="E2440" s="1009">
        <v>41523000</v>
      </c>
      <c r="F2440" s="1007" t="s">
        <v>2205</v>
      </c>
      <c r="G2440" s="1007">
        <v>7</v>
      </c>
      <c r="H2440" s="1010">
        <v>99999999</v>
      </c>
      <c r="I2440" s="1009">
        <v>41523000</v>
      </c>
      <c r="J2440" s="1007" t="s">
        <v>2205</v>
      </c>
      <c r="O2440" s="1007" t="s">
        <v>648</v>
      </c>
      <c r="P2440" s="1007" t="s">
        <v>648</v>
      </c>
      <c r="S2440" s="1008" t="s">
        <v>657</v>
      </c>
      <c r="T2440" s="1008" t="s">
        <v>654</v>
      </c>
      <c r="U2440" s="1008" t="s">
        <v>653</v>
      </c>
      <c r="V2440" s="1008" t="s">
        <v>648</v>
      </c>
      <c r="W2440" s="1008" t="s">
        <v>546</v>
      </c>
      <c r="X2440" s="1008" t="s">
        <v>670</v>
      </c>
      <c r="Y2440" s="1008" t="s">
        <v>670</v>
      </c>
      <c r="Z2440" s="1008" t="s">
        <v>670</v>
      </c>
      <c r="AA2440" s="1008" t="s">
        <v>670</v>
      </c>
      <c r="AB2440" s="1008" t="s">
        <v>670</v>
      </c>
      <c r="AC2440" s="1008" t="s">
        <v>670</v>
      </c>
      <c r="AD2440" s="1008" t="s">
        <v>670</v>
      </c>
      <c r="AE2440" s="1008"/>
      <c r="AF2440" s="1008" t="s">
        <v>670</v>
      </c>
      <c r="AG2440" s="1008"/>
      <c r="AH2440" s="1008"/>
      <c r="AI2440" s="1008"/>
    </row>
    <row r="2441" spans="1:35">
      <c r="A2441" s="1008">
        <v>24913</v>
      </c>
      <c r="C2441" s="1008">
        <v>6</v>
      </c>
      <c r="D2441" s="1009">
        <v>41599999</v>
      </c>
      <c r="E2441" s="1009">
        <v>41529999</v>
      </c>
      <c r="F2441" s="1007" t="s">
        <v>2204</v>
      </c>
      <c r="O2441" s="1007" t="s">
        <v>648</v>
      </c>
      <c r="P2441" s="1007" t="s">
        <v>648</v>
      </c>
      <c r="S2441" s="1008" t="s">
        <v>657</v>
      </c>
      <c r="T2441" s="1008" t="s">
        <v>21</v>
      </c>
      <c r="U2441" s="1008" t="s">
        <v>653</v>
      </c>
      <c r="V2441" s="1008" t="s">
        <v>648</v>
      </c>
      <c r="W2441" s="1008" t="s">
        <v>546</v>
      </c>
      <c r="X2441" s="1008"/>
      <c r="Y2441" s="1008"/>
      <c r="Z2441" s="1008"/>
      <c r="AA2441" s="1008"/>
      <c r="AB2441" s="1008"/>
      <c r="AC2441" s="1008"/>
      <c r="AD2441" s="1008"/>
      <c r="AE2441" s="1008"/>
      <c r="AF2441" s="1008"/>
      <c r="AG2441" s="1008"/>
      <c r="AH2441" s="1008"/>
      <c r="AI2441" s="1008"/>
    </row>
    <row r="2442" spans="1:35">
      <c r="A2442" s="1008">
        <v>24914</v>
      </c>
      <c r="C2442" s="1008">
        <v>6</v>
      </c>
      <c r="D2442" s="1009">
        <v>41539999</v>
      </c>
      <c r="E2442" s="1009">
        <v>41530000</v>
      </c>
      <c r="F2442" s="1007" t="s">
        <v>2203</v>
      </c>
      <c r="O2442" s="1007" t="s">
        <v>648</v>
      </c>
      <c r="P2442" s="1007" t="s">
        <v>648</v>
      </c>
      <c r="S2442" s="1008" t="s">
        <v>657</v>
      </c>
      <c r="T2442" s="1008" t="s">
        <v>675</v>
      </c>
      <c r="U2442" s="1008" t="s">
        <v>653</v>
      </c>
      <c r="V2442" s="1008" t="s">
        <v>648</v>
      </c>
      <c r="W2442" s="1008" t="s">
        <v>546</v>
      </c>
      <c r="X2442" s="1008"/>
      <c r="Y2442" s="1008"/>
      <c r="Z2442" s="1008"/>
      <c r="AA2442" s="1008"/>
      <c r="AB2442" s="1008"/>
      <c r="AC2442" s="1008"/>
      <c r="AD2442" s="1008"/>
      <c r="AE2442" s="1008"/>
      <c r="AF2442" s="1008"/>
      <c r="AG2442" s="1008"/>
      <c r="AH2442" s="1008"/>
      <c r="AI2442" s="1008"/>
    </row>
    <row r="2443" spans="1:35">
      <c r="A2443" s="1008">
        <v>24915</v>
      </c>
      <c r="B2443" s="1008">
        <v>2109</v>
      </c>
      <c r="C2443" s="1008">
        <v>7</v>
      </c>
      <c r="D2443" s="1009">
        <v>41539999</v>
      </c>
      <c r="E2443" s="1009">
        <v>41531000</v>
      </c>
      <c r="F2443" s="1007" t="s">
        <v>2202</v>
      </c>
      <c r="G2443" s="1007">
        <v>7</v>
      </c>
      <c r="H2443" s="1010">
        <v>99999999</v>
      </c>
      <c r="I2443" s="1009">
        <v>41531000</v>
      </c>
      <c r="J2443" s="1007" t="s">
        <v>2202</v>
      </c>
      <c r="O2443" s="1007" t="s">
        <v>648</v>
      </c>
      <c r="P2443" s="1007" t="s">
        <v>648</v>
      </c>
      <c r="S2443" s="1008" t="s">
        <v>657</v>
      </c>
      <c r="T2443" s="1008" t="s">
        <v>654</v>
      </c>
      <c r="U2443" s="1008" t="s">
        <v>653</v>
      </c>
      <c r="V2443" s="1008" t="s">
        <v>648</v>
      </c>
      <c r="W2443" s="1008" t="s">
        <v>546</v>
      </c>
      <c r="X2443" s="1008" t="s">
        <v>670</v>
      </c>
      <c r="Y2443" s="1008" t="s">
        <v>670</v>
      </c>
      <c r="Z2443" s="1008" t="s">
        <v>670</v>
      </c>
      <c r="AA2443" s="1008" t="s">
        <v>670</v>
      </c>
      <c r="AB2443" s="1008" t="s">
        <v>670</v>
      </c>
      <c r="AC2443" s="1008" t="s">
        <v>670</v>
      </c>
      <c r="AD2443" s="1008" t="s">
        <v>670</v>
      </c>
      <c r="AE2443" s="1008"/>
      <c r="AF2443" s="1008" t="s">
        <v>670</v>
      </c>
      <c r="AG2443" s="1008"/>
      <c r="AH2443" s="1008"/>
      <c r="AI2443" s="1008"/>
    </row>
    <row r="2444" spans="1:35">
      <c r="A2444" s="1008">
        <v>24916</v>
      </c>
      <c r="B2444" s="1008">
        <v>5351</v>
      </c>
      <c r="C2444" s="1008">
        <v>7</v>
      </c>
      <c r="D2444" s="1009">
        <v>41539999</v>
      </c>
      <c r="E2444" s="1009">
        <v>41532000</v>
      </c>
      <c r="F2444" s="1007" t="s">
        <v>2201</v>
      </c>
      <c r="G2444" s="1007">
        <v>7</v>
      </c>
      <c r="H2444" s="1010">
        <v>99999999</v>
      </c>
      <c r="I2444" s="1009">
        <v>41532000</v>
      </c>
      <c r="J2444" s="1007" t="s">
        <v>2201</v>
      </c>
      <c r="O2444" s="1007" t="s">
        <v>648</v>
      </c>
      <c r="P2444" s="1007" t="s">
        <v>648</v>
      </c>
      <c r="S2444" s="1008" t="s">
        <v>657</v>
      </c>
      <c r="T2444" s="1008" t="s">
        <v>654</v>
      </c>
      <c r="U2444" s="1008" t="s">
        <v>653</v>
      </c>
      <c r="V2444" s="1008" t="s">
        <v>648</v>
      </c>
      <c r="W2444" s="1008" t="s">
        <v>546</v>
      </c>
      <c r="X2444" s="1008" t="s">
        <v>670</v>
      </c>
      <c r="Y2444" s="1008" t="s">
        <v>670</v>
      </c>
      <c r="Z2444" s="1008" t="s">
        <v>670</v>
      </c>
      <c r="AA2444" s="1008" t="s">
        <v>670</v>
      </c>
      <c r="AB2444" s="1008" t="s">
        <v>670</v>
      </c>
      <c r="AC2444" s="1008" t="s">
        <v>670</v>
      </c>
      <c r="AD2444" s="1008" t="s">
        <v>670</v>
      </c>
      <c r="AE2444" s="1008"/>
      <c r="AF2444" s="1008" t="s">
        <v>670</v>
      </c>
      <c r="AG2444" s="1008"/>
      <c r="AH2444" s="1008"/>
      <c r="AI2444" s="1008"/>
    </row>
    <row r="2445" spans="1:35">
      <c r="A2445" s="1008">
        <v>24917</v>
      </c>
      <c r="C2445" s="1008">
        <v>6</v>
      </c>
      <c r="D2445" s="1009">
        <v>41599999</v>
      </c>
      <c r="E2445" s="1009">
        <v>41539999</v>
      </c>
      <c r="F2445" s="1007" t="s">
        <v>2200</v>
      </c>
      <c r="O2445" s="1007" t="s">
        <v>648</v>
      </c>
      <c r="P2445" s="1007" t="s">
        <v>648</v>
      </c>
      <c r="S2445" s="1008" t="s">
        <v>657</v>
      </c>
      <c r="T2445" s="1008" t="s">
        <v>21</v>
      </c>
      <c r="U2445" s="1008" t="s">
        <v>653</v>
      </c>
      <c r="V2445" s="1008" t="s">
        <v>648</v>
      </c>
      <c r="W2445" s="1008" t="s">
        <v>546</v>
      </c>
      <c r="X2445" s="1008"/>
      <c r="Y2445" s="1008"/>
      <c r="Z2445" s="1008"/>
      <c r="AA2445" s="1008"/>
      <c r="AB2445" s="1008"/>
      <c r="AC2445" s="1008"/>
      <c r="AD2445" s="1008"/>
      <c r="AE2445" s="1008"/>
      <c r="AF2445" s="1008"/>
      <c r="AG2445" s="1008"/>
      <c r="AH2445" s="1008"/>
      <c r="AI2445" s="1008"/>
    </row>
    <row r="2446" spans="1:35">
      <c r="A2446" s="1008">
        <v>24918</v>
      </c>
      <c r="C2446" s="1008">
        <v>6</v>
      </c>
      <c r="D2446" s="1009">
        <v>41549999</v>
      </c>
      <c r="E2446" s="1009">
        <v>41540000</v>
      </c>
      <c r="F2446" s="1007" t="s">
        <v>2199</v>
      </c>
      <c r="O2446" s="1007" t="s">
        <v>648</v>
      </c>
      <c r="P2446" s="1007" t="s">
        <v>648</v>
      </c>
      <c r="S2446" s="1008" t="s">
        <v>657</v>
      </c>
      <c r="T2446" s="1008" t="s">
        <v>675</v>
      </c>
      <c r="U2446" s="1008" t="s">
        <v>653</v>
      </c>
      <c r="V2446" s="1008" t="s">
        <v>648</v>
      </c>
      <c r="W2446" s="1008" t="s">
        <v>546</v>
      </c>
      <c r="X2446" s="1008"/>
      <c r="Y2446" s="1008"/>
      <c r="Z2446" s="1008"/>
      <c r="AA2446" s="1008"/>
      <c r="AB2446" s="1008"/>
      <c r="AC2446" s="1008"/>
      <c r="AD2446" s="1008"/>
      <c r="AE2446" s="1008"/>
      <c r="AF2446" s="1008"/>
      <c r="AG2446" s="1008"/>
      <c r="AH2446" s="1008"/>
      <c r="AI2446" s="1008"/>
    </row>
    <row r="2447" spans="1:35">
      <c r="A2447" s="1008">
        <v>24919</v>
      </c>
      <c r="B2447" s="1008">
        <v>2111</v>
      </c>
      <c r="C2447" s="1008">
        <v>7</v>
      </c>
      <c r="D2447" s="1009">
        <v>41549999</v>
      </c>
      <c r="E2447" s="1009">
        <v>41541000</v>
      </c>
      <c r="F2447" s="1007" t="s">
        <v>2198</v>
      </c>
      <c r="G2447" s="1007">
        <v>7</v>
      </c>
      <c r="H2447" s="1010">
        <v>99999999</v>
      </c>
      <c r="I2447" s="1009">
        <v>41541000</v>
      </c>
      <c r="J2447" s="1007" t="s">
        <v>2198</v>
      </c>
      <c r="O2447" s="1007" t="s">
        <v>648</v>
      </c>
      <c r="P2447" s="1007" t="s">
        <v>648</v>
      </c>
      <c r="S2447" s="1008" t="s">
        <v>657</v>
      </c>
      <c r="T2447" s="1008" t="s">
        <v>654</v>
      </c>
      <c r="U2447" s="1008" t="s">
        <v>653</v>
      </c>
      <c r="V2447" s="1008" t="s">
        <v>648</v>
      </c>
      <c r="W2447" s="1008" t="s">
        <v>546</v>
      </c>
      <c r="X2447" s="1008" t="s">
        <v>670</v>
      </c>
      <c r="Y2447" s="1008" t="s">
        <v>670</v>
      </c>
      <c r="Z2447" s="1008" t="s">
        <v>670</v>
      </c>
      <c r="AA2447" s="1008" t="s">
        <v>670</v>
      </c>
      <c r="AB2447" s="1008" t="s">
        <v>670</v>
      </c>
      <c r="AC2447" s="1008" t="s">
        <v>670</v>
      </c>
      <c r="AD2447" s="1008" t="s">
        <v>670</v>
      </c>
      <c r="AE2447" s="1008"/>
      <c r="AF2447" s="1008" t="s">
        <v>670</v>
      </c>
      <c r="AG2447" s="1008"/>
      <c r="AH2447" s="1008"/>
      <c r="AI2447" s="1008"/>
    </row>
    <row r="2448" spans="1:35">
      <c r="A2448" s="1008">
        <v>24920</v>
      </c>
      <c r="B2448" s="1008">
        <v>5353</v>
      </c>
      <c r="C2448" s="1008">
        <v>7</v>
      </c>
      <c r="D2448" s="1009">
        <v>41549999</v>
      </c>
      <c r="E2448" s="1009">
        <v>41542000</v>
      </c>
      <c r="F2448" s="1007" t="s">
        <v>2197</v>
      </c>
      <c r="G2448" s="1007">
        <v>7</v>
      </c>
      <c r="H2448" s="1010">
        <v>99999999</v>
      </c>
      <c r="I2448" s="1009">
        <v>41542000</v>
      </c>
      <c r="J2448" s="1007" t="s">
        <v>2197</v>
      </c>
      <c r="O2448" s="1007" t="s">
        <v>648</v>
      </c>
      <c r="P2448" s="1007" t="s">
        <v>648</v>
      </c>
      <c r="S2448" s="1008" t="s">
        <v>657</v>
      </c>
      <c r="T2448" s="1008" t="s">
        <v>654</v>
      </c>
      <c r="U2448" s="1008" t="s">
        <v>653</v>
      </c>
      <c r="V2448" s="1008" t="s">
        <v>648</v>
      </c>
      <c r="W2448" s="1008" t="s">
        <v>546</v>
      </c>
      <c r="X2448" s="1008" t="s">
        <v>670</v>
      </c>
      <c r="Y2448" s="1008" t="s">
        <v>670</v>
      </c>
      <c r="Z2448" s="1008" t="s">
        <v>670</v>
      </c>
      <c r="AA2448" s="1008" t="s">
        <v>670</v>
      </c>
      <c r="AB2448" s="1008" t="s">
        <v>670</v>
      </c>
      <c r="AC2448" s="1008" t="s">
        <v>670</v>
      </c>
      <c r="AD2448" s="1008" t="s">
        <v>670</v>
      </c>
      <c r="AE2448" s="1008"/>
      <c r="AF2448" s="1008" t="s">
        <v>670</v>
      </c>
      <c r="AG2448" s="1008"/>
      <c r="AH2448" s="1008"/>
      <c r="AI2448" s="1008"/>
    </row>
    <row r="2449" spans="1:35">
      <c r="A2449" s="1008">
        <v>24922</v>
      </c>
      <c r="C2449" s="1008">
        <v>6</v>
      </c>
      <c r="D2449" s="1009">
        <v>41599999</v>
      </c>
      <c r="E2449" s="1009">
        <v>41549999</v>
      </c>
      <c r="F2449" s="1007" t="s">
        <v>2196</v>
      </c>
      <c r="O2449" s="1007" t="s">
        <v>648</v>
      </c>
      <c r="P2449" s="1007" t="s">
        <v>648</v>
      </c>
      <c r="S2449" s="1008" t="s">
        <v>657</v>
      </c>
      <c r="T2449" s="1008" t="s">
        <v>21</v>
      </c>
      <c r="U2449" s="1008" t="s">
        <v>653</v>
      </c>
      <c r="V2449" s="1008" t="s">
        <v>648</v>
      </c>
      <c r="W2449" s="1008" t="s">
        <v>546</v>
      </c>
      <c r="X2449" s="1008"/>
      <c r="Y2449" s="1008"/>
      <c r="Z2449" s="1008"/>
      <c r="AA2449" s="1008"/>
      <c r="AB2449" s="1008"/>
      <c r="AC2449" s="1008"/>
      <c r="AD2449" s="1008"/>
      <c r="AE2449" s="1008"/>
      <c r="AF2449" s="1008"/>
      <c r="AG2449" s="1008"/>
      <c r="AH2449" s="1008"/>
      <c r="AI2449" s="1008"/>
    </row>
    <row r="2450" spans="1:35">
      <c r="A2450" s="1008">
        <v>24923</v>
      </c>
      <c r="C2450" s="1008">
        <v>6</v>
      </c>
      <c r="D2450" s="1009">
        <v>41559999</v>
      </c>
      <c r="E2450" s="1009">
        <v>41550000</v>
      </c>
      <c r="F2450" s="1007" t="s">
        <v>2195</v>
      </c>
      <c r="O2450" s="1007" t="s">
        <v>648</v>
      </c>
      <c r="P2450" s="1007" t="s">
        <v>648</v>
      </c>
      <c r="S2450" s="1008" t="s">
        <v>657</v>
      </c>
      <c r="T2450" s="1008" t="s">
        <v>675</v>
      </c>
      <c r="U2450" s="1008" t="s">
        <v>653</v>
      </c>
      <c r="V2450" s="1008" t="s">
        <v>648</v>
      </c>
      <c r="W2450" s="1008" t="s">
        <v>546</v>
      </c>
      <c r="X2450" s="1008"/>
      <c r="Y2450" s="1008"/>
      <c r="Z2450" s="1008"/>
      <c r="AA2450" s="1008"/>
      <c r="AB2450" s="1008"/>
      <c r="AC2450" s="1008"/>
      <c r="AD2450" s="1008"/>
      <c r="AE2450" s="1008"/>
      <c r="AF2450" s="1008"/>
      <c r="AG2450" s="1008"/>
      <c r="AH2450" s="1008"/>
      <c r="AI2450" s="1008"/>
    </row>
    <row r="2451" spans="1:35">
      <c r="A2451" s="1008">
        <v>24924</v>
      </c>
      <c r="B2451" s="1008">
        <v>2113</v>
      </c>
      <c r="C2451" s="1008">
        <v>7</v>
      </c>
      <c r="D2451" s="1009">
        <v>41559999</v>
      </c>
      <c r="E2451" s="1009">
        <v>41551000</v>
      </c>
      <c r="F2451" s="1007" t="s">
        <v>2194</v>
      </c>
      <c r="G2451" s="1007">
        <v>7</v>
      </c>
      <c r="H2451" s="1010">
        <v>99999999</v>
      </c>
      <c r="I2451" s="1009">
        <v>41551000</v>
      </c>
      <c r="J2451" s="1007" t="s">
        <v>2194</v>
      </c>
      <c r="O2451" s="1007" t="s">
        <v>648</v>
      </c>
      <c r="P2451" s="1007" t="s">
        <v>648</v>
      </c>
      <c r="S2451" s="1008" t="s">
        <v>657</v>
      </c>
      <c r="T2451" s="1008" t="s">
        <v>654</v>
      </c>
      <c r="U2451" s="1008" t="s">
        <v>653</v>
      </c>
      <c r="V2451" s="1008" t="s">
        <v>648</v>
      </c>
      <c r="W2451" s="1008" t="s">
        <v>546</v>
      </c>
      <c r="X2451" s="1008" t="s">
        <v>670</v>
      </c>
      <c r="Y2451" s="1008" t="s">
        <v>670</v>
      </c>
      <c r="Z2451" s="1008" t="s">
        <v>670</v>
      </c>
      <c r="AA2451" s="1008" t="s">
        <v>670</v>
      </c>
      <c r="AB2451" s="1008" t="s">
        <v>670</v>
      </c>
      <c r="AC2451" s="1008" t="s">
        <v>670</v>
      </c>
      <c r="AD2451" s="1008" t="s">
        <v>670</v>
      </c>
      <c r="AE2451" s="1008"/>
      <c r="AF2451" s="1008" t="s">
        <v>670</v>
      </c>
      <c r="AG2451" s="1008"/>
      <c r="AH2451" s="1008"/>
      <c r="AI2451" s="1008"/>
    </row>
    <row r="2452" spans="1:35">
      <c r="A2452" s="1008">
        <v>24925</v>
      </c>
      <c r="B2452" s="1008">
        <v>5355</v>
      </c>
      <c r="C2452" s="1008">
        <v>7</v>
      </c>
      <c r="D2452" s="1009">
        <v>41559999</v>
      </c>
      <c r="E2452" s="1009">
        <v>41552000</v>
      </c>
      <c r="F2452" s="1007" t="s">
        <v>2193</v>
      </c>
      <c r="G2452" s="1007">
        <v>7</v>
      </c>
      <c r="H2452" s="1010">
        <v>99999999</v>
      </c>
      <c r="I2452" s="1009">
        <v>41552000</v>
      </c>
      <c r="J2452" s="1007" t="s">
        <v>2193</v>
      </c>
      <c r="O2452" s="1007" t="s">
        <v>648</v>
      </c>
      <c r="P2452" s="1007" t="s">
        <v>648</v>
      </c>
      <c r="S2452" s="1008" t="s">
        <v>657</v>
      </c>
      <c r="T2452" s="1008" t="s">
        <v>654</v>
      </c>
      <c r="U2452" s="1008" t="s">
        <v>653</v>
      </c>
      <c r="V2452" s="1008" t="s">
        <v>648</v>
      </c>
      <c r="W2452" s="1008" t="s">
        <v>546</v>
      </c>
      <c r="X2452" s="1008" t="s">
        <v>670</v>
      </c>
      <c r="Y2452" s="1008" t="s">
        <v>670</v>
      </c>
      <c r="Z2452" s="1008" t="s">
        <v>670</v>
      </c>
      <c r="AA2452" s="1008" t="s">
        <v>670</v>
      </c>
      <c r="AB2452" s="1008" t="s">
        <v>670</v>
      </c>
      <c r="AC2452" s="1008" t="s">
        <v>670</v>
      </c>
      <c r="AD2452" s="1008" t="s">
        <v>670</v>
      </c>
      <c r="AE2452" s="1008"/>
      <c r="AF2452" s="1008" t="s">
        <v>670</v>
      </c>
      <c r="AG2452" s="1008"/>
      <c r="AH2452" s="1008"/>
      <c r="AI2452" s="1008"/>
    </row>
    <row r="2453" spans="1:35">
      <c r="A2453" s="1008">
        <v>24926</v>
      </c>
      <c r="C2453" s="1008">
        <v>6</v>
      </c>
      <c r="D2453" s="1009">
        <v>41599999</v>
      </c>
      <c r="E2453" s="1009">
        <v>41559999</v>
      </c>
      <c r="F2453" s="1007" t="s">
        <v>2192</v>
      </c>
      <c r="O2453" s="1007" t="s">
        <v>648</v>
      </c>
      <c r="P2453" s="1007" t="s">
        <v>648</v>
      </c>
      <c r="S2453" s="1008" t="s">
        <v>657</v>
      </c>
      <c r="T2453" s="1008" t="s">
        <v>21</v>
      </c>
      <c r="U2453" s="1008" t="s">
        <v>653</v>
      </c>
      <c r="V2453" s="1008" t="s">
        <v>648</v>
      </c>
      <c r="W2453" s="1008" t="s">
        <v>546</v>
      </c>
      <c r="X2453" s="1008"/>
      <c r="Y2453" s="1008"/>
      <c r="Z2453" s="1008"/>
      <c r="AA2453" s="1008"/>
      <c r="AB2453" s="1008"/>
      <c r="AC2453" s="1008"/>
      <c r="AD2453" s="1008"/>
      <c r="AE2453" s="1008"/>
      <c r="AF2453" s="1008"/>
      <c r="AG2453" s="1008"/>
      <c r="AH2453" s="1008"/>
      <c r="AI2453" s="1008"/>
    </row>
    <row r="2454" spans="1:35">
      <c r="A2454" s="1008">
        <v>24927</v>
      </c>
      <c r="C2454" s="1008">
        <v>5</v>
      </c>
      <c r="D2454" s="1009">
        <v>41999999</v>
      </c>
      <c r="E2454" s="1009">
        <v>41599999</v>
      </c>
      <c r="F2454" s="1007" t="s">
        <v>2191</v>
      </c>
      <c r="O2454" s="1007" t="s">
        <v>648</v>
      </c>
      <c r="P2454" s="1007" t="s">
        <v>648</v>
      </c>
      <c r="S2454" s="1008" t="s">
        <v>657</v>
      </c>
      <c r="T2454" s="1008" t="s">
        <v>21</v>
      </c>
      <c r="U2454" s="1008" t="s">
        <v>653</v>
      </c>
      <c r="V2454" s="1008" t="s">
        <v>648</v>
      </c>
      <c r="W2454" s="1008" t="s">
        <v>546</v>
      </c>
      <c r="X2454" s="1008"/>
      <c r="Y2454" s="1008"/>
      <c r="Z2454" s="1008"/>
      <c r="AA2454" s="1008"/>
      <c r="AB2454" s="1008"/>
      <c r="AC2454" s="1008"/>
      <c r="AD2454" s="1008"/>
      <c r="AE2454" s="1008"/>
      <c r="AF2454" s="1008"/>
      <c r="AG2454" s="1008"/>
      <c r="AH2454" s="1008"/>
      <c r="AI2454" s="1008"/>
    </row>
    <row r="2455" spans="1:35">
      <c r="A2455" s="1008">
        <v>24928</v>
      </c>
      <c r="C2455" s="1008">
        <v>5</v>
      </c>
      <c r="D2455" s="1009">
        <v>41699999</v>
      </c>
      <c r="E2455" s="1009">
        <v>41600000</v>
      </c>
      <c r="F2455" s="1007" t="s">
        <v>2190</v>
      </c>
      <c r="O2455" s="1007" t="s">
        <v>648</v>
      </c>
      <c r="P2455" s="1007" t="s">
        <v>648</v>
      </c>
      <c r="S2455" s="1008" t="s">
        <v>657</v>
      </c>
      <c r="T2455" s="1008" t="s">
        <v>675</v>
      </c>
      <c r="U2455" s="1008" t="s">
        <v>653</v>
      </c>
      <c r="V2455" s="1008" t="s">
        <v>648</v>
      </c>
      <c r="W2455" s="1008" t="s">
        <v>546</v>
      </c>
      <c r="X2455" s="1008"/>
      <c r="Y2455" s="1008"/>
      <c r="Z2455" s="1008"/>
      <c r="AA2455" s="1008"/>
      <c r="AB2455" s="1008"/>
      <c r="AC2455" s="1008"/>
      <c r="AD2455" s="1008"/>
      <c r="AE2455" s="1008"/>
      <c r="AF2455" s="1008"/>
      <c r="AG2455" s="1008"/>
      <c r="AH2455" s="1008"/>
      <c r="AI2455" s="1008"/>
    </row>
    <row r="2456" spans="1:35">
      <c r="A2456" s="1008">
        <v>24929</v>
      </c>
      <c r="C2456" s="1008">
        <v>6</v>
      </c>
      <c r="D2456" s="1009">
        <v>41629999</v>
      </c>
      <c r="E2456" s="1009">
        <v>41610000</v>
      </c>
      <c r="F2456" s="1007" t="s">
        <v>2176</v>
      </c>
      <c r="O2456" s="1007" t="s">
        <v>648</v>
      </c>
      <c r="P2456" s="1007" t="s">
        <v>648</v>
      </c>
      <c r="S2456" s="1008" t="s">
        <v>657</v>
      </c>
      <c r="T2456" s="1008" t="s">
        <v>675</v>
      </c>
      <c r="U2456" s="1008" t="s">
        <v>653</v>
      </c>
      <c r="V2456" s="1008" t="s">
        <v>648</v>
      </c>
      <c r="W2456" s="1008" t="s">
        <v>546</v>
      </c>
      <c r="X2456" s="1008"/>
      <c r="Y2456" s="1008"/>
      <c r="Z2456" s="1008"/>
      <c r="AA2456" s="1008"/>
      <c r="AB2456" s="1008"/>
      <c r="AC2456" s="1008"/>
      <c r="AD2456" s="1008"/>
      <c r="AE2456" s="1008"/>
      <c r="AF2456" s="1008"/>
      <c r="AG2456" s="1008"/>
      <c r="AH2456" s="1008"/>
      <c r="AI2456" s="1008"/>
    </row>
    <row r="2457" spans="1:35">
      <c r="A2457" s="1008">
        <v>24930</v>
      </c>
      <c r="B2457" s="1008">
        <v>2115</v>
      </c>
      <c r="C2457" s="1008">
        <v>7</v>
      </c>
      <c r="D2457" s="1009">
        <v>41629999</v>
      </c>
      <c r="E2457" s="1009">
        <v>41611000</v>
      </c>
      <c r="F2457" s="1007" t="s">
        <v>2189</v>
      </c>
      <c r="G2457" s="1007">
        <v>7</v>
      </c>
      <c r="H2457" s="1010">
        <v>99999999</v>
      </c>
      <c r="I2457" s="1009">
        <v>41611000</v>
      </c>
      <c r="J2457" s="1007" t="s">
        <v>2189</v>
      </c>
      <c r="O2457" s="1007" t="s">
        <v>648</v>
      </c>
      <c r="P2457" s="1007" t="s">
        <v>648</v>
      </c>
      <c r="S2457" s="1008" t="s">
        <v>657</v>
      </c>
      <c r="T2457" s="1008" t="s">
        <v>654</v>
      </c>
      <c r="U2457" s="1008" t="s">
        <v>653</v>
      </c>
      <c r="V2457" s="1008" t="s">
        <v>648</v>
      </c>
      <c r="W2457" s="1008" t="s">
        <v>546</v>
      </c>
      <c r="X2457" s="1008" t="s">
        <v>670</v>
      </c>
      <c r="Y2457" s="1008"/>
      <c r="Z2457" s="1008" t="s">
        <v>670</v>
      </c>
      <c r="AA2457" s="1008" t="s">
        <v>670</v>
      </c>
      <c r="AB2457" s="1008"/>
      <c r="AC2457" s="1008"/>
      <c r="AD2457" s="1008" t="s">
        <v>670</v>
      </c>
      <c r="AE2457" s="1008"/>
      <c r="AF2457" s="1008"/>
      <c r="AG2457" s="1008"/>
      <c r="AH2457" s="1008"/>
      <c r="AI2457" s="1008"/>
    </row>
    <row r="2458" spans="1:35">
      <c r="A2458" s="1008">
        <v>24931</v>
      </c>
      <c r="B2458" s="1008">
        <v>2116</v>
      </c>
      <c r="C2458" s="1008">
        <v>7</v>
      </c>
      <c r="D2458" s="1009">
        <v>41629999</v>
      </c>
      <c r="E2458" s="1009">
        <v>41612000</v>
      </c>
      <c r="F2458" s="1007" t="s">
        <v>2188</v>
      </c>
      <c r="G2458" s="1007">
        <v>7</v>
      </c>
      <c r="H2458" s="1010">
        <v>99999999</v>
      </c>
      <c r="I2458" s="1009">
        <v>41612000</v>
      </c>
      <c r="J2458" s="1007" t="s">
        <v>2188</v>
      </c>
      <c r="O2458" s="1007" t="s">
        <v>648</v>
      </c>
      <c r="P2458" s="1007" t="s">
        <v>648</v>
      </c>
      <c r="S2458" s="1008" t="s">
        <v>657</v>
      </c>
      <c r="T2458" s="1008" t="s">
        <v>654</v>
      </c>
      <c r="U2458" s="1008" t="s">
        <v>653</v>
      </c>
      <c r="V2458" s="1008" t="s">
        <v>648</v>
      </c>
      <c r="W2458" s="1008" t="s">
        <v>546</v>
      </c>
      <c r="X2458" s="1008" t="s">
        <v>670</v>
      </c>
      <c r="Y2458" s="1008"/>
      <c r="Z2458" s="1008" t="s">
        <v>670</v>
      </c>
      <c r="AA2458" s="1008" t="s">
        <v>670</v>
      </c>
      <c r="AB2458" s="1008"/>
      <c r="AC2458" s="1008"/>
      <c r="AD2458" s="1008" t="s">
        <v>670</v>
      </c>
      <c r="AE2458" s="1008"/>
      <c r="AF2458" s="1008"/>
      <c r="AG2458" s="1008"/>
      <c r="AH2458" s="1008"/>
      <c r="AI2458" s="1008"/>
    </row>
    <row r="2459" spans="1:35">
      <c r="A2459" s="1008">
        <v>24932</v>
      </c>
      <c r="B2459" s="1008">
        <v>2117</v>
      </c>
      <c r="C2459" s="1008">
        <v>7</v>
      </c>
      <c r="D2459" s="1009">
        <v>41629999</v>
      </c>
      <c r="E2459" s="1009">
        <v>41613000</v>
      </c>
      <c r="F2459" s="1007" t="s">
        <v>2187</v>
      </c>
      <c r="G2459" s="1007">
        <v>7</v>
      </c>
      <c r="H2459" s="1010">
        <v>99999999</v>
      </c>
      <c r="I2459" s="1009">
        <v>41613000</v>
      </c>
      <c r="J2459" s="1007" t="s">
        <v>2187</v>
      </c>
      <c r="O2459" s="1007" t="s">
        <v>648</v>
      </c>
      <c r="P2459" s="1007" t="s">
        <v>648</v>
      </c>
      <c r="S2459" s="1008" t="s">
        <v>657</v>
      </c>
      <c r="T2459" s="1008" t="s">
        <v>654</v>
      </c>
      <c r="U2459" s="1008" t="s">
        <v>653</v>
      </c>
      <c r="V2459" s="1008" t="s">
        <v>648</v>
      </c>
      <c r="W2459" s="1008" t="s">
        <v>546</v>
      </c>
      <c r="X2459" s="1008" t="s">
        <v>670</v>
      </c>
      <c r="Y2459" s="1008"/>
      <c r="Z2459" s="1008" t="s">
        <v>670</v>
      </c>
      <c r="AA2459" s="1008" t="s">
        <v>670</v>
      </c>
      <c r="AB2459" s="1008"/>
      <c r="AC2459" s="1008"/>
      <c r="AD2459" s="1008" t="s">
        <v>670</v>
      </c>
      <c r="AE2459" s="1008"/>
      <c r="AF2459" s="1008"/>
      <c r="AG2459" s="1008"/>
      <c r="AH2459" s="1008"/>
      <c r="AI2459" s="1008"/>
    </row>
    <row r="2460" spans="1:35">
      <c r="A2460" s="1008">
        <v>24933</v>
      </c>
      <c r="B2460" s="1008">
        <v>2118</v>
      </c>
      <c r="C2460" s="1008">
        <v>7</v>
      </c>
      <c r="D2460" s="1009">
        <v>41629999</v>
      </c>
      <c r="E2460" s="1009">
        <v>41614000</v>
      </c>
      <c r="F2460" s="1007" t="s">
        <v>2186</v>
      </c>
      <c r="G2460" s="1007">
        <v>7</v>
      </c>
      <c r="H2460" s="1010">
        <v>99999999</v>
      </c>
      <c r="I2460" s="1009">
        <v>41614000</v>
      </c>
      <c r="J2460" s="1007" t="s">
        <v>2186</v>
      </c>
      <c r="O2460" s="1007" t="s">
        <v>648</v>
      </c>
      <c r="P2460" s="1007" t="s">
        <v>648</v>
      </c>
      <c r="S2460" s="1008" t="s">
        <v>657</v>
      </c>
      <c r="T2460" s="1008" t="s">
        <v>654</v>
      </c>
      <c r="U2460" s="1008" t="s">
        <v>653</v>
      </c>
      <c r="V2460" s="1008" t="s">
        <v>648</v>
      </c>
      <c r="W2460" s="1008" t="s">
        <v>546</v>
      </c>
      <c r="X2460" s="1008" t="s">
        <v>670</v>
      </c>
      <c r="Y2460" s="1008"/>
      <c r="Z2460" s="1008" t="s">
        <v>670</v>
      </c>
      <c r="AA2460" s="1008" t="s">
        <v>670</v>
      </c>
      <c r="AB2460" s="1008"/>
      <c r="AC2460" s="1008"/>
      <c r="AD2460" s="1008" t="s">
        <v>670</v>
      </c>
      <c r="AE2460" s="1008"/>
      <c r="AF2460" s="1008"/>
      <c r="AG2460" s="1008"/>
      <c r="AH2460" s="1008"/>
      <c r="AI2460" s="1008"/>
    </row>
    <row r="2461" spans="1:35">
      <c r="A2461" s="1008">
        <v>24934</v>
      </c>
      <c r="B2461" s="1008">
        <v>2119</v>
      </c>
      <c r="C2461" s="1008">
        <v>7</v>
      </c>
      <c r="D2461" s="1009">
        <v>41629999</v>
      </c>
      <c r="E2461" s="1009">
        <v>41615000</v>
      </c>
      <c r="F2461" s="1007" t="s">
        <v>2185</v>
      </c>
      <c r="G2461" s="1007">
        <v>7</v>
      </c>
      <c r="H2461" s="1010">
        <v>99999999</v>
      </c>
      <c r="I2461" s="1009">
        <v>41615000</v>
      </c>
      <c r="J2461" s="1007" t="s">
        <v>2185</v>
      </c>
      <c r="O2461" s="1007" t="s">
        <v>648</v>
      </c>
      <c r="P2461" s="1007" t="s">
        <v>648</v>
      </c>
      <c r="S2461" s="1008" t="s">
        <v>657</v>
      </c>
      <c r="T2461" s="1008" t="s">
        <v>654</v>
      </c>
      <c r="U2461" s="1008" t="s">
        <v>653</v>
      </c>
      <c r="V2461" s="1008" t="s">
        <v>648</v>
      </c>
      <c r="W2461" s="1008" t="s">
        <v>546</v>
      </c>
      <c r="X2461" s="1008" t="s">
        <v>670</v>
      </c>
      <c r="Y2461" s="1008"/>
      <c r="Z2461" s="1008" t="s">
        <v>670</v>
      </c>
      <c r="AA2461" s="1008" t="s">
        <v>670</v>
      </c>
      <c r="AB2461" s="1008"/>
      <c r="AC2461" s="1008"/>
      <c r="AD2461" s="1008" t="s">
        <v>670</v>
      </c>
      <c r="AE2461" s="1008"/>
      <c r="AF2461" s="1008"/>
      <c r="AG2461" s="1008"/>
      <c r="AH2461" s="1008"/>
      <c r="AI2461" s="1008"/>
    </row>
    <row r="2462" spans="1:35">
      <c r="A2462" s="1008">
        <v>24935</v>
      </c>
      <c r="B2462" s="1008">
        <v>2120</v>
      </c>
      <c r="C2462" s="1008">
        <v>7</v>
      </c>
      <c r="D2462" s="1009">
        <v>41629999</v>
      </c>
      <c r="E2462" s="1009">
        <v>41616000</v>
      </c>
      <c r="F2462" s="1007" t="s">
        <v>2184</v>
      </c>
      <c r="G2462" s="1007">
        <v>7</v>
      </c>
      <c r="H2462" s="1010">
        <v>99999999</v>
      </c>
      <c r="I2462" s="1009">
        <v>41616000</v>
      </c>
      <c r="J2462" s="1007" t="s">
        <v>2184</v>
      </c>
      <c r="O2462" s="1007" t="s">
        <v>648</v>
      </c>
      <c r="P2462" s="1007" t="s">
        <v>648</v>
      </c>
      <c r="S2462" s="1008" t="s">
        <v>657</v>
      </c>
      <c r="T2462" s="1008" t="s">
        <v>654</v>
      </c>
      <c r="U2462" s="1008" t="s">
        <v>653</v>
      </c>
      <c r="V2462" s="1008" t="s">
        <v>648</v>
      </c>
      <c r="W2462" s="1008" t="s">
        <v>546</v>
      </c>
      <c r="X2462" s="1008" t="s">
        <v>670</v>
      </c>
      <c r="Y2462" s="1008"/>
      <c r="Z2462" s="1008" t="s">
        <v>670</v>
      </c>
      <c r="AA2462" s="1008" t="s">
        <v>670</v>
      </c>
      <c r="AB2462" s="1008"/>
      <c r="AC2462" s="1008"/>
      <c r="AD2462" s="1008" t="s">
        <v>670</v>
      </c>
      <c r="AE2462" s="1008"/>
      <c r="AF2462" s="1008"/>
      <c r="AG2462" s="1008"/>
      <c r="AH2462" s="1008"/>
      <c r="AI2462" s="1008"/>
    </row>
    <row r="2463" spans="1:35">
      <c r="A2463" s="1008">
        <v>24936</v>
      </c>
      <c r="B2463" s="1008">
        <v>2121</v>
      </c>
      <c r="C2463" s="1008">
        <v>7</v>
      </c>
      <c r="D2463" s="1009">
        <v>41629999</v>
      </c>
      <c r="E2463" s="1009">
        <v>41617000</v>
      </c>
      <c r="F2463" s="1007" t="s">
        <v>2183</v>
      </c>
      <c r="G2463" s="1007">
        <v>7</v>
      </c>
      <c r="H2463" s="1010">
        <v>99999999</v>
      </c>
      <c r="I2463" s="1009">
        <v>41617000</v>
      </c>
      <c r="J2463" s="1007" t="s">
        <v>2183</v>
      </c>
      <c r="O2463" s="1007" t="s">
        <v>648</v>
      </c>
      <c r="P2463" s="1007" t="s">
        <v>648</v>
      </c>
      <c r="S2463" s="1008" t="s">
        <v>657</v>
      </c>
      <c r="T2463" s="1008" t="s">
        <v>654</v>
      </c>
      <c r="U2463" s="1008" t="s">
        <v>653</v>
      </c>
      <c r="V2463" s="1008" t="s">
        <v>648</v>
      </c>
      <c r="W2463" s="1008" t="s">
        <v>546</v>
      </c>
      <c r="X2463" s="1008" t="s">
        <v>670</v>
      </c>
      <c r="Y2463" s="1008"/>
      <c r="Z2463" s="1008" t="s">
        <v>670</v>
      </c>
      <c r="AA2463" s="1008" t="s">
        <v>670</v>
      </c>
      <c r="AB2463" s="1008"/>
      <c r="AC2463" s="1008"/>
      <c r="AD2463" s="1008" t="s">
        <v>670</v>
      </c>
      <c r="AE2463" s="1008"/>
      <c r="AF2463" s="1008"/>
      <c r="AG2463" s="1008"/>
      <c r="AH2463" s="1008"/>
      <c r="AI2463" s="1008"/>
    </row>
    <row r="2464" spans="1:35">
      <c r="A2464" s="1008">
        <v>24937</v>
      </c>
      <c r="B2464" s="1008">
        <v>2122</v>
      </c>
      <c r="C2464" s="1008">
        <v>7</v>
      </c>
      <c r="D2464" s="1009">
        <v>41629999</v>
      </c>
      <c r="E2464" s="1009">
        <v>41618000</v>
      </c>
      <c r="F2464" s="1007" t="s">
        <v>2182</v>
      </c>
      <c r="G2464" s="1007">
        <v>7</v>
      </c>
      <c r="H2464" s="1010">
        <v>99999999</v>
      </c>
      <c r="I2464" s="1009">
        <v>41618000</v>
      </c>
      <c r="J2464" s="1007" t="s">
        <v>2182</v>
      </c>
      <c r="O2464" s="1007" t="s">
        <v>648</v>
      </c>
      <c r="P2464" s="1007" t="s">
        <v>648</v>
      </c>
      <c r="S2464" s="1008" t="s">
        <v>657</v>
      </c>
      <c r="T2464" s="1008" t="s">
        <v>654</v>
      </c>
      <c r="U2464" s="1008" t="s">
        <v>653</v>
      </c>
      <c r="V2464" s="1008" t="s">
        <v>648</v>
      </c>
      <c r="W2464" s="1008" t="s">
        <v>546</v>
      </c>
      <c r="X2464" s="1008" t="s">
        <v>670</v>
      </c>
      <c r="Y2464" s="1008"/>
      <c r="Z2464" s="1008" t="s">
        <v>670</v>
      </c>
      <c r="AA2464" s="1008" t="s">
        <v>670</v>
      </c>
      <c r="AB2464" s="1008"/>
      <c r="AC2464" s="1008"/>
      <c r="AD2464" s="1008" t="s">
        <v>670</v>
      </c>
      <c r="AE2464" s="1008"/>
      <c r="AF2464" s="1008"/>
      <c r="AG2464" s="1008"/>
      <c r="AH2464" s="1008"/>
      <c r="AI2464" s="1008"/>
    </row>
    <row r="2465" spans="1:35">
      <c r="A2465" s="1008">
        <v>24938</v>
      </c>
      <c r="B2465" s="1008">
        <v>2123</v>
      </c>
      <c r="C2465" s="1008">
        <v>7</v>
      </c>
      <c r="D2465" s="1009">
        <v>41629999</v>
      </c>
      <c r="E2465" s="1009">
        <v>41619000</v>
      </c>
      <c r="F2465" s="1007" t="s">
        <v>2181</v>
      </c>
      <c r="G2465" s="1007">
        <v>7</v>
      </c>
      <c r="H2465" s="1010">
        <v>99999999</v>
      </c>
      <c r="I2465" s="1009">
        <v>41619000</v>
      </c>
      <c r="J2465" s="1007" t="s">
        <v>2181</v>
      </c>
      <c r="O2465" s="1007" t="s">
        <v>648</v>
      </c>
      <c r="P2465" s="1007" t="s">
        <v>648</v>
      </c>
      <c r="S2465" s="1008" t="s">
        <v>657</v>
      </c>
      <c r="T2465" s="1008" t="s">
        <v>654</v>
      </c>
      <c r="U2465" s="1008" t="s">
        <v>653</v>
      </c>
      <c r="V2465" s="1008" t="s">
        <v>648</v>
      </c>
      <c r="W2465" s="1008" t="s">
        <v>546</v>
      </c>
      <c r="X2465" s="1008" t="s">
        <v>670</v>
      </c>
      <c r="Y2465" s="1008" t="s">
        <v>670</v>
      </c>
      <c r="Z2465" s="1008" t="s">
        <v>670</v>
      </c>
      <c r="AA2465" s="1008" t="s">
        <v>670</v>
      </c>
      <c r="AB2465" s="1008"/>
      <c r="AC2465" s="1008"/>
      <c r="AD2465" s="1008" t="s">
        <v>670</v>
      </c>
      <c r="AE2465" s="1008"/>
      <c r="AF2465" s="1008" t="s">
        <v>670</v>
      </c>
      <c r="AG2465" s="1008"/>
      <c r="AH2465" s="1008"/>
      <c r="AI2465" s="1008"/>
    </row>
    <row r="2466" spans="1:35">
      <c r="A2466" s="1008">
        <v>24939</v>
      </c>
      <c r="B2466" s="1008">
        <v>2124</v>
      </c>
      <c r="C2466" s="1008">
        <v>7</v>
      </c>
      <c r="D2466" s="1009">
        <v>41629999</v>
      </c>
      <c r="E2466" s="1009">
        <v>41619500</v>
      </c>
      <c r="F2466" s="1007" t="s">
        <v>2180</v>
      </c>
      <c r="G2466" s="1007">
        <v>7</v>
      </c>
      <c r="H2466" s="1010">
        <v>99999999</v>
      </c>
      <c r="I2466" s="1009">
        <v>41619500</v>
      </c>
      <c r="J2466" s="1007" t="s">
        <v>2180</v>
      </c>
      <c r="O2466" s="1007" t="s">
        <v>648</v>
      </c>
      <c r="P2466" s="1007" t="s">
        <v>648</v>
      </c>
      <c r="S2466" s="1008" t="s">
        <v>657</v>
      </c>
      <c r="T2466" s="1008" t="s">
        <v>654</v>
      </c>
      <c r="U2466" s="1008" t="s">
        <v>653</v>
      </c>
      <c r="V2466" s="1008" t="s">
        <v>648</v>
      </c>
      <c r="W2466" s="1008" t="s">
        <v>546</v>
      </c>
      <c r="X2466" s="1008" t="s">
        <v>670</v>
      </c>
      <c r="Y2466" s="1008"/>
      <c r="Z2466" s="1008" t="s">
        <v>670</v>
      </c>
      <c r="AA2466" s="1008" t="s">
        <v>670</v>
      </c>
      <c r="AB2466" s="1008"/>
      <c r="AC2466" s="1008"/>
      <c r="AD2466" s="1008" t="s">
        <v>670</v>
      </c>
      <c r="AE2466" s="1008"/>
      <c r="AF2466" s="1008"/>
      <c r="AG2466" s="1008"/>
      <c r="AH2466" s="1008"/>
      <c r="AI2466" s="1008"/>
    </row>
    <row r="2467" spans="1:35">
      <c r="A2467" s="1008">
        <v>24940</v>
      </c>
      <c r="B2467" s="1008">
        <v>2125</v>
      </c>
      <c r="C2467" s="1008">
        <v>7</v>
      </c>
      <c r="D2467" s="1009">
        <v>41629999</v>
      </c>
      <c r="E2467" s="1009">
        <v>41620000</v>
      </c>
      <c r="F2467" s="1007" t="s">
        <v>2179</v>
      </c>
      <c r="G2467" s="1007">
        <v>7</v>
      </c>
      <c r="H2467" s="1010">
        <v>99999999</v>
      </c>
      <c r="I2467" s="1009">
        <v>41620000</v>
      </c>
      <c r="J2467" s="1007" t="s">
        <v>2179</v>
      </c>
      <c r="O2467" s="1007" t="s">
        <v>648</v>
      </c>
      <c r="P2467" s="1007" t="s">
        <v>648</v>
      </c>
      <c r="S2467" s="1008" t="s">
        <v>657</v>
      </c>
      <c r="T2467" s="1008" t="s">
        <v>654</v>
      </c>
      <c r="U2467" s="1008" t="s">
        <v>653</v>
      </c>
      <c r="V2467" s="1008" t="s">
        <v>648</v>
      </c>
      <c r="W2467" s="1008" t="s">
        <v>546</v>
      </c>
      <c r="X2467" s="1008" t="s">
        <v>670</v>
      </c>
      <c r="Y2467" s="1008"/>
      <c r="Z2467" s="1008" t="s">
        <v>670</v>
      </c>
      <c r="AA2467" s="1008" t="s">
        <v>670</v>
      </c>
      <c r="AB2467" s="1008"/>
      <c r="AC2467" s="1008"/>
      <c r="AD2467" s="1008" t="s">
        <v>670</v>
      </c>
      <c r="AE2467" s="1008"/>
      <c r="AF2467" s="1008"/>
      <c r="AG2467" s="1008"/>
      <c r="AH2467" s="1008"/>
      <c r="AI2467" s="1008"/>
    </row>
    <row r="2468" spans="1:35">
      <c r="A2468" s="1008">
        <v>24941</v>
      </c>
      <c r="B2468" s="1008">
        <v>2126</v>
      </c>
      <c r="C2468" s="1008">
        <v>7</v>
      </c>
      <c r="D2468" s="1009">
        <v>41629999</v>
      </c>
      <c r="E2468" s="1009">
        <v>41621000</v>
      </c>
      <c r="F2468" s="1007" t="s">
        <v>2178</v>
      </c>
      <c r="G2468" s="1007">
        <v>7</v>
      </c>
      <c r="H2468" s="1010">
        <v>99999999</v>
      </c>
      <c r="I2468" s="1009">
        <v>41621000</v>
      </c>
      <c r="J2468" s="1007" t="s">
        <v>2178</v>
      </c>
      <c r="O2468" s="1007" t="s">
        <v>648</v>
      </c>
      <c r="P2468" s="1007" t="s">
        <v>648</v>
      </c>
      <c r="S2468" s="1008" t="s">
        <v>657</v>
      </c>
      <c r="T2468" s="1008" t="s">
        <v>654</v>
      </c>
      <c r="U2468" s="1008" t="s">
        <v>653</v>
      </c>
      <c r="V2468" s="1008" t="s">
        <v>648</v>
      </c>
      <c r="W2468" s="1008" t="s">
        <v>546</v>
      </c>
      <c r="X2468" s="1008" t="s">
        <v>670</v>
      </c>
      <c r="Y2468" s="1008"/>
      <c r="Z2468" s="1008" t="s">
        <v>670</v>
      </c>
      <c r="AA2468" s="1008" t="s">
        <v>670</v>
      </c>
      <c r="AB2468" s="1008"/>
      <c r="AC2468" s="1008"/>
      <c r="AD2468" s="1008" t="s">
        <v>670</v>
      </c>
      <c r="AE2468" s="1008"/>
      <c r="AF2468" s="1008"/>
      <c r="AG2468" s="1008"/>
      <c r="AH2468" s="1008"/>
      <c r="AI2468" s="1008"/>
    </row>
    <row r="2469" spans="1:35">
      <c r="A2469" s="1008">
        <v>24942</v>
      </c>
      <c r="B2469" s="1008">
        <v>2127</v>
      </c>
      <c r="C2469" s="1008">
        <v>7</v>
      </c>
      <c r="D2469" s="1009">
        <v>41629999</v>
      </c>
      <c r="E2469" s="1009">
        <v>41622000</v>
      </c>
      <c r="F2469" s="1007" t="s">
        <v>2177</v>
      </c>
      <c r="G2469" s="1007">
        <v>7</v>
      </c>
      <c r="H2469" s="1010">
        <v>99999999</v>
      </c>
      <c r="I2469" s="1009">
        <v>41622000</v>
      </c>
      <c r="J2469" s="1007" t="s">
        <v>2177</v>
      </c>
      <c r="O2469" s="1007" t="s">
        <v>648</v>
      </c>
      <c r="P2469" s="1007" t="s">
        <v>648</v>
      </c>
      <c r="S2469" s="1008" t="s">
        <v>657</v>
      </c>
      <c r="T2469" s="1008" t="s">
        <v>654</v>
      </c>
      <c r="U2469" s="1008" t="s">
        <v>653</v>
      </c>
      <c r="V2469" s="1008" t="s">
        <v>648</v>
      </c>
      <c r="W2469" s="1008" t="s">
        <v>546</v>
      </c>
      <c r="X2469" s="1008" t="s">
        <v>670</v>
      </c>
      <c r="Y2469" s="1008"/>
      <c r="Z2469" s="1008" t="s">
        <v>670</v>
      </c>
      <c r="AA2469" s="1008" t="s">
        <v>670</v>
      </c>
      <c r="AB2469" s="1008"/>
      <c r="AC2469" s="1008"/>
      <c r="AD2469" s="1008" t="s">
        <v>670</v>
      </c>
      <c r="AE2469" s="1008"/>
      <c r="AF2469" s="1008"/>
      <c r="AG2469" s="1008"/>
      <c r="AH2469" s="1008"/>
      <c r="AI2469" s="1008"/>
    </row>
    <row r="2470" spans="1:35">
      <c r="A2470" s="1008">
        <v>24943</v>
      </c>
      <c r="B2470" s="1008">
        <v>2128</v>
      </c>
      <c r="C2470" s="1008">
        <v>7</v>
      </c>
      <c r="D2470" s="1009">
        <v>41629999</v>
      </c>
      <c r="E2470" s="1009">
        <v>41623000</v>
      </c>
      <c r="F2470" s="1007" t="s">
        <v>2176</v>
      </c>
      <c r="G2470" s="1007">
        <v>7</v>
      </c>
      <c r="H2470" s="1010">
        <v>99999999</v>
      </c>
      <c r="I2470" s="1009">
        <v>41623000</v>
      </c>
      <c r="J2470" s="1007" t="s">
        <v>2176</v>
      </c>
      <c r="O2470" s="1007" t="s">
        <v>648</v>
      </c>
      <c r="P2470" s="1007" t="s">
        <v>648</v>
      </c>
      <c r="S2470" s="1008" t="s">
        <v>657</v>
      </c>
      <c r="T2470" s="1008" t="s">
        <v>654</v>
      </c>
      <c r="U2470" s="1008" t="s">
        <v>653</v>
      </c>
      <c r="V2470" s="1008" t="s">
        <v>648</v>
      </c>
      <c r="W2470" s="1008" t="s">
        <v>546</v>
      </c>
      <c r="X2470" s="1008" t="s">
        <v>670</v>
      </c>
      <c r="Y2470" s="1008"/>
      <c r="Z2470" s="1008" t="s">
        <v>670</v>
      </c>
      <c r="AA2470" s="1008" t="s">
        <v>670</v>
      </c>
      <c r="AB2470" s="1008"/>
      <c r="AC2470" s="1008"/>
      <c r="AD2470" s="1008" t="s">
        <v>670</v>
      </c>
      <c r="AE2470" s="1008"/>
      <c r="AF2470" s="1008"/>
      <c r="AG2470" s="1008"/>
      <c r="AH2470" s="1008"/>
      <c r="AI2470" s="1008"/>
    </row>
    <row r="2471" spans="1:35">
      <c r="A2471" s="1008">
        <v>24944</v>
      </c>
      <c r="B2471" s="1008">
        <v>2129</v>
      </c>
      <c r="C2471" s="1008">
        <v>7</v>
      </c>
      <c r="D2471" s="1009">
        <v>41629999</v>
      </c>
      <c r="E2471" s="1009">
        <v>41624000</v>
      </c>
      <c r="F2471" s="1007" t="s">
        <v>2175</v>
      </c>
      <c r="G2471" s="1007">
        <v>7</v>
      </c>
      <c r="H2471" s="1010">
        <v>99999999</v>
      </c>
      <c r="I2471" s="1009">
        <v>41624000</v>
      </c>
      <c r="J2471" s="1007" t="s">
        <v>2175</v>
      </c>
      <c r="O2471" s="1007" t="s">
        <v>648</v>
      </c>
      <c r="P2471" s="1007" t="s">
        <v>648</v>
      </c>
      <c r="S2471" s="1008" t="s">
        <v>657</v>
      </c>
      <c r="T2471" s="1008" t="s">
        <v>654</v>
      </c>
      <c r="U2471" s="1008" t="s">
        <v>653</v>
      </c>
      <c r="V2471" s="1008" t="s">
        <v>648</v>
      </c>
      <c r="W2471" s="1008" t="s">
        <v>546</v>
      </c>
      <c r="X2471" s="1008" t="s">
        <v>670</v>
      </c>
      <c r="Y2471" s="1008" t="s">
        <v>670</v>
      </c>
      <c r="Z2471" s="1008" t="s">
        <v>670</v>
      </c>
      <c r="AA2471" s="1008" t="s">
        <v>670</v>
      </c>
      <c r="AB2471" s="1008"/>
      <c r="AC2471" s="1008"/>
      <c r="AD2471" s="1008" t="s">
        <v>670</v>
      </c>
      <c r="AE2471" s="1008"/>
      <c r="AF2471" s="1008" t="s">
        <v>670</v>
      </c>
      <c r="AG2471" s="1008"/>
      <c r="AH2471" s="1008"/>
      <c r="AI2471" s="1008"/>
    </row>
    <row r="2472" spans="1:35">
      <c r="A2472" s="1008">
        <v>24945</v>
      </c>
      <c r="B2472" s="1008">
        <v>2130</v>
      </c>
      <c r="C2472" s="1008">
        <v>7</v>
      </c>
      <c r="D2472" s="1009">
        <v>41629999</v>
      </c>
      <c r="E2472" s="1009">
        <v>41625000</v>
      </c>
      <c r="F2472" s="1007" t="s">
        <v>2174</v>
      </c>
      <c r="G2472" s="1007">
        <v>7</v>
      </c>
      <c r="H2472" s="1010">
        <v>99999999</v>
      </c>
      <c r="I2472" s="1009">
        <v>41625000</v>
      </c>
      <c r="J2472" s="1007" t="s">
        <v>2174</v>
      </c>
      <c r="O2472" s="1007" t="s">
        <v>648</v>
      </c>
      <c r="P2472" s="1007" t="s">
        <v>648</v>
      </c>
      <c r="S2472" s="1008" t="s">
        <v>657</v>
      </c>
      <c r="T2472" s="1008" t="s">
        <v>654</v>
      </c>
      <c r="U2472" s="1008" t="s">
        <v>653</v>
      </c>
      <c r="V2472" s="1008" t="s">
        <v>648</v>
      </c>
      <c r="W2472" s="1008" t="s">
        <v>546</v>
      </c>
      <c r="X2472" s="1008" t="s">
        <v>670</v>
      </c>
      <c r="Y2472" s="1008"/>
      <c r="Z2472" s="1008" t="s">
        <v>670</v>
      </c>
      <c r="AA2472" s="1008" t="s">
        <v>670</v>
      </c>
      <c r="AB2472" s="1008"/>
      <c r="AC2472" s="1008"/>
      <c r="AD2472" s="1008" t="s">
        <v>670</v>
      </c>
      <c r="AE2472" s="1008"/>
      <c r="AF2472" s="1008"/>
      <c r="AG2472" s="1008"/>
      <c r="AH2472" s="1008"/>
      <c r="AI2472" s="1008"/>
    </row>
    <row r="2473" spans="1:35">
      <c r="A2473" s="1008">
        <v>26530</v>
      </c>
      <c r="B2473" s="1008">
        <v>5359</v>
      </c>
      <c r="C2473" s="1008">
        <v>7</v>
      </c>
      <c r="D2473" s="1009">
        <v>41629999</v>
      </c>
      <c r="E2473" s="1009">
        <v>41626000</v>
      </c>
      <c r="F2473" s="1007" t="s">
        <v>2173</v>
      </c>
      <c r="G2473" s="1007">
        <v>7</v>
      </c>
      <c r="H2473" s="1010">
        <v>99999999</v>
      </c>
      <c r="I2473" s="1009">
        <v>41626000</v>
      </c>
      <c r="J2473" s="1007" t="s">
        <v>2173</v>
      </c>
      <c r="O2473" s="1007" t="s">
        <v>648</v>
      </c>
      <c r="P2473" s="1007" t="s">
        <v>648</v>
      </c>
      <c r="S2473" s="1008" t="s">
        <v>657</v>
      </c>
      <c r="T2473" s="1008" t="s">
        <v>654</v>
      </c>
      <c r="U2473" s="1008" t="s">
        <v>653</v>
      </c>
      <c r="V2473" s="1008" t="s">
        <v>648</v>
      </c>
      <c r="W2473" s="1008" t="s">
        <v>546</v>
      </c>
      <c r="X2473" s="1008" t="s">
        <v>670</v>
      </c>
      <c r="Y2473" s="1008"/>
      <c r="Z2473" s="1008" t="s">
        <v>670</v>
      </c>
      <c r="AA2473" s="1008" t="s">
        <v>670</v>
      </c>
      <c r="AB2473" s="1008"/>
      <c r="AC2473" s="1008"/>
      <c r="AD2473" s="1008" t="s">
        <v>670</v>
      </c>
      <c r="AE2473" s="1008"/>
      <c r="AF2473" s="1008"/>
      <c r="AG2473" s="1008"/>
      <c r="AH2473" s="1008"/>
      <c r="AI2473" s="1008"/>
    </row>
    <row r="2474" spans="1:35">
      <c r="A2474" s="1008">
        <v>24946</v>
      </c>
      <c r="C2474" s="1008">
        <v>6</v>
      </c>
      <c r="D2474" s="1009">
        <v>41699999</v>
      </c>
      <c r="E2474" s="1009">
        <v>41629999</v>
      </c>
      <c r="F2474" s="1007" t="s">
        <v>2172</v>
      </c>
      <c r="O2474" s="1007" t="s">
        <v>648</v>
      </c>
      <c r="P2474" s="1007" t="s">
        <v>648</v>
      </c>
      <c r="S2474" s="1008" t="s">
        <v>657</v>
      </c>
      <c r="T2474" s="1008" t="s">
        <v>21</v>
      </c>
      <c r="U2474" s="1008" t="s">
        <v>653</v>
      </c>
      <c r="V2474" s="1008" t="s">
        <v>648</v>
      </c>
      <c r="W2474" s="1008" t="s">
        <v>546</v>
      </c>
      <c r="X2474" s="1008"/>
      <c r="Y2474" s="1008"/>
      <c r="Z2474" s="1008"/>
      <c r="AA2474" s="1008"/>
      <c r="AB2474" s="1008"/>
      <c r="AC2474" s="1008"/>
      <c r="AD2474" s="1008"/>
      <c r="AE2474" s="1008"/>
      <c r="AF2474" s="1008"/>
      <c r="AG2474" s="1008"/>
      <c r="AH2474" s="1008"/>
      <c r="AI2474" s="1008"/>
    </row>
    <row r="2475" spans="1:35">
      <c r="A2475" s="1008">
        <v>24947</v>
      </c>
      <c r="C2475" s="1008">
        <v>6</v>
      </c>
      <c r="D2475" s="1009">
        <v>41639999</v>
      </c>
      <c r="E2475" s="1009">
        <v>41630000</v>
      </c>
      <c r="F2475" s="1007" t="s">
        <v>2171</v>
      </c>
      <c r="O2475" s="1007" t="s">
        <v>648</v>
      </c>
      <c r="P2475" s="1007" t="s">
        <v>648</v>
      </c>
      <c r="S2475" s="1008" t="s">
        <v>657</v>
      </c>
      <c r="T2475" s="1008" t="s">
        <v>675</v>
      </c>
      <c r="U2475" s="1008" t="s">
        <v>653</v>
      </c>
      <c r="V2475" s="1008" t="s">
        <v>648</v>
      </c>
      <c r="W2475" s="1008" t="s">
        <v>546</v>
      </c>
      <c r="X2475" s="1008"/>
      <c r="Y2475" s="1008"/>
      <c r="Z2475" s="1008"/>
      <c r="AA2475" s="1008"/>
      <c r="AB2475" s="1008"/>
      <c r="AC2475" s="1008"/>
      <c r="AD2475" s="1008"/>
      <c r="AE2475" s="1008"/>
      <c r="AF2475" s="1008"/>
      <c r="AG2475" s="1008"/>
      <c r="AH2475" s="1008"/>
      <c r="AI2475" s="1008"/>
    </row>
    <row r="2476" spans="1:35">
      <c r="A2476" s="1008">
        <v>24948</v>
      </c>
      <c r="B2476" s="1008">
        <v>23</v>
      </c>
      <c r="C2476" s="1008">
        <v>7</v>
      </c>
      <c r="D2476" s="1009">
        <v>41639999</v>
      </c>
      <c r="E2476" s="1009">
        <v>41631000</v>
      </c>
      <c r="F2476" s="1007" t="s">
        <v>2171</v>
      </c>
      <c r="G2476" s="1007">
        <v>8</v>
      </c>
      <c r="H2476" s="1010">
        <v>99999999</v>
      </c>
      <c r="I2476" s="1009">
        <v>41631000</v>
      </c>
      <c r="J2476" s="1007" t="s">
        <v>2171</v>
      </c>
      <c r="O2476" s="1007" t="s">
        <v>648</v>
      </c>
      <c r="P2476" s="1007" t="s">
        <v>648</v>
      </c>
      <c r="S2476" s="1008" t="s">
        <v>657</v>
      </c>
      <c r="T2476" s="1008" t="s">
        <v>654</v>
      </c>
      <c r="U2476" s="1008" t="s">
        <v>653</v>
      </c>
      <c r="V2476" s="1008" t="s">
        <v>648</v>
      </c>
      <c r="W2476" s="1008" t="s">
        <v>546</v>
      </c>
      <c r="X2476" s="1008" t="s">
        <v>670</v>
      </c>
      <c r="Y2476" s="1008" t="s">
        <v>670</v>
      </c>
      <c r="Z2476" s="1008" t="s">
        <v>670</v>
      </c>
      <c r="AA2476" s="1008" t="s">
        <v>670</v>
      </c>
      <c r="AB2476" s="1008" t="s">
        <v>670</v>
      </c>
      <c r="AC2476" s="1008" t="s">
        <v>670</v>
      </c>
      <c r="AD2476" s="1008" t="s">
        <v>670</v>
      </c>
      <c r="AE2476" s="1008"/>
      <c r="AF2476" s="1008" t="s">
        <v>670</v>
      </c>
      <c r="AG2476" s="1008" t="s">
        <v>670</v>
      </c>
      <c r="AH2476" s="1008"/>
      <c r="AI2476" s="1008"/>
    </row>
    <row r="2477" spans="1:35">
      <c r="A2477" s="1008">
        <v>27331</v>
      </c>
      <c r="B2477" s="1008">
        <v>6244</v>
      </c>
      <c r="C2477" s="1008">
        <v>7</v>
      </c>
      <c r="D2477" s="1009">
        <v>41639999</v>
      </c>
      <c r="E2477" s="1009">
        <v>41632700</v>
      </c>
      <c r="F2477" s="1007" t="s">
        <v>2170</v>
      </c>
      <c r="G2477" s="1007">
        <v>8</v>
      </c>
      <c r="H2477" s="1010">
        <v>99999999</v>
      </c>
      <c r="I2477" s="1009">
        <v>41632700</v>
      </c>
      <c r="J2477" s="1007" t="s">
        <v>2170</v>
      </c>
      <c r="O2477" s="1007" t="s">
        <v>648</v>
      </c>
      <c r="P2477" s="1007" t="s">
        <v>648</v>
      </c>
      <c r="S2477" s="1008" t="s">
        <v>657</v>
      </c>
      <c r="T2477" s="1008" t="s">
        <v>654</v>
      </c>
      <c r="U2477" s="1008" t="s">
        <v>653</v>
      </c>
      <c r="V2477" s="1008" t="s">
        <v>648</v>
      </c>
      <c r="W2477" s="1008" t="s">
        <v>546</v>
      </c>
      <c r="X2477" s="1008" t="s">
        <v>670</v>
      </c>
      <c r="Y2477" s="1008" t="s">
        <v>670</v>
      </c>
      <c r="Z2477" s="1008"/>
      <c r="AA2477" s="1008" t="s">
        <v>670</v>
      </c>
      <c r="AB2477" s="1008"/>
      <c r="AC2477" s="1008"/>
      <c r="AD2477" s="1008"/>
      <c r="AE2477" s="1008"/>
      <c r="AF2477" s="1008" t="s">
        <v>670</v>
      </c>
      <c r="AG2477" s="1008"/>
      <c r="AH2477" s="1008"/>
      <c r="AI2477" s="1008"/>
    </row>
    <row r="2478" spans="1:35">
      <c r="A2478" s="1008">
        <v>24949</v>
      </c>
      <c r="C2478" s="1008">
        <v>6</v>
      </c>
      <c r="D2478" s="1009">
        <v>41699999</v>
      </c>
      <c r="E2478" s="1009">
        <v>41639999</v>
      </c>
      <c r="F2478" s="1007" t="s">
        <v>2169</v>
      </c>
      <c r="O2478" s="1007" t="s">
        <v>648</v>
      </c>
      <c r="P2478" s="1007" t="s">
        <v>648</v>
      </c>
      <c r="S2478" s="1008" t="s">
        <v>657</v>
      </c>
      <c r="T2478" s="1008" t="s">
        <v>21</v>
      </c>
      <c r="U2478" s="1008" t="s">
        <v>653</v>
      </c>
      <c r="V2478" s="1008" t="s">
        <v>648</v>
      </c>
      <c r="W2478" s="1008" t="s">
        <v>546</v>
      </c>
      <c r="X2478" s="1008"/>
      <c r="Y2478" s="1008"/>
      <c r="Z2478" s="1008"/>
      <c r="AA2478" s="1008"/>
      <c r="AB2478" s="1008"/>
      <c r="AC2478" s="1008"/>
      <c r="AD2478" s="1008"/>
      <c r="AE2478" s="1008"/>
      <c r="AF2478" s="1008"/>
      <c r="AG2478" s="1008"/>
      <c r="AH2478" s="1008"/>
      <c r="AI2478" s="1008"/>
    </row>
    <row r="2479" spans="1:35">
      <c r="A2479" s="1008">
        <v>24950</v>
      </c>
      <c r="C2479" s="1008">
        <v>5</v>
      </c>
      <c r="D2479" s="1009">
        <v>41999999</v>
      </c>
      <c r="E2479" s="1009">
        <v>41699999</v>
      </c>
      <c r="F2479" s="1007" t="s">
        <v>2168</v>
      </c>
      <c r="O2479" s="1007" t="s">
        <v>648</v>
      </c>
      <c r="P2479" s="1007" t="s">
        <v>648</v>
      </c>
      <c r="S2479" s="1008" t="s">
        <v>657</v>
      </c>
      <c r="T2479" s="1008" t="s">
        <v>21</v>
      </c>
      <c r="U2479" s="1008" t="s">
        <v>653</v>
      </c>
      <c r="V2479" s="1008" t="s">
        <v>648</v>
      </c>
      <c r="W2479" s="1008" t="s">
        <v>546</v>
      </c>
      <c r="X2479" s="1008"/>
      <c r="Y2479" s="1008"/>
      <c r="Z2479" s="1008"/>
      <c r="AA2479" s="1008"/>
      <c r="AB2479" s="1008"/>
      <c r="AC2479" s="1008"/>
      <c r="AD2479" s="1008"/>
      <c r="AE2479" s="1008"/>
      <c r="AF2479" s="1008"/>
      <c r="AG2479" s="1008"/>
      <c r="AH2479" s="1008"/>
      <c r="AI2479" s="1008"/>
    </row>
    <row r="2480" spans="1:35">
      <c r="A2480" s="1008">
        <v>24951</v>
      </c>
      <c r="C2480" s="1008">
        <v>4</v>
      </c>
      <c r="D2480" s="1009">
        <v>49999999</v>
      </c>
      <c r="E2480" s="1009">
        <v>41999999</v>
      </c>
      <c r="F2480" s="1007" t="s">
        <v>2167</v>
      </c>
      <c r="O2480" s="1007" t="s">
        <v>648</v>
      </c>
      <c r="P2480" s="1007" t="s">
        <v>648</v>
      </c>
      <c r="S2480" s="1008" t="s">
        <v>657</v>
      </c>
      <c r="T2480" s="1008" t="s">
        <v>21</v>
      </c>
      <c r="U2480" s="1008" t="s">
        <v>653</v>
      </c>
      <c r="V2480" s="1008" t="s">
        <v>648</v>
      </c>
      <c r="W2480" s="1008" t="s">
        <v>546</v>
      </c>
      <c r="X2480" s="1008"/>
      <c r="Y2480" s="1008"/>
      <c r="Z2480" s="1008"/>
      <c r="AA2480" s="1008"/>
      <c r="AB2480" s="1008"/>
      <c r="AC2480" s="1008"/>
      <c r="AD2480" s="1008"/>
      <c r="AE2480" s="1008"/>
      <c r="AF2480" s="1008"/>
      <c r="AG2480" s="1008"/>
      <c r="AH2480" s="1008"/>
      <c r="AI2480" s="1008"/>
    </row>
    <row r="2481" spans="1:35">
      <c r="A2481" s="1008">
        <v>24952</v>
      </c>
      <c r="C2481" s="1008">
        <v>4</v>
      </c>
      <c r="D2481" s="1009">
        <v>42999999</v>
      </c>
      <c r="E2481" s="1009">
        <v>42000000</v>
      </c>
      <c r="F2481" s="1007" t="s">
        <v>2166</v>
      </c>
      <c r="O2481" s="1007" t="s">
        <v>648</v>
      </c>
      <c r="P2481" s="1007" t="s">
        <v>648</v>
      </c>
      <c r="S2481" s="1008" t="s">
        <v>657</v>
      </c>
      <c r="T2481" s="1008" t="s">
        <v>675</v>
      </c>
      <c r="U2481" s="1008" t="s">
        <v>653</v>
      </c>
      <c r="V2481" s="1008" t="s">
        <v>648</v>
      </c>
      <c r="W2481" s="1008" t="s">
        <v>546</v>
      </c>
      <c r="X2481" s="1008"/>
      <c r="Y2481" s="1008"/>
      <c r="Z2481" s="1008"/>
      <c r="AA2481" s="1008"/>
      <c r="AB2481" s="1008"/>
      <c r="AC2481" s="1008"/>
      <c r="AD2481" s="1008"/>
      <c r="AE2481" s="1008"/>
      <c r="AF2481" s="1008"/>
      <c r="AG2481" s="1008"/>
      <c r="AH2481" s="1008"/>
      <c r="AI2481" s="1008"/>
    </row>
    <row r="2482" spans="1:35">
      <c r="A2482" s="1008">
        <v>24953</v>
      </c>
      <c r="C2482" s="1008">
        <v>5</v>
      </c>
      <c r="D2482" s="1009">
        <v>42199999</v>
      </c>
      <c r="E2482" s="1009">
        <v>42100000</v>
      </c>
      <c r="F2482" s="1007" t="s">
        <v>2165</v>
      </c>
      <c r="O2482" s="1007" t="s">
        <v>648</v>
      </c>
      <c r="P2482" s="1007" t="s">
        <v>648</v>
      </c>
      <c r="S2482" s="1008" t="s">
        <v>657</v>
      </c>
      <c r="T2482" s="1008" t="s">
        <v>675</v>
      </c>
      <c r="U2482" s="1008" t="s">
        <v>653</v>
      </c>
      <c r="V2482" s="1008" t="s">
        <v>648</v>
      </c>
      <c r="W2482" s="1008" t="s">
        <v>546</v>
      </c>
      <c r="X2482" s="1008"/>
      <c r="Y2482" s="1008"/>
      <c r="Z2482" s="1008"/>
      <c r="AA2482" s="1008"/>
      <c r="AB2482" s="1008"/>
      <c r="AC2482" s="1008"/>
      <c r="AD2482" s="1008"/>
      <c r="AE2482" s="1008"/>
      <c r="AF2482" s="1008"/>
      <c r="AG2482" s="1008"/>
      <c r="AH2482" s="1008"/>
      <c r="AI2482" s="1008"/>
    </row>
    <row r="2483" spans="1:35">
      <c r="A2483" s="1008">
        <v>24954</v>
      </c>
      <c r="B2483" s="1008">
        <v>1256</v>
      </c>
      <c r="C2483" s="1008">
        <v>6</v>
      </c>
      <c r="D2483" s="1009">
        <v>42199999</v>
      </c>
      <c r="E2483" s="1009">
        <v>42110000</v>
      </c>
      <c r="F2483" s="1007" t="s">
        <v>2164</v>
      </c>
      <c r="G2483" s="1007">
        <v>8</v>
      </c>
      <c r="H2483" s="1010">
        <v>99999999</v>
      </c>
      <c r="I2483" s="1009">
        <v>42110000</v>
      </c>
      <c r="J2483" s="1007" t="s">
        <v>2164</v>
      </c>
      <c r="O2483" s="1007" t="s">
        <v>648</v>
      </c>
      <c r="P2483" s="1007" t="s">
        <v>648</v>
      </c>
      <c r="S2483" s="1008" t="s">
        <v>657</v>
      </c>
      <c r="T2483" s="1008" t="s">
        <v>654</v>
      </c>
      <c r="U2483" s="1008" t="s">
        <v>653</v>
      </c>
      <c r="V2483" s="1008" t="s">
        <v>648</v>
      </c>
      <c r="W2483" s="1008" t="s">
        <v>546</v>
      </c>
      <c r="X2483" s="1008" t="s">
        <v>670</v>
      </c>
      <c r="Y2483" s="1008"/>
      <c r="Z2483" s="1008"/>
      <c r="AA2483" s="1008"/>
      <c r="AB2483" s="1008"/>
      <c r="AC2483" s="1008" t="s">
        <v>670</v>
      </c>
      <c r="AD2483" s="1008"/>
      <c r="AE2483" s="1008"/>
      <c r="AF2483" s="1008"/>
      <c r="AG2483" s="1008"/>
      <c r="AH2483" s="1008"/>
      <c r="AI2483" s="1008"/>
    </row>
    <row r="2484" spans="1:35">
      <c r="A2484" s="1008">
        <v>27110</v>
      </c>
      <c r="B2484" s="1008">
        <v>5943</v>
      </c>
      <c r="C2484" s="1008">
        <v>6</v>
      </c>
      <c r="D2484" s="1009">
        <v>42199999</v>
      </c>
      <c r="E2484" s="1009">
        <v>42110600</v>
      </c>
      <c r="F2484" s="1007" t="s">
        <v>2163</v>
      </c>
      <c r="G2484" s="1007">
        <v>8</v>
      </c>
      <c r="H2484" s="1010">
        <v>99999999</v>
      </c>
      <c r="I2484" s="1009">
        <v>42110600</v>
      </c>
      <c r="J2484" s="1007" t="s">
        <v>2163</v>
      </c>
      <c r="O2484" s="1007" t="s">
        <v>648</v>
      </c>
      <c r="P2484" s="1007" t="s">
        <v>648</v>
      </c>
      <c r="S2484" s="1008" t="s">
        <v>657</v>
      </c>
      <c r="T2484" s="1008" t="s">
        <v>654</v>
      </c>
      <c r="U2484" s="1008" t="s">
        <v>653</v>
      </c>
      <c r="V2484" s="1008" t="s">
        <v>648</v>
      </c>
      <c r="W2484" s="1008" t="s">
        <v>546</v>
      </c>
      <c r="X2484" s="1008" t="s">
        <v>670</v>
      </c>
      <c r="Y2484" s="1008" t="s">
        <v>670</v>
      </c>
      <c r="Z2484" s="1008" t="s">
        <v>670</v>
      </c>
      <c r="AA2484" s="1008" t="s">
        <v>670</v>
      </c>
      <c r="AB2484" s="1008" t="s">
        <v>670</v>
      </c>
      <c r="AC2484" s="1008" t="s">
        <v>670</v>
      </c>
      <c r="AD2484" s="1008"/>
      <c r="AE2484" s="1008"/>
      <c r="AF2484" s="1008" t="s">
        <v>670</v>
      </c>
      <c r="AG2484" s="1008"/>
      <c r="AH2484" s="1008"/>
      <c r="AI2484" s="1008"/>
    </row>
    <row r="2485" spans="1:35">
      <c r="A2485" s="1008">
        <v>24955</v>
      </c>
      <c r="C2485" s="1008">
        <v>6</v>
      </c>
      <c r="D2485" s="1009">
        <v>42199999</v>
      </c>
      <c r="E2485" s="1009">
        <v>42120000</v>
      </c>
      <c r="F2485" s="1007" t="s">
        <v>2162</v>
      </c>
      <c r="O2485" s="1007" t="s">
        <v>648</v>
      </c>
      <c r="P2485" s="1007" t="s">
        <v>648</v>
      </c>
      <c r="S2485" s="1008" t="s">
        <v>657</v>
      </c>
      <c r="T2485" s="1008" t="s">
        <v>654</v>
      </c>
      <c r="U2485" s="1008" t="s">
        <v>653</v>
      </c>
      <c r="V2485" s="1008" t="s">
        <v>648</v>
      </c>
      <c r="W2485" s="1008" t="s">
        <v>652</v>
      </c>
      <c r="X2485" s="1008"/>
      <c r="Y2485" s="1008"/>
      <c r="Z2485" s="1008"/>
      <c r="AA2485" s="1008"/>
      <c r="AB2485" s="1008"/>
      <c r="AC2485" s="1008"/>
      <c r="AD2485" s="1008"/>
      <c r="AE2485" s="1008"/>
      <c r="AF2485" s="1008"/>
      <c r="AG2485" s="1008"/>
      <c r="AH2485" s="1008"/>
      <c r="AI2485" s="1008"/>
    </row>
    <row r="2486" spans="1:35">
      <c r="A2486" s="1008">
        <v>24956</v>
      </c>
      <c r="C2486" s="1008">
        <v>6</v>
      </c>
      <c r="D2486" s="1009">
        <v>42199999</v>
      </c>
      <c r="E2486" s="1009">
        <v>42130000</v>
      </c>
      <c r="F2486" s="1007" t="s">
        <v>2161</v>
      </c>
      <c r="O2486" s="1007" t="s">
        <v>648</v>
      </c>
      <c r="P2486" s="1007" t="s">
        <v>648</v>
      </c>
      <c r="S2486" s="1008" t="s">
        <v>657</v>
      </c>
      <c r="T2486" s="1008" t="s">
        <v>654</v>
      </c>
      <c r="U2486" s="1008" t="s">
        <v>653</v>
      </c>
      <c r="V2486" s="1008" t="s">
        <v>648</v>
      </c>
      <c r="W2486" s="1008" t="s">
        <v>652</v>
      </c>
      <c r="X2486" s="1008"/>
      <c r="Y2486" s="1008"/>
      <c r="Z2486" s="1008"/>
      <c r="AA2486" s="1008"/>
      <c r="AB2486" s="1008"/>
      <c r="AC2486" s="1008"/>
      <c r="AD2486" s="1008"/>
      <c r="AE2486" s="1008"/>
      <c r="AF2486" s="1008"/>
      <c r="AG2486" s="1008"/>
      <c r="AH2486" s="1008"/>
      <c r="AI2486" s="1008"/>
    </row>
    <row r="2487" spans="1:35">
      <c r="A2487" s="1008">
        <v>24957</v>
      </c>
      <c r="C2487" s="1008">
        <v>6</v>
      </c>
      <c r="D2487" s="1009">
        <v>42199999</v>
      </c>
      <c r="E2487" s="1009">
        <v>42140000</v>
      </c>
      <c r="F2487" s="1007" t="s">
        <v>2160</v>
      </c>
      <c r="O2487" s="1007" t="s">
        <v>648</v>
      </c>
      <c r="P2487" s="1007" t="s">
        <v>648</v>
      </c>
      <c r="S2487" s="1008" t="s">
        <v>657</v>
      </c>
      <c r="T2487" s="1008" t="s">
        <v>654</v>
      </c>
      <c r="U2487" s="1008" t="s">
        <v>653</v>
      </c>
      <c r="V2487" s="1008" t="s">
        <v>648</v>
      </c>
      <c r="W2487" s="1008" t="s">
        <v>652</v>
      </c>
      <c r="X2487" s="1008"/>
      <c r="Y2487" s="1008"/>
      <c r="Z2487" s="1008"/>
      <c r="AA2487" s="1008"/>
      <c r="AB2487" s="1008"/>
      <c r="AC2487" s="1008"/>
      <c r="AD2487" s="1008"/>
      <c r="AE2487" s="1008"/>
      <c r="AF2487" s="1008"/>
      <c r="AG2487" s="1008"/>
      <c r="AH2487" s="1008"/>
      <c r="AI2487" s="1008"/>
    </row>
    <row r="2488" spans="1:35">
      <c r="A2488" s="1008">
        <v>24958</v>
      </c>
      <c r="C2488" s="1008">
        <v>5</v>
      </c>
      <c r="D2488" s="1009">
        <v>42999999</v>
      </c>
      <c r="E2488" s="1009">
        <v>42199999</v>
      </c>
      <c r="F2488" s="1007" t="s">
        <v>2159</v>
      </c>
      <c r="O2488" s="1007" t="s">
        <v>648</v>
      </c>
      <c r="P2488" s="1007" t="s">
        <v>648</v>
      </c>
      <c r="S2488" s="1008" t="s">
        <v>657</v>
      </c>
      <c r="T2488" s="1008" t="s">
        <v>21</v>
      </c>
      <c r="U2488" s="1008" t="s">
        <v>653</v>
      </c>
      <c r="V2488" s="1008" t="s">
        <v>648</v>
      </c>
      <c r="W2488" s="1008" t="s">
        <v>546</v>
      </c>
      <c r="X2488" s="1008"/>
      <c r="Y2488" s="1008"/>
      <c r="Z2488" s="1008"/>
      <c r="AA2488" s="1008"/>
      <c r="AB2488" s="1008"/>
      <c r="AC2488" s="1008"/>
      <c r="AD2488" s="1008"/>
      <c r="AE2488" s="1008"/>
      <c r="AF2488" s="1008"/>
      <c r="AG2488" s="1008"/>
      <c r="AH2488" s="1008"/>
      <c r="AI2488" s="1008"/>
    </row>
    <row r="2489" spans="1:35">
      <c r="A2489" s="1008">
        <v>24959</v>
      </c>
      <c r="C2489" s="1008">
        <v>4</v>
      </c>
      <c r="D2489" s="1009">
        <v>49999999</v>
      </c>
      <c r="E2489" s="1009">
        <v>42999999</v>
      </c>
      <c r="F2489" s="1007" t="s">
        <v>2158</v>
      </c>
      <c r="O2489" s="1007" t="s">
        <v>648</v>
      </c>
      <c r="P2489" s="1007" t="s">
        <v>648</v>
      </c>
      <c r="S2489" s="1008" t="s">
        <v>657</v>
      </c>
      <c r="T2489" s="1008" t="s">
        <v>21</v>
      </c>
      <c r="U2489" s="1008" t="s">
        <v>653</v>
      </c>
      <c r="V2489" s="1008" t="s">
        <v>648</v>
      </c>
      <c r="W2489" s="1008" t="s">
        <v>546</v>
      </c>
      <c r="X2489" s="1008"/>
      <c r="Y2489" s="1008"/>
      <c r="Z2489" s="1008"/>
      <c r="AA2489" s="1008"/>
      <c r="AB2489" s="1008"/>
      <c r="AC2489" s="1008"/>
      <c r="AD2489" s="1008"/>
      <c r="AE2489" s="1008"/>
      <c r="AF2489" s="1008"/>
      <c r="AG2489" s="1008"/>
      <c r="AH2489" s="1008"/>
      <c r="AI2489" s="1008"/>
    </row>
    <row r="2490" spans="1:35">
      <c r="A2490" s="1008">
        <v>24960</v>
      </c>
      <c r="C2490" s="1008">
        <v>3</v>
      </c>
      <c r="D2490" s="1009">
        <v>79999999</v>
      </c>
      <c r="E2490" s="1009">
        <v>49999999</v>
      </c>
      <c r="F2490" s="1007" t="s">
        <v>2157</v>
      </c>
      <c r="O2490" s="1007" t="s">
        <v>648</v>
      </c>
      <c r="P2490" s="1007" t="s">
        <v>648</v>
      </c>
      <c r="S2490" s="1008" t="s">
        <v>657</v>
      </c>
      <c r="T2490" s="1008" t="s">
        <v>21</v>
      </c>
      <c r="U2490" s="1008" t="s">
        <v>653</v>
      </c>
      <c r="V2490" s="1008" t="s">
        <v>648</v>
      </c>
      <c r="W2490" s="1008" t="s">
        <v>546</v>
      </c>
      <c r="X2490" s="1008"/>
      <c r="Y2490" s="1008"/>
      <c r="Z2490" s="1008"/>
      <c r="AA2490" s="1008"/>
      <c r="AB2490" s="1008"/>
      <c r="AC2490" s="1008"/>
      <c r="AD2490" s="1008"/>
      <c r="AE2490" s="1008"/>
      <c r="AF2490" s="1008"/>
      <c r="AG2490" s="1008"/>
      <c r="AH2490" s="1008"/>
      <c r="AI2490" s="1008"/>
    </row>
    <row r="2491" spans="1:35">
      <c r="A2491" s="1008">
        <v>24961</v>
      </c>
      <c r="C2491" s="1008">
        <v>3</v>
      </c>
      <c r="D2491" s="1009">
        <v>79999998</v>
      </c>
      <c r="E2491" s="1009">
        <v>50000000</v>
      </c>
      <c r="F2491" s="1007" t="s">
        <v>2156</v>
      </c>
      <c r="O2491" s="1007" t="s">
        <v>648</v>
      </c>
      <c r="P2491" s="1007" t="s">
        <v>648</v>
      </c>
      <c r="S2491" s="1008" t="s">
        <v>650</v>
      </c>
      <c r="T2491" s="1008" t="s">
        <v>675</v>
      </c>
      <c r="U2491" s="1008" t="s">
        <v>653</v>
      </c>
      <c r="V2491" s="1008" t="s">
        <v>648</v>
      </c>
      <c r="W2491" s="1008" t="s">
        <v>546</v>
      </c>
      <c r="X2491" s="1008"/>
      <c r="Y2491" s="1008"/>
      <c r="Z2491" s="1008"/>
      <c r="AA2491" s="1008"/>
      <c r="AB2491" s="1008"/>
      <c r="AC2491" s="1008"/>
      <c r="AD2491" s="1008"/>
      <c r="AE2491" s="1008"/>
      <c r="AF2491" s="1008"/>
      <c r="AG2491" s="1008"/>
      <c r="AH2491" s="1008"/>
      <c r="AI2491" s="1008"/>
    </row>
    <row r="2492" spans="1:35">
      <c r="A2492" s="1008">
        <v>24962</v>
      </c>
      <c r="C2492" s="1008">
        <v>4</v>
      </c>
      <c r="D2492" s="1009">
        <v>50499999</v>
      </c>
      <c r="E2492" s="1009">
        <v>50001000</v>
      </c>
      <c r="F2492" s="1007" t="s">
        <v>1065</v>
      </c>
      <c r="O2492" s="1007" t="s">
        <v>648</v>
      </c>
      <c r="P2492" s="1007" t="s">
        <v>648</v>
      </c>
      <c r="S2492" s="1008" t="s">
        <v>650</v>
      </c>
      <c r="T2492" s="1008" t="s">
        <v>675</v>
      </c>
      <c r="U2492" s="1008" t="s">
        <v>653</v>
      </c>
      <c r="V2492" s="1008" t="s">
        <v>648</v>
      </c>
      <c r="W2492" s="1008" t="s">
        <v>546</v>
      </c>
      <c r="X2492" s="1008"/>
      <c r="Y2492" s="1008"/>
      <c r="Z2492" s="1008"/>
      <c r="AA2492" s="1008"/>
      <c r="AB2492" s="1008"/>
      <c r="AC2492" s="1008"/>
      <c r="AD2492" s="1008"/>
      <c r="AE2492" s="1008"/>
      <c r="AF2492" s="1008"/>
      <c r="AG2492" s="1008"/>
      <c r="AH2492" s="1008"/>
      <c r="AI2492" s="1008"/>
    </row>
    <row r="2493" spans="1:35">
      <c r="A2493" s="1008">
        <v>24963</v>
      </c>
      <c r="C2493" s="1008">
        <v>5</v>
      </c>
      <c r="D2493" s="1009">
        <v>50199999</v>
      </c>
      <c r="E2493" s="1009">
        <v>50100000</v>
      </c>
      <c r="F2493" s="1007" t="s">
        <v>2155</v>
      </c>
      <c r="O2493" s="1007" t="s">
        <v>648</v>
      </c>
      <c r="P2493" s="1007" t="s">
        <v>648</v>
      </c>
      <c r="S2493" s="1008" t="s">
        <v>650</v>
      </c>
      <c r="T2493" s="1008" t="s">
        <v>675</v>
      </c>
      <c r="U2493" s="1008" t="s">
        <v>653</v>
      </c>
      <c r="V2493" s="1008" t="s">
        <v>648</v>
      </c>
      <c r="W2493" s="1008" t="s">
        <v>546</v>
      </c>
      <c r="X2493" s="1008"/>
      <c r="Y2493" s="1008"/>
      <c r="Z2493" s="1008"/>
      <c r="AA2493" s="1008"/>
      <c r="AB2493" s="1008"/>
      <c r="AC2493" s="1008"/>
      <c r="AD2493" s="1008"/>
      <c r="AE2493" s="1008"/>
      <c r="AF2493" s="1008"/>
      <c r="AG2493" s="1008"/>
      <c r="AH2493" s="1008"/>
      <c r="AI2493" s="1008"/>
    </row>
    <row r="2494" spans="1:35">
      <c r="A2494" s="1008">
        <v>24964</v>
      </c>
      <c r="B2494" s="1008">
        <v>762</v>
      </c>
      <c r="C2494" s="1008">
        <v>6</v>
      </c>
      <c r="D2494" s="1009">
        <v>50199999</v>
      </c>
      <c r="E2494" s="1009">
        <v>50110000</v>
      </c>
      <c r="F2494" s="1007" t="s">
        <v>2154</v>
      </c>
      <c r="G2494" s="1007">
        <v>8</v>
      </c>
      <c r="H2494" s="1010">
        <v>99999999</v>
      </c>
      <c r="I2494" s="1009">
        <v>50110000</v>
      </c>
      <c r="J2494" s="1007" t="s">
        <v>2154</v>
      </c>
      <c r="O2494" s="1007" t="s">
        <v>648</v>
      </c>
      <c r="P2494" s="1007" t="s">
        <v>648</v>
      </c>
      <c r="S2494" s="1008" t="s">
        <v>650</v>
      </c>
      <c r="T2494" s="1008" t="s">
        <v>654</v>
      </c>
      <c r="U2494" s="1008" t="s">
        <v>653</v>
      </c>
      <c r="V2494" s="1008" t="s">
        <v>648</v>
      </c>
      <c r="W2494" s="1008" t="s">
        <v>546</v>
      </c>
      <c r="X2494" s="1008" t="s">
        <v>670</v>
      </c>
      <c r="Y2494" s="1008" t="s">
        <v>670</v>
      </c>
      <c r="Z2494" s="1008" t="s">
        <v>670</v>
      </c>
      <c r="AA2494" s="1008" t="s">
        <v>670</v>
      </c>
      <c r="AB2494" s="1008" t="s">
        <v>670</v>
      </c>
      <c r="AC2494" s="1008" t="s">
        <v>670</v>
      </c>
      <c r="AD2494" s="1008" t="s">
        <v>670</v>
      </c>
      <c r="AE2494" s="1008"/>
      <c r="AF2494" s="1008" t="s">
        <v>670</v>
      </c>
      <c r="AG2494" s="1008"/>
      <c r="AH2494" s="1008"/>
      <c r="AI2494" s="1008"/>
    </row>
    <row r="2495" spans="1:35">
      <c r="A2495" s="1008">
        <v>27030</v>
      </c>
      <c r="B2495" s="1008">
        <v>5911</v>
      </c>
      <c r="C2495" s="1008">
        <v>6</v>
      </c>
      <c r="D2495" s="1009">
        <v>50199999</v>
      </c>
      <c r="E2495" s="1009">
        <v>50110600</v>
      </c>
      <c r="F2495" s="1007" t="s">
        <v>2153</v>
      </c>
      <c r="G2495" s="1007" t="s">
        <v>648</v>
      </c>
      <c r="H2495" s="1010">
        <v>99999999</v>
      </c>
      <c r="I2495" s="1009">
        <v>50110600</v>
      </c>
      <c r="J2495" s="1007" t="s">
        <v>2153</v>
      </c>
      <c r="O2495" s="1007" t="s">
        <v>648</v>
      </c>
      <c r="P2495" s="1007" t="s">
        <v>648</v>
      </c>
      <c r="S2495" s="1008" t="s">
        <v>650</v>
      </c>
      <c r="T2495" s="1008" t="s">
        <v>654</v>
      </c>
      <c r="U2495" s="1008" t="s">
        <v>653</v>
      </c>
      <c r="V2495" s="1008" t="s">
        <v>648</v>
      </c>
      <c r="W2495" s="1008" t="s">
        <v>546</v>
      </c>
      <c r="X2495" s="1008" t="s">
        <v>670</v>
      </c>
      <c r="Y2495" s="1008" t="s">
        <v>670</v>
      </c>
      <c r="Z2495" s="1008" t="s">
        <v>670</v>
      </c>
      <c r="AA2495" s="1008"/>
      <c r="AB2495" s="1008" t="s">
        <v>670</v>
      </c>
      <c r="AC2495" s="1008"/>
      <c r="AD2495" s="1008" t="s">
        <v>670</v>
      </c>
      <c r="AE2495" s="1008"/>
      <c r="AF2495" s="1008" t="s">
        <v>670</v>
      </c>
      <c r="AG2495" s="1008"/>
      <c r="AH2495" s="1008"/>
      <c r="AI2495" s="1008"/>
    </row>
    <row r="2496" spans="1:35">
      <c r="A2496" s="1008">
        <v>24965</v>
      </c>
      <c r="C2496" s="1008">
        <v>5</v>
      </c>
      <c r="D2496" s="1009">
        <v>50499999</v>
      </c>
      <c r="E2496" s="1009">
        <v>50199999</v>
      </c>
      <c r="F2496" s="1007" t="s">
        <v>2152</v>
      </c>
      <c r="O2496" s="1007" t="s">
        <v>648</v>
      </c>
      <c r="P2496" s="1007" t="s">
        <v>648</v>
      </c>
      <c r="S2496" s="1008" t="s">
        <v>650</v>
      </c>
      <c r="T2496" s="1008" t="s">
        <v>21</v>
      </c>
      <c r="U2496" s="1008" t="s">
        <v>653</v>
      </c>
      <c r="V2496" s="1008" t="s">
        <v>648</v>
      </c>
      <c r="W2496" s="1008" t="s">
        <v>546</v>
      </c>
      <c r="X2496" s="1008"/>
      <c r="Y2496" s="1008"/>
      <c r="Z2496" s="1008"/>
      <c r="AA2496" s="1008"/>
      <c r="AB2496" s="1008"/>
      <c r="AC2496" s="1008"/>
      <c r="AD2496" s="1008"/>
      <c r="AE2496" s="1008"/>
      <c r="AF2496" s="1008"/>
      <c r="AG2496" s="1008"/>
      <c r="AH2496" s="1008"/>
      <c r="AI2496" s="1008"/>
    </row>
    <row r="2497" spans="1:35">
      <c r="A2497" s="1008">
        <v>24966</v>
      </c>
      <c r="C2497" s="1008">
        <v>5</v>
      </c>
      <c r="D2497" s="1009">
        <v>50299999</v>
      </c>
      <c r="E2497" s="1009">
        <v>50200000</v>
      </c>
      <c r="F2497" s="1007" t="s">
        <v>2151</v>
      </c>
      <c r="O2497" s="1007" t="s">
        <v>648</v>
      </c>
      <c r="P2497" s="1007" t="s">
        <v>648</v>
      </c>
      <c r="S2497" s="1008" t="s">
        <v>650</v>
      </c>
      <c r="T2497" s="1008" t="s">
        <v>675</v>
      </c>
      <c r="U2497" s="1008" t="s">
        <v>653</v>
      </c>
      <c r="V2497" s="1008" t="s">
        <v>648</v>
      </c>
      <c r="W2497" s="1008" t="s">
        <v>546</v>
      </c>
      <c r="X2497" s="1008"/>
      <c r="Y2497" s="1008"/>
      <c r="Z2497" s="1008"/>
      <c r="AA2497" s="1008"/>
      <c r="AB2497" s="1008"/>
      <c r="AC2497" s="1008"/>
      <c r="AD2497" s="1008"/>
      <c r="AE2497" s="1008"/>
      <c r="AF2497" s="1008"/>
      <c r="AG2497" s="1008"/>
      <c r="AH2497" s="1008"/>
      <c r="AI2497" s="1008"/>
    </row>
    <row r="2498" spans="1:35">
      <c r="A2498" s="1008">
        <v>24967</v>
      </c>
      <c r="B2498" s="1008">
        <v>761</v>
      </c>
      <c r="C2498" s="1008">
        <v>6</v>
      </c>
      <c r="D2498" s="1009">
        <v>50299999</v>
      </c>
      <c r="E2498" s="1009">
        <v>50210000</v>
      </c>
      <c r="F2498" s="1007" t="s">
        <v>2150</v>
      </c>
      <c r="G2498" s="1007">
        <v>8</v>
      </c>
      <c r="H2498" s="1010">
        <v>99999999</v>
      </c>
      <c r="I2498" s="1009">
        <v>50210000</v>
      </c>
      <c r="J2498" s="1007" t="s">
        <v>2150</v>
      </c>
      <c r="O2498" s="1007" t="s">
        <v>648</v>
      </c>
      <c r="P2498" s="1007" t="s">
        <v>648</v>
      </c>
      <c r="S2498" s="1008" t="s">
        <v>650</v>
      </c>
      <c r="T2498" s="1008" t="s">
        <v>654</v>
      </c>
      <c r="U2498" s="1008" t="s">
        <v>653</v>
      </c>
      <c r="V2498" s="1008" t="s">
        <v>648</v>
      </c>
      <c r="W2498" s="1008" t="s">
        <v>546</v>
      </c>
      <c r="X2498" s="1008" t="s">
        <v>670</v>
      </c>
      <c r="Y2498" s="1008" t="s">
        <v>670</v>
      </c>
      <c r="Z2498" s="1008" t="s">
        <v>670</v>
      </c>
      <c r="AA2498" s="1008" t="s">
        <v>670</v>
      </c>
      <c r="AB2498" s="1008" t="s">
        <v>670</v>
      </c>
      <c r="AC2498" s="1008" t="s">
        <v>670</v>
      </c>
      <c r="AD2498" s="1008" t="s">
        <v>670</v>
      </c>
      <c r="AE2498" s="1008"/>
      <c r="AF2498" s="1008" t="s">
        <v>670</v>
      </c>
      <c r="AG2498" s="1008"/>
      <c r="AH2498" s="1008"/>
      <c r="AI2498" s="1008"/>
    </row>
    <row r="2499" spans="1:35">
      <c r="A2499" s="1008">
        <v>24968</v>
      </c>
      <c r="C2499" s="1008">
        <v>5</v>
      </c>
      <c r="D2499" s="1009">
        <v>50499999</v>
      </c>
      <c r="E2499" s="1009">
        <v>50299999</v>
      </c>
      <c r="F2499" s="1007" t="s">
        <v>2149</v>
      </c>
      <c r="O2499" s="1007" t="s">
        <v>648</v>
      </c>
      <c r="P2499" s="1007" t="s">
        <v>648</v>
      </c>
      <c r="S2499" s="1008" t="s">
        <v>650</v>
      </c>
      <c r="T2499" s="1008" t="s">
        <v>21</v>
      </c>
      <c r="U2499" s="1008" t="s">
        <v>653</v>
      </c>
      <c r="V2499" s="1008" t="s">
        <v>648</v>
      </c>
      <c r="W2499" s="1008" t="s">
        <v>546</v>
      </c>
      <c r="X2499" s="1008"/>
      <c r="Y2499" s="1008"/>
      <c r="Z2499" s="1008"/>
      <c r="AA2499" s="1008"/>
      <c r="AB2499" s="1008"/>
      <c r="AC2499" s="1008"/>
      <c r="AD2499" s="1008"/>
      <c r="AE2499" s="1008"/>
      <c r="AF2499" s="1008"/>
      <c r="AG2499" s="1008"/>
      <c r="AH2499" s="1008"/>
      <c r="AI2499" s="1008"/>
    </row>
    <row r="2500" spans="1:35">
      <c r="A2500" s="1008">
        <v>24969</v>
      </c>
      <c r="C2500" s="1008">
        <v>5</v>
      </c>
      <c r="D2500" s="1009">
        <v>50399999</v>
      </c>
      <c r="E2500" s="1009">
        <v>50300000</v>
      </c>
      <c r="F2500" s="1007" t="s">
        <v>2148</v>
      </c>
      <c r="O2500" s="1007" t="s">
        <v>648</v>
      </c>
      <c r="P2500" s="1007" t="s">
        <v>648</v>
      </c>
      <c r="S2500" s="1008" t="s">
        <v>650</v>
      </c>
      <c r="T2500" s="1008" t="s">
        <v>675</v>
      </c>
      <c r="U2500" s="1008" t="s">
        <v>653</v>
      </c>
      <c r="V2500" s="1008" t="s">
        <v>648</v>
      </c>
      <c r="W2500" s="1008" t="s">
        <v>652</v>
      </c>
      <c r="X2500" s="1008"/>
      <c r="Y2500" s="1008"/>
      <c r="Z2500" s="1008"/>
      <c r="AA2500" s="1008"/>
      <c r="AB2500" s="1008"/>
      <c r="AC2500" s="1008"/>
      <c r="AD2500" s="1008"/>
      <c r="AE2500" s="1008"/>
      <c r="AF2500" s="1008"/>
      <c r="AG2500" s="1008"/>
      <c r="AH2500" s="1008"/>
      <c r="AI2500" s="1008"/>
    </row>
    <row r="2501" spans="1:35">
      <c r="A2501" s="1008">
        <v>24970</v>
      </c>
      <c r="B2501" s="1008">
        <v>2137</v>
      </c>
      <c r="C2501" s="1008">
        <v>6</v>
      </c>
      <c r="D2501" s="1009">
        <v>50499999</v>
      </c>
      <c r="E2501" s="1009">
        <v>50310000</v>
      </c>
      <c r="F2501" s="1007" t="s">
        <v>2147</v>
      </c>
      <c r="G2501" s="1007">
        <v>6</v>
      </c>
      <c r="H2501" s="1010">
        <v>99999999</v>
      </c>
      <c r="I2501" s="1009">
        <v>50310000</v>
      </c>
      <c r="J2501" s="1007" t="s">
        <v>2147</v>
      </c>
      <c r="O2501" s="1007" t="s">
        <v>648</v>
      </c>
      <c r="P2501" s="1007" t="s">
        <v>648</v>
      </c>
      <c r="S2501" s="1008" t="s">
        <v>650</v>
      </c>
      <c r="T2501" s="1008" t="s">
        <v>654</v>
      </c>
      <c r="U2501" s="1008" t="s">
        <v>653</v>
      </c>
      <c r="V2501" s="1008" t="s">
        <v>648</v>
      </c>
      <c r="W2501" s="1008" t="s">
        <v>652</v>
      </c>
      <c r="X2501" s="1008" t="s">
        <v>670</v>
      </c>
      <c r="Y2501" s="1008" t="s">
        <v>670</v>
      </c>
      <c r="Z2501" s="1008" t="s">
        <v>670</v>
      </c>
      <c r="AA2501" s="1008" t="s">
        <v>670</v>
      </c>
      <c r="AB2501" s="1008" t="s">
        <v>670</v>
      </c>
      <c r="AC2501" s="1008" t="s">
        <v>670</v>
      </c>
      <c r="AD2501" s="1008" t="s">
        <v>670</v>
      </c>
      <c r="AE2501" s="1008"/>
      <c r="AF2501" s="1008" t="s">
        <v>670</v>
      </c>
      <c r="AG2501" s="1008"/>
      <c r="AH2501" s="1008"/>
      <c r="AI2501" s="1008"/>
    </row>
    <row r="2502" spans="1:35">
      <c r="A2502" s="1008">
        <v>24971</v>
      </c>
      <c r="B2502" s="1008">
        <v>5375</v>
      </c>
      <c r="C2502" s="1008">
        <v>6</v>
      </c>
      <c r="D2502" s="1009">
        <v>50499999</v>
      </c>
      <c r="E2502" s="1009">
        <v>50320000</v>
      </c>
      <c r="F2502" s="1007" t="s">
        <v>2146</v>
      </c>
      <c r="G2502" s="1007">
        <v>6</v>
      </c>
      <c r="H2502" s="1010">
        <v>99999999</v>
      </c>
      <c r="I2502" s="1009">
        <v>50320000</v>
      </c>
      <c r="J2502" s="1007" t="s">
        <v>2146</v>
      </c>
      <c r="O2502" s="1007" t="s">
        <v>648</v>
      </c>
      <c r="P2502" s="1007" t="s">
        <v>648</v>
      </c>
      <c r="S2502" s="1008" t="s">
        <v>650</v>
      </c>
      <c r="T2502" s="1008" t="s">
        <v>654</v>
      </c>
      <c r="U2502" s="1008" t="s">
        <v>653</v>
      </c>
      <c r="V2502" s="1008" t="s">
        <v>648</v>
      </c>
      <c r="W2502" s="1008" t="s">
        <v>652</v>
      </c>
      <c r="X2502" s="1008" t="s">
        <v>670</v>
      </c>
      <c r="Y2502" s="1008" t="s">
        <v>670</v>
      </c>
      <c r="Z2502" s="1008" t="s">
        <v>670</v>
      </c>
      <c r="AA2502" s="1008" t="s">
        <v>670</v>
      </c>
      <c r="AB2502" s="1008" t="s">
        <v>670</v>
      </c>
      <c r="AC2502" s="1008" t="s">
        <v>670</v>
      </c>
      <c r="AD2502" s="1008" t="s">
        <v>670</v>
      </c>
      <c r="AE2502" s="1008"/>
      <c r="AF2502" s="1008" t="s">
        <v>670</v>
      </c>
      <c r="AG2502" s="1008"/>
      <c r="AH2502" s="1008"/>
      <c r="AI2502" s="1008"/>
    </row>
    <row r="2503" spans="1:35">
      <c r="A2503" s="1008">
        <v>24972</v>
      </c>
      <c r="C2503" s="1008">
        <v>5</v>
      </c>
      <c r="D2503" s="1009">
        <v>50499999</v>
      </c>
      <c r="E2503" s="1009">
        <v>50399999</v>
      </c>
      <c r="F2503" s="1007" t="s">
        <v>2145</v>
      </c>
      <c r="O2503" s="1007" t="s">
        <v>648</v>
      </c>
      <c r="P2503" s="1007" t="s">
        <v>648</v>
      </c>
      <c r="S2503" s="1008" t="s">
        <v>650</v>
      </c>
      <c r="T2503" s="1008" t="s">
        <v>21</v>
      </c>
      <c r="U2503" s="1008" t="s">
        <v>653</v>
      </c>
      <c r="V2503" s="1008" t="s">
        <v>648</v>
      </c>
      <c r="W2503" s="1008" t="s">
        <v>652</v>
      </c>
      <c r="X2503" s="1008"/>
      <c r="Y2503" s="1008"/>
      <c r="Z2503" s="1008"/>
      <c r="AA2503" s="1008"/>
      <c r="AB2503" s="1008"/>
      <c r="AC2503" s="1008"/>
      <c r="AD2503" s="1008"/>
      <c r="AE2503" s="1008"/>
      <c r="AF2503" s="1008"/>
      <c r="AG2503" s="1008"/>
      <c r="AH2503" s="1008"/>
      <c r="AI2503" s="1008"/>
    </row>
    <row r="2504" spans="1:35">
      <c r="A2504" s="1008">
        <v>27557</v>
      </c>
      <c r="B2504" s="1008">
        <v>6409</v>
      </c>
      <c r="C2504" s="1008">
        <v>6</v>
      </c>
      <c r="D2504" s="1009">
        <v>50499999</v>
      </c>
      <c r="E2504" s="1009">
        <v>50450700</v>
      </c>
      <c r="F2504" s="1007" t="s">
        <v>2144</v>
      </c>
      <c r="G2504" s="1007">
        <v>6</v>
      </c>
      <c r="H2504" s="1010">
        <v>99999999</v>
      </c>
      <c r="I2504" s="1009">
        <v>50450700</v>
      </c>
      <c r="J2504" s="1007" t="s">
        <v>2144</v>
      </c>
      <c r="O2504" s="1007" t="s">
        <v>648</v>
      </c>
      <c r="P2504" s="1007" t="s">
        <v>648</v>
      </c>
      <c r="S2504" s="1008" t="s">
        <v>650</v>
      </c>
      <c r="T2504" s="1008" t="s">
        <v>654</v>
      </c>
      <c r="U2504" s="1008" t="s">
        <v>653</v>
      </c>
      <c r="V2504" s="1008" t="s">
        <v>648</v>
      </c>
      <c r="W2504" s="1008" t="s">
        <v>546</v>
      </c>
      <c r="X2504" s="1008" t="s">
        <v>670</v>
      </c>
      <c r="Y2504" s="1008"/>
      <c r="Z2504" s="1008"/>
      <c r="AA2504" s="1008" t="s">
        <v>670</v>
      </c>
      <c r="AB2504" s="1008"/>
      <c r="AC2504" s="1008"/>
      <c r="AD2504" s="1008" t="s">
        <v>670</v>
      </c>
      <c r="AE2504" s="1008"/>
      <c r="AF2504" s="1008"/>
      <c r="AG2504" s="1008"/>
      <c r="AH2504" s="1008"/>
      <c r="AI2504" s="1008"/>
    </row>
    <row r="2505" spans="1:35">
      <c r="A2505" s="1008">
        <v>27648</v>
      </c>
      <c r="B2505" s="1008">
        <v>6477</v>
      </c>
      <c r="C2505" s="1008">
        <v>6</v>
      </c>
      <c r="D2505" s="1009">
        <v>50499999</v>
      </c>
      <c r="E2505" s="1009">
        <v>50450710</v>
      </c>
      <c r="F2505" s="1007" t="s">
        <v>2143</v>
      </c>
      <c r="G2505" s="1007">
        <v>6</v>
      </c>
      <c r="H2505" s="1010">
        <v>99999999</v>
      </c>
      <c r="I2505" s="1009">
        <v>50450710</v>
      </c>
      <c r="J2505" s="1007" t="s">
        <v>2142</v>
      </c>
      <c r="O2505" s="1007" t="s">
        <v>648</v>
      </c>
      <c r="P2505" s="1007" t="s">
        <v>648</v>
      </c>
      <c r="S2505" s="1008" t="s">
        <v>650</v>
      </c>
      <c r="T2505" s="1008" t="s">
        <v>654</v>
      </c>
      <c r="U2505" s="1008" t="s">
        <v>653</v>
      </c>
      <c r="V2505" s="1008" t="s">
        <v>648</v>
      </c>
      <c r="W2505" s="1008" t="s">
        <v>546</v>
      </c>
      <c r="X2505" s="1008" t="s">
        <v>670</v>
      </c>
      <c r="Y2505" s="1008"/>
      <c r="Z2505" s="1008"/>
      <c r="AA2505" s="1008" t="s">
        <v>670</v>
      </c>
      <c r="AB2505" s="1008"/>
      <c r="AC2505" s="1008"/>
      <c r="AD2505" s="1008" t="s">
        <v>670</v>
      </c>
      <c r="AE2505" s="1008"/>
      <c r="AF2505" s="1008"/>
      <c r="AG2505" s="1008"/>
      <c r="AH2505" s="1008"/>
      <c r="AI2505" s="1008"/>
    </row>
    <row r="2506" spans="1:35">
      <c r="A2506" s="1008">
        <v>27734</v>
      </c>
      <c r="B2506" s="1008">
        <v>6552</v>
      </c>
      <c r="C2506" s="1008">
        <v>6</v>
      </c>
      <c r="D2506" s="1009">
        <v>50499999</v>
      </c>
      <c r="E2506" s="1009">
        <v>50480200</v>
      </c>
      <c r="F2506" s="1007" t="s">
        <v>2141</v>
      </c>
      <c r="G2506" s="1007" t="s">
        <v>648</v>
      </c>
      <c r="H2506" s="1010">
        <v>99999999</v>
      </c>
      <c r="I2506" s="1009">
        <v>50480200</v>
      </c>
      <c r="J2506" s="1007" t="s">
        <v>2140</v>
      </c>
      <c r="O2506" s="1007" t="s">
        <v>648</v>
      </c>
      <c r="P2506" s="1007" t="s">
        <v>648</v>
      </c>
      <c r="S2506" s="1008" t="s">
        <v>650</v>
      </c>
      <c r="T2506" s="1008" t="s">
        <v>654</v>
      </c>
      <c r="U2506" s="1008" t="s">
        <v>653</v>
      </c>
      <c r="V2506" s="1008" t="s">
        <v>648</v>
      </c>
      <c r="W2506" s="1008" t="s">
        <v>546</v>
      </c>
      <c r="X2506" s="1008" t="s">
        <v>670</v>
      </c>
      <c r="Y2506" s="1008" t="s">
        <v>670</v>
      </c>
      <c r="Z2506" s="1008" t="s">
        <v>670</v>
      </c>
      <c r="AA2506" s="1008" t="s">
        <v>670</v>
      </c>
      <c r="AB2506" s="1008" t="s">
        <v>670</v>
      </c>
      <c r="AC2506" s="1008" t="s">
        <v>670</v>
      </c>
      <c r="AD2506" s="1008" t="s">
        <v>670</v>
      </c>
      <c r="AE2506" s="1008"/>
      <c r="AF2506" s="1008" t="s">
        <v>670</v>
      </c>
      <c r="AG2506" s="1008"/>
      <c r="AH2506" s="1008"/>
      <c r="AI2506" s="1008"/>
    </row>
    <row r="2507" spans="1:35">
      <c r="A2507" s="1008">
        <v>24973</v>
      </c>
      <c r="C2507" s="1008">
        <v>4</v>
      </c>
      <c r="D2507" s="1009">
        <v>79999998</v>
      </c>
      <c r="E2507" s="1009">
        <v>50499999</v>
      </c>
      <c r="F2507" s="1007" t="s">
        <v>1051</v>
      </c>
      <c r="O2507" s="1007" t="s">
        <v>648</v>
      </c>
      <c r="P2507" s="1007" t="s">
        <v>648</v>
      </c>
      <c r="S2507" s="1008" t="s">
        <v>650</v>
      </c>
      <c r="T2507" s="1008" t="s">
        <v>21</v>
      </c>
      <c r="U2507" s="1008" t="s">
        <v>653</v>
      </c>
      <c r="V2507" s="1008" t="s">
        <v>648</v>
      </c>
      <c r="W2507" s="1008" t="s">
        <v>546</v>
      </c>
      <c r="X2507" s="1008"/>
      <c r="Y2507" s="1008"/>
      <c r="Z2507" s="1008"/>
      <c r="AA2507" s="1008"/>
      <c r="AB2507" s="1008"/>
      <c r="AC2507" s="1008"/>
      <c r="AD2507" s="1008"/>
      <c r="AE2507" s="1008"/>
      <c r="AF2507" s="1008"/>
      <c r="AG2507" s="1008"/>
      <c r="AH2507" s="1008"/>
      <c r="AI2507" s="1008"/>
    </row>
    <row r="2508" spans="1:35">
      <c r="A2508" s="1008">
        <v>24974</v>
      </c>
      <c r="C2508" s="1008">
        <v>4</v>
      </c>
      <c r="D2508" s="1009">
        <v>50599999</v>
      </c>
      <c r="E2508" s="1009">
        <v>50500000</v>
      </c>
      <c r="F2508" s="1007" t="s">
        <v>2139</v>
      </c>
      <c r="O2508" s="1007" t="s">
        <v>648</v>
      </c>
      <c r="P2508" s="1007" t="s">
        <v>648</v>
      </c>
      <c r="S2508" s="1008" t="s">
        <v>650</v>
      </c>
      <c r="T2508" s="1008" t="s">
        <v>675</v>
      </c>
      <c r="U2508" s="1008" t="s">
        <v>653</v>
      </c>
      <c r="V2508" s="1008" t="s">
        <v>648</v>
      </c>
      <c r="W2508" s="1008" t="s">
        <v>546</v>
      </c>
      <c r="X2508" s="1008"/>
      <c r="Y2508" s="1008"/>
      <c r="Z2508" s="1008"/>
      <c r="AA2508" s="1008"/>
      <c r="AB2508" s="1008"/>
      <c r="AC2508" s="1008"/>
      <c r="AD2508" s="1008"/>
      <c r="AE2508" s="1008"/>
      <c r="AF2508" s="1008"/>
      <c r="AG2508" s="1008"/>
      <c r="AH2508" s="1008"/>
      <c r="AI2508" s="1008"/>
    </row>
    <row r="2509" spans="1:35">
      <c r="A2509" s="1008">
        <v>24975</v>
      </c>
      <c r="C2509" s="1008">
        <v>5</v>
      </c>
      <c r="D2509" s="1009">
        <v>50519999</v>
      </c>
      <c r="E2509" s="1009">
        <v>50510000</v>
      </c>
      <c r="F2509" s="1007" t="s">
        <v>2139</v>
      </c>
      <c r="O2509" s="1007" t="s">
        <v>648</v>
      </c>
      <c r="P2509" s="1007" t="s">
        <v>648</v>
      </c>
      <c r="S2509" s="1008" t="s">
        <v>650</v>
      </c>
      <c r="T2509" s="1008" t="s">
        <v>675</v>
      </c>
      <c r="U2509" s="1008" t="s">
        <v>653</v>
      </c>
      <c r="V2509" s="1008" t="s">
        <v>648</v>
      </c>
      <c r="W2509" s="1008" t="s">
        <v>546</v>
      </c>
      <c r="X2509" s="1008"/>
      <c r="Y2509" s="1008"/>
      <c r="Z2509" s="1008"/>
      <c r="AA2509" s="1008"/>
      <c r="AB2509" s="1008"/>
      <c r="AC2509" s="1008"/>
      <c r="AD2509" s="1008"/>
      <c r="AE2509" s="1008"/>
      <c r="AF2509" s="1008"/>
      <c r="AG2509" s="1008"/>
      <c r="AH2509" s="1008"/>
      <c r="AI2509" s="1008"/>
    </row>
    <row r="2510" spans="1:35">
      <c r="A2510" s="1008">
        <v>24976</v>
      </c>
      <c r="B2510" s="1008">
        <v>2139</v>
      </c>
      <c r="C2510" s="1008">
        <v>6</v>
      </c>
      <c r="D2510" s="1009">
        <v>50519999</v>
      </c>
      <c r="E2510" s="1009">
        <v>50511000</v>
      </c>
      <c r="F2510" s="1007" t="s">
        <v>2139</v>
      </c>
      <c r="G2510" s="1007">
        <v>6</v>
      </c>
      <c r="H2510" s="1010">
        <v>99999999</v>
      </c>
      <c r="I2510" s="1009">
        <v>50511000</v>
      </c>
      <c r="J2510" s="1007" t="s">
        <v>2139</v>
      </c>
      <c r="O2510" s="1007" t="s">
        <v>648</v>
      </c>
      <c r="P2510" s="1007" t="s">
        <v>648</v>
      </c>
      <c r="S2510" s="1008" t="s">
        <v>650</v>
      </c>
      <c r="T2510" s="1008" t="s">
        <v>654</v>
      </c>
      <c r="U2510" s="1008" t="s">
        <v>653</v>
      </c>
      <c r="V2510" s="1008" t="s">
        <v>648</v>
      </c>
      <c r="W2510" s="1008" t="s">
        <v>546</v>
      </c>
      <c r="X2510" s="1008" t="s">
        <v>670</v>
      </c>
      <c r="Y2510" s="1008" t="s">
        <v>670</v>
      </c>
      <c r="Z2510" s="1008" t="s">
        <v>670</v>
      </c>
      <c r="AA2510" s="1008" t="s">
        <v>670</v>
      </c>
      <c r="AB2510" s="1008" t="s">
        <v>670</v>
      </c>
      <c r="AC2510" s="1008" t="s">
        <v>670</v>
      </c>
      <c r="AD2510" s="1008" t="s">
        <v>670</v>
      </c>
      <c r="AE2510" s="1008"/>
      <c r="AF2510" s="1008" t="s">
        <v>670</v>
      </c>
      <c r="AG2510" s="1008"/>
      <c r="AH2510" s="1008"/>
      <c r="AI2510" s="1008"/>
    </row>
    <row r="2511" spans="1:35">
      <c r="A2511" s="1008">
        <v>24977</v>
      </c>
      <c r="B2511" s="1008">
        <v>5379</v>
      </c>
      <c r="C2511" s="1008">
        <v>6</v>
      </c>
      <c r="D2511" s="1009">
        <v>50519999</v>
      </c>
      <c r="E2511" s="1009">
        <v>50512000</v>
      </c>
      <c r="F2511" s="1007" t="s">
        <v>2138</v>
      </c>
      <c r="G2511" s="1007">
        <v>6</v>
      </c>
      <c r="H2511" s="1010">
        <v>99999999</v>
      </c>
      <c r="I2511" s="1009">
        <v>50512000</v>
      </c>
      <c r="J2511" s="1007" t="s">
        <v>2138</v>
      </c>
      <c r="O2511" s="1007" t="s">
        <v>648</v>
      </c>
      <c r="P2511" s="1007" t="s">
        <v>648</v>
      </c>
      <c r="S2511" s="1008" t="s">
        <v>650</v>
      </c>
      <c r="T2511" s="1008" t="s">
        <v>654</v>
      </c>
      <c r="U2511" s="1008" t="s">
        <v>653</v>
      </c>
      <c r="V2511" s="1008" t="s">
        <v>648</v>
      </c>
      <c r="W2511" s="1008" t="s">
        <v>546</v>
      </c>
      <c r="X2511" s="1008" t="s">
        <v>670</v>
      </c>
      <c r="Y2511" s="1008" t="s">
        <v>670</v>
      </c>
      <c r="Z2511" s="1008" t="s">
        <v>670</v>
      </c>
      <c r="AA2511" s="1008" t="s">
        <v>670</v>
      </c>
      <c r="AB2511" s="1008" t="s">
        <v>670</v>
      </c>
      <c r="AC2511" s="1008" t="s">
        <v>670</v>
      </c>
      <c r="AD2511" s="1008" t="s">
        <v>670</v>
      </c>
      <c r="AE2511" s="1008"/>
      <c r="AF2511" s="1008" t="s">
        <v>670</v>
      </c>
      <c r="AG2511" s="1008"/>
      <c r="AH2511" s="1008"/>
      <c r="AI2511" s="1008"/>
    </row>
    <row r="2512" spans="1:35">
      <c r="A2512" s="1008">
        <v>24978</v>
      </c>
      <c r="C2512" s="1008">
        <v>5</v>
      </c>
      <c r="D2512" s="1009">
        <v>50599999</v>
      </c>
      <c r="E2512" s="1009">
        <v>50519999</v>
      </c>
      <c r="F2512" s="1007" t="s">
        <v>2137</v>
      </c>
      <c r="O2512" s="1007" t="s">
        <v>648</v>
      </c>
      <c r="P2512" s="1007" t="s">
        <v>648</v>
      </c>
      <c r="S2512" s="1008" t="s">
        <v>650</v>
      </c>
      <c r="T2512" s="1008" t="s">
        <v>21</v>
      </c>
      <c r="U2512" s="1008" t="s">
        <v>653</v>
      </c>
      <c r="V2512" s="1008" t="s">
        <v>648</v>
      </c>
      <c r="W2512" s="1008" t="s">
        <v>546</v>
      </c>
      <c r="X2512" s="1008"/>
      <c r="Y2512" s="1008"/>
      <c r="Z2512" s="1008"/>
      <c r="AA2512" s="1008"/>
      <c r="AB2512" s="1008"/>
      <c r="AC2512" s="1008"/>
      <c r="AD2512" s="1008"/>
      <c r="AE2512" s="1008"/>
      <c r="AF2512" s="1008"/>
      <c r="AG2512" s="1008"/>
      <c r="AH2512" s="1008"/>
      <c r="AI2512" s="1008"/>
    </row>
    <row r="2513" spans="1:35">
      <c r="A2513" s="1008">
        <v>24979</v>
      </c>
      <c r="C2513" s="1008">
        <v>4</v>
      </c>
      <c r="D2513" s="1009">
        <v>79999998</v>
      </c>
      <c r="E2513" s="1009">
        <v>50599999</v>
      </c>
      <c r="F2513" s="1007" t="s">
        <v>2136</v>
      </c>
      <c r="O2513" s="1007" t="s">
        <v>648</v>
      </c>
      <c r="P2513" s="1007" t="s">
        <v>648</v>
      </c>
      <c r="S2513" s="1008" t="s">
        <v>650</v>
      </c>
      <c r="T2513" s="1008" t="s">
        <v>21</v>
      </c>
      <c r="U2513" s="1008" t="s">
        <v>653</v>
      </c>
      <c r="V2513" s="1008" t="s">
        <v>648</v>
      </c>
      <c r="W2513" s="1008" t="s">
        <v>546</v>
      </c>
      <c r="X2513" s="1008"/>
      <c r="Y2513" s="1008"/>
      <c r="Z2513" s="1008"/>
      <c r="AA2513" s="1008"/>
      <c r="AB2513" s="1008"/>
      <c r="AC2513" s="1008"/>
      <c r="AD2513" s="1008"/>
      <c r="AE2513" s="1008"/>
      <c r="AF2513" s="1008"/>
      <c r="AG2513" s="1008"/>
      <c r="AH2513" s="1008"/>
      <c r="AI2513" s="1008"/>
    </row>
    <row r="2514" spans="1:35">
      <c r="A2514" s="1008">
        <v>24980</v>
      </c>
      <c r="C2514" s="1008">
        <v>4</v>
      </c>
      <c r="D2514" s="1009">
        <v>50699999</v>
      </c>
      <c r="E2514" s="1009">
        <v>50600000</v>
      </c>
      <c r="F2514" s="1007" t="s">
        <v>2135</v>
      </c>
      <c r="O2514" s="1007" t="s">
        <v>648</v>
      </c>
      <c r="P2514" s="1007" t="s">
        <v>648</v>
      </c>
      <c r="S2514" s="1008" t="s">
        <v>650</v>
      </c>
      <c r="T2514" s="1008" t="s">
        <v>675</v>
      </c>
      <c r="U2514" s="1008" t="s">
        <v>653</v>
      </c>
      <c r="V2514" s="1008" t="s">
        <v>648</v>
      </c>
      <c r="W2514" s="1008" t="s">
        <v>546</v>
      </c>
      <c r="X2514" s="1008"/>
      <c r="Y2514" s="1008"/>
      <c r="Z2514" s="1008"/>
      <c r="AA2514" s="1008"/>
      <c r="AB2514" s="1008"/>
      <c r="AC2514" s="1008"/>
      <c r="AD2514" s="1008"/>
      <c r="AE2514" s="1008"/>
      <c r="AF2514" s="1008"/>
      <c r="AG2514" s="1008"/>
      <c r="AH2514" s="1008"/>
      <c r="AI2514" s="1008"/>
    </row>
    <row r="2515" spans="1:35">
      <c r="A2515" s="1008">
        <v>24981</v>
      </c>
      <c r="C2515" s="1008">
        <v>5</v>
      </c>
      <c r="D2515" s="1009">
        <v>50619999</v>
      </c>
      <c r="E2515" s="1009">
        <v>50610000</v>
      </c>
      <c r="F2515" s="1007" t="s">
        <v>2135</v>
      </c>
      <c r="O2515" s="1007" t="s">
        <v>648</v>
      </c>
      <c r="P2515" s="1007" t="s">
        <v>648</v>
      </c>
      <c r="S2515" s="1008" t="s">
        <v>650</v>
      </c>
      <c r="T2515" s="1008" t="s">
        <v>675</v>
      </c>
      <c r="U2515" s="1008" t="s">
        <v>653</v>
      </c>
      <c r="V2515" s="1008" t="s">
        <v>648</v>
      </c>
      <c r="W2515" s="1008" t="s">
        <v>546</v>
      </c>
      <c r="X2515" s="1008"/>
      <c r="Y2515" s="1008"/>
      <c r="Z2515" s="1008"/>
      <c r="AA2515" s="1008"/>
      <c r="AB2515" s="1008"/>
      <c r="AC2515" s="1008"/>
      <c r="AD2515" s="1008"/>
      <c r="AE2515" s="1008"/>
      <c r="AF2515" s="1008"/>
      <c r="AG2515" s="1008"/>
      <c r="AH2515" s="1008"/>
      <c r="AI2515" s="1008"/>
    </row>
    <row r="2516" spans="1:35">
      <c r="A2516" s="1008">
        <v>24982</v>
      </c>
      <c r="B2516" s="1008">
        <v>525</v>
      </c>
      <c r="C2516" s="1008">
        <v>6</v>
      </c>
      <c r="D2516" s="1009">
        <v>50619999</v>
      </c>
      <c r="E2516" s="1009">
        <v>50611000</v>
      </c>
      <c r="F2516" s="1007" t="s">
        <v>2135</v>
      </c>
      <c r="G2516" s="1007">
        <v>8</v>
      </c>
      <c r="H2516" s="1010">
        <v>99999999</v>
      </c>
      <c r="I2516" s="1009">
        <v>50611000</v>
      </c>
      <c r="J2516" s="1007" t="s">
        <v>2135</v>
      </c>
      <c r="O2516" s="1007" t="s">
        <v>648</v>
      </c>
      <c r="P2516" s="1007" t="s">
        <v>648</v>
      </c>
      <c r="S2516" s="1008" t="s">
        <v>650</v>
      </c>
      <c r="T2516" s="1008" t="s">
        <v>654</v>
      </c>
      <c r="U2516" s="1008" t="s">
        <v>653</v>
      </c>
      <c r="V2516" s="1008" t="s">
        <v>648</v>
      </c>
      <c r="W2516" s="1008" t="s">
        <v>546</v>
      </c>
      <c r="X2516" s="1008" t="s">
        <v>670</v>
      </c>
      <c r="Y2516" s="1008" t="s">
        <v>670</v>
      </c>
      <c r="Z2516" s="1008" t="s">
        <v>670</v>
      </c>
      <c r="AA2516" s="1008" t="s">
        <v>670</v>
      </c>
      <c r="AB2516" s="1008" t="s">
        <v>670</v>
      </c>
      <c r="AC2516" s="1008" t="s">
        <v>670</v>
      </c>
      <c r="AD2516" s="1008" t="s">
        <v>670</v>
      </c>
      <c r="AE2516" s="1008"/>
      <c r="AF2516" s="1008" t="s">
        <v>670</v>
      </c>
      <c r="AG2516" s="1008"/>
      <c r="AH2516" s="1008"/>
      <c r="AI2516" s="1008"/>
    </row>
    <row r="2517" spans="1:35">
      <c r="A2517" s="1008">
        <v>24983</v>
      </c>
      <c r="C2517" s="1008">
        <v>5</v>
      </c>
      <c r="D2517" s="1009">
        <v>50699999</v>
      </c>
      <c r="E2517" s="1009">
        <v>50619999</v>
      </c>
      <c r="F2517" s="1007" t="s">
        <v>2135</v>
      </c>
      <c r="O2517" s="1007" t="s">
        <v>648</v>
      </c>
      <c r="P2517" s="1007" t="s">
        <v>648</v>
      </c>
      <c r="S2517" s="1008" t="s">
        <v>650</v>
      </c>
      <c r="T2517" s="1008" t="s">
        <v>21</v>
      </c>
      <c r="U2517" s="1008" t="s">
        <v>653</v>
      </c>
      <c r="V2517" s="1008" t="s">
        <v>648</v>
      </c>
      <c r="W2517" s="1008" t="s">
        <v>546</v>
      </c>
      <c r="X2517" s="1008"/>
      <c r="Y2517" s="1008"/>
      <c r="Z2517" s="1008"/>
      <c r="AA2517" s="1008"/>
      <c r="AB2517" s="1008"/>
      <c r="AC2517" s="1008"/>
      <c r="AD2517" s="1008"/>
      <c r="AE2517" s="1008"/>
      <c r="AF2517" s="1008"/>
      <c r="AG2517" s="1008"/>
      <c r="AH2517" s="1008"/>
      <c r="AI2517" s="1008"/>
    </row>
    <row r="2518" spans="1:35">
      <c r="A2518" s="1008">
        <v>24984</v>
      </c>
      <c r="C2518" s="1008">
        <v>4</v>
      </c>
      <c r="D2518" s="1009">
        <v>79999998</v>
      </c>
      <c r="E2518" s="1009">
        <v>50699999</v>
      </c>
      <c r="F2518" s="1007" t="s">
        <v>2134</v>
      </c>
      <c r="O2518" s="1007" t="s">
        <v>648</v>
      </c>
      <c r="P2518" s="1007" t="s">
        <v>648</v>
      </c>
      <c r="S2518" s="1008" t="s">
        <v>650</v>
      </c>
      <c r="T2518" s="1008" t="s">
        <v>21</v>
      </c>
      <c r="U2518" s="1008" t="s">
        <v>653</v>
      </c>
      <c r="V2518" s="1008" t="s">
        <v>648</v>
      </c>
      <c r="W2518" s="1008" t="s">
        <v>546</v>
      </c>
      <c r="X2518" s="1008"/>
      <c r="Y2518" s="1008"/>
      <c r="Z2518" s="1008"/>
      <c r="AA2518" s="1008"/>
      <c r="AB2518" s="1008"/>
      <c r="AC2518" s="1008"/>
      <c r="AD2518" s="1008"/>
      <c r="AE2518" s="1008"/>
      <c r="AF2518" s="1008"/>
      <c r="AG2518" s="1008"/>
      <c r="AH2518" s="1008"/>
      <c r="AI2518" s="1008"/>
    </row>
    <row r="2519" spans="1:35">
      <c r="A2519" s="1008">
        <v>24985</v>
      </c>
      <c r="C2519" s="1008">
        <v>4</v>
      </c>
      <c r="D2519" s="1009">
        <v>59599999</v>
      </c>
      <c r="E2519" s="1009">
        <v>51000000</v>
      </c>
      <c r="F2519" s="1007" t="s">
        <v>2133</v>
      </c>
      <c r="O2519" s="1007" t="s">
        <v>648</v>
      </c>
      <c r="P2519" s="1007" t="s">
        <v>648</v>
      </c>
      <c r="S2519" s="1008" t="s">
        <v>650</v>
      </c>
      <c r="T2519" s="1008" t="s">
        <v>675</v>
      </c>
      <c r="U2519" s="1008" t="s">
        <v>653</v>
      </c>
      <c r="V2519" s="1008" t="s">
        <v>648</v>
      </c>
      <c r="W2519" s="1008" t="s">
        <v>546</v>
      </c>
      <c r="X2519" s="1008"/>
      <c r="Y2519" s="1008"/>
      <c r="Z2519" s="1008"/>
      <c r="AA2519" s="1008"/>
      <c r="AB2519" s="1008"/>
      <c r="AC2519" s="1008"/>
      <c r="AD2519" s="1008"/>
      <c r="AE2519" s="1008"/>
      <c r="AF2519" s="1008"/>
      <c r="AG2519" s="1008"/>
      <c r="AH2519" s="1008"/>
      <c r="AI2519" s="1008"/>
    </row>
    <row r="2520" spans="1:35">
      <c r="A2520" s="1008">
        <v>24986</v>
      </c>
      <c r="C2520" s="1008">
        <v>5</v>
      </c>
      <c r="D2520" s="1009">
        <v>51099999</v>
      </c>
      <c r="E2520" s="1009">
        <v>51001000</v>
      </c>
      <c r="F2520" s="1007" t="s">
        <v>2132</v>
      </c>
      <c r="O2520" s="1007" t="s">
        <v>648</v>
      </c>
      <c r="P2520" s="1007" t="s">
        <v>648</v>
      </c>
      <c r="S2520" s="1008" t="s">
        <v>650</v>
      </c>
      <c r="T2520" s="1008" t="s">
        <v>675</v>
      </c>
      <c r="U2520" s="1008" t="s">
        <v>653</v>
      </c>
      <c r="V2520" s="1008" t="s">
        <v>648</v>
      </c>
      <c r="W2520" s="1008" t="s">
        <v>546</v>
      </c>
      <c r="X2520" s="1008"/>
      <c r="Y2520" s="1008"/>
      <c r="Z2520" s="1008"/>
      <c r="AA2520" s="1008"/>
      <c r="AB2520" s="1008"/>
      <c r="AC2520" s="1008"/>
      <c r="AD2520" s="1008"/>
      <c r="AE2520" s="1008"/>
      <c r="AF2520" s="1008"/>
      <c r="AG2520" s="1008"/>
      <c r="AH2520" s="1008"/>
      <c r="AI2520" s="1008"/>
    </row>
    <row r="2521" spans="1:35">
      <c r="A2521" s="1008">
        <v>24987</v>
      </c>
      <c r="C2521" s="1008">
        <v>6</v>
      </c>
      <c r="D2521" s="1009">
        <v>51019999</v>
      </c>
      <c r="E2521" s="1009">
        <v>51010000</v>
      </c>
      <c r="F2521" s="1007" t="s">
        <v>2131</v>
      </c>
      <c r="O2521" s="1007" t="s">
        <v>648</v>
      </c>
      <c r="P2521" s="1007" t="s">
        <v>648</v>
      </c>
      <c r="S2521" s="1008" t="s">
        <v>650</v>
      </c>
      <c r="T2521" s="1008" t="s">
        <v>675</v>
      </c>
      <c r="U2521" s="1008" t="s">
        <v>653</v>
      </c>
      <c r="V2521" s="1008" t="s">
        <v>648</v>
      </c>
      <c r="W2521" s="1008" t="s">
        <v>546</v>
      </c>
      <c r="X2521" s="1008"/>
      <c r="Y2521" s="1008"/>
      <c r="Z2521" s="1008"/>
      <c r="AA2521" s="1008"/>
      <c r="AB2521" s="1008"/>
      <c r="AC2521" s="1008"/>
      <c r="AD2521" s="1008"/>
      <c r="AE2521" s="1008"/>
      <c r="AF2521" s="1008"/>
      <c r="AG2521" s="1008"/>
      <c r="AH2521" s="1008"/>
      <c r="AI2521" s="1008"/>
    </row>
    <row r="2522" spans="1:35">
      <c r="A2522" s="1008">
        <v>24988</v>
      </c>
      <c r="B2522" s="1008">
        <v>535</v>
      </c>
      <c r="C2522" s="1008">
        <v>7</v>
      </c>
      <c r="D2522" s="1009">
        <v>51019999</v>
      </c>
      <c r="E2522" s="1009">
        <v>51011000</v>
      </c>
      <c r="F2522" s="1007" t="s">
        <v>2131</v>
      </c>
      <c r="G2522" s="1007">
        <v>8</v>
      </c>
      <c r="H2522" s="1010">
        <v>99999999</v>
      </c>
      <c r="I2522" s="1009">
        <v>51011000</v>
      </c>
      <c r="J2522" s="1007" t="s">
        <v>2131</v>
      </c>
      <c r="O2522" s="1007" t="s">
        <v>648</v>
      </c>
      <c r="P2522" s="1007" t="s">
        <v>648</v>
      </c>
      <c r="S2522" s="1008" t="s">
        <v>650</v>
      </c>
      <c r="T2522" s="1008" t="s">
        <v>654</v>
      </c>
      <c r="U2522" s="1008" t="s">
        <v>653</v>
      </c>
      <c r="V2522" s="1008" t="s">
        <v>648</v>
      </c>
      <c r="W2522" s="1008" t="s">
        <v>546</v>
      </c>
      <c r="X2522" s="1008" t="s">
        <v>670</v>
      </c>
      <c r="Y2522" s="1008"/>
      <c r="Z2522" s="1008" t="s">
        <v>670</v>
      </c>
      <c r="AA2522" s="1008"/>
      <c r="AB2522" s="1008"/>
      <c r="AC2522" s="1008" t="s">
        <v>670</v>
      </c>
      <c r="AD2522" s="1008" t="s">
        <v>670</v>
      </c>
      <c r="AE2522" s="1008"/>
      <c r="AF2522" s="1008"/>
      <c r="AG2522" s="1008"/>
      <c r="AH2522" s="1008"/>
      <c r="AI2522" s="1008"/>
    </row>
    <row r="2523" spans="1:35">
      <c r="A2523" s="1008">
        <v>24989</v>
      </c>
      <c r="B2523" s="1008">
        <v>2143</v>
      </c>
      <c r="C2523" s="1008">
        <v>8</v>
      </c>
      <c r="D2523" s="1009">
        <v>51019999</v>
      </c>
      <c r="E2523" s="1009">
        <v>51012000</v>
      </c>
      <c r="F2523" s="1007" t="s">
        <v>2130</v>
      </c>
      <c r="G2523" s="1007">
        <v>8</v>
      </c>
      <c r="H2523" s="1010">
        <v>99999999</v>
      </c>
      <c r="I2523" s="1009">
        <v>51012000</v>
      </c>
      <c r="J2523" s="1007" t="s">
        <v>2130</v>
      </c>
      <c r="O2523" s="1007" t="s">
        <v>648</v>
      </c>
      <c r="P2523" s="1007" t="s">
        <v>648</v>
      </c>
      <c r="S2523" s="1008" t="s">
        <v>650</v>
      </c>
      <c r="T2523" s="1008" t="s">
        <v>654</v>
      </c>
      <c r="U2523" s="1008" t="s">
        <v>653</v>
      </c>
      <c r="V2523" s="1008" t="s">
        <v>648</v>
      </c>
      <c r="W2523" s="1008" t="s">
        <v>546</v>
      </c>
      <c r="X2523" s="1008" t="s">
        <v>670</v>
      </c>
      <c r="Y2523" s="1008"/>
      <c r="Z2523" s="1008"/>
      <c r="AA2523" s="1008"/>
      <c r="AB2523" s="1008"/>
      <c r="AC2523" s="1008" t="s">
        <v>670</v>
      </c>
      <c r="AD2523" s="1008" t="s">
        <v>670</v>
      </c>
      <c r="AE2523" s="1008"/>
      <c r="AF2523" s="1008"/>
      <c r="AG2523" s="1008"/>
      <c r="AH2523" s="1008"/>
      <c r="AI2523" s="1008"/>
    </row>
    <row r="2524" spans="1:35">
      <c r="A2524" s="1008">
        <v>24990</v>
      </c>
      <c r="B2524" s="1008">
        <v>2144</v>
      </c>
      <c r="C2524" s="1008">
        <v>8</v>
      </c>
      <c r="D2524" s="1009">
        <v>51019999</v>
      </c>
      <c r="E2524" s="1009">
        <v>51013000</v>
      </c>
      <c r="F2524" s="1007" t="s">
        <v>2129</v>
      </c>
      <c r="G2524" s="1007">
        <v>8</v>
      </c>
      <c r="H2524" s="1010">
        <v>99999999</v>
      </c>
      <c r="I2524" s="1009">
        <v>51013000</v>
      </c>
      <c r="J2524" s="1007" t="s">
        <v>2129</v>
      </c>
      <c r="O2524" s="1007" t="s">
        <v>648</v>
      </c>
      <c r="P2524" s="1007" t="s">
        <v>648</v>
      </c>
      <c r="S2524" s="1008" t="s">
        <v>650</v>
      </c>
      <c r="T2524" s="1008" t="s">
        <v>654</v>
      </c>
      <c r="U2524" s="1008" t="s">
        <v>653</v>
      </c>
      <c r="V2524" s="1008" t="s">
        <v>648</v>
      </c>
      <c r="W2524" s="1008" t="s">
        <v>546</v>
      </c>
      <c r="X2524" s="1008" t="s">
        <v>670</v>
      </c>
      <c r="Y2524" s="1008"/>
      <c r="Z2524" s="1008"/>
      <c r="AA2524" s="1008"/>
      <c r="AB2524" s="1008"/>
      <c r="AC2524" s="1008" t="s">
        <v>670</v>
      </c>
      <c r="AD2524" s="1008" t="s">
        <v>670</v>
      </c>
      <c r="AE2524" s="1008"/>
      <c r="AF2524" s="1008"/>
      <c r="AG2524" s="1008"/>
      <c r="AH2524" s="1008"/>
      <c r="AI2524" s="1008"/>
    </row>
    <row r="2525" spans="1:35">
      <c r="A2525" s="1008">
        <v>24991</v>
      </c>
      <c r="B2525" s="1008">
        <v>2145</v>
      </c>
      <c r="C2525" s="1008">
        <v>8</v>
      </c>
      <c r="D2525" s="1009">
        <v>51019999</v>
      </c>
      <c r="E2525" s="1009">
        <v>51014000</v>
      </c>
      <c r="F2525" s="1007" t="s">
        <v>2128</v>
      </c>
      <c r="G2525" s="1007">
        <v>8</v>
      </c>
      <c r="H2525" s="1010">
        <v>99999999</v>
      </c>
      <c r="I2525" s="1009">
        <v>51014000</v>
      </c>
      <c r="J2525" s="1007" t="s">
        <v>2128</v>
      </c>
      <c r="O2525" s="1007" t="s">
        <v>648</v>
      </c>
      <c r="P2525" s="1007" t="s">
        <v>648</v>
      </c>
      <c r="S2525" s="1008" t="s">
        <v>650</v>
      </c>
      <c r="T2525" s="1008" t="s">
        <v>654</v>
      </c>
      <c r="U2525" s="1008" t="s">
        <v>653</v>
      </c>
      <c r="V2525" s="1008" t="s">
        <v>648</v>
      </c>
      <c r="W2525" s="1008" t="s">
        <v>546</v>
      </c>
      <c r="X2525" s="1008" t="s">
        <v>670</v>
      </c>
      <c r="Y2525" s="1008"/>
      <c r="Z2525" s="1008"/>
      <c r="AA2525" s="1008"/>
      <c r="AB2525" s="1008"/>
      <c r="AC2525" s="1008" t="s">
        <v>670</v>
      </c>
      <c r="AD2525" s="1008" t="s">
        <v>670</v>
      </c>
      <c r="AE2525" s="1008"/>
      <c r="AF2525" s="1008"/>
      <c r="AG2525" s="1008"/>
      <c r="AH2525" s="1008"/>
      <c r="AI2525" s="1008"/>
    </row>
    <row r="2526" spans="1:35">
      <c r="A2526" s="1008">
        <v>24992</v>
      </c>
      <c r="B2526" s="1008">
        <v>2146</v>
      </c>
      <c r="C2526" s="1008">
        <v>8</v>
      </c>
      <c r="D2526" s="1009">
        <v>51019999</v>
      </c>
      <c r="E2526" s="1009">
        <v>51015000</v>
      </c>
      <c r="F2526" s="1007" t="s">
        <v>2127</v>
      </c>
      <c r="G2526" s="1007">
        <v>8</v>
      </c>
      <c r="H2526" s="1010">
        <v>99999999</v>
      </c>
      <c r="I2526" s="1009">
        <v>51015000</v>
      </c>
      <c r="J2526" s="1007" t="s">
        <v>2127</v>
      </c>
      <c r="O2526" s="1007" t="s">
        <v>648</v>
      </c>
      <c r="P2526" s="1007" t="s">
        <v>648</v>
      </c>
      <c r="S2526" s="1008" t="s">
        <v>650</v>
      </c>
      <c r="T2526" s="1008" t="s">
        <v>654</v>
      </c>
      <c r="U2526" s="1008" t="s">
        <v>653</v>
      </c>
      <c r="V2526" s="1008" t="s">
        <v>648</v>
      </c>
      <c r="W2526" s="1008" t="s">
        <v>546</v>
      </c>
      <c r="X2526" s="1008" t="s">
        <v>670</v>
      </c>
      <c r="Y2526" s="1008"/>
      <c r="Z2526" s="1008"/>
      <c r="AA2526" s="1008"/>
      <c r="AB2526" s="1008"/>
      <c r="AC2526" s="1008" t="s">
        <v>670</v>
      </c>
      <c r="AD2526" s="1008" t="s">
        <v>670</v>
      </c>
      <c r="AE2526" s="1008"/>
      <c r="AF2526" s="1008"/>
      <c r="AG2526" s="1008"/>
      <c r="AH2526" s="1008"/>
      <c r="AI2526" s="1008"/>
    </row>
    <row r="2527" spans="1:35">
      <c r="A2527" s="1008">
        <v>24993</v>
      </c>
      <c r="B2527" s="1008">
        <v>2147</v>
      </c>
      <c r="C2527" s="1008">
        <v>8</v>
      </c>
      <c r="D2527" s="1009">
        <v>51019999</v>
      </c>
      <c r="E2527" s="1009">
        <v>51016000</v>
      </c>
      <c r="F2527" s="1007" t="s">
        <v>2126</v>
      </c>
      <c r="G2527" s="1007">
        <v>8</v>
      </c>
      <c r="H2527" s="1010">
        <v>99999999</v>
      </c>
      <c r="I2527" s="1009">
        <v>51016000</v>
      </c>
      <c r="J2527" s="1007" t="s">
        <v>2126</v>
      </c>
      <c r="O2527" s="1007" t="s">
        <v>648</v>
      </c>
      <c r="P2527" s="1007" t="s">
        <v>648</v>
      </c>
      <c r="S2527" s="1008" t="s">
        <v>650</v>
      </c>
      <c r="T2527" s="1008" t="s">
        <v>654</v>
      </c>
      <c r="U2527" s="1008" t="s">
        <v>653</v>
      </c>
      <c r="V2527" s="1008" t="s">
        <v>648</v>
      </c>
      <c r="W2527" s="1008" t="s">
        <v>546</v>
      </c>
      <c r="X2527" s="1008" t="s">
        <v>670</v>
      </c>
      <c r="Y2527" s="1008"/>
      <c r="Z2527" s="1008"/>
      <c r="AA2527" s="1008"/>
      <c r="AB2527" s="1008"/>
      <c r="AC2527" s="1008" t="s">
        <v>670</v>
      </c>
      <c r="AD2527" s="1008" t="s">
        <v>670</v>
      </c>
      <c r="AE2527" s="1008"/>
      <c r="AF2527" s="1008"/>
      <c r="AG2527" s="1008"/>
      <c r="AH2527" s="1008"/>
      <c r="AI2527" s="1008"/>
    </row>
    <row r="2528" spans="1:35">
      <c r="A2528" s="1008">
        <v>24994</v>
      </c>
      <c r="B2528" s="1008">
        <v>2148</v>
      </c>
      <c r="C2528" s="1008">
        <v>8</v>
      </c>
      <c r="D2528" s="1009">
        <v>51019999</v>
      </c>
      <c r="E2528" s="1009">
        <v>51017000</v>
      </c>
      <c r="F2528" s="1007" t="s">
        <v>2125</v>
      </c>
      <c r="G2528" s="1007">
        <v>8</v>
      </c>
      <c r="H2528" s="1010">
        <v>99999999</v>
      </c>
      <c r="I2528" s="1009">
        <v>51017000</v>
      </c>
      <c r="J2528" s="1007" t="s">
        <v>2125</v>
      </c>
      <c r="O2528" s="1007" t="s">
        <v>648</v>
      </c>
      <c r="P2528" s="1007" t="s">
        <v>648</v>
      </c>
      <c r="S2528" s="1008" t="s">
        <v>650</v>
      </c>
      <c r="T2528" s="1008" t="s">
        <v>654</v>
      </c>
      <c r="U2528" s="1008" t="s">
        <v>653</v>
      </c>
      <c r="V2528" s="1008" t="s">
        <v>648</v>
      </c>
      <c r="W2528" s="1008" t="s">
        <v>546</v>
      </c>
      <c r="X2528" s="1008" t="s">
        <v>670</v>
      </c>
      <c r="Y2528" s="1008"/>
      <c r="Z2528" s="1008"/>
      <c r="AA2528" s="1008"/>
      <c r="AB2528" s="1008"/>
      <c r="AC2528" s="1008" t="s">
        <v>670</v>
      </c>
      <c r="AD2528" s="1008" t="s">
        <v>670</v>
      </c>
      <c r="AE2528" s="1008"/>
      <c r="AF2528" s="1008"/>
      <c r="AG2528" s="1008"/>
      <c r="AH2528" s="1008"/>
      <c r="AI2528" s="1008"/>
    </row>
    <row r="2529" spans="1:35">
      <c r="A2529" s="1008">
        <v>24995</v>
      </c>
      <c r="B2529" s="1008">
        <v>2149</v>
      </c>
      <c r="C2529" s="1008">
        <v>8</v>
      </c>
      <c r="D2529" s="1009">
        <v>51019999</v>
      </c>
      <c r="E2529" s="1009">
        <v>51018000</v>
      </c>
      <c r="F2529" s="1007" t="s">
        <v>2124</v>
      </c>
      <c r="G2529" s="1007">
        <v>8</v>
      </c>
      <c r="H2529" s="1010">
        <v>99999999</v>
      </c>
      <c r="I2529" s="1009">
        <v>51018000</v>
      </c>
      <c r="J2529" s="1007" t="s">
        <v>2124</v>
      </c>
      <c r="O2529" s="1007" t="s">
        <v>648</v>
      </c>
      <c r="P2529" s="1007" t="s">
        <v>648</v>
      </c>
      <c r="S2529" s="1008" t="s">
        <v>650</v>
      </c>
      <c r="T2529" s="1008" t="s">
        <v>654</v>
      </c>
      <c r="U2529" s="1008" t="s">
        <v>653</v>
      </c>
      <c r="V2529" s="1008" t="s">
        <v>648</v>
      </c>
      <c r="W2529" s="1008" t="s">
        <v>546</v>
      </c>
      <c r="X2529" s="1008" t="s">
        <v>670</v>
      </c>
      <c r="Y2529" s="1008"/>
      <c r="Z2529" s="1008"/>
      <c r="AA2529" s="1008"/>
      <c r="AB2529" s="1008"/>
      <c r="AC2529" s="1008" t="s">
        <v>670</v>
      </c>
      <c r="AD2529" s="1008" t="s">
        <v>670</v>
      </c>
      <c r="AE2529" s="1008"/>
      <c r="AF2529" s="1008"/>
      <c r="AG2529" s="1008"/>
      <c r="AH2529" s="1008"/>
      <c r="AI2529" s="1008"/>
    </row>
    <row r="2530" spans="1:35">
      <c r="A2530" s="1008">
        <v>24996</v>
      </c>
      <c r="B2530" s="1008">
        <v>5388</v>
      </c>
      <c r="C2530" s="1008">
        <v>8</v>
      </c>
      <c r="D2530" s="1009">
        <v>51019999</v>
      </c>
      <c r="E2530" s="1009">
        <v>51019000</v>
      </c>
      <c r="F2530" s="1007" t="s">
        <v>2123</v>
      </c>
      <c r="G2530" s="1007">
        <v>8</v>
      </c>
      <c r="H2530" s="1010">
        <v>99999999</v>
      </c>
      <c r="I2530" s="1009">
        <v>51019000</v>
      </c>
      <c r="J2530" s="1007" t="s">
        <v>2123</v>
      </c>
      <c r="O2530" s="1007" t="s">
        <v>648</v>
      </c>
      <c r="P2530" s="1007" t="s">
        <v>648</v>
      </c>
      <c r="S2530" s="1008" t="s">
        <v>650</v>
      </c>
      <c r="T2530" s="1008" t="s">
        <v>654</v>
      </c>
      <c r="U2530" s="1008" t="s">
        <v>653</v>
      </c>
      <c r="V2530" s="1008" t="s">
        <v>648</v>
      </c>
      <c r="W2530" s="1008" t="s">
        <v>546</v>
      </c>
      <c r="X2530" s="1008" t="s">
        <v>670</v>
      </c>
      <c r="Y2530" s="1008"/>
      <c r="Z2530" s="1008"/>
      <c r="AA2530" s="1008"/>
      <c r="AB2530" s="1008"/>
      <c r="AC2530" s="1008" t="s">
        <v>670</v>
      </c>
      <c r="AD2530" s="1008" t="s">
        <v>670</v>
      </c>
      <c r="AE2530" s="1008"/>
      <c r="AF2530" s="1008"/>
      <c r="AG2530" s="1008"/>
      <c r="AH2530" s="1008"/>
      <c r="AI2530" s="1008"/>
    </row>
    <row r="2531" spans="1:35">
      <c r="A2531" s="1008">
        <v>24997</v>
      </c>
      <c r="C2531" s="1008">
        <v>6</v>
      </c>
      <c r="D2531" s="1009">
        <v>51099999</v>
      </c>
      <c r="E2531" s="1009">
        <v>51019999</v>
      </c>
      <c r="F2531" s="1007" t="s">
        <v>2122</v>
      </c>
      <c r="O2531" s="1007" t="s">
        <v>648</v>
      </c>
      <c r="P2531" s="1007" t="s">
        <v>648</v>
      </c>
      <c r="S2531" s="1008" t="s">
        <v>650</v>
      </c>
      <c r="T2531" s="1008" t="s">
        <v>21</v>
      </c>
      <c r="U2531" s="1008" t="s">
        <v>653</v>
      </c>
      <c r="V2531" s="1008" t="s">
        <v>648</v>
      </c>
      <c r="W2531" s="1008" t="s">
        <v>546</v>
      </c>
      <c r="X2531" s="1008"/>
      <c r="Y2531" s="1008"/>
      <c r="Z2531" s="1008"/>
      <c r="AA2531" s="1008"/>
      <c r="AB2531" s="1008"/>
      <c r="AC2531" s="1008"/>
      <c r="AD2531" s="1008"/>
      <c r="AE2531" s="1008"/>
      <c r="AF2531" s="1008"/>
      <c r="AG2531" s="1008"/>
      <c r="AH2531" s="1008"/>
      <c r="AI2531" s="1008"/>
    </row>
    <row r="2532" spans="1:35">
      <c r="A2532" s="1008">
        <v>24998</v>
      </c>
      <c r="C2532" s="1008">
        <v>6</v>
      </c>
      <c r="D2532" s="1009">
        <v>51029999</v>
      </c>
      <c r="E2532" s="1009">
        <v>51020000</v>
      </c>
      <c r="F2532" s="1007" t="s">
        <v>2121</v>
      </c>
      <c r="O2532" s="1007" t="s">
        <v>648</v>
      </c>
      <c r="P2532" s="1007" t="s">
        <v>648</v>
      </c>
      <c r="S2532" s="1008" t="s">
        <v>650</v>
      </c>
      <c r="T2532" s="1008" t="s">
        <v>675</v>
      </c>
      <c r="U2532" s="1008" t="s">
        <v>653</v>
      </c>
      <c r="V2532" s="1008" t="s">
        <v>648</v>
      </c>
      <c r="W2532" s="1008" t="s">
        <v>546</v>
      </c>
      <c r="X2532" s="1008"/>
      <c r="Y2532" s="1008"/>
      <c r="Z2532" s="1008"/>
      <c r="AA2532" s="1008"/>
      <c r="AB2532" s="1008"/>
      <c r="AC2532" s="1008"/>
      <c r="AD2532" s="1008"/>
      <c r="AE2532" s="1008"/>
      <c r="AF2532" s="1008"/>
      <c r="AG2532" s="1008"/>
      <c r="AH2532" s="1008"/>
      <c r="AI2532" s="1008"/>
    </row>
    <row r="2533" spans="1:35">
      <c r="A2533" s="1008">
        <v>24999</v>
      </c>
      <c r="B2533" s="1008">
        <v>2151</v>
      </c>
      <c r="C2533" s="1008">
        <v>7</v>
      </c>
      <c r="D2533" s="1009">
        <v>51029999</v>
      </c>
      <c r="E2533" s="1009">
        <v>51021000</v>
      </c>
      <c r="F2533" s="1007" t="s">
        <v>2120</v>
      </c>
      <c r="G2533" s="1007">
        <v>7</v>
      </c>
      <c r="H2533" s="1010">
        <v>99999999</v>
      </c>
      <c r="I2533" s="1009">
        <v>51021000</v>
      </c>
      <c r="J2533" s="1007" t="s">
        <v>2120</v>
      </c>
      <c r="O2533" s="1007" t="s">
        <v>648</v>
      </c>
      <c r="P2533" s="1007" t="s">
        <v>648</v>
      </c>
      <c r="S2533" s="1008" t="s">
        <v>650</v>
      </c>
      <c r="T2533" s="1008" t="s">
        <v>654</v>
      </c>
      <c r="U2533" s="1008" t="s">
        <v>653</v>
      </c>
      <c r="V2533" s="1008" t="s">
        <v>648</v>
      </c>
      <c r="W2533" s="1008" t="s">
        <v>546</v>
      </c>
      <c r="X2533" s="1008" t="s">
        <v>670</v>
      </c>
      <c r="Y2533" s="1008"/>
      <c r="Z2533" s="1008"/>
      <c r="AA2533" s="1008"/>
      <c r="AB2533" s="1008"/>
      <c r="AC2533" s="1008" t="s">
        <v>670</v>
      </c>
      <c r="AD2533" s="1008" t="s">
        <v>670</v>
      </c>
      <c r="AE2533" s="1008"/>
      <c r="AF2533" s="1008"/>
      <c r="AG2533" s="1008"/>
      <c r="AH2533" s="1008"/>
      <c r="AI2533" s="1008"/>
    </row>
    <row r="2534" spans="1:35">
      <c r="A2534" s="1008">
        <v>25000</v>
      </c>
      <c r="B2534" s="1008">
        <v>2152</v>
      </c>
      <c r="C2534" s="1008">
        <v>7</v>
      </c>
      <c r="D2534" s="1009">
        <v>51029999</v>
      </c>
      <c r="E2534" s="1009">
        <v>51022000</v>
      </c>
      <c r="F2534" s="1007" t="s">
        <v>2119</v>
      </c>
      <c r="G2534" s="1007">
        <v>7</v>
      </c>
      <c r="H2534" s="1010">
        <v>99999999</v>
      </c>
      <c r="I2534" s="1009">
        <v>51022000</v>
      </c>
      <c r="J2534" s="1007" t="s">
        <v>2119</v>
      </c>
      <c r="O2534" s="1007" t="s">
        <v>648</v>
      </c>
      <c r="P2534" s="1007" t="s">
        <v>648</v>
      </c>
      <c r="S2534" s="1008" t="s">
        <v>650</v>
      </c>
      <c r="T2534" s="1008" t="s">
        <v>654</v>
      </c>
      <c r="U2534" s="1008" t="s">
        <v>653</v>
      </c>
      <c r="V2534" s="1008" t="s">
        <v>648</v>
      </c>
      <c r="W2534" s="1008" t="s">
        <v>546</v>
      </c>
      <c r="X2534" s="1008" t="s">
        <v>670</v>
      </c>
      <c r="Y2534" s="1008"/>
      <c r="Z2534" s="1008"/>
      <c r="AA2534" s="1008"/>
      <c r="AB2534" s="1008"/>
      <c r="AC2534" s="1008" t="s">
        <v>670</v>
      </c>
      <c r="AD2534" s="1008" t="s">
        <v>670</v>
      </c>
      <c r="AE2534" s="1008" t="s">
        <v>670</v>
      </c>
      <c r="AF2534" s="1008"/>
      <c r="AG2534" s="1008"/>
      <c r="AH2534" s="1008"/>
      <c r="AI2534" s="1008"/>
    </row>
    <row r="2535" spans="1:35">
      <c r="A2535" s="1008">
        <v>25001</v>
      </c>
      <c r="B2535" s="1008">
        <v>2153</v>
      </c>
      <c r="C2535" s="1008">
        <v>7</v>
      </c>
      <c r="D2535" s="1009">
        <v>51029999</v>
      </c>
      <c r="E2535" s="1009">
        <v>51023000</v>
      </c>
      <c r="F2535" s="1007" t="s">
        <v>2118</v>
      </c>
      <c r="G2535" s="1007">
        <v>7</v>
      </c>
      <c r="H2535" s="1010">
        <v>99999999</v>
      </c>
      <c r="I2535" s="1009">
        <v>51023000</v>
      </c>
      <c r="J2535" s="1007" t="s">
        <v>2118</v>
      </c>
      <c r="O2535" s="1007" t="s">
        <v>648</v>
      </c>
      <c r="P2535" s="1007" t="s">
        <v>648</v>
      </c>
      <c r="S2535" s="1008" t="s">
        <v>650</v>
      </c>
      <c r="T2535" s="1008" t="s">
        <v>654</v>
      </c>
      <c r="U2535" s="1008" t="s">
        <v>653</v>
      </c>
      <c r="V2535" s="1008" t="s">
        <v>648</v>
      </c>
      <c r="W2535" s="1008" t="s">
        <v>546</v>
      </c>
      <c r="X2535" s="1008" t="s">
        <v>670</v>
      </c>
      <c r="Y2535" s="1008"/>
      <c r="Z2535" s="1008"/>
      <c r="AA2535" s="1008"/>
      <c r="AB2535" s="1008"/>
      <c r="AC2535" s="1008" t="s">
        <v>670</v>
      </c>
      <c r="AD2535" s="1008" t="s">
        <v>670</v>
      </c>
      <c r="AE2535" s="1008"/>
      <c r="AF2535" s="1008"/>
      <c r="AG2535" s="1008"/>
      <c r="AH2535" s="1008"/>
      <c r="AI2535" s="1008"/>
    </row>
    <row r="2536" spans="1:35">
      <c r="A2536" s="1008">
        <v>25002</v>
      </c>
      <c r="B2536" s="1008">
        <v>2154</v>
      </c>
      <c r="C2536" s="1008">
        <v>7</v>
      </c>
      <c r="D2536" s="1009">
        <v>51029999</v>
      </c>
      <c r="E2536" s="1009">
        <v>51023100</v>
      </c>
      <c r="F2536" s="1007" t="s">
        <v>2117</v>
      </c>
      <c r="G2536" s="1007">
        <v>7</v>
      </c>
      <c r="H2536" s="1010">
        <v>99999999</v>
      </c>
      <c r="I2536" s="1009">
        <v>51023100</v>
      </c>
      <c r="J2536" s="1007" t="s">
        <v>2117</v>
      </c>
      <c r="O2536" s="1007" t="s">
        <v>648</v>
      </c>
      <c r="P2536" s="1007" t="s">
        <v>648</v>
      </c>
      <c r="S2536" s="1008" t="s">
        <v>650</v>
      </c>
      <c r="T2536" s="1008" t="s">
        <v>654</v>
      </c>
      <c r="U2536" s="1008" t="s">
        <v>653</v>
      </c>
      <c r="V2536" s="1008" t="s">
        <v>648</v>
      </c>
      <c r="W2536" s="1008" t="s">
        <v>546</v>
      </c>
      <c r="X2536" s="1008" t="s">
        <v>670</v>
      </c>
      <c r="Y2536" s="1008"/>
      <c r="Z2536" s="1008"/>
      <c r="AA2536" s="1008"/>
      <c r="AB2536" s="1008"/>
      <c r="AC2536" s="1008" t="s">
        <v>670</v>
      </c>
      <c r="AD2536" s="1008" t="s">
        <v>670</v>
      </c>
      <c r="AE2536" s="1008"/>
      <c r="AF2536" s="1008"/>
      <c r="AG2536" s="1008"/>
      <c r="AH2536" s="1008"/>
      <c r="AI2536" s="1008"/>
    </row>
    <row r="2537" spans="1:35">
      <c r="A2537" s="1008">
        <v>25003</v>
      </c>
      <c r="B2537" s="1008">
        <v>2155</v>
      </c>
      <c r="C2537" s="1008">
        <v>7</v>
      </c>
      <c r="D2537" s="1009">
        <v>51029999</v>
      </c>
      <c r="E2537" s="1009">
        <v>51024000</v>
      </c>
      <c r="F2537" s="1007" t="s">
        <v>2116</v>
      </c>
      <c r="G2537" s="1007">
        <v>7</v>
      </c>
      <c r="H2537" s="1010">
        <v>99999999</v>
      </c>
      <c r="I2537" s="1009">
        <v>51024000</v>
      </c>
      <c r="J2537" s="1007" t="s">
        <v>2116</v>
      </c>
      <c r="O2537" s="1007" t="s">
        <v>648</v>
      </c>
      <c r="P2537" s="1007" t="s">
        <v>648</v>
      </c>
      <c r="S2537" s="1008" t="s">
        <v>650</v>
      </c>
      <c r="T2537" s="1008" t="s">
        <v>654</v>
      </c>
      <c r="U2537" s="1008" t="s">
        <v>653</v>
      </c>
      <c r="V2537" s="1008" t="s">
        <v>648</v>
      </c>
      <c r="W2537" s="1008" t="s">
        <v>546</v>
      </c>
      <c r="X2537" s="1008" t="s">
        <v>670</v>
      </c>
      <c r="Y2537" s="1008"/>
      <c r="Z2537" s="1008"/>
      <c r="AA2537" s="1008"/>
      <c r="AB2537" s="1008"/>
      <c r="AC2537" s="1008" t="s">
        <v>670</v>
      </c>
      <c r="AD2537" s="1008" t="s">
        <v>670</v>
      </c>
      <c r="AE2537" s="1008"/>
      <c r="AF2537" s="1008"/>
      <c r="AG2537" s="1008"/>
      <c r="AH2537" s="1008"/>
      <c r="AI2537" s="1008"/>
    </row>
    <row r="2538" spans="1:35">
      <c r="A2538" s="1008">
        <v>25004</v>
      </c>
      <c r="B2538" s="1008">
        <v>2156</v>
      </c>
      <c r="C2538" s="1008">
        <v>7</v>
      </c>
      <c r="D2538" s="1009">
        <v>51029999</v>
      </c>
      <c r="E2538" s="1009">
        <v>51025000</v>
      </c>
      <c r="F2538" s="1007" t="s">
        <v>2115</v>
      </c>
      <c r="G2538" s="1007">
        <v>7</v>
      </c>
      <c r="H2538" s="1010">
        <v>99999999</v>
      </c>
      <c r="I2538" s="1009">
        <v>51025000</v>
      </c>
      <c r="J2538" s="1007" t="s">
        <v>2115</v>
      </c>
      <c r="O2538" s="1007" t="s">
        <v>648</v>
      </c>
      <c r="P2538" s="1007" t="s">
        <v>648</v>
      </c>
      <c r="S2538" s="1008" t="s">
        <v>650</v>
      </c>
      <c r="T2538" s="1008" t="s">
        <v>654</v>
      </c>
      <c r="U2538" s="1008" t="s">
        <v>653</v>
      </c>
      <c r="V2538" s="1008" t="s">
        <v>648</v>
      </c>
      <c r="W2538" s="1008" t="s">
        <v>546</v>
      </c>
      <c r="X2538" s="1008" t="s">
        <v>670</v>
      </c>
      <c r="Y2538" s="1008"/>
      <c r="Z2538" s="1008"/>
      <c r="AA2538" s="1008"/>
      <c r="AB2538" s="1008"/>
      <c r="AC2538" s="1008" t="s">
        <v>670</v>
      </c>
      <c r="AD2538" s="1008" t="s">
        <v>670</v>
      </c>
      <c r="AE2538" s="1008"/>
      <c r="AF2538" s="1008"/>
      <c r="AG2538" s="1008"/>
      <c r="AH2538" s="1008"/>
      <c r="AI2538" s="1008"/>
    </row>
    <row r="2539" spans="1:35">
      <c r="A2539" s="1008">
        <v>25005</v>
      </c>
      <c r="B2539" s="1008">
        <v>5390</v>
      </c>
      <c r="C2539" s="1008">
        <v>7</v>
      </c>
      <c r="D2539" s="1009">
        <v>51029999</v>
      </c>
      <c r="E2539" s="1009">
        <v>51026000</v>
      </c>
      <c r="F2539" s="1007" t="s">
        <v>2114</v>
      </c>
      <c r="G2539" s="1007">
        <v>7</v>
      </c>
      <c r="H2539" s="1010">
        <v>99999999</v>
      </c>
      <c r="I2539" s="1009">
        <v>51026000</v>
      </c>
      <c r="J2539" s="1007" t="s">
        <v>2114</v>
      </c>
      <c r="O2539" s="1007" t="s">
        <v>648</v>
      </c>
      <c r="P2539" s="1007" t="s">
        <v>648</v>
      </c>
      <c r="S2539" s="1008" t="s">
        <v>650</v>
      </c>
      <c r="T2539" s="1008" t="s">
        <v>654</v>
      </c>
      <c r="U2539" s="1008" t="s">
        <v>653</v>
      </c>
      <c r="V2539" s="1008" t="s">
        <v>648</v>
      </c>
      <c r="W2539" s="1008" t="s">
        <v>546</v>
      </c>
      <c r="X2539" s="1008" t="s">
        <v>670</v>
      </c>
      <c r="Y2539" s="1008"/>
      <c r="Z2539" s="1008"/>
      <c r="AA2539" s="1008"/>
      <c r="AB2539" s="1008"/>
      <c r="AC2539" s="1008" t="s">
        <v>670</v>
      </c>
      <c r="AD2539" s="1008" t="s">
        <v>670</v>
      </c>
      <c r="AE2539" s="1008"/>
      <c r="AF2539" s="1008"/>
      <c r="AG2539" s="1008"/>
      <c r="AH2539" s="1008"/>
      <c r="AI2539" s="1008"/>
    </row>
    <row r="2540" spans="1:35">
      <c r="A2540" s="1008">
        <v>27614</v>
      </c>
      <c r="B2540" s="1008">
        <v>6452</v>
      </c>
      <c r="C2540" s="1008">
        <v>7</v>
      </c>
      <c r="D2540" s="1009">
        <v>51029999</v>
      </c>
      <c r="E2540" s="1009">
        <v>51027000</v>
      </c>
      <c r="F2540" s="1007" t="s">
        <v>2113</v>
      </c>
      <c r="G2540" s="1007">
        <v>7</v>
      </c>
      <c r="H2540" s="1010">
        <v>99999999</v>
      </c>
      <c r="I2540" s="1009">
        <v>51027000</v>
      </c>
      <c r="J2540" s="1007" t="s">
        <v>2112</v>
      </c>
      <c r="O2540" s="1007" t="s">
        <v>648</v>
      </c>
      <c r="P2540" s="1007" t="s">
        <v>648</v>
      </c>
      <c r="S2540" s="1008" t="s">
        <v>650</v>
      </c>
      <c r="T2540" s="1008" t="s">
        <v>654</v>
      </c>
      <c r="U2540" s="1008" t="s">
        <v>653</v>
      </c>
      <c r="V2540" s="1008" t="s">
        <v>648</v>
      </c>
      <c r="W2540" s="1008" t="s">
        <v>546</v>
      </c>
      <c r="X2540" s="1008" t="s">
        <v>670</v>
      </c>
      <c r="Y2540" s="1008"/>
      <c r="Z2540" s="1008"/>
      <c r="AA2540" s="1008"/>
      <c r="AB2540" s="1008"/>
      <c r="AC2540" s="1008" t="s">
        <v>670</v>
      </c>
      <c r="AD2540" s="1008" t="s">
        <v>670</v>
      </c>
      <c r="AE2540" s="1008"/>
      <c r="AF2540" s="1008"/>
      <c r="AG2540" s="1008"/>
      <c r="AH2540" s="1008"/>
      <c r="AI2540" s="1008"/>
    </row>
    <row r="2541" spans="1:35">
      <c r="A2541" s="1008">
        <v>25006</v>
      </c>
      <c r="C2541" s="1008">
        <v>6</v>
      </c>
      <c r="D2541" s="1009">
        <v>51099999</v>
      </c>
      <c r="E2541" s="1009">
        <v>51029999</v>
      </c>
      <c r="F2541" s="1007" t="s">
        <v>2111</v>
      </c>
      <c r="O2541" s="1007" t="s">
        <v>648</v>
      </c>
      <c r="P2541" s="1007" t="s">
        <v>648</v>
      </c>
      <c r="S2541" s="1008" t="s">
        <v>650</v>
      </c>
      <c r="T2541" s="1008" t="s">
        <v>21</v>
      </c>
      <c r="U2541" s="1008" t="s">
        <v>653</v>
      </c>
      <c r="V2541" s="1008" t="s">
        <v>648</v>
      </c>
      <c r="W2541" s="1008" t="s">
        <v>546</v>
      </c>
      <c r="X2541" s="1008"/>
      <c r="Y2541" s="1008"/>
      <c r="Z2541" s="1008"/>
      <c r="AA2541" s="1008"/>
      <c r="AB2541" s="1008"/>
      <c r="AC2541" s="1008"/>
      <c r="AD2541" s="1008"/>
      <c r="AE2541" s="1008"/>
      <c r="AF2541" s="1008"/>
      <c r="AG2541" s="1008"/>
      <c r="AH2541" s="1008"/>
      <c r="AI2541" s="1008"/>
    </row>
    <row r="2542" spans="1:35">
      <c r="A2542" s="1008">
        <v>25007</v>
      </c>
      <c r="C2542" s="1008">
        <v>6</v>
      </c>
      <c r="D2542" s="1009">
        <v>51039999</v>
      </c>
      <c r="E2542" s="1009">
        <v>51030000</v>
      </c>
      <c r="F2542" s="1007" t="s">
        <v>2110</v>
      </c>
      <c r="O2542" s="1007" t="s">
        <v>648</v>
      </c>
      <c r="P2542" s="1007" t="s">
        <v>648</v>
      </c>
      <c r="S2542" s="1008" t="s">
        <v>650</v>
      </c>
      <c r="T2542" s="1008" t="s">
        <v>675</v>
      </c>
      <c r="U2542" s="1008" t="s">
        <v>653</v>
      </c>
      <c r="V2542" s="1008" t="s">
        <v>648</v>
      </c>
      <c r="W2542" s="1008" t="s">
        <v>546</v>
      </c>
      <c r="X2542" s="1008"/>
      <c r="Y2542" s="1008"/>
      <c r="Z2542" s="1008"/>
      <c r="AA2542" s="1008"/>
      <c r="AB2542" s="1008"/>
      <c r="AC2542" s="1008"/>
      <c r="AD2542" s="1008"/>
      <c r="AE2542" s="1008"/>
      <c r="AF2542" s="1008"/>
      <c r="AG2542" s="1008"/>
      <c r="AH2542" s="1008"/>
      <c r="AI2542" s="1008"/>
    </row>
    <row r="2543" spans="1:35">
      <c r="A2543" s="1008">
        <v>25008</v>
      </c>
      <c r="B2543" s="1008">
        <v>2158</v>
      </c>
      <c r="C2543" s="1008">
        <v>7</v>
      </c>
      <c r="D2543" s="1009">
        <v>51039999</v>
      </c>
      <c r="E2543" s="1009">
        <v>51031000</v>
      </c>
      <c r="F2543" s="1007" t="s">
        <v>2109</v>
      </c>
      <c r="G2543" s="1007">
        <v>7</v>
      </c>
      <c r="H2543" s="1010">
        <v>99999999</v>
      </c>
      <c r="I2543" s="1009">
        <v>51031000</v>
      </c>
      <c r="J2543" s="1007" t="s">
        <v>2109</v>
      </c>
      <c r="O2543" s="1007" t="s">
        <v>648</v>
      </c>
      <c r="P2543" s="1007" t="s">
        <v>648</v>
      </c>
      <c r="S2543" s="1008" t="s">
        <v>650</v>
      </c>
      <c r="T2543" s="1008" t="s">
        <v>654</v>
      </c>
      <c r="U2543" s="1008" t="s">
        <v>653</v>
      </c>
      <c r="V2543" s="1008" t="s">
        <v>648</v>
      </c>
      <c r="W2543" s="1008" t="s">
        <v>546</v>
      </c>
      <c r="X2543" s="1008" t="s">
        <v>670</v>
      </c>
      <c r="Y2543" s="1008"/>
      <c r="Z2543" s="1008" t="s">
        <v>670</v>
      </c>
      <c r="AA2543" s="1008"/>
      <c r="AB2543" s="1008"/>
      <c r="AC2543" s="1008" t="s">
        <v>670</v>
      </c>
      <c r="AD2543" s="1008" t="s">
        <v>670</v>
      </c>
      <c r="AE2543" s="1008"/>
      <c r="AF2543" s="1008"/>
      <c r="AG2543" s="1008"/>
      <c r="AH2543" s="1008"/>
      <c r="AI2543" s="1008"/>
    </row>
    <row r="2544" spans="1:35">
      <c r="A2544" s="1008">
        <v>25009</v>
      </c>
      <c r="B2544" s="1008">
        <v>2159</v>
      </c>
      <c r="C2544" s="1008">
        <v>7</v>
      </c>
      <c r="D2544" s="1009">
        <v>51039999</v>
      </c>
      <c r="E2544" s="1009">
        <v>51032000</v>
      </c>
      <c r="F2544" s="1007" t="s">
        <v>2108</v>
      </c>
      <c r="G2544" s="1007">
        <v>7</v>
      </c>
      <c r="H2544" s="1010">
        <v>99999999</v>
      </c>
      <c r="I2544" s="1009">
        <v>51032000</v>
      </c>
      <c r="J2544" s="1007" t="s">
        <v>2108</v>
      </c>
      <c r="O2544" s="1007" t="s">
        <v>648</v>
      </c>
      <c r="P2544" s="1007" t="s">
        <v>648</v>
      </c>
      <c r="S2544" s="1008" t="s">
        <v>650</v>
      </c>
      <c r="T2544" s="1008" t="s">
        <v>654</v>
      </c>
      <c r="U2544" s="1008" t="s">
        <v>653</v>
      </c>
      <c r="V2544" s="1008" t="s">
        <v>648</v>
      </c>
      <c r="W2544" s="1008" t="s">
        <v>546</v>
      </c>
      <c r="X2544" s="1008" t="s">
        <v>670</v>
      </c>
      <c r="Y2544" s="1008"/>
      <c r="Z2544" s="1008"/>
      <c r="AA2544" s="1008"/>
      <c r="AB2544" s="1008"/>
      <c r="AC2544" s="1008" t="s">
        <v>670</v>
      </c>
      <c r="AD2544" s="1008" t="s">
        <v>670</v>
      </c>
      <c r="AE2544" s="1008"/>
      <c r="AF2544" s="1008"/>
      <c r="AG2544" s="1008"/>
      <c r="AH2544" s="1008"/>
      <c r="AI2544" s="1008"/>
    </row>
    <row r="2545" spans="1:35">
      <c r="A2545" s="1008">
        <v>25010</v>
      </c>
      <c r="B2545" s="1008">
        <v>2160</v>
      </c>
      <c r="C2545" s="1008">
        <v>7</v>
      </c>
      <c r="D2545" s="1009">
        <v>51039999</v>
      </c>
      <c r="E2545" s="1009">
        <v>51033000</v>
      </c>
      <c r="F2545" s="1007" t="s">
        <v>2107</v>
      </c>
      <c r="G2545" s="1007">
        <v>7</v>
      </c>
      <c r="H2545" s="1010">
        <v>99999999</v>
      </c>
      <c r="I2545" s="1009">
        <v>51033000</v>
      </c>
      <c r="J2545" s="1007" t="s">
        <v>2107</v>
      </c>
      <c r="O2545" s="1007" t="s">
        <v>648</v>
      </c>
      <c r="P2545" s="1007" t="s">
        <v>648</v>
      </c>
      <c r="S2545" s="1008" t="s">
        <v>650</v>
      </c>
      <c r="T2545" s="1008" t="s">
        <v>654</v>
      </c>
      <c r="U2545" s="1008" t="s">
        <v>653</v>
      </c>
      <c r="V2545" s="1008" t="s">
        <v>648</v>
      </c>
      <c r="W2545" s="1008" t="s">
        <v>546</v>
      </c>
      <c r="X2545" s="1008" t="s">
        <v>670</v>
      </c>
      <c r="Y2545" s="1008"/>
      <c r="Z2545" s="1008"/>
      <c r="AA2545" s="1008"/>
      <c r="AB2545" s="1008"/>
      <c r="AC2545" s="1008" t="s">
        <v>670</v>
      </c>
      <c r="AD2545" s="1008" t="s">
        <v>670</v>
      </c>
      <c r="AE2545" s="1008"/>
      <c r="AF2545" s="1008"/>
      <c r="AG2545" s="1008"/>
      <c r="AH2545" s="1008"/>
      <c r="AI2545" s="1008"/>
    </row>
    <row r="2546" spans="1:35">
      <c r="A2546" s="1008">
        <v>25011</v>
      </c>
      <c r="B2546" s="1008">
        <v>2161</v>
      </c>
      <c r="C2546" s="1008">
        <v>7</v>
      </c>
      <c r="D2546" s="1009">
        <v>51039999</v>
      </c>
      <c r="E2546" s="1009">
        <v>51034000</v>
      </c>
      <c r="F2546" s="1007" t="s">
        <v>2106</v>
      </c>
      <c r="G2546" s="1007">
        <v>7</v>
      </c>
      <c r="H2546" s="1010">
        <v>99999999</v>
      </c>
      <c r="I2546" s="1009">
        <v>51034000</v>
      </c>
      <c r="J2546" s="1007" t="s">
        <v>2106</v>
      </c>
      <c r="O2546" s="1007" t="s">
        <v>648</v>
      </c>
      <c r="P2546" s="1007" t="s">
        <v>648</v>
      </c>
      <c r="S2546" s="1008" t="s">
        <v>650</v>
      </c>
      <c r="T2546" s="1008" t="s">
        <v>654</v>
      </c>
      <c r="U2546" s="1008" t="s">
        <v>653</v>
      </c>
      <c r="V2546" s="1008" t="s">
        <v>648</v>
      </c>
      <c r="W2546" s="1008" t="s">
        <v>546</v>
      </c>
      <c r="X2546" s="1008" t="s">
        <v>670</v>
      </c>
      <c r="Y2546" s="1008"/>
      <c r="Z2546" s="1008"/>
      <c r="AA2546" s="1008"/>
      <c r="AB2546" s="1008"/>
      <c r="AC2546" s="1008" t="s">
        <v>670</v>
      </c>
      <c r="AD2546" s="1008" t="s">
        <v>670</v>
      </c>
      <c r="AE2546" s="1008"/>
      <c r="AF2546" s="1008"/>
      <c r="AG2546" s="1008"/>
      <c r="AH2546" s="1008"/>
      <c r="AI2546" s="1008"/>
    </row>
    <row r="2547" spans="1:35">
      <c r="A2547" s="1008">
        <v>25012</v>
      </c>
      <c r="B2547" s="1008">
        <v>2162</v>
      </c>
      <c r="C2547" s="1008">
        <v>7</v>
      </c>
      <c r="D2547" s="1009">
        <v>51039999</v>
      </c>
      <c r="E2547" s="1009">
        <v>51035000</v>
      </c>
      <c r="F2547" s="1007" t="s">
        <v>2105</v>
      </c>
      <c r="G2547" s="1007">
        <v>7</v>
      </c>
      <c r="H2547" s="1010">
        <v>99999999</v>
      </c>
      <c r="I2547" s="1009">
        <v>51035000</v>
      </c>
      <c r="J2547" s="1007" t="s">
        <v>2105</v>
      </c>
      <c r="O2547" s="1007" t="s">
        <v>648</v>
      </c>
      <c r="P2547" s="1007" t="s">
        <v>648</v>
      </c>
      <c r="S2547" s="1008" t="s">
        <v>650</v>
      </c>
      <c r="T2547" s="1008" t="s">
        <v>654</v>
      </c>
      <c r="U2547" s="1008" t="s">
        <v>653</v>
      </c>
      <c r="V2547" s="1008" t="s">
        <v>648</v>
      </c>
      <c r="W2547" s="1008" t="s">
        <v>546</v>
      </c>
      <c r="X2547" s="1008" t="s">
        <v>670</v>
      </c>
      <c r="Y2547" s="1008"/>
      <c r="Z2547" s="1008"/>
      <c r="AA2547" s="1008"/>
      <c r="AB2547" s="1008"/>
      <c r="AC2547" s="1008" t="s">
        <v>670</v>
      </c>
      <c r="AD2547" s="1008" t="s">
        <v>670</v>
      </c>
      <c r="AE2547" s="1008"/>
      <c r="AF2547" s="1008"/>
      <c r="AG2547" s="1008"/>
      <c r="AH2547" s="1008"/>
      <c r="AI2547" s="1008"/>
    </row>
    <row r="2548" spans="1:35">
      <c r="A2548" s="1008">
        <v>25013</v>
      </c>
      <c r="B2548" s="1008">
        <v>2163</v>
      </c>
      <c r="C2548" s="1008">
        <v>7</v>
      </c>
      <c r="D2548" s="1009">
        <v>51039999</v>
      </c>
      <c r="E2548" s="1009">
        <v>51036000</v>
      </c>
      <c r="F2548" s="1007" t="s">
        <v>2104</v>
      </c>
      <c r="G2548" s="1007">
        <v>7</v>
      </c>
      <c r="H2548" s="1010">
        <v>99999999</v>
      </c>
      <c r="I2548" s="1009">
        <v>51036000</v>
      </c>
      <c r="J2548" s="1007" t="s">
        <v>2104</v>
      </c>
      <c r="O2548" s="1007" t="s">
        <v>648</v>
      </c>
      <c r="P2548" s="1007" t="s">
        <v>648</v>
      </c>
      <c r="S2548" s="1008" t="s">
        <v>650</v>
      </c>
      <c r="T2548" s="1008" t="s">
        <v>654</v>
      </c>
      <c r="U2548" s="1008" t="s">
        <v>653</v>
      </c>
      <c r="V2548" s="1008" t="s">
        <v>648</v>
      </c>
      <c r="W2548" s="1008" t="s">
        <v>546</v>
      </c>
      <c r="X2548" s="1008" t="s">
        <v>670</v>
      </c>
      <c r="Y2548" s="1008"/>
      <c r="Z2548" s="1008"/>
      <c r="AA2548" s="1008"/>
      <c r="AB2548" s="1008"/>
      <c r="AC2548" s="1008" t="s">
        <v>670</v>
      </c>
      <c r="AD2548" s="1008" t="s">
        <v>670</v>
      </c>
      <c r="AE2548" s="1008"/>
      <c r="AF2548" s="1008"/>
      <c r="AG2548" s="1008"/>
      <c r="AH2548" s="1008"/>
      <c r="AI2548" s="1008"/>
    </row>
    <row r="2549" spans="1:35">
      <c r="A2549" s="1008">
        <v>25014</v>
      </c>
      <c r="B2549" s="1008">
        <v>5392</v>
      </c>
      <c r="C2549" s="1008">
        <v>7</v>
      </c>
      <c r="D2549" s="1009">
        <v>51039999</v>
      </c>
      <c r="E2549" s="1009">
        <v>51037000</v>
      </c>
      <c r="F2549" s="1007" t="s">
        <v>2103</v>
      </c>
      <c r="G2549" s="1007">
        <v>7</v>
      </c>
      <c r="H2549" s="1010">
        <v>99999999</v>
      </c>
      <c r="I2549" s="1009">
        <v>51037000</v>
      </c>
      <c r="J2549" s="1007" t="s">
        <v>2103</v>
      </c>
      <c r="O2549" s="1007" t="s">
        <v>648</v>
      </c>
      <c r="P2549" s="1007" t="s">
        <v>648</v>
      </c>
      <c r="S2549" s="1008" t="s">
        <v>650</v>
      </c>
      <c r="T2549" s="1008" t="s">
        <v>654</v>
      </c>
      <c r="U2549" s="1008" t="s">
        <v>653</v>
      </c>
      <c r="V2549" s="1008" t="s">
        <v>648</v>
      </c>
      <c r="W2549" s="1008" t="s">
        <v>546</v>
      </c>
      <c r="X2549" s="1008" t="s">
        <v>670</v>
      </c>
      <c r="Y2549" s="1008"/>
      <c r="Z2549" s="1008"/>
      <c r="AA2549" s="1008"/>
      <c r="AB2549" s="1008"/>
      <c r="AC2549" s="1008" t="s">
        <v>670</v>
      </c>
      <c r="AD2549" s="1008" t="s">
        <v>670</v>
      </c>
      <c r="AE2549" s="1008"/>
      <c r="AF2549" s="1008"/>
      <c r="AG2549" s="1008"/>
      <c r="AH2549" s="1008"/>
      <c r="AI2549" s="1008"/>
    </row>
    <row r="2550" spans="1:35">
      <c r="A2550" s="1008">
        <v>25015</v>
      </c>
      <c r="C2550" s="1008">
        <v>6</v>
      </c>
      <c r="D2550" s="1009">
        <v>51099999</v>
      </c>
      <c r="E2550" s="1009">
        <v>51039999</v>
      </c>
      <c r="F2550" s="1007" t="s">
        <v>2102</v>
      </c>
      <c r="O2550" s="1007" t="s">
        <v>648</v>
      </c>
      <c r="P2550" s="1007" t="s">
        <v>648</v>
      </c>
      <c r="S2550" s="1008" t="s">
        <v>650</v>
      </c>
      <c r="T2550" s="1008" t="s">
        <v>21</v>
      </c>
      <c r="U2550" s="1008" t="s">
        <v>653</v>
      </c>
      <c r="V2550" s="1008" t="s">
        <v>648</v>
      </c>
      <c r="W2550" s="1008" t="s">
        <v>546</v>
      </c>
      <c r="X2550" s="1008"/>
      <c r="Y2550" s="1008"/>
      <c r="Z2550" s="1008"/>
      <c r="AA2550" s="1008"/>
      <c r="AB2550" s="1008"/>
      <c r="AC2550" s="1008"/>
      <c r="AD2550" s="1008"/>
      <c r="AE2550" s="1008"/>
      <c r="AF2550" s="1008"/>
      <c r="AG2550" s="1008"/>
      <c r="AH2550" s="1008"/>
      <c r="AI2550" s="1008"/>
    </row>
    <row r="2551" spans="1:35">
      <c r="A2551" s="1008">
        <v>25016</v>
      </c>
      <c r="C2551" s="1008">
        <v>6</v>
      </c>
      <c r="D2551" s="1009">
        <v>51049999</v>
      </c>
      <c r="E2551" s="1009">
        <v>51040000</v>
      </c>
      <c r="F2551" s="1007" t="s">
        <v>2101</v>
      </c>
      <c r="O2551" s="1007" t="s">
        <v>648</v>
      </c>
      <c r="P2551" s="1007" t="s">
        <v>648</v>
      </c>
      <c r="S2551" s="1008" t="s">
        <v>650</v>
      </c>
      <c r="T2551" s="1008" t="s">
        <v>675</v>
      </c>
      <c r="U2551" s="1008" t="s">
        <v>653</v>
      </c>
      <c r="V2551" s="1008" t="s">
        <v>648</v>
      </c>
      <c r="W2551" s="1008" t="s">
        <v>546</v>
      </c>
      <c r="X2551" s="1008"/>
      <c r="Y2551" s="1008"/>
      <c r="Z2551" s="1008"/>
      <c r="AA2551" s="1008"/>
      <c r="AB2551" s="1008"/>
      <c r="AC2551" s="1008"/>
      <c r="AD2551" s="1008"/>
      <c r="AE2551" s="1008"/>
      <c r="AF2551" s="1008"/>
      <c r="AG2551" s="1008"/>
      <c r="AH2551" s="1008"/>
      <c r="AI2551" s="1008"/>
    </row>
    <row r="2552" spans="1:35">
      <c r="A2552" s="1008">
        <v>25017</v>
      </c>
      <c r="B2552" s="1008">
        <v>2165</v>
      </c>
      <c r="C2552" s="1008">
        <v>7</v>
      </c>
      <c r="D2552" s="1009">
        <v>51049999</v>
      </c>
      <c r="E2552" s="1009">
        <v>51041000</v>
      </c>
      <c r="F2552" s="1007" t="s">
        <v>2100</v>
      </c>
      <c r="G2552" s="1007">
        <v>7</v>
      </c>
      <c r="H2552" s="1010">
        <v>99999999</v>
      </c>
      <c r="I2552" s="1009">
        <v>51041000</v>
      </c>
      <c r="J2552" s="1007" t="s">
        <v>2100</v>
      </c>
      <c r="O2552" s="1007" t="s">
        <v>648</v>
      </c>
      <c r="P2552" s="1007" t="s">
        <v>648</v>
      </c>
      <c r="S2552" s="1008" t="s">
        <v>650</v>
      </c>
      <c r="T2552" s="1008" t="s">
        <v>654</v>
      </c>
      <c r="U2552" s="1008" t="s">
        <v>653</v>
      </c>
      <c r="V2552" s="1008" t="s">
        <v>648</v>
      </c>
      <c r="W2552" s="1008" t="s">
        <v>546</v>
      </c>
      <c r="X2552" s="1008" t="s">
        <v>670</v>
      </c>
      <c r="Y2552" s="1008"/>
      <c r="Z2552" s="1008"/>
      <c r="AA2552" s="1008"/>
      <c r="AB2552" s="1008"/>
      <c r="AC2552" s="1008" t="s">
        <v>670</v>
      </c>
      <c r="AD2552" s="1008" t="s">
        <v>670</v>
      </c>
      <c r="AE2552" s="1008"/>
      <c r="AF2552" s="1008"/>
      <c r="AG2552" s="1008"/>
      <c r="AH2552" s="1008"/>
      <c r="AI2552" s="1008"/>
    </row>
    <row r="2553" spans="1:35">
      <c r="A2553" s="1008">
        <v>25018</v>
      </c>
      <c r="B2553" s="1008">
        <v>2166</v>
      </c>
      <c r="C2553" s="1008">
        <v>7</v>
      </c>
      <c r="D2553" s="1009">
        <v>51049999</v>
      </c>
      <c r="E2553" s="1009">
        <v>51042000</v>
      </c>
      <c r="F2553" s="1007" t="s">
        <v>2099</v>
      </c>
      <c r="G2553" s="1007">
        <v>7</v>
      </c>
      <c r="H2553" s="1010">
        <v>99999999</v>
      </c>
      <c r="I2553" s="1009">
        <v>51042000</v>
      </c>
      <c r="J2553" s="1007" t="s">
        <v>2099</v>
      </c>
      <c r="O2553" s="1007" t="s">
        <v>648</v>
      </c>
      <c r="P2553" s="1007" t="s">
        <v>648</v>
      </c>
      <c r="S2553" s="1008" t="s">
        <v>650</v>
      </c>
      <c r="T2553" s="1008" t="s">
        <v>654</v>
      </c>
      <c r="U2553" s="1008" t="s">
        <v>653</v>
      </c>
      <c r="V2553" s="1008" t="s">
        <v>648</v>
      </c>
      <c r="W2553" s="1008" t="s">
        <v>546</v>
      </c>
      <c r="X2553" s="1008" t="s">
        <v>670</v>
      </c>
      <c r="Y2553" s="1008"/>
      <c r="Z2553" s="1008"/>
      <c r="AA2553" s="1008"/>
      <c r="AB2553" s="1008"/>
      <c r="AC2553" s="1008" t="s">
        <v>670</v>
      </c>
      <c r="AD2553" s="1008" t="s">
        <v>670</v>
      </c>
      <c r="AE2553" s="1008"/>
      <c r="AF2553" s="1008"/>
      <c r="AG2553" s="1008"/>
      <c r="AH2553" s="1008"/>
      <c r="AI2553" s="1008"/>
    </row>
    <row r="2554" spans="1:35">
      <c r="A2554" s="1008">
        <v>25019</v>
      </c>
      <c r="B2554" s="1008">
        <v>2167</v>
      </c>
      <c r="C2554" s="1008">
        <v>7</v>
      </c>
      <c r="D2554" s="1009">
        <v>51049999</v>
      </c>
      <c r="E2554" s="1009">
        <v>51043000</v>
      </c>
      <c r="F2554" s="1007" t="s">
        <v>2098</v>
      </c>
      <c r="G2554" s="1007">
        <v>7</v>
      </c>
      <c r="H2554" s="1010">
        <v>99999999</v>
      </c>
      <c r="I2554" s="1009">
        <v>51043000</v>
      </c>
      <c r="J2554" s="1007" t="s">
        <v>2098</v>
      </c>
      <c r="O2554" s="1007" t="s">
        <v>648</v>
      </c>
      <c r="P2554" s="1007" t="s">
        <v>648</v>
      </c>
      <c r="S2554" s="1008" t="s">
        <v>650</v>
      </c>
      <c r="T2554" s="1008" t="s">
        <v>654</v>
      </c>
      <c r="U2554" s="1008" t="s">
        <v>653</v>
      </c>
      <c r="V2554" s="1008" t="s">
        <v>648</v>
      </c>
      <c r="W2554" s="1008" t="s">
        <v>546</v>
      </c>
      <c r="X2554" s="1008" t="s">
        <v>670</v>
      </c>
      <c r="Y2554" s="1008"/>
      <c r="Z2554" s="1008"/>
      <c r="AA2554" s="1008"/>
      <c r="AB2554" s="1008"/>
      <c r="AC2554" s="1008" t="s">
        <v>670</v>
      </c>
      <c r="AD2554" s="1008" t="s">
        <v>670</v>
      </c>
      <c r="AE2554" s="1008"/>
      <c r="AF2554" s="1008"/>
      <c r="AG2554" s="1008"/>
      <c r="AH2554" s="1008"/>
      <c r="AI2554" s="1008"/>
    </row>
    <row r="2555" spans="1:35">
      <c r="A2555" s="1008">
        <v>25020</v>
      </c>
      <c r="B2555" s="1008">
        <v>2168</v>
      </c>
      <c r="C2555" s="1008">
        <v>7</v>
      </c>
      <c r="D2555" s="1009">
        <v>51049999</v>
      </c>
      <c r="E2555" s="1009">
        <v>51044000</v>
      </c>
      <c r="F2555" s="1007" t="s">
        <v>2097</v>
      </c>
      <c r="G2555" s="1007">
        <v>7</v>
      </c>
      <c r="H2555" s="1010">
        <v>99999999</v>
      </c>
      <c r="I2555" s="1009">
        <v>51044000</v>
      </c>
      <c r="J2555" s="1007" t="s">
        <v>2097</v>
      </c>
      <c r="O2555" s="1007" t="s">
        <v>648</v>
      </c>
      <c r="P2555" s="1007" t="s">
        <v>648</v>
      </c>
      <c r="S2555" s="1008" t="s">
        <v>650</v>
      </c>
      <c r="T2555" s="1008" t="s">
        <v>654</v>
      </c>
      <c r="U2555" s="1008" t="s">
        <v>653</v>
      </c>
      <c r="V2555" s="1008" t="s">
        <v>648</v>
      </c>
      <c r="W2555" s="1008" t="s">
        <v>546</v>
      </c>
      <c r="X2555" s="1008" t="s">
        <v>670</v>
      </c>
      <c r="Y2555" s="1008"/>
      <c r="Z2555" s="1008"/>
      <c r="AA2555" s="1008"/>
      <c r="AB2555" s="1008"/>
      <c r="AC2555" s="1008" t="s">
        <v>670</v>
      </c>
      <c r="AD2555" s="1008" t="s">
        <v>670</v>
      </c>
      <c r="AE2555" s="1008"/>
      <c r="AF2555" s="1008"/>
      <c r="AG2555" s="1008"/>
      <c r="AH2555" s="1008"/>
      <c r="AI2555" s="1008"/>
    </row>
    <row r="2556" spans="1:35">
      <c r="A2556" s="1008">
        <v>25021</v>
      </c>
      <c r="B2556" s="1008">
        <v>5394</v>
      </c>
      <c r="C2556" s="1008">
        <v>7</v>
      </c>
      <c r="D2556" s="1009">
        <v>51049999</v>
      </c>
      <c r="E2556" s="1009">
        <v>51045000</v>
      </c>
      <c r="F2556" s="1007" t="s">
        <v>2096</v>
      </c>
      <c r="G2556" s="1007">
        <v>7</v>
      </c>
      <c r="H2556" s="1010">
        <v>99999999</v>
      </c>
      <c r="I2556" s="1009">
        <v>51045000</v>
      </c>
      <c r="J2556" s="1007" t="s">
        <v>2096</v>
      </c>
      <c r="O2556" s="1007" t="s">
        <v>648</v>
      </c>
      <c r="P2556" s="1007" t="s">
        <v>648</v>
      </c>
      <c r="S2556" s="1008" t="s">
        <v>650</v>
      </c>
      <c r="T2556" s="1008" t="s">
        <v>654</v>
      </c>
      <c r="U2556" s="1008" t="s">
        <v>653</v>
      </c>
      <c r="V2556" s="1008" t="s">
        <v>648</v>
      </c>
      <c r="W2556" s="1008" t="s">
        <v>546</v>
      </c>
      <c r="X2556" s="1008" t="s">
        <v>670</v>
      </c>
      <c r="Y2556" s="1008"/>
      <c r="Z2556" s="1008"/>
      <c r="AA2556" s="1008"/>
      <c r="AB2556" s="1008"/>
      <c r="AC2556" s="1008" t="s">
        <v>670</v>
      </c>
      <c r="AD2556" s="1008" t="s">
        <v>670</v>
      </c>
      <c r="AE2556" s="1008"/>
      <c r="AF2556" s="1008"/>
      <c r="AG2556" s="1008"/>
      <c r="AH2556" s="1008"/>
      <c r="AI2556" s="1008"/>
    </row>
    <row r="2557" spans="1:35">
      <c r="A2557" s="1008">
        <v>25022</v>
      </c>
      <c r="C2557" s="1008">
        <v>6</v>
      </c>
      <c r="D2557" s="1009">
        <v>51099999</v>
      </c>
      <c r="E2557" s="1009">
        <v>51049999</v>
      </c>
      <c r="F2557" s="1007" t="s">
        <v>2095</v>
      </c>
      <c r="O2557" s="1007" t="s">
        <v>648</v>
      </c>
      <c r="P2557" s="1007" t="s">
        <v>648</v>
      </c>
      <c r="S2557" s="1008" t="s">
        <v>650</v>
      </c>
      <c r="T2557" s="1008" t="s">
        <v>21</v>
      </c>
      <c r="U2557" s="1008" t="s">
        <v>653</v>
      </c>
      <c r="V2557" s="1008" t="s">
        <v>648</v>
      </c>
      <c r="W2557" s="1008" t="s">
        <v>546</v>
      </c>
      <c r="X2557" s="1008"/>
      <c r="Y2557" s="1008"/>
      <c r="Z2557" s="1008"/>
      <c r="AA2557" s="1008"/>
      <c r="AB2557" s="1008"/>
      <c r="AC2557" s="1008"/>
      <c r="AD2557" s="1008"/>
      <c r="AE2557" s="1008"/>
      <c r="AF2557" s="1008"/>
      <c r="AG2557" s="1008"/>
      <c r="AH2557" s="1008"/>
      <c r="AI2557" s="1008"/>
    </row>
    <row r="2558" spans="1:35">
      <c r="A2558" s="1008">
        <v>25023</v>
      </c>
      <c r="C2558" s="1008">
        <v>6</v>
      </c>
      <c r="D2558" s="1009">
        <v>51059999</v>
      </c>
      <c r="E2558" s="1009">
        <v>51050000</v>
      </c>
      <c r="F2558" s="1007" t="s">
        <v>2094</v>
      </c>
      <c r="O2558" s="1007" t="s">
        <v>648</v>
      </c>
      <c r="P2558" s="1007" t="s">
        <v>648</v>
      </c>
      <c r="S2558" s="1008" t="s">
        <v>650</v>
      </c>
      <c r="T2558" s="1008" t="s">
        <v>675</v>
      </c>
      <c r="U2558" s="1008" t="s">
        <v>653</v>
      </c>
      <c r="V2558" s="1008" t="s">
        <v>648</v>
      </c>
      <c r="W2558" s="1008" t="s">
        <v>546</v>
      </c>
      <c r="X2558" s="1008"/>
      <c r="Y2558" s="1008"/>
      <c r="Z2558" s="1008"/>
      <c r="AA2558" s="1008"/>
      <c r="AB2558" s="1008"/>
      <c r="AC2558" s="1008"/>
      <c r="AD2558" s="1008"/>
      <c r="AE2558" s="1008"/>
      <c r="AF2558" s="1008"/>
      <c r="AG2558" s="1008"/>
      <c r="AH2558" s="1008"/>
      <c r="AI2558" s="1008"/>
    </row>
    <row r="2559" spans="1:35">
      <c r="A2559" s="1008">
        <v>25024</v>
      </c>
      <c r="B2559" s="1008">
        <v>570</v>
      </c>
      <c r="C2559" s="1008">
        <v>7</v>
      </c>
      <c r="D2559" s="1009">
        <v>51059999</v>
      </c>
      <c r="E2559" s="1009">
        <v>51051000</v>
      </c>
      <c r="F2559" s="1007" t="s">
        <v>2094</v>
      </c>
      <c r="G2559" s="1007">
        <v>8</v>
      </c>
      <c r="H2559" s="1010">
        <v>99999999</v>
      </c>
      <c r="I2559" s="1009">
        <v>51051000</v>
      </c>
      <c r="J2559" s="1007" t="s">
        <v>2094</v>
      </c>
      <c r="O2559" s="1007" t="s">
        <v>648</v>
      </c>
      <c r="P2559" s="1007" t="s">
        <v>648</v>
      </c>
      <c r="S2559" s="1008" t="s">
        <v>650</v>
      </c>
      <c r="T2559" s="1008" t="s">
        <v>654</v>
      </c>
      <c r="U2559" s="1008" t="s">
        <v>653</v>
      </c>
      <c r="V2559" s="1008" t="s">
        <v>648</v>
      </c>
      <c r="W2559" s="1008" t="s">
        <v>546</v>
      </c>
      <c r="X2559" s="1008" t="s">
        <v>670</v>
      </c>
      <c r="Y2559" s="1008"/>
      <c r="Z2559" s="1008"/>
      <c r="AA2559" s="1008"/>
      <c r="AB2559" s="1008"/>
      <c r="AC2559" s="1008" t="s">
        <v>670</v>
      </c>
      <c r="AD2559" s="1008" t="s">
        <v>670</v>
      </c>
      <c r="AE2559" s="1008"/>
      <c r="AF2559" s="1008"/>
      <c r="AG2559" s="1008"/>
      <c r="AH2559" s="1008"/>
      <c r="AI2559" s="1008"/>
    </row>
    <row r="2560" spans="1:35">
      <c r="A2560" s="1008">
        <v>25025</v>
      </c>
      <c r="B2560" s="1008">
        <v>2171</v>
      </c>
      <c r="C2560" s="1008">
        <v>7</v>
      </c>
      <c r="D2560" s="1009">
        <v>51059999</v>
      </c>
      <c r="E2560" s="1009">
        <v>51055000</v>
      </c>
      <c r="F2560" s="1007" t="s">
        <v>2093</v>
      </c>
      <c r="G2560" s="1007">
        <v>7</v>
      </c>
      <c r="H2560" s="1010">
        <v>99999999</v>
      </c>
      <c r="I2560" s="1009">
        <v>51055000</v>
      </c>
      <c r="J2560" s="1007" t="s">
        <v>2093</v>
      </c>
      <c r="O2560" s="1007" t="s">
        <v>648</v>
      </c>
      <c r="P2560" s="1007" t="s">
        <v>648</v>
      </c>
      <c r="S2560" s="1008" t="s">
        <v>650</v>
      </c>
      <c r="T2560" s="1008" t="s">
        <v>654</v>
      </c>
      <c r="U2560" s="1008" t="s">
        <v>653</v>
      </c>
      <c r="V2560" s="1008" t="s">
        <v>648</v>
      </c>
      <c r="W2560" s="1008" t="s">
        <v>546</v>
      </c>
      <c r="X2560" s="1008" t="s">
        <v>670</v>
      </c>
      <c r="Y2560" s="1008"/>
      <c r="Z2560" s="1008"/>
      <c r="AA2560" s="1008"/>
      <c r="AB2560" s="1008"/>
      <c r="AC2560" s="1008" t="s">
        <v>670</v>
      </c>
      <c r="AD2560" s="1008" t="s">
        <v>670</v>
      </c>
      <c r="AE2560" s="1008"/>
      <c r="AF2560" s="1008"/>
      <c r="AG2560" s="1008"/>
      <c r="AH2560" s="1008"/>
      <c r="AI2560" s="1008"/>
    </row>
    <row r="2561" spans="1:35">
      <c r="A2561" s="1008">
        <v>25026</v>
      </c>
      <c r="B2561" s="1008">
        <v>2172</v>
      </c>
      <c r="C2561" s="1008">
        <v>7</v>
      </c>
      <c r="D2561" s="1009">
        <v>51059999</v>
      </c>
      <c r="E2561" s="1009">
        <v>51058000</v>
      </c>
      <c r="F2561" s="1007" t="s">
        <v>2092</v>
      </c>
      <c r="G2561" s="1007">
        <v>7</v>
      </c>
      <c r="H2561" s="1010">
        <v>99999999</v>
      </c>
      <c r="I2561" s="1009">
        <v>51058000</v>
      </c>
      <c r="J2561" s="1007" t="s">
        <v>2092</v>
      </c>
      <c r="O2561" s="1007" t="s">
        <v>648</v>
      </c>
      <c r="P2561" s="1007" t="s">
        <v>648</v>
      </c>
      <c r="S2561" s="1008" t="s">
        <v>650</v>
      </c>
      <c r="T2561" s="1008" t="s">
        <v>654</v>
      </c>
      <c r="U2561" s="1008" t="s">
        <v>653</v>
      </c>
      <c r="V2561" s="1008" t="s">
        <v>648</v>
      </c>
      <c r="W2561" s="1008" t="s">
        <v>546</v>
      </c>
      <c r="X2561" s="1008" t="s">
        <v>670</v>
      </c>
      <c r="Y2561" s="1008"/>
      <c r="Z2561" s="1008"/>
      <c r="AA2561" s="1008"/>
      <c r="AB2561" s="1008"/>
      <c r="AC2561" s="1008" t="s">
        <v>670</v>
      </c>
      <c r="AD2561" s="1008" t="s">
        <v>670</v>
      </c>
      <c r="AE2561" s="1008"/>
      <c r="AF2561" s="1008"/>
      <c r="AG2561" s="1008"/>
      <c r="AH2561" s="1008"/>
      <c r="AI2561" s="1008"/>
    </row>
    <row r="2562" spans="1:35">
      <c r="A2562" s="1008">
        <v>27794</v>
      </c>
      <c r="B2562" s="1008">
        <v>6595</v>
      </c>
      <c r="C2562" s="1008">
        <v>7</v>
      </c>
      <c r="D2562" s="1009">
        <v>51059999</v>
      </c>
      <c r="E2562" s="1009">
        <v>51058010</v>
      </c>
      <c r="F2562" s="1007" t="s">
        <v>2091</v>
      </c>
      <c r="G2562" s="1007">
        <v>8</v>
      </c>
      <c r="H2562" s="1010">
        <v>99999999</v>
      </c>
      <c r="I2562" s="1009">
        <v>51058010</v>
      </c>
      <c r="J2562" s="1007" t="s">
        <v>2091</v>
      </c>
      <c r="O2562" s="1007" t="s">
        <v>648</v>
      </c>
      <c r="P2562" s="1007" t="s">
        <v>648</v>
      </c>
      <c r="S2562" s="1008" t="s">
        <v>650</v>
      </c>
      <c r="T2562" s="1008" t="s">
        <v>654</v>
      </c>
      <c r="U2562" s="1008" t="s">
        <v>653</v>
      </c>
      <c r="V2562" s="1008" t="s">
        <v>648</v>
      </c>
      <c r="W2562" s="1008" t="s">
        <v>546</v>
      </c>
      <c r="X2562" s="1008" t="s">
        <v>670</v>
      </c>
      <c r="Y2562" s="1008" t="s">
        <v>670</v>
      </c>
      <c r="Z2562" s="1008"/>
      <c r="AA2562" s="1008"/>
      <c r="AB2562" s="1008"/>
      <c r="AC2562" s="1008" t="s">
        <v>670</v>
      </c>
      <c r="AD2562" s="1008" t="s">
        <v>670</v>
      </c>
      <c r="AE2562" s="1008"/>
      <c r="AF2562" s="1008" t="s">
        <v>670</v>
      </c>
      <c r="AG2562" s="1008"/>
      <c r="AH2562" s="1008"/>
      <c r="AI2562" s="1008"/>
    </row>
    <row r="2563" spans="1:35">
      <c r="A2563" s="1008">
        <v>25027</v>
      </c>
      <c r="B2563" s="1008">
        <v>5396</v>
      </c>
      <c r="C2563" s="1008">
        <v>7</v>
      </c>
      <c r="D2563" s="1009">
        <v>51059999</v>
      </c>
      <c r="E2563" s="1009">
        <v>51059000</v>
      </c>
      <c r="F2563" s="1007" t="s">
        <v>2090</v>
      </c>
      <c r="G2563" s="1007">
        <v>7</v>
      </c>
      <c r="H2563" s="1010">
        <v>99999999</v>
      </c>
      <c r="I2563" s="1009">
        <v>51059000</v>
      </c>
      <c r="J2563" s="1007" t="s">
        <v>2090</v>
      </c>
      <c r="O2563" s="1007" t="s">
        <v>648</v>
      </c>
      <c r="P2563" s="1007" t="s">
        <v>648</v>
      </c>
      <c r="S2563" s="1008" t="s">
        <v>650</v>
      </c>
      <c r="T2563" s="1008" t="s">
        <v>654</v>
      </c>
      <c r="U2563" s="1008" t="s">
        <v>653</v>
      </c>
      <c r="V2563" s="1008" t="s">
        <v>648</v>
      </c>
      <c r="W2563" s="1008" t="s">
        <v>546</v>
      </c>
      <c r="X2563" s="1008" t="s">
        <v>670</v>
      </c>
      <c r="Y2563" s="1008"/>
      <c r="Z2563" s="1008"/>
      <c r="AA2563" s="1008"/>
      <c r="AB2563" s="1008"/>
      <c r="AC2563" s="1008" t="s">
        <v>670</v>
      </c>
      <c r="AD2563" s="1008" t="s">
        <v>670</v>
      </c>
      <c r="AE2563" s="1008"/>
      <c r="AF2563" s="1008"/>
      <c r="AG2563" s="1008"/>
      <c r="AH2563" s="1008"/>
      <c r="AI2563" s="1008"/>
    </row>
    <row r="2564" spans="1:35">
      <c r="A2564" s="1008">
        <v>25028</v>
      </c>
      <c r="C2564" s="1008">
        <v>6</v>
      </c>
      <c r="D2564" s="1009">
        <v>51099999</v>
      </c>
      <c r="E2564" s="1009">
        <v>51059999</v>
      </c>
      <c r="F2564" s="1007" t="s">
        <v>2089</v>
      </c>
      <c r="O2564" s="1007" t="s">
        <v>648</v>
      </c>
      <c r="P2564" s="1007" t="s">
        <v>648</v>
      </c>
      <c r="S2564" s="1008" t="s">
        <v>650</v>
      </c>
      <c r="T2564" s="1008" t="s">
        <v>21</v>
      </c>
      <c r="U2564" s="1008" t="s">
        <v>653</v>
      </c>
      <c r="V2564" s="1008" t="s">
        <v>648</v>
      </c>
      <c r="W2564" s="1008" t="s">
        <v>546</v>
      </c>
      <c r="X2564" s="1008"/>
      <c r="Y2564" s="1008"/>
      <c r="Z2564" s="1008"/>
      <c r="AA2564" s="1008"/>
      <c r="AB2564" s="1008"/>
      <c r="AC2564" s="1008"/>
      <c r="AD2564" s="1008"/>
      <c r="AE2564" s="1008"/>
      <c r="AF2564" s="1008"/>
      <c r="AG2564" s="1008"/>
      <c r="AH2564" s="1008"/>
      <c r="AI2564" s="1008"/>
    </row>
    <row r="2565" spans="1:35">
      <c r="A2565" s="1008">
        <v>25029</v>
      </c>
      <c r="C2565" s="1008">
        <v>5</v>
      </c>
      <c r="D2565" s="1009">
        <v>59599999</v>
      </c>
      <c r="E2565" s="1009">
        <v>51099999</v>
      </c>
      <c r="F2565" s="1007" t="s">
        <v>2088</v>
      </c>
      <c r="O2565" s="1007" t="s">
        <v>648</v>
      </c>
      <c r="P2565" s="1007" t="s">
        <v>648</v>
      </c>
      <c r="S2565" s="1008" t="s">
        <v>650</v>
      </c>
      <c r="T2565" s="1008" t="s">
        <v>21</v>
      </c>
      <c r="U2565" s="1008" t="s">
        <v>653</v>
      </c>
      <c r="V2565" s="1008" t="s">
        <v>648</v>
      </c>
      <c r="W2565" s="1008" t="s">
        <v>546</v>
      </c>
      <c r="X2565" s="1008"/>
      <c r="Y2565" s="1008"/>
      <c r="Z2565" s="1008"/>
      <c r="AA2565" s="1008"/>
      <c r="AB2565" s="1008"/>
      <c r="AC2565" s="1008"/>
      <c r="AD2565" s="1008"/>
      <c r="AE2565" s="1008"/>
      <c r="AF2565" s="1008"/>
      <c r="AG2565" s="1008"/>
      <c r="AH2565" s="1008"/>
      <c r="AI2565" s="1008"/>
    </row>
    <row r="2566" spans="1:35">
      <c r="A2566" s="1008">
        <v>25030</v>
      </c>
      <c r="C2566" s="1008">
        <v>5</v>
      </c>
      <c r="D2566" s="1009">
        <v>52099999</v>
      </c>
      <c r="E2566" s="1009">
        <v>52000000</v>
      </c>
      <c r="F2566" s="1007" t="s">
        <v>2087</v>
      </c>
      <c r="O2566" s="1007" t="s">
        <v>648</v>
      </c>
      <c r="P2566" s="1007" t="s">
        <v>648</v>
      </c>
      <c r="S2566" s="1008" t="s">
        <v>650</v>
      </c>
      <c r="T2566" s="1008" t="s">
        <v>675</v>
      </c>
      <c r="U2566" s="1008" t="s">
        <v>653</v>
      </c>
      <c r="V2566" s="1008" t="s">
        <v>648</v>
      </c>
      <c r="W2566" s="1008" t="s">
        <v>546</v>
      </c>
      <c r="X2566" s="1008"/>
      <c r="Y2566" s="1008"/>
      <c r="Z2566" s="1008"/>
      <c r="AA2566" s="1008"/>
      <c r="AB2566" s="1008"/>
      <c r="AC2566" s="1008"/>
      <c r="AD2566" s="1008"/>
      <c r="AE2566" s="1008"/>
      <c r="AF2566" s="1008"/>
      <c r="AG2566" s="1008"/>
      <c r="AH2566" s="1008"/>
      <c r="AI2566" s="1008"/>
    </row>
    <row r="2567" spans="1:35">
      <c r="A2567" s="1008">
        <v>25031</v>
      </c>
      <c r="C2567" s="1008">
        <v>6</v>
      </c>
      <c r="D2567" s="1009">
        <v>52019999</v>
      </c>
      <c r="E2567" s="1009">
        <v>52010000</v>
      </c>
      <c r="F2567" s="1007" t="s">
        <v>2086</v>
      </c>
      <c r="O2567" s="1007" t="s">
        <v>648</v>
      </c>
      <c r="P2567" s="1007" t="s">
        <v>648</v>
      </c>
      <c r="S2567" s="1008" t="s">
        <v>650</v>
      </c>
      <c r="T2567" s="1008" t="s">
        <v>675</v>
      </c>
      <c r="U2567" s="1008" t="s">
        <v>653</v>
      </c>
      <c r="V2567" s="1008" t="s">
        <v>648</v>
      </c>
      <c r="W2567" s="1008" t="s">
        <v>546</v>
      </c>
      <c r="X2567" s="1008"/>
      <c r="Y2567" s="1008"/>
      <c r="Z2567" s="1008"/>
      <c r="AA2567" s="1008"/>
      <c r="AB2567" s="1008"/>
      <c r="AC2567" s="1008"/>
      <c r="AD2567" s="1008"/>
      <c r="AE2567" s="1008"/>
      <c r="AF2567" s="1008"/>
      <c r="AG2567" s="1008"/>
      <c r="AH2567" s="1008"/>
      <c r="AI2567" s="1008"/>
    </row>
    <row r="2568" spans="1:35">
      <c r="A2568" s="1008">
        <v>25032</v>
      </c>
      <c r="B2568" s="1008">
        <v>2174</v>
      </c>
      <c r="C2568" s="1008">
        <v>7</v>
      </c>
      <c r="D2568" s="1009">
        <v>52019999</v>
      </c>
      <c r="E2568" s="1009">
        <v>52011000</v>
      </c>
      <c r="F2568" s="1007" t="s">
        <v>2085</v>
      </c>
      <c r="G2568" s="1007">
        <v>7</v>
      </c>
      <c r="H2568" s="1010">
        <v>99999999</v>
      </c>
      <c r="I2568" s="1009">
        <v>52011000</v>
      </c>
      <c r="J2568" s="1007" t="s">
        <v>2085</v>
      </c>
      <c r="O2568" s="1007" t="s">
        <v>648</v>
      </c>
      <c r="P2568" s="1007" t="s">
        <v>648</v>
      </c>
      <c r="S2568" s="1008" t="s">
        <v>650</v>
      </c>
      <c r="T2568" s="1008" t="s">
        <v>654</v>
      </c>
      <c r="U2568" s="1008" t="s">
        <v>653</v>
      </c>
      <c r="V2568" s="1008" t="s">
        <v>648</v>
      </c>
      <c r="W2568" s="1008" t="s">
        <v>546</v>
      </c>
      <c r="X2568" s="1008" t="s">
        <v>670</v>
      </c>
      <c r="Y2568" s="1008" t="s">
        <v>670</v>
      </c>
      <c r="Z2568" s="1008"/>
      <c r="AA2568" s="1008"/>
      <c r="AB2568" s="1008"/>
      <c r="AC2568" s="1008" t="s">
        <v>670</v>
      </c>
      <c r="AD2568" s="1008" t="s">
        <v>670</v>
      </c>
      <c r="AE2568" s="1008"/>
      <c r="AF2568" s="1008" t="s">
        <v>670</v>
      </c>
      <c r="AG2568" s="1008"/>
      <c r="AH2568" s="1008"/>
      <c r="AI2568" s="1008"/>
    </row>
    <row r="2569" spans="1:35">
      <c r="A2569" s="1008">
        <v>25033</v>
      </c>
      <c r="B2569" s="1008">
        <v>2175</v>
      </c>
      <c r="C2569" s="1008">
        <v>7</v>
      </c>
      <c r="D2569" s="1009">
        <v>52019999</v>
      </c>
      <c r="E2569" s="1009">
        <v>52012000</v>
      </c>
      <c r="F2569" s="1007" t="s">
        <v>2084</v>
      </c>
      <c r="G2569" s="1007">
        <v>7</v>
      </c>
      <c r="H2569" s="1010">
        <v>99999999</v>
      </c>
      <c r="I2569" s="1009">
        <v>52012000</v>
      </c>
      <c r="J2569" s="1007" t="s">
        <v>2084</v>
      </c>
      <c r="O2569" s="1007" t="s">
        <v>648</v>
      </c>
      <c r="P2569" s="1007" t="s">
        <v>648</v>
      </c>
      <c r="S2569" s="1008" t="s">
        <v>650</v>
      </c>
      <c r="T2569" s="1008" t="s">
        <v>654</v>
      </c>
      <c r="U2569" s="1008" t="s">
        <v>653</v>
      </c>
      <c r="V2569" s="1008" t="s">
        <v>648</v>
      </c>
      <c r="W2569" s="1008" t="s">
        <v>546</v>
      </c>
      <c r="X2569" s="1008" t="s">
        <v>670</v>
      </c>
      <c r="Y2569" s="1008"/>
      <c r="Z2569" s="1008"/>
      <c r="AA2569" s="1008"/>
      <c r="AB2569" s="1008"/>
      <c r="AC2569" s="1008" t="s">
        <v>670</v>
      </c>
      <c r="AD2569" s="1008" t="s">
        <v>670</v>
      </c>
      <c r="AE2569" s="1008"/>
      <c r="AF2569" s="1008"/>
      <c r="AG2569" s="1008"/>
      <c r="AH2569" s="1008"/>
      <c r="AI2569" s="1008"/>
    </row>
    <row r="2570" spans="1:35">
      <c r="A2570" s="1008">
        <v>25034</v>
      </c>
      <c r="B2570" s="1008">
        <v>2176</v>
      </c>
      <c r="C2570" s="1008">
        <v>7</v>
      </c>
      <c r="D2570" s="1009">
        <v>52019999</v>
      </c>
      <c r="E2570" s="1009">
        <v>52013000</v>
      </c>
      <c r="F2570" s="1007" t="s">
        <v>2083</v>
      </c>
      <c r="G2570" s="1007">
        <v>7</v>
      </c>
      <c r="H2570" s="1010">
        <v>99999999</v>
      </c>
      <c r="I2570" s="1009">
        <v>52013000</v>
      </c>
      <c r="J2570" s="1007" t="s">
        <v>2083</v>
      </c>
      <c r="O2570" s="1007" t="s">
        <v>648</v>
      </c>
      <c r="P2570" s="1007" t="s">
        <v>648</v>
      </c>
      <c r="S2570" s="1008" t="s">
        <v>650</v>
      </c>
      <c r="T2570" s="1008" t="s">
        <v>654</v>
      </c>
      <c r="U2570" s="1008" t="s">
        <v>653</v>
      </c>
      <c r="V2570" s="1008" t="s">
        <v>648</v>
      </c>
      <c r="W2570" s="1008" t="s">
        <v>546</v>
      </c>
      <c r="X2570" s="1008" t="s">
        <v>670</v>
      </c>
      <c r="Y2570" s="1008"/>
      <c r="Z2570" s="1008"/>
      <c r="AA2570" s="1008"/>
      <c r="AB2570" s="1008"/>
      <c r="AC2570" s="1008" t="s">
        <v>670</v>
      </c>
      <c r="AD2570" s="1008" t="s">
        <v>670</v>
      </c>
      <c r="AE2570" s="1008"/>
      <c r="AF2570" s="1008"/>
      <c r="AG2570" s="1008"/>
      <c r="AH2570" s="1008"/>
      <c r="AI2570" s="1008"/>
    </row>
    <row r="2571" spans="1:35">
      <c r="A2571" s="1008">
        <v>25035</v>
      </c>
      <c r="B2571" s="1008">
        <v>2177</v>
      </c>
      <c r="C2571" s="1008">
        <v>7</v>
      </c>
      <c r="D2571" s="1009">
        <v>52019999</v>
      </c>
      <c r="E2571" s="1009">
        <v>52014000</v>
      </c>
      <c r="F2571" s="1007" t="s">
        <v>2082</v>
      </c>
      <c r="G2571" s="1007">
        <v>7</v>
      </c>
      <c r="H2571" s="1010">
        <v>99999999</v>
      </c>
      <c r="I2571" s="1009">
        <v>52014000</v>
      </c>
      <c r="J2571" s="1007" t="s">
        <v>2082</v>
      </c>
      <c r="O2571" s="1007" t="s">
        <v>648</v>
      </c>
      <c r="P2571" s="1007" t="s">
        <v>648</v>
      </c>
      <c r="S2571" s="1008" t="s">
        <v>650</v>
      </c>
      <c r="T2571" s="1008" t="s">
        <v>654</v>
      </c>
      <c r="U2571" s="1008" t="s">
        <v>653</v>
      </c>
      <c r="V2571" s="1008" t="s">
        <v>648</v>
      </c>
      <c r="W2571" s="1008" t="s">
        <v>546</v>
      </c>
      <c r="X2571" s="1008" t="s">
        <v>670</v>
      </c>
      <c r="Y2571" s="1008"/>
      <c r="Z2571" s="1008"/>
      <c r="AA2571" s="1008"/>
      <c r="AB2571" s="1008"/>
      <c r="AC2571" s="1008" t="s">
        <v>670</v>
      </c>
      <c r="AD2571" s="1008" t="s">
        <v>670</v>
      </c>
      <c r="AE2571" s="1008"/>
      <c r="AF2571" s="1008"/>
      <c r="AG2571" s="1008"/>
      <c r="AH2571" s="1008"/>
      <c r="AI2571" s="1008"/>
    </row>
    <row r="2572" spans="1:35">
      <c r="A2572" s="1008">
        <v>25036</v>
      </c>
      <c r="B2572" s="1008">
        <v>2178</v>
      </c>
      <c r="C2572" s="1008">
        <v>7</v>
      </c>
      <c r="D2572" s="1009">
        <v>52019999</v>
      </c>
      <c r="E2572" s="1009">
        <v>52015000</v>
      </c>
      <c r="F2572" s="1007" t="s">
        <v>2081</v>
      </c>
      <c r="G2572" s="1007">
        <v>7</v>
      </c>
      <c r="H2572" s="1010">
        <v>99999999</v>
      </c>
      <c r="I2572" s="1009">
        <v>52015000</v>
      </c>
      <c r="J2572" s="1007" t="s">
        <v>2081</v>
      </c>
      <c r="O2572" s="1007" t="s">
        <v>648</v>
      </c>
      <c r="P2572" s="1007" t="s">
        <v>648</v>
      </c>
      <c r="S2572" s="1008" t="s">
        <v>650</v>
      </c>
      <c r="T2572" s="1008" t="s">
        <v>654</v>
      </c>
      <c r="U2572" s="1008" t="s">
        <v>653</v>
      </c>
      <c r="V2572" s="1008" t="s">
        <v>648</v>
      </c>
      <c r="W2572" s="1008" t="s">
        <v>546</v>
      </c>
      <c r="X2572" s="1008" t="s">
        <v>670</v>
      </c>
      <c r="Y2572" s="1008"/>
      <c r="Z2572" s="1008"/>
      <c r="AA2572" s="1008"/>
      <c r="AB2572" s="1008"/>
      <c r="AC2572" s="1008" t="s">
        <v>670</v>
      </c>
      <c r="AD2572" s="1008" t="s">
        <v>670</v>
      </c>
      <c r="AE2572" s="1008"/>
      <c r="AF2572" s="1008"/>
      <c r="AG2572" s="1008"/>
      <c r="AH2572" s="1008"/>
      <c r="AI2572" s="1008"/>
    </row>
    <row r="2573" spans="1:35">
      <c r="A2573" s="1008">
        <v>25037</v>
      </c>
      <c r="B2573" s="1008">
        <v>2179</v>
      </c>
      <c r="C2573" s="1008">
        <v>7</v>
      </c>
      <c r="D2573" s="1009">
        <v>52019999</v>
      </c>
      <c r="E2573" s="1009">
        <v>52016000</v>
      </c>
      <c r="F2573" s="1007" t="s">
        <v>2080</v>
      </c>
      <c r="G2573" s="1007">
        <v>7</v>
      </c>
      <c r="H2573" s="1010">
        <v>99999999</v>
      </c>
      <c r="I2573" s="1009">
        <v>52016000</v>
      </c>
      <c r="J2573" s="1007" t="s">
        <v>2080</v>
      </c>
      <c r="O2573" s="1007" t="s">
        <v>648</v>
      </c>
      <c r="P2573" s="1007" t="s">
        <v>648</v>
      </c>
      <c r="S2573" s="1008" t="s">
        <v>650</v>
      </c>
      <c r="T2573" s="1008" t="s">
        <v>654</v>
      </c>
      <c r="U2573" s="1008" t="s">
        <v>653</v>
      </c>
      <c r="V2573" s="1008" t="s">
        <v>648</v>
      </c>
      <c r="W2573" s="1008" t="s">
        <v>546</v>
      </c>
      <c r="X2573" s="1008" t="s">
        <v>670</v>
      </c>
      <c r="Y2573" s="1008" t="s">
        <v>670</v>
      </c>
      <c r="Z2573" s="1008"/>
      <c r="AA2573" s="1008"/>
      <c r="AB2573" s="1008"/>
      <c r="AC2573" s="1008" t="s">
        <v>670</v>
      </c>
      <c r="AD2573" s="1008" t="s">
        <v>670</v>
      </c>
      <c r="AE2573" s="1008"/>
      <c r="AF2573" s="1008" t="s">
        <v>670</v>
      </c>
      <c r="AG2573" s="1008"/>
      <c r="AH2573" s="1008"/>
      <c r="AI2573" s="1008"/>
    </row>
    <row r="2574" spans="1:35">
      <c r="A2574" s="1008">
        <v>25038</v>
      </c>
      <c r="B2574" s="1008">
        <v>2180</v>
      </c>
      <c r="C2574" s="1008">
        <v>7</v>
      </c>
      <c r="D2574" s="1009">
        <v>52019999</v>
      </c>
      <c r="E2574" s="1009">
        <v>52017000</v>
      </c>
      <c r="F2574" s="1007" t="s">
        <v>2079</v>
      </c>
      <c r="G2574" s="1007">
        <v>7</v>
      </c>
      <c r="H2574" s="1010">
        <v>99999999</v>
      </c>
      <c r="I2574" s="1009">
        <v>52017000</v>
      </c>
      <c r="J2574" s="1007" t="s">
        <v>2079</v>
      </c>
      <c r="O2574" s="1007" t="s">
        <v>648</v>
      </c>
      <c r="P2574" s="1007" t="s">
        <v>648</v>
      </c>
      <c r="S2574" s="1008" t="s">
        <v>650</v>
      </c>
      <c r="T2574" s="1008" t="s">
        <v>654</v>
      </c>
      <c r="U2574" s="1008" t="s">
        <v>653</v>
      </c>
      <c r="V2574" s="1008" t="s">
        <v>648</v>
      </c>
      <c r="W2574" s="1008" t="s">
        <v>546</v>
      </c>
      <c r="X2574" s="1008" t="s">
        <v>670</v>
      </c>
      <c r="Y2574" s="1008"/>
      <c r="Z2574" s="1008"/>
      <c r="AA2574" s="1008"/>
      <c r="AB2574" s="1008"/>
      <c r="AC2574" s="1008" t="s">
        <v>670</v>
      </c>
      <c r="AD2574" s="1008" t="s">
        <v>670</v>
      </c>
      <c r="AE2574" s="1008"/>
      <c r="AF2574" s="1008"/>
      <c r="AG2574" s="1008"/>
      <c r="AH2574" s="1008"/>
      <c r="AI2574" s="1008"/>
    </row>
    <row r="2575" spans="1:35">
      <c r="A2575" s="1008">
        <v>25039</v>
      </c>
      <c r="B2575" s="1008">
        <v>2181</v>
      </c>
      <c r="C2575" s="1008">
        <v>7</v>
      </c>
      <c r="D2575" s="1009">
        <v>52019999</v>
      </c>
      <c r="E2575" s="1009">
        <v>52018000</v>
      </c>
      <c r="F2575" s="1007" t="s">
        <v>2078</v>
      </c>
      <c r="G2575" s="1007">
        <v>7</v>
      </c>
      <c r="H2575" s="1010">
        <v>99999999</v>
      </c>
      <c r="I2575" s="1009">
        <v>52018000</v>
      </c>
      <c r="J2575" s="1007" t="s">
        <v>2078</v>
      </c>
      <c r="O2575" s="1007" t="s">
        <v>648</v>
      </c>
      <c r="P2575" s="1007" t="s">
        <v>648</v>
      </c>
      <c r="S2575" s="1008" t="s">
        <v>650</v>
      </c>
      <c r="T2575" s="1008" t="s">
        <v>654</v>
      </c>
      <c r="U2575" s="1008" t="s">
        <v>653</v>
      </c>
      <c r="V2575" s="1008" t="s">
        <v>648</v>
      </c>
      <c r="W2575" s="1008" t="s">
        <v>546</v>
      </c>
      <c r="X2575" s="1008" t="s">
        <v>670</v>
      </c>
      <c r="Y2575" s="1008"/>
      <c r="Z2575" s="1008"/>
      <c r="AA2575" s="1008"/>
      <c r="AB2575" s="1008"/>
      <c r="AC2575" s="1008" t="s">
        <v>670</v>
      </c>
      <c r="AD2575" s="1008" t="s">
        <v>670</v>
      </c>
      <c r="AE2575" s="1008"/>
      <c r="AF2575" s="1008"/>
      <c r="AG2575" s="1008"/>
      <c r="AH2575" s="1008"/>
      <c r="AI2575" s="1008"/>
    </row>
    <row r="2576" spans="1:35">
      <c r="A2576" s="1008">
        <v>25040</v>
      </c>
      <c r="B2576" s="1008">
        <v>5400</v>
      </c>
      <c r="C2576" s="1008">
        <v>7</v>
      </c>
      <c r="D2576" s="1009">
        <v>52019999</v>
      </c>
      <c r="E2576" s="1009">
        <v>52019000</v>
      </c>
      <c r="F2576" s="1007" t="s">
        <v>2077</v>
      </c>
      <c r="G2576" s="1007">
        <v>7</v>
      </c>
      <c r="H2576" s="1010">
        <v>99999999</v>
      </c>
      <c r="I2576" s="1009">
        <v>52019000</v>
      </c>
      <c r="J2576" s="1007" t="s">
        <v>2077</v>
      </c>
      <c r="O2576" s="1007" t="s">
        <v>648</v>
      </c>
      <c r="P2576" s="1007" t="s">
        <v>648</v>
      </c>
      <c r="S2576" s="1008" t="s">
        <v>650</v>
      </c>
      <c r="T2576" s="1008" t="s">
        <v>654</v>
      </c>
      <c r="U2576" s="1008" t="s">
        <v>653</v>
      </c>
      <c r="V2576" s="1008" t="s">
        <v>648</v>
      </c>
      <c r="W2576" s="1008" t="s">
        <v>546</v>
      </c>
      <c r="X2576" s="1008" t="s">
        <v>670</v>
      </c>
      <c r="Y2576" s="1008"/>
      <c r="Z2576" s="1008"/>
      <c r="AA2576" s="1008"/>
      <c r="AB2576" s="1008"/>
      <c r="AC2576" s="1008" t="s">
        <v>670</v>
      </c>
      <c r="AD2576" s="1008" t="s">
        <v>670</v>
      </c>
      <c r="AE2576" s="1008"/>
      <c r="AF2576" s="1008"/>
      <c r="AG2576" s="1008"/>
      <c r="AH2576" s="1008"/>
      <c r="AI2576" s="1008"/>
    </row>
    <row r="2577" spans="1:35">
      <c r="A2577" s="1008">
        <v>25041</v>
      </c>
      <c r="C2577" s="1008">
        <v>6</v>
      </c>
      <c r="D2577" s="1009">
        <v>52099999</v>
      </c>
      <c r="E2577" s="1009">
        <v>52019999</v>
      </c>
      <c r="F2577" s="1007" t="s">
        <v>2076</v>
      </c>
      <c r="O2577" s="1007" t="s">
        <v>648</v>
      </c>
      <c r="P2577" s="1007" t="s">
        <v>648</v>
      </c>
      <c r="S2577" s="1008" t="s">
        <v>650</v>
      </c>
      <c r="T2577" s="1008" t="s">
        <v>21</v>
      </c>
      <c r="U2577" s="1008" t="s">
        <v>653</v>
      </c>
      <c r="V2577" s="1008" t="s">
        <v>648</v>
      </c>
      <c r="W2577" s="1008" t="s">
        <v>546</v>
      </c>
      <c r="X2577" s="1008"/>
      <c r="Y2577" s="1008"/>
      <c r="Z2577" s="1008"/>
      <c r="AA2577" s="1008"/>
      <c r="AB2577" s="1008"/>
      <c r="AC2577" s="1008"/>
      <c r="AD2577" s="1008"/>
      <c r="AE2577" s="1008"/>
      <c r="AF2577" s="1008"/>
      <c r="AG2577" s="1008"/>
      <c r="AH2577" s="1008"/>
      <c r="AI2577" s="1008"/>
    </row>
    <row r="2578" spans="1:35">
      <c r="A2578" s="1008">
        <v>25042</v>
      </c>
      <c r="C2578" s="1008">
        <v>5</v>
      </c>
      <c r="D2578" s="1009">
        <v>59599999</v>
      </c>
      <c r="E2578" s="1009">
        <v>52099999</v>
      </c>
      <c r="F2578" s="1007" t="s">
        <v>2075</v>
      </c>
      <c r="O2578" s="1007" t="s">
        <v>648</v>
      </c>
      <c r="P2578" s="1007" t="s">
        <v>648</v>
      </c>
      <c r="S2578" s="1008" t="s">
        <v>650</v>
      </c>
      <c r="T2578" s="1008" t="s">
        <v>21</v>
      </c>
      <c r="U2578" s="1008" t="s">
        <v>653</v>
      </c>
      <c r="V2578" s="1008" t="s">
        <v>648</v>
      </c>
      <c r="W2578" s="1008" t="s">
        <v>546</v>
      </c>
      <c r="X2578" s="1008"/>
      <c r="Y2578" s="1008"/>
      <c r="Z2578" s="1008"/>
      <c r="AA2578" s="1008"/>
      <c r="AB2578" s="1008"/>
      <c r="AC2578" s="1008"/>
      <c r="AD2578" s="1008"/>
      <c r="AE2578" s="1008"/>
      <c r="AF2578" s="1008"/>
      <c r="AG2578" s="1008"/>
      <c r="AH2578" s="1008"/>
      <c r="AI2578" s="1008"/>
    </row>
    <row r="2579" spans="1:35">
      <c r="A2579" s="1008">
        <v>25043</v>
      </c>
      <c r="C2579" s="1008">
        <v>5</v>
      </c>
      <c r="D2579" s="1009">
        <v>53029999</v>
      </c>
      <c r="E2579" s="1009">
        <v>53000000</v>
      </c>
      <c r="F2579" s="1007" t="s">
        <v>1421</v>
      </c>
      <c r="O2579" s="1007" t="s">
        <v>648</v>
      </c>
      <c r="P2579" s="1007" t="s">
        <v>648</v>
      </c>
      <c r="S2579" s="1008" t="s">
        <v>650</v>
      </c>
      <c r="T2579" s="1008" t="s">
        <v>675</v>
      </c>
      <c r="U2579" s="1008" t="s">
        <v>653</v>
      </c>
      <c r="V2579" s="1008" t="s">
        <v>648</v>
      </c>
      <c r="W2579" s="1008" t="s">
        <v>546</v>
      </c>
      <c r="X2579" s="1008"/>
      <c r="Y2579" s="1008"/>
      <c r="Z2579" s="1008"/>
      <c r="AA2579" s="1008"/>
      <c r="AB2579" s="1008"/>
      <c r="AC2579" s="1008"/>
      <c r="AD2579" s="1008"/>
      <c r="AE2579" s="1008"/>
      <c r="AF2579" s="1008"/>
      <c r="AG2579" s="1008"/>
      <c r="AH2579" s="1008"/>
      <c r="AI2579" s="1008"/>
    </row>
    <row r="2580" spans="1:35">
      <c r="A2580" s="1008">
        <v>25044</v>
      </c>
      <c r="C2580" s="1008">
        <v>6</v>
      </c>
      <c r="D2580" s="1009">
        <v>53019999</v>
      </c>
      <c r="E2580" s="1009">
        <v>53010000</v>
      </c>
      <c r="F2580" s="1007" t="s">
        <v>2074</v>
      </c>
      <c r="O2580" s="1007" t="s">
        <v>648</v>
      </c>
      <c r="P2580" s="1007" t="s">
        <v>648</v>
      </c>
      <c r="S2580" s="1008" t="s">
        <v>650</v>
      </c>
      <c r="T2580" s="1008" t="s">
        <v>675</v>
      </c>
      <c r="U2580" s="1008" t="s">
        <v>653</v>
      </c>
      <c r="V2580" s="1008" t="s">
        <v>648</v>
      </c>
      <c r="W2580" s="1008" t="s">
        <v>546</v>
      </c>
      <c r="X2580" s="1008"/>
      <c r="Y2580" s="1008"/>
      <c r="Z2580" s="1008"/>
      <c r="AA2580" s="1008"/>
      <c r="AB2580" s="1008"/>
      <c r="AC2580" s="1008"/>
      <c r="AD2580" s="1008"/>
      <c r="AE2580" s="1008"/>
      <c r="AF2580" s="1008"/>
      <c r="AG2580" s="1008"/>
      <c r="AH2580" s="1008"/>
      <c r="AI2580" s="1008"/>
    </row>
    <row r="2581" spans="1:35">
      <c r="A2581" s="1008">
        <v>25045</v>
      </c>
      <c r="B2581" s="1008">
        <v>268</v>
      </c>
      <c r="C2581" s="1008">
        <v>7</v>
      </c>
      <c r="D2581" s="1009">
        <v>53019999</v>
      </c>
      <c r="E2581" s="1009">
        <v>53011000</v>
      </c>
      <c r="F2581" s="1007" t="s">
        <v>2074</v>
      </c>
      <c r="G2581" s="1007">
        <v>8</v>
      </c>
      <c r="H2581" s="1010">
        <v>99999999</v>
      </c>
      <c r="I2581" s="1009">
        <v>5112110</v>
      </c>
      <c r="J2581" s="1007" t="s">
        <v>2074</v>
      </c>
      <c r="O2581" s="1007" t="s">
        <v>648</v>
      </c>
      <c r="P2581" s="1007" t="s">
        <v>648</v>
      </c>
      <c r="S2581" s="1008" t="s">
        <v>650</v>
      </c>
      <c r="T2581" s="1008" t="s">
        <v>654</v>
      </c>
      <c r="U2581" s="1008" t="s">
        <v>653</v>
      </c>
      <c r="V2581" s="1008" t="s">
        <v>648</v>
      </c>
      <c r="W2581" s="1008" t="s">
        <v>546</v>
      </c>
      <c r="X2581" s="1008" t="s">
        <v>670</v>
      </c>
      <c r="Y2581" s="1008" t="s">
        <v>670</v>
      </c>
      <c r="Z2581" s="1008" t="s">
        <v>670</v>
      </c>
      <c r="AA2581" s="1008" t="s">
        <v>670</v>
      </c>
      <c r="AB2581" s="1008" t="s">
        <v>670</v>
      </c>
      <c r="AC2581" s="1008" t="s">
        <v>670</v>
      </c>
      <c r="AD2581" s="1008" t="s">
        <v>670</v>
      </c>
      <c r="AE2581" s="1008"/>
      <c r="AF2581" s="1008" t="s">
        <v>670</v>
      </c>
      <c r="AG2581" s="1008"/>
      <c r="AH2581" s="1008"/>
      <c r="AI2581" s="1008"/>
    </row>
    <row r="2582" spans="1:35">
      <c r="A2582" s="1008">
        <v>25045</v>
      </c>
      <c r="B2582" s="1008">
        <v>540</v>
      </c>
      <c r="C2582" s="1008">
        <v>7</v>
      </c>
      <c r="D2582" s="1009">
        <v>53019999</v>
      </c>
      <c r="E2582" s="1009">
        <v>53011000</v>
      </c>
      <c r="F2582" s="1007" t="s">
        <v>2074</v>
      </c>
      <c r="G2582" s="1007">
        <v>8</v>
      </c>
      <c r="H2582" s="1010">
        <v>99999999</v>
      </c>
      <c r="I2582" s="1009">
        <v>7711750</v>
      </c>
      <c r="J2582" s="1007" t="s">
        <v>2074</v>
      </c>
      <c r="O2582" s="1007" t="s">
        <v>648</v>
      </c>
      <c r="P2582" s="1007" t="s">
        <v>648</v>
      </c>
      <c r="S2582" s="1008" t="s">
        <v>650</v>
      </c>
      <c r="T2582" s="1008" t="s">
        <v>654</v>
      </c>
      <c r="U2582" s="1008" t="s">
        <v>653</v>
      </c>
      <c r="V2582" s="1008" t="s">
        <v>648</v>
      </c>
      <c r="W2582" s="1008" t="s">
        <v>546</v>
      </c>
      <c r="X2582" s="1008" t="s">
        <v>670</v>
      </c>
      <c r="Y2582" s="1008" t="s">
        <v>670</v>
      </c>
      <c r="Z2582" s="1008" t="s">
        <v>670</v>
      </c>
      <c r="AA2582" s="1008" t="s">
        <v>670</v>
      </c>
      <c r="AB2582" s="1008" t="s">
        <v>670</v>
      </c>
      <c r="AC2582" s="1008" t="s">
        <v>670</v>
      </c>
      <c r="AD2582" s="1008" t="s">
        <v>670</v>
      </c>
      <c r="AE2582" s="1008"/>
      <c r="AF2582" s="1008" t="s">
        <v>670</v>
      </c>
      <c r="AG2582" s="1008"/>
      <c r="AH2582" s="1008"/>
      <c r="AI2582" s="1008"/>
    </row>
    <row r="2583" spans="1:35">
      <c r="A2583" s="1008">
        <v>25045</v>
      </c>
      <c r="B2583" s="1008">
        <v>2183</v>
      </c>
      <c r="C2583" s="1008">
        <v>7</v>
      </c>
      <c r="D2583" s="1009">
        <v>53019999</v>
      </c>
      <c r="E2583" s="1009">
        <v>53011000</v>
      </c>
      <c r="F2583" s="1007" t="s">
        <v>2074</v>
      </c>
      <c r="G2583" s="1007">
        <v>7</v>
      </c>
      <c r="H2583" s="1010">
        <v>99999999</v>
      </c>
      <c r="I2583" s="1009">
        <v>53011000</v>
      </c>
      <c r="J2583" s="1007" t="s">
        <v>2074</v>
      </c>
      <c r="O2583" s="1007" t="s">
        <v>648</v>
      </c>
      <c r="P2583" s="1007" t="s">
        <v>648</v>
      </c>
      <c r="S2583" s="1008" t="s">
        <v>650</v>
      </c>
      <c r="T2583" s="1008" t="s">
        <v>654</v>
      </c>
      <c r="U2583" s="1008" t="s">
        <v>653</v>
      </c>
      <c r="V2583" s="1008" t="s">
        <v>648</v>
      </c>
      <c r="W2583" s="1008" t="s">
        <v>546</v>
      </c>
      <c r="X2583" s="1008" t="s">
        <v>670</v>
      </c>
      <c r="Y2583" s="1008" t="s">
        <v>670</v>
      </c>
      <c r="Z2583" s="1008"/>
      <c r="AA2583" s="1008"/>
      <c r="AB2583" s="1008"/>
      <c r="AC2583" s="1008" t="s">
        <v>670</v>
      </c>
      <c r="AD2583" s="1008" t="s">
        <v>670</v>
      </c>
      <c r="AE2583" s="1008" t="s">
        <v>670</v>
      </c>
      <c r="AF2583" s="1008" t="s">
        <v>670</v>
      </c>
      <c r="AG2583" s="1008"/>
      <c r="AH2583" s="1008"/>
      <c r="AI2583" s="1008"/>
    </row>
    <row r="2584" spans="1:35">
      <c r="A2584" s="1008">
        <v>25046</v>
      </c>
      <c r="B2584" s="1008">
        <v>2184</v>
      </c>
      <c r="C2584" s="1008">
        <v>7</v>
      </c>
      <c r="D2584" s="1009">
        <v>53019999</v>
      </c>
      <c r="E2584" s="1009">
        <v>53012000</v>
      </c>
      <c r="F2584" s="1007" t="s">
        <v>2073</v>
      </c>
      <c r="G2584" s="1007">
        <v>7</v>
      </c>
      <c r="H2584" s="1010">
        <v>99999999</v>
      </c>
      <c r="I2584" s="1009">
        <v>53012000</v>
      </c>
      <c r="J2584" s="1007" t="s">
        <v>2073</v>
      </c>
      <c r="O2584" s="1007" t="s">
        <v>648</v>
      </c>
      <c r="P2584" s="1007" t="s">
        <v>648</v>
      </c>
      <c r="S2584" s="1008" t="s">
        <v>650</v>
      </c>
      <c r="T2584" s="1008" t="s">
        <v>654</v>
      </c>
      <c r="U2584" s="1008" t="s">
        <v>653</v>
      </c>
      <c r="V2584" s="1008" t="s">
        <v>648</v>
      </c>
      <c r="W2584" s="1008" t="s">
        <v>546</v>
      </c>
      <c r="X2584" s="1008" t="s">
        <v>670</v>
      </c>
      <c r="Y2584" s="1008"/>
      <c r="Z2584" s="1008"/>
      <c r="AA2584" s="1008"/>
      <c r="AB2584" s="1008"/>
      <c r="AC2584" s="1008" t="s">
        <v>670</v>
      </c>
      <c r="AD2584" s="1008" t="s">
        <v>670</v>
      </c>
      <c r="AE2584" s="1008"/>
      <c r="AF2584" s="1008"/>
      <c r="AG2584" s="1008"/>
      <c r="AH2584" s="1008"/>
      <c r="AI2584" s="1008"/>
    </row>
    <row r="2585" spans="1:35">
      <c r="A2585" s="1008">
        <v>25047</v>
      </c>
      <c r="B2585" s="1008">
        <v>5404</v>
      </c>
      <c r="C2585" s="1008">
        <v>7</v>
      </c>
      <c r="D2585" s="1009">
        <v>53019999</v>
      </c>
      <c r="E2585" s="1009">
        <v>53013000</v>
      </c>
      <c r="F2585" s="1007" t="s">
        <v>2072</v>
      </c>
      <c r="G2585" s="1007">
        <v>7</v>
      </c>
      <c r="H2585" s="1010">
        <v>99999999</v>
      </c>
      <c r="I2585" s="1009">
        <v>53013000</v>
      </c>
      <c r="J2585" s="1007" t="s">
        <v>2072</v>
      </c>
      <c r="O2585" s="1007" t="s">
        <v>648</v>
      </c>
      <c r="P2585" s="1007" t="s">
        <v>648</v>
      </c>
      <c r="S2585" s="1008" t="s">
        <v>650</v>
      </c>
      <c r="T2585" s="1008" t="s">
        <v>654</v>
      </c>
      <c r="U2585" s="1008" t="s">
        <v>653</v>
      </c>
      <c r="V2585" s="1008" t="s">
        <v>648</v>
      </c>
      <c r="W2585" s="1008" t="s">
        <v>546</v>
      </c>
      <c r="X2585" s="1008" t="s">
        <v>670</v>
      </c>
      <c r="Y2585" s="1008" t="s">
        <v>670</v>
      </c>
      <c r="Z2585" s="1008"/>
      <c r="AA2585" s="1008"/>
      <c r="AB2585" s="1008"/>
      <c r="AC2585" s="1008" t="s">
        <v>670</v>
      </c>
      <c r="AD2585" s="1008" t="s">
        <v>670</v>
      </c>
      <c r="AE2585" s="1008"/>
      <c r="AF2585" s="1008" t="s">
        <v>670</v>
      </c>
      <c r="AG2585" s="1008"/>
      <c r="AH2585" s="1008"/>
      <c r="AI2585" s="1008"/>
    </row>
    <row r="2586" spans="1:35">
      <c r="A2586" s="1008">
        <v>25048</v>
      </c>
      <c r="C2586" s="1008">
        <v>6</v>
      </c>
      <c r="D2586" s="1009">
        <v>53029999</v>
      </c>
      <c r="E2586" s="1009">
        <v>53019999</v>
      </c>
      <c r="F2586" s="1007" t="s">
        <v>2071</v>
      </c>
      <c r="O2586" s="1007" t="s">
        <v>648</v>
      </c>
      <c r="P2586" s="1007" t="s">
        <v>648</v>
      </c>
      <c r="S2586" s="1008" t="s">
        <v>650</v>
      </c>
      <c r="T2586" s="1008" t="s">
        <v>21</v>
      </c>
      <c r="U2586" s="1008" t="s">
        <v>653</v>
      </c>
      <c r="V2586" s="1008" t="s">
        <v>648</v>
      </c>
      <c r="W2586" s="1008" t="s">
        <v>546</v>
      </c>
      <c r="X2586" s="1008"/>
      <c r="Y2586" s="1008"/>
      <c r="Z2586" s="1008"/>
      <c r="AA2586" s="1008"/>
      <c r="AB2586" s="1008"/>
      <c r="AC2586" s="1008"/>
      <c r="AD2586" s="1008"/>
      <c r="AE2586" s="1008"/>
      <c r="AF2586" s="1008"/>
      <c r="AG2586" s="1008"/>
      <c r="AH2586" s="1008"/>
      <c r="AI2586" s="1008"/>
    </row>
    <row r="2587" spans="1:35">
      <c r="A2587" s="1008">
        <v>25059</v>
      </c>
      <c r="C2587" s="1008">
        <v>5</v>
      </c>
      <c r="D2587" s="1009">
        <v>59599999</v>
      </c>
      <c r="E2587" s="1009">
        <v>53029999</v>
      </c>
      <c r="F2587" s="1007" t="s">
        <v>2070</v>
      </c>
      <c r="O2587" s="1007" t="s">
        <v>648</v>
      </c>
      <c r="P2587" s="1007" t="s">
        <v>648</v>
      </c>
      <c r="S2587" s="1008" t="s">
        <v>650</v>
      </c>
      <c r="T2587" s="1008" t="s">
        <v>21</v>
      </c>
      <c r="U2587" s="1008" t="s">
        <v>653</v>
      </c>
      <c r="V2587" s="1008" t="s">
        <v>648</v>
      </c>
      <c r="W2587" s="1008" t="s">
        <v>546</v>
      </c>
      <c r="X2587" s="1008"/>
      <c r="Y2587" s="1008"/>
      <c r="Z2587" s="1008"/>
      <c r="AA2587" s="1008"/>
      <c r="AB2587" s="1008"/>
      <c r="AC2587" s="1008"/>
      <c r="AD2587" s="1008"/>
      <c r="AE2587" s="1008"/>
      <c r="AF2587" s="1008"/>
      <c r="AG2587" s="1008"/>
      <c r="AH2587" s="1008"/>
      <c r="AI2587" s="1008"/>
    </row>
    <row r="2588" spans="1:35">
      <c r="A2588" s="1008">
        <v>25060</v>
      </c>
      <c r="C2588" s="1008">
        <v>5</v>
      </c>
      <c r="D2588" s="1009">
        <v>53099999</v>
      </c>
      <c r="E2588" s="1009">
        <v>53030000</v>
      </c>
      <c r="F2588" s="1007" t="s">
        <v>2069</v>
      </c>
      <c r="O2588" s="1007" t="s">
        <v>648</v>
      </c>
      <c r="P2588" s="1007" t="s">
        <v>648</v>
      </c>
      <c r="S2588" s="1008" t="s">
        <v>650</v>
      </c>
      <c r="T2588" s="1008" t="s">
        <v>675</v>
      </c>
      <c r="U2588" s="1008" t="s">
        <v>653</v>
      </c>
      <c r="V2588" s="1008" t="s">
        <v>648</v>
      </c>
      <c r="W2588" s="1008" t="s">
        <v>546</v>
      </c>
      <c r="X2588" s="1008"/>
      <c r="Y2588" s="1008"/>
      <c r="Z2588" s="1008"/>
      <c r="AA2588" s="1008"/>
      <c r="AB2588" s="1008"/>
      <c r="AC2588" s="1008"/>
      <c r="AD2588" s="1008"/>
      <c r="AE2588" s="1008"/>
      <c r="AF2588" s="1008"/>
      <c r="AG2588" s="1008"/>
      <c r="AH2588" s="1008"/>
      <c r="AI2588" s="1008"/>
    </row>
    <row r="2589" spans="1:35">
      <c r="A2589" s="1008">
        <v>25061</v>
      </c>
      <c r="C2589" s="1008">
        <v>6</v>
      </c>
      <c r="D2589" s="1009">
        <v>53039999</v>
      </c>
      <c r="E2589" s="1009">
        <v>53030001</v>
      </c>
      <c r="F2589" s="1007" t="s">
        <v>1349</v>
      </c>
      <c r="O2589" s="1007" t="s">
        <v>648</v>
      </c>
      <c r="P2589" s="1007" t="s">
        <v>648</v>
      </c>
      <c r="S2589" s="1008" t="s">
        <v>650</v>
      </c>
      <c r="T2589" s="1008" t="s">
        <v>675</v>
      </c>
      <c r="U2589" s="1008" t="s">
        <v>653</v>
      </c>
      <c r="V2589" s="1008" t="s">
        <v>648</v>
      </c>
      <c r="W2589" s="1008" t="s">
        <v>546</v>
      </c>
      <c r="X2589" s="1008"/>
      <c r="Y2589" s="1008"/>
      <c r="Z2589" s="1008"/>
      <c r="AA2589" s="1008"/>
      <c r="AB2589" s="1008"/>
      <c r="AC2589" s="1008"/>
      <c r="AD2589" s="1008"/>
      <c r="AE2589" s="1008"/>
      <c r="AF2589" s="1008"/>
      <c r="AG2589" s="1008"/>
      <c r="AH2589" s="1008"/>
      <c r="AI2589" s="1008"/>
    </row>
    <row r="2590" spans="1:35">
      <c r="A2590" s="1008">
        <v>25062</v>
      </c>
      <c r="B2590" s="1008">
        <v>597</v>
      </c>
      <c r="C2590" s="1008">
        <v>7</v>
      </c>
      <c r="D2590" s="1009">
        <v>53039999</v>
      </c>
      <c r="E2590" s="1009">
        <v>53031000</v>
      </c>
      <c r="F2590" s="1007" t="s">
        <v>1349</v>
      </c>
      <c r="G2590" s="1007">
        <v>8</v>
      </c>
      <c r="H2590" s="1010">
        <v>99999999</v>
      </c>
      <c r="I2590" s="1009">
        <v>53031000</v>
      </c>
      <c r="J2590" s="1007" t="s">
        <v>1349</v>
      </c>
      <c r="O2590" s="1007" t="s">
        <v>648</v>
      </c>
      <c r="P2590" s="1007" t="s">
        <v>648</v>
      </c>
      <c r="S2590" s="1008" t="s">
        <v>650</v>
      </c>
      <c r="T2590" s="1008" t="s">
        <v>654</v>
      </c>
      <c r="U2590" s="1008" t="s">
        <v>653</v>
      </c>
      <c r="V2590" s="1008" t="s">
        <v>648</v>
      </c>
      <c r="W2590" s="1008" t="s">
        <v>546</v>
      </c>
      <c r="X2590" s="1008" t="s">
        <v>670</v>
      </c>
      <c r="Y2590" s="1008" t="s">
        <v>670</v>
      </c>
      <c r="Z2590" s="1008"/>
      <c r="AA2590" s="1008"/>
      <c r="AB2590" s="1008"/>
      <c r="AC2590" s="1008" t="s">
        <v>670</v>
      </c>
      <c r="AD2590" s="1008" t="s">
        <v>670</v>
      </c>
      <c r="AE2590" s="1008" t="s">
        <v>670</v>
      </c>
      <c r="AF2590" s="1008" t="s">
        <v>670</v>
      </c>
      <c r="AG2590" s="1008"/>
      <c r="AH2590" s="1008"/>
      <c r="AI2590" s="1008"/>
    </row>
    <row r="2591" spans="1:35">
      <c r="A2591" s="1008">
        <v>25063</v>
      </c>
      <c r="B2591" s="1008">
        <v>2187</v>
      </c>
      <c r="C2591" s="1008">
        <v>7</v>
      </c>
      <c r="D2591" s="1009">
        <v>53039999</v>
      </c>
      <c r="E2591" s="1009">
        <v>53032000</v>
      </c>
      <c r="F2591" s="1007" t="s">
        <v>2068</v>
      </c>
      <c r="G2591" s="1007">
        <v>7</v>
      </c>
      <c r="H2591" s="1010">
        <v>99999999</v>
      </c>
      <c r="I2591" s="1009">
        <v>53032000</v>
      </c>
      <c r="J2591" s="1007" t="s">
        <v>2068</v>
      </c>
      <c r="O2591" s="1007" t="s">
        <v>648</v>
      </c>
      <c r="P2591" s="1007" t="s">
        <v>648</v>
      </c>
      <c r="S2591" s="1008" t="s">
        <v>650</v>
      </c>
      <c r="T2591" s="1008" t="s">
        <v>654</v>
      </c>
      <c r="U2591" s="1008" t="s">
        <v>653</v>
      </c>
      <c r="V2591" s="1008" t="s">
        <v>648</v>
      </c>
      <c r="W2591" s="1008" t="s">
        <v>546</v>
      </c>
      <c r="X2591" s="1008" t="s">
        <v>670</v>
      </c>
      <c r="Y2591" s="1008"/>
      <c r="Z2591" s="1008"/>
      <c r="AA2591" s="1008"/>
      <c r="AB2591" s="1008"/>
      <c r="AC2591" s="1008" t="s">
        <v>670</v>
      </c>
      <c r="AD2591" s="1008" t="s">
        <v>670</v>
      </c>
      <c r="AE2591" s="1008"/>
      <c r="AF2591" s="1008"/>
      <c r="AG2591" s="1008"/>
      <c r="AH2591" s="1008"/>
      <c r="AI2591" s="1008"/>
    </row>
    <row r="2592" spans="1:35">
      <c r="A2592" s="1008">
        <v>25064</v>
      </c>
      <c r="B2592" s="1008">
        <v>2188</v>
      </c>
      <c r="C2592" s="1008">
        <v>7</v>
      </c>
      <c r="D2592" s="1009">
        <v>53039999</v>
      </c>
      <c r="E2592" s="1009">
        <v>53033000</v>
      </c>
      <c r="F2592" s="1007" t="s">
        <v>2067</v>
      </c>
      <c r="G2592" s="1007">
        <v>7</v>
      </c>
      <c r="H2592" s="1010">
        <v>99999999</v>
      </c>
      <c r="I2592" s="1009">
        <v>53033000</v>
      </c>
      <c r="J2592" s="1007" t="s">
        <v>2067</v>
      </c>
      <c r="O2592" s="1007" t="s">
        <v>648</v>
      </c>
      <c r="P2592" s="1007" t="s">
        <v>648</v>
      </c>
      <c r="S2592" s="1008" t="s">
        <v>650</v>
      </c>
      <c r="T2592" s="1008" t="s">
        <v>654</v>
      </c>
      <c r="U2592" s="1008" t="s">
        <v>653</v>
      </c>
      <c r="V2592" s="1008" t="s">
        <v>648</v>
      </c>
      <c r="W2592" s="1008" t="s">
        <v>546</v>
      </c>
      <c r="X2592" s="1008" t="s">
        <v>670</v>
      </c>
      <c r="Y2592" s="1008"/>
      <c r="Z2592" s="1008"/>
      <c r="AA2592" s="1008"/>
      <c r="AB2592" s="1008"/>
      <c r="AC2592" s="1008" t="s">
        <v>670</v>
      </c>
      <c r="AD2592" s="1008" t="s">
        <v>670</v>
      </c>
      <c r="AE2592" s="1008"/>
      <c r="AF2592" s="1008"/>
      <c r="AG2592" s="1008"/>
      <c r="AH2592" s="1008"/>
      <c r="AI2592" s="1008"/>
    </row>
    <row r="2593" spans="1:35">
      <c r="A2593" s="1008">
        <v>25065</v>
      </c>
      <c r="B2593" s="1008">
        <v>2189</v>
      </c>
      <c r="C2593" s="1008">
        <v>7</v>
      </c>
      <c r="D2593" s="1009">
        <v>53039999</v>
      </c>
      <c r="E2593" s="1009">
        <v>53034000</v>
      </c>
      <c r="F2593" s="1007" t="s">
        <v>2065</v>
      </c>
      <c r="G2593" s="1007">
        <v>7</v>
      </c>
      <c r="H2593" s="1010">
        <v>99999999</v>
      </c>
      <c r="I2593" s="1009">
        <v>53034000</v>
      </c>
      <c r="J2593" s="1007" t="s">
        <v>2065</v>
      </c>
      <c r="O2593" s="1007" t="s">
        <v>648</v>
      </c>
      <c r="P2593" s="1007" t="s">
        <v>648</v>
      </c>
      <c r="S2593" s="1008" t="s">
        <v>650</v>
      </c>
      <c r="T2593" s="1008" t="s">
        <v>654</v>
      </c>
      <c r="U2593" s="1008" t="s">
        <v>653</v>
      </c>
      <c r="V2593" s="1008" t="s">
        <v>648</v>
      </c>
      <c r="W2593" s="1008" t="s">
        <v>546</v>
      </c>
      <c r="X2593" s="1008" t="s">
        <v>670</v>
      </c>
      <c r="Y2593" s="1008"/>
      <c r="Z2593" s="1008"/>
      <c r="AA2593" s="1008"/>
      <c r="AB2593" s="1008"/>
      <c r="AC2593" s="1008" t="s">
        <v>670</v>
      </c>
      <c r="AD2593" s="1008" t="s">
        <v>670</v>
      </c>
      <c r="AE2593" s="1008"/>
      <c r="AF2593" s="1008"/>
      <c r="AG2593" s="1008"/>
      <c r="AH2593" s="1008"/>
      <c r="AI2593" s="1008"/>
    </row>
    <row r="2594" spans="1:35">
      <c r="A2594" s="1008">
        <v>26314</v>
      </c>
      <c r="B2594" s="1008">
        <v>2190</v>
      </c>
      <c r="C2594" s="1008">
        <v>7</v>
      </c>
      <c r="D2594" s="1009">
        <v>53039999</v>
      </c>
      <c r="E2594" s="1009">
        <v>53035000</v>
      </c>
      <c r="F2594" s="1007" t="s">
        <v>2066</v>
      </c>
      <c r="G2594" s="1007">
        <v>7</v>
      </c>
      <c r="H2594" s="1010">
        <v>99999999</v>
      </c>
      <c r="I2594" s="1009">
        <v>53035000</v>
      </c>
      <c r="J2594" s="1007" t="s">
        <v>2066</v>
      </c>
      <c r="O2594" s="1007" t="s">
        <v>648</v>
      </c>
      <c r="P2594" s="1007" t="s">
        <v>648</v>
      </c>
      <c r="S2594" s="1008" t="s">
        <v>650</v>
      </c>
      <c r="T2594" s="1008" t="s">
        <v>654</v>
      </c>
      <c r="U2594" s="1008" t="s">
        <v>653</v>
      </c>
      <c r="V2594" s="1008" t="s">
        <v>648</v>
      </c>
      <c r="W2594" s="1008" t="s">
        <v>546</v>
      </c>
      <c r="X2594" s="1008" t="s">
        <v>670</v>
      </c>
      <c r="Y2594" s="1008"/>
      <c r="Z2594" s="1008"/>
      <c r="AA2594" s="1008"/>
      <c r="AB2594" s="1008"/>
      <c r="AC2594" s="1008" t="s">
        <v>670</v>
      </c>
      <c r="AD2594" s="1008" t="s">
        <v>670</v>
      </c>
      <c r="AE2594" s="1008"/>
      <c r="AF2594" s="1008"/>
      <c r="AG2594" s="1008"/>
      <c r="AH2594" s="1008"/>
      <c r="AI2594" s="1008"/>
    </row>
    <row r="2595" spans="1:35">
      <c r="A2595" s="1008">
        <v>26313</v>
      </c>
      <c r="B2595" s="1008">
        <v>5408</v>
      </c>
      <c r="C2595" s="1008">
        <v>7</v>
      </c>
      <c r="D2595" s="1009">
        <v>53039999</v>
      </c>
      <c r="E2595" s="1009">
        <v>53037000</v>
      </c>
      <c r="F2595" s="1007" t="s">
        <v>2065</v>
      </c>
      <c r="G2595" s="1007">
        <v>7</v>
      </c>
      <c r="H2595" s="1010">
        <v>99999999</v>
      </c>
      <c r="I2595" s="1009">
        <v>53037000</v>
      </c>
      <c r="J2595" s="1007" t="s">
        <v>2065</v>
      </c>
      <c r="O2595" s="1007" t="s">
        <v>648</v>
      </c>
      <c r="P2595" s="1007" t="s">
        <v>648</v>
      </c>
      <c r="S2595" s="1008" t="s">
        <v>650</v>
      </c>
      <c r="T2595" s="1008" t="s">
        <v>654</v>
      </c>
      <c r="U2595" s="1008" t="s">
        <v>653</v>
      </c>
      <c r="V2595" s="1008" t="s">
        <v>648</v>
      </c>
      <c r="W2595" s="1008" t="s">
        <v>546</v>
      </c>
      <c r="X2595" s="1008" t="s">
        <v>670</v>
      </c>
      <c r="Y2595" s="1008"/>
      <c r="Z2595" s="1008"/>
      <c r="AA2595" s="1008"/>
      <c r="AB2595" s="1008"/>
      <c r="AC2595" s="1008" t="s">
        <v>670</v>
      </c>
      <c r="AD2595" s="1008" t="s">
        <v>670</v>
      </c>
      <c r="AE2595" s="1008"/>
      <c r="AF2595" s="1008"/>
      <c r="AG2595" s="1008"/>
      <c r="AH2595" s="1008"/>
      <c r="AI2595" s="1008"/>
    </row>
    <row r="2596" spans="1:35">
      <c r="A2596" s="1008">
        <v>25066</v>
      </c>
      <c r="C2596" s="1008">
        <v>6</v>
      </c>
      <c r="D2596" s="1009">
        <v>53099999</v>
      </c>
      <c r="E2596" s="1009">
        <v>53039999</v>
      </c>
      <c r="F2596" s="1007" t="s">
        <v>1339</v>
      </c>
      <c r="O2596" s="1007" t="s">
        <v>648</v>
      </c>
      <c r="P2596" s="1007" t="s">
        <v>648</v>
      </c>
      <c r="S2596" s="1008" t="s">
        <v>650</v>
      </c>
      <c r="T2596" s="1008" t="s">
        <v>21</v>
      </c>
      <c r="U2596" s="1008" t="s">
        <v>653</v>
      </c>
      <c r="V2596" s="1008" t="s">
        <v>648</v>
      </c>
      <c r="W2596" s="1008" t="s">
        <v>546</v>
      </c>
      <c r="X2596" s="1008"/>
      <c r="Y2596" s="1008"/>
      <c r="Z2596" s="1008"/>
      <c r="AA2596" s="1008"/>
      <c r="AB2596" s="1008"/>
      <c r="AC2596" s="1008"/>
      <c r="AD2596" s="1008"/>
      <c r="AE2596" s="1008"/>
      <c r="AF2596" s="1008"/>
      <c r="AG2596" s="1008"/>
      <c r="AH2596" s="1008"/>
      <c r="AI2596" s="1008"/>
    </row>
    <row r="2597" spans="1:35">
      <c r="A2597" s="1008">
        <v>26312</v>
      </c>
      <c r="C2597" s="1008">
        <v>6</v>
      </c>
      <c r="D2597" s="1009">
        <v>53049999</v>
      </c>
      <c r="E2597" s="1009">
        <v>53040001</v>
      </c>
      <c r="F2597" s="1007" t="s">
        <v>2064</v>
      </c>
      <c r="O2597" s="1007" t="s">
        <v>648</v>
      </c>
      <c r="P2597" s="1007" t="s">
        <v>648</v>
      </c>
      <c r="S2597" s="1008" t="s">
        <v>650</v>
      </c>
      <c r="T2597" s="1008" t="s">
        <v>675</v>
      </c>
      <c r="U2597" s="1008" t="s">
        <v>653</v>
      </c>
      <c r="V2597" s="1008" t="s">
        <v>648</v>
      </c>
      <c r="W2597" s="1008" t="s">
        <v>546</v>
      </c>
      <c r="X2597" s="1008"/>
      <c r="Y2597" s="1008"/>
      <c r="Z2597" s="1008"/>
      <c r="AA2597" s="1008"/>
      <c r="AB2597" s="1008"/>
      <c r="AC2597" s="1008"/>
      <c r="AD2597" s="1008"/>
      <c r="AE2597" s="1008"/>
      <c r="AF2597" s="1008"/>
      <c r="AG2597" s="1008"/>
      <c r="AH2597" s="1008"/>
      <c r="AI2597" s="1008"/>
    </row>
    <row r="2598" spans="1:35">
      <c r="A2598" s="1008">
        <v>26311</v>
      </c>
      <c r="B2598" s="1008">
        <v>5410</v>
      </c>
      <c r="C2598" s="1008">
        <v>7</v>
      </c>
      <c r="D2598" s="1009">
        <v>53049999</v>
      </c>
      <c r="E2598" s="1009">
        <v>53041000</v>
      </c>
      <c r="F2598" s="1007" t="s">
        <v>2063</v>
      </c>
      <c r="G2598" s="1007">
        <v>7</v>
      </c>
      <c r="H2598" s="1010">
        <v>99999999</v>
      </c>
      <c r="I2598" s="1009">
        <v>53041000</v>
      </c>
      <c r="J2598" s="1007" t="s">
        <v>2063</v>
      </c>
      <c r="O2598" s="1007" t="s">
        <v>648</v>
      </c>
      <c r="P2598" s="1007" t="s">
        <v>648</v>
      </c>
      <c r="S2598" s="1008" t="s">
        <v>650</v>
      </c>
      <c r="T2598" s="1008" t="s">
        <v>654</v>
      </c>
      <c r="U2598" s="1008" t="s">
        <v>653</v>
      </c>
      <c r="V2598" s="1008" t="s">
        <v>648</v>
      </c>
      <c r="W2598" s="1008" t="s">
        <v>546</v>
      </c>
      <c r="X2598" s="1008" t="s">
        <v>670</v>
      </c>
      <c r="Y2598" s="1008"/>
      <c r="Z2598" s="1008"/>
      <c r="AA2598" s="1008"/>
      <c r="AB2598" s="1008"/>
      <c r="AC2598" s="1008" t="s">
        <v>670</v>
      </c>
      <c r="AD2598" s="1008" t="s">
        <v>670</v>
      </c>
      <c r="AE2598" s="1008"/>
      <c r="AF2598" s="1008"/>
      <c r="AG2598" s="1008"/>
      <c r="AH2598" s="1008"/>
      <c r="AI2598" s="1008"/>
    </row>
    <row r="2599" spans="1:35">
      <c r="A2599" s="1008">
        <v>26310</v>
      </c>
      <c r="C2599" s="1008">
        <v>6</v>
      </c>
      <c r="D2599" s="1009">
        <v>53099999</v>
      </c>
      <c r="E2599" s="1009">
        <v>53049999</v>
      </c>
      <c r="F2599" s="1007" t="s">
        <v>2062</v>
      </c>
      <c r="O2599" s="1007" t="s">
        <v>648</v>
      </c>
      <c r="P2599" s="1007" t="s">
        <v>648</v>
      </c>
      <c r="S2599" s="1008" t="s">
        <v>650</v>
      </c>
      <c r="T2599" s="1008" t="s">
        <v>21</v>
      </c>
      <c r="U2599" s="1008" t="s">
        <v>653</v>
      </c>
      <c r="V2599" s="1008" t="s">
        <v>648</v>
      </c>
      <c r="W2599" s="1008" t="s">
        <v>546</v>
      </c>
      <c r="X2599" s="1008"/>
      <c r="Y2599" s="1008"/>
      <c r="Z2599" s="1008"/>
      <c r="AA2599" s="1008"/>
      <c r="AB2599" s="1008"/>
      <c r="AC2599" s="1008"/>
      <c r="AD2599" s="1008"/>
      <c r="AE2599" s="1008"/>
      <c r="AF2599" s="1008"/>
      <c r="AG2599" s="1008"/>
      <c r="AH2599" s="1008"/>
      <c r="AI2599" s="1008"/>
    </row>
    <row r="2600" spans="1:35">
      <c r="A2600" s="1008">
        <v>25067</v>
      </c>
      <c r="C2600" s="1008">
        <v>5</v>
      </c>
      <c r="D2600" s="1009">
        <v>59599999</v>
      </c>
      <c r="E2600" s="1009">
        <v>53099999</v>
      </c>
      <c r="F2600" s="1007" t="s">
        <v>2061</v>
      </c>
      <c r="O2600" s="1007" t="s">
        <v>648</v>
      </c>
      <c r="P2600" s="1007" t="s">
        <v>648</v>
      </c>
      <c r="S2600" s="1008" t="s">
        <v>650</v>
      </c>
      <c r="T2600" s="1008" t="s">
        <v>21</v>
      </c>
      <c r="U2600" s="1008" t="s">
        <v>653</v>
      </c>
      <c r="V2600" s="1008" t="s">
        <v>648</v>
      </c>
      <c r="W2600" s="1008" t="s">
        <v>546</v>
      </c>
      <c r="X2600" s="1008"/>
      <c r="Y2600" s="1008"/>
      <c r="Z2600" s="1008"/>
      <c r="AA2600" s="1008"/>
      <c r="AB2600" s="1008"/>
      <c r="AC2600" s="1008"/>
      <c r="AD2600" s="1008"/>
      <c r="AE2600" s="1008"/>
      <c r="AF2600" s="1008"/>
      <c r="AG2600" s="1008"/>
      <c r="AH2600" s="1008"/>
      <c r="AI2600" s="1008"/>
    </row>
    <row r="2601" spans="1:35">
      <c r="A2601" s="1008">
        <v>25068</v>
      </c>
      <c r="C2601" s="1008">
        <v>5</v>
      </c>
      <c r="D2601" s="1009">
        <v>54099999</v>
      </c>
      <c r="E2601" s="1009">
        <v>54000000</v>
      </c>
      <c r="F2601" s="1007" t="s">
        <v>2060</v>
      </c>
      <c r="O2601" s="1007" t="s">
        <v>648</v>
      </c>
      <c r="P2601" s="1007" t="s">
        <v>648</v>
      </c>
      <c r="S2601" s="1008" t="s">
        <v>650</v>
      </c>
      <c r="T2601" s="1008" t="s">
        <v>675</v>
      </c>
      <c r="U2601" s="1008" t="s">
        <v>653</v>
      </c>
      <c r="V2601" s="1008" t="s">
        <v>648</v>
      </c>
      <c r="W2601" s="1008" t="s">
        <v>546</v>
      </c>
      <c r="X2601" s="1008"/>
      <c r="Y2601" s="1008"/>
      <c r="Z2601" s="1008"/>
      <c r="AA2601" s="1008"/>
      <c r="AB2601" s="1008"/>
      <c r="AC2601" s="1008"/>
      <c r="AD2601" s="1008"/>
      <c r="AE2601" s="1008"/>
      <c r="AF2601" s="1008"/>
      <c r="AG2601" s="1008"/>
      <c r="AH2601" s="1008"/>
      <c r="AI2601" s="1008"/>
    </row>
    <row r="2602" spans="1:35">
      <c r="A2602" s="1008">
        <v>25069</v>
      </c>
      <c r="C2602" s="1008">
        <v>6</v>
      </c>
      <c r="D2602" s="1009">
        <v>54019999</v>
      </c>
      <c r="E2602" s="1009">
        <v>54010000</v>
      </c>
      <c r="F2602" s="1007" t="s">
        <v>2059</v>
      </c>
      <c r="O2602" s="1007" t="s">
        <v>648</v>
      </c>
      <c r="P2602" s="1007" t="s">
        <v>648</v>
      </c>
      <c r="S2602" s="1008" t="s">
        <v>650</v>
      </c>
      <c r="T2602" s="1008" t="s">
        <v>675</v>
      </c>
      <c r="U2602" s="1008" t="s">
        <v>653</v>
      </c>
      <c r="V2602" s="1008" t="s">
        <v>648</v>
      </c>
      <c r="W2602" s="1008" t="s">
        <v>546</v>
      </c>
      <c r="X2602" s="1008"/>
      <c r="Y2602" s="1008"/>
      <c r="Z2602" s="1008"/>
      <c r="AA2602" s="1008"/>
      <c r="AB2602" s="1008"/>
      <c r="AC2602" s="1008"/>
      <c r="AD2602" s="1008"/>
      <c r="AE2602" s="1008"/>
      <c r="AF2602" s="1008"/>
      <c r="AG2602" s="1008"/>
      <c r="AH2602" s="1008"/>
      <c r="AI2602" s="1008"/>
    </row>
    <row r="2603" spans="1:35">
      <c r="A2603" s="1008">
        <v>25070</v>
      </c>
      <c r="B2603" s="1008">
        <v>5414</v>
      </c>
      <c r="C2603" s="1008">
        <v>7</v>
      </c>
      <c r="D2603" s="1009">
        <v>54019999</v>
      </c>
      <c r="E2603" s="1009">
        <v>54011000</v>
      </c>
      <c r="F2603" s="1007" t="s">
        <v>2058</v>
      </c>
      <c r="G2603" s="1007">
        <v>7</v>
      </c>
      <c r="H2603" s="1010">
        <v>99999999</v>
      </c>
      <c r="I2603" s="1009">
        <v>54011000</v>
      </c>
      <c r="J2603" s="1007" t="s">
        <v>2058</v>
      </c>
      <c r="O2603" s="1007" t="s">
        <v>648</v>
      </c>
      <c r="P2603" s="1007" t="s">
        <v>648</v>
      </c>
      <c r="S2603" s="1008" t="s">
        <v>650</v>
      </c>
      <c r="T2603" s="1008" t="s">
        <v>654</v>
      </c>
      <c r="U2603" s="1008" t="s">
        <v>653</v>
      </c>
      <c r="V2603" s="1008" t="s">
        <v>648</v>
      </c>
      <c r="W2603" s="1008" t="s">
        <v>546</v>
      </c>
      <c r="X2603" s="1008" t="s">
        <v>670</v>
      </c>
      <c r="Y2603" s="1008"/>
      <c r="Z2603" s="1008"/>
      <c r="AA2603" s="1008"/>
      <c r="AB2603" s="1008"/>
      <c r="AC2603" s="1008" t="s">
        <v>670</v>
      </c>
      <c r="AD2603" s="1008" t="s">
        <v>670</v>
      </c>
      <c r="AE2603" s="1008"/>
      <c r="AF2603" s="1008"/>
      <c r="AG2603" s="1008"/>
      <c r="AH2603" s="1008"/>
      <c r="AI2603" s="1008"/>
    </row>
    <row r="2604" spans="1:35">
      <c r="A2604" s="1008">
        <v>25071</v>
      </c>
      <c r="C2604" s="1008">
        <v>6</v>
      </c>
      <c r="D2604" s="1009">
        <v>54099999</v>
      </c>
      <c r="E2604" s="1009">
        <v>54019999</v>
      </c>
      <c r="F2604" s="1007" t="s">
        <v>2057</v>
      </c>
      <c r="O2604" s="1007" t="s">
        <v>648</v>
      </c>
      <c r="P2604" s="1007" t="s">
        <v>648</v>
      </c>
      <c r="S2604" s="1008" t="s">
        <v>650</v>
      </c>
      <c r="T2604" s="1008" t="s">
        <v>21</v>
      </c>
      <c r="U2604" s="1008" t="s">
        <v>653</v>
      </c>
      <c r="V2604" s="1008" t="s">
        <v>648</v>
      </c>
      <c r="W2604" s="1008" t="s">
        <v>546</v>
      </c>
      <c r="X2604" s="1008"/>
      <c r="Y2604" s="1008"/>
      <c r="Z2604" s="1008"/>
      <c r="AA2604" s="1008"/>
      <c r="AB2604" s="1008"/>
      <c r="AC2604" s="1008"/>
      <c r="AD2604" s="1008"/>
      <c r="AE2604" s="1008"/>
      <c r="AF2604" s="1008"/>
      <c r="AG2604" s="1008"/>
      <c r="AH2604" s="1008"/>
      <c r="AI2604" s="1008"/>
    </row>
    <row r="2605" spans="1:35">
      <c r="A2605" s="1008">
        <v>25072</v>
      </c>
      <c r="C2605" s="1008">
        <v>6</v>
      </c>
      <c r="D2605" s="1009">
        <v>54029999</v>
      </c>
      <c r="E2605" s="1009">
        <v>54020000</v>
      </c>
      <c r="F2605" s="1007" t="s">
        <v>2056</v>
      </c>
      <c r="O2605" s="1007" t="s">
        <v>648</v>
      </c>
      <c r="P2605" s="1007" t="s">
        <v>648</v>
      </c>
      <c r="S2605" s="1008" t="s">
        <v>650</v>
      </c>
      <c r="T2605" s="1008" t="s">
        <v>675</v>
      </c>
      <c r="U2605" s="1008" t="s">
        <v>653</v>
      </c>
      <c r="V2605" s="1008" t="s">
        <v>648</v>
      </c>
      <c r="W2605" s="1008" t="s">
        <v>546</v>
      </c>
      <c r="X2605" s="1008"/>
      <c r="Y2605" s="1008"/>
      <c r="Z2605" s="1008"/>
      <c r="AA2605" s="1008"/>
      <c r="AB2605" s="1008"/>
      <c r="AC2605" s="1008"/>
      <c r="AD2605" s="1008"/>
      <c r="AE2605" s="1008"/>
      <c r="AF2605" s="1008"/>
      <c r="AG2605" s="1008"/>
      <c r="AH2605" s="1008"/>
      <c r="AI2605" s="1008"/>
    </row>
    <row r="2606" spans="1:35">
      <c r="A2606" s="1008">
        <v>25073</v>
      </c>
      <c r="B2606" s="1008">
        <v>2194</v>
      </c>
      <c r="C2606" s="1008">
        <v>7</v>
      </c>
      <c r="D2606" s="1009">
        <v>54029999</v>
      </c>
      <c r="E2606" s="1009">
        <v>54021000</v>
      </c>
      <c r="F2606" s="1007" t="s">
        <v>2055</v>
      </c>
      <c r="G2606" s="1007">
        <v>7</v>
      </c>
      <c r="H2606" s="1010">
        <v>99999999</v>
      </c>
      <c r="I2606" s="1009">
        <v>54021000</v>
      </c>
      <c r="J2606" s="1007" t="s">
        <v>2055</v>
      </c>
      <c r="O2606" s="1007" t="s">
        <v>648</v>
      </c>
      <c r="P2606" s="1007" t="s">
        <v>648</v>
      </c>
      <c r="S2606" s="1008" t="s">
        <v>650</v>
      </c>
      <c r="T2606" s="1008" t="s">
        <v>654</v>
      </c>
      <c r="U2606" s="1008" t="s">
        <v>653</v>
      </c>
      <c r="V2606" s="1008" t="s">
        <v>648</v>
      </c>
      <c r="W2606" s="1008" t="s">
        <v>546</v>
      </c>
      <c r="X2606" s="1008" t="s">
        <v>670</v>
      </c>
      <c r="Y2606" s="1008"/>
      <c r="Z2606" s="1008"/>
      <c r="AA2606" s="1008"/>
      <c r="AB2606" s="1008"/>
      <c r="AC2606" s="1008" t="s">
        <v>670</v>
      </c>
      <c r="AD2606" s="1008" t="s">
        <v>670</v>
      </c>
      <c r="AE2606" s="1008"/>
      <c r="AF2606" s="1008"/>
      <c r="AG2606" s="1008"/>
      <c r="AH2606" s="1008"/>
      <c r="AI2606" s="1008"/>
    </row>
    <row r="2607" spans="1:35">
      <c r="A2607" s="1008">
        <v>25074</v>
      </c>
      <c r="B2607" s="1008">
        <v>2195</v>
      </c>
      <c r="C2607" s="1008">
        <v>7</v>
      </c>
      <c r="D2607" s="1009">
        <v>54029999</v>
      </c>
      <c r="E2607" s="1009">
        <v>54022000</v>
      </c>
      <c r="F2607" s="1007" t="s">
        <v>221</v>
      </c>
      <c r="G2607" s="1007">
        <v>7</v>
      </c>
      <c r="H2607" s="1010">
        <v>99999999</v>
      </c>
      <c r="I2607" s="1009">
        <v>54022000</v>
      </c>
      <c r="J2607" s="1007" t="s">
        <v>221</v>
      </c>
      <c r="O2607" s="1007" t="s">
        <v>648</v>
      </c>
      <c r="P2607" s="1007" t="s">
        <v>648</v>
      </c>
      <c r="S2607" s="1008" t="s">
        <v>650</v>
      </c>
      <c r="T2607" s="1008" t="s">
        <v>654</v>
      </c>
      <c r="U2607" s="1008" t="s">
        <v>653</v>
      </c>
      <c r="V2607" s="1008" t="s">
        <v>648</v>
      </c>
      <c r="W2607" s="1008" t="s">
        <v>546</v>
      </c>
      <c r="X2607" s="1008" t="s">
        <v>670</v>
      </c>
      <c r="Y2607" s="1008" t="s">
        <v>670</v>
      </c>
      <c r="Z2607" s="1008"/>
      <c r="AA2607" s="1008"/>
      <c r="AB2607" s="1008" t="s">
        <v>670</v>
      </c>
      <c r="AC2607" s="1008" t="s">
        <v>670</v>
      </c>
      <c r="AD2607" s="1008" t="s">
        <v>670</v>
      </c>
      <c r="AE2607" s="1008"/>
      <c r="AF2607" s="1008" t="s">
        <v>670</v>
      </c>
      <c r="AG2607" s="1008" t="s">
        <v>670</v>
      </c>
      <c r="AH2607" s="1008"/>
      <c r="AI2607" s="1008"/>
    </row>
    <row r="2608" spans="1:35">
      <c r="A2608" s="1008">
        <v>25075</v>
      </c>
      <c r="B2608" s="1008">
        <v>601</v>
      </c>
      <c r="C2608" s="1008">
        <v>7</v>
      </c>
      <c r="D2608" s="1009">
        <v>54029999</v>
      </c>
      <c r="E2608" s="1009">
        <v>54023000</v>
      </c>
      <c r="F2608" s="1007" t="s">
        <v>2054</v>
      </c>
      <c r="G2608" s="1007">
        <v>8</v>
      </c>
      <c r="H2608" s="1010">
        <v>99999999</v>
      </c>
      <c r="I2608" s="1009">
        <v>54023000</v>
      </c>
      <c r="J2608" s="1007" t="s">
        <v>2054</v>
      </c>
      <c r="O2608" s="1007" t="s">
        <v>648</v>
      </c>
      <c r="P2608" s="1007" t="s">
        <v>648</v>
      </c>
      <c r="S2608" s="1008" t="s">
        <v>650</v>
      </c>
      <c r="T2608" s="1008" t="s">
        <v>654</v>
      </c>
      <c r="U2608" s="1008" t="s">
        <v>653</v>
      </c>
      <c r="V2608" s="1008" t="s">
        <v>648</v>
      </c>
      <c r="W2608" s="1008" t="s">
        <v>546</v>
      </c>
      <c r="X2608" s="1008" t="s">
        <v>670</v>
      </c>
      <c r="Y2608" s="1008"/>
      <c r="Z2608" s="1008"/>
      <c r="AA2608" s="1008"/>
      <c r="AB2608" s="1008"/>
      <c r="AC2608" s="1008" t="s">
        <v>670</v>
      </c>
      <c r="AD2608" s="1008" t="s">
        <v>670</v>
      </c>
      <c r="AE2608" s="1008"/>
      <c r="AF2608" s="1008"/>
      <c r="AG2608" s="1008"/>
      <c r="AH2608" s="1008"/>
      <c r="AI2608" s="1008"/>
    </row>
    <row r="2609" spans="1:35">
      <c r="A2609" s="1008">
        <v>25076</v>
      </c>
      <c r="B2609" s="1008">
        <v>602</v>
      </c>
      <c r="C2609" s="1008">
        <v>7</v>
      </c>
      <c r="D2609" s="1009">
        <v>54029999</v>
      </c>
      <c r="E2609" s="1009">
        <v>54024000</v>
      </c>
      <c r="F2609" s="1007" t="s">
        <v>1453</v>
      </c>
      <c r="G2609" s="1007">
        <v>8</v>
      </c>
      <c r="H2609" s="1010">
        <v>99999999</v>
      </c>
      <c r="I2609" s="1009">
        <v>54024000</v>
      </c>
      <c r="J2609" s="1007" t="s">
        <v>1453</v>
      </c>
      <c r="O2609" s="1007" t="s">
        <v>648</v>
      </c>
      <c r="P2609" s="1007" t="s">
        <v>648</v>
      </c>
      <c r="S2609" s="1008" t="s">
        <v>650</v>
      </c>
      <c r="T2609" s="1008" t="s">
        <v>654</v>
      </c>
      <c r="U2609" s="1008" t="s">
        <v>653</v>
      </c>
      <c r="V2609" s="1008" t="s">
        <v>648</v>
      </c>
      <c r="W2609" s="1008" t="s">
        <v>546</v>
      </c>
      <c r="X2609" s="1008" t="s">
        <v>670</v>
      </c>
      <c r="Y2609" s="1008"/>
      <c r="Z2609" s="1008"/>
      <c r="AA2609" s="1008"/>
      <c r="AB2609" s="1008"/>
      <c r="AC2609" s="1008" t="s">
        <v>670</v>
      </c>
      <c r="AD2609" s="1008" t="s">
        <v>670</v>
      </c>
      <c r="AE2609" s="1008"/>
      <c r="AF2609" s="1008"/>
      <c r="AG2609" s="1008"/>
      <c r="AH2609" s="1008"/>
      <c r="AI2609" s="1008"/>
    </row>
    <row r="2610" spans="1:35">
      <c r="A2610" s="1008">
        <v>25077</v>
      </c>
      <c r="C2610" s="1008">
        <v>6</v>
      </c>
      <c r="D2610" s="1009">
        <v>54099999</v>
      </c>
      <c r="E2610" s="1009">
        <v>54029999</v>
      </c>
      <c r="F2610" s="1007" t="s">
        <v>2053</v>
      </c>
      <c r="O2610" s="1007" t="s">
        <v>648</v>
      </c>
      <c r="P2610" s="1007" t="s">
        <v>648</v>
      </c>
      <c r="S2610" s="1008" t="s">
        <v>650</v>
      </c>
      <c r="T2610" s="1008" t="s">
        <v>21</v>
      </c>
      <c r="U2610" s="1008" t="s">
        <v>653</v>
      </c>
      <c r="V2610" s="1008" t="s">
        <v>648</v>
      </c>
      <c r="W2610" s="1008" t="s">
        <v>546</v>
      </c>
      <c r="X2610" s="1008"/>
      <c r="Y2610" s="1008"/>
      <c r="Z2610" s="1008"/>
      <c r="AA2610" s="1008"/>
      <c r="AB2610" s="1008"/>
      <c r="AC2610" s="1008"/>
      <c r="AD2610" s="1008"/>
      <c r="AE2610" s="1008"/>
      <c r="AF2610" s="1008"/>
      <c r="AG2610" s="1008"/>
      <c r="AH2610" s="1008"/>
      <c r="AI2610" s="1008"/>
    </row>
    <row r="2611" spans="1:35">
      <c r="A2611" s="1008">
        <v>25078</v>
      </c>
      <c r="C2611" s="1008">
        <v>5</v>
      </c>
      <c r="D2611" s="1009">
        <v>59599999</v>
      </c>
      <c r="E2611" s="1009">
        <v>54099999</v>
      </c>
      <c r="F2611" s="1007" t="s">
        <v>2052</v>
      </c>
      <c r="O2611" s="1007" t="s">
        <v>648</v>
      </c>
      <c r="P2611" s="1007" t="s">
        <v>648</v>
      </c>
      <c r="S2611" s="1008" t="s">
        <v>650</v>
      </c>
      <c r="T2611" s="1008" t="s">
        <v>21</v>
      </c>
      <c r="U2611" s="1008" t="s">
        <v>653</v>
      </c>
      <c r="V2611" s="1008" t="s">
        <v>648</v>
      </c>
      <c r="W2611" s="1008" t="s">
        <v>546</v>
      </c>
      <c r="X2611" s="1008"/>
      <c r="Y2611" s="1008"/>
      <c r="Z2611" s="1008"/>
      <c r="AA2611" s="1008"/>
      <c r="AB2611" s="1008"/>
      <c r="AC2611" s="1008"/>
      <c r="AD2611" s="1008"/>
      <c r="AE2611" s="1008"/>
      <c r="AF2611" s="1008"/>
      <c r="AG2611" s="1008"/>
      <c r="AH2611" s="1008"/>
      <c r="AI2611" s="1008"/>
    </row>
    <row r="2612" spans="1:35">
      <c r="A2612" s="1008">
        <v>25079</v>
      </c>
      <c r="C2612" s="1008">
        <v>5</v>
      </c>
      <c r="D2612" s="1009">
        <v>55099999</v>
      </c>
      <c r="E2612" s="1009">
        <v>55000000</v>
      </c>
      <c r="F2612" s="1007" t="s">
        <v>1466</v>
      </c>
      <c r="O2612" s="1007" t="s">
        <v>648</v>
      </c>
      <c r="P2612" s="1007" t="s">
        <v>648</v>
      </c>
      <c r="S2612" s="1008" t="s">
        <v>650</v>
      </c>
      <c r="T2612" s="1008" t="s">
        <v>675</v>
      </c>
      <c r="U2612" s="1008" t="s">
        <v>653</v>
      </c>
      <c r="V2612" s="1008" t="s">
        <v>648</v>
      </c>
      <c r="W2612" s="1008" t="s">
        <v>546</v>
      </c>
      <c r="X2612" s="1008"/>
      <c r="Y2612" s="1008"/>
      <c r="Z2612" s="1008"/>
      <c r="AA2612" s="1008"/>
      <c r="AB2612" s="1008"/>
      <c r="AC2612" s="1008"/>
      <c r="AD2612" s="1008"/>
      <c r="AE2612" s="1008"/>
      <c r="AF2612" s="1008"/>
      <c r="AG2612" s="1008"/>
      <c r="AH2612" s="1008"/>
      <c r="AI2612" s="1008"/>
    </row>
    <row r="2613" spans="1:35">
      <c r="A2613" s="1008">
        <v>25080</v>
      </c>
      <c r="C2613" s="1008">
        <v>6</v>
      </c>
      <c r="D2613" s="1009">
        <v>55019999</v>
      </c>
      <c r="E2613" s="1009">
        <v>55010000</v>
      </c>
      <c r="F2613" s="1007" t="s">
        <v>2051</v>
      </c>
      <c r="O2613" s="1007" t="s">
        <v>648</v>
      </c>
      <c r="P2613" s="1007" t="s">
        <v>648</v>
      </c>
      <c r="S2613" s="1008" t="s">
        <v>650</v>
      </c>
      <c r="T2613" s="1008" t="s">
        <v>675</v>
      </c>
      <c r="U2613" s="1008" t="s">
        <v>653</v>
      </c>
      <c r="V2613" s="1008" t="s">
        <v>648</v>
      </c>
      <c r="W2613" s="1008" t="s">
        <v>546</v>
      </c>
      <c r="X2613" s="1008"/>
      <c r="Y2613" s="1008"/>
      <c r="Z2613" s="1008"/>
      <c r="AA2613" s="1008"/>
      <c r="AB2613" s="1008"/>
      <c r="AC2613" s="1008"/>
      <c r="AD2613" s="1008"/>
      <c r="AE2613" s="1008"/>
      <c r="AF2613" s="1008"/>
      <c r="AG2613" s="1008"/>
      <c r="AH2613" s="1008"/>
      <c r="AI2613" s="1008"/>
    </row>
    <row r="2614" spans="1:35">
      <c r="A2614" s="1008">
        <v>25081</v>
      </c>
      <c r="B2614" s="1008">
        <v>2198</v>
      </c>
      <c r="C2614" s="1008">
        <v>7</v>
      </c>
      <c r="D2614" s="1009">
        <v>55019999</v>
      </c>
      <c r="E2614" s="1009">
        <v>55011000</v>
      </c>
      <c r="F2614" s="1007" t="s">
        <v>1429</v>
      </c>
      <c r="G2614" s="1007">
        <v>7</v>
      </c>
      <c r="H2614" s="1010">
        <v>99999999</v>
      </c>
      <c r="I2614" s="1009">
        <v>55011000</v>
      </c>
      <c r="J2614" s="1007" t="s">
        <v>1429</v>
      </c>
      <c r="O2614" s="1007" t="s">
        <v>648</v>
      </c>
      <c r="P2614" s="1007" t="s">
        <v>648</v>
      </c>
      <c r="S2614" s="1008" t="s">
        <v>650</v>
      </c>
      <c r="T2614" s="1008" t="s">
        <v>654</v>
      </c>
      <c r="U2614" s="1008" t="s">
        <v>653</v>
      </c>
      <c r="V2614" s="1008" t="s">
        <v>648</v>
      </c>
      <c r="W2614" s="1008" t="s">
        <v>546</v>
      </c>
      <c r="X2614" s="1008" t="s">
        <v>670</v>
      </c>
      <c r="Y2614" s="1008" t="s">
        <v>670</v>
      </c>
      <c r="Z2614" s="1008"/>
      <c r="AA2614" s="1008"/>
      <c r="AB2614" s="1008"/>
      <c r="AC2614" s="1008"/>
      <c r="AD2614" s="1008" t="s">
        <v>670</v>
      </c>
      <c r="AE2614" s="1008"/>
      <c r="AF2614" s="1008" t="s">
        <v>670</v>
      </c>
      <c r="AG2614" s="1008"/>
      <c r="AH2614" s="1008"/>
      <c r="AI2614" s="1008"/>
    </row>
    <row r="2615" spans="1:35">
      <c r="A2615" s="1008">
        <v>25082</v>
      </c>
      <c r="B2615" s="1008">
        <v>2199</v>
      </c>
      <c r="C2615" s="1008">
        <v>7</v>
      </c>
      <c r="D2615" s="1009">
        <v>55019999</v>
      </c>
      <c r="E2615" s="1009">
        <v>55012000</v>
      </c>
      <c r="F2615" s="1007" t="s">
        <v>2050</v>
      </c>
      <c r="G2615" s="1007">
        <v>7</v>
      </c>
      <c r="H2615" s="1010">
        <v>99999999</v>
      </c>
      <c r="I2615" s="1009">
        <v>55012000</v>
      </c>
      <c r="J2615" s="1007" t="s">
        <v>2050</v>
      </c>
      <c r="O2615" s="1007" t="s">
        <v>648</v>
      </c>
      <c r="P2615" s="1007" t="s">
        <v>648</v>
      </c>
      <c r="S2615" s="1008" t="s">
        <v>650</v>
      </c>
      <c r="T2615" s="1008" t="s">
        <v>654</v>
      </c>
      <c r="U2615" s="1008" t="s">
        <v>653</v>
      </c>
      <c r="V2615" s="1008" t="s">
        <v>648</v>
      </c>
      <c r="W2615" s="1008" t="s">
        <v>546</v>
      </c>
      <c r="X2615" s="1008" t="s">
        <v>670</v>
      </c>
      <c r="Y2615" s="1008"/>
      <c r="Z2615" s="1008"/>
      <c r="AA2615" s="1008"/>
      <c r="AB2615" s="1008"/>
      <c r="AC2615" s="1008" t="s">
        <v>670</v>
      </c>
      <c r="AD2615" s="1008" t="s">
        <v>670</v>
      </c>
      <c r="AE2615" s="1008"/>
      <c r="AF2615" s="1008"/>
      <c r="AG2615" s="1008"/>
      <c r="AH2615" s="1008"/>
      <c r="AI2615" s="1008"/>
    </row>
    <row r="2616" spans="1:35">
      <c r="A2616" s="1008">
        <v>25083</v>
      </c>
      <c r="B2616" s="1008">
        <v>5420</v>
      </c>
      <c r="C2616" s="1008">
        <v>8</v>
      </c>
      <c r="D2616" s="1009">
        <v>55019999</v>
      </c>
      <c r="E2616" s="1009">
        <v>55013000</v>
      </c>
      <c r="F2616" s="1007" t="s">
        <v>2049</v>
      </c>
      <c r="G2616" s="1007">
        <v>8</v>
      </c>
      <c r="H2616" s="1010">
        <v>99999999</v>
      </c>
      <c r="I2616" s="1009">
        <v>55013000</v>
      </c>
      <c r="J2616" s="1007" t="s">
        <v>2049</v>
      </c>
      <c r="O2616" s="1007" t="s">
        <v>648</v>
      </c>
      <c r="P2616" s="1007" t="s">
        <v>648</v>
      </c>
      <c r="S2616" s="1008" t="s">
        <v>650</v>
      </c>
      <c r="T2616" s="1008" t="s">
        <v>654</v>
      </c>
      <c r="U2616" s="1008" t="s">
        <v>653</v>
      </c>
      <c r="V2616" s="1008" t="s">
        <v>648</v>
      </c>
      <c r="W2616" s="1008" t="s">
        <v>546</v>
      </c>
      <c r="X2616" s="1008" t="s">
        <v>670</v>
      </c>
      <c r="Y2616" s="1008"/>
      <c r="Z2616" s="1008"/>
      <c r="AA2616" s="1008"/>
      <c r="AB2616" s="1008"/>
      <c r="AC2616" s="1008" t="s">
        <v>670</v>
      </c>
      <c r="AD2616" s="1008" t="s">
        <v>670</v>
      </c>
      <c r="AE2616" s="1008"/>
      <c r="AF2616" s="1008"/>
      <c r="AG2616" s="1008"/>
      <c r="AH2616" s="1008"/>
      <c r="AI2616" s="1008"/>
    </row>
    <row r="2617" spans="1:35">
      <c r="A2617" s="1008">
        <v>25084</v>
      </c>
      <c r="C2617" s="1008">
        <v>6</v>
      </c>
      <c r="D2617" s="1009">
        <v>55099999</v>
      </c>
      <c r="E2617" s="1009">
        <v>55019999</v>
      </c>
      <c r="F2617" s="1007" t="s">
        <v>2048</v>
      </c>
      <c r="O2617" s="1007" t="s">
        <v>648</v>
      </c>
      <c r="P2617" s="1007" t="s">
        <v>648</v>
      </c>
      <c r="S2617" s="1008" t="s">
        <v>650</v>
      </c>
      <c r="T2617" s="1008" t="s">
        <v>21</v>
      </c>
      <c r="U2617" s="1008" t="s">
        <v>653</v>
      </c>
      <c r="V2617" s="1008" t="s">
        <v>648</v>
      </c>
      <c r="W2617" s="1008" t="s">
        <v>546</v>
      </c>
      <c r="X2617" s="1008"/>
      <c r="Y2617" s="1008"/>
      <c r="Z2617" s="1008"/>
      <c r="AA2617" s="1008"/>
      <c r="AB2617" s="1008"/>
      <c r="AC2617" s="1008"/>
      <c r="AD2617" s="1008"/>
      <c r="AE2617" s="1008"/>
      <c r="AF2617" s="1008"/>
      <c r="AG2617" s="1008"/>
      <c r="AH2617" s="1008"/>
      <c r="AI2617" s="1008"/>
    </row>
    <row r="2618" spans="1:35">
      <c r="A2618" s="1008">
        <v>25085</v>
      </c>
      <c r="C2618" s="1008">
        <v>6</v>
      </c>
      <c r="D2618" s="1009">
        <v>55029999</v>
      </c>
      <c r="E2618" s="1009">
        <v>55020000</v>
      </c>
      <c r="F2618" s="1007" t="s">
        <v>2047</v>
      </c>
      <c r="O2618" s="1007" t="s">
        <v>648</v>
      </c>
      <c r="P2618" s="1007" t="s">
        <v>648</v>
      </c>
      <c r="S2618" s="1008" t="s">
        <v>650</v>
      </c>
      <c r="T2618" s="1008" t="s">
        <v>675</v>
      </c>
      <c r="U2618" s="1008" t="s">
        <v>653</v>
      </c>
      <c r="V2618" s="1008" t="s">
        <v>648</v>
      </c>
      <c r="W2618" s="1008" t="s">
        <v>546</v>
      </c>
      <c r="X2618" s="1008"/>
      <c r="Y2618" s="1008"/>
      <c r="Z2618" s="1008"/>
      <c r="AA2618" s="1008"/>
      <c r="AB2618" s="1008"/>
      <c r="AC2618" s="1008"/>
      <c r="AD2618" s="1008"/>
      <c r="AE2618" s="1008"/>
      <c r="AF2618" s="1008"/>
      <c r="AG2618" s="1008"/>
      <c r="AH2618" s="1008"/>
      <c r="AI2618" s="1008"/>
    </row>
    <row r="2619" spans="1:35">
      <c r="A2619" s="1008">
        <v>25086</v>
      </c>
      <c r="B2619" s="1008">
        <v>222</v>
      </c>
      <c r="C2619" s="1008">
        <v>7</v>
      </c>
      <c r="D2619" s="1009">
        <v>55029999</v>
      </c>
      <c r="E2619" s="1009">
        <v>55021000</v>
      </c>
      <c r="F2619" s="1007" t="s">
        <v>1419</v>
      </c>
      <c r="G2619" s="1007">
        <v>8</v>
      </c>
      <c r="H2619" s="1010">
        <v>99999999</v>
      </c>
      <c r="I2619" s="1009">
        <v>55021000</v>
      </c>
      <c r="J2619" s="1007" t="s">
        <v>1419</v>
      </c>
      <c r="O2619" s="1007" t="s">
        <v>648</v>
      </c>
      <c r="P2619" s="1007" t="s">
        <v>648</v>
      </c>
      <c r="S2619" s="1008" t="s">
        <v>650</v>
      </c>
      <c r="T2619" s="1008" t="s">
        <v>654</v>
      </c>
      <c r="U2619" s="1008" t="s">
        <v>653</v>
      </c>
      <c r="V2619" s="1008" t="s">
        <v>648</v>
      </c>
      <c r="W2619" s="1008" t="s">
        <v>546</v>
      </c>
      <c r="X2619" s="1008" t="s">
        <v>670</v>
      </c>
      <c r="Y2619" s="1008" t="s">
        <v>670</v>
      </c>
      <c r="Z2619" s="1008" t="s">
        <v>670</v>
      </c>
      <c r="AA2619" s="1008"/>
      <c r="AB2619" s="1008"/>
      <c r="AC2619" s="1008" t="s">
        <v>670</v>
      </c>
      <c r="AD2619" s="1008" t="s">
        <v>670</v>
      </c>
      <c r="AE2619" s="1008" t="s">
        <v>670</v>
      </c>
      <c r="AF2619" s="1008" t="s">
        <v>670</v>
      </c>
      <c r="AG2619" s="1008"/>
      <c r="AH2619" s="1008"/>
      <c r="AI2619" s="1008"/>
    </row>
    <row r="2620" spans="1:35">
      <c r="A2620" s="1008">
        <v>25087</v>
      </c>
      <c r="B2620" s="1008">
        <v>569</v>
      </c>
      <c r="C2620" s="1008">
        <v>7</v>
      </c>
      <c r="D2620" s="1009">
        <v>55029999</v>
      </c>
      <c r="E2620" s="1009">
        <v>55022000</v>
      </c>
      <c r="F2620" s="1007" t="s">
        <v>66</v>
      </c>
      <c r="G2620" s="1007">
        <v>8</v>
      </c>
      <c r="H2620" s="1010">
        <v>99999999</v>
      </c>
      <c r="I2620" s="1009">
        <v>55022000</v>
      </c>
      <c r="J2620" s="1007" t="s">
        <v>2046</v>
      </c>
      <c r="O2620" s="1007" t="s">
        <v>648</v>
      </c>
      <c r="P2620" s="1007" t="s">
        <v>648</v>
      </c>
      <c r="S2620" s="1008" t="s">
        <v>650</v>
      </c>
      <c r="T2620" s="1008" t="s">
        <v>654</v>
      </c>
      <c r="U2620" s="1008" t="s">
        <v>653</v>
      </c>
      <c r="V2620" s="1008" t="s">
        <v>648</v>
      </c>
      <c r="W2620" s="1008" t="s">
        <v>546</v>
      </c>
      <c r="X2620" s="1008" t="s">
        <v>670</v>
      </c>
      <c r="Y2620" s="1008"/>
      <c r="Z2620" s="1008"/>
      <c r="AA2620" s="1008"/>
      <c r="AB2620" s="1008" t="s">
        <v>670</v>
      </c>
      <c r="AC2620" s="1008" t="s">
        <v>670</v>
      </c>
      <c r="AD2620" s="1008" t="s">
        <v>670</v>
      </c>
      <c r="AE2620" s="1008"/>
      <c r="AF2620" s="1008"/>
      <c r="AG2620" s="1008"/>
      <c r="AH2620" s="1008"/>
      <c r="AI2620" s="1008"/>
    </row>
    <row r="2621" spans="1:35">
      <c r="A2621" s="1008">
        <v>25088</v>
      </c>
      <c r="B2621" s="1008">
        <v>566</v>
      </c>
      <c r="C2621" s="1008">
        <v>7</v>
      </c>
      <c r="D2621" s="1009">
        <v>55029999</v>
      </c>
      <c r="E2621" s="1009">
        <v>55023000</v>
      </c>
      <c r="F2621" s="1007" t="s">
        <v>1460</v>
      </c>
      <c r="G2621" s="1007">
        <v>8</v>
      </c>
      <c r="H2621" s="1010">
        <v>99999999</v>
      </c>
      <c r="I2621" s="1009">
        <v>55023000</v>
      </c>
      <c r="J2621" s="1007" t="s">
        <v>1460</v>
      </c>
      <c r="O2621" s="1007" t="s">
        <v>648</v>
      </c>
      <c r="P2621" s="1007" t="s">
        <v>648</v>
      </c>
      <c r="S2621" s="1008" t="s">
        <v>650</v>
      </c>
      <c r="T2621" s="1008" t="s">
        <v>654</v>
      </c>
      <c r="U2621" s="1008" t="s">
        <v>653</v>
      </c>
      <c r="V2621" s="1008" t="s">
        <v>648</v>
      </c>
      <c r="W2621" s="1008" t="s">
        <v>546</v>
      </c>
      <c r="X2621" s="1008" t="s">
        <v>670</v>
      </c>
      <c r="Y2621" s="1008" t="s">
        <v>670</v>
      </c>
      <c r="Z2621" s="1008" t="s">
        <v>670</v>
      </c>
      <c r="AA2621" s="1008"/>
      <c r="AB2621" s="1008" t="s">
        <v>670</v>
      </c>
      <c r="AC2621" s="1008" t="s">
        <v>670</v>
      </c>
      <c r="AD2621" s="1008" t="s">
        <v>670</v>
      </c>
      <c r="AE2621" s="1008"/>
      <c r="AF2621" s="1008" t="s">
        <v>670</v>
      </c>
      <c r="AG2621" s="1008"/>
      <c r="AH2621" s="1008"/>
      <c r="AI2621" s="1008"/>
    </row>
    <row r="2622" spans="1:35">
      <c r="A2622" s="1008">
        <v>25089</v>
      </c>
      <c r="B2622" s="1008">
        <v>585</v>
      </c>
      <c r="C2622" s="1008">
        <v>7</v>
      </c>
      <c r="D2622" s="1009">
        <v>55029999</v>
      </c>
      <c r="E2622" s="1009">
        <v>55024000</v>
      </c>
      <c r="F2622" s="1007" t="s">
        <v>1455</v>
      </c>
      <c r="G2622" s="1007">
        <v>8</v>
      </c>
      <c r="H2622" s="1010">
        <v>99999999</v>
      </c>
      <c r="I2622" s="1009">
        <v>55024000</v>
      </c>
      <c r="J2622" s="1007" t="s">
        <v>1455</v>
      </c>
      <c r="O2622" s="1007" t="s">
        <v>648</v>
      </c>
      <c r="P2622" s="1007" t="s">
        <v>648</v>
      </c>
      <c r="S2622" s="1008" t="s">
        <v>650</v>
      </c>
      <c r="T2622" s="1008" t="s">
        <v>654</v>
      </c>
      <c r="U2622" s="1008" t="s">
        <v>653</v>
      </c>
      <c r="V2622" s="1008" t="s">
        <v>648</v>
      </c>
      <c r="W2622" s="1008" t="s">
        <v>546</v>
      </c>
      <c r="X2622" s="1008" t="s">
        <v>670</v>
      </c>
      <c r="Y2622" s="1008" t="s">
        <v>670</v>
      </c>
      <c r="Z2622" s="1008"/>
      <c r="AA2622" s="1008"/>
      <c r="AB2622" s="1008" t="s">
        <v>670</v>
      </c>
      <c r="AC2622" s="1008" t="s">
        <v>670</v>
      </c>
      <c r="AD2622" s="1008" t="s">
        <v>670</v>
      </c>
      <c r="AE2622" s="1008"/>
      <c r="AF2622" s="1008" t="s">
        <v>670</v>
      </c>
      <c r="AG2622" s="1008"/>
      <c r="AH2622" s="1008"/>
      <c r="AI2622" s="1008"/>
    </row>
    <row r="2623" spans="1:35">
      <c r="A2623" s="1008">
        <v>25090</v>
      </c>
      <c r="B2623" s="1008">
        <v>2205</v>
      </c>
      <c r="C2623" s="1008">
        <v>7</v>
      </c>
      <c r="D2623" s="1009">
        <v>55029999</v>
      </c>
      <c r="E2623" s="1009">
        <v>55025000</v>
      </c>
      <c r="F2623" s="1007" t="s">
        <v>1451</v>
      </c>
      <c r="G2623" s="1007">
        <v>7</v>
      </c>
      <c r="H2623" s="1010">
        <v>99999999</v>
      </c>
      <c r="I2623" s="1009">
        <v>55025000</v>
      </c>
      <c r="J2623" s="1007" t="s">
        <v>1451</v>
      </c>
      <c r="O2623" s="1007" t="s">
        <v>648</v>
      </c>
      <c r="P2623" s="1007" t="s">
        <v>648</v>
      </c>
      <c r="S2623" s="1008" t="s">
        <v>650</v>
      </c>
      <c r="T2623" s="1008" t="s">
        <v>654</v>
      </c>
      <c r="U2623" s="1008" t="s">
        <v>653</v>
      </c>
      <c r="V2623" s="1008" t="s">
        <v>648</v>
      </c>
      <c r="W2623" s="1008" t="s">
        <v>546</v>
      </c>
      <c r="X2623" s="1008" t="s">
        <v>670</v>
      </c>
      <c r="Y2623" s="1008"/>
      <c r="Z2623" s="1008"/>
      <c r="AA2623" s="1008"/>
      <c r="AB2623" s="1008"/>
      <c r="AC2623" s="1008" t="s">
        <v>670</v>
      </c>
      <c r="AD2623" s="1008" t="s">
        <v>670</v>
      </c>
      <c r="AE2623" s="1008"/>
      <c r="AF2623" s="1008"/>
      <c r="AG2623" s="1008"/>
      <c r="AH2623" s="1008"/>
      <c r="AI2623" s="1008"/>
    </row>
    <row r="2624" spans="1:35">
      <c r="A2624" s="1008">
        <v>27629</v>
      </c>
      <c r="B2624" s="1008">
        <v>6465</v>
      </c>
      <c r="C2624" s="1008">
        <v>7</v>
      </c>
      <c r="D2624" s="1009">
        <v>55029999</v>
      </c>
      <c r="E2624" s="1009">
        <v>55025100</v>
      </c>
      <c r="F2624" s="1007" t="s">
        <v>2045</v>
      </c>
      <c r="G2624" s="1007">
        <v>7</v>
      </c>
      <c r="H2624" s="1010">
        <v>99999999</v>
      </c>
      <c r="I2624" s="1009">
        <v>55025100</v>
      </c>
      <c r="J2624" s="1007" t="s">
        <v>2045</v>
      </c>
      <c r="O2624" s="1007" t="s">
        <v>648</v>
      </c>
      <c r="P2624" s="1007" t="s">
        <v>648</v>
      </c>
      <c r="S2624" s="1008" t="s">
        <v>650</v>
      </c>
      <c r="T2624" s="1008" t="s">
        <v>654</v>
      </c>
      <c r="U2624" s="1008" t="s">
        <v>653</v>
      </c>
      <c r="V2624" s="1008" t="s">
        <v>648</v>
      </c>
      <c r="W2624" s="1008" t="s">
        <v>546</v>
      </c>
      <c r="X2624" s="1008" t="s">
        <v>670</v>
      </c>
      <c r="Y2624" s="1008"/>
      <c r="Z2624" s="1008"/>
      <c r="AA2624" s="1008"/>
      <c r="AB2624" s="1008"/>
      <c r="AC2624" s="1008" t="s">
        <v>670</v>
      </c>
      <c r="AD2624" s="1008" t="s">
        <v>670</v>
      </c>
      <c r="AE2624" s="1008"/>
      <c r="AF2624" s="1008"/>
      <c r="AG2624" s="1008"/>
      <c r="AH2624" s="1008"/>
      <c r="AI2624" s="1008"/>
    </row>
    <row r="2625" spans="1:35">
      <c r="A2625" s="1008">
        <v>25091</v>
      </c>
      <c r="B2625" s="1008">
        <v>568</v>
      </c>
      <c r="C2625" s="1008">
        <v>7</v>
      </c>
      <c r="D2625" s="1009">
        <v>55029999</v>
      </c>
      <c r="E2625" s="1009">
        <v>55026000</v>
      </c>
      <c r="F2625" s="1007" t="s">
        <v>2044</v>
      </c>
      <c r="G2625" s="1007">
        <v>8</v>
      </c>
      <c r="H2625" s="1010">
        <v>99999999</v>
      </c>
      <c r="I2625" s="1009">
        <v>55026000</v>
      </c>
      <c r="J2625" s="1007" t="s">
        <v>2044</v>
      </c>
      <c r="O2625" s="1007" t="s">
        <v>648</v>
      </c>
      <c r="P2625" s="1007" t="s">
        <v>648</v>
      </c>
      <c r="S2625" s="1008" t="s">
        <v>650</v>
      </c>
      <c r="T2625" s="1008" t="s">
        <v>654</v>
      </c>
      <c r="U2625" s="1008" t="s">
        <v>653</v>
      </c>
      <c r="V2625" s="1008" t="s">
        <v>648</v>
      </c>
      <c r="W2625" s="1008" t="s">
        <v>546</v>
      </c>
      <c r="X2625" s="1008" t="s">
        <v>670</v>
      </c>
      <c r="Y2625" s="1008"/>
      <c r="Z2625" s="1008" t="s">
        <v>670</v>
      </c>
      <c r="AA2625" s="1008"/>
      <c r="AB2625" s="1008"/>
      <c r="AC2625" s="1008" t="s">
        <v>670</v>
      </c>
      <c r="AD2625" s="1008" t="s">
        <v>670</v>
      </c>
      <c r="AE2625" s="1008"/>
      <c r="AF2625" s="1008"/>
      <c r="AG2625" s="1008"/>
      <c r="AH2625" s="1008"/>
      <c r="AI2625" s="1008"/>
    </row>
    <row r="2626" spans="1:35">
      <c r="A2626" s="1008">
        <v>25092</v>
      </c>
      <c r="B2626" s="1008">
        <v>2207</v>
      </c>
      <c r="C2626" s="1008">
        <v>7</v>
      </c>
      <c r="D2626" s="1009">
        <v>55029999</v>
      </c>
      <c r="E2626" s="1009">
        <v>55027000</v>
      </c>
      <c r="F2626" s="1007" t="s">
        <v>2043</v>
      </c>
      <c r="G2626" s="1007">
        <v>7</v>
      </c>
      <c r="H2626" s="1010">
        <v>99999999</v>
      </c>
      <c r="I2626" s="1009">
        <v>55027000</v>
      </c>
      <c r="J2626" s="1007" t="s">
        <v>2043</v>
      </c>
      <c r="O2626" s="1007" t="s">
        <v>648</v>
      </c>
      <c r="P2626" s="1007" t="s">
        <v>648</v>
      </c>
      <c r="S2626" s="1008" t="s">
        <v>650</v>
      </c>
      <c r="T2626" s="1008" t="s">
        <v>654</v>
      </c>
      <c r="U2626" s="1008" t="s">
        <v>653</v>
      </c>
      <c r="V2626" s="1008" t="s">
        <v>648</v>
      </c>
      <c r="W2626" s="1008" t="s">
        <v>546</v>
      </c>
      <c r="X2626" s="1008" t="s">
        <v>670</v>
      </c>
      <c r="Y2626" s="1008"/>
      <c r="Z2626" s="1008"/>
      <c r="AA2626" s="1008"/>
      <c r="AB2626" s="1008"/>
      <c r="AC2626" s="1008" t="s">
        <v>670</v>
      </c>
      <c r="AD2626" s="1008" t="s">
        <v>670</v>
      </c>
      <c r="AE2626" s="1008"/>
      <c r="AF2626" s="1008"/>
      <c r="AG2626" s="1008"/>
      <c r="AH2626" s="1008"/>
      <c r="AI2626" s="1008"/>
    </row>
    <row r="2627" spans="1:35">
      <c r="A2627" s="1008">
        <v>25093</v>
      </c>
      <c r="B2627" s="1008">
        <v>1277</v>
      </c>
      <c r="C2627" s="1008">
        <v>7</v>
      </c>
      <c r="D2627" s="1009">
        <v>55029999</v>
      </c>
      <c r="E2627" s="1009">
        <v>55028000</v>
      </c>
      <c r="F2627" s="1007" t="s">
        <v>2042</v>
      </c>
      <c r="G2627" s="1007">
        <v>8</v>
      </c>
      <c r="H2627" s="1010">
        <v>99999999</v>
      </c>
      <c r="I2627" s="1009">
        <v>55028000</v>
      </c>
      <c r="J2627" s="1007" t="s">
        <v>2042</v>
      </c>
      <c r="O2627" s="1007" t="s">
        <v>648</v>
      </c>
      <c r="P2627" s="1007" t="s">
        <v>648</v>
      </c>
      <c r="S2627" s="1008" t="s">
        <v>650</v>
      </c>
      <c r="T2627" s="1008" t="s">
        <v>654</v>
      </c>
      <c r="U2627" s="1008" t="s">
        <v>653</v>
      </c>
      <c r="V2627" s="1008" t="s">
        <v>648</v>
      </c>
      <c r="W2627" s="1008" t="s">
        <v>546</v>
      </c>
      <c r="X2627" s="1008" t="s">
        <v>670</v>
      </c>
      <c r="Y2627" s="1008" t="s">
        <v>670</v>
      </c>
      <c r="Z2627" s="1008" t="s">
        <v>670</v>
      </c>
      <c r="AA2627" s="1008"/>
      <c r="AB2627" s="1008"/>
      <c r="AC2627" s="1008" t="s">
        <v>670</v>
      </c>
      <c r="AD2627" s="1008" t="s">
        <v>670</v>
      </c>
      <c r="AE2627" s="1008"/>
      <c r="AF2627" s="1008" t="s">
        <v>670</v>
      </c>
      <c r="AG2627" s="1008"/>
      <c r="AH2627" s="1008"/>
      <c r="AI2627" s="1008"/>
    </row>
    <row r="2628" spans="1:35">
      <c r="A2628" s="1008">
        <v>25094</v>
      </c>
      <c r="B2628" s="1008">
        <v>348</v>
      </c>
      <c r="C2628" s="1008">
        <v>7</v>
      </c>
      <c r="D2628" s="1009">
        <v>55029999</v>
      </c>
      <c r="E2628" s="1009">
        <v>55029000</v>
      </c>
      <c r="F2628" s="1007" t="s">
        <v>2041</v>
      </c>
      <c r="G2628" s="1007">
        <v>8</v>
      </c>
      <c r="H2628" s="1010">
        <v>99999999</v>
      </c>
      <c r="I2628" s="1009">
        <v>55029000</v>
      </c>
      <c r="J2628" s="1007" t="s">
        <v>2041</v>
      </c>
      <c r="O2628" s="1007" t="s">
        <v>648</v>
      </c>
      <c r="P2628" s="1007" t="s">
        <v>648</v>
      </c>
      <c r="S2628" s="1008" t="s">
        <v>650</v>
      </c>
      <c r="T2628" s="1008" t="s">
        <v>654</v>
      </c>
      <c r="U2628" s="1008" t="s">
        <v>653</v>
      </c>
      <c r="V2628" s="1008" t="s">
        <v>648</v>
      </c>
      <c r="W2628" s="1008" t="s">
        <v>546</v>
      </c>
      <c r="X2628" s="1008" t="s">
        <v>670</v>
      </c>
      <c r="Y2628" s="1008" t="s">
        <v>670</v>
      </c>
      <c r="Z2628" s="1008" t="s">
        <v>670</v>
      </c>
      <c r="AA2628" s="1008"/>
      <c r="AB2628" s="1008" t="s">
        <v>670</v>
      </c>
      <c r="AC2628" s="1008" t="s">
        <v>670</v>
      </c>
      <c r="AD2628" s="1008" t="s">
        <v>670</v>
      </c>
      <c r="AE2628" s="1008"/>
      <c r="AF2628" s="1008" t="s">
        <v>670</v>
      </c>
      <c r="AG2628" s="1008" t="s">
        <v>670</v>
      </c>
      <c r="AH2628" s="1008"/>
      <c r="AI2628" s="1008"/>
    </row>
    <row r="2629" spans="1:35">
      <c r="A2629" s="1008">
        <v>25095</v>
      </c>
      <c r="C2629" s="1008">
        <v>6</v>
      </c>
      <c r="D2629" s="1009">
        <v>55099999</v>
      </c>
      <c r="E2629" s="1009">
        <v>55029999</v>
      </c>
      <c r="F2629" s="1007" t="s">
        <v>2040</v>
      </c>
      <c r="O2629" s="1007" t="s">
        <v>648</v>
      </c>
      <c r="P2629" s="1007" t="s">
        <v>648</v>
      </c>
      <c r="S2629" s="1008" t="s">
        <v>650</v>
      </c>
      <c r="T2629" s="1008" t="s">
        <v>21</v>
      </c>
      <c r="U2629" s="1008" t="s">
        <v>653</v>
      </c>
      <c r="V2629" s="1008" t="s">
        <v>648</v>
      </c>
      <c r="W2629" s="1008" t="s">
        <v>546</v>
      </c>
      <c r="X2629" s="1008"/>
      <c r="Y2629" s="1008"/>
      <c r="Z2629" s="1008"/>
      <c r="AA2629" s="1008"/>
      <c r="AB2629" s="1008"/>
      <c r="AC2629" s="1008"/>
      <c r="AD2629" s="1008"/>
      <c r="AE2629" s="1008"/>
      <c r="AF2629" s="1008"/>
      <c r="AG2629" s="1008"/>
      <c r="AH2629" s="1008"/>
      <c r="AI2629" s="1008"/>
    </row>
    <row r="2630" spans="1:35">
      <c r="A2630" s="1008">
        <v>25096</v>
      </c>
      <c r="C2630" s="1008">
        <v>6</v>
      </c>
      <c r="D2630" s="1009">
        <v>55039999</v>
      </c>
      <c r="E2630" s="1009">
        <v>55030000</v>
      </c>
      <c r="F2630" s="1007" t="s">
        <v>2039</v>
      </c>
      <c r="O2630" s="1007" t="s">
        <v>648</v>
      </c>
      <c r="P2630" s="1007" t="s">
        <v>648</v>
      </c>
      <c r="S2630" s="1008" t="s">
        <v>650</v>
      </c>
      <c r="T2630" s="1008" t="s">
        <v>675</v>
      </c>
      <c r="U2630" s="1008" t="s">
        <v>653</v>
      </c>
      <c r="V2630" s="1008" t="s">
        <v>648</v>
      </c>
      <c r="W2630" s="1008" t="s">
        <v>546</v>
      </c>
      <c r="X2630" s="1008"/>
      <c r="Y2630" s="1008"/>
      <c r="Z2630" s="1008"/>
      <c r="AA2630" s="1008"/>
      <c r="AB2630" s="1008"/>
      <c r="AC2630" s="1008"/>
      <c r="AD2630" s="1008"/>
      <c r="AE2630" s="1008"/>
      <c r="AF2630" s="1008"/>
      <c r="AG2630" s="1008"/>
      <c r="AH2630" s="1008"/>
      <c r="AI2630" s="1008"/>
    </row>
    <row r="2631" spans="1:35">
      <c r="A2631" s="1008">
        <v>25097</v>
      </c>
      <c r="B2631" s="1008">
        <v>2210</v>
      </c>
      <c r="C2631" s="1008">
        <v>7</v>
      </c>
      <c r="D2631" s="1009">
        <v>55039999</v>
      </c>
      <c r="E2631" s="1009">
        <v>55031000</v>
      </c>
      <c r="F2631" s="1007" t="s">
        <v>2038</v>
      </c>
      <c r="G2631" s="1007">
        <v>7</v>
      </c>
      <c r="H2631" s="1010">
        <v>99999999</v>
      </c>
      <c r="I2631" s="1009">
        <v>55031000</v>
      </c>
      <c r="J2631" s="1007" t="s">
        <v>2038</v>
      </c>
      <c r="O2631" s="1007" t="s">
        <v>648</v>
      </c>
      <c r="P2631" s="1007" t="s">
        <v>648</v>
      </c>
      <c r="S2631" s="1008" t="s">
        <v>650</v>
      </c>
      <c r="T2631" s="1008" t="s">
        <v>654</v>
      </c>
      <c r="U2631" s="1008" t="s">
        <v>653</v>
      </c>
      <c r="V2631" s="1008" t="s">
        <v>648</v>
      </c>
      <c r="W2631" s="1008" t="s">
        <v>546</v>
      </c>
      <c r="X2631" s="1008" t="s">
        <v>670</v>
      </c>
      <c r="Y2631" s="1008" t="s">
        <v>670</v>
      </c>
      <c r="Z2631" s="1008"/>
      <c r="AA2631" s="1008" t="s">
        <v>670</v>
      </c>
      <c r="AB2631" s="1008"/>
      <c r="AC2631" s="1008" t="s">
        <v>670</v>
      </c>
      <c r="AD2631" s="1008" t="s">
        <v>670</v>
      </c>
      <c r="AE2631" s="1008"/>
      <c r="AF2631" s="1008" t="s">
        <v>670</v>
      </c>
      <c r="AG2631" s="1008"/>
      <c r="AH2631" s="1008"/>
      <c r="AI2631" s="1008"/>
    </row>
    <row r="2632" spans="1:35">
      <c r="A2632" s="1008">
        <v>25098</v>
      </c>
      <c r="B2632" s="1008">
        <v>2211</v>
      </c>
      <c r="C2632" s="1008">
        <v>7</v>
      </c>
      <c r="D2632" s="1009">
        <v>55039999</v>
      </c>
      <c r="E2632" s="1009">
        <v>55032000</v>
      </c>
      <c r="F2632" s="1007" t="s">
        <v>2037</v>
      </c>
      <c r="G2632" s="1007">
        <v>7</v>
      </c>
      <c r="H2632" s="1010">
        <v>99999999</v>
      </c>
      <c r="I2632" s="1009">
        <v>55032000</v>
      </c>
      <c r="J2632" s="1007" t="s">
        <v>2037</v>
      </c>
      <c r="O2632" s="1007" t="s">
        <v>648</v>
      </c>
      <c r="P2632" s="1007" t="s">
        <v>648</v>
      </c>
      <c r="S2632" s="1008" t="s">
        <v>650</v>
      </c>
      <c r="T2632" s="1008" t="s">
        <v>654</v>
      </c>
      <c r="U2632" s="1008" t="s">
        <v>653</v>
      </c>
      <c r="V2632" s="1008" t="s">
        <v>648</v>
      </c>
      <c r="W2632" s="1008" t="s">
        <v>546</v>
      </c>
      <c r="X2632" s="1008" t="s">
        <v>670</v>
      </c>
      <c r="Y2632" s="1008" t="s">
        <v>670</v>
      </c>
      <c r="Z2632" s="1008"/>
      <c r="AA2632" s="1008"/>
      <c r="AB2632" s="1008"/>
      <c r="AC2632" s="1008" t="s">
        <v>670</v>
      </c>
      <c r="AD2632" s="1008" t="s">
        <v>670</v>
      </c>
      <c r="AE2632" s="1008"/>
      <c r="AF2632" s="1008" t="s">
        <v>670</v>
      </c>
      <c r="AG2632" s="1008"/>
      <c r="AH2632" s="1008"/>
      <c r="AI2632" s="1008"/>
    </row>
    <row r="2633" spans="1:35">
      <c r="A2633" s="1008">
        <v>25099</v>
      </c>
      <c r="B2633" s="1008">
        <v>2212</v>
      </c>
      <c r="C2633" s="1008">
        <v>7</v>
      </c>
      <c r="D2633" s="1009">
        <v>55039999</v>
      </c>
      <c r="E2633" s="1009">
        <v>55033000</v>
      </c>
      <c r="F2633" s="1007" t="s">
        <v>1475</v>
      </c>
      <c r="G2633" s="1007">
        <v>7</v>
      </c>
      <c r="H2633" s="1010">
        <v>99999999</v>
      </c>
      <c r="I2633" s="1009">
        <v>55033000</v>
      </c>
      <c r="J2633" s="1007" t="s">
        <v>1475</v>
      </c>
      <c r="O2633" s="1007" t="s">
        <v>648</v>
      </c>
      <c r="P2633" s="1007" t="s">
        <v>648</v>
      </c>
      <c r="S2633" s="1008" t="s">
        <v>650</v>
      </c>
      <c r="T2633" s="1008" t="s">
        <v>654</v>
      </c>
      <c r="U2633" s="1008" t="s">
        <v>653</v>
      </c>
      <c r="V2633" s="1008" t="s">
        <v>648</v>
      </c>
      <c r="W2633" s="1008" t="s">
        <v>546</v>
      </c>
      <c r="X2633" s="1008" t="s">
        <v>670</v>
      </c>
      <c r="Y2633" s="1008"/>
      <c r="Z2633" s="1008"/>
      <c r="AA2633" s="1008"/>
      <c r="AB2633" s="1008"/>
      <c r="AC2633" s="1008" t="s">
        <v>670</v>
      </c>
      <c r="AD2633" s="1008" t="s">
        <v>670</v>
      </c>
      <c r="AE2633" s="1008"/>
      <c r="AF2633" s="1008"/>
      <c r="AG2633" s="1008"/>
      <c r="AH2633" s="1008"/>
      <c r="AI2633" s="1008"/>
    </row>
    <row r="2634" spans="1:35">
      <c r="A2634" s="1008">
        <v>25100</v>
      </c>
      <c r="B2634" s="1008">
        <v>5424</v>
      </c>
      <c r="C2634" s="1008">
        <v>7</v>
      </c>
      <c r="D2634" s="1009">
        <v>55039999</v>
      </c>
      <c r="E2634" s="1009">
        <v>55034000</v>
      </c>
      <c r="F2634" s="1007" t="s">
        <v>2036</v>
      </c>
      <c r="G2634" s="1007">
        <v>7</v>
      </c>
      <c r="H2634" s="1010">
        <v>99999999</v>
      </c>
      <c r="I2634" s="1009">
        <v>55034000</v>
      </c>
      <c r="J2634" s="1007" t="s">
        <v>2036</v>
      </c>
      <c r="O2634" s="1007" t="s">
        <v>648</v>
      </c>
      <c r="P2634" s="1007" t="s">
        <v>648</v>
      </c>
      <c r="S2634" s="1008" t="s">
        <v>650</v>
      </c>
      <c r="T2634" s="1008" t="s">
        <v>654</v>
      </c>
      <c r="U2634" s="1008" t="s">
        <v>653</v>
      </c>
      <c r="V2634" s="1008" t="s">
        <v>648</v>
      </c>
      <c r="W2634" s="1008" t="s">
        <v>546</v>
      </c>
      <c r="X2634" s="1008" t="s">
        <v>670</v>
      </c>
      <c r="Y2634" s="1008"/>
      <c r="Z2634" s="1008" t="s">
        <v>670</v>
      </c>
      <c r="AA2634" s="1008"/>
      <c r="AB2634" s="1008"/>
      <c r="AC2634" s="1008" t="s">
        <v>670</v>
      </c>
      <c r="AD2634" s="1008" t="s">
        <v>670</v>
      </c>
      <c r="AE2634" s="1008"/>
      <c r="AF2634" s="1008"/>
      <c r="AG2634" s="1008"/>
      <c r="AH2634" s="1008"/>
      <c r="AI2634" s="1008"/>
    </row>
    <row r="2635" spans="1:35">
      <c r="A2635" s="1008">
        <v>27615</v>
      </c>
      <c r="B2635" s="1008">
        <v>6453</v>
      </c>
      <c r="C2635" s="1008">
        <v>7</v>
      </c>
      <c r="D2635" s="1009">
        <v>55039999</v>
      </c>
      <c r="E2635" s="1009">
        <v>55035000</v>
      </c>
      <c r="F2635" s="1007" t="s">
        <v>2035</v>
      </c>
      <c r="G2635" s="1007">
        <v>7</v>
      </c>
      <c r="H2635" s="1010">
        <v>99999999</v>
      </c>
      <c r="I2635" s="1009">
        <v>55035000</v>
      </c>
      <c r="J2635" s="1007" t="s">
        <v>2034</v>
      </c>
      <c r="O2635" s="1007" t="s">
        <v>648</v>
      </c>
      <c r="P2635" s="1007" t="s">
        <v>648</v>
      </c>
      <c r="S2635" s="1008" t="s">
        <v>650</v>
      </c>
      <c r="T2635" s="1008" t="s">
        <v>654</v>
      </c>
      <c r="U2635" s="1008" t="s">
        <v>653</v>
      </c>
      <c r="V2635" s="1008" t="s">
        <v>648</v>
      </c>
      <c r="W2635" s="1008" t="s">
        <v>546</v>
      </c>
      <c r="X2635" s="1008" t="s">
        <v>670</v>
      </c>
      <c r="Y2635" s="1008"/>
      <c r="Z2635" s="1008" t="s">
        <v>670</v>
      </c>
      <c r="AA2635" s="1008"/>
      <c r="AB2635" s="1008"/>
      <c r="AC2635" s="1008"/>
      <c r="AD2635" s="1008" t="s">
        <v>670</v>
      </c>
      <c r="AE2635" s="1008"/>
      <c r="AF2635" s="1008"/>
      <c r="AG2635" s="1008"/>
      <c r="AH2635" s="1008"/>
      <c r="AI2635" s="1008"/>
    </row>
    <row r="2636" spans="1:35">
      <c r="A2636" s="1008">
        <v>25101</v>
      </c>
      <c r="C2636" s="1008">
        <v>6</v>
      </c>
      <c r="D2636" s="1009">
        <v>55099999</v>
      </c>
      <c r="E2636" s="1009">
        <v>55039999</v>
      </c>
      <c r="F2636" s="1007" t="s">
        <v>2033</v>
      </c>
      <c r="O2636" s="1007" t="s">
        <v>648</v>
      </c>
      <c r="P2636" s="1007" t="s">
        <v>648</v>
      </c>
      <c r="S2636" s="1008" t="s">
        <v>650</v>
      </c>
      <c r="T2636" s="1008" t="s">
        <v>21</v>
      </c>
      <c r="U2636" s="1008" t="s">
        <v>653</v>
      </c>
      <c r="V2636" s="1008" t="s">
        <v>648</v>
      </c>
      <c r="W2636" s="1008" t="s">
        <v>546</v>
      </c>
      <c r="X2636" s="1008"/>
      <c r="Y2636" s="1008"/>
      <c r="Z2636" s="1008"/>
      <c r="AA2636" s="1008"/>
      <c r="AB2636" s="1008"/>
      <c r="AC2636" s="1008"/>
      <c r="AD2636" s="1008"/>
      <c r="AE2636" s="1008"/>
      <c r="AF2636" s="1008"/>
      <c r="AG2636" s="1008"/>
      <c r="AH2636" s="1008"/>
      <c r="AI2636" s="1008"/>
    </row>
    <row r="2637" spans="1:35">
      <c r="A2637" s="1008">
        <v>25102</v>
      </c>
      <c r="C2637" s="1008">
        <v>6</v>
      </c>
      <c r="D2637" s="1009">
        <v>55049999</v>
      </c>
      <c r="E2637" s="1009">
        <v>55040000</v>
      </c>
      <c r="F2637" s="1007" t="s">
        <v>2032</v>
      </c>
      <c r="O2637" s="1007" t="s">
        <v>648</v>
      </c>
      <c r="P2637" s="1007" t="s">
        <v>648</v>
      </c>
      <c r="S2637" s="1008" t="s">
        <v>650</v>
      </c>
      <c r="T2637" s="1008" t="s">
        <v>675</v>
      </c>
      <c r="U2637" s="1008" t="s">
        <v>653</v>
      </c>
      <c r="V2637" s="1008" t="s">
        <v>648</v>
      </c>
      <c r="W2637" s="1008" t="s">
        <v>546</v>
      </c>
      <c r="X2637" s="1008"/>
      <c r="Y2637" s="1008"/>
      <c r="Z2637" s="1008"/>
      <c r="AA2637" s="1008"/>
      <c r="AB2637" s="1008"/>
      <c r="AC2637" s="1008"/>
      <c r="AD2637" s="1008"/>
      <c r="AE2637" s="1008"/>
      <c r="AF2637" s="1008"/>
      <c r="AG2637" s="1008"/>
      <c r="AH2637" s="1008"/>
      <c r="AI2637" s="1008"/>
    </row>
    <row r="2638" spans="1:35">
      <c r="A2638" s="1008">
        <v>25103</v>
      </c>
      <c r="B2638" s="1008">
        <v>759</v>
      </c>
      <c r="C2638" s="1008">
        <v>7</v>
      </c>
      <c r="D2638" s="1009">
        <v>55049999</v>
      </c>
      <c r="E2638" s="1009">
        <v>55041000</v>
      </c>
      <c r="F2638" s="1007" t="s">
        <v>2031</v>
      </c>
      <c r="G2638" s="1007">
        <v>8</v>
      </c>
      <c r="H2638" s="1010">
        <v>99999999</v>
      </c>
      <c r="I2638" s="1009">
        <v>55041000</v>
      </c>
      <c r="J2638" s="1007" t="s">
        <v>2031</v>
      </c>
      <c r="O2638" s="1007" t="s">
        <v>648</v>
      </c>
      <c r="P2638" s="1007" t="s">
        <v>648</v>
      </c>
      <c r="S2638" s="1008" t="s">
        <v>650</v>
      </c>
      <c r="T2638" s="1008" t="s">
        <v>654</v>
      </c>
      <c r="U2638" s="1008" t="s">
        <v>653</v>
      </c>
      <c r="V2638" s="1008" t="s">
        <v>648</v>
      </c>
      <c r="W2638" s="1008" t="s">
        <v>546</v>
      </c>
      <c r="X2638" s="1008" t="s">
        <v>670</v>
      </c>
      <c r="Y2638" s="1008" t="s">
        <v>670</v>
      </c>
      <c r="Z2638" s="1008"/>
      <c r="AA2638" s="1008"/>
      <c r="AB2638" s="1008"/>
      <c r="AC2638" s="1008" t="s">
        <v>670</v>
      </c>
      <c r="AD2638" s="1008" t="s">
        <v>670</v>
      </c>
      <c r="AE2638" s="1008"/>
      <c r="AF2638" s="1008" t="s">
        <v>670</v>
      </c>
      <c r="AG2638" s="1008"/>
      <c r="AH2638" s="1008"/>
      <c r="AI2638" s="1008"/>
    </row>
    <row r="2639" spans="1:35">
      <c r="A2639" s="1008">
        <v>25104</v>
      </c>
      <c r="C2639" s="1008">
        <v>6</v>
      </c>
      <c r="D2639" s="1009">
        <v>55099999</v>
      </c>
      <c r="E2639" s="1009">
        <v>55049999</v>
      </c>
      <c r="F2639" s="1007" t="s">
        <v>2030</v>
      </c>
      <c r="O2639" s="1007" t="s">
        <v>648</v>
      </c>
      <c r="P2639" s="1007" t="s">
        <v>648</v>
      </c>
      <c r="S2639" s="1008" t="s">
        <v>650</v>
      </c>
      <c r="T2639" s="1008" t="s">
        <v>21</v>
      </c>
      <c r="U2639" s="1008" t="s">
        <v>653</v>
      </c>
      <c r="V2639" s="1008" t="s">
        <v>648</v>
      </c>
      <c r="W2639" s="1008" t="s">
        <v>546</v>
      </c>
      <c r="X2639" s="1008"/>
      <c r="Y2639" s="1008"/>
      <c r="Z2639" s="1008"/>
      <c r="AA2639" s="1008"/>
      <c r="AB2639" s="1008"/>
      <c r="AC2639" s="1008"/>
      <c r="AD2639" s="1008"/>
      <c r="AE2639" s="1008"/>
      <c r="AF2639" s="1008"/>
      <c r="AG2639" s="1008"/>
      <c r="AH2639" s="1008"/>
      <c r="AI2639" s="1008"/>
    </row>
    <row r="2640" spans="1:35">
      <c r="A2640" s="1008">
        <v>25105</v>
      </c>
      <c r="C2640" s="1008">
        <v>6</v>
      </c>
      <c r="D2640" s="1009">
        <v>55059999</v>
      </c>
      <c r="E2640" s="1009">
        <v>55050000</v>
      </c>
      <c r="F2640" s="1007" t="s">
        <v>2028</v>
      </c>
      <c r="O2640" s="1007" t="s">
        <v>648</v>
      </c>
      <c r="P2640" s="1007" t="s">
        <v>648</v>
      </c>
      <c r="S2640" s="1008" t="s">
        <v>650</v>
      </c>
      <c r="T2640" s="1008" t="s">
        <v>675</v>
      </c>
      <c r="U2640" s="1008" t="s">
        <v>653</v>
      </c>
      <c r="V2640" s="1008" t="s">
        <v>648</v>
      </c>
      <c r="W2640" s="1008" t="s">
        <v>546</v>
      </c>
      <c r="X2640" s="1008"/>
      <c r="Y2640" s="1008"/>
      <c r="Z2640" s="1008"/>
      <c r="AA2640" s="1008"/>
      <c r="AB2640" s="1008"/>
      <c r="AC2640" s="1008"/>
      <c r="AD2640" s="1008"/>
      <c r="AE2640" s="1008"/>
      <c r="AF2640" s="1008"/>
      <c r="AG2640" s="1008"/>
      <c r="AH2640" s="1008"/>
      <c r="AI2640" s="1008"/>
    </row>
    <row r="2641" spans="1:35">
      <c r="A2641" s="1008">
        <v>25106</v>
      </c>
      <c r="B2641" s="1008">
        <v>459</v>
      </c>
      <c r="C2641" s="1008">
        <v>7</v>
      </c>
      <c r="D2641" s="1009">
        <v>55059999</v>
      </c>
      <c r="E2641" s="1009">
        <v>55051000</v>
      </c>
      <c r="F2641" s="1007" t="s">
        <v>2029</v>
      </c>
      <c r="G2641" s="1007">
        <v>8</v>
      </c>
      <c r="H2641" s="1010">
        <v>99999999</v>
      </c>
      <c r="I2641" s="1009">
        <v>55051000</v>
      </c>
      <c r="J2641" s="1007" t="s">
        <v>2029</v>
      </c>
      <c r="O2641" s="1007" t="s">
        <v>648</v>
      </c>
      <c r="P2641" s="1007" t="s">
        <v>648</v>
      </c>
      <c r="S2641" s="1008" t="s">
        <v>650</v>
      </c>
      <c r="T2641" s="1008" t="s">
        <v>654</v>
      </c>
      <c r="U2641" s="1008" t="s">
        <v>653</v>
      </c>
      <c r="V2641" s="1008" t="s">
        <v>648</v>
      </c>
      <c r="W2641" s="1008" t="s">
        <v>546</v>
      </c>
      <c r="X2641" s="1008" t="s">
        <v>670</v>
      </c>
      <c r="Y2641" s="1008"/>
      <c r="Z2641" s="1008"/>
      <c r="AA2641" s="1008"/>
      <c r="AB2641" s="1008"/>
      <c r="AC2641" s="1008" t="s">
        <v>670</v>
      </c>
      <c r="AD2641" s="1008" t="s">
        <v>670</v>
      </c>
      <c r="AE2641" s="1008"/>
      <c r="AF2641" s="1008"/>
      <c r="AG2641" s="1008"/>
      <c r="AH2641" s="1008"/>
      <c r="AI2641" s="1008"/>
    </row>
    <row r="2642" spans="1:35">
      <c r="A2642" s="1008">
        <v>25107</v>
      </c>
      <c r="C2642" s="1008">
        <v>6</v>
      </c>
      <c r="D2642" s="1009">
        <v>55099999</v>
      </c>
      <c r="E2642" s="1009">
        <v>55059999</v>
      </c>
      <c r="F2642" s="1007" t="s">
        <v>2028</v>
      </c>
      <c r="O2642" s="1007" t="s">
        <v>648</v>
      </c>
      <c r="P2642" s="1007" t="s">
        <v>648</v>
      </c>
      <c r="S2642" s="1008" t="s">
        <v>650</v>
      </c>
      <c r="T2642" s="1008" t="s">
        <v>21</v>
      </c>
      <c r="U2642" s="1008" t="s">
        <v>653</v>
      </c>
      <c r="V2642" s="1008" t="s">
        <v>648</v>
      </c>
      <c r="W2642" s="1008" t="s">
        <v>546</v>
      </c>
      <c r="X2642" s="1008"/>
      <c r="Y2642" s="1008"/>
      <c r="Z2642" s="1008"/>
      <c r="AA2642" s="1008"/>
      <c r="AB2642" s="1008"/>
      <c r="AC2642" s="1008"/>
      <c r="AD2642" s="1008"/>
      <c r="AE2642" s="1008"/>
      <c r="AF2642" s="1008"/>
      <c r="AG2642" s="1008"/>
      <c r="AH2642" s="1008"/>
      <c r="AI2642" s="1008"/>
    </row>
    <row r="2643" spans="1:35">
      <c r="A2643" s="1008">
        <v>26309</v>
      </c>
      <c r="C2643" s="1008">
        <v>6</v>
      </c>
      <c r="D2643" s="1009">
        <v>55069999</v>
      </c>
      <c r="E2643" s="1009">
        <v>55060000</v>
      </c>
      <c r="F2643" s="1007" t="s">
        <v>1310</v>
      </c>
      <c r="O2643" s="1007" t="s">
        <v>648</v>
      </c>
      <c r="P2643" s="1007" t="s">
        <v>648</v>
      </c>
      <c r="S2643" s="1008" t="s">
        <v>650</v>
      </c>
      <c r="T2643" s="1008" t="s">
        <v>675</v>
      </c>
      <c r="U2643" s="1008" t="s">
        <v>653</v>
      </c>
      <c r="V2643" s="1008" t="s">
        <v>648</v>
      </c>
      <c r="W2643" s="1008" t="s">
        <v>546</v>
      </c>
      <c r="X2643" s="1008"/>
      <c r="Y2643" s="1008"/>
      <c r="Z2643" s="1008"/>
      <c r="AA2643" s="1008"/>
      <c r="AB2643" s="1008"/>
      <c r="AC2643" s="1008"/>
      <c r="AD2643" s="1008"/>
      <c r="AE2643" s="1008"/>
      <c r="AF2643" s="1008"/>
      <c r="AG2643" s="1008"/>
      <c r="AH2643" s="1008"/>
      <c r="AI2643" s="1008"/>
    </row>
    <row r="2644" spans="1:35">
      <c r="A2644" s="1008">
        <v>26308</v>
      </c>
      <c r="B2644" s="1008">
        <v>2216</v>
      </c>
      <c r="C2644" s="1008">
        <v>7</v>
      </c>
      <c r="D2644" s="1009">
        <v>55069999</v>
      </c>
      <c r="E2644" s="1009">
        <v>55061000</v>
      </c>
      <c r="F2644" s="1007" t="s">
        <v>2027</v>
      </c>
      <c r="G2644" s="1007">
        <v>7</v>
      </c>
      <c r="H2644" s="1010">
        <v>99999999</v>
      </c>
      <c r="I2644" s="1009">
        <v>55061000</v>
      </c>
      <c r="J2644" s="1007" t="s">
        <v>2027</v>
      </c>
      <c r="O2644" s="1007" t="s">
        <v>648</v>
      </c>
      <c r="P2644" s="1007" t="s">
        <v>648</v>
      </c>
      <c r="S2644" s="1008" t="s">
        <v>650</v>
      </c>
      <c r="T2644" s="1008" t="s">
        <v>654</v>
      </c>
      <c r="U2644" s="1008" t="s">
        <v>653</v>
      </c>
      <c r="V2644" s="1008" t="s">
        <v>648</v>
      </c>
      <c r="W2644" s="1008" t="s">
        <v>546</v>
      </c>
      <c r="X2644" s="1008" t="s">
        <v>670</v>
      </c>
      <c r="Y2644" s="1008" t="s">
        <v>670</v>
      </c>
      <c r="Z2644" s="1008"/>
      <c r="AA2644" s="1008"/>
      <c r="AB2644" s="1008"/>
      <c r="AC2644" s="1008" t="s">
        <v>670</v>
      </c>
      <c r="AD2644" s="1008" t="s">
        <v>670</v>
      </c>
      <c r="AE2644" s="1008"/>
      <c r="AF2644" s="1008" t="s">
        <v>670</v>
      </c>
      <c r="AG2644" s="1008"/>
      <c r="AH2644" s="1008"/>
      <c r="AI2644" s="1008"/>
    </row>
    <row r="2645" spans="1:35">
      <c r="A2645" s="1008">
        <v>26307</v>
      </c>
      <c r="B2645" s="1008">
        <v>2217</v>
      </c>
      <c r="C2645" s="1008">
        <v>7</v>
      </c>
      <c r="D2645" s="1009">
        <v>55069999</v>
      </c>
      <c r="E2645" s="1009">
        <v>55062000</v>
      </c>
      <c r="F2645" s="1007" t="s">
        <v>2026</v>
      </c>
      <c r="G2645" s="1007">
        <v>7</v>
      </c>
      <c r="H2645" s="1010">
        <v>99999999</v>
      </c>
      <c r="I2645" s="1009">
        <v>55062000</v>
      </c>
      <c r="J2645" s="1007" t="s">
        <v>2026</v>
      </c>
      <c r="O2645" s="1007" t="s">
        <v>648</v>
      </c>
      <c r="P2645" s="1007" t="s">
        <v>648</v>
      </c>
      <c r="S2645" s="1008" t="s">
        <v>650</v>
      </c>
      <c r="T2645" s="1008" t="s">
        <v>654</v>
      </c>
      <c r="U2645" s="1008" t="s">
        <v>653</v>
      </c>
      <c r="V2645" s="1008" t="s">
        <v>648</v>
      </c>
      <c r="W2645" s="1008" t="s">
        <v>546</v>
      </c>
      <c r="X2645" s="1008" t="s">
        <v>670</v>
      </c>
      <c r="Y2645" s="1008"/>
      <c r="Z2645" s="1008"/>
      <c r="AA2645" s="1008"/>
      <c r="AB2645" s="1008"/>
      <c r="AC2645" s="1008" t="s">
        <v>670</v>
      </c>
      <c r="AD2645" s="1008" t="s">
        <v>670</v>
      </c>
      <c r="AE2645" s="1008"/>
      <c r="AF2645" s="1008"/>
      <c r="AG2645" s="1008"/>
      <c r="AH2645" s="1008"/>
      <c r="AI2645" s="1008"/>
    </row>
    <row r="2646" spans="1:35">
      <c r="A2646" s="1008">
        <v>26306</v>
      </c>
      <c r="B2646" s="1008">
        <v>2218</v>
      </c>
      <c r="C2646" s="1008">
        <v>7</v>
      </c>
      <c r="D2646" s="1009">
        <v>55069999</v>
      </c>
      <c r="E2646" s="1009">
        <v>55063000</v>
      </c>
      <c r="F2646" s="1007" t="s">
        <v>2025</v>
      </c>
      <c r="G2646" s="1007">
        <v>7</v>
      </c>
      <c r="H2646" s="1010">
        <v>99999999</v>
      </c>
      <c r="I2646" s="1009">
        <v>55063000</v>
      </c>
      <c r="J2646" s="1007" t="s">
        <v>2025</v>
      </c>
      <c r="O2646" s="1007" t="s">
        <v>648</v>
      </c>
      <c r="P2646" s="1007" t="s">
        <v>648</v>
      </c>
      <c r="S2646" s="1008" t="s">
        <v>650</v>
      </c>
      <c r="T2646" s="1008" t="s">
        <v>654</v>
      </c>
      <c r="U2646" s="1008" t="s">
        <v>653</v>
      </c>
      <c r="V2646" s="1008" t="s">
        <v>648</v>
      </c>
      <c r="W2646" s="1008" t="s">
        <v>546</v>
      </c>
      <c r="X2646" s="1008" t="s">
        <v>670</v>
      </c>
      <c r="Y2646" s="1008"/>
      <c r="Z2646" s="1008"/>
      <c r="AA2646" s="1008"/>
      <c r="AB2646" s="1008"/>
      <c r="AC2646" s="1008" t="s">
        <v>670</v>
      </c>
      <c r="AD2646" s="1008" t="s">
        <v>670</v>
      </c>
      <c r="AE2646" s="1008"/>
      <c r="AF2646" s="1008"/>
      <c r="AG2646" s="1008"/>
      <c r="AH2646" s="1008"/>
      <c r="AI2646" s="1008"/>
    </row>
    <row r="2647" spans="1:35">
      <c r="A2647" s="1008">
        <v>26305</v>
      </c>
      <c r="B2647" s="1008">
        <v>2219</v>
      </c>
      <c r="C2647" s="1008">
        <v>7</v>
      </c>
      <c r="D2647" s="1009">
        <v>55069999</v>
      </c>
      <c r="E2647" s="1009">
        <v>55064000</v>
      </c>
      <c r="F2647" s="1007" t="s">
        <v>1306</v>
      </c>
      <c r="G2647" s="1007">
        <v>7</v>
      </c>
      <c r="H2647" s="1010">
        <v>99999999</v>
      </c>
      <c r="I2647" s="1009">
        <v>55064000</v>
      </c>
      <c r="J2647" s="1007" t="s">
        <v>1306</v>
      </c>
      <c r="O2647" s="1007" t="s">
        <v>648</v>
      </c>
      <c r="P2647" s="1007" t="s">
        <v>648</v>
      </c>
      <c r="S2647" s="1008" t="s">
        <v>650</v>
      </c>
      <c r="T2647" s="1008" t="s">
        <v>654</v>
      </c>
      <c r="U2647" s="1008" t="s">
        <v>653</v>
      </c>
      <c r="V2647" s="1008" t="s">
        <v>648</v>
      </c>
      <c r="W2647" s="1008" t="s">
        <v>546</v>
      </c>
      <c r="X2647" s="1008" t="s">
        <v>670</v>
      </c>
      <c r="Y2647" s="1008" t="s">
        <v>670</v>
      </c>
      <c r="Z2647" s="1008"/>
      <c r="AA2647" s="1008"/>
      <c r="AB2647" s="1008"/>
      <c r="AC2647" s="1008" t="s">
        <v>670</v>
      </c>
      <c r="AD2647" s="1008" t="s">
        <v>670</v>
      </c>
      <c r="AE2647" s="1008"/>
      <c r="AF2647" s="1008" t="s">
        <v>670</v>
      </c>
      <c r="AG2647" s="1008"/>
      <c r="AH2647" s="1008"/>
      <c r="AI2647" s="1008"/>
    </row>
    <row r="2648" spans="1:35">
      <c r="A2648" s="1008">
        <v>26304</v>
      </c>
      <c r="B2648" s="1008">
        <v>2220</v>
      </c>
      <c r="C2648" s="1008">
        <v>7</v>
      </c>
      <c r="D2648" s="1009">
        <v>55069999</v>
      </c>
      <c r="E2648" s="1009">
        <v>55065000</v>
      </c>
      <c r="F2648" s="1007" t="s">
        <v>1309</v>
      </c>
      <c r="G2648" s="1007">
        <v>7</v>
      </c>
      <c r="H2648" s="1010">
        <v>99999999</v>
      </c>
      <c r="I2648" s="1009">
        <v>55065000</v>
      </c>
      <c r="J2648" s="1007" t="s">
        <v>1309</v>
      </c>
      <c r="O2648" s="1007" t="s">
        <v>648</v>
      </c>
      <c r="P2648" s="1007" t="s">
        <v>648</v>
      </c>
      <c r="S2648" s="1008" t="s">
        <v>650</v>
      </c>
      <c r="T2648" s="1008" t="s">
        <v>654</v>
      </c>
      <c r="U2648" s="1008" t="s">
        <v>653</v>
      </c>
      <c r="V2648" s="1008" t="s">
        <v>648</v>
      </c>
      <c r="W2648" s="1008" t="s">
        <v>546</v>
      </c>
      <c r="X2648" s="1008" t="s">
        <v>670</v>
      </c>
      <c r="Y2648" s="1008"/>
      <c r="Z2648" s="1008"/>
      <c r="AA2648" s="1008"/>
      <c r="AB2648" s="1008"/>
      <c r="AC2648" s="1008" t="s">
        <v>670</v>
      </c>
      <c r="AD2648" s="1008" t="s">
        <v>670</v>
      </c>
      <c r="AE2648" s="1008"/>
      <c r="AF2648" s="1008"/>
      <c r="AG2648" s="1008"/>
      <c r="AH2648" s="1008"/>
      <c r="AI2648" s="1008"/>
    </row>
    <row r="2649" spans="1:35">
      <c r="A2649" s="1008">
        <v>26303</v>
      </c>
      <c r="B2649" s="1008">
        <v>2221</v>
      </c>
      <c r="C2649" s="1008">
        <v>7</v>
      </c>
      <c r="D2649" s="1009">
        <v>55069999</v>
      </c>
      <c r="E2649" s="1009">
        <v>55066000</v>
      </c>
      <c r="F2649" s="1007" t="s">
        <v>2024</v>
      </c>
      <c r="G2649" s="1007">
        <v>7</v>
      </c>
      <c r="H2649" s="1010">
        <v>99999999</v>
      </c>
      <c r="I2649" s="1009">
        <v>55066000</v>
      </c>
      <c r="J2649" s="1007" t="s">
        <v>2024</v>
      </c>
      <c r="O2649" s="1007" t="s">
        <v>648</v>
      </c>
      <c r="P2649" s="1007" t="s">
        <v>648</v>
      </c>
      <c r="S2649" s="1008" t="s">
        <v>650</v>
      </c>
      <c r="T2649" s="1008" t="s">
        <v>654</v>
      </c>
      <c r="U2649" s="1008" t="s">
        <v>653</v>
      </c>
      <c r="V2649" s="1008" t="s">
        <v>648</v>
      </c>
      <c r="W2649" s="1008" t="s">
        <v>546</v>
      </c>
      <c r="X2649" s="1008" t="s">
        <v>670</v>
      </c>
      <c r="Y2649" s="1008"/>
      <c r="Z2649" s="1008"/>
      <c r="AA2649" s="1008"/>
      <c r="AB2649" s="1008"/>
      <c r="AC2649" s="1008" t="s">
        <v>670</v>
      </c>
      <c r="AD2649" s="1008" t="s">
        <v>670</v>
      </c>
      <c r="AE2649" s="1008"/>
      <c r="AF2649" s="1008"/>
      <c r="AG2649" s="1008"/>
      <c r="AH2649" s="1008"/>
      <c r="AI2649" s="1008"/>
    </row>
    <row r="2650" spans="1:35">
      <c r="A2650" s="1008">
        <v>26302</v>
      </c>
      <c r="B2650" s="1008">
        <v>2222</v>
      </c>
      <c r="C2650" s="1008">
        <v>7</v>
      </c>
      <c r="D2650" s="1009">
        <v>55069999</v>
      </c>
      <c r="E2650" s="1009">
        <v>55067000</v>
      </c>
      <c r="F2650" s="1007" t="s">
        <v>1303</v>
      </c>
      <c r="G2650" s="1007">
        <v>7</v>
      </c>
      <c r="H2650" s="1010">
        <v>99999999</v>
      </c>
      <c r="I2650" s="1009">
        <v>55067000</v>
      </c>
      <c r="J2650" s="1007" t="s">
        <v>1303</v>
      </c>
      <c r="O2650" s="1007" t="s">
        <v>648</v>
      </c>
      <c r="P2650" s="1007" t="s">
        <v>648</v>
      </c>
      <c r="S2650" s="1008" t="s">
        <v>650</v>
      </c>
      <c r="T2650" s="1008" t="s">
        <v>654</v>
      </c>
      <c r="U2650" s="1008" t="s">
        <v>653</v>
      </c>
      <c r="V2650" s="1008" t="s">
        <v>648</v>
      </c>
      <c r="W2650" s="1008" t="s">
        <v>546</v>
      </c>
      <c r="X2650" s="1008" t="s">
        <v>670</v>
      </c>
      <c r="Y2650" s="1008" t="s">
        <v>670</v>
      </c>
      <c r="Z2650" s="1008" t="s">
        <v>670</v>
      </c>
      <c r="AA2650" s="1008"/>
      <c r="AB2650" s="1008"/>
      <c r="AC2650" s="1008"/>
      <c r="AD2650" s="1008" t="s">
        <v>670</v>
      </c>
      <c r="AE2650" s="1008"/>
      <c r="AF2650" s="1008" t="s">
        <v>670</v>
      </c>
      <c r="AG2650" s="1008"/>
      <c r="AH2650" s="1008"/>
      <c r="AI2650" s="1008"/>
    </row>
    <row r="2651" spans="1:35">
      <c r="A2651" s="1008">
        <v>26301</v>
      </c>
      <c r="B2651" s="1008">
        <v>563</v>
      </c>
      <c r="C2651" s="1008">
        <v>7</v>
      </c>
      <c r="D2651" s="1009">
        <v>55069999</v>
      </c>
      <c r="E2651" s="1009">
        <v>55068000</v>
      </c>
      <c r="F2651" s="1007" t="s">
        <v>2023</v>
      </c>
      <c r="G2651" s="1007">
        <v>8</v>
      </c>
      <c r="H2651" s="1010">
        <v>99999999</v>
      </c>
      <c r="I2651" s="1009">
        <v>55068000</v>
      </c>
      <c r="J2651" s="1007" t="s">
        <v>2023</v>
      </c>
      <c r="O2651" s="1007" t="s">
        <v>648</v>
      </c>
      <c r="P2651" s="1007" t="s">
        <v>648</v>
      </c>
      <c r="S2651" s="1008" t="s">
        <v>650</v>
      </c>
      <c r="T2651" s="1008" t="s">
        <v>654</v>
      </c>
      <c r="U2651" s="1008" t="s">
        <v>653</v>
      </c>
      <c r="V2651" s="1008" t="s">
        <v>648</v>
      </c>
      <c r="W2651" s="1008" t="s">
        <v>546</v>
      </c>
      <c r="X2651" s="1008" t="s">
        <v>670</v>
      </c>
      <c r="Y2651" s="1008"/>
      <c r="Z2651" s="1008"/>
      <c r="AA2651" s="1008" t="s">
        <v>670</v>
      </c>
      <c r="AB2651" s="1008"/>
      <c r="AC2651" s="1008" t="s">
        <v>670</v>
      </c>
      <c r="AD2651" s="1008" t="s">
        <v>670</v>
      </c>
      <c r="AE2651" s="1008"/>
      <c r="AF2651" s="1008"/>
      <c r="AG2651" s="1008"/>
      <c r="AH2651" s="1008"/>
      <c r="AI2651" s="1008"/>
    </row>
    <row r="2652" spans="1:35">
      <c r="A2652" s="1008">
        <v>26300</v>
      </c>
      <c r="C2652" s="1008">
        <v>6</v>
      </c>
      <c r="D2652" s="1009">
        <v>55099999</v>
      </c>
      <c r="E2652" s="1009">
        <v>55069999</v>
      </c>
      <c r="F2652" s="1007" t="s">
        <v>1302</v>
      </c>
      <c r="O2652" s="1007" t="s">
        <v>648</v>
      </c>
      <c r="P2652" s="1007" t="s">
        <v>648</v>
      </c>
      <c r="S2652" s="1008" t="s">
        <v>650</v>
      </c>
      <c r="T2652" s="1008" t="s">
        <v>21</v>
      </c>
      <c r="U2652" s="1008" t="s">
        <v>653</v>
      </c>
      <c r="V2652" s="1008" t="s">
        <v>648</v>
      </c>
      <c r="W2652" s="1008" t="s">
        <v>546</v>
      </c>
      <c r="X2652" s="1008"/>
      <c r="Y2652" s="1008"/>
      <c r="Z2652" s="1008"/>
      <c r="AA2652" s="1008"/>
      <c r="AB2652" s="1008"/>
      <c r="AC2652" s="1008"/>
      <c r="AD2652" s="1008"/>
      <c r="AE2652" s="1008"/>
      <c r="AF2652" s="1008"/>
      <c r="AG2652" s="1008"/>
      <c r="AH2652" s="1008"/>
      <c r="AI2652" s="1008"/>
    </row>
    <row r="2653" spans="1:35">
      <c r="A2653" s="1008">
        <v>25108</v>
      </c>
      <c r="C2653" s="1008">
        <v>5</v>
      </c>
      <c r="D2653" s="1009">
        <v>59599999</v>
      </c>
      <c r="E2653" s="1009">
        <v>55099999</v>
      </c>
      <c r="F2653" s="1007" t="s">
        <v>1431</v>
      </c>
      <c r="O2653" s="1007" t="s">
        <v>648</v>
      </c>
      <c r="P2653" s="1007" t="s">
        <v>648</v>
      </c>
      <c r="S2653" s="1008" t="s">
        <v>650</v>
      </c>
      <c r="T2653" s="1008" t="s">
        <v>21</v>
      </c>
      <c r="U2653" s="1008" t="s">
        <v>653</v>
      </c>
      <c r="V2653" s="1008" t="s">
        <v>648</v>
      </c>
      <c r="W2653" s="1008" t="s">
        <v>546</v>
      </c>
      <c r="X2653" s="1008"/>
      <c r="Y2653" s="1008"/>
      <c r="Z2653" s="1008"/>
      <c r="AA2653" s="1008"/>
      <c r="AB2653" s="1008"/>
      <c r="AC2653" s="1008"/>
      <c r="AD2653" s="1008"/>
      <c r="AE2653" s="1008"/>
      <c r="AF2653" s="1008"/>
      <c r="AG2653" s="1008"/>
      <c r="AH2653" s="1008"/>
      <c r="AI2653" s="1008"/>
    </row>
    <row r="2654" spans="1:35">
      <c r="A2654" s="1008">
        <v>25109</v>
      </c>
      <c r="C2654" s="1008">
        <v>5</v>
      </c>
      <c r="D2654" s="1009">
        <v>56099999</v>
      </c>
      <c r="E2654" s="1009">
        <v>56000000</v>
      </c>
      <c r="F2654" s="1007" t="s">
        <v>2022</v>
      </c>
      <c r="O2654" s="1007" t="s">
        <v>648</v>
      </c>
      <c r="P2654" s="1007" t="s">
        <v>648</v>
      </c>
      <c r="S2654" s="1008" t="s">
        <v>650</v>
      </c>
      <c r="T2654" s="1008" t="s">
        <v>675</v>
      </c>
      <c r="U2654" s="1008" t="s">
        <v>653</v>
      </c>
      <c r="V2654" s="1008" t="s">
        <v>648</v>
      </c>
      <c r="W2654" s="1008" t="s">
        <v>546</v>
      </c>
      <c r="X2654" s="1008"/>
      <c r="Y2654" s="1008"/>
      <c r="Z2654" s="1008"/>
      <c r="AA2654" s="1008"/>
      <c r="AB2654" s="1008"/>
      <c r="AC2654" s="1008"/>
      <c r="AD2654" s="1008"/>
      <c r="AE2654" s="1008"/>
      <c r="AF2654" s="1008"/>
      <c r="AG2654" s="1008"/>
      <c r="AH2654" s="1008"/>
      <c r="AI2654" s="1008"/>
    </row>
    <row r="2655" spans="1:35">
      <c r="A2655" s="1008">
        <v>25110</v>
      </c>
      <c r="C2655" s="1008">
        <v>6</v>
      </c>
      <c r="D2655" s="1009">
        <v>56019999</v>
      </c>
      <c r="E2655" s="1009">
        <v>56010000</v>
      </c>
      <c r="F2655" s="1007" t="s">
        <v>20</v>
      </c>
      <c r="O2655" s="1007" t="s">
        <v>648</v>
      </c>
      <c r="P2655" s="1007" t="s">
        <v>648</v>
      </c>
      <c r="S2655" s="1008" t="s">
        <v>650</v>
      </c>
      <c r="T2655" s="1008" t="s">
        <v>675</v>
      </c>
      <c r="U2655" s="1008" t="s">
        <v>653</v>
      </c>
      <c r="V2655" s="1008" t="s">
        <v>648</v>
      </c>
      <c r="W2655" s="1008" t="s">
        <v>546</v>
      </c>
      <c r="X2655" s="1008"/>
      <c r="Y2655" s="1008"/>
      <c r="Z2655" s="1008"/>
      <c r="AA2655" s="1008"/>
      <c r="AB2655" s="1008"/>
      <c r="AC2655" s="1008"/>
      <c r="AD2655" s="1008"/>
      <c r="AE2655" s="1008"/>
      <c r="AF2655" s="1008"/>
      <c r="AG2655" s="1008"/>
      <c r="AH2655" s="1008"/>
      <c r="AI2655" s="1008"/>
    </row>
    <row r="2656" spans="1:35">
      <c r="A2656" s="1008">
        <v>25111</v>
      </c>
      <c r="B2656" s="1008">
        <v>603</v>
      </c>
      <c r="C2656" s="1008">
        <v>7</v>
      </c>
      <c r="D2656" s="1009">
        <v>56019999</v>
      </c>
      <c r="E2656" s="1009">
        <v>56011000</v>
      </c>
      <c r="F2656" s="1007" t="s">
        <v>2021</v>
      </c>
      <c r="G2656" s="1007">
        <v>8</v>
      </c>
      <c r="H2656" s="1010">
        <v>99999999</v>
      </c>
      <c r="I2656" s="1009">
        <v>56011000</v>
      </c>
      <c r="J2656" s="1007" t="s">
        <v>2021</v>
      </c>
      <c r="O2656" s="1007" t="s">
        <v>648</v>
      </c>
      <c r="P2656" s="1007" t="s">
        <v>648</v>
      </c>
      <c r="S2656" s="1008" t="s">
        <v>650</v>
      </c>
      <c r="T2656" s="1008" t="s">
        <v>654</v>
      </c>
      <c r="U2656" s="1008" t="s">
        <v>653</v>
      </c>
      <c r="V2656" s="1008" t="s">
        <v>648</v>
      </c>
      <c r="W2656" s="1008" t="s">
        <v>546</v>
      </c>
      <c r="X2656" s="1008" t="s">
        <v>670</v>
      </c>
      <c r="Y2656" s="1008" t="s">
        <v>670</v>
      </c>
      <c r="Z2656" s="1008" t="s">
        <v>670</v>
      </c>
      <c r="AA2656" s="1008" t="s">
        <v>670</v>
      </c>
      <c r="AB2656" s="1008"/>
      <c r="AC2656" s="1008" t="s">
        <v>670</v>
      </c>
      <c r="AD2656" s="1008" t="s">
        <v>670</v>
      </c>
      <c r="AE2656" s="1008"/>
      <c r="AF2656" s="1008" t="s">
        <v>670</v>
      </c>
      <c r="AG2656" s="1008"/>
      <c r="AH2656" s="1008"/>
      <c r="AI2656" s="1008"/>
    </row>
    <row r="2657" spans="1:35">
      <c r="A2657" s="1008">
        <v>25112</v>
      </c>
      <c r="B2657" s="1008">
        <v>2225</v>
      </c>
      <c r="C2657" s="1008">
        <v>7</v>
      </c>
      <c r="D2657" s="1009">
        <v>56019999</v>
      </c>
      <c r="E2657" s="1009">
        <v>56012000</v>
      </c>
      <c r="F2657" s="1007" t="s">
        <v>2020</v>
      </c>
      <c r="G2657" s="1007">
        <v>7</v>
      </c>
      <c r="H2657" s="1010">
        <v>99999999</v>
      </c>
      <c r="I2657" s="1009">
        <v>56012000</v>
      </c>
      <c r="J2657" s="1007" t="s">
        <v>2020</v>
      </c>
      <c r="O2657" s="1007" t="s">
        <v>648</v>
      </c>
      <c r="P2657" s="1007" t="s">
        <v>648</v>
      </c>
      <c r="S2657" s="1008" t="s">
        <v>650</v>
      </c>
      <c r="T2657" s="1008" t="s">
        <v>654</v>
      </c>
      <c r="U2657" s="1008" t="s">
        <v>653</v>
      </c>
      <c r="V2657" s="1008" t="s">
        <v>648</v>
      </c>
      <c r="W2657" s="1008" t="s">
        <v>546</v>
      </c>
      <c r="X2657" s="1008" t="s">
        <v>670</v>
      </c>
      <c r="Y2657" s="1008"/>
      <c r="Z2657" s="1008"/>
      <c r="AA2657" s="1008"/>
      <c r="AB2657" s="1008"/>
      <c r="AC2657" s="1008" t="s">
        <v>670</v>
      </c>
      <c r="AD2657" s="1008" t="s">
        <v>670</v>
      </c>
      <c r="AE2657" s="1008"/>
      <c r="AF2657" s="1008"/>
      <c r="AG2657" s="1008"/>
      <c r="AH2657" s="1008"/>
      <c r="AI2657" s="1008"/>
    </row>
    <row r="2658" spans="1:35">
      <c r="A2658" s="1008">
        <v>25113</v>
      </c>
      <c r="B2658" s="1008">
        <v>419</v>
      </c>
      <c r="C2658" s="1008">
        <v>7</v>
      </c>
      <c r="D2658" s="1009">
        <v>56019999</v>
      </c>
      <c r="E2658" s="1009">
        <v>56013000</v>
      </c>
      <c r="F2658" s="1007" t="s">
        <v>2019</v>
      </c>
      <c r="G2658" s="1007">
        <v>8</v>
      </c>
      <c r="H2658" s="1010">
        <v>99999999</v>
      </c>
      <c r="I2658" s="1009">
        <v>56013000</v>
      </c>
      <c r="J2658" s="1007" t="s">
        <v>2019</v>
      </c>
      <c r="O2658" s="1007" t="s">
        <v>648</v>
      </c>
      <c r="P2658" s="1007" t="s">
        <v>648</v>
      </c>
      <c r="S2658" s="1008" t="s">
        <v>650</v>
      </c>
      <c r="T2658" s="1008" t="s">
        <v>654</v>
      </c>
      <c r="U2658" s="1008" t="s">
        <v>653</v>
      </c>
      <c r="V2658" s="1008" t="s">
        <v>648</v>
      </c>
      <c r="W2658" s="1008" t="s">
        <v>546</v>
      </c>
      <c r="X2658" s="1008" t="s">
        <v>670</v>
      </c>
      <c r="Y2658" s="1008" t="s">
        <v>670</v>
      </c>
      <c r="Z2658" s="1008" t="s">
        <v>670</v>
      </c>
      <c r="AA2658" s="1008"/>
      <c r="AB2658" s="1008"/>
      <c r="AC2658" s="1008" t="s">
        <v>670</v>
      </c>
      <c r="AD2658" s="1008" t="s">
        <v>670</v>
      </c>
      <c r="AE2658" s="1008"/>
      <c r="AF2658" s="1008" t="s">
        <v>670</v>
      </c>
      <c r="AG2658" s="1008"/>
      <c r="AH2658" s="1008"/>
      <c r="AI2658" s="1008"/>
    </row>
    <row r="2659" spans="1:35">
      <c r="A2659" s="1008">
        <v>27031</v>
      </c>
      <c r="B2659" s="1008">
        <v>5912</v>
      </c>
      <c r="C2659" s="1008">
        <v>7</v>
      </c>
      <c r="D2659" s="1009">
        <v>56019999</v>
      </c>
      <c r="E2659" s="1009">
        <v>56013600</v>
      </c>
      <c r="F2659" s="1007" t="s">
        <v>2018</v>
      </c>
      <c r="G2659" s="1007" t="s">
        <v>648</v>
      </c>
      <c r="H2659" s="1010">
        <v>99999999</v>
      </c>
      <c r="I2659" s="1009">
        <v>56013600</v>
      </c>
      <c r="J2659" s="1007" t="s">
        <v>2018</v>
      </c>
      <c r="O2659" s="1007" t="s">
        <v>648</v>
      </c>
      <c r="P2659" s="1007" t="s">
        <v>648</v>
      </c>
      <c r="S2659" s="1008" t="s">
        <v>650</v>
      </c>
      <c r="T2659" s="1008" t="s">
        <v>654</v>
      </c>
      <c r="U2659" s="1008" t="s">
        <v>653</v>
      </c>
      <c r="V2659" s="1008" t="s">
        <v>648</v>
      </c>
      <c r="W2659" s="1008" t="s">
        <v>546</v>
      </c>
      <c r="X2659" s="1008" t="s">
        <v>670</v>
      </c>
      <c r="Y2659" s="1008" t="s">
        <v>670</v>
      </c>
      <c r="Z2659" s="1008" t="s">
        <v>670</v>
      </c>
      <c r="AA2659" s="1008"/>
      <c r="AB2659" s="1008" t="s">
        <v>670</v>
      </c>
      <c r="AC2659" s="1008" t="s">
        <v>670</v>
      </c>
      <c r="AD2659" s="1008" t="s">
        <v>670</v>
      </c>
      <c r="AE2659" s="1008"/>
      <c r="AF2659" s="1008" t="s">
        <v>670</v>
      </c>
      <c r="AG2659" s="1008"/>
      <c r="AH2659" s="1008"/>
      <c r="AI2659" s="1008"/>
    </row>
    <row r="2660" spans="1:35">
      <c r="A2660" s="1008">
        <v>25114</v>
      </c>
      <c r="B2660" s="1008">
        <v>420</v>
      </c>
      <c r="C2660" s="1008">
        <v>7</v>
      </c>
      <c r="D2660" s="1009">
        <v>56019999</v>
      </c>
      <c r="E2660" s="1009">
        <v>56014000</v>
      </c>
      <c r="F2660" s="1007" t="s">
        <v>2017</v>
      </c>
      <c r="G2660" s="1007">
        <v>8</v>
      </c>
      <c r="H2660" s="1010">
        <v>99999999</v>
      </c>
      <c r="I2660" s="1009">
        <v>56014000</v>
      </c>
      <c r="J2660" s="1007" t="s">
        <v>2017</v>
      </c>
      <c r="O2660" s="1007" t="s">
        <v>648</v>
      </c>
      <c r="P2660" s="1007" t="s">
        <v>648</v>
      </c>
      <c r="S2660" s="1008" t="s">
        <v>650</v>
      </c>
      <c r="T2660" s="1008" t="s">
        <v>654</v>
      </c>
      <c r="U2660" s="1008" t="s">
        <v>653</v>
      </c>
      <c r="V2660" s="1008" t="s">
        <v>648</v>
      </c>
      <c r="W2660" s="1008" t="s">
        <v>546</v>
      </c>
      <c r="X2660" s="1008" t="s">
        <v>670</v>
      </c>
      <c r="Y2660" s="1008"/>
      <c r="Z2660" s="1008"/>
      <c r="AA2660" s="1008"/>
      <c r="AB2660" s="1008"/>
      <c r="AC2660" s="1008" t="s">
        <v>670</v>
      </c>
      <c r="AD2660" s="1008" t="s">
        <v>670</v>
      </c>
      <c r="AE2660" s="1008"/>
      <c r="AF2660" s="1008"/>
      <c r="AG2660" s="1008"/>
      <c r="AH2660" s="1008"/>
      <c r="AI2660" s="1008"/>
    </row>
    <row r="2661" spans="1:35">
      <c r="A2661" s="1008">
        <v>25115</v>
      </c>
      <c r="C2661" s="1008">
        <v>6</v>
      </c>
      <c r="D2661" s="1009">
        <v>56099999</v>
      </c>
      <c r="E2661" s="1009">
        <v>56019999</v>
      </c>
      <c r="F2661" s="1007" t="s">
        <v>2016</v>
      </c>
      <c r="O2661" s="1007" t="s">
        <v>648</v>
      </c>
      <c r="P2661" s="1007" t="s">
        <v>648</v>
      </c>
      <c r="S2661" s="1008" t="s">
        <v>650</v>
      </c>
      <c r="T2661" s="1008" t="s">
        <v>21</v>
      </c>
      <c r="U2661" s="1008" t="s">
        <v>653</v>
      </c>
      <c r="V2661" s="1008" t="s">
        <v>648</v>
      </c>
      <c r="W2661" s="1008" t="s">
        <v>546</v>
      </c>
      <c r="X2661" s="1008"/>
      <c r="Y2661" s="1008"/>
      <c r="Z2661" s="1008"/>
      <c r="AA2661" s="1008"/>
      <c r="AB2661" s="1008"/>
      <c r="AC2661" s="1008"/>
      <c r="AD2661" s="1008"/>
      <c r="AE2661" s="1008"/>
      <c r="AF2661" s="1008"/>
      <c r="AG2661" s="1008"/>
      <c r="AH2661" s="1008"/>
      <c r="AI2661" s="1008"/>
    </row>
    <row r="2662" spans="1:35">
      <c r="A2662" s="1008">
        <v>25116</v>
      </c>
      <c r="C2662" s="1008">
        <v>6</v>
      </c>
      <c r="D2662" s="1009">
        <v>56029999</v>
      </c>
      <c r="E2662" s="1009">
        <v>56020000</v>
      </c>
      <c r="F2662" s="1007" t="s">
        <v>2015</v>
      </c>
      <c r="O2662" s="1007" t="s">
        <v>648</v>
      </c>
      <c r="P2662" s="1007" t="s">
        <v>648</v>
      </c>
      <c r="S2662" s="1008" t="s">
        <v>650</v>
      </c>
      <c r="T2662" s="1008" t="s">
        <v>675</v>
      </c>
      <c r="U2662" s="1008" t="s">
        <v>653</v>
      </c>
      <c r="V2662" s="1008" t="s">
        <v>648</v>
      </c>
      <c r="W2662" s="1008" t="s">
        <v>546</v>
      </c>
      <c r="X2662" s="1008"/>
      <c r="Y2662" s="1008"/>
      <c r="Z2662" s="1008"/>
      <c r="AA2662" s="1008"/>
      <c r="AB2662" s="1008"/>
      <c r="AC2662" s="1008"/>
      <c r="AD2662" s="1008"/>
      <c r="AE2662" s="1008"/>
      <c r="AF2662" s="1008"/>
      <c r="AG2662" s="1008"/>
      <c r="AH2662" s="1008"/>
      <c r="AI2662" s="1008"/>
    </row>
    <row r="2663" spans="1:35">
      <c r="A2663" s="1008">
        <v>26640</v>
      </c>
      <c r="C2663" s="1008">
        <v>7</v>
      </c>
      <c r="D2663" s="1009">
        <v>56023999</v>
      </c>
      <c r="E2663" s="1009">
        <v>56021000</v>
      </c>
      <c r="F2663" s="1007" t="s">
        <v>2014</v>
      </c>
      <c r="O2663" s="1007" t="s">
        <v>648</v>
      </c>
      <c r="P2663" s="1007" t="s">
        <v>648</v>
      </c>
      <c r="S2663" s="1008" t="s">
        <v>650</v>
      </c>
      <c r="T2663" s="1008" t="s">
        <v>675</v>
      </c>
      <c r="U2663" s="1008" t="s">
        <v>653</v>
      </c>
      <c r="V2663" s="1008" t="s">
        <v>648</v>
      </c>
      <c r="W2663" s="1008" t="s">
        <v>546</v>
      </c>
      <c r="X2663" s="1008"/>
      <c r="Y2663" s="1008"/>
      <c r="Z2663" s="1008"/>
      <c r="AA2663" s="1008"/>
      <c r="AB2663" s="1008"/>
      <c r="AC2663" s="1008"/>
      <c r="AD2663" s="1008"/>
      <c r="AE2663" s="1008"/>
      <c r="AF2663" s="1008"/>
      <c r="AG2663" s="1008"/>
      <c r="AH2663" s="1008"/>
      <c r="AI2663" s="1008"/>
    </row>
    <row r="2664" spans="1:35">
      <c r="A2664" s="1008">
        <v>27056</v>
      </c>
      <c r="B2664" s="1008">
        <v>353</v>
      </c>
      <c r="C2664" s="1008">
        <v>8</v>
      </c>
      <c r="D2664" s="1009">
        <v>56023999</v>
      </c>
      <c r="E2664" s="1009">
        <v>56021100</v>
      </c>
      <c r="F2664" s="1007" t="s">
        <v>2013</v>
      </c>
      <c r="G2664" s="1007">
        <v>8</v>
      </c>
      <c r="H2664" s="1010">
        <v>99999999</v>
      </c>
      <c r="I2664" s="1009">
        <v>56021100</v>
      </c>
      <c r="J2664" s="1007" t="s">
        <v>2013</v>
      </c>
      <c r="O2664" s="1007" t="s">
        <v>648</v>
      </c>
      <c r="P2664" s="1007" t="s">
        <v>648</v>
      </c>
      <c r="S2664" s="1008" t="s">
        <v>650</v>
      </c>
      <c r="T2664" s="1008" t="s">
        <v>654</v>
      </c>
      <c r="U2664" s="1008" t="s">
        <v>653</v>
      </c>
      <c r="V2664" s="1008" t="s">
        <v>648</v>
      </c>
      <c r="W2664" s="1008" t="s">
        <v>546</v>
      </c>
      <c r="X2664" s="1008" t="s">
        <v>670</v>
      </c>
      <c r="Y2664" s="1008" t="s">
        <v>670</v>
      </c>
      <c r="Z2664" s="1008" t="s">
        <v>670</v>
      </c>
      <c r="AA2664" s="1008"/>
      <c r="AB2664" s="1008" t="s">
        <v>670</v>
      </c>
      <c r="AC2664" s="1008" t="s">
        <v>670</v>
      </c>
      <c r="AD2664" s="1008" t="s">
        <v>670</v>
      </c>
      <c r="AE2664" s="1008"/>
      <c r="AF2664" s="1008" t="s">
        <v>670</v>
      </c>
      <c r="AG2664" s="1008"/>
      <c r="AH2664" s="1008"/>
      <c r="AI2664" s="1008"/>
    </row>
    <row r="2665" spans="1:35">
      <c r="A2665" s="1008">
        <v>27057</v>
      </c>
      <c r="B2665" s="1008">
        <v>354</v>
      </c>
      <c r="C2665" s="1008">
        <v>8</v>
      </c>
      <c r="D2665" s="1009">
        <v>56023999</v>
      </c>
      <c r="E2665" s="1009">
        <v>56021105</v>
      </c>
      <c r="F2665" s="1007" t="s">
        <v>2012</v>
      </c>
      <c r="G2665" s="1007">
        <v>8</v>
      </c>
      <c r="H2665" s="1010">
        <v>99999999</v>
      </c>
      <c r="I2665" s="1009">
        <v>56021105</v>
      </c>
      <c r="J2665" s="1007" t="s">
        <v>2012</v>
      </c>
      <c r="O2665" s="1007" t="s">
        <v>648</v>
      </c>
      <c r="P2665" s="1007" t="s">
        <v>648</v>
      </c>
      <c r="S2665" s="1008" t="s">
        <v>650</v>
      </c>
      <c r="T2665" s="1008" t="s">
        <v>654</v>
      </c>
      <c r="U2665" s="1008" t="s">
        <v>653</v>
      </c>
      <c r="V2665" s="1008" t="s">
        <v>648</v>
      </c>
      <c r="W2665" s="1008" t="s">
        <v>546</v>
      </c>
      <c r="X2665" s="1008" t="s">
        <v>670</v>
      </c>
      <c r="Y2665" s="1008" t="s">
        <v>670</v>
      </c>
      <c r="Z2665" s="1008" t="s">
        <v>670</v>
      </c>
      <c r="AA2665" s="1008"/>
      <c r="AB2665" s="1008" t="s">
        <v>670</v>
      </c>
      <c r="AC2665" s="1008" t="s">
        <v>670</v>
      </c>
      <c r="AD2665" s="1008" t="s">
        <v>670</v>
      </c>
      <c r="AE2665" s="1008"/>
      <c r="AF2665" s="1008" t="s">
        <v>670</v>
      </c>
      <c r="AG2665" s="1008"/>
      <c r="AH2665" s="1008"/>
      <c r="AI2665" s="1008"/>
    </row>
    <row r="2666" spans="1:35">
      <c r="A2666" s="1008">
        <v>27058</v>
      </c>
      <c r="B2666" s="1008">
        <v>355</v>
      </c>
      <c r="C2666" s="1008">
        <v>8</v>
      </c>
      <c r="D2666" s="1009">
        <v>56023999</v>
      </c>
      <c r="E2666" s="1009">
        <v>56021110</v>
      </c>
      <c r="F2666" s="1007" t="s">
        <v>2011</v>
      </c>
      <c r="G2666" s="1007">
        <v>8</v>
      </c>
      <c r="H2666" s="1010">
        <v>99999999</v>
      </c>
      <c r="I2666" s="1009">
        <v>56021110</v>
      </c>
      <c r="J2666" s="1007" t="s">
        <v>2011</v>
      </c>
      <c r="O2666" s="1007" t="s">
        <v>648</v>
      </c>
      <c r="P2666" s="1007" t="s">
        <v>648</v>
      </c>
      <c r="S2666" s="1008" t="s">
        <v>650</v>
      </c>
      <c r="T2666" s="1008" t="s">
        <v>654</v>
      </c>
      <c r="U2666" s="1008" t="s">
        <v>653</v>
      </c>
      <c r="V2666" s="1008" t="s">
        <v>648</v>
      </c>
      <c r="W2666" s="1008" t="s">
        <v>546</v>
      </c>
      <c r="X2666" s="1008" t="s">
        <v>670</v>
      </c>
      <c r="Y2666" s="1008" t="s">
        <v>670</v>
      </c>
      <c r="Z2666" s="1008" t="s">
        <v>670</v>
      </c>
      <c r="AA2666" s="1008"/>
      <c r="AB2666" s="1008" t="s">
        <v>670</v>
      </c>
      <c r="AC2666" s="1008" t="s">
        <v>670</v>
      </c>
      <c r="AD2666" s="1008" t="s">
        <v>670</v>
      </c>
      <c r="AE2666" s="1008"/>
      <c r="AF2666" s="1008" t="s">
        <v>670</v>
      </c>
      <c r="AG2666" s="1008"/>
      <c r="AH2666" s="1008"/>
      <c r="AI2666" s="1008"/>
    </row>
    <row r="2667" spans="1:35">
      <c r="A2667" s="1008">
        <v>27059</v>
      </c>
      <c r="B2667" s="1008">
        <v>356</v>
      </c>
      <c r="C2667" s="1008">
        <v>8</v>
      </c>
      <c r="D2667" s="1009">
        <v>56023999</v>
      </c>
      <c r="E2667" s="1009">
        <v>56021115</v>
      </c>
      <c r="F2667" s="1007" t="s">
        <v>2010</v>
      </c>
      <c r="G2667" s="1007">
        <v>8</v>
      </c>
      <c r="H2667" s="1010">
        <v>99999999</v>
      </c>
      <c r="I2667" s="1009">
        <v>56021115</v>
      </c>
      <c r="J2667" s="1007" t="s">
        <v>2010</v>
      </c>
      <c r="O2667" s="1007" t="s">
        <v>648</v>
      </c>
      <c r="P2667" s="1007" t="s">
        <v>648</v>
      </c>
      <c r="S2667" s="1008" t="s">
        <v>650</v>
      </c>
      <c r="T2667" s="1008" t="s">
        <v>654</v>
      </c>
      <c r="U2667" s="1008" t="s">
        <v>653</v>
      </c>
      <c r="V2667" s="1008" t="s">
        <v>648</v>
      </c>
      <c r="W2667" s="1008" t="s">
        <v>546</v>
      </c>
      <c r="X2667" s="1008" t="s">
        <v>670</v>
      </c>
      <c r="Y2667" s="1008" t="s">
        <v>670</v>
      </c>
      <c r="Z2667" s="1008" t="s">
        <v>670</v>
      </c>
      <c r="AA2667" s="1008"/>
      <c r="AB2667" s="1008" t="s">
        <v>670</v>
      </c>
      <c r="AC2667" s="1008" t="s">
        <v>670</v>
      </c>
      <c r="AD2667" s="1008" t="s">
        <v>670</v>
      </c>
      <c r="AE2667" s="1008"/>
      <c r="AF2667" s="1008" t="s">
        <v>670</v>
      </c>
      <c r="AG2667" s="1008"/>
      <c r="AH2667" s="1008"/>
      <c r="AI2667" s="1008"/>
    </row>
    <row r="2668" spans="1:35">
      <c r="A2668" s="1008">
        <v>27060</v>
      </c>
      <c r="B2668" s="1008">
        <v>357</v>
      </c>
      <c r="C2668" s="1008">
        <v>8</v>
      </c>
      <c r="D2668" s="1009">
        <v>56023999</v>
      </c>
      <c r="E2668" s="1009">
        <v>56021120</v>
      </c>
      <c r="F2668" s="1007" t="s">
        <v>2009</v>
      </c>
      <c r="G2668" s="1007">
        <v>8</v>
      </c>
      <c r="H2668" s="1010">
        <v>99999999</v>
      </c>
      <c r="I2668" s="1009">
        <v>56021120</v>
      </c>
      <c r="J2668" s="1007" t="s">
        <v>2009</v>
      </c>
      <c r="O2668" s="1007" t="s">
        <v>648</v>
      </c>
      <c r="P2668" s="1007" t="s">
        <v>648</v>
      </c>
      <c r="S2668" s="1008" t="s">
        <v>650</v>
      </c>
      <c r="T2668" s="1008" t="s">
        <v>654</v>
      </c>
      <c r="U2668" s="1008" t="s">
        <v>653</v>
      </c>
      <c r="V2668" s="1008" t="s">
        <v>648</v>
      </c>
      <c r="W2668" s="1008" t="s">
        <v>546</v>
      </c>
      <c r="X2668" s="1008" t="s">
        <v>670</v>
      </c>
      <c r="Y2668" s="1008" t="s">
        <v>670</v>
      </c>
      <c r="Z2668" s="1008" t="s">
        <v>670</v>
      </c>
      <c r="AA2668" s="1008"/>
      <c r="AB2668" s="1008" t="s">
        <v>670</v>
      </c>
      <c r="AC2668" s="1008" t="s">
        <v>670</v>
      </c>
      <c r="AD2668" s="1008" t="s">
        <v>670</v>
      </c>
      <c r="AE2668" s="1008"/>
      <c r="AF2668" s="1008" t="s">
        <v>670</v>
      </c>
      <c r="AG2668" s="1008"/>
      <c r="AH2668" s="1008"/>
      <c r="AI2668" s="1008"/>
    </row>
    <row r="2669" spans="1:35">
      <c r="A2669" s="1008">
        <v>27061</v>
      </c>
      <c r="B2669" s="1008">
        <v>358</v>
      </c>
      <c r="C2669" s="1008">
        <v>8</v>
      </c>
      <c r="D2669" s="1009">
        <v>56023999</v>
      </c>
      <c r="E2669" s="1009">
        <v>56021125</v>
      </c>
      <c r="F2669" s="1007" t="s">
        <v>2008</v>
      </c>
      <c r="G2669" s="1007">
        <v>8</v>
      </c>
      <c r="H2669" s="1010">
        <v>99999999</v>
      </c>
      <c r="I2669" s="1009">
        <v>56021125</v>
      </c>
      <c r="J2669" s="1007" t="s">
        <v>2008</v>
      </c>
      <c r="O2669" s="1007" t="s">
        <v>648</v>
      </c>
      <c r="P2669" s="1007" t="s">
        <v>648</v>
      </c>
      <c r="S2669" s="1008" t="s">
        <v>650</v>
      </c>
      <c r="T2669" s="1008" t="s">
        <v>654</v>
      </c>
      <c r="U2669" s="1008" t="s">
        <v>653</v>
      </c>
      <c r="V2669" s="1008" t="s">
        <v>648</v>
      </c>
      <c r="W2669" s="1008" t="s">
        <v>546</v>
      </c>
      <c r="X2669" s="1008" t="s">
        <v>670</v>
      </c>
      <c r="Y2669" s="1008" t="s">
        <v>670</v>
      </c>
      <c r="Z2669" s="1008" t="s">
        <v>670</v>
      </c>
      <c r="AA2669" s="1008"/>
      <c r="AB2669" s="1008" t="s">
        <v>670</v>
      </c>
      <c r="AC2669" s="1008" t="s">
        <v>670</v>
      </c>
      <c r="AD2669" s="1008" t="s">
        <v>670</v>
      </c>
      <c r="AE2669" s="1008"/>
      <c r="AF2669" s="1008" t="s">
        <v>670</v>
      </c>
      <c r="AG2669" s="1008"/>
      <c r="AH2669" s="1008"/>
      <c r="AI2669" s="1008"/>
    </row>
    <row r="2670" spans="1:35">
      <c r="A2670" s="1008">
        <v>27062</v>
      </c>
      <c r="B2670" s="1008">
        <v>541</v>
      </c>
      <c r="C2670" s="1008">
        <v>8</v>
      </c>
      <c r="D2670" s="1009">
        <v>56023999</v>
      </c>
      <c r="E2670" s="1009">
        <v>56021900</v>
      </c>
      <c r="F2670" s="1007" t="s">
        <v>2007</v>
      </c>
      <c r="G2670" s="1007">
        <v>8</v>
      </c>
      <c r="H2670" s="1010">
        <v>99999999</v>
      </c>
      <c r="I2670" s="1009">
        <v>56021900</v>
      </c>
      <c r="J2670" s="1007" t="s">
        <v>2007</v>
      </c>
      <c r="O2670" s="1007" t="s">
        <v>648</v>
      </c>
      <c r="P2670" s="1007" t="s">
        <v>648</v>
      </c>
      <c r="S2670" s="1008" t="s">
        <v>650</v>
      </c>
      <c r="T2670" s="1008" t="s">
        <v>654</v>
      </c>
      <c r="U2670" s="1008" t="s">
        <v>653</v>
      </c>
      <c r="V2670" s="1008" t="s">
        <v>648</v>
      </c>
      <c r="W2670" s="1008" t="s">
        <v>546</v>
      </c>
      <c r="X2670" s="1008" t="s">
        <v>670</v>
      </c>
      <c r="Y2670" s="1008" t="s">
        <v>670</v>
      </c>
      <c r="Z2670" s="1008" t="s">
        <v>670</v>
      </c>
      <c r="AA2670" s="1008"/>
      <c r="AB2670" s="1008" t="s">
        <v>670</v>
      </c>
      <c r="AC2670" s="1008" t="s">
        <v>670</v>
      </c>
      <c r="AD2670" s="1008" t="s">
        <v>670</v>
      </c>
      <c r="AE2670" s="1008"/>
      <c r="AF2670" s="1008" t="s">
        <v>670</v>
      </c>
      <c r="AG2670" s="1008"/>
      <c r="AH2670" s="1008"/>
      <c r="AI2670" s="1008"/>
    </row>
    <row r="2671" spans="1:35">
      <c r="A2671" s="1008">
        <v>27063</v>
      </c>
      <c r="B2671" s="1008">
        <v>361</v>
      </c>
      <c r="C2671" s="1008">
        <v>8</v>
      </c>
      <c r="D2671" s="1009">
        <v>56023999</v>
      </c>
      <c r="E2671" s="1009">
        <v>56022100</v>
      </c>
      <c r="F2671" s="1007" t="s">
        <v>2006</v>
      </c>
      <c r="G2671" s="1007">
        <v>8</v>
      </c>
      <c r="H2671" s="1010">
        <v>99999999</v>
      </c>
      <c r="I2671" s="1009">
        <v>56022100</v>
      </c>
      <c r="J2671" s="1007" t="s">
        <v>2006</v>
      </c>
      <c r="O2671" s="1007" t="s">
        <v>648</v>
      </c>
      <c r="P2671" s="1007" t="s">
        <v>648</v>
      </c>
      <c r="S2671" s="1008" t="s">
        <v>650</v>
      </c>
      <c r="T2671" s="1008" t="s">
        <v>654</v>
      </c>
      <c r="U2671" s="1008" t="s">
        <v>653</v>
      </c>
      <c r="V2671" s="1008" t="s">
        <v>648</v>
      </c>
      <c r="W2671" s="1008" t="s">
        <v>546</v>
      </c>
      <c r="X2671" s="1008" t="s">
        <v>670</v>
      </c>
      <c r="Y2671" s="1008" t="s">
        <v>670</v>
      </c>
      <c r="Z2671" s="1008" t="s">
        <v>670</v>
      </c>
      <c r="AA2671" s="1008"/>
      <c r="AB2671" s="1008" t="s">
        <v>670</v>
      </c>
      <c r="AC2671" s="1008" t="s">
        <v>670</v>
      </c>
      <c r="AD2671" s="1008" t="s">
        <v>670</v>
      </c>
      <c r="AE2671" s="1008"/>
      <c r="AF2671" s="1008" t="s">
        <v>670</v>
      </c>
      <c r="AG2671" s="1008"/>
      <c r="AH2671" s="1008"/>
      <c r="AI2671" s="1008"/>
    </row>
    <row r="2672" spans="1:35">
      <c r="A2672" s="1008">
        <v>27064</v>
      </c>
      <c r="B2672" s="1008">
        <v>363</v>
      </c>
      <c r="C2672" s="1008">
        <v>8</v>
      </c>
      <c r="D2672" s="1009">
        <v>56023999</v>
      </c>
      <c r="E2672" s="1009">
        <v>56022105</v>
      </c>
      <c r="F2672" s="1007" t="s">
        <v>2005</v>
      </c>
      <c r="G2672" s="1007">
        <v>8</v>
      </c>
      <c r="H2672" s="1010">
        <v>99999999</v>
      </c>
      <c r="I2672" s="1009">
        <v>56022105</v>
      </c>
      <c r="J2672" s="1007" t="s">
        <v>2005</v>
      </c>
      <c r="O2672" s="1007" t="s">
        <v>648</v>
      </c>
      <c r="P2672" s="1007" t="s">
        <v>648</v>
      </c>
      <c r="S2672" s="1008" t="s">
        <v>650</v>
      </c>
      <c r="T2672" s="1008" t="s">
        <v>654</v>
      </c>
      <c r="U2672" s="1008" t="s">
        <v>653</v>
      </c>
      <c r="V2672" s="1008" t="s">
        <v>648</v>
      </c>
      <c r="W2672" s="1008" t="s">
        <v>546</v>
      </c>
      <c r="X2672" s="1008" t="s">
        <v>670</v>
      </c>
      <c r="Y2672" s="1008" t="s">
        <v>670</v>
      </c>
      <c r="Z2672" s="1008" t="s">
        <v>670</v>
      </c>
      <c r="AA2672" s="1008"/>
      <c r="AB2672" s="1008" t="s">
        <v>670</v>
      </c>
      <c r="AC2672" s="1008" t="s">
        <v>670</v>
      </c>
      <c r="AD2672" s="1008" t="s">
        <v>670</v>
      </c>
      <c r="AE2672" s="1008"/>
      <c r="AF2672" s="1008" t="s">
        <v>670</v>
      </c>
      <c r="AG2672" s="1008"/>
      <c r="AH2672" s="1008"/>
      <c r="AI2672" s="1008"/>
    </row>
    <row r="2673" spans="1:35">
      <c r="A2673" s="1008">
        <v>27065</v>
      </c>
      <c r="B2673" s="1008">
        <v>364</v>
      </c>
      <c r="C2673" s="1008">
        <v>8</v>
      </c>
      <c r="D2673" s="1009">
        <v>56023999</v>
      </c>
      <c r="E2673" s="1009">
        <v>56022110</v>
      </c>
      <c r="F2673" s="1007" t="s">
        <v>2004</v>
      </c>
      <c r="G2673" s="1007">
        <v>8</v>
      </c>
      <c r="H2673" s="1010">
        <v>99999999</v>
      </c>
      <c r="I2673" s="1009">
        <v>56022110</v>
      </c>
      <c r="J2673" s="1007" t="s">
        <v>2004</v>
      </c>
      <c r="O2673" s="1007" t="s">
        <v>648</v>
      </c>
      <c r="P2673" s="1007" t="s">
        <v>648</v>
      </c>
      <c r="S2673" s="1008" t="s">
        <v>650</v>
      </c>
      <c r="T2673" s="1008" t="s">
        <v>654</v>
      </c>
      <c r="U2673" s="1008" t="s">
        <v>653</v>
      </c>
      <c r="V2673" s="1008" t="s">
        <v>648</v>
      </c>
      <c r="W2673" s="1008" t="s">
        <v>546</v>
      </c>
      <c r="X2673" s="1008" t="s">
        <v>670</v>
      </c>
      <c r="Y2673" s="1008" t="s">
        <v>670</v>
      </c>
      <c r="Z2673" s="1008" t="s">
        <v>670</v>
      </c>
      <c r="AA2673" s="1008"/>
      <c r="AB2673" s="1008" t="s">
        <v>670</v>
      </c>
      <c r="AC2673" s="1008" t="s">
        <v>670</v>
      </c>
      <c r="AD2673" s="1008" t="s">
        <v>670</v>
      </c>
      <c r="AE2673" s="1008"/>
      <c r="AF2673" s="1008" t="s">
        <v>670</v>
      </c>
      <c r="AG2673" s="1008"/>
      <c r="AH2673" s="1008"/>
      <c r="AI2673" s="1008"/>
    </row>
    <row r="2674" spans="1:35">
      <c r="A2674" s="1008">
        <v>27066</v>
      </c>
      <c r="B2674" s="1008">
        <v>365</v>
      </c>
      <c r="C2674" s="1008">
        <v>8</v>
      </c>
      <c r="D2674" s="1009">
        <v>56023999</v>
      </c>
      <c r="E2674" s="1009">
        <v>56022115</v>
      </c>
      <c r="F2674" s="1007" t="s">
        <v>2003</v>
      </c>
      <c r="G2674" s="1007">
        <v>8</v>
      </c>
      <c r="H2674" s="1010">
        <v>99999999</v>
      </c>
      <c r="I2674" s="1009">
        <v>56022115</v>
      </c>
      <c r="J2674" s="1007" t="s">
        <v>2003</v>
      </c>
      <c r="O2674" s="1007" t="s">
        <v>648</v>
      </c>
      <c r="P2674" s="1007" t="s">
        <v>648</v>
      </c>
      <c r="S2674" s="1008" t="s">
        <v>650</v>
      </c>
      <c r="T2674" s="1008" t="s">
        <v>654</v>
      </c>
      <c r="U2674" s="1008" t="s">
        <v>653</v>
      </c>
      <c r="V2674" s="1008" t="s">
        <v>648</v>
      </c>
      <c r="W2674" s="1008" t="s">
        <v>546</v>
      </c>
      <c r="X2674" s="1008" t="s">
        <v>670</v>
      </c>
      <c r="Y2674" s="1008" t="s">
        <v>670</v>
      </c>
      <c r="Z2674" s="1008" t="s">
        <v>670</v>
      </c>
      <c r="AA2674" s="1008"/>
      <c r="AB2674" s="1008" t="s">
        <v>670</v>
      </c>
      <c r="AC2674" s="1008" t="s">
        <v>670</v>
      </c>
      <c r="AD2674" s="1008" t="s">
        <v>670</v>
      </c>
      <c r="AE2674" s="1008"/>
      <c r="AF2674" s="1008" t="s">
        <v>670</v>
      </c>
      <c r="AG2674" s="1008"/>
      <c r="AH2674" s="1008"/>
      <c r="AI2674" s="1008"/>
    </row>
    <row r="2675" spans="1:35">
      <c r="A2675" s="1008">
        <v>27067</v>
      </c>
      <c r="B2675" s="1008">
        <v>366</v>
      </c>
      <c r="C2675" s="1008">
        <v>8</v>
      </c>
      <c r="D2675" s="1009">
        <v>56023999</v>
      </c>
      <c r="E2675" s="1009">
        <v>56022120</v>
      </c>
      <c r="F2675" s="1007" t="s">
        <v>2002</v>
      </c>
      <c r="G2675" s="1007">
        <v>8</v>
      </c>
      <c r="H2675" s="1010">
        <v>99999999</v>
      </c>
      <c r="I2675" s="1009">
        <v>56022120</v>
      </c>
      <c r="J2675" s="1007" t="s">
        <v>2002</v>
      </c>
      <c r="O2675" s="1007" t="s">
        <v>648</v>
      </c>
      <c r="P2675" s="1007" t="s">
        <v>648</v>
      </c>
      <c r="S2675" s="1008" t="s">
        <v>650</v>
      </c>
      <c r="T2675" s="1008" t="s">
        <v>654</v>
      </c>
      <c r="U2675" s="1008" t="s">
        <v>653</v>
      </c>
      <c r="V2675" s="1008" t="s">
        <v>648</v>
      </c>
      <c r="W2675" s="1008" t="s">
        <v>546</v>
      </c>
      <c r="X2675" s="1008" t="s">
        <v>670</v>
      </c>
      <c r="Y2675" s="1008" t="s">
        <v>670</v>
      </c>
      <c r="Z2675" s="1008" t="s">
        <v>670</v>
      </c>
      <c r="AA2675" s="1008"/>
      <c r="AB2675" s="1008" t="s">
        <v>670</v>
      </c>
      <c r="AC2675" s="1008" t="s">
        <v>670</v>
      </c>
      <c r="AD2675" s="1008" t="s">
        <v>670</v>
      </c>
      <c r="AE2675" s="1008"/>
      <c r="AF2675" s="1008" t="s">
        <v>670</v>
      </c>
      <c r="AG2675" s="1008"/>
      <c r="AH2675" s="1008"/>
      <c r="AI2675" s="1008"/>
    </row>
    <row r="2676" spans="1:35">
      <c r="A2676" s="1008">
        <v>27068</v>
      </c>
      <c r="B2676" s="1008">
        <v>367</v>
      </c>
      <c r="C2676" s="1008">
        <v>8</v>
      </c>
      <c r="D2676" s="1009">
        <v>56023999</v>
      </c>
      <c r="E2676" s="1009">
        <v>56022125</v>
      </c>
      <c r="F2676" s="1007" t="s">
        <v>2001</v>
      </c>
      <c r="G2676" s="1007">
        <v>8</v>
      </c>
      <c r="H2676" s="1010">
        <v>99999999</v>
      </c>
      <c r="I2676" s="1009">
        <v>56022125</v>
      </c>
      <c r="J2676" s="1007" t="s">
        <v>2001</v>
      </c>
      <c r="O2676" s="1007" t="s">
        <v>648</v>
      </c>
      <c r="P2676" s="1007" t="s">
        <v>648</v>
      </c>
      <c r="S2676" s="1008" t="s">
        <v>650</v>
      </c>
      <c r="T2676" s="1008" t="s">
        <v>654</v>
      </c>
      <c r="U2676" s="1008" t="s">
        <v>653</v>
      </c>
      <c r="V2676" s="1008" t="s">
        <v>648</v>
      </c>
      <c r="W2676" s="1008" t="s">
        <v>546</v>
      </c>
      <c r="X2676" s="1008" t="s">
        <v>670</v>
      </c>
      <c r="Y2676" s="1008" t="s">
        <v>670</v>
      </c>
      <c r="Z2676" s="1008" t="s">
        <v>670</v>
      </c>
      <c r="AA2676" s="1008"/>
      <c r="AB2676" s="1008" t="s">
        <v>670</v>
      </c>
      <c r="AC2676" s="1008" t="s">
        <v>670</v>
      </c>
      <c r="AD2676" s="1008" t="s">
        <v>670</v>
      </c>
      <c r="AE2676" s="1008"/>
      <c r="AF2676" s="1008" t="s">
        <v>670</v>
      </c>
      <c r="AG2676" s="1008"/>
      <c r="AH2676" s="1008"/>
      <c r="AI2676" s="1008"/>
    </row>
    <row r="2677" spans="1:35">
      <c r="A2677" s="1008">
        <v>27069</v>
      </c>
      <c r="B2677" s="1008">
        <v>368</v>
      </c>
      <c r="C2677" s="1008">
        <v>8</v>
      </c>
      <c r="D2677" s="1009">
        <v>56023999</v>
      </c>
      <c r="E2677" s="1009">
        <v>56022130</v>
      </c>
      <c r="F2677" s="1007" t="s">
        <v>2000</v>
      </c>
      <c r="G2677" s="1007">
        <v>8</v>
      </c>
      <c r="H2677" s="1010">
        <v>99999999</v>
      </c>
      <c r="I2677" s="1009">
        <v>56022130</v>
      </c>
      <c r="J2677" s="1007" t="s">
        <v>2000</v>
      </c>
      <c r="O2677" s="1007" t="s">
        <v>648</v>
      </c>
      <c r="P2677" s="1007" t="s">
        <v>648</v>
      </c>
      <c r="S2677" s="1008" t="s">
        <v>650</v>
      </c>
      <c r="T2677" s="1008" t="s">
        <v>654</v>
      </c>
      <c r="U2677" s="1008" t="s">
        <v>653</v>
      </c>
      <c r="V2677" s="1008" t="s">
        <v>648</v>
      </c>
      <c r="W2677" s="1008" t="s">
        <v>546</v>
      </c>
      <c r="X2677" s="1008" t="s">
        <v>670</v>
      </c>
      <c r="Y2677" s="1008" t="s">
        <v>670</v>
      </c>
      <c r="Z2677" s="1008" t="s">
        <v>670</v>
      </c>
      <c r="AA2677" s="1008"/>
      <c r="AB2677" s="1008" t="s">
        <v>670</v>
      </c>
      <c r="AC2677" s="1008" t="s">
        <v>670</v>
      </c>
      <c r="AD2677" s="1008" t="s">
        <v>670</v>
      </c>
      <c r="AE2677" s="1008"/>
      <c r="AF2677" s="1008" t="s">
        <v>670</v>
      </c>
      <c r="AG2677" s="1008"/>
      <c r="AH2677" s="1008"/>
      <c r="AI2677" s="1008"/>
    </row>
    <row r="2678" spans="1:35">
      <c r="A2678" s="1008">
        <v>27070</v>
      </c>
      <c r="B2678" s="1008">
        <v>369</v>
      </c>
      <c r="C2678" s="1008">
        <v>8</v>
      </c>
      <c r="D2678" s="1009">
        <v>56023999</v>
      </c>
      <c r="E2678" s="1009">
        <v>56022135</v>
      </c>
      <c r="F2678" s="1007" t="s">
        <v>1999</v>
      </c>
      <c r="G2678" s="1007">
        <v>8</v>
      </c>
      <c r="H2678" s="1010">
        <v>99999999</v>
      </c>
      <c r="I2678" s="1009">
        <v>56022135</v>
      </c>
      <c r="J2678" s="1007" t="s">
        <v>1999</v>
      </c>
      <c r="O2678" s="1007" t="s">
        <v>648</v>
      </c>
      <c r="P2678" s="1007" t="s">
        <v>648</v>
      </c>
      <c r="S2678" s="1008" t="s">
        <v>650</v>
      </c>
      <c r="T2678" s="1008" t="s">
        <v>654</v>
      </c>
      <c r="U2678" s="1008" t="s">
        <v>653</v>
      </c>
      <c r="V2678" s="1008" t="s">
        <v>648</v>
      </c>
      <c r="W2678" s="1008" t="s">
        <v>546</v>
      </c>
      <c r="X2678" s="1008" t="s">
        <v>670</v>
      </c>
      <c r="Y2678" s="1008" t="s">
        <v>670</v>
      </c>
      <c r="Z2678" s="1008" t="s">
        <v>670</v>
      </c>
      <c r="AA2678" s="1008" t="s">
        <v>670</v>
      </c>
      <c r="AB2678" s="1008" t="s">
        <v>670</v>
      </c>
      <c r="AC2678" s="1008" t="s">
        <v>670</v>
      </c>
      <c r="AD2678" s="1008" t="s">
        <v>670</v>
      </c>
      <c r="AE2678" s="1008"/>
      <c r="AF2678" s="1008" t="s">
        <v>670</v>
      </c>
      <c r="AG2678" s="1008"/>
      <c r="AH2678" s="1008"/>
      <c r="AI2678" s="1008"/>
    </row>
    <row r="2679" spans="1:35">
      <c r="A2679" s="1008">
        <v>27071</v>
      </c>
      <c r="B2679" s="1008">
        <v>370</v>
      </c>
      <c r="C2679" s="1008">
        <v>8</v>
      </c>
      <c r="D2679" s="1009">
        <v>56023999</v>
      </c>
      <c r="E2679" s="1009">
        <v>56022140</v>
      </c>
      <c r="F2679" s="1007" t="s">
        <v>1998</v>
      </c>
      <c r="G2679" s="1007">
        <v>8</v>
      </c>
      <c r="H2679" s="1010">
        <v>99999999</v>
      </c>
      <c r="I2679" s="1009">
        <v>56022140</v>
      </c>
      <c r="J2679" s="1007" t="s">
        <v>1998</v>
      </c>
      <c r="O2679" s="1007" t="s">
        <v>648</v>
      </c>
      <c r="P2679" s="1007" t="s">
        <v>648</v>
      </c>
      <c r="S2679" s="1008" t="s">
        <v>650</v>
      </c>
      <c r="T2679" s="1008" t="s">
        <v>654</v>
      </c>
      <c r="U2679" s="1008" t="s">
        <v>653</v>
      </c>
      <c r="V2679" s="1008" t="s">
        <v>648</v>
      </c>
      <c r="W2679" s="1008" t="s">
        <v>546</v>
      </c>
      <c r="X2679" s="1008" t="s">
        <v>670</v>
      </c>
      <c r="Y2679" s="1008" t="s">
        <v>670</v>
      </c>
      <c r="Z2679" s="1008" t="s">
        <v>670</v>
      </c>
      <c r="AA2679" s="1008"/>
      <c r="AB2679" s="1008" t="s">
        <v>670</v>
      </c>
      <c r="AC2679" s="1008" t="s">
        <v>670</v>
      </c>
      <c r="AD2679" s="1008" t="s">
        <v>670</v>
      </c>
      <c r="AE2679" s="1008"/>
      <c r="AF2679" s="1008" t="s">
        <v>670</v>
      </c>
      <c r="AG2679" s="1008"/>
      <c r="AH2679" s="1008"/>
      <c r="AI2679" s="1008"/>
    </row>
    <row r="2680" spans="1:35">
      <c r="A2680" s="1008">
        <v>27072</v>
      </c>
      <c r="B2680" s="1008">
        <v>371</v>
      </c>
      <c r="C2680" s="1008">
        <v>8</v>
      </c>
      <c r="D2680" s="1009">
        <v>56023999</v>
      </c>
      <c r="E2680" s="1009">
        <v>56022145</v>
      </c>
      <c r="F2680" s="1007" t="s">
        <v>1997</v>
      </c>
      <c r="G2680" s="1007">
        <v>8</v>
      </c>
      <c r="H2680" s="1010">
        <v>99999999</v>
      </c>
      <c r="I2680" s="1009">
        <v>56022145</v>
      </c>
      <c r="J2680" s="1007" t="s">
        <v>1997</v>
      </c>
      <c r="O2680" s="1007" t="s">
        <v>648</v>
      </c>
      <c r="P2680" s="1007" t="s">
        <v>648</v>
      </c>
      <c r="S2680" s="1008" t="s">
        <v>650</v>
      </c>
      <c r="T2680" s="1008" t="s">
        <v>654</v>
      </c>
      <c r="U2680" s="1008" t="s">
        <v>653</v>
      </c>
      <c r="V2680" s="1008" t="s">
        <v>648</v>
      </c>
      <c r="W2680" s="1008" t="s">
        <v>546</v>
      </c>
      <c r="X2680" s="1008" t="s">
        <v>670</v>
      </c>
      <c r="Y2680" s="1008" t="s">
        <v>670</v>
      </c>
      <c r="Z2680" s="1008" t="s">
        <v>670</v>
      </c>
      <c r="AA2680" s="1008"/>
      <c r="AB2680" s="1008" t="s">
        <v>670</v>
      </c>
      <c r="AC2680" s="1008" t="s">
        <v>670</v>
      </c>
      <c r="AD2680" s="1008" t="s">
        <v>670</v>
      </c>
      <c r="AE2680" s="1008"/>
      <c r="AF2680" s="1008" t="s">
        <v>670</v>
      </c>
      <c r="AG2680" s="1008"/>
      <c r="AH2680" s="1008"/>
      <c r="AI2680" s="1008"/>
    </row>
    <row r="2681" spans="1:35">
      <c r="A2681" s="1008">
        <v>27073</v>
      </c>
      <c r="B2681" s="1008">
        <v>372</v>
      </c>
      <c r="C2681" s="1008">
        <v>8</v>
      </c>
      <c r="D2681" s="1009">
        <v>56023999</v>
      </c>
      <c r="E2681" s="1009">
        <v>56022150</v>
      </c>
      <c r="F2681" s="1007" t="s">
        <v>1996</v>
      </c>
      <c r="G2681" s="1007">
        <v>8</v>
      </c>
      <c r="H2681" s="1010">
        <v>99999999</v>
      </c>
      <c r="I2681" s="1009">
        <v>56022150</v>
      </c>
      <c r="J2681" s="1007" t="s">
        <v>1996</v>
      </c>
      <c r="O2681" s="1007" t="s">
        <v>648</v>
      </c>
      <c r="P2681" s="1007" t="s">
        <v>648</v>
      </c>
      <c r="S2681" s="1008" t="s">
        <v>650</v>
      </c>
      <c r="T2681" s="1008" t="s">
        <v>654</v>
      </c>
      <c r="U2681" s="1008" t="s">
        <v>653</v>
      </c>
      <c r="V2681" s="1008" t="s">
        <v>648</v>
      </c>
      <c r="W2681" s="1008" t="s">
        <v>546</v>
      </c>
      <c r="X2681" s="1008" t="s">
        <v>670</v>
      </c>
      <c r="Y2681" s="1008" t="s">
        <v>670</v>
      </c>
      <c r="Z2681" s="1008" t="s">
        <v>670</v>
      </c>
      <c r="AA2681" s="1008"/>
      <c r="AB2681" s="1008" t="s">
        <v>670</v>
      </c>
      <c r="AC2681" s="1008" t="s">
        <v>670</v>
      </c>
      <c r="AD2681" s="1008" t="s">
        <v>670</v>
      </c>
      <c r="AE2681" s="1008"/>
      <c r="AF2681" s="1008" t="s">
        <v>670</v>
      </c>
      <c r="AG2681" s="1008"/>
      <c r="AH2681" s="1008"/>
      <c r="AI2681" s="1008"/>
    </row>
    <row r="2682" spans="1:35">
      <c r="A2682" s="1008">
        <v>27074</v>
      </c>
      <c r="B2682" s="1008">
        <v>373</v>
      </c>
      <c r="C2682" s="1008">
        <v>8</v>
      </c>
      <c r="D2682" s="1009">
        <v>56023999</v>
      </c>
      <c r="E2682" s="1009">
        <v>56022155</v>
      </c>
      <c r="F2682" s="1007" t="s">
        <v>1995</v>
      </c>
      <c r="G2682" s="1007">
        <v>8</v>
      </c>
      <c r="H2682" s="1010">
        <v>99999999</v>
      </c>
      <c r="I2682" s="1009">
        <v>56022155</v>
      </c>
      <c r="J2682" s="1007" t="s">
        <v>1995</v>
      </c>
      <c r="O2682" s="1007" t="s">
        <v>648</v>
      </c>
      <c r="P2682" s="1007" t="s">
        <v>648</v>
      </c>
      <c r="S2682" s="1008" t="s">
        <v>650</v>
      </c>
      <c r="T2682" s="1008" t="s">
        <v>654</v>
      </c>
      <c r="U2682" s="1008" t="s">
        <v>653</v>
      </c>
      <c r="V2682" s="1008" t="s">
        <v>648</v>
      </c>
      <c r="W2682" s="1008" t="s">
        <v>546</v>
      </c>
      <c r="X2682" s="1008" t="s">
        <v>670</v>
      </c>
      <c r="Y2682" s="1008" t="s">
        <v>670</v>
      </c>
      <c r="Z2682" s="1008" t="s">
        <v>670</v>
      </c>
      <c r="AA2682" s="1008"/>
      <c r="AB2682" s="1008" t="s">
        <v>670</v>
      </c>
      <c r="AC2682" s="1008" t="s">
        <v>670</v>
      </c>
      <c r="AD2682" s="1008" t="s">
        <v>670</v>
      </c>
      <c r="AE2682" s="1008"/>
      <c r="AF2682" s="1008" t="s">
        <v>670</v>
      </c>
      <c r="AG2682" s="1008"/>
      <c r="AH2682" s="1008"/>
      <c r="AI2682" s="1008"/>
    </row>
    <row r="2683" spans="1:35">
      <c r="A2683" s="1008">
        <v>27075</v>
      </c>
      <c r="B2683" s="1008">
        <v>374</v>
      </c>
      <c r="C2683" s="1008">
        <v>8</v>
      </c>
      <c r="D2683" s="1009">
        <v>56023999</v>
      </c>
      <c r="E2683" s="1009">
        <v>56022160</v>
      </c>
      <c r="F2683" s="1007" t="s">
        <v>1994</v>
      </c>
      <c r="G2683" s="1007">
        <v>8</v>
      </c>
      <c r="H2683" s="1010">
        <v>99999999</v>
      </c>
      <c r="I2683" s="1009">
        <v>56022160</v>
      </c>
      <c r="J2683" s="1007" t="s">
        <v>1994</v>
      </c>
      <c r="O2683" s="1007" t="s">
        <v>648</v>
      </c>
      <c r="P2683" s="1007" t="s">
        <v>648</v>
      </c>
      <c r="S2683" s="1008" t="s">
        <v>650</v>
      </c>
      <c r="T2683" s="1008" t="s">
        <v>654</v>
      </c>
      <c r="U2683" s="1008" t="s">
        <v>653</v>
      </c>
      <c r="V2683" s="1008" t="s">
        <v>648</v>
      </c>
      <c r="W2683" s="1008" t="s">
        <v>546</v>
      </c>
      <c r="X2683" s="1008" t="s">
        <v>670</v>
      </c>
      <c r="Y2683" s="1008" t="s">
        <v>670</v>
      </c>
      <c r="Z2683" s="1008" t="s">
        <v>670</v>
      </c>
      <c r="AA2683" s="1008"/>
      <c r="AB2683" s="1008" t="s">
        <v>670</v>
      </c>
      <c r="AC2683" s="1008"/>
      <c r="AD2683" s="1008" t="s">
        <v>670</v>
      </c>
      <c r="AE2683" s="1008"/>
      <c r="AF2683" s="1008" t="s">
        <v>670</v>
      </c>
      <c r="AG2683" s="1008"/>
      <c r="AH2683" s="1008"/>
      <c r="AI2683" s="1008"/>
    </row>
    <row r="2684" spans="1:35">
      <c r="A2684" s="1008">
        <v>27076</v>
      </c>
      <c r="B2684" s="1008">
        <v>375</v>
      </c>
      <c r="C2684" s="1008">
        <v>8</v>
      </c>
      <c r="D2684" s="1009">
        <v>56023999</v>
      </c>
      <c r="E2684" s="1009">
        <v>56022165</v>
      </c>
      <c r="F2684" s="1007" t="s">
        <v>1993</v>
      </c>
      <c r="G2684" s="1007">
        <v>8</v>
      </c>
      <c r="H2684" s="1010">
        <v>99999999</v>
      </c>
      <c r="I2684" s="1009">
        <v>56022165</v>
      </c>
      <c r="J2684" s="1007" t="s">
        <v>1993</v>
      </c>
      <c r="O2684" s="1007" t="s">
        <v>648</v>
      </c>
      <c r="P2684" s="1007" t="s">
        <v>648</v>
      </c>
      <c r="S2684" s="1008" t="s">
        <v>650</v>
      </c>
      <c r="T2684" s="1008" t="s">
        <v>654</v>
      </c>
      <c r="U2684" s="1008" t="s">
        <v>653</v>
      </c>
      <c r="V2684" s="1008" t="s">
        <v>648</v>
      </c>
      <c r="W2684" s="1008" t="s">
        <v>546</v>
      </c>
      <c r="X2684" s="1008" t="s">
        <v>670</v>
      </c>
      <c r="Y2684" s="1008" t="s">
        <v>670</v>
      </c>
      <c r="Z2684" s="1008" t="s">
        <v>670</v>
      </c>
      <c r="AA2684" s="1008"/>
      <c r="AB2684" s="1008" t="s">
        <v>670</v>
      </c>
      <c r="AC2684" s="1008" t="s">
        <v>670</v>
      </c>
      <c r="AD2684" s="1008" t="s">
        <v>670</v>
      </c>
      <c r="AE2684" s="1008"/>
      <c r="AF2684" s="1008" t="s">
        <v>670</v>
      </c>
      <c r="AG2684" s="1008"/>
      <c r="AH2684" s="1008"/>
      <c r="AI2684" s="1008"/>
    </row>
    <row r="2685" spans="1:35">
      <c r="A2685" s="1008">
        <v>27077</v>
      </c>
      <c r="B2685" s="1008">
        <v>376</v>
      </c>
      <c r="C2685" s="1008">
        <v>8</v>
      </c>
      <c r="D2685" s="1009">
        <v>56023999</v>
      </c>
      <c r="E2685" s="1009">
        <v>56022170</v>
      </c>
      <c r="F2685" s="1007" t="s">
        <v>1992</v>
      </c>
      <c r="G2685" s="1007">
        <v>8</v>
      </c>
      <c r="H2685" s="1010">
        <v>99999999</v>
      </c>
      <c r="I2685" s="1009">
        <v>56022170</v>
      </c>
      <c r="J2685" s="1007" t="s">
        <v>1992</v>
      </c>
      <c r="O2685" s="1007" t="s">
        <v>648</v>
      </c>
      <c r="P2685" s="1007" t="s">
        <v>648</v>
      </c>
      <c r="S2685" s="1008" t="s">
        <v>650</v>
      </c>
      <c r="T2685" s="1008" t="s">
        <v>654</v>
      </c>
      <c r="U2685" s="1008" t="s">
        <v>653</v>
      </c>
      <c r="V2685" s="1008" t="s">
        <v>648</v>
      </c>
      <c r="W2685" s="1008" t="s">
        <v>546</v>
      </c>
      <c r="X2685" s="1008" t="s">
        <v>670</v>
      </c>
      <c r="Y2685" s="1008" t="s">
        <v>670</v>
      </c>
      <c r="Z2685" s="1008" t="s">
        <v>670</v>
      </c>
      <c r="AA2685" s="1008"/>
      <c r="AB2685" s="1008" t="s">
        <v>670</v>
      </c>
      <c r="AC2685" s="1008" t="s">
        <v>670</v>
      </c>
      <c r="AD2685" s="1008" t="s">
        <v>670</v>
      </c>
      <c r="AE2685" s="1008"/>
      <c r="AF2685" s="1008" t="s">
        <v>670</v>
      </c>
      <c r="AG2685" s="1008"/>
      <c r="AH2685" s="1008"/>
      <c r="AI2685" s="1008"/>
    </row>
    <row r="2686" spans="1:35">
      <c r="A2686" s="1008">
        <v>27078</v>
      </c>
      <c r="B2686" s="1008">
        <v>377</v>
      </c>
      <c r="C2686" s="1008">
        <v>8</v>
      </c>
      <c r="D2686" s="1009">
        <v>56023999</v>
      </c>
      <c r="E2686" s="1009">
        <v>56022175</v>
      </c>
      <c r="F2686" s="1007" t="s">
        <v>1991</v>
      </c>
      <c r="G2686" s="1007">
        <v>8</v>
      </c>
      <c r="H2686" s="1010">
        <v>99999999</v>
      </c>
      <c r="I2686" s="1009">
        <v>56022175</v>
      </c>
      <c r="J2686" s="1007" t="s">
        <v>1991</v>
      </c>
      <c r="O2686" s="1007" t="s">
        <v>648</v>
      </c>
      <c r="P2686" s="1007" t="s">
        <v>648</v>
      </c>
      <c r="S2686" s="1008" t="s">
        <v>650</v>
      </c>
      <c r="T2686" s="1008" t="s">
        <v>654</v>
      </c>
      <c r="U2686" s="1008" t="s">
        <v>653</v>
      </c>
      <c r="V2686" s="1008" t="s">
        <v>648</v>
      </c>
      <c r="W2686" s="1008" t="s">
        <v>546</v>
      </c>
      <c r="X2686" s="1008" t="s">
        <v>670</v>
      </c>
      <c r="Y2686" s="1008" t="s">
        <v>670</v>
      </c>
      <c r="Z2686" s="1008" t="s">
        <v>670</v>
      </c>
      <c r="AA2686" s="1008"/>
      <c r="AB2686" s="1008" t="s">
        <v>670</v>
      </c>
      <c r="AC2686" s="1008" t="s">
        <v>670</v>
      </c>
      <c r="AD2686" s="1008" t="s">
        <v>670</v>
      </c>
      <c r="AE2686" s="1008"/>
      <c r="AF2686" s="1008" t="s">
        <v>670</v>
      </c>
      <c r="AG2686" s="1008"/>
      <c r="AH2686" s="1008"/>
      <c r="AI2686" s="1008"/>
    </row>
    <row r="2687" spans="1:35">
      <c r="A2687" s="1008">
        <v>27079</v>
      </c>
      <c r="B2687" s="1008">
        <v>378</v>
      </c>
      <c r="C2687" s="1008">
        <v>8</v>
      </c>
      <c r="D2687" s="1009">
        <v>56023999</v>
      </c>
      <c r="E2687" s="1009">
        <v>56022180</v>
      </c>
      <c r="F2687" s="1007" t="s">
        <v>1990</v>
      </c>
      <c r="G2687" s="1007">
        <v>8</v>
      </c>
      <c r="H2687" s="1010">
        <v>99999999</v>
      </c>
      <c r="I2687" s="1009">
        <v>56022180</v>
      </c>
      <c r="J2687" s="1007" t="s">
        <v>1990</v>
      </c>
      <c r="O2687" s="1007" t="s">
        <v>648</v>
      </c>
      <c r="P2687" s="1007" t="s">
        <v>648</v>
      </c>
      <c r="S2687" s="1008" t="s">
        <v>650</v>
      </c>
      <c r="T2687" s="1008" t="s">
        <v>654</v>
      </c>
      <c r="U2687" s="1008" t="s">
        <v>653</v>
      </c>
      <c r="V2687" s="1008" t="s">
        <v>648</v>
      </c>
      <c r="W2687" s="1008" t="s">
        <v>546</v>
      </c>
      <c r="X2687" s="1008" t="s">
        <v>670</v>
      </c>
      <c r="Y2687" s="1008" t="s">
        <v>670</v>
      </c>
      <c r="Z2687" s="1008" t="s">
        <v>670</v>
      </c>
      <c r="AA2687" s="1008"/>
      <c r="AB2687" s="1008" t="s">
        <v>670</v>
      </c>
      <c r="AC2687" s="1008" t="s">
        <v>670</v>
      </c>
      <c r="AD2687" s="1008" t="s">
        <v>670</v>
      </c>
      <c r="AE2687" s="1008"/>
      <c r="AF2687" s="1008" t="s">
        <v>670</v>
      </c>
      <c r="AG2687" s="1008"/>
      <c r="AH2687" s="1008"/>
      <c r="AI2687" s="1008"/>
    </row>
    <row r="2688" spans="1:35">
      <c r="A2688" s="1008">
        <v>27080</v>
      </c>
      <c r="B2688" s="1008">
        <v>379</v>
      </c>
      <c r="C2688" s="1008">
        <v>8</v>
      </c>
      <c r="D2688" s="1009">
        <v>56023999</v>
      </c>
      <c r="E2688" s="1009">
        <v>56022185</v>
      </c>
      <c r="F2688" s="1007" t="s">
        <v>1989</v>
      </c>
      <c r="G2688" s="1007">
        <v>8</v>
      </c>
      <c r="H2688" s="1010">
        <v>99999999</v>
      </c>
      <c r="I2688" s="1009">
        <v>56022185</v>
      </c>
      <c r="J2688" s="1007" t="s">
        <v>1989</v>
      </c>
      <c r="O2688" s="1007" t="s">
        <v>648</v>
      </c>
      <c r="P2688" s="1007" t="s">
        <v>648</v>
      </c>
      <c r="S2688" s="1008" t="s">
        <v>650</v>
      </c>
      <c r="T2688" s="1008" t="s">
        <v>654</v>
      </c>
      <c r="U2688" s="1008" t="s">
        <v>653</v>
      </c>
      <c r="V2688" s="1008" t="s">
        <v>648</v>
      </c>
      <c r="W2688" s="1008" t="s">
        <v>546</v>
      </c>
      <c r="X2688" s="1008" t="s">
        <v>670</v>
      </c>
      <c r="Y2688" s="1008" t="s">
        <v>670</v>
      </c>
      <c r="Z2688" s="1008" t="s">
        <v>670</v>
      </c>
      <c r="AA2688" s="1008"/>
      <c r="AB2688" s="1008" t="s">
        <v>670</v>
      </c>
      <c r="AC2688" s="1008" t="s">
        <v>670</v>
      </c>
      <c r="AD2688" s="1008" t="s">
        <v>670</v>
      </c>
      <c r="AE2688" s="1008"/>
      <c r="AF2688" s="1008" t="s">
        <v>670</v>
      </c>
      <c r="AG2688" s="1008"/>
      <c r="AH2688" s="1008"/>
      <c r="AI2688" s="1008"/>
    </row>
    <row r="2689" spans="1:35">
      <c r="A2689" s="1008">
        <v>27081</v>
      </c>
      <c r="B2689" s="1008">
        <v>380</v>
      </c>
      <c r="C2689" s="1008">
        <v>8</v>
      </c>
      <c r="D2689" s="1009">
        <v>56023999</v>
      </c>
      <c r="E2689" s="1009">
        <v>56022190</v>
      </c>
      <c r="F2689" s="1007" t="s">
        <v>1988</v>
      </c>
      <c r="G2689" s="1007">
        <v>8</v>
      </c>
      <c r="H2689" s="1010">
        <v>99999999</v>
      </c>
      <c r="I2689" s="1009">
        <v>56022190</v>
      </c>
      <c r="J2689" s="1007" t="s">
        <v>1988</v>
      </c>
      <c r="O2689" s="1007" t="s">
        <v>648</v>
      </c>
      <c r="P2689" s="1007" t="s">
        <v>648</v>
      </c>
      <c r="S2689" s="1008" t="s">
        <v>650</v>
      </c>
      <c r="T2689" s="1008" t="s">
        <v>654</v>
      </c>
      <c r="U2689" s="1008" t="s">
        <v>653</v>
      </c>
      <c r="V2689" s="1008" t="s">
        <v>648</v>
      </c>
      <c r="W2689" s="1008" t="s">
        <v>546</v>
      </c>
      <c r="X2689" s="1008" t="s">
        <v>670</v>
      </c>
      <c r="Y2689" s="1008" t="s">
        <v>670</v>
      </c>
      <c r="Z2689" s="1008" t="s">
        <v>670</v>
      </c>
      <c r="AA2689" s="1008"/>
      <c r="AB2689" s="1008" t="s">
        <v>670</v>
      </c>
      <c r="AC2689" s="1008" t="s">
        <v>670</v>
      </c>
      <c r="AD2689" s="1008" t="s">
        <v>670</v>
      </c>
      <c r="AE2689" s="1008"/>
      <c r="AF2689" s="1008" t="s">
        <v>670</v>
      </c>
      <c r="AG2689" s="1008"/>
      <c r="AH2689" s="1008"/>
      <c r="AI2689" s="1008"/>
    </row>
    <row r="2690" spans="1:35">
      <c r="A2690" s="1008">
        <v>27082</v>
      </c>
      <c r="B2690" s="1008">
        <v>381</v>
      </c>
      <c r="C2690" s="1008">
        <v>8</v>
      </c>
      <c r="D2690" s="1009">
        <v>56023999</v>
      </c>
      <c r="E2690" s="1009">
        <v>56022195</v>
      </c>
      <c r="F2690" s="1007" t="s">
        <v>1987</v>
      </c>
      <c r="G2690" s="1007">
        <v>8</v>
      </c>
      <c r="H2690" s="1010">
        <v>99999999</v>
      </c>
      <c r="I2690" s="1009">
        <v>56022195</v>
      </c>
      <c r="J2690" s="1007" t="s">
        <v>1987</v>
      </c>
      <c r="O2690" s="1007" t="s">
        <v>648</v>
      </c>
      <c r="P2690" s="1007" t="s">
        <v>648</v>
      </c>
      <c r="S2690" s="1008" t="s">
        <v>650</v>
      </c>
      <c r="T2690" s="1008" t="s">
        <v>654</v>
      </c>
      <c r="U2690" s="1008" t="s">
        <v>653</v>
      </c>
      <c r="V2690" s="1008" t="s">
        <v>648</v>
      </c>
      <c r="W2690" s="1008" t="s">
        <v>546</v>
      </c>
      <c r="X2690" s="1008" t="s">
        <v>670</v>
      </c>
      <c r="Y2690" s="1008" t="s">
        <v>670</v>
      </c>
      <c r="Z2690" s="1008" t="s">
        <v>670</v>
      </c>
      <c r="AA2690" s="1008"/>
      <c r="AB2690" s="1008" t="s">
        <v>670</v>
      </c>
      <c r="AC2690" s="1008" t="s">
        <v>670</v>
      </c>
      <c r="AD2690" s="1008" t="s">
        <v>670</v>
      </c>
      <c r="AE2690" s="1008"/>
      <c r="AF2690" s="1008" t="s">
        <v>670</v>
      </c>
      <c r="AG2690" s="1008"/>
      <c r="AH2690" s="1008"/>
      <c r="AI2690" s="1008"/>
    </row>
    <row r="2691" spans="1:35">
      <c r="A2691" s="1008">
        <v>27083</v>
      </c>
      <c r="B2691" s="1008">
        <v>382</v>
      </c>
      <c r="C2691" s="1008">
        <v>8</v>
      </c>
      <c r="D2691" s="1009">
        <v>56023999</v>
      </c>
      <c r="E2691" s="1009">
        <v>56022200</v>
      </c>
      <c r="F2691" s="1007" t="s">
        <v>1986</v>
      </c>
      <c r="G2691" s="1007">
        <v>8</v>
      </c>
      <c r="H2691" s="1010">
        <v>99999999</v>
      </c>
      <c r="I2691" s="1009">
        <v>56022200</v>
      </c>
      <c r="J2691" s="1007" t="s">
        <v>1986</v>
      </c>
      <c r="O2691" s="1007" t="s">
        <v>648</v>
      </c>
      <c r="P2691" s="1007" t="s">
        <v>648</v>
      </c>
      <c r="S2691" s="1008" t="s">
        <v>650</v>
      </c>
      <c r="T2691" s="1008" t="s">
        <v>654</v>
      </c>
      <c r="U2691" s="1008" t="s">
        <v>653</v>
      </c>
      <c r="V2691" s="1008" t="s">
        <v>648</v>
      </c>
      <c r="W2691" s="1008" t="s">
        <v>546</v>
      </c>
      <c r="X2691" s="1008" t="s">
        <v>670</v>
      </c>
      <c r="Y2691" s="1008" t="s">
        <v>670</v>
      </c>
      <c r="Z2691" s="1008" t="s">
        <v>670</v>
      </c>
      <c r="AA2691" s="1008"/>
      <c r="AB2691" s="1008" t="s">
        <v>670</v>
      </c>
      <c r="AC2691" s="1008" t="s">
        <v>670</v>
      </c>
      <c r="AD2691" s="1008" t="s">
        <v>670</v>
      </c>
      <c r="AE2691" s="1008"/>
      <c r="AF2691" s="1008" t="s">
        <v>670</v>
      </c>
      <c r="AG2691" s="1008"/>
      <c r="AH2691" s="1008"/>
      <c r="AI2691" s="1008"/>
    </row>
    <row r="2692" spans="1:35">
      <c r="A2692" s="1008">
        <v>27084</v>
      </c>
      <c r="B2692" s="1008">
        <v>383</v>
      </c>
      <c r="C2692" s="1008">
        <v>8</v>
      </c>
      <c r="D2692" s="1009">
        <v>56023999</v>
      </c>
      <c r="E2692" s="1009">
        <v>56022205</v>
      </c>
      <c r="F2692" s="1007" t="s">
        <v>1985</v>
      </c>
      <c r="G2692" s="1007">
        <v>8</v>
      </c>
      <c r="H2692" s="1010">
        <v>99999999</v>
      </c>
      <c r="I2692" s="1009">
        <v>56022205</v>
      </c>
      <c r="J2692" s="1007" t="s">
        <v>1985</v>
      </c>
      <c r="O2692" s="1007" t="s">
        <v>648</v>
      </c>
      <c r="P2692" s="1007" t="s">
        <v>648</v>
      </c>
      <c r="S2692" s="1008" t="s">
        <v>650</v>
      </c>
      <c r="T2692" s="1008" t="s">
        <v>654</v>
      </c>
      <c r="U2692" s="1008" t="s">
        <v>653</v>
      </c>
      <c r="V2692" s="1008" t="s">
        <v>648</v>
      </c>
      <c r="W2692" s="1008" t="s">
        <v>546</v>
      </c>
      <c r="X2692" s="1008" t="s">
        <v>670</v>
      </c>
      <c r="Y2692" s="1008" t="s">
        <v>670</v>
      </c>
      <c r="Z2692" s="1008" t="s">
        <v>670</v>
      </c>
      <c r="AA2692" s="1008"/>
      <c r="AB2692" s="1008" t="s">
        <v>670</v>
      </c>
      <c r="AC2692" s="1008" t="s">
        <v>670</v>
      </c>
      <c r="AD2692" s="1008" t="s">
        <v>670</v>
      </c>
      <c r="AE2692" s="1008"/>
      <c r="AF2692" s="1008" t="s">
        <v>670</v>
      </c>
      <c r="AG2692" s="1008"/>
      <c r="AH2692" s="1008"/>
      <c r="AI2692" s="1008"/>
    </row>
    <row r="2693" spans="1:35">
      <c r="A2693" s="1008">
        <v>27085</v>
      </c>
      <c r="B2693" s="1008">
        <v>384</v>
      </c>
      <c r="C2693" s="1008">
        <v>8</v>
      </c>
      <c r="D2693" s="1009">
        <v>56023999</v>
      </c>
      <c r="E2693" s="1009">
        <v>56022900</v>
      </c>
      <c r="F2693" s="1007" t="s">
        <v>1984</v>
      </c>
      <c r="G2693" s="1007">
        <v>8</v>
      </c>
      <c r="H2693" s="1010">
        <v>99999999</v>
      </c>
      <c r="I2693" s="1009">
        <v>56022900</v>
      </c>
      <c r="J2693" s="1007" t="s">
        <v>1984</v>
      </c>
      <c r="O2693" s="1007" t="s">
        <v>648</v>
      </c>
      <c r="P2693" s="1007" t="s">
        <v>648</v>
      </c>
      <c r="S2693" s="1008" t="s">
        <v>650</v>
      </c>
      <c r="T2693" s="1008" t="s">
        <v>654</v>
      </c>
      <c r="U2693" s="1008" t="s">
        <v>653</v>
      </c>
      <c r="V2693" s="1008" t="s">
        <v>648</v>
      </c>
      <c r="W2693" s="1008" t="s">
        <v>546</v>
      </c>
      <c r="X2693" s="1008" t="s">
        <v>670</v>
      </c>
      <c r="Y2693" s="1008" t="s">
        <v>670</v>
      </c>
      <c r="Z2693" s="1008" t="s">
        <v>670</v>
      </c>
      <c r="AA2693" s="1008"/>
      <c r="AB2693" s="1008" t="s">
        <v>670</v>
      </c>
      <c r="AC2693" s="1008" t="s">
        <v>670</v>
      </c>
      <c r="AD2693" s="1008" t="s">
        <v>670</v>
      </c>
      <c r="AE2693" s="1008"/>
      <c r="AF2693" s="1008" t="s">
        <v>670</v>
      </c>
      <c r="AG2693" s="1008"/>
      <c r="AH2693" s="1008"/>
      <c r="AI2693" s="1008"/>
    </row>
    <row r="2694" spans="1:35">
      <c r="A2694" s="1008">
        <v>27086</v>
      </c>
      <c r="B2694" s="1008">
        <v>385</v>
      </c>
      <c r="C2694" s="1008">
        <v>8</v>
      </c>
      <c r="D2694" s="1009">
        <v>56023999</v>
      </c>
      <c r="E2694" s="1009">
        <v>56022990</v>
      </c>
      <c r="F2694" s="1007" t="s">
        <v>1983</v>
      </c>
      <c r="G2694" s="1007">
        <v>8</v>
      </c>
      <c r="H2694" s="1010">
        <v>99999999</v>
      </c>
      <c r="I2694" s="1009">
        <v>56022990</v>
      </c>
      <c r="J2694" s="1007" t="s">
        <v>1983</v>
      </c>
      <c r="O2694" s="1007" t="s">
        <v>648</v>
      </c>
      <c r="P2694" s="1007" t="s">
        <v>648</v>
      </c>
      <c r="S2694" s="1008" t="s">
        <v>650</v>
      </c>
      <c r="T2694" s="1008" t="s">
        <v>654</v>
      </c>
      <c r="U2694" s="1008" t="s">
        <v>653</v>
      </c>
      <c r="V2694" s="1008" t="s">
        <v>648</v>
      </c>
      <c r="W2694" s="1008" t="s">
        <v>546</v>
      </c>
      <c r="X2694" s="1008" t="s">
        <v>670</v>
      </c>
      <c r="Y2694" s="1008" t="s">
        <v>670</v>
      </c>
      <c r="Z2694" s="1008" t="s">
        <v>670</v>
      </c>
      <c r="AA2694" s="1008"/>
      <c r="AB2694" s="1008" t="s">
        <v>670</v>
      </c>
      <c r="AC2694" s="1008" t="s">
        <v>670</v>
      </c>
      <c r="AD2694" s="1008" t="s">
        <v>670</v>
      </c>
      <c r="AE2694" s="1008"/>
      <c r="AF2694" s="1008" t="s">
        <v>670</v>
      </c>
      <c r="AG2694" s="1008"/>
      <c r="AH2694" s="1008"/>
      <c r="AI2694" s="1008"/>
    </row>
    <row r="2695" spans="1:35">
      <c r="A2695" s="1008">
        <v>25117</v>
      </c>
      <c r="B2695" s="1008">
        <v>2228</v>
      </c>
      <c r="C2695" s="1008">
        <v>8</v>
      </c>
      <c r="D2695" s="1009">
        <v>56023999</v>
      </c>
      <c r="E2695" s="1009">
        <v>56023900</v>
      </c>
      <c r="F2695" s="1007" t="s">
        <v>1982</v>
      </c>
      <c r="G2695" s="1007">
        <v>7</v>
      </c>
      <c r="H2695" s="1010">
        <v>99999999</v>
      </c>
      <c r="I2695" s="1009">
        <v>56023900</v>
      </c>
      <c r="J2695" s="1007" t="s">
        <v>1982</v>
      </c>
      <c r="O2695" s="1007" t="s">
        <v>648</v>
      </c>
      <c r="P2695" s="1007" t="s">
        <v>648</v>
      </c>
      <c r="S2695" s="1008" t="s">
        <v>650</v>
      </c>
      <c r="T2695" s="1008" t="s">
        <v>654</v>
      </c>
      <c r="U2695" s="1008" t="s">
        <v>653</v>
      </c>
      <c r="V2695" s="1008" t="s">
        <v>648</v>
      </c>
      <c r="W2695" s="1008" t="s">
        <v>546</v>
      </c>
      <c r="X2695" s="1008" t="s">
        <v>670</v>
      </c>
      <c r="Y2695" s="1008" t="s">
        <v>670</v>
      </c>
      <c r="Z2695" s="1008" t="s">
        <v>670</v>
      </c>
      <c r="AA2695" s="1008"/>
      <c r="AB2695" s="1008" t="s">
        <v>670</v>
      </c>
      <c r="AC2695" s="1008" t="s">
        <v>670</v>
      </c>
      <c r="AD2695" s="1008" t="s">
        <v>670</v>
      </c>
      <c r="AE2695" s="1008"/>
      <c r="AF2695" s="1008" t="s">
        <v>670</v>
      </c>
      <c r="AG2695" s="1008"/>
      <c r="AH2695" s="1008"/>
      <c r="AI2695" s="1008"/>
    </row>
    <row r="2696" spans="1:35">
      <c r="A2696" s="1008">
        <v>26642</v>
      </c>
      <c r="B2696" s="1008">
        <v>5884</v>
      </c>
      <c r="C2696" s="1008">
        <v>8</v>
      </c>
      <c r="D2696" s="1009">
        <v>56023999</v>
      </c>
      <c r="E2696" s="1009">
        <v>56023990</v>
      </c>
      <c r="F2696" s="1007" t="s">
        <v>1981</v>
      </c>
      <c r="G2696" s="1007">
        <v>7</v>
      </c>
      <c r="H2696" s="1010">
        <v>99999999</v>
      </c>
      <c r="I2696" s="1009">
        <v>56023990</v>
      </c>
      <c r="J2696" s="1007" t="s">
        <v>1981</v>
      </c>
      <c r="O2696" s="1007" t="s">
        <v>648</v>
      </c>
      <c r="P2696" s="1007" t="s">
        <v>648</v>
      </c>
      <c r="S2696" s="1008" t="s">
        <v>650</v>
      </c>
      <c r="T2696" s="1008" t="s">
        <v>654</v>
      </c>
      <c r="U2696" s="1008" t="s">
        <v>653</v>
      </c>
      <c r="V2696" s="1008" t="s">
        <v>648</v>
      </c>
      <c r="W2696" s="1008" t="s">
        <v>546</v>
      </c>
      <c r="X2696" s="1008" t="s">
        <v>670</v>
      </c>
      <c r="Y2696" s="1008" t="s">
        <v>670</v>
      </c>
      <c r="Z2696" s="1008" t="s">
        <v>670</v>
      </c>
      <c r="AA2696" s="1008"/>
      <c r="AB2696" s="1008" t="s">
        <v>670</v>
      </c>
      <c r="AC2696" s="1008" t="s">
        <v>670</v>
      </c>
      <c r="AD2696" s="1008" t="s">
        <v>670</v>
      </c>
      <c r="AE2696" s="1008"/>
      <c r="AF2696" s="1008" t="s">
        <v>670</v>
      </c>
      <c r="AG2696" s="1008"/>
      <c r="AH2696" s="1008"/>
      <c r="AI2696" s="1008"/>
    </row>
    <row r="2697" spans="1:35">
      <c r="A2697" s="1008">
        <v>26641</v>
      </c>
      <c r="C2697" s="1008">
        <v>7</v>
      </c>
      <c r="D2697" s="1009">
        <v>56029999</v>
      </c>
      <c r="E2697" s="1009">
        <v>56023999</v>
      </c>
      <c r="F2697" s="1007" t="s">
        <v>1980</v>
      </c>
      <c r="O2697" s="1007" t="s">
        <v>648</v>
      </c>
      <c r="P2697" s="1007" t="s">
        <v>648</v>
      </c>
      <c r="S2697" s="1008" t="s">
        <v>650</v>
      </c>
      <c r="T2697" s="1008" t="s">
        <v>21</v>
      </c>
      <c r="U2697" s="1008" t="s">
        <v>653</v>
      </c>
      <c r="V2697" s="1008" t="s">
        <v>648</v>
      </c>
      <c r="W2697" s="1008" t="s">
        <v>546</v>
      </c>
      <c r="X2697" s="1008"/>
      <c r="Y2697" s="1008"/>
      <c r="Z2697" s="1008"/>
      <c r="AA2697" s="1008"/>
      <c r="AB2697" s="1008"/>
      <c r="AC2697" s="1008"/>
      <c r="AD2697" s="1008"/>
      <c r="AE2697" s="1008"/>
      <c r="AF2697" s="1008"/>
      <c r="AG2697" s="1008"/>
      <c r="AH2697" s="1008"/>
      <c r="AI2697" s="1008"/>
    </row>
    <row r="2698" spans="1:35">
      <c r="A2698" s="1008">
        <v>25118</v>
      </c>
      <c r="B2698" s="1008">
        <v>2229</v>
      </c>
      <c r="C2698" s="1008">
        <v>7</v>
      </c>
      <c r="D2698" s="1009">
        <v>56029999</v>
      </c>
      <c r="E2698" s="1009">
        <v>56024000</v>
      </c>
      <c r="F2698" s="1007" t="s">
        <v>1979</v>
      </c>
      <c r="G2698" s="1007">
        <v>7</v>
      </c>
      <c r="H2698" s="1010">
        <v>99999999</v>
      </c>
      <c r="I2698" s="1009">
        <v>56024000</v>
      </c>
      <c r="J2698" s="1007" t="s">
        <v>1979</v>
      </c>
      <c r="O2698" s="1007" t="s">
        <v>648</v>
      </c>
      <c r="P2698" s="1007" t="s">
        <v>648</v>
      </c>
      <c r="S2698" s="1008" t="s">
        <v>650</v>
      </c>
      <c r="T2698" s="1008" t="s">
        <v>654</v>
      </c>
      <c r="U2698" s="1008" t="s">
        <v>653</v>
      </c>
      <c r="V2698" s="1008" t="s">
        <v>648</v>
      </c>
      <c r="W2698" s="1008" t="s">
        <v>546</v>
      </c>
      <c r="X2698" s="1008" t="s">
        <v>670</v>
      </c>
      <c r="Y2698" s="1008" t="s">
        <v>670</v>
      </c>
      <c r="Z2698" s="1008" t="s">
        <v>670</v>
      </c>
      <c r="AA2698" s="1008"/>
      <c r="AB2698" s="1008" t="s">
        <v>670</v>
      </c>
      <c r="AC2698" s="1008" t="s">
        <v>670</v>
      </c>
      <c r="AD2698" s="1008" t="s">
        <v>670</v>
      </c>
      <c r="AE2698" s="1008"/>
      <c r="AF2698" s="1008" t="s">
        <v>670</v>
      </c>
      <c r="AG2698" s="1008"/>
      <c r="AH2698" s="1008"/>
      <c r="AI2698" s="1008"/>
    </row>
    <row r="2699" spans="1:35">
      <c r="A2699" s="1008">
        <v>25119</v>
      </c>
      <c r="B2699" s="1008">
        <v>607</v>
      </c>
      <c r="C2699" s="1008">
        <v>7</v>
      </c>
      <c r="D2699" s="1009">
        <v>56029999</v>
      </c>
      <c r="E2699" s="1009">
        <v>56025000</v>
      </c>
      <c r="F2699" s="1007" t="s">
        <v>1978</v>
      </c>
      <c r="G2699" s="1007">
        <v>8</v>
      </c>
      <c r="H2699" s="1010">
        <v>99999999</v>
      </c>
      <c r="I2699" s="1009">
        <v>56025000</v>
      </c>
      <c r="J2699" s="1007" t="s">
        <v>1978</v>
      </c>
      <c r="O2699" s="1007" t="s">
        <v>648</v>
      </c>
      <c r="P2699" s="1007" t="s">
        <v>648</v>
      </c>
      <c r="S2699" s="1008" t="s">
        <v>650</v>
      </c>
      <c r="T2699" s="1008" t="s">
        <v>654</v>
      </c>
      <c r="U2699" s="1008" t="s">
        <v>653</v>
      </c>
      <c r="V2699" s="1008" t="s">
        <v>648</v>
      </c>
      <c r="W2699" s="1008" t="s">
        <v>546</v>
      </c>
      <c r="X2699" s="1008" t="s">
        <v>670</v>
      </c>
      <c r="Y2699" s="1008" t="s">
        <v>670</v>
      </c>
      <c r="Z2699" s="1008" t="s">
        <v>670</v>
      </c>
      <c r="AA2699" s="1008"/>
      <c r="AB2699" s="1008" t="s">
        <v>670</v>
      </c>
      <c r="AC2699" s="1008" t="s">
        <v>670</v>
      </c>
      <c r="AD2699" s="1008" t="s">
        <v>670</v>
      </c>
      <c r="AE2699" s="1008"/>
      <c r="AF2699" s="1008" t="s">
        <v>670</v>
      </c>
      <c r="AG2699" s="1008"/>
      <c r="AH2699" s="1008"/>
      <c r="AI2699" s="1008"/>
    </row>
    <row r="2700" spans="1:35">
      <c r="A2700" s="1008">
        <v>25120</v>
      </c>
      <c r="B2700" s="1008">
        <v>424</v>
      </c>
      <c r="C2700" s="1008">
        <v>7</v>
      </c>
      <c r="D2700" s="1009">
        <v>56029999</v>
      </c>
      <c r="E2700" s="1009">
        <v>56026000</v>
      </c>
      <c r="F2700" s="1007" t="s">
        <v>1977</v>
      </c>
      <c r="G2700" s="1007">
        <v>8</v>
      </c>
      <c r="H2700" s="1010">
        <v>99999999</v>
      </c>
      <c r="I2700" s="1009">
        <v>56026000</v>
      </c>
      <c r="J2700" s="1007" t="s">
        <v>1977</v>
      </c>
      <c r="O2700" s="1007" t="s">
        <v>648</v>
      </c>
      <c r="P2700" s="1007" t="s">
        <v>648</v>
      </c>
      <c r="S2700" s="1008" t="s">
        <v>650</v>
      </c>
      <c r="T2700" s="1008" t="s">
        <v>654</v>
      </c>
      <c r="U2700" s="1008" t="s">
        <v>653</v>
      </c>
      <c r="V2700" s="1008" t="s">
        <v>648</v>
      </c>
      <c r="W2700" s="1008" t="s">
        <v>546</v>
      </c>
      <c r="X2700" s="1008" t="s">
        <v>670</v>
      </c>
      <c r="Y2700" s="1008" t="s">
        <v>670</v>
      </c>
      <c r="Z2700" s="1008" t="s">
        <v>670</v>
      </c>
      <c r="AA2700" s="1008"/>
      <c r="AB2700" s="1008" t="s">
        <v>670</v>
      </c>
      <c r="AC2700" s="1008" t="s">
        <v>670</v>
      </c>
      <c r="AD2700" s="1008" t="s">
        <v>670</v>
      </c>
      <c r="AE2700" s="1008"/>
      <c r="AF2700" s="1008" t="s">
        <v>670</v>
      </c>
      <c r="AG2700" s="1008"/>
      <c r="AH2700" s="1008"/>
      <c r="AI2700" s="1008"/>
    </row>
    <row r="2701" spans="1:35">
      <c r="A2701" s="1008">
        <v>25121</v>
      </c>
      <c r="C2701" s="1008">
        <v>6</v>
      </c>
      <c r="D2701" s="1009">
        <v>56099999</v>
      </c>
      <c r="E2701" s="1009">
        <v>56029999</v>
      </c>
      <c r="F2701" s="1007" t="s">
        <v>1976</v>
      </c>
      <c r="O2701" s="1007" t="s">
        <v>648</v>
      </c>
      <c r="P2701" s="1007" t="s">
        <v>648</v>
      </c>
      <c r="S2701" s="1008" t="s">
        <v>650</v>
      </c>
      <c r="T2701" s="1008" t="s">
        <v>21</v>
      </c>
      <c r="U2701" s="1008" t="s">
        <v>653</v>
      </c>
      <c r="V2701" s="1008" t="s">
        <v>648</v>
      </c>
      <c r="W2701" s="1008" t="s">
        <v>546</v>
      </c>
      <c r="X2701" s="1008"/>
      <c r="Y2701" s="1008"/>
      <c r="Z2701" s="1008"/>
      <c r="AA2701" s="1008"/>
      <c r="AB2701" s="1008"/>
      <c r="AC2701" s="1008"/>
      <c r="AD2701" s="1008"/>
      <c r="AE2701" s="1008"/>
      <c r="AF2701" s="1008"/>
      <c r="AG2701" s="1008"/>
      <c r="AH2701" s="1008"/>
      <c r="AI2701" s="1008"/>
    </row>
    <row r="2702" spans="1:35">
      <c r="A2702" s="1008">
        <v>25122</v>
      </c>
      <c r="C2702" s="1008">
        <v>5</v>
      </c>
      <c r="D2702" s="1009">
        <v>59599999</v>
      </c>
      <c r="E2702" s="1009">
        <v>56099999</v>
      </c>
      <c r="F2702" s="1007" t="s">
        <v>1975</v>
      </c>
      <c r="O2702" s="1007" t="s">
        <v>648</v>
      </c>
      <c r="P2702" s="1007" t="s">
        <v>648</v>
      </c>
      <c r="S2702" s="1008" t="s">
        <v>650</v>
      </c>
      <c r="T2702" s="1008" t="s">
        <v>21</v>
      </c>
      <c r="U2702" s="1008" t="s">
        <v>653</v>
      </c>
      <c r="V2702" s="1008" t="s">
        <v>648</v>
      </c>
      <c r="W2702" s="1008" t="s">
        <v>546</v>
      </c>
      <c r="X2702" s="1008"/>
      <c r="Y2702" s="1008"/>
      <c r="Z2702" s="1008"/>
      <c r="AA2702" s="1008"/>
      <c r="AB2702" s="1008"/>
      <c r="AC2702" s="1008"/>
      <c r="AD2702" s="1008"/>
      <c r="AE2702" s="1008"/>
      <c r="AF2702" s="1008"/>
      <c r="AG2702" s="1008"/>
      <c r="AH2702" s="1008"/>
      <c r="AI2702" s="1008"/>
    </row>
    <row r="2703" spans="1:35">
      <c r="A2703" s="1008">
        <v>25123</v>
      </c>
      <c r="C2703" s="1008">
        <v>5</v>
      </c>
      <c r="D2703" s="1009">
        <v>57099999</v>
      </c>
      <c r="E2703" s="1009">
        <v>57000000</v>
      </c>
      <c r="F2703" s="1007" t="s">
        <v>1327</v>
      </c>
      <c r="O2703" s="1007" t="s">
        <v>648</v>
      </c>
      <c r="P2703" s="1007" t="s">
        <v>648</v>
      </c>
      <c r="S2703" s="1008" t="s">
        <v>650</v>
      </c>
      <c r="T2703" s="1008" t="s">
        <v>675</v>
      </c>
      <c r="U2703" s="1008" t="s">
        <v>653</v>
      </c>
      <c r="V2703" s="1008" t="s">
        <v>648</v>
      </c>
      <c r="W2703" s="1008" t="s">
        <v>546</v>
      </c>
      <c r="X2703" s="1008"/>
      <c r="Y2703" s="1008"/>
      <c r="Z2703" s="1008"/>
      <c r="AA2703" s="1008"/>
      <c r="AB2703" s="1008"/>
      <c r="AC2703" s="1008"/>
      <c r="AD2703" s="1008"/>
      <c r="AE2703" s="1008"/>
      <c r="AF2703" s="1008"/>
      <c r="AG2703" s="1008"/>
      <c r="AH2703" s="1008"/>
      <c r="AI2703" s="1008"/>
    </row>
    <row r="2704" spans="1:35">
      <c r="A2704" s="1008">
        <v>25124</v>
      </c>
      <c r="C2704" s="1008">
        <v>6</v>
      </c>
      <c r="D2704" s="1009">
        <v>57019999</v>
      </c>
      <c r="E2704" s="1009">
        <v>57010000</v>
      </c>
      <c r="F2704" s="1007" t="s">
        <v>23</v>
      </c>
      <c r="O2704" s="1007" t="s">
        <v>648</v>
      </c>
      <c r="P2704" s="1007" t="s">
        <v>648</v>
      </c>
      <c r="S2704" s="1008" t="s">
        <v>650</v>
      </c>
      <c r="T2704" s="1008" t="s">
        <v>675</v>
      </c>
      <c r="U2704" s="1008" t="s">
        <v>653</v>
      </c>
      <c r="V2704" s="1008" t="s">
        <v>648</v>
      </c>
      <c r="W2704" s="1008" t="s">
        <v>546</v>
      </c>
      <c r="X2704" s="1008"/>
      <c r="Y2704" s="1008"/>
      <c r="Z2704" s="1008"/>
      <c r="AA2704" s="1008"/>
      <c r="AB2704" s="1008"/>
      <c r="AC2704" s="1008"/>
      <c r="AD2704" s="1008"/>
      <c r="AE2704" s="1008"/>
      <c r="AF2704" s="1008"/>
      <c r="AG2704" s="1008"/>
      <c r="AH2704" s="1008"/>
      <c r="AI2704" s="1008"/>
    </row>
    <row r="2705" spans="1:35">
      <c r="A2705" s="1008">
        <v>25125</v>
      </c>
      <c r="B2705" s="1008">
        <v>2232</v>
      </c>
      <c r="C2705" s="1008">
        <v>7</v>
      </c>
      <c r="D2705" s="1009">
        <v>57019999</v>
      </c>
      <c r="E2705" s="1009">
        <v>57011000</v>
      </c>
      <c r="F2705" s="1007" t="s">
        <v>1974</v>
      </c>
      <c r="G2705" s="1007">
        <v>7</v>
      </c>
      <c r="H2705" s="1010">
        <v>99999999</v>
      </c>
      <c r="I2705" s="1009">
        <v>57011000</v>
      </c>
      <c r="J2705" s="1007" t="s">
        <v>1974</v>
      </c>
      <c r="O2705" s="1007" t="s">
        <v>648</v>
      </c>
      <c r="P2705" s="1007" t="s">
        <v>648</v>
      </c>
      <c r="S2705" s="1008" t="s">
        <v>650</v>
      </c>
      <c r="T2705" s="1008" t="s">
        <v>654</v>
      </c>
      <c r="U2705" s="1008" t="s">
        <v>653</v>
      </c>
      <c r="V2705" s="1008" t="s">
        <v>648</v>
      </c>
      <c r="W2705" s="1008" t="s">
        <v>546</v>
      </c>
      <c r="X2705" s="1008" t="s">
        <v>670</v>
      </c>
      <c r="Y2705" s="1008" t="s">
        <v>670</v>
      </c>
      <c r="Z2705" s="1008"/>
      <c r="AA2705" s="1008"/>
      <c r="AB2705" s="1008"/>
      <c r="AC2705" s="1008" t="s">
        <v>670</v>
      </c>
      <c r="AD2705" s="1008" t="s">
        <v>670</v>
      </c>
      <c r="AE2705" s="1008"/>
      <c r="AF2705" s="1008" t="s">
        <v>670</v>
      </c>
      <c r="AG2705" s="1008"/>
      <c r="AH2705" s="1008"/>
      <c r="AI2705" s="1008"/>
    </row>
    <row r="2706" spans="1:35">
      <c r="A2706" s="1008">
        <v>25126</v>
      </c>
      <c r="B2706" s="1008">
        <v>2233</v>
      </c>
      <c r="C2706" s="1008">
        <v>7</v>
      </c>
      <c r="D2706" s="1009">
        <v>57019999</v>
      </c>
      <c r="E2706" s="1009">
        <v>57012000</v>
      </c>
      <c r="F2706" s="1007" t="s">
        <v>1973</v>
      </c>
      <c r="G2706" s="1007">
        <v>7</v>
      </c>
      <c r="H2706" s="1010">
        <v>99999999</v>
      </c>
      <c r="I2706" s="1009">
        <v>57012000</v>
      </c>
      <c r="J2706" s="1007" t="s">
        <v>1973</v>
      </c>
      <c r="O2706" s="1007" t="s">
        <v>648</v>
      </c>
      <c r="P2706" s="1007" t="s">
        <v>648</v>
      </c>
      <c r="S2706" s="1008" t="s">
        <v>650</v>
      </c>
      <c r="T2706" s="1008" t="s">
        <v>654</v>
      </c>
      <c r="U2706" s="1008" t="s">
        <v>653</v>
      </c>
      <c r="V2706" s="1008" t="s">
        <v>648</v>
      </c>
      <c r="W2706" s="1008" t="s">
        <v>546</v>
      </c>
      <c r="X2706" s="1008" t="s">
        <v>670</v>
      </c>
      <c r="Y2706" s="1008" t="s">
        <v>670</v>
      </c>
      <c r="Z2706" s="1008"/>
      <c r="AA2706" s="1008"/>
      <c r="AB2706" s="1008"/>
      <c r="AC2706" s="1008" t="s">
        <v>670</v>
      </c>
      <c r="AD2706" s="1008" t="s">
        <v>670</v>
      </c>
      <c r="AE2706" s="1008"/>
      <c r="AF2706" s="1008" t="s">
        <v>670</v>
      </c>
      <c r="AG2706" s="1008"/>
      <c r="AH2706" s="1008"/>
      <c r="AI2706" s="1008"/>
    </row>
    <row r="2707" spans="1:35">
      <c r="A2707" s="1008">
        <v>25127</v>
      </c>
      <c r="B2707" s="1008">
        <v>2234</v>
      </c>
      <c r="C2707" s="1008">
        <v>7</v>
      </c>
      <c r="D2707" s="1009">
        <v>57019999</v>
      </c>
      <c r="E2707" s="1009">
        <v>57013000</v>
      </c>
      <c r="F2707" s="1007" t="s">
        <v>1972</v>
      </c>
      <c r="G2707" s="1007">
        <v>7</v>
      </c>
      <c r="H2707" s="1010">
        <v>99999999</v>
      </c>
      <c r="I2707" s="1009">
        <v>57013000</v>
      </c>
      <c r="J2707" s="1007" t="s">
        <v>1972</v>
      </c>
      <c r="O2707" s="1007" t="s">
        <v>648</v>
      </c>
      <c r="P2707" s="1007" t="s">
        <v>648</v>
      </c>
      <c r="S2707" s="1008" t="s">
        <v>650</v>
      </c>
      <c r="T2707" s="1008" t="s">
        <v>654</v>
      </c>
      <c r="U2707" s="1008" t="s">
        <v>653</v>
      </c>
      <c r="V2707" s="1008" t="s">
        <v>648</v>
      </c>
      <c r="W2707" s="1008" t="s">
        <v>546</v>
      </c>
      <c r="X2707" s="1008" t="s">
        <v>670</v>
      </c>
      <c r="Y2707" s="1008"/>
      <c r="Z2707" s="1008"/>
      <c r="AA2707" s="1008"/>
      <c r="AB2707" s="1008"/>
      <c r="AC2707" s="1008" t="s">
        <v>670</v>
      </c>
      <c r="AD2707" s="1008" t="s">
        <v>670</v>
      </c>
      <c r="AE2707" s="1008"/>
      <c r="AF2707" s="1008"/>
      <c r="AG2707" s="1008"/>
      <c r="AH2707" s="1008"/>
      <c r="AI2707" s="1008"/>
    </row>
    <row r="2708" spans="1:35">
      <c r="A2708" s="1008">
        <v>25128</v>
      </c>
      <c r="B2708" s="1008">
        <v>2235</v>
      </c>
      <c r="C2708" s="1008">
        <v>7</v>
      </c>
      <c r="D2708" s="1009">
        <v>57019999</v>
      </c>
      <c r="E2708" s="1009">
        <v>57014000</v>
      </c>
      <c r="F2708" s="1007" t="s">
        <v>1971</v>
      </c>
      <c r="G2708" s="1007">
        <v>7</v>
      </c>
      <c r="H2708" s="1010">
        <v>99999999</v>
      </c>
      <c r="I2708" s="1009">
        <v>57014000</v>
      </c>
      <c r="J2708" s="1007" t="s">
        <v>1971</v>
      </c>
      <c r="O2708" s="1007" t="s">
        <v>648</v>
      </c>
      <c r="P2708" s="1007" t="s">
        <v>648</v>
      </c>
      <c r="S2708" s="1008" t="s">
        <v>650</v>
      </c>
      <c r="T2708" s="1008" t="s">
        <v>654</v>
      </c>
      <c r="U2708" s="1008" t="s">
        <v>653</v>
      </c>
      <c r="V2708" s="1008" t="s">
        <v>648</v>
      </c>
      <c r="W2708" s="1008" t="s">
        <v>546</v>
      </c>
      <c r="X2708" s="1008" t="s">
        <v>670</v>
      </c>
      <c r="Y2708" s="1008"/>
      <c r="Z2708" s="1008"/>
      <c r="AA2708" s="1008"/>
      <c r="AB2708" s="1008"/>
      <c r="AC2708" s="1008" t="s">
        <v>670</v>
      </c>
      <c r="AD2708" s="1008" t="s">
        <v>670</v>
      </c>
      <c r="AE2708" s="1008"/>
      <c r="AF2708" s="1008"/>
      <c r="AG2708" s="1008"/>
      <c r="AH2708" s="1008"/>
      <c r="AI2708" s="1008"/>
    </row>
    <row r="2709" spans="1:35">
      <c r="A2709" s="1008">
        <v>25129</v>
      </c>
      <c r="B2709" s="1008">
        <v>2236</v>
      </c>
      <c r="C2709" s="1008">
        <v>7</v>
      </c>
      <c r="D2709" s="1009">
        <v>57019999</v>
      </c>
      <c r="E2709" s="1009">
        <v>57015000</v>
      </c>
      <c r="F2709" s="1007" t="s">
        <v>1970</v>
      </c>
      <c r="G2709" s="1007">
        <v>7</v>
      </c>
      <c r="H2709" s="1010">
        <v>99999999</v>
      </c>
      <c r="I2709" s="1009">
        <v>57015000</v>
      </c>
      <c r="J2709" s="1007" t="s">
        <v>1970</v>
      </c>
      <c r="O2709" s="1007" t="s">
        <v>648</v>
      </c>
      <c r="P2709" s="1007" t="s">
        <v>648</v>
      </c>
      <c r="S2709" s="1008" t="s">
        <v>650</v>
      </c>
      <c r="T2709" s="1008" t="s">
        <v>654</v>
      </c>
      <c r="U2709" s="1008" t="s">
        <v>653</v>
      </c>
      <c r="V2709" s="1008" t="s">
        <v>648</v>
      </c>
      <c r="W2709" s="1008" t="s">
        <v>546</v>
      </c>
      <c r="X2709" s="1008" t="s">
        <v>670</v>
      </c>
      <c r="Y2709" s="1008"/>
      <c r="Z2709" s="1008"/>
      <c r="AA2709" s="1008"/>
      <c r="AB2709" s="1008"/>
      <c r="AC2709" s="1008" t="s">
        <v>670</v>
      </c>
      <c r="AD2709" s="1008" t="s">
        <v>670</v>
      </c>
      <c r="AE2709" s="1008"/>
      <c r="AF2709" s="1008"/>
      <c r="AG2709" s="1008"/>
      <c r="AH2709" s="1008"/>
      <c r="AI2709" s="1008"/>
    </row>
    <row r="2710" spans="1:35">
      <c r="A2710" s="1008">
        <v>25130</v>
      </c>
      <c r="B2710" s="1008">
        <v>2237</v>
      </c>
      <c r="C2710" s="1008">
        <v>7</v>
      </c>
      <c r="D2710" s="1009">
        <v>57019999</v>
      </c>
      <c r="E2710" s="1009">
        <v>57016000</v>
      </c>
      <c r="F2710" s="1007" t="s">
        <v>1969</v>
      </c>
      <c r="G2710" s="1007">
        <v>7</v>
      </c>
      <c r="H2710" s="1010">
        <v>99999999</v>
      </c>
      <c r="I2710" s="1009">
        <v>57016000</v>
      </c>
      <c r="J2710" s="1007" t="s">
        <v>1969</v>
      </c>
      <c r="O2710" s="1007" t="s">
        <v>648</v>
      </c>
      <c r="P2710" s="1007" t="s">
        <v>648</v>
      </c>
      <c r="S2710" s="1008" t="s">
        <v>650</v>
      </c>
      <c r="T2710" s="1008" t="s">
        <v>654</v>
      </c>
      <c r="U2710" s="1008" t="s">
        <v>653</v>
      </c>
      <c r="V2710" s="1008" t="s">
        <v>648</v>
      </c>
      <c r="W2710" s="1008" t="s">
        <v>546</v>
      </c>
      <c r="X2710" s="1008" t="s">
        <v>670</v>
      </c>
      <c r="Y2710" s="1008"/>
      <c r="Z2710" s="1008"/>
      <c r="AA2710" s="1008"/>
      <c r="AB2710" s="1008"/>
      <c r="AC2710" s="1008" t="s">
        <v>670</v>
      </c>
      <c r="AD2710" s="1008" t="s">
        <v>670</v>
      </c>
      <c r="AE2710" s="1008"/>
      <c r="AF2710" s="1008"/>
      <c r="AG2710" s="1008"/>
      <c r="AH2710" s="1008"/>
      <c r="AI2710" s="1008"/>
    </row>
    <row r="2711" spans="1:35">
      <c r="A2711" s="1008">
        <v>25131</v>
      </c>
      <c r="B2711" s="1008">
        <v>309</v>
      </c>
      <c r="C2711" s="1008">
        <v>7</v>
      </c>
      <c r="D2711" s="1009">
        <v>57019999</v>
      </c>
      <c r="E2711" s="1009">
        <v>57017000</v>
      </c>
      <c r="F2711" s="1007" t="s">
        <v>1968</v>
      </c>
      <c r="G2711" s="1007">
        <v>8</v>
      </c>
      <c r="H2711" s="1010">
        <v>99999999</v>
      </c>
      <c r="I2711" s="1009">
        <v>57017000</v>
      </c>
      <c r="J2711" s="1007" t="s">
        <v>1968</v>
      </c>
      <c r="O2711" s="1007" t="s">
        <v>648</v>
      </c>
      <c r="P2711" s="1007" t="s">
        <v>648</v>
      </c>
      <c r="S2711" s="1008" t="s">
        <v>650</v>
      </c>
      <c r="T2711" s="1008" t="s">
        <v>654</v>
      </c>
      <c r="U2711" s="1008" t="s">
        <v>653</v>
      </c>
      <c r="V2711" s="1008" t="s">
        <v>648</v>
      </c>
      <c r="W2711" s="1008" t="s">
        <v>546</v>
      </c>
      <c r="X2711" s="1008" t="s">
        <v>670</v>
      </c>
      <c r="Y2711" s="1008" t="s">
        <v>670</v>
      </c>
      <c r="Z2711" s="1008" t="s">
        <v>670</v>
      </c>
      <c r="AA2711" s="1008"/>
      <c r="AB2711" s="1008" t="s">
        <v>670</v>
      </c>
      <c r="AC2711" s="1008" t="s">
        <v>670</v>
      </c>
      <c r="AD2711" s="1008" t="s">
        <v>670</v>
      </c>
      <c r="AE2711" s="1008"/>
      <c r="AF2711" s="1008" t="s">
        <v>670</v>
      </c>
      <c r="AG2711" s="1008"/>
      <c r="AH2711" s="1008"/>
      <c r="AI2711" s="1008"/>
    </row>
    <row r="2712" spans="1:35">
      <c r="A2712" s="1008">
        <v>27719</v>
      </c>
      <c r="B2712" s="1008">
        <v>6541</v>
      </c>
      <c r="C2712" s="1008">
        <v>7</v>
      </c>
      <c r="D2712" s="1009">
        <v>57019999</v>
      </c>
      <c r="E2712" s="1009">
        <v>57017100</v>
      </c>
      <c r="F2712" s="1007" t="s">
        <v>1967</v>
      </c>
      <c r="G2712" s="1007">
        <v>8</v>
      </c>
      <c r="H2712" s="1010">
        <v>99999999</v>
      </c>
      <c r="I2712" s="1009">
        <v>57017100</v>
      </c>
      <c r="J2712" s="1007" t="s">
        <v>1967</v>
      </c>
      <c r="O2712" s="1007" t="s">
        <v>648</v>
      </c>
      <c r="P2712" s="1007" t="s">
        <v>648</v>
      </c>
      <c r="S2712" s="1008" t="s">
        <v>650</v>
      </c>
      <c r="T2712" s="1008" t="s">
        <v>654</v>
      </c>
      <c r="U2712" s="1008" t="s">
        <v>653</v>
      </c>
      <c r="V2712" s="1008" t="s">
        <v>648</v>
      </c>
      <c r="W2712" s="1008" t="s">
        <v>546</v>
      </c>
      <c r="X2712" s="1008" t="s">
        <v>670</v>
      </c>
      <c r="Y2712" s="1008" t="s">
        <v>670</v>
      </c>
      <c r="Z2712" s="1008"/>
      <c r="AA2712" s="1008"/>
      <c r="AB2712" s="1008"/>
      <c r="AC2712" s="1008" t="s">
        <v>670</v>
      </c>
      <c r="AD2712" s="1008" t="s">
        <v>670</v>
      </c>
      <c r="AE2712" s="1008"/>
      <c r="AF2712" s="1008" t="s">
        <v>670</v>
      </c>
      <c r="AG2712" s="1008"/>
      <c r="AH2712" s="1008"/>
      <c r="AI2712" s="1008"/>
    </row>
    <row r="2713" spans="1:35">
      <c r="A2713" s="1008">
        <v>25132</v>
      </c>
      <c r="B2713" s="1008">
        <v>5440</v>
      </c>
      <c r="C2713" s="1008">
        <v>7</v>
      </c>
      <c r="D2713" s="1009">
        <v>57019999</v>
      </c>
      <c r="E2713" s="1009">
        <v>57018000</v>
      </c>
      <c r="F2713" s="1007" t="s">
        <v>1966</v>
      </c>
      <c r="G2713" s="1007">
        <v>7</v>
      </c>
      <c r="H2713" s="1010">
        <v>99999999</v>
      </c>
      <c r="I2713" s="1009">
        <v>57018000</v>
      </c>
      <c r="J2713" s="1007" t="s">
        <v>1966</v>
      </c>
      <c r="O2713" s="1007" t="s">
        <v>648</v>
      </c>
      <c r="P2713" s="1007" t="s">
        <v>648</v>
      </c>
      <c r="S2713" s="1008" t="s">
        <v>650</v>
      </c>
      <c r="T2713" s="1008" t="s">
        <v>654</v>
      </c>
      <c r="U2713" s="1008" t="s">
        <v>653</v>
      </c>
      <c r="V2713" s="1008" t="s">
        <v>648</v>
      </c>
      <c r="W2713" s="1008" t="s">
        <v>546</v>
      </c>
      <c r="X2713" s="1008" t="s">
        <v>670</v>
      </c>
      <c r="Y2713" s="1008"/>
      <c r="Z2713" s="1008"/>
      <c r="AA2713" s="1008"/>
      <c r="AB2713" s="1008"/>
      <c r="AC2713" s="1008" t="s">
        <v>670</v>
      </c>
      <c r="AD2713" s="1008" t="s">
        <v>670</v>
      </c>
      <c r="AE2713" s="1008"/>
      <c r="AF2713" s="1008"/>
      <c r="AG2713" s="1008"/>
      <c r="AH2713" s="1008"/>
      <c r="AI2713" s="1008"/>
    </row>
    <row r="2714" spans="1:35">
      <c r="A2714" s="1008">
        <v>27616</v>
      </c>
      <c r="B2714" s="1008">
        <v>6454</v>
      </c>
      <c r="C2714" s="1008">
        <v>7</v>
      </c>
      <c r="D2714" s="1009">
        <v>57019999</v>
      </c>
      <c r="E2714" s="1009">
        <v>57019000</v>
      </c>
      <c r="F2714" s="1007" t="s">
        <v>1324</v>
      </c>
      <c r="G2714" s="1007">
        <v>8</v>
      </c>
      <c r="H2714" s="1010">
        <v>99999999</v>
      </c>
      <c r="I2714" s="1009">
        <v>57019000</v>
      </c>
      <c r="J2714" s="1007" t="s">
        <v>1965</v>
      </c>
      <c r="O2714" s="1007" t="s">
        <v>648</v>
      </c>
      <c r="P2714" s="1007" t="s">
        <v>648</v>
      </c>
      <c r="S2714" s="1008" t="s">
        <v>650</v>
      </c>
      <c r="T2714" s="1008" t="s">
        <v>654</v>
      </c>
      <c r="U2714" s="1008" t="s">
        <v>653</v>
      </c>
      <c r="V2714" s="1008" t="s">
        <v>648</v>
      </c>
      <c r="W2714" s="1008" t="s">
        <v>546</v>
      </c>
      <c r="X2714" s="1008" t="s">
        <v>670</v>
      </c>
      <c r="Y2714" s="1008" t="s">
        <v>670</v>
      </c>
      <c r="Z2714" s="1008" t="s">
        <v>670</v>
      </c>
      <c r="AA2714" s="1008"/>
      <c r="AB2714" s="1008" t="s">
        <v>670</v>
      </c>
      <c r="AC2714" s="1008"/>
      <c r="AD2714" s="1008" t="s">
        <v>670</v>
      </c>
      <c r="AE2714" s="1008"/>
      <c r="AF2714" s="1008" t="s">
        <v>670</v>
      </c>
      <c r="AG2714" s="1008"/>
      <c r="AH2714" s="1008"/>
      <c r="AI2714" s="1008"/>
    </row>
    <row r="2715" spans="1:35">
      <c r="A2715" s="1008">
        <v>25133</v>
      </c>
      <c r="C2715" s="1008">
        <v>6</v>
      </c>
      <c r="D2715" s="1009">
        <v>57099999</v>
      </c>
      <c r="E2715" s="1009">
        <v>57019999</v>
      </c>
      <c r="F2715" s="1007" t="s">
        <v>229</v>
      </c>
      <c r="O2715" s="1007" t="s">
        <v>648</v>
      </c>
      <c r="P2715" s="1007" t="s">
        <v>648</v>
      </c>
      <c r="S2715" s="1008" t="s">
        <v>650</v>
      </c>
      <c r="T2715" s="1008" t="s">
        <v>21</v>
      </c>
      <c r="U2715" s="1008" t="s">
        <v>653</v>
      </c>
      <c r="V2715" s="1008" t="s">
        <v>648</v>
      </c>
      <c r="W2715" s="1008" t="s">
        <v>546</v>
      </c>
      <c r="X2715" s="1008"/>
      <c r="Y2715" s="1008"/>
      <c r="Z2715" s="1008"/>
      <c r="AA2715" s="1008"/>
      <c r="AB2715" s="1008"/>
      <c r="AC2715" s="1008"/>
      <c r="AD2715" s="1008"/>
      <c r="AE2715" s="1008"/>
      <c r="AF2715" s="1008"/>
      <c r="AG2715" s="1008"/>
      <c r="AH2715" s="1008"/>
      <c r="AI2715" s="1008"/>
    </row>
    <row r="2716" spans="1:35">
      <c r="A2716" s="1008">
        <v>25134</v>
      </c>
      <c r="C2716" s="1008">
        <v>6</v>
      </c>
      <c r="D2716" s="1009">
        <v>57029999</v>
      </c>
      <c r="E2716" s="1009">
        <v>57020000</v>
      </c>
      <c r="F2716" s="1007" t="s">
        <v>1964</v>
      </c>
      <c r="O2716" s="1007" t="s">
        <v>648</v>
      </c>
      <c r="P2716" s="1007" t="s">
        <v>648</v>
      </c>
      <c r="S2716" s="1008" t="s">
        <v>650</v>
      </c>
      <c r="T2716" s="1008" t="s">
        <v>675</v>
      </c>
      <c r="U2716" s="1008" t="s">
        <v>653</v>
      </c>
      <c r="V2716" s="1008" t="s">
        <v>648</v>
      </c>
      <c r="W2716" s="1008" t="s">
        <v>546</v>
      </c>
      <c r="X2716" s="1008"/>
      <c r="Y2716" s="1008"/>
      <c r="Z2716" s="1008"/>
      <c r="AA2716" s="1008"/>
      <c r="AB2716" s="1008"/>
      <c r="AC2716" s="1008"/>
      <c r="AD2716" s="1008"/>
      <c r="AE2716" s="1008"/>
      <c r="AF2716" s="1008"/>
      <c r="AG2716" s="1008"/>
      <c r="AH2716" s="1008"/>
      <c r="AI2716" s="1008"/>
    </row>
    <row r="2717" spans="1:35">
      <c r="A2717" s="1008">
        <v>25135</v>
      </c>
      <c r="B2717" s="1008">
        <v>582</v>
      </c>
      <c r="C2717" s="1008">
        <v>7</v>
      </c>
      <c r="D2717" s="1009">
        <v>57029999</v>
      </c>
      <c r="E2717" s="1009">
        <v>57021000</v>
      </c>
      <c r="F2717" s="1007" t="s">
        <v>1322</v>
      </c>
      <c r="G2717" s="1007">
        <v>8</v>
      </c>
      <c r="H2717" s="1010">
        <v>99999999</v>
      </c>
      <c r="I2717" s="1009">
        <v>57021000</v>
      </c>
      <c r="J2717" s="1007" t="s">
        <v>1322</v>
      </c>
      <c r="O2717" s="1007" t="s">
        <v>648</v>
      </c>
      <c r="P2717" s="1007" t="s">
        <v>648</v>
      </c>
      <c r="S2717" s="1008" t="s">
        <v>650</v>
      </c>
      <c r="T2717" s="1008" t="s">
        <v>654</v>
      </c>
      <c r="U2717" s="1008" t="s">
        <v>653</v>
      </c>
      <c r="V2717" s="1008" t="s">
        <v>648</v>
      </c>
      <c r="W2717" s="1008" t="s">
        <v>546</v>
      </c>
      <c r="X2717" s="1008" t="s">
        <v>670</v>
      </c>
      <c r="Y2717" s="1008" t="s">
        <v>670</v>
      </c>
      <c r="Z2717" s="1008" t="s">
        <v>670</v>
      </c>
      <c r="AA2717" s="1008"/>
      <c r="AB2717" s="1008" t="s">
        <v>670</v>
      </c>
      <c r="AC2717" s="1008" t="s">
        <v>670</v>
      </c>
      <c r="AD2717" s="1008" t="s">
        <v>670</v>
      </c>
      <c r="AE2717" s="1008"/>
      <c r="AF2717" s="1008" t="s">
        <v>670</v>
      </c>
      <c r="AG2717" s="1008" t="s">
        <v>670</v>
      </c>
      <c r="AH2717" s="1008"/>
      <c r="AI2717" s="1008"/>
    </row>
    <row r="2718" spans="1:35">
      <c r="A2718" s="1008">
        <v>25136</v>
      </c>
      <c r="B2718" s="1008">
        <v>592</v>
      </c>
      <c r="C2718" s="1008">
        <v>7</v>
      </c>
      <c r="D2718" s="1009">
        <v>57029999</v>
      </c>
      <c r="E2718" s="1009">
        <v>57022000</v>
      </c>
      <c r="F2718" s="1007" t="s">
        <v>1547</v>
      </c>
      <c r="G2718" s="1007">
        <v>8</v>
      </c>
      <c r="H2718" s="1010">
        <v>99999999</v>
      </c>
      <c r="I2718" s="1009">
        <v>57022000</v>
      </c>
      <c r="J2718" s="1007" t="s">
        <v>1547</v>
      </c>
      <c r="O2718" s="1007" t="s">
        <v>648</v>
      </c>
      <c r="P2718" s="1007" t="s">
        <v>648</v>
      </c>
      <c r="S2718" s="1008" t="s">
        <v>650</v>
      </c>
      <c r="T2718" s="1008" t="s">
        <v>654</v>
      </c>
      <c r="U2718" s="1008" t="s">
        <v>653</v>
      </c>
      <c r="V2718" s="1008" t="s">
        <v>648</v>
      </c>
      <c r="W2718" s="1008" t="s">
        <v>546</v>
      </c>
      <c r="X2718" s="1008" t="s">
        <v>670</v>
      </c>
      <c r="Y2718" s="1008"/>
      <c r="Z2718" s="1008"/>
      <c r="AA2718" s="1008"/>
      <c r="AB2718" s="1008"/>
      <c r="AC2718" s="1008" t="s">
        <v>670</v>
      </c>
      <c r="AD2718" s="1008" t="s">
        <v>670</v>
      </c>
      <c r="AE2718" s="1008"/>
      <c r="AF2718" s="1008"/>
      <c r="AG2718" s="1008"/>
      <c r="AH2718" s="1008"/>
      <c r="AI2718" s="1008"/>
    </row>
    <row r="2719" spans="1:35">
      <c r="A2719" s="1008">
        <v>25137</v>
      </c>
      <c r="B2719" s="1008">
        <v>5442</v>
      </c>
      <c r="C2719" s="1008">
        <v>7</v>
      </c>
      <c r="D2719" s="1009">
        <v>57029999</v>
      </c>
      <c r="E2719" s="1009">
        <v>57023000</v>
      </c>
      <c r="F2719" s="1007" t="s">
        <v>1321</v>
      </c>
      <c r="G2719" s="1007">
        <v>7</v>
      </c>
      <c r="H2719" s="1010">
        <v>99999999</v>
      </c>
      <c r="I2719" s="1009">
        <v>57023000</v>
      </c>
      <c r="J2719" s="1007" t="s">
        <v>1321</v>
      </c>
      <c r="O2719" s="1007" t="s">
        <v>648</v>
      </c>
      <c r="P2719" s="1007" t="s">
        <v>648</v>
      </c>
      <c r="S2719" s="1008" t="s">
        <v>650</v>
      </c>
      <c r="T2719" s="1008" t="s">
        <v>654</v>
      </c>
      <c r="U2719" s="1008" t="s">
        <v>653</v>
      </c>
      <c r="V2719" s="1008" t="s">
        <v>648</v>
      </c>
      <c r="W2719" s="1008" t="s">
        <v>546</v>
      </c>
      <c r="X2719" s="1008" t="s">
        <v>670</v>
      </c>
      <c r="Y2719" s="1008"/>
      <c r="Z2719" s="1008"/>
      <c r="AA2719" s="1008"/>
      <c r="AB2719" s="1008"/>
      <c r="AC2719" s="1008" t="s">
        <v>670</v>
      </c>
      <c r="AD2719" s="1008" t="s">
        <v>670</v>
      </c>
      <c r="AE2719" s="1008"/>
      <c r="AF2719" s="1008"/>
      <c r="AG2719" s="1008"/>
      <c r="AH2719" s="1008"/>
      <c r="AI2719" s="1008"/>
    </row>
    <row r="2720" spans="1:35">
      <c r="A2720" s="1008">
        <v>25138</v>
      </c>
      <c r="C2720" s="1008">
        <v>6</v>
      </c>
      <c r="D2720" s="1009">
        <v>57099999</v>
      </c>
      <c r="E2720" s="1009">
        <v>57029999</v>
      </c>
      <c r="F2720" s="1007" t="s">
        <v>1963</v>
      </c>
      <c r="O2720" s="1007" t="s">
        <v>648</v>
      </c>
      <c r="P2720" s="1007" t="s">
        <v>648</v>
      </c>
      <c r="S2720" s="1008" t="s">
        <v>650</v>
      </c>
      <c r="T2720" s="1008" t="s">
        <v>21</v>
      </c>
      <c r="U2720" s="1008" t="s">
        <v>653</v>
      </c>
      <c r="V2720" s="1008" t="s">
        <v>648</v>
      </c>
      <c r="W2720" s="1008" t="s">
        <v>546</v>
      </c>
      <c r="X2720" s="1008"/>
      <c r="Y2720" s="1008"/>
      <c r="Z2720" s="1008"/>
      <c r="AA2720" s="1008"/>
      <c r="AB2720" s="1008"/>
      <c r="AC2720" s="1008"/>
      <c r="AD2720" s="1008"/>
      <c r="AE2720" s="1008"/>
      <c r="AF2720" s="1008"/>
      <c r="AG2720" s="1008"/>
      <c r="AH2720" s="1008"/>
      <c r="AI2720" s="1008"/>
    </row>
    <row r="2721" spans="1:35">
      <c r="A2721" s="1008">
        <v>25139</v>
      </c>
      <c r="C2721" s="1008">
        <v>6</v>
      </c>
      <c r="D2721" s="1009">
        <v>57039999</v>
      </c>
      <c r="E2721" s="1009">
        <v>57030000</v>
      </c>
      <c r="F2721" s="1007" t="s">
        <v>1317</v>
      </c>
      <c r="O2721" s="1007" t="s">
        <v>648</v>
      </c>
      <c r="P2721" s="1007" t="s">
        <v>648</v>
      </c>
      <c r="S2721" s="1008" t="s">
        <v>650</v>
      </c>
      <c r="T2721" s="1008" t="s">
        <v>675</v>
      </c>
      <c r="U2721" s="1008" t="s">
        <v>653</v>
      </c>
      <c r="V2721" s="1008" t="s">
        <v>648</v>
      </c>
      <c r="W2721" s="1008" t="s">
        <v>546</v>
      </c>
      <c r="X2721" s="1008"/>
      <c r="Y2721" s="1008"/>
      <c r="Z2721" s="1008"/>
      <c r="AA2721" s="1008"/>
      <c r="AB2721" s="1008"/>
      <c r="AC2721" s="1008"/>
      <c r="AD2721" s="1008"/>
      <c r="AE2721" s="1008"/>
      <c r="AF2721" s="1008"/>
      <c r="AG2721" s="1008"/>
      <c r="AH2721" s="1008"/>
      <c r="AI2721" s="1008"/>
    </row>
    <row r="2722" spans="1:35">
      <c r="A2722" s="1008">
        <v>25140</v>
      </c>
      <c r="B2722" s="1008">
        <v>2243</v>
      </c>
      <c r="C2722" s="1008">
        <v>7</v>
      </c>
      <c r="D2722" s="1009">
        <v>57039999</v>
      </c>
      <c r="E2722" s="1009">
        <v>57031000</v>
      </c>
      <c r="F2722" s="1007" t="s">
        <v>1962</v>
      </c>
      <c r="G2722" s="1007">
        <v>7</v>
      </c>
      <c r="H2722" s="1010">
        <v>99999999</v>
      </c>
      <c r="I2722" s="1009">
        <v>57031000</v>
      </c>
      <c r="J2722" s="1007" t="s">
        <v>1962</v>
      </c>
      <c r="O2722" s="1007" t="s">
        <v>648</v>
      </c>
      <c r="P2722" s="1007" t="s">
        <v>648</v>
      </c>
      <c r="S2722" s="1008" t="s">
        <v>650</v>
      </c>
      <c r="T2722" s="1008" t="s">
        <v>654</v>
      </c>
      <c r="U2722" s="1008" t="s">
        <v>653</v>
      </c>
      <c r="V2722" s="1008" t="s">
        <v>648</v>
      </c>
      <c r="W2722" s="1008" t="s">
        <v>546</v>
      </c>
      <c r="X2722" s="1008" t="s">
        <v>670</v>
      </c>
      <c r="Y2722" s="1008"/>
      <c r="Z2722" s="1008"/>
      <c r="AA2722" s="1008"/>
      <c r="AB2722" s="1008" t="s">
        <v>670</v>
      </c>
      <c r="AC2722" s="1008" t="s">
        <v>670</v>
      </c>
      <c r="AD2722" s="1008" t="s">
        <v>670</v>
      </c>
      <c r="AE2722" s="1008"/>
      <c r="AF2722" s="1008"/>
      <c r="AG2722" s="1008" t="s">
        <v>670</v>
      </c>
      <c r="AH2722" s="1008"/>
      <c r="AI2722" s="1008"/>
    </row>
    <row r="2723" spans="1:35">
      <c r="A2723" s="1008">
        <v>25141</v>
      </c>
      <c r="B2723" s="1008">
        <v>2244</v>
      </c>
      <c r="C2723" s="1008">
        <v>7</v>
      </c>
      <c r="D2723" s="1009">
        <v>57039999</v>
      </c>
      <c r="E2723" s="1009">
        <v>57032000</v>
      </c>
      <c r="F2723" s="1007" t="s">
        <v>1961</v>
      </c>
      <c r="G2723" s="1007">
        <v>7</v>
      </c>
      <c r="H2723" s="1010">
        <v>99999999</v>
      </c>
      <c r="I2723" s="1009">
        <v>57032000</v>
      </c>
      <c r="J2723" s="1007" t="s">
        <v>1961</v>
      </c>
      <c r="O2723" s="1007" t="s">
        <v>648</v>
      </c>
      <c r="P2723" s="1007" t="s">
        <v>648</v>
      </c>
      <c r="S2723" s="1008" t="s">
        <v>650</v>
      </c>
      <c r="T2723" s="1008" t="s">
        <v>654</v>
      </c>
      <c r="U2723" s="1008" t="s">
        <v>653</v>
      </c>
      <c r="V2723" s="1008" t="s">
        <v>648</v>
      </c>
      <c r="W2723" s="1008" t="s">
        <v>546</v>
      </c>
      <c r="X2723" s="1008" t="s">
        <v>670</v>
      </c>
      <c r="Y2723" s="1008" t="s">
        <v>670</v>
      </c>
      <c r="Z2723" s="1008"/>
      <c r="AA2723" s="1008"/>
      <c r="AB2723" s="1008"/>
      <c r="AC2723" s="1008" t="s">
        <v>670</v>
      </c>
      <c r="AD2723" s="1008" t="s">
        <v>670</v>
      </c>
      <c r="AE2723" s="1008"/>
      <c r="AF2723" s="1008" t="s">
        <v>670</v>
      </c>
      <c r="AG2723" s="1008"/>
      <c r="AH2723" s="1008"/>
      <c r="AI2723" s="1008"/>
    </row>
    <row r="2724" spans="1:35">
      <c r="A2724" s="1008">
        <v>25142</v>
      </c>
      <c r="B2724" s="1008">
        <v>529</v>
      </c>
      <c r="C2724" s="1008">
        <v>7</v>
      </c>
      <c r="D2724" s="1009">
        <v>57039999</v>
      </c>
      <c r="E2724" s="1009">
        <v>57034000</v>
      </c>
      <c r="F2724" s="1007" t="s">
        <v>1960</v>
      </c>
      <c r="G2724" s="1007">
        <v>8</v>
      </c>
      <c r="H2724" s="1010">
        <v>99999999</v>
      </c>
      <c r="I2724" s="1009">
        <v>57034000</v>
      </c>
      <c r="J2724" s="1007" t="s">
        <v>1960</v>
      </c>
      <c r="O2724" s="1007" t="s">
        <v>648</v>
      </c>
      <c r="P2724" s="1007" t="s">
        <v>648</v>
      </c>
      <c r="S2724" s="1008" t="s">
        <v>650</v>
      </c>
      <c r="T2724" s="1008" t="s">
        <v>654</v>
      </c>
      <c r="U2724" s="1008" t="s">
        <v>653</v>
      </c>
      <c r="V2724" s="1008" t="s">
        <v>648</v>
      </c>
      <c r="W2724" s="1008" t="s">
        <v>546</v>
      </c>
      <c r="X2724" s="1008" t="s">
        <v>670</v>
      </c>
      <c r="Y2724" s="1008" t="s">
        <v>670</v>
      </c>
      <c r="Z2724" s="1008" t="s">
        <v>670</v>
      </c>
      <c r="AA2724" s="1008"/>
      <c r="AB2724" s="1008"/>
      <c r="AC2724" s="1008" t="s">
        <v>670</v>
      </c>
      <c r="AD2724" s="1008" t="s">
        <v>670</v>
      </c>
      <c r="AE2724" s="1008"/>
      <c r="AF2724" s="1008" t="s">
        <v>670</v>
      </c>
      <c r="AG2724" s="1008"/>
      <c r="AH2724" s="1008"/>
      <c r="AI2724" s="1008"/>
    </row>
    <row r="2725" spans="1:35">
      <c r="A2725" s="1008">
        <v>25143</v>
      </c>
      <c r="C2725" s="1008">
        <v>6</v>
      </c>
      <c r="D2725" s="1009">
        <v>57099999</v>
      </c>
      <c r="E2725" s="1009">
        <v>57039999</v>
      </c>
      <c r="F2725" s="1007" t="s">
        <v>1313</v>
      </c>
      <c r="O2725" s="1007" t="s">
        <v>648</v>
      </c>
      <c r="P2725" s="1007" t="s">
        <v>648</v>
      </c>
      <c r="S2725" s="1008" t="s">
        <v>650</v>
      </c>
      <c r="T2725" s="1008" t="s">
        <v>21</v>
      </c>
      <c r="U2725" s="1008" t="s">
        <v>653</v>
      </c>
      <c r="V2725" s="1008" t="s">
        <v>648</v>
      </c>
      <c r="W2725" s="1008" t="s">
        <v>546</v>
      </c>
      <c r="X2725" s="1008"/>
      <c r="Y2725" s="1008"/>
      <c r="Z2725" s="1008"/>
      <c r="AA2725" s="1008"/>
      <c r="AB2725" s="1008"/>
      <c r="AC2725" s="1008"/>
      <c r="AD2725" s="1008"/>
      <c r="AE2725" s="1008"/>
      <c r="AF2725" s="1008"/>
      <c r="AG2725" s="1008"/>
      <c r="AH2725" s="1008"/>
      <c r="AI2725" s="1008"/>
    </row>
    <row r="2726" spans="1:35">
      <c r="A2726" s="1008">
        <v>25144</v>
      </c>
      <c r="C2726" s="1008">
        <v>5</v>
      </c>
      <c r="D2726" s="1009">
        <v>59599999</v>
      </c>
      <c r="E2726" s="1009">
        <v>57099999</v>
      </c>
      <c r="F2726" s="1007" t="s">
        <v>1312</v>
      </c>
      <c r="O2726" s="1007" t="s">
        <v>648</v>
      </c>
      <c r="P2726" s="1007" t="s">
        <v>648</v>
      </c>
      <c r="S2726" s="1008" t="s">
        <v>650</v>
      </c>
      <c r="T2726" s="1008" t="s">
        <v>21</v>
      </c>
      <c r="U2726" s="1008" t="s">
        <v>653</v>
      </c>
      <c r="V2726" s="1008" t="s">
        <v>648</v>
      </c>
      <c r="W2726" s="1008" t="s">
        <v>546</v>
      </c>
      <c r="X2726" s="1008"/>
      <c r="Y2726" s="1008"/>
      <c r="Z2726" s="1008"/>
      <c r="AA2726" s="1008"/>
      <c r="AB2726" s="1008"/>
      <c r="AC2726" s="1008"/>
      <c r="AD2726" s="1008"/>
      <c r="AE2726" s="1008"/>
      <c r="AF2726" s="1008"/>
      <c r="AG2726" s="1008"/>
      <c r="AH2726" s="1008"/>
      <c r="AI2726" s="1008"/>
    </row>
    <row r="2727" spans="1:35">
      <c r="A2727" s="1008">
        <v>25145</v>
      </c>
      <c r="C2727" s="1008">
        <v>5</v>
      </c>
      <c r="D2727" s="1009">
        <v>58099999</v>
      </c>
      <c r="E2727" s="1009">
        <v>58000000</v>
      </c>
      <c r="F2727" s="1007" t="s">
        <v>1959</v>
      </c>
      <c r="O2727" s="1007" t="s">
        <v>648</v>
      </c>
      <c r="P2727" s="1007" t="s">
        <v>648</v>
      </c>
      <c r="S2727" s="1008" t="s">
        <v>650</v>
      </c>
      <c r="T2727" s="1008" t="s">
        <v>675</v>
      </c>
      <c r="U2727" s="1008" t="s">
        <v>653</v>
      </c>
      <c r="V2727" s="1008" t="s">
        <v>648</v>
      </c>
      <c r="W2727" s="1008" t="s">
        <v>546</v>
      </c>
      <c r="X2727" s="1008"/>
      <c r="Y2727" s="1008"/>
      <c r="Z2727" s="1008"/>
      <c r="AA2727" s="1008"/>
      <c r="AB2727" s="1008"/>
      <c r="AC2727" s="1008"/>
      <c r="AD2727" s="1008"/>
      <c r="AE2727" s="1008"/>
      <c r="AF2727" s="1008"/>
      <c r="AG2727" s="1008"/>
      <c r="AH2727" s="1008"/>
      <c r="AI2727" s="1008"/>
    </row>
    <row r="2728" spans="1:35">
      <c r="A2728" s="1008">
        <v>25146</v>
      </c>
      <c r="C2728" s="1008">
        <v>6</v>
      </c>
      <c r="D2728" s="1009">
        <v>58019999</v>
      </c>
      <c r="E2728" s="1009">
        <v>58010000</v>
      </c>
      <c r="F2728" s="1007" t="s">
        <v>1958</v>
      </c>
      <c r="O2728" s="1007" t="s">
        <v>648</v>
      </c>
      <c r="P2728" s="1007" t="s">
        <v>648</v>
      </c>
      <c r="S2728" s="1008" t="s">
        <v>650</v>
      </c>
      <c r="T2728" s="1008" t="s">
        <v>675</v>
      </c>
      <c r="U2728" s="1008" t="s">
        <v>653</v>
      </c>
      <c r="V2728" s="1008" t="s">
        <v>648</v>
      </c>
      <c r="W2728" s="1008" t="s">
        <v>546</v>
      </c>
      <c r="X2728" s="1008"/>
      <c r="Y2728" s="1008"/>
      <c r="Z2728" s="1008"/>
      <c r="AA2728" s="1008"/>
      <c r="AB2728" s="1008"/>
      <c r="AC2728" s="1008"/>
      <c r="AD2728" s="1008"/>
      <c r="AE2728" s="1008"/>
      <c r="AF2728" s="1008"/>
      <c r="AG2728" s="1008"/>
      <c r="AH2728" s="1008"/>
      <c r="AI2728" s="1008"/>
    </row>
    <row r="2729" spans="1:35">
      <c r="A2729" s="1008">
        <v>25147</v>
      </c>
      <c r="B2729" s="1008">
        <v>319</v>
      </c>
      <c r="C2729" s="1008">
        <v>7</v>
      </c>
      <c r="D2729" s="1009">
        <v>58019999</v>
      </c>
      <c r="E2729" s="1009">
        <v>58011000</v>
      </c>
      <c r="F2729" s="1007" t="s">
        <v>1958</v>
      </c>
      <c r="G2729" s="1007">
        <v>8</v>
      </c>
      <c r="H2729" s="1010">
        <v>99999999</v>
      </c>
      <c r="I2729" s="1009">
        <v>58011000</v>
      </c>
      <c r="J2729" s="1007" t="s">
        <v>1958</v>
      </c>
      <c r="O2729" s="1007" t="s">
        <v>648</v>
      </c>
      <c r="P2729" s="1007" t="s">
        <v>648</v>
      </c>
      <c r="S2729" s="1008" t="s">
        <v>650</v>
      </c>
      <c r="T2729" s="1008" t="s">
        <v>654</v>
      </c>
      <c r="U2729" s="1008" t="s">
        <v>653</v>
      </c>
      <c r="V2729" s="1008" t="s">
        <v>648</v>
      </c>
      <c r="W2729" s="1008" t="s">
        <v>546</v>
      </c>
      <c r="X2729" s="1008" t="s">
        <v>670</v>
      </c>
      <c r="Y2729" s="1008"/>
      <c r="Z2729" s="1008"/>
      <c r="AA2729" s="1008"/>
      <c r="AB2729" s="1008"/>
      <c r="AC2729" s="1008" t="s">
        <v>670</v>
      </c>
      <c r="AD2729" s="1008" t="s">
        <v>670</v>
      </c>
      <c r="AE2729" s="1008"/>
      <c r="AF2729" s="1008"/>
      <c r="AG2729" s="1008"/>
      <c r="AH2729" s="1008"/>
      <c r="AI2729" s="1008"/>
    </row>
    <row r="2730" spans="1:35">
      <c r="A2730" s="1008">
        <v>25148</v>
      </c>
      <c r="C2730" s="1008">
        <v>6</v>
      </c>
      <c r="D2730" s="1009">
        <v>58099999</v>
      </c>
      <c r="E2730" s="1009">
        <v>58019999</v>
      </c>
      <c r="F2730" s="1007" t="s">
        <v>1957</v>
      </c>
      <c r="O2730" s="1007" t="s">
        <v>648</v>
      </c>
      <c r="P2730" s="1007" t="s">
        <v>648</v>
      </c>
      <c r="S2730" s="1008" t="s">
        <v>650</v>
      </c>
      <c r="T2730" s="1008" t="s">
        <v>21</v>
      </c>
      <c r="U2730" s="1008" t="s">
        <v>653</v>
      </c>
      <c r="V2730" s="1008" t="s">
        <v>648</v>
      </c>
      <c r="W2730" s="1008" t="s">
        <v>546</v>
      </c>
      <c r="X2730" s="1008"/>
      <c r="Y2730" s="1008"/>
      <c r="Z2730" s="1008"/>
      <c r="AA2730" s="1008"/>
      <c r="AB2730" s="1008"/>
      <c r="AC2730" s="1008"/>
      <c r="AD2730" s="1008"/>
      <c r="AE2730" s="1008"/>
      <c r="AF2730" s="1008"/>
      <c r="AG2730" s="1008"/>
      <c r="AH2730" s="1008"/>
      <c r="AI2730" s="1008"/>
    </row>
    <row r="2731" spans="1:35">
      <c r="A2731" s="1008">
        <v>25149</v>
      </c>
      <c r="C2731" s="1008">
        <v>6</v>
      </c>
      <c r="D2731" s="1009">
        <v>58029999</v>
      </c>
      <c r="E2731" s="1009">
        <v>58020000</v>
      </c>
      <c r="F2731" s="1007" t="s">
        <v>1956</v>
      </c>
      <c r="O2731" s="1007" t="s">
        <v>648</v>
      </c>
      <c r="P2731" s="1007" t="s">
        <v>648</v>
      </c>
      <c r="S2731" s="1008" t="s">
        <v>650</v>
      </c>
      <c r="T2731" s="1008" t="s">
        <v>675</v>
      </c>
      <c r="U2731" s="1008" t="s">
        <v>653</v>
      </c>
      <c r="V2731" s="1008" t="s">
        <v>648</v>
      </c>
      <c r="W2731" s="1008" t="s">
        <v>546</v>
      </c>
      <c r="X2731" s="1008"/>
      <c r="Y2731" s="1008"/>
      <c r="Z2731" s="1008"/>
      <c r="AA2731" s="1008"/>
      <c r="AB2731" s="1008"/>
      <c r="AC2731" s="1008"/>
      <c r="AD2731" s="1008"/>
      <c r="AE2731" s="1008"/>
      <c r="AF2731" s="1008"/>
      <c r="AG2731" s="1008"/>
      <c r="AH2731" s="1008"/>
      <c r="AI2731" s="1008"/>
    </row>
    <row r="2732" spans="1:35">
      <c r="A2732" s="1008">
        <v>25150</v>
      </c>
      <c r="B2732" s="1008">
        <v>2247</v>
      </c>
      <c r="C2732" s="1008">
        <v>7</v>
      </c>
      <c r="D2732" s="1009">
        <v>58029999</v>
      </c>
      <c r="E2732" s="1009">
        <v>58021000</v>
      </c>
      <c r="F2732" s="1007" t="s">
        <v>1955</v>
      </c>
      <c r="G2732" s="1007">
        <v>7</v>
      </c>
      <c r="H2732" s="1010">
        <v>99999999</v>
      </c>
      <c r="I2732" s="1009">
        <v>58021000</v>
      </c>
      <c r="J2732" s="1007" t="s">
        <v>1955</v>
      </c>
      <c r="O2732" s="1007" t="s">
        <v>648</v>
      </c>
      <c r="P2732" s="1007" t="s">
        <v>648</v>
      </c>
      <c r="S2732" s="1008" t="s">
        <v>650</v>
      </c>
      <c r="T2732" s="1008" t="s">
        <v>654</v>
      </c>
      <c r="U2732" s="1008" t="s">
        <v>653</v>
      </c>
      <c r="V2732" s="1008" t="s">
        <v>648</v>
      </c>
      <c r="W2732" s="1008" t="s">
        <v>546</v>
      </c>
      <c r="X2732" s="1008" t="s">
        <v>670</v>
      </c>
      <c r="Y2732" s="1008" t="s">
        <v>670</v>
      </c>
      <c r="Z2732" s="1008" t="s">
        <v>670</v>
      </c>
      <c r="AA2732" s="1008" t="s">
        <v>670</v>
      </c>
      <c r="AB2732" s="1008" t="s">
        <v>670</v>
      </c>
      <c r="AC2732" s="1008" t="s">
        <v>670</v>
      </c>
      <c r="AD2732" s="1008" t="s">
        <v>670</v>
      </c>
      <c r="AE2732" s="1008"/>
      <c r="AF2732" s="1008" t="s">
        <v>670</v>
      </c>
      <c r="AG2732" s="1008"/>
      <c r="AH2732" s="1008"/>
      <c r="AI2732" s="1008"/>
    </row>
    <row r="2733" spans="1:35">
      <c r="A2733" s="1008">
        <v>25151</v>
      </c>
      <c r="B2733" s="1008">
        <v>5450</v>
      </c>
      <c r="C2733" s="1008">
        <v>7</v>
      </c>
      <c r="D2733" s="1009">
        <v>58029999</v>
      </c>
      <c r="E2733" s="1009">
        <v>58022000</v>
      </c>
      <c r="F2733" s="1007" t="s">
        <v>1954</v>
      </c>
      <c r="G2733" s="1007">
        <v>7</v>
      </c>
      <c r="H2733" s="1010">
        <v>99999999</v>
      </c>
      <c r="I2733" s="1009">
        <v>58022000</v>
      </c>
      <c r="J2733" s="1007" t="s">
        <v>1954</v>
      </c>
      <c r="O2733" s="1007" t="s">
        <v>648</v>
      </c>
      <c r="P2733" s="1007" t="s">
        <v>648</v>
      </c>
      <c r="S2733" s="1008" t="s">
        <v>650</v>
      </c>
      <c r="T2733" s="1008" t="s">
        <v>654</v>
      </c>
      <c r="U2733" s="1008" t="s">
        <v>653</v>
      </c>
      <c r="V2733" s="1008" t="s">
        <v>648</v>
      </c>
      <c r="W2733" s="1008" t="s">
        <v>546</v>
      </c>
      <c r="X2733" s="1008" t="s">
        <v>670</v>
      </c>
      <c r="Y2733" s="1008" t="s">
        <v>670</v>
      </c>
      <c r="Z2733" s="1008" t="s">
        <v>670</v>
      </c>
      <c r="AA2733" s="1008" t="s">
        <v>670</v>
      </c>
      <c r="AB2733" s="1008" t="s">
        <v>670</v>
      </c>
      <c r="AC2733" s="1008" t="s">
        <v>670</v>
      </c>
      <c r="AD2733" s="1008" t="s">
        <v>670</v>
      </c>
      <c r="AE2733" s="1008"/>
      <c r="AF2733" s="1008" t="s">
        <v>670</v>
      </c>
      <c r="AG2733" s="1008"/>
      <c r="AH2733" s="1008"/>
      <c r="AI2733" s="1008"/>
    </row>
    <row r="2734" spans="1:35">
      <c r="A2734" s="1008">
        <v>25152</v>
      </c>
      <c r="C2734" s="1008">
        <v>6</v>
      </c>
      <c r="D2734" s="1009">
        <v>58099999</v>
      </c>
      <c r="E2734" s="1009">
        <v>58029999</v>
      </c>
      <c r="F2734" s="1007" t="s">
        <v>1953</v>
      </c>
      <c r="O2734" s="1007" t="s">
        <v>648</v>
      </c>
      <c r="P2734" s="1007" t="s">
        <v>648</v>
      </c>
      <c r="S2734" s="1008" t="s">
        <v>650</v>
      </c>
      <c r="T2734" s="1008" t="s">
        <v>21</v>
      </c>
      <c r="U2734" s="1008" t="s">
        <v>653</v>
      </c>
      <c r="V2734" s="1008" t="s">
        <v>648</v>
      </c>
      <c r="W2734" s="1008" t="s">
        <v>546</v>
      </c>
      <c r="X2734" s="1008"/>
      <c r="Y2734" s="1008"/>
      <c r="Z2734" s="1008"/>
      <c r="AA2734" s="1008"/>
      <c r="AB2734" s="1008"/>
      <c r="AC2734" s="1008"/>
      <c r="AD2734" s="1008"/>
      <c r="AE2734" s="1008"/>
      <c r="AF2734" s="1008"/>
      <c r="AG2734" s="1008"/>
      <c r="AH2734" s="1008"/>
      <c r="AI2734" s="1008"/>
    </row>
    <row r="2735" spans="1:35">
      <c r="A2735" s="1008">
        <v>25153</v>
      </c>
      <c r="C2735" s="1008">
        <v>5</v>
      </c>
      <c r="D2735" s="1009">
        <v>59599999</v>
      </c>
      <c r="E2735" s="1009">
        <v>58099999</v>
      </c>
      <c r="F2735" s="1007" t="s">
        <v>1952</v>
      </c>
      <c r="O2735" s="1007" t="s">
        <v>648</v>
      </c>
      <c r="P2735" s="1007" t="s">
        <v>648</v>
      </c>
      <c r="S2735" s="1008" t="s">
        <v>650</v>
      </c>
      <c r="T2735" s="1008" t="s">
        <v>21</v>
      </c>
      <c r="U2735" s="1008" t="s">
        <v>653</v>
      </c>
      <c r="V2735" s="1008" t="s">
        <v>648</v>
      </c>
      <c r="W2735" s="1008" t="s">
        <v>546</v>
      </c>
      <c r="X2735" s="1008"/>
      <c r="Y2735" s="1008"/>
      <c r="Z2735" s="1008"/>
      <c r="AA2735" s="1008"/>
      <c r="AB2735" s="1008"/>
      <c r="AC2735" s="1008"/>
      <c r="AD2735" s="1008"/>
      <c r="AE2735" s="1008"/>
      <c r="AF2735" s="1008"/>
      <c r="AG2735" s="1008"/>
      <c r="AH2735" s="1008"/>
      <c r="AI2735" s="1008"/>
    </row>
    <row r="2736" spans="1:35">
      <c r="A2736" s="1008">
        <v>25154</v>
      </c>
      <c r="C2736" s="1008">
        <v>5</v>
      </c>
      <c r="D2736" s="1009">
        <v>58199999</v>
      </c>
      <c r="E2736" s="1009">
        <v>58100000</v>
      </c>
      <c r="F2736" s="1007" t="s">
        <v>1951</v>
      </c>
      <c r="O2736" s="1007" t="s">
        <v>648</v>
      </c>
      <c r="P2736" s="1007" t="s">
        <v>648</v>
      </c>
      <c r="S2736" s="1008" t="s">
        <v>650</v>
      </c>
      <c r="T2736" s="1008" t="s">
        <v>675</v>
      </c>
      <c r="U2736" s="1008" t="s">
        <v>653</v>
      </c>
      <c r="V2736" s="1008" t="s">
        <v>648</v>
      </c>
      <c r="W2736" s="1008" t="s">
        <v>546</v>
      </c>
      <c r="X2736" s="1008"/>
      <c r="Y2736" s="1008"/>
      <c r="Z2736" s="1008"/>
      <c r="AA2736" s="1008"/>
      <c r="AB2736" s="1008"/>
      <c r="AC2736" s="1008"/>
      <c r="AD2736" s="1008"/>
      <c r="AE2736" s="1008"/>
      <c r="AF2736" s="1008"/>
      <c r="AG2736" s="1008"/>
      <c r="AH2736" s="1008"/>
      <c r="AI2736" s="1008"/>
    </row>
    <row r="2737" spans="1:35">
      <c r="A2737" s="1008">
        <v>25155</v>
      </c>
      <c r="C2737" s="1008">
        <v>6</v>
      </c>
      <c r="D2737" s="1009">
        <v>58119999</v>
      </c>
      <c r="E2737" s="1009">
        <v>58110000</v>
      </c>
      <c r="F2737" s="1007" t="s">
        <v>1950</v>
      </c>
      <c r="O2737" s="1007" t="s">
        <v>648</v>
      </c>
      <c r="P2737" s="1007" t="s">
        <v>648</v>
      </c>
      <c r="S2737" s="1008" t="s">
        <v>650</v>
      </c>
      <c r="T2737" s="1008" t="s">
        <v>675</v>
      </c>
      <c r="U2737" s="1008" t="s">
        <v>653</v>
      </c>
      <c r="V2737" s="1008" t="s">
        <v>648</v>
      </c>
      <c r="W2737" s="1008" t="s">
        <v>546</v>
      </c>
      <c r="X2737" s="1008"/>
      <c r="Y2737" s="1008"/>
      <c r="Z2737" s="1008"/>
      <c r="AA2737" s="1008"/>
      <c r="AB2737" s="1008"/>
      <c r="AC2737" s="1008"/>
      <c r="AD2737" s="1008"/>
      <c r="AE2737" s="1008"/>
      <c r="AF2737" s="1008"/>
      <c r="AG2737" s="1008"/>
      <c r="AH2737" s="1008"/>
      <c r="AI2737" s="1008"/>
    </row>
    <row r="2738" spans="1:35">
      <c r="A2738" s="1008">
        <v>26299</v>
      </c>
      <c r="B2738" s="1008">
        <v>2249</v>
      </c>
      <c r="C2738" s="1008">
        <v>7</v>
      </c>
      <c r="D2738" s="1009">
        <v>58119999</v>
      </c>
      <c r="E2738" s="1009">
        <v>58111000</v>
      </c>
      <c r="F2738" s="1007" t="s">
        <v>1949</v>
      </c>
      <c r="G2738" s="1007">
        <v>7</v>
      </c>
      <c r="H2738" s="1010">
        <v>99999999</v>
      </c>
      <c r="I2738" s="1009">
        <v>58111000</v>
      </c>
      <c r="J2738" s="1007" t="s">
        <v>1949</v>
      </c>
      <c r="O2738" s="1007" t="s">
        <v>648</v>
      </c>
      <c r="P2738" s="1007" t="s">
        <v>648</v>
      </c>
      <c r="S2738" s="1008" t="s">
        <v>650</v>
      </c>
      <c r="T2738" s="1008" t="s">
        <v>654</v>
      </c>
      <c r="U2738" s="1008" t="s">
        <v>653</v>
      </c>
      <c r="V2738" s="1008" t="s">
        <v>648</v>
      </c>
      <c r="W2738" s="1008" t="s">
        <v>546</v>
      </c>
      <c r="X2738" s="1008" t="s">
        <v>670</v>
      </c>
      <c r="Y2738" s="1008" t="s">
        <v>670</v>
      </c>
      <c r="Z2738" s="1008" t="s">
        <v>670</v>
      </c>
      <c r="AA2738" s="1008" t="s">
        <v>670</v>
      </c>
      <c r="AB2738" s="1008" t="s">
        <v>670</v>
      </c>
      <c r="AC2738" s="1008" t="s">
        <v>670</v>
      </c>
      <c r="AD2738" s="1008" t="s">
        <v>670</v>
      </c>
      <c r="AE2738" s="1008"/>
      <c r="AF2738" s="1008" t="s">
        <v>670</v>
      </c>
      <c r="AG2738" s="1008"/>
      <c r="AH2738" s="1008"/>
      <c r="AI2738" s="1008"/>
    </row>
    <row r="2739" spans="1:35">
      <c r="A2739" s="1008">
        <v>26298</v>
      </c>
      <c r="B2739" s="1008">
        <v>2250</v>
      </c>
      <c r="C2739" s="1008">
        <v>7</v>
      </c>
      <c r="D2739" s="1009">
        <v>58119999</v>
      </c>
      <c r="E2739" s="1009">
        <v>58112000</v>
      </c>
      <c r="F2739" s="1007" t="s">
        <v>1948</v>
      </c>
      <c r="G2739" s="1007">
        <v>7</v>
      </c>
      <c r="H2739" s="1010">
        <v>99999999</v>
      </c>
      <c r="I2739" s="1009">
        <v>58112000</v>
      </c>
      <c r="J2739" s="1007" t="s">
        <v>1948</v>
      </c>
      <c r="O2739" s="1007" t="s">
        <v>648</v>
      </c>
      <c r="P2739" s="1007" t="s">
        <v>648</v>
      </c>
      <c r="S2739" s="1008" t="s">
        <v>650</v>
      </c>
      <c r="T2739" s="1008" t="s">
        <v>654</v>
      </c>
      <c r="U2739" s="1008" t="s">
        <v>653</v>
      </c>
      <c r="V2739" s="1008" t="s">
        <v>648</v>
      </c>
      <c r="W2739" s="1008" t="s">
        <v>546</v>
      </c>
      <c r="X2739" s="1008" t="s">
        <v>670</v>
      </c>
      <c r="Y2739" s="1008" t="s">
        <v>670</v>
      </c>
      <c r="Z2739" s="1008" t="s">
        <v>670</v>
      </c>
      <c r="AA2739" s="1008" t="s">
        <v>670</v>
      </c>
      <c r="AB2739" s="1008" t="s">
        <v>670</v>
      </c>
      <c r="AC2739" s="1008" t="s">
        <v>670</v>
      </c>
      <c r="AD2739" s="1008" t="s">
        <v>670</v>
      </c>
      <c r="AE2739" s="1008"/>
      <c r="AF2739" s="1008" t="s">
        <v>670</v>
      </c>
      <c r="AG2739" s="1008"/>
      <c r="AH2739" s="1008"/>
      <c r="AI2739" s="1008"/>
    </row>
    <row r="2740" spans="1:35">
      <c r="A2740" s="1008">
        <v>26297</v>
      </c>
      <c r="B2740" s="1008">
        <v>2251</v>
      </c>
      <c r="C2740" s="1008">
        <v>7</v>
      </c>
      <c r="D2740" s="1009">
        <v>58119999</v>
      </c>
      <c r="E2740" s="1009">
        <v>58113000</v>
      </c>
      <c r="F2740" s="1007" t="s">
        <v>1947</v>
      </c>
      <c r="G2740" s="1007">
        <v>7</v>
      </c>
      <c r="H2740" s="1010">
        <v>99999999</v>
      </c>
      <c r="I2740" s="1009">
        <v>58113000</v>
      </c>
      <c r="J2740" s="1007" t="s">
        <v>1947</v>
      </c>
      <c r="O2740" s="1007" t="s">
        <v>648</v>
      </c>
      <c r="P2740" s="1007" t="s">
        <v>648</v>
      </c>
      <c r="S2740" s="1008" t="s">
        <v>650</v>
      </c>
      <c r="T2740" s="1008" t="s">
        <v>654</v>
      </c>
      <c r="U2740" s="1008" t="s">
        <v>653</v>
      </c>
      <c r="V2740" s="1008" t="s">
        <v>648</v>
      </c>
      <c r="W2740" s="1008" t="s">
        <v>546</v>
      </c>
      <c r="X2740" s="1008" t="s">
        <v>670</v>
      </c>
      <c r="Y2740" s="1008" t="s">
        <v>670</v>
      </c>
      <c r="Z2740" s="1008" t="s">
        <v>670</v>
      </c>
      <c r="AA2740" s="1008" t="s">
        <v>670</v>
      </c>
      <c r="AB2740" s="1008" t="s">
        <v>670</v>
      </c>
      <c r="AC2740" s="1008" t="s">
        <v>670</v>
      </c>
      <c r="AD2740" s="1008" t="s">
        <v>670</v>
      </c>
      <c r="AE2740" s="1008"/>
      <c r="AF2740" s="1008" t="s">
        <v>670</v>
      </c>
      <c r="AG2740" s="1008"/>
      <c r="AH2740" s="1008"/>
      <c r="AI2740" s="1008"/>
    </row>
    <row r="2741" spans="1:35">
      <c r="A2741" s="1008">
        <v>26296</v>
      </c>
      <c r="B2741" s="1008">
        <v>2252</v>
      </c>
      <c r="C2741" s="1008">
        <v>7</v>
      </c>
      <c r="D2741" s="1009">
        <v>58119999</v>
      </c>
      <c r="E2741" s="1009">
        <v>58114000</v>
      </c>
      <c r="F2741" s="1007" t="s">
        <v>1946</v>
      </c>
      <c r="G2741" s="1007">
        <v>7</v>
      </c>
      <c r="H2741" s="1010">
        <v>99999999</v>
      </c>
      <c r="I2741" s="1009">
        <v>58114000</v>
      </c>
      <c r="J2741" s="1007" t="s">
        <v>1946</v>
      </c>
      <c r="O2741" s="1007" t="s">
        <v>648</v>
      </c>
      <c r="P2741" s="1007" t="s">
        <v>648</v>
      </c>
      <c r="S2741" s="1008" t="s">
        <v>650</v>
      </c>
      <c r="T2741" s="1008" t="s">
        <v>654</v>
      </c>
      <c r="U2741" s="1008" t="s">
        <v>653</v>
      </c>
      <c r="V2741" s="1008" t="s">
        <v>648</v>
      </c>
      <c r="W2741" s="1008" t="s">
        <v>546</v>
      </c>
      <c r="X2741" s="1008" t="s">
        <v>670</v>
      </c>
      <c r="Y2741" s="1008" t="s">
        <v>670</v>
      </c>
      <c r="Z2741" s="1008" t="s">
        <v>670</v>
      </c>
      <c r="AA2741" s="1008" t="s">
        <v>670</v>
      </c>
      <c r="AB2741" s="1008" t="s">
        <v>670</v>
      </c>
      <c r="AC2741" s="1008" t="s">
        <v>670</v>
      </c>
      <c r="AD2741" s="1008" t="s">
        <v>670</v>
      </c>
      <c r="AE2741" s="1008"/>
      <c r="AF2741" s="1008" t="s">
        <v>670</v>
      </c>
      <c r="AG2741" s="1008"/>
      <c r="AH2741" s="1008"/>
      <c r="AI2741" s="1008"/>
    </row>
    <row r="2742" spans="1:35">
      <c r="A2742" s="1008">
        <v>26295</v>
      </c>
      <c r="B2742" s="1008">
        <v>2253</v>
      </c>
      <c r="C2742" s="1008">
        <v>7</v>
      </c>
      <c r="D2742" s="1009">
        <v>58119999</v>
      </c>
      <c r="E2742" s="1009">
        <v>58115000</v>
      </c>
      <c r="F2742" s="1007" t="s">
        <v>1945</v>
      </c>
      <c r="G2742" s="1007">
        <v>7</v>
      </c>
      <c r="H2742" s="1010">
        <v>99999999</v>
      </c>
      <c r="I2742" s="1009">
        <v>58115000</v>
      </c>
      <c r="J2742" s="1007" t="s">
        <v>1945</v>
      </c>
      <c r="O2742" s="1007" t="s">
        <v>648</v>
      </c>
      <c r="P2742" s="1007" t="s">
        <v>648</v>
      </c>
      <c r="S2742" s="1008" t="s">
        <v>650</v>
      </c>
      <c r="T2742" s="1008" t="s">
        <v>654</v>
      </c>
      <c r="U2742" s="1008" t="s">
        <v>653</v>
      </c>
      <c r="V2742" s="1008" t="s">
        <v>648</v>
      </c>
      <c r="W2742" s="1008" t="s">
        <v>546</v>
      </c>
      <c r="X2742" s="1008" t="s">
        <v>670</v>
      </c>
      <c r="Y2742" s="1008" t="s">
        <v>670</v>
      </c>
      <c r="Z2742" s="1008" t="s">
        <v>670</v>
      </c>
      <c r="AA2742" s="1008" t="s">
        <v>670</v>
      </c>
      <c r="AB2742" s="1008" t="s">
        <v>670</v>
      </c>
      <c r="AC2742" s="1008" t="s">
        <v>670</v>
      </c>
      <c r="AD2742" s="1008" t="s">
        <v>670</v>
      </c>
      <c r="AE2742" s="1008"/>
      <c r="AF2742" s="1008" t="s">
        <v>670</v>
      </c>
      <c r="AG2742" s="1008"/>
      <c r="AH2742" s="1008"/>
      <c r="AI2742" s="1008"/>
    </row>
    <row r="2743" spans="1:35">
      <c r="A2743" s="1008">
        <v>26294</v>
      </c>
      <c r="B2743" s="1008">
        <v>5454</v>
      </c>
      <c r="C2743" s="1008">
        <v>7</v>
      </c>
      <c r="D2743" s="1009">
        <v>58119999</v>
      </c>
      <c r="E2743" s="1009">
        <v>58116000</v>
      </c>
      <c r="F2743" s="1007" t="s">
        <v>1944</v>
      </c>
      <c r="G2743" s="1007">
        <v>7</v>
      </c>
      <c r="H2743" s="1010">
        <v>99999999</v>
      </c>
      <c r="I2743" s="1009">
        <v>58116000</v>
      </c>
      <c r="J2743" s="1007" t="s">
        <v>1944</v>
      </c>
      <c r="O2743" s="1007" t="s">
        <v>648</v>
      </c>
      <c r="P2743" s="1007" t="s">
        <v>648</v>
      </c>
      <c r="S2743" s="1008" t="s">
        <v>650</v>
      </c>
      <c r="T2743" s="1008" t="s">
        <v>654</v>
      </c>
      <c r="U2743" s="1008" t="s">
        <v>653</v>
      </c>
      <c r="V2743" s="1008" t="s">
        <v>648</v>
      </c>
      <c r="W2743" s="1008" t="s">
        <v>546</v>
      </c>
      <c r="X2743" s="1008" t="s">
        <v>670</v>
      </c>
      <c r="Y2743" s="1008" t="s">
        <v>670</v>
      </c>
      <c r="Z2743" s="1008" t="s">
        <v>670</v>
      </c>
      <c r="AA2743" s="1008" t="s">
        <v>670</v>
      </c>
      <c r="AB2743" s="1008" t="s">
        <v>670</v>
      </c>
      <c r="AC2743" s="1008" t="s">
        <v>670</v>
      </c>
      <c r="AD2743" s="1008" t="s">
        <v>670</v>
      </c>
      <c r="AE2743" s="1008"/>
      <c r="AF2743" s="1008" t="s">
        <v>670</v>
      </c>
      <c r="AG2743" s="1008"/>
      <c r="AH2743" s="1008"/>
      <c r="AI2743" s="1008"/>
    </row>
    <row r="2744" spans="1:35">
      <c r="A2744" s="1008">
        <v>25161</v>
      </c>
      <c r="C2744" s="1008">
        <v>6</v>
      </c>
      <c r="D2744" s="1009">
        <v>58199999</v>
      </c>
      <c r="E2744" s="1009">
        <v>58119999</v>
      </c>
      <c r="F2744" s="1007" t="s">
        <v>1943</v>
      </c>
      <c r="O2744" s="1007" t="s">
        <v>648</v>
      </c>
      <c r="P2744" s="1007" t="s">
        <v>648</v>
      </c>
      <c r="S2744" s="1008" t="s">
        <v>650</v>
      </c>
      <c r="T2744" s="1008" t="s">
        <v>21</v>
      </c>
      <c r="U2744" s="1008" t="s">
        <v>653</v>
      </c>
      <c r="V2744" s="1008" t="s">
        <v>648</v>
      </c>
      <c r="W2744" s="1008" t="s">
        <v>546</v>
      </c>
      <c r="X2744" s="1008"/>
      <c r="Y2744" s="1008"/>
      <c r="Z2744" s="1008"/>
      <c r="AA2744" s="1008"/>
      <c r="AB2744" s="1008"/>
      <c r="AC2744" s="1008"/>
      <c r="AD2744" s="1008"/>
      <c r="AE2744" s="1008"/>
      <c r="AF2744" s="1008"/>
      <c r="AG2744" s="1008"/>
      <c r="AH2744" s="1008"/>
      <c r="AI2744" s="1008"/>
    </row>
    <row r="2745" spans="1:35">
      <c r="A2745" s="1008">
        <v>25162</v>
      </c>
      <c r="C2745" s="1008">
        <v>5</v>
      </c>
      <c r="D2745" s="1009">
        <v>59599999</v>
      </c>
      <c r="E2745" s="1009">
        <v>58199999</v>
      </c>
      <c r="F2745" s="1007" t="s">
        <v>1942</v>
      </c>
      <c r="O2745" s="1007" t="s">
        <v>648</v>
      </c>
      <c r="P2745" s="1007" t="s">
        <v>648</v>
      </c>
      <c r="S2745" s="1008" t="s">
        <v>650</v>
      </c>
      <c r="T2745" s="1008" t="s">
        <v>21</v>
      </c>
      <c r="U2745" s="1008" t="s">
        <v>653</v>
      </c>
      <c r="V2745" s="1008" t="s">
        <v>648</v>
      </c>
      <c r="W2745" s="1008" t="s">
        <v>546</v>
      </c>
      <c r="X2745" s="1008"/>
      <c r="Y2745" s="1008"/>
      <c r="Z2745" s="1008"/>
      <c r="AA2745" s="1008"/>
      <c r="AB2745" s="1008"/>
      <c r="AC2745" s="1008"/>
      <c r="AD2745" s="1008"/>
      <c r="AE2745" s="1008"/>
      <c r="AF2745" s="1008"/>
      <c r="AG2745" s="1008"/>
      <c r="AH2745" s="1008"/>
      <c r="AI2745" s="1008"/>
    </row>
    <row r="2746" spans="1:35">
      <c r="A2746" s="1008">
        <v>25163</v>
      </c>
      <c r="C2746" s="1008">
        <v>5</v>
      </c>
      <c r="D2746" s="1009">
        <v>59199999</v>
      </c>
      <c r="E2746" s="1009">
        <v>59100000</v>
      </c>
      <c r="F2746" s="1007" t="s">
        <v>1941</v>
      </c>
      <c r="O2746" s="1007" t="s">
        <v>648</v>
      </c>
      <c r="P2746" s="1007" t="s">
        <v>648</v>
      </c>
      <c r="S2746" s="1008" t="s">
        <v>650</v>
      </c>
      <c r="T2746" s="1008" t="s">
        <v>675</v>
      </c>
      <c r="U2746" s="1008" t="s">
        <v>653</v>
      </c>
      <c r="V2746" s="1008" t="s">
        <v>648</v>
      </c>
      <c r="W2746" s="1008" t="s">
        <v>546</v>
      </c>
      <c r="X2746" s="1008"/>
      <c r="Y2746" s="1008"/>
      <c r="Z2746" s="1008"/>
      <c r="AA2746" s="1008"/>
      <c r="AB2746" s="1008"/>
      <c r="AC2746" s="1008"/>
      <c r="AD2746" s="1008"/>
      <c r="AE2746" s="1008"/>
      <c r="AF2746" s="1008"/>
      <c r="AG2746" s="1008"/>
      <c r="AH2746" s="1008"/>
      <c r="AI2746" s="1008"/>
    </row>
    <row r="2747" spans="1:35">
      <c r="A2747" s="1008">
        <v>25164</v>
      </c>
      <c r="C2747" s="1008">
        <v>6</v>
      </c>
      <c r="D2747" s="1009">
        <v>59119999</v>
      </c>
      <c r="E2747" s="1009">
        <v>59110000</v>
      </c>
      <c r="F2747" s="1007" t="s">
        <v>1940</v>
      </c>
      <c r="O2747" s="1007" t="s">
        <v>648</v>
      </c>
      <c r="P2747" s="1007" t="s">
        <v>648</v>
      </c>
      <c r="S2747" s="1008" t="s">
        <v>650</v>
      </c>
      <c r="T2747" s="1008" t="s">
        <v>675</v>
      </c>
      <c r="U2747" s="1008" t="s">
        <v>653</v>
      </c>
      <c r="V2747" s="1008" t="s">
        <v>648</v>
      </c>
      <c r="W2747" s="1008" t="s">
        <v>546</v>
      </c>
      <c r="X2747" s="1008"/>
      <c r="Y2747" s="1008"/>
      <c r="Z2747" s="1008"/>
      <c r="AA2747" s="1008"/>
      <c r="AB2747" s="1008"/>
      <c r="AC2747" s="1008"/>
      <c r="AD2747" s="1008"/>
      <c r="AE2747" s="1008"/>
      <c r="AF2747" s="1008"/>
      <c r="AG2747" s="1008"/>
      <c r="AH2747" s="1008"/>
      <c r="AI2747" s="1008"/>
    </row>
    <row r="2748" spans="1:35">
      <c r="A2748" s="1008">
        <v>25165</v>
      </c>
      <c r="B2748" s="1008">
        <v>2255</v>
      </c>
      <c r="C2748" s="1008">
        <v>7</v>
      </c>
      <c r="D2748" s="1009">
        <v>59119999</v>
      </c>
      <c r="E2748" s="1009">
        <v>59111000</v>
      </c>
      <c r="F2748" s="1007" t="s">
        <v>1939</v>
      </c>
      <c r="G2748" s="1007">
        <v>7</v>
      </c>
      <c r="H2748" s="1010">
        <v>99999999</v>
      </c>
      <c r="I2748" s="1009">
        <v>59111000</v>
      </c>
      <c r="J2748" s="1007" t="s">
        <v>1939</v>
      </c>
      <c r="O2748" s="1007" t="s">
        <v>648</v>
      </c>
      <c r="P2748" s="1007" t="s">
        <v>648</v>
      </c>
      <c r="S2748" s="1008" t="s">
        <v>650</v>
      </c>
      <c r="T2748" s="1008" t="s">
        <v>654</v>
      </c>
      <c r="U2748" s="1008" t="s">
        <v>653</v>
      </c>
      <c r="V2748" s="1008" t="s">
        <v>648</v>
      </c>
      <c r="W2748" s="1008" t="s">
        <v>546</v>
      </c>
      <c r="X2748" s="1008" t="s">
        <v>670</v>
      </c>
      <c r="Y2748" s="1008"/>
      <c r="Z2748" s="1008"/>
      <c r="AA2748" s="1008"/>
      <c r="AB2748" s="1008"/>
      <c r="AC2748" s="1008"/>
      <c r="AD2748" s="1008" t="s">
        <v>670</v>
      </c>
      <c r="AE2748" s="1008"/>
      <c r="AF2748" s="1008"/>
      <c r="AG2748" s="1008"/>
      <c r="AH2748" s="1008"/>
      <c r="AI2748" s="1008"/>
    </row>
    <row r="2749" spans="1:35">
      <c r="A2749" s="1008">
        <v>25166</v>
      </c>
      <c r="B2749" s="1008">
        <v>2256</v>
      </c>
      <c r="C2749" s="1008">
        <v>7</v>
      </c>
      <c r="D2749" s="1009">
        <v>59119999</v>
      </c>
      <c r="E2749" s="1009">
        <v>59112000</v>
      </c>
      <c r="F2749" s="1007" t="s">
        <v>1938</v>
      </c>
      <c r="G2749" s="1007">
        <v>7</v>
      </c>
      <c r="H2749" s="1010">
        <v>99999999</v>
      </c>
      <c r="I2749" s="1009">
        <v>59112000</v>
      </c>
      <c r="J2749" s="1007" t="s">
        <v>1938</v>
      </c>
      <c r="O2749" s="1007" t="s">
        <v>648</v>
      </c>
      <c r="P2749" s="1007" t="s">
        <v>648</v>
      </c>
      <c r="S2749" s="1008" t="s">
        <v>650</v>
      </c>
      <c r="T2749" s="1008" t="s">
        <v>654</v>
      </c>
      <c r="U2749" s="1008" t="s">
        <v>653</v>
      </c>
      <c r="V2749" s="1008" t="s">
        <v>648</v>
      </c>
      <c r="W2749" s="1008" t="s">
        <v>546</v>
      </c>
      <c r="X2749" s="1008" t="s">
        <v>670</v>
      </c>
      <c r="Y2749" s="1008"/>
      <c r="Z2749" s="1008"/>
      <c r="AA2749" s="1008"/>
      <c r="AB2749" s="1008"/>
      <c r="AC2749" s="1008"/>
      <c r="AD2749" s="1008" t="s">
        <v>670</v>
      </c>
      <c r="AE2749" s="1008"/>
      <c r="AF2749" s="1008"/>
      <c r="AG2749" s="1008"/>
      <c r="AH2749" s="1008"/>
      <c r="AI2749" s="1008"/>
    </row>
    <row r="2750" spans="1:35">
      <c r="A2750" s="1008">
        <v>25167</v>
      </c>
      <c r="B2750" s="1008">
        <v>2257</v>
      </c>
      <c r="C2750" s="1008">
        <v>7</v>
      </c>
      <c r="D2750" s="1009">
        <v>59119999</v>
      </c>
      <c r="E2750" s="1009">
        <v>59113000</v>
      </c>
      <c r="F2750" s="1007" t="s">
        <v>1937</v>
      </c>
      <c r="G2750" s="1007">
        <v>7</v>
      </c>
      <c r="H2750" s="1010">
        <v>99999999</v>
      </c>
      <c r="I2750" s="1009">
        <v>59113000</v>
      </c>
      <c r="J2750" s="1007" t="s">
        <v>1937</v>
      </c>
      <c r="O2750" s="1007" t="s">
        <v>648</v>
      </c>
      <c r="P2750" s="1007" t="s">
        <v>648</v>
      </c>
      <c r="S2750" s="1008" t="s">
        <v>650</v>
      </c>
      <c r="T2750" s="1008" t="s">
        <v>654</v>
      </c>
      <c r="U2750" s="1008" t="s">
        <v>653</v>
      </c>
      <c r="V2750" s="1008" t="s">
        <v>648</v>
      </c>
      <c r="W2750" s="1008" t="s">
        <v>546</v>
      </c>
      <c r="X2750" s="1008" t="s">
        <v>670</v>
      </c>
      <c r="Y2750" s="1008"/>
      <c r="Z2750" s="1008"/>
      <c r="AA2750" s="1008"/>
      <c r="AB2750" s="1008"/>
      <c r="AC2750" s="1008"/>
      <c r="AD2750" s="1008" t="s">
        <v>670</v>
      </c>
      <c r="AE2750" s="1008"/>
      <c r="AF2750" s="1008"/>
      <c r="AG2750" s="1008"/>
      <c r="AH2750" s="1008"/>
      <c r="AI2750" s="1008"/>
    </row>
    <row r="2751" spans="1:35">
      <c r="A2751" s="1008">
        <v>25168</v>
      </c>
      <c r="B2751" s="1008">
        <v>2258</v>
      </c>
      <c r="C2751" s="1008">
        <v>7</v>
      </c>
      <c r="D2751" s="1009">
        <v>59119999</v>
      </c>
      <c r="E2751" s="1009">
        <v>59114000</v>
      </c>
      <c r="F2751" s="1007" t="s">
        <v>1936</v>
      </c>
      <c r="G2751" s="1007">
        <v>7</v>
      </c>
      <c r="H2751" s="1010">
        <v>99999999</v>
      </c>
      <c r="I2751" s="1009">
        <v>59114000</v>
      </c>
      <c r="J2751" s="1007" t="s">
        <v>1936</v>
      </c>
      <c r="O2751" s="1007" t="s">
        <v>648</v>
      </c>
      <c r="P2751" s="1007" t="s">
        <v>648</v>
      </c>
      <c r="S2751" s="1008" t="s">
        <v>650</v>
      </c>
      <c r="T2751" s="1008" t="s">
        <v>654</v>
      </c>
      <c r="U2751" s="1008" t="s">
        <v>653</v>
      </c>
      <c r="V2751" s="1008" t="s">
        <v>648</v>
      </c>
      <c r="W2751" s="1008" t="s">
        <v>546</v>
      </c>
      <c r="X2751" s="1008" t="s">
        <v>670</v>
      </c>
      <c r="Y2751" s="1008"/>
      <c r="Z2751" s="1008"/>
      <c r="AA2751" s="1008"/>
      <c r="AB2751" s="1008"/>
      <c r="AC2751" s="1008"/>
      <c r="AD2751" s="1008" t="s">
        <v>670</v>
      </c>
      <c r="AE2751" s="1008"/>
      <c r="AF2751" s="1008"/>
      <c r="AG2751" s="1008"/>
      <c r="AH2751" s="1008"/>
      <c r="AI2751" s="1008"/>
    </row>
    <row r="2752" spans="1:35">
      <c r="A2752" s="1008">
        <v>25169</v>
      </c>
      <c r="B2752" s="1008">
        <v>5458</v>
      </c>
      <c r="C2752" s="1008">
        <v>7</v>
      </c>
      <c r="D2752" s="1009">
        <v>59119999</v>
      </c>
      <c r="E2752" s="1009">
        <v>59116000</v>
      </c>
      <c r="F2752" s="1007" t="s">
        <v>1935</v>
      </c>
      <c r="G2752" s="1007">
        <v>7</v>
      </c>
      <c r="H2752" s="1010">
        <v>99999999</v>
      </c>
      <c r="I2752" s="1009">
        <v>59116000</v>
      </c>
      <c r="J2752" s="1007" t="s">
        <v>1935</v>
      </c>
      <c r="O2752" s="1007" t="s">
        <v>648</v>
      </c>
      <c r="P2752" s="1007" t="s">
        <v>648</v>
      </c>
      <c r="S2752" s="1008" t="s">
        <v>650</v>
      </c>
      <c r="T2752" s="1008" t="s">
        <v>654</v>
      </c>
      <c r="U2752" s="1008" t="s">
        <v>653</v>
      </c>
      <c r="V2752" s="1008" t="s">
        <v>648</v>
      </c>
      <c r="W2752" s="1008" t="s">
        <v>546</v>
      </c>
      <c r="X2752" s="1008" t="s">
        <v>670</v>
      </c>
      <c r="Y2752" s="1008"/>
      <c r="Z2752" s="1008"/>
      <c r="AA2752" s="1008"/>
      <c r="AB2752" s="1008"/>
      <c r="AC2752" s="1008"/>
      <c r="AD2752" s="1008" t="s">
        <v>670</v>
      </c>
      <c r="AE2752" s="1008"/>
      <c r="AF2752" s="1008"/>
      <c r="AG2752" s="1008"/>
      <c r="AH2752" s="1008"/>
      <c r="AI2752" s="1008"/>
    </row>
    <row r="2753" spans="1:35">
      <c r="A2753" s="1008">
        <v>25170</v>
      </c>
      <c r="C2753" s="1008">
        <v>6</v>
      </c>
      <c r="D2753" s="1009">
        <v>59199999</v>
      </c>
      <c r="E2753" s="1009">
        <v>59119999</v>
      </c>
      <c r="F2753" s="1007" t="s">
        <v>1934</v>
      </c>
      <c r="O2753" s="1007" t="s">
        <v>648</v>
      </c>
      <c r="P2753" s="1007" t="s">
        <v>648</v>
      </c>
      <c r="S2753" s="1008" t="s">
        <v>650</v>
      </c>
      <c r="T2753" s="1008" t="s">
        <v>21</v>
      </c>
      <c r="U2753" s="1008" t="s">
        <v>653</v>
      </c>
      <c r="V2753" s="1008" t="s">
        <v>648</v>
      </c>
      <c r="W2753" s="1008" t="s">
        <v>546</v>
      </c>
      <c r="X2753" s="1008"/>
      <c r="Y2753" s="1008"/>
      <c r="Z2753" s="1008"/>
      <c r="AA2753" s="1008"/>
      <c r="AB2753" s="1008"/>
      <c r="AC2753" s="1008"/>
      <c r="AD2753" s="1008"/>
      <c r="AE2753" s="1008"/>
      <c r="AF2753" s="1008"/>
      <c r="AG2753" s="1008"/>
      <c r="AH2753" s="1008"/>
      <c r="AI2753" s="1008"/>
    </row>
    <row r="2754" spans="1:35">
      <c r="A2754" s="1008">
        <v>25171</v>
      </c>
      <c r="C2754" s="1008">
        <v>5</v>
      </c>
      <c r="D2754" s="1009">
        <v>59599999</v>
      </c>
      <c r="E2754" s="1009">
        <v>59199999</v>
      </c>
      <c r="F2754" s="1007" t="s">
        <v>1933</v>
      </c>
      <c r="O2754" s="1007" t="s">
        <v>648</v>
      </c>
      <c r="P2754" s="1007" t="s">
        <v>648</v>
      </c>
      <c r="S2754" s="1008" t="s">
        <v>650</v>
      </c>
      <c r="T2754" s="1008" t="s">
        <v>21</v>
      </c>
      <c r="U2754" s="1008" t="s">
        <v>653</v>
      </c>
      <c r="V2754" s="1008" t="s">
        <v>648</v>
      </c>
      <c r="W2754" s="1008" t="s">
        <v>546</v>
      </c>
      <c r="X2754" s="1008"/>
      <c r="Y2754" s="1008"/>
      <c r="Z2754" s="1008"/>
      <c r="AA2754" s="1008"/>
      <c r="AB2754" s="1008"/>
      <c r="AC2754" s="1008"/>
      <c r="AD2754" s="1008"/>
      <c r="AE2754" s="1008"/>
      <c r="AF2754" s="1008"/>
      <c r="AG2754" s="1008"/>
      <c r="AH2754" s="1008"/>
      <c r="AI2754" s="1008"/>
    </row>
    <row r="2755" spans="1:35">
      <c r="A2755" s="1008">
        <v>25172</v>
      </c>
      <c r="C2755" s="1008">
        <v>5</v>
      </c>
      <c r="D2755" s="1009">
        <v>59599900</v>
      </c>
      <c r="E2755" s="1009">
        <v>59500000</v>
      </c>
      <c r="F2755" s="1007" t="s">
        <v>1932</v>
      </c>
      <c r="O2755" s="1007" t="s">
        <v>648</v>
      </c>
      <c r="P2755" s="1007" t="s">
        <v>648</v>
      </c>
      <c r="S2755" s="1008" t="s">
        <v>650</v>
      </c>
      <c r="T2755" s="1008" t="s">
        <v>675</v>
      </c>
      <c r="U2755" s="1008" t="s">
        <v>653</v>
      </c>
      <c r="V2755" s="1008" t="s">
        <v>648</v>
      </c>
      <c r="W2755" s="1008" t="s">
        <v>546</v>
      </c>
      <c r="X2755" s="1008"/>
      <c r="Y2755" s="1008"/>
      <c r="Z2755" s="1008"/>
      <c r="AA2755" s="1008"/>
      <c r="AB2755" s="1008"/>
      <c r="AC2755" s="1008"/>
      <c r="AD2755" s="1008"/>
      <c r="AE2755" s="1008"/>
      <c r="AF2755" s="1008"/>
      <c r="AG2755" s="1008"/>
      <c r="AH2755" s="1008"/>
      <c r="AI2755" s="1008"/>
    </row>
    <row r="2756" spans="1:35">
      <c r="A2756" s="1008">
        <v>25173</v>
      </c>
      <c r="C2756" s="1008">
        <v>6</v>
      </c>
      <c r="D2756" s="1009">
        <v>59519999</v>
      </c>
      <c r="E2756" s="1009">
        <v>59510000</v>
      </c>
      <c r="F2756" s="1007" t="s">
        <v>1931</v>
      </c>
      <c r="O2756" s="1007" t="s">
        <v>648</v>
      </c>
      <c r="P2756" s="1007" t="s">
        <v>648</v>
      </c>
      <c r="S2756" s="1008" t="s">
        <v>650</v>
      </c>
      <c r="T2756" s="1008" t="s">
        <v>675</v>
      </c>
      <c r="U2756" s="1008" t="s">
        <v>653</v>
      </c>
      <c r="V2756" s="1008" t="s">
        <v>648</v>
      </c>
      <c r="W2756" s="1008" t="s">
        <v>546</v>
      </c>
      <c r="X2756" s="1008"/>
      <c r="Y2756" s="1008"/>
      <c r="Z2756" s="1008"/>
      <c r="AA2756" s="1008"/>
      <c r="AB2756" s="1008"/>
      <c r="AC2756" s="1008"/>
      <c r="AD2756" s="1008"/>
      <c r="AE2756" s="1008"/>
      <c r="AF2756" s="1008"/>
      <c r="AG2756" s="1008"/>
      <c r="AH2756" s="1008"/>
      <c r="AI2756" s="1008"/>
    </row>
    <row r="2757" spans="1:35">
      <c r="A2757" s="1008">
        <v>25174</v>
      </c>
      <c r="B2757" s="1008">
        <v>2260</v>
      </c>
      <c r="C2757" s="1008">
        <v>7</v>
      </c>
      <c r="D2757" s="1009">
        <v>59519999</v>
      </c>
      <c r="E2757" s="1009">
        <v>59510125</v>
      </c>
      <c r="F2757" s="1007" t="s">
        <v>1930</v>
      </c>
      <c r="G2757" s="1007">
        <v>7</v>
      </c>
      <c r="H2757" s="1010">
        <v>99999999</v>
      </c>
      <c r="I2757" s="1009">
        <v>59510125</v>
      </c>
      <c r="J2757" s="1007" t="s">
        <v>1930</v>
      </c>
      <c r="O2757" s="1007" t="s">
        <v>648</v>
      </c>
      <c r="P2757" s="1007" t="s">
        <v>648</v>
      </c>
      <c r="S2757" s="1008" t="s">
        <v>650</v>
      </c>
      <c r="T2757" s="1008" t="s">
        <v>654</v>
      </c>
      <c r="U2757" s="1008" t="s">
        <v>653</v>
      </c>
      <c r="V2757" s="1008" t="s">
        <v>648</v>
      </c>
      <c r="W2757" s="1008" t="s">
        <v>546</v>
      </c>
      <c r="X2757" s="1008" t="s">
        <v>670</v>
      </c>
      <c r="Y2757" s="1008"/>
      <c r="Z2757" s="1008"/>
      <c r="AA2757" s="1008"/>
      <c r="AB2757" s="1008"/>
      <c r="AC2757" s="1008"/>
      <c r="AD2757" s="1008" t="s">
        <v>670</v>
      </c>
      <c r="AE2757" s="1008"/>
      <c r="AF2757" s="1008"/>
      <c r="AG2757" s="1008"/>
      <c r="AH2757" s="1008"/>
      <c r="AI2757" s="1008"/>
    </row>
    <row r="2758" spans="1:35">
      <c r="A2758" s="1008">
        <v>25175</v>
      </c>
      <c r="B2758" s="1008">
        <v>2261</v>
      </c>
      <c r="C2758" s="1008">
        <v>7</v>
      </c>
      <c r="D2758" s="1009">
        <v>59519999</v>
      </c>
      <c r="E2758" s="1009">
        <v>59510130</v>
      </c>
      <c r="F2758" s="1007" t="s">
        <v>1929</v>
      </c>
      <c r="G2758" s="1007">
        <v>7</v>
      </c>
      <c r="H2758" s="1010">
        <v>99999999</v>
      </c>
      <c r="I2758" s="1009">
        <v>59510130</v>
      </c>
      <c r="J2758" s="1007" t="s">
        <v>1929</v>
      </c>
      <c r="O2758" s="1007" t="s">
        <v>648</v>
      </c>
      <c r="P2758" s="1007" t="s">
        <v>648</v>
      </c>
      <c r="S2758" s="1008" t="s">
        <v>650</v>
      </c>
      <c r="T2758" s="1008" t="s">
        <v>654</v>
      </c>
      <c r="U2758" s="1008" t="s">
        <v>653</v>
      </c>
      <c r="V2758" s="1008" t="s">
        <v>648</v>
      </c>
      <c r="W2758" s="1008" t="s">
        <v>546</v>
      </c>
      <c r="X2758" s="1008" t="s">
        <v>670</v>
      </c>
      <c r="Y2758" s="1008"/>
      <c r="Z2758" s="1008"/>
      <c r="AA2758" s="1008"/>
      <c r="AB2758" s="1008"/>
      <c r="AC2758" s="1008"/>
      <c r="AD2758" s="1008" t="s">
        <v>670</v>
      </c>
      <c r="AE2758" s="1008"/>
      <c r="AF2758" s="1008"/>
      <c r="AG2758" s="1008"/>
      <c r="AH2758" s="1008"/>
      <c r="AI2758" s="1008"/>
    </row>
    <row r="2759" spans="1:35">
      <c r="A2759" s="1008">
        <v>25176</v>
      </c>
      <c r="B2759" s="1008">
        <v>2262</v>
      </c>
      <c r="C2759" s="1008">
        <v>7</v>
      </c>
      <c r="D2759" s="1009">
        <v>59519999</v>
      </c>
      <c r="E2759" s="1009">
        <v>59510150</v>
      </c>
      <c r="F2759" s="1007" t="s">
        <v>1928</v>
      </c>
      <c r="G2759" s="1007">
        <v>7</v>
      </c>
      <c r="H2759" s="1010">
        <v>99999999</v>
      </c>
      <c r="I2759" s="1009">
        <v>59510150</v>
      </c>
      <c r="J2759" s="1007" t="s">
        <v>1928</v>
      </c>
      <c r="O2759" s="1007" t="s">
        <v>648</v>
      </c>
      <c r="P2759" s="1007" t="s">
        <v>648</v>
      </c>
      <c r="S2759" s="1008" t="s">
        <v>650</v>
      </c>
      <c r="T2759" s="1008" t="s">
        <v>654</v>
      </c>
      <c r="U2759" s="1008" t="s">
        <v>653</v>
      </c>
      <c r="V2759" s="1008" t="s">
        <v>648</v>
      </c>
      <c r="W2759" s="1008" t="s">
        <v>546</v>
      </c>
      <c r="X2759" s="1008" t="s">
        <v>670</v>
      </c>
      <c r="Y2759" s="1008"/>
      <c r="Z2759" s="1008"/>
      <c r="AA2759" s="1008"/>
      <c r="AB2759" s="1008"/>
      <c r="AC2759" s="1008"/>
      <c r="AD2759" s="1008" t="s">
        <v>670</v>
      </c>
      <c r="AE2759" s="1008"/>
      <c r="AF2759" s="1008"/>
      <c r="AG2759" s="1008"/>
      <c r="AH2759" s="1008"/>
      <c r="AI2759" s="1008"/>
    </row>
    <row r="2760" spans="1:35">
      <c r="A2760" s="1008">
        <v>25177</v>
      </c>
      <c r="B2760" s="1008">
        <v>2263</v>
      </c>
      <c r="C2760" s="1008">
        <v>7</v>
      </c>
      <c r="D2760" s="1009">
        <v>59519999</v>
      </c>
      <c r="E2760" s="1009">
        <v>59510170</v>
      </c>
      <c r="F2760" s="1007" t="s">
        <v>1927</v>
      </c>
      <c r="G2760" s="1007">
        <v>7</v>
      </c>
      <c r="H2760" s="1010">
        <v>99999999</v>
      </c>
      <c r="I2760" s="1009">
        <v>59510170</v>
      </c>
      <c r="J2760" s="1007" t="s">
        <v>1927</v>
      </c>
      <c r="O2760" s="1007" t="s">
        <v>648</v>
      </c>
      <c r="P2760" s="1007" t="s">
        <v>648</v>
      </c>
      <c r="S2760" s="1008" t="s">
        <v>650</v>
      </c>
      <c r="T2760" s="1008" t="s">
        <v>654</v>
      </c>
      <c r="U2760" s="1008" t="s">
        <v>653</v>
      </c>
      <c r="V2760" s="1008" t="s">
        <v>648</v>
      </c>
      <c r="W2760" s="1008" t="s">
        <v>546</v>
      </c>
      <c r="X2760" s="1008" t="s">
        <v>670</v>
      </c>
      <c r="Y2760" s="1008"/>
      <c r="Z2760" s="1008"/>
      <c r="AA2760" s="1008"/>
      <c r="AB2760" s="1008"/>
      <c r="AC2760" s="1008"/>
      <c r="AD2760" s="1008" t="s">
        <v>670</v>
      </c>
      <c r="AE2760" s="1008"/>
      <c r="AF2760" s="1008"/>
      <c r="AG2760" s="1008"/>
      <c r="AH2760" s="1008"/>
      <c r="AI2760" s="1008"/>
    </row>
    <row r="2761" spans="1:35">
      <c r="A2761" s="1008">
        <v>25178</v>
      </c>
      <c r="B2761" s="1008">
        <v>2264</v>
      </c>
      <c r="C2761" s="1008">
        <v>7</v>
      </c>
      <c r="D2761" s="1009">
        <v>59519999</v>
      </c>
      <c r="E2761" s="1009">
        <v>59510180</v>
      </c>
      <c r="F2761" s="1007" t="s">
        <v>1926</v>
      </c>
      <c r="G2761" s="1007">
        <v>7</v>
      </c>
      <c r="H2761" s="1010">
        <v>99999999</v>
      </c>
      <c r="I2761" s="1009">
        <v>59510180</v>
      </c>
      <c r="J2761" s="1007" t="s">
        <v>1926</v>
      </c>
      <c r="O2761" s="1007" t="s">
        <v>648</v>
      </c>
      <c r="P2761" s="1007" t="s">
        <v>648</v>
      </c>
      <c r="S2761" s="1008" t="s">
        <v>650</v>
      </c>
      <c r="T2761" s="1008" t="s">
        <v>654</v>
      </c>
      <c r="U2761" s="1008" t="s">
        <v>653</v>
      </c>
      <c r="V2761" s="1008" t="s">
        <v>648</v>
      </c>
      <c r="W2761" s="1008" t="s">
        <v>546</v>
      </c>
      <c r="X2761" s="1008" t="s">
        <v>670</v>
      </c>
      <c r="Y2761" s="1008"/>
      <c r="Z2761" s="1008"/>
      <c r="AA2761" s="1008"/>
      <c r="AB2761" s="1008"/>
      <c r="AC2761" s="1008"/>
      <c r="AD2761" s="1008" t="s">
        <v>670</v>
      </c>
      <c r="AE2761" s="1008"/>
      <c r="AF2761" s="1008"/>
      <c r="AG2761" s="1008"/>
      <c r="AH2761" s="1008"/>
      <c r="AI2761" s="1008"/>
    </row>
    <row r="2762" spans="1:35">
      <c r="A2762" s="1008">
        <v>25179</v>
      </c>
      <c r="B2762" s="1008">
        <v>2265</v>
      </c>
      <c r="C2762" s="1008">
        <v>7</v>
      </c>
      <c r="D2762" s="1009">
        <v>59519999</v>
      </c>
      <c r="E2762" s="1009">
        <v>59510190</v>
      </c>
      <c r="F2762" s="1007" t="s">
        <v>1925</v>
      </c>
      <c r="G2762" s="1007">
        <v>7</v>
      </c>
      <c r="H2762" s="1010">
        <v>99999999</v>
      </c>
      <c r="I2762" s="1009">
        <v>59510190</v>
      </c>
      <c r="J2762" s="1007" t="s">
        <v>1925</v>
      </c>
      <c r="O2762" s="1007" t="s">
        <v>648</v>
      </c>
      <c r="P2762" s="1007" t="s">
        <v>648</v>
      </c>
      <c r="S2762" s="1008" t="s">
        <v>650</v>
      </c>
      <c r="T2762" s="1008" t="s">
        <v>654</v>
      </c>
      <c r="U2762" s="1008" t="s">
        <v>653</v>
      </c>
      <c r="V2762" s="1008" t="s">
        <v>648</v>
      </c>
      <c r="W2762" s="1008" t="s">
        <v>546</v>
      </c>
      <c r="X2762" s="1008" t="s">
        <v>670</v>
      </c>
      <c r="Y2762" s="1008"/>
      <c r="Z2762" s="1008"/>
      <c r="AA2762" s="1008"/>
      <c r="AB2762" s="1008"/>
      <c r="AC2762" s="1008"/>
      <c r="AD2762" s="1008" t="s">
        <v>670</v>
      </c>
      <c r="AE2762" s="1008"/>
      <c r="AF2762" s="1008"/>
      <c r="AG2762" s="1008"/>
      <c r="AH2762" s="1008"/>
      <c r="AI2762" s="1008"/>
    </row>
    <row r="2763" spans="1:35">
      <c r="A2763" s="1008">
        <v>25180</v>
      </c>
      <c r="B2763" s="1008">
        <v>2266</v>
      </c>
      <c r="C2763" s="1008">
        <v>7</v>
      </c>
      <c r="D2763" s="1009">
        <v>59519999</v>
      </c>
      <c r="E2763" s="1009">
        <v>59510210</v>
      </c>
      <c r="F2763" s="1007" t="s">
        <v>1924</v>
      </c>
      <c r="G2763" s="1007">
        <v>7</v>
      </c>
      <c r="H2763" s="1010">
        <v>99999999</v>
      </c>
      <c r="I2763" s="1009">
        <v>59510210</v>
      </c>
      <c r="J2763" s="1007" t="s">
        <v>1924</v>
      </c>
      <c r="O2763" s="1007" t="s">
        <v>648</v>
      </c>
      <c r="P2763" s="1007" t="s">
        <v>648</v>
      </c>
      <c r="S2763" s="1008" t="s">
        <v>650</v>
      </c>
      <c r="T2763" s="1008" t="s">
        <v>654</v>
      </c>
      <c r="U2763" s="1008" t="s">
        <v>653</v>
      </c>
      <c r="V2763" s="1008" t="s">
        <v>648</v>
      </c>
      <c r="W2763" s="1008" t="s">
        <v>546</v>
      </c>
      <c r="X2763" s="1008" t="s">
        <v>670</v>
      </c>
      <c r="Y2763" s="1008"/>
      <c r="Z2763" s="1008"/>
      <c r="AA2763" s="1008"/>
      <c r="AB2763" s="1008"/>
      <c r="AC2763" s="1008"/>
      <c r="AD2763" s="1008" t="s">
        <v>670</v>
      </c>
      <c r="AE2763" s="1008"/>
      <c r="AF2763" s="1008"/>
      <c r="AG2763" s="1008"/>
      <c r="AH2763" s="1008"/>
      <c r="AI2763" s="1008"/>
    </row>
    <row r="2764" spans="1:35">
      <c r="A2764" s="1008">
        <v>25181</v>
      </c>
      <c r="B2764" s="1008">
        <v>2267</v>
      </c>
      <c r="C2764" s="1008">
        <v>7</v>
      </c>
      <c r="D2764" s="1009">
        <v>59519999</v>
      </c>
      <c r="E2764" s="1009">
        <v>59510220</v>
      </c>
      <c r="F2764" s="1007" t="s">
        <v>1923</v>
      </c>
      <c r="G2764" s="1007">
        <v>7</v>
      </c>
      <c r="H2764" s="1010">
        <v>99999999</v>
      </c>
      <c r="I2764" s="1009">
        <v>59510220</v>
      </c>
      <c r="J2764" s="1007" t="s">
        <v>1923</v>
      </c>
      <c r="O2764" s="1007" t="s">
        <v>648</v>
      </c>
      <c r="P2764" s="1007" t="s">
        <v>648</v>
      </c>
      <c r="S2764" s="1008" t="s">
        <v>650</v>
      </c>
      <c r="T2764" s="1008" t="s">
        <v>654</v>
      </c>
      <c r="U2764" s="1008" t="s">
        <v>653</v>
      </c>
      <c r="V2764" s="1008" t="s">
        <v>648</v>
      </c>
      <c r="W2764" s="1008" t="s">
        <v>546</v>
      </c>
      <c r="X2764" s="1008" t="s">
        <v>670</v>
      </c>
      <c r="Y2764" s="1008"/>
      <c r="Z2764" s="1008"/>
      <c r="AA2764" s="1008"/>
      <c r="AB2764" s="1008"/>
      <c r="AC2764" s="1008"/>
      <c r="AD2764" s="1008" t="s">
        <v>670</v>
      </c>
      <c r="AE2764" s="1008"/>
      <c r="AF2764" s="1008"/>
      <c r="AG2764" s="1008"/>
      <c r="AH2764" s="1008"/>
      <c r="AI2764" s="1008"/>
    </row>
    <row r="2765" spans="1:35">
      <c r="A2765" s="1008">
        <v>25182</v>
      </c>
      <c r="B2765" s="1008">
        <v>2268</v>
      </c>
      <c r="C2765" s="1008">
        <v>7</v>
      </c>
      <c r="D2765" s="1009">
        <v>59519999</v>
      </c>
      <c r="E2765" s="1009">
        <v>59510250</v>
      </c>
      <c r="F2765" s="1007" t="s">
        <v>1922</v>
      </c>
      <c r="G2765" s="1007">
        <v>7</v>
      </c>
      <c r="H2765" s="1010">
        <v>99999999</v>
      </c>
      <c r="I2765" s="1009">
        <v>59510250</v>
      </c>
      <c r="J2765" s="1007" t="s">
        <v>1922</v>
      </c>
      <c r="O2765" s="1007" t="s">
        <v>648</v>
      </c>
      <c r="P2765" s="1007" t="s">
        <v>648</v>
      </c>
      <c r="S2765" s="1008" t="s">
        <v>650</v>
      </c>
      <c r="T2765" s="1008" t="s">
        <v>654</v>
      </c>
      <c r="U2765" s="1008" t="s">
        <v>653</v>
      </c>
      <c r="V2765" s="1008" t="s">
        <v>648</v>
      </c>
      <c r="W2765" s="1008" t="s">
        <v>546</v>
      </c>
      <c r="X2765" s="1008" t="s">
        <v>670</v>
      </c>
      <c r="Y2765" s="1008"/>
      <c r="Z2765" s="1008"/>
      <c r="AA2765" s="1008"/>
      <c r="AB2765" s="1008"/>
      <c r="AC2765" s="1008"/>
      <c r="AD2765" s="1008" t="s">
        <v>670</v>
      </c>
      <c r="AE2765" s="1008"/>
      <c r="AF2765" s="1008"/>
      <c r="AG2765" s="1008"/>
      <c r="AH2765" s="1008"/>
      <c r="AI2765" s="1008"/>
    </row>
    <row r="2766" spans="1:35">
      <c r="A2766" s="1008">
        <v>25183</v>
      </c>
      <c r="B2766" s="1008">
        <v>2269</v>
      </c>
      <c r="C2766" s="1008">
        <v>7</v>
      </c>
      <c r="D2766" s="1009">
        <v>59519999</v>
      </c>
      <c r="E2766" s="1009">
        <v>59510315</v>
      </c>
      <c r="F2766" s="1007" t="s">
        <v>1921</v>
      </c>
      <c r="G2766" s="1007">
        <v>7</v>
      </c>
      <c r="H2766" s="1010">
        <v>99999999</v>
      </c>
      <c r="I2766" s="1009">
        <v>59510315</v>
      </c>
      <c r="J2766" s="1007" t="s">
        <v>1921</v>
      </c>
      <c r="O2766" s="1007" t="s">
        <v>648</v>
      </c>
      <c r="P2766" s="1007" t="s">
        <v>648</v>
      </c>
      <c r="S2766" s="1008" t="s">
        <v>650</v>
      </c>
      <c r="T2766" s="1008" t="s">
        <v>654</v>
      </c>
      <c r="U2766" s="1008" t="s">
        <v>653</v>
      </c>
      <c r="V2766" s="1008" t="s">
        <v>648</v>
      </c>
      <c r="W2766" s="1008" t="s">
        <v>546</v>
      </c>
      <c r="X2766" s="1008" t="s">
        <v>670</v>
      </c>
      <c r="Y2766" s="1008"/>
      <c r="Z2766" s="1008"/>
      <c r="AA2766" s="1008"/>
      <c r="AB2766" s="1008"/>
      <c r="AC2766" s="1008"/>
      <c r="AD2766" s="1008" t="s">
        <v>670</v>
      </c>
      <c r="AE2766" s="1008"/>
      <c r="AF2766" s="1008"/>
      <c r="AG2766" s="1008"/>
      <c r="AH2766" s="1008"/>
      <c r="AI2766" s="1008"/>
    </row>
    <row r="2767" spans="1:35">
      <c r="A2767" s="1008">
        <v>25184</v>
      </c>
      <c r="B2767" s="1008">
        <v>2270</v>
      </c>
      <c r="C2767" s="1008">
        <v>7</v>
      </c>
      <c r="D2767" s="1009">
        <v>59519999</v>
      </c>
      <c r="E2767" s="1009">
        <v>59510370</v>
      </c>
      <c r="F2767" s="1007" t="s">
        <v>1920</v>
      </c>
      <c r="G2767" s="1007">
        <v>7</v>
      </c>
      <c r="H2767" s="1010">
        <v>99999999</v>
      </c>
      <c r="I2767" s="1009">
        <v>59510370</v>
      </c>
      <c r="J2767" s="1007" t="s">
        <v>1920</v>
      </c>
      <c r="O2767" s="1007" t="s">
        <v>648</v>
      </c>
      <c r="P2767" s="1007" t="s">
        <v>648</v>
      </c>
      <c r="S2767" s="1008" t="s">
        <v>650</v>
      </c>
      <c r="T2767" s="1008" t="s">
        <v>654</v>
      </c>
      <c r="U2767" s="1008" t="s">
        <v>653</v>
      </c>
      <c r="V2767" s="1008" t="s">
        <v>648</v>
      </c>
      <c r="W2767" s="1008" t="s">
        <v>546</v>
      </c>
      <c r="X2767" s="1008" t="s">
        <v>670</v>
      </c>
      <c r="Y2767" s="1008"/>
      <c r="Z2767" s="1008"/>
      <c r="AA2767" s="1008"/>
      <c r="AB2767" s="1008"/>
      <c r="AC2767" s="1008"/>
      <c r="AD2767" s="1008" t="s">
        <v>670</v>
      </c>
      <c r="AE2767" s="1008"/>
      <c r="AF2767" s="1008"/>
      <c r="AG2767" s="1008"/>
      <c r="AH2767" s="1008"/>
      <c r="AI2767" s="1008"/>
    </row>
    <row r="2768" spans="1:35">
      <c r="A2768" s="1008">
        <v>25185</v>
      </c>
      <c r="B2768" s="1008">
        <v>5462</v>
      </c>
      <c r="C2768" s="1008">
        <v>7</v>
      </c>
      <c r="D2768" s="1009">
        <v>59519999</v>
      </c>
      <c r="E2768" s="1009">
        <v>59510510</v>
      </c>
      <c r="F2768" s="1007" t="s">
        <v>1919</v>
      </c>
      <c r="G2768" s="1007">
        <v>7</v>
      </c>
      <c r="H2768" s="1010">
        <v>99999999</v>
      </c>
      <c r="I2768" s="1009">
        <v>59510510</v>
      </c>
      <c r="J2768" s="1007" t="s">
        <v>1919</v>
      </c>
      <c r="O2768" s="1007" t="s">
        <v>648</v>
      </c>
      <c r="P2768" s="1007" t="s">
        <v>648</v>
      </c>
      <c r="S2768" s="1008" t="s">
        <v>650</v>
      </c>
      <c r="T2768" s="1008" t="s">
        <v>654</v>
      </c>
      <c r="U2768" s="1008" t="s">
        <v>653</v>
      </c>
      <c r="V2768" s="1008" t="s">
        <v>648</v>
      </c>
      <c r="W2768" s="1008" t="s">
        <v>546</v>
      </c>
      <c r="X2768" s="1008" t="s">
        <v>670</v>
      </c>
      <c r="Y2768" s="1008"/>
      <c r="Z2768" s="1008"/>
      <c r="AA2768" s="1008"/>
      <c r="AB2768" s="1008"/>
      <c r="AC2768" s="1008"/>
      <c r="AD2768" s="1008" t="s">
        <v>670</v>
      </c>
      <c r="AE2768" s="1008"/>
      <c r="AF2768" s="1008"/>
      <c r="AG2768" s="1008"/>
      <c r="AH2768" s="1008"/>
      <c r="AI2768" s="1008"/>
    </row>
    <row r="2769" spans="1:35">
      <c r="A2769" s="1008">
        <v>25186</v>
      </c>
      <c r="C2769" s="1008">
        <v>6</v>
      </c>
      <c r="D2769" s="1009">
        <v>59599900</v>
      </c>
      <c r="E2769" s="1009">
        <v>59519999</v>
      </c>
      <c r="F2769" s="1007" t="s">
        <v>1918</v>
      </c>
      <c r="O2769" s="1007" t="s">
        <v>648</v>
      </c>
      <c r="P2769" s="1007" t="s">
        <v>648</v>
      </c>
      <c r="S2769" s="1008" t="s">
        <v>650</v>
      </c>
      <c r="T2769" s="1008" t="s">
        <v>21</v>
      </c>
      <c r="U2769" s="1008" t="s">
        <v>653</v>
      </c>
      <c r="V2769" s="1008" t="s">
        <v>648</v>
      </c>
      <c r="W2769" s="1008" t="s">
        <v>546</v>
      </c>
      <c r="X2769" s="1008"/>
      <c r="Y2769" s="1008"/>
      <c r="Z2769" s="1008"/>
      <c r="AA2769" s="1008"/>
      <c r="AB2769" s="1008"/>
      <c r="AC2769" s="1008"/>
      <c r="AD2769" s="1008"/>
      <c r="AE2769" s="1008"/>
      <c r="AF2769" s="1008"/>
      <c r="AG2769" s="1008"/>
      <c r="AH2769" s="1008"/>
      <c r="AI2769" s="1008"/>
    </row>
    <row r="2770" spans="1:35">
      <c r="A2770" s="1008">
        <v>25187</v>
      </c>
      <c r="C2770" s="1008">
        <v>6</v>
      </c>
      <c r="D2770" s="1009">
        <v>59529999</v>
      </c>
      <c r="E2770" s="1009">
        <v>59520000</v>
      </c>
      <c r="F2770" s="1007" t="s">
        <v>1917</v>
      </c>
      <c r="O2770" s="1007" t="s">
        <v>648</v>
      </c>
      <c r="P2770" s="1007" t="s">
        <v>648</v>
      </c>
      <c r="S2770" s="1008" t="s">
        <v>650</v>
      </c>
      <c r="T2770" s="1008" t="s">
        <v>675</v>
      </c>
      <c r="U2770" s="1008" t="s">
        <v>653</v>
      </c>
      <c r="V2770" s="1008" t="s">
        <v>648</v>
      </c>
      <c r="W2770" s="1008" t="s">
        <v>546</v>
      </c>
      <c r="X2770" s="1008"/>
      <c r="Y2770" s="1008"/>
      <c r="Z2770" s="1008"/>
      <c r="AA2770" s="1008"/>
      <c r="AB2770" s="1008"/>
      <c r="AC2770" s="1008"/>
      <c r="AD2770" s="1008"/>
      <c r="AE2770" s="1008"/>
      <c r="AF2770" s="1008"/>
      <c r="AG2770" s="1008"/>
      <c r="AH2770" s="1008"/>
      <c r="AI2770" s="1008"/>
    </row>
    <row r="2771" spans="1:35">
      <c r="A2771" s="1008">
        <v>25188</v>
      </c>
      <c r="B2771" s="1008">
        <v>2272</v>
      </c>
      <c r="C2771" s="1008">
        <v>7</v>
      </c>
      <c r="D2771" s="1009">
        <v>59529999</v>
      </c>
      <c r="E2771" s="1009">
        <v>59520110</v>
      </c>
      <c r="F2771" s="1007" t="s">
        <v>1916</v>
      </c>
      <c r="G2771" s="1007">
        <v>7</v>
      </c>
      <c r="H2771" s="1010">
        <v>99999999</v>
      </c>
      <c r="I2771" s="1009">
        <v>59520110</v>
      </c>
      <c r="J2771" s="1007" t="s">
        <v>1916</v>
      </c>
      <c r="O2771" s="1007" t="s">
        <v>648</v>
      </c>
      <c r="P2771" s="1007" t="s">
        <v>648</v>
      </c>
      <c r="S2771" s="1008" t="s">
        <v>650</v>
      </c>
      <c r="T2771" s="1008" t="s">
        <v>654</v>
      </c>
      <c r="U2771" s="1008" t="s">
        <v>653</v>
      </c>
      <c r="V2771" s="1008" t="s">
        <v>648</v>
      </c>
      <c r="W2771" s="1008" t="s">
        <v>546</v>
      </c>
      <c r="X2771" s="1008" t="s">
        <v>670</v>
      </c>
      <c r="Y2771" s="1008"/>
      <c r="Z2771" s="1008"/>
      <c r="AA2771" s="1008"/>
      <c r="AB2771" s="1008"/>
      <c r="AC2771" s="1008"/>
      <c r="AD2771" s="1008" t="s">
        <v>670</v>
      </c>
      <c r="AE2771" s="1008"/>
      <c r="AF2771" s="1008"/>
      <c r="AG2771" s="1008"/>
      <c r="AH2771" s="1008"/>
      <c r="AI2771" s="1008"/>
    </row>
    <row r="2772" spans="1:35">
      <c r="A2772" s="1008">
        <v>25189</v>
      </c>
      <c r="B2772" s="1008">
        <v>2273</v>
      </c>
      <c r="C2772" s="1008">
        <v>7</v>
      </c>
      <c r="D2772" s="1009">
        <v>59529999</v>
      </c>
      <c r="E2772" s="1009">
        <v>59520120</v>
      </c>
      <c r="F2772" s="1007" t="s">
        <v>1915</v>
      </c>
      <c r="G2772" s="1007">
        <v>7</v>
      </c>
      <c r="H2772" s="1010">
        <v>99999999</v>
      </c>
      <c r="I2772" s="1009">
        <v>59520120</v>
      </c>
      <c r="J2772" s="1007" t="s">
        <v>1915</v>
      </c>
      <c r="O2772" s="1007" t="s">
        <v>648</v>
      </c>
      <c r="P2772" s="1007" t="s">
        <v>648</v>
      </c>
      <c r="S2772" s="1008" t="s">
        <v>650</v>
      </c>
      <c r="T2772" s="1008" t="s">
        <v>654</v>
      </c>
      <c r="U2772" s="1008" t="s">
        <v>653</v>
      </c>
      <c r="V2772" s="1008" t="s">
        <v>648</v>
      </c>
      <c r="W2772" s="1008" t="s">
        <v>546</v>
      </c>
      <c r="X2772" s="1008" t="s">
        <v>670</v>
      </c>
      <c r="Y2772" s="1008"/>
      <c r="Z2772" s="1008"/>
      <c r="AA2772" s="1008"/>
      <c r="AB2772" s="1008"/>
      <c r="AC2772" s="1008"/>
      <c r="AD2772" s="1008" t="s">
        <v>670</v>
      </c>
      <c r="AE2772" s="1008"/>
      <c r="AF2772" s="1008"/>
      <c r="AG2772" s="1008"/>
      <c r="AH2772" s="1008"/>
      <c r="AI2772" s="1008"/>
    </row>
    <row r="2773" spans="1:35">
      <c r="A2773" s="1008">
        <v>25190</v>
      </c>
      <c r="B2773" s="1008">
        <v>2274</v>
      </c>
      <c r="C2773" s="1008">
        <v>7</v>
      </c>
      <c r="D2773" s="1009">
        <v>59529999</v>
      </c>
      <c r="E2773" s="1009">
        <v>59520130</v>
      </c>
      <c r="F2773" s="1007" t="s">
        <v>1914</v>
      </c>
      <c r="G2773" s="1007">
        <v>7</v>
      </c>
      <c r="H2773" s="1010">
        <v>99999999</v>
      </c>
      <c r="I2773" s="1009">
        <v>59520130</v>
      </c>
      <c r="J2773" s="1007" t="s">
        <v>1914</v>
      </c>
      <c r="O2773" s="1007" t="s">
        <v>648</v>
      </c>
      <c r="P2773" s="1007" t="s">
        <v>648</v>
      </c>
      <c r="S2773" s="1008" t="s">
        <v>650</v>
      </c>
      <c r="T2773" s="1008" t="s">
        <v>654</v>
      </c>
      <c r="U2773" s="1008" t="s">
        <v>653</v>
      </c>
      <c r="V2773" s="1008" t="s">
        <v>648</v>
      </c>
      <c r="W2773" s="1008" t="s">
        <v>546</v>
      </c>
      <c r="X2773" s="1008" t="s">
        <v>670</v>
      </c>
      <c r="Y2773" s="1008"/>
      <c r="Z2773" s="1008"/>
      <c r="AA2773" s="1008"/>
      <c r="AB2773" s="1008"/>
      <c r="AC2773" s="1008"/>
      <c r="AD2773" s="1008" t="s">
        <v>670</v>
      </c>
      <c r="AE2773" s="1008"/>
      <c r="AF2773" s="1008"/>
      <c r="AG2773" s="1008"/>
      <c r="AH2773" s="1008"/>
      <c r="AI2773" s="1008"/>
    </row>
    <row r="2774" spans="1:35">
      <c r="A2774" s="1008">
        <v>25191</v>
      </c>
      <c r="B2774" s="1008">
        <v>2275</v>
      </c>
      <c r="C2774" s="1008">
        <v>7</v>
      </c>
      <c r="D2774" s="1009">
        <v>59529999</v>
      </c>
      <c r="E2774" s="1009">
        <v>59520140</v>
      </c>
      <c r="F2774" s="1007" t="s">
        <v>1913</v>
      </c>
      <c r="G2774" s="1007">
        <v>7</v>
      </c>
      <c r="H2774" s="1010">
        <v>99999999</v>
      </c>
      <c r="I2774" s="1009">
        <v>59520140</v>
      </c>
      <c r="J2774" s="1007" t="s">
        <v>1913</v>
      </c>
      <c r="O2774" s="1007" t="s">
        <v>648</v>
      </c>
      <c r="P2774" s="1007" t="s">
        <v>648</v>
      </c>
      <c r="S2774" s="1008" t="s">
        <v>650</v>
      </c>
      <c r="T2774" s="1008" t="s">
        <v>654</v>
      </c>
      <c r="U2774" s="1008" t="s">
        <v>653</v>
      </c>
      <c r="V2774" s="1008" t="s">
        <v>648</v>
      </c>
      <c r="W2774" s="1008" t="s">
        <v>546</v>
      </c>
      <c r="X2774" s="1008" t="s">
        <v>670</v>
      </c>
      <c r="Y2774" s="1008"/>
      <c r="Z2774" s="1008"/>
      <c r="AA2774" s="1008"/>
      <c r="AB2774" s="1008"/>
      <c r="AC2774" s="1008"/>
      <c r="AD2774" s="1008" t="s">
        <v>670</v>
      </c>
      <c r="AE2774" s="1008"/>
      <c r="AF2774" s="1008"/>
      <c r="AG2774" s="1008"/>
      <c r="AH2774" s="1008"/>
      <c r="AI2774" s="1008"/>
    </row>
    <row r="2775" spans="1:35">
      <c r="A2775" s="1008">
        <v>25192</v>
      </c>
      <c r="B2775" s="1008">
        <v>2276</v>
      </c>
      <c r="C2775" s="1008">
        <v>7</v>
      </c>
      <c r="D2775" s="1009">
        <v>59529999</v>
      </c>
      <c r="E2775" s="1009">
        <v>59520150</v>
      </c>
      <c r="F2775" s="1007" t="s">
        <v>1912</v>
      </c>
      <c r="G2775" s="1007">
        <v>7</v>
      </c>
      <c r="H2775" s="1010">
        <v>99999999</v>
      </c>
      <c r="I2775" s="1009">
        <v>59520150</v>
      </c>
      <c r="J2775" s="1007" t="s">
        <v>1912</v>
      </c>
      <c r="O2775" s="1007" t="s">
        <v>648</v>
      </c>
      <c r="P2775" s="1007" t="s">
        <v>648</v>
      </c>
      <c r="S2775" s="1008" t="s">
        <v>650</v>
      </c>
      <c r="T2775" s="1008" t="s">
        <v>654</v>
      </c>
      <c r="U2775" s="1008" t="s">
        <v>653</v>
      </c>
      <c r="V2775" s="1008" t="s">
        <v>648</v>
      </c>
      <c r="W2775" s="1008" t="s">
        <v>546</v>
      </c>
      <c r="X2775" s="1008" t="s">
        <v>670</v>
      </c>
      <c r="Y2775" s="1008"/>
      <c r="Z2775" s="1008"/>
      <c r="AA2775" s="1008"/>
      <c r="AB2775" s="1008"/>
      <c r="AC2775" s="1008"/>
      <c r="AD2775" s="1008" t="s">
        <v>670</v>
      </c>
      <c r="AE2775" s="1008"/>
      <c r="AF2775" s="1008"/>
      <c r="AG2775" s="1008"/>
      <c r="AH2775" s="1008"/>
      <c r="AI2775" s="1008"/>
    </row>
    <row r="2776" spans="1:35">
      <c r="A2776" s="1008">
        <v>25193</v>
      </c>
      <c r="B2776" s="1008">
        <v>2277</v>
      </c>
      <c r="C2776" s="1008">
        <v>7</v>
      </c>
      <c r="D2776" s="1009">
        <v>59529999</v>
      </c>
      <c r="E2776" s="1009">
        <v>59520160</v>
      </c>
      <c r="F2776" s="1007" t="s">
        <v>1911</v>
      </c>
      <c r="G2776" s="1007">
        <v>7</v>
      </c>
      <c r="H2776" s="1010">
        <v>99999999</v>
      </c>
      <c r="I2776" s="1009">
        <v>59520160</v>
      </c>
      <c r="J2776" s="1007" t="s">
        <v>1911</v>
      </c>
      <c r="O2776" s="1007" t="s">
        <v>648</v>
      </c>
      <c r="P2776" s="1007" t="s">
        <v>648</v>
      </c>
      <c r="S2776" s="1008" t="s">
        <v>650</v>
      </c>
      <c r="T2776" s="1008" t="s">
        <v>654</v>
      </c>
      <c r="U2776" s="1008" t="s">
        <v>653</v>
      </c>
      <c r="V2776" s="1008" t="s">
        <v>648</v>
      </c>
      <c r="W2776" s="1008" t="s">
        <v>546</v>
      </c>
      <c r="X2776" s="1008" t="s">
        <v>670</v>
      </c>
      <c r="Y2776" s="1008"/>
      <c r="Z2776" s="1008"/>
      <c r="AA2776" s="1008"/>
      <c r="AB2776" s="1008"/>
      <c r="AC2776" s="1008"/>
      <c r="AD2776" s="1008" t="s">
        <v>670</v>
      </c>
      <c r="AE2776" s="1008"/>
      <c r="AF2776" s="1008"/>
      <c r="AG2776" s="1008"/>
      <c r="AH2776" s="1008"/>
      <c r="AI2776" s="1008"/>
    </row>
    <row r="2777" spans="1:35">
      <c r="A2777" s="1008">
        <v>25194</v>
      </c>
      <c r="B2777" s="1008">
        <v>5464</v>
      </c>
      <c r="C2777" s="1008">
        <v>7</v>
      </c>
      <c r="D2777" s="1009">
        <v>59529999</v>
      </c>
      <c r="E2777" s="1009">
        <v>59520170</v>
      </c>
      <c r="F2777" s="1007" t="s">
        <v>1910</v>
      </c>
      <c r="G2777" s="1007">
        <v>7</v>
      </c>
      <c r="H2777" s="1010">
        <v>99999999</v>
      </c>
      <c r="I2777" s="1009">
        <v>59520170</v>
      </c>
      <c r="J2777" s="1007" t="s">
        <v>1910</v>
      </c>
      <c r="O2777" s="1007" t="s">
        <v>648</v>
      </c>
      <c r="P2777" s="1007" t="s">
        <v>648</v>
      </c>
      <c r="S2777" s="1008" t="s">
        <v>650</v>
      </c>
      <c r="T2777" s="1008" t="s">
        <v>654</v>
      </c>
      <c r="U2777" s="1008" t="s">
        <v>653</v>
      </c>
      <c r="V2777" s="1008" t="s">
        <v>648</v>
      </c>
      <c r="W2777" s="1008" t="s">
        <v>546</v>
      </c>
      <c r="X2777" s="1008" t="s">
        <v>670</v>
      </c>
      <c r="Y2777" s="1008"/>
      <c r="Z2777" s="1008"/>
      <c r="AA2777" s="1008"/>
      <c r="AB2777" s="1008"/>
      <c r="AC2777" s="1008"/>
      <c r="AD2777" s="1008" t="s">
        <v>670</v>
      </c>
      <c r="AE2777" s="1008"/>
      <c r="AF2777" s="1008"/>
      <c r="AG2777" s="1008"/>
      <c r="AH2777" s="1008"/>
      <c r="AI2777" s="1008"/>
    </row>
    <row r="2778" spans="1:35">
      <c r="A2778" s="1008">
        <v>25195</v>
      </c>
      <c r="C2778" s="1008">
        <v>6</v>
      </c>
      <c r="D2778" s="1009">
        <v>59599900</v>
      </c>
      <c r="E2778" s="1009">
        <v>59529999</v>
      </c>
      <c r="F2778" s="1007" t="s">
        <v>1909</v>
      </c>
      <c r="O2778" s="1007" t="s">
        <v>648</v>
      </c>
      <c r="P2778" s="1007" t="s">
        <v>648</v>
      </c>
      <c r="S2778" s="1008" t="s">
        <v>650</v>
      </c>
      <c r="T2778" s="1008" t="s">
        <v>21</v>
      </c>
      <c r="U2778" s="1008" t="s">
        <v>653</v>
      </c>
      <c r="V2778" s="1008" t="s">
        <v>648</v>
      </c>
      <c r="W2778" s="1008" t="s">
        <v>546</v>
      </c>
      <c r="X2778" s="1008"/>
      <c r="Y2778" s="1008"/>
      <c r="Z2778" s="1008"/>
      <c r="AA2778" s="1008"/>
      <c r="AB2778" s="1008"/>
      <c r="AC2778" s="1008"/>
      <c r="AD2778" s="1008"/>
      <c r="AE2778" s="1008"/>
      <c r="AF2778" s="1008"/>
      <c r="AG2778" s="1008"/>
      <c r="AH2778" s="1008"/>
      <c r="AI2778" s="1008"/>
    </row>
    <row r="2779" spans="1:35">
      <c r="A2779" s="1008">
        <v>25196</v>
      </c>
      <c r="C2779" s="1008">
        <v>6</v>
      </c>
      <c r="D2779" s="1009">
        <v>59579999</v>
      </c>
      <c r="E2779" s="1009">
        <v>59570000</v>
      </c>
      <c r="F2779" s="1007" t="s">
        <v>1908</v>
      </c>
      <c r="O2779" s="1007" t="s">
        <v>648</v>
      </c>
      <c r="P2779" s="1007" t="s">
        <v>648</v>
      </c>
      <c r="S2779" s="1008" t="s">
        <v>650</v>
      </c>
      <c r="T2779" s="1008" t="s">
        <v>675</v>
      </c>
      <c r="U2779" s="1008" t="s">
        <v>653</v>
      </c>
      <c r="V2779" s="1008" t="s">
        <v>648</v>
      </c>
      <c r="W2779" s="1008" t="s">
        <v>546</v>
      </c>
      <c r="X2779" s="1008"/>
      <c r="Y2779" s="1008"/>
      <c r="Z2779" s="1008"/>
      <c r="AA2779" s="1008"/>
      <c r="AB2779" s="1008"/>
      <c r="AC2779" s="1008"/>
      <c r="AD2779" s="1008"/>
      <c r="AE2779" s="1008"/>
      <c r="AF2779" s="1008"/>
      <c r="AG2779" s="1008"/>
      <c r="AH2779" s="1008"/>
      <c r="AI2779" s="1008"/>
    </row>
    <row r="2780" spans="1:35">
      <c r="A2780" s="1008">
        <v>25197</v>
      </c>
      <c r="B2780" s="1008">
        <v>5466</v>
      </c>
      <c r="C2780" s="1008">
        <v>7</v>
      </c>
      <c r="D2780" s="1009">
        <v>59579999</v>
      </c>
      <c r="E2780" s="1009">
        <v>59570120</v>
      </c>
      <c r="F2780" s="1007" t="s">
        <v>1907</v>
      </c>
      <c r="G2780" s="1007">
        <v>7</v>
      </c>
      <c r="H2780" s="1010">
        <v>99999999</v>
      </c>
      <c r="I2780" s="1009">
        <v>59570120</v>
      </c>
      <c r="J2780" s="1007" t="s">
        <v>1907</v>
      </c>
      <c r="O2780" s="1007" t="s">
        <v>648</v>
      </c>
      <c r="P2780" s="1007" t="s">
        <v>648</v>
      </c>
      <c r="S2780" s="1008" t="s">
        <v>650</v>
      </c>
      <c r="T2780" s="1008" t="s">
        <v>654</v>
      </c>
      <c r="U2780" s="1008" t="s">
        <v>653</v>
      </c>
      <c r="V2780" s="1008" t="s">
        <v>648</v>
      </c>
      <c r="W2780" s="1008" t="s">
        <v>546</v>
      </c>
      <c r="X2780" s="1008" t="s">
        <v>670</v>
      </c>
      <c r="Y2780" s="1008"/>
      <c r="Z2780" s="1008"/>
      <c r="AA2780" s="1008"/>
      <c r="AB2780" s="1008"/>
      <c r="AC2780" s="1008"/>
      <c r="AD2780" s="1008" t="s">
        <v>670</v>
      </c>
      <c r="AE2780" s="1008"/>
      <c r="AF2780" s="1008"/>
      <c r="AG2780" s="1008"/>
      <c r="AH2780" s="1008"/>
      <c r="AI2780" s="1008"/>
    </row>
    <row r="2781" spans="1:35">
      <c r="A2781" s="1008">
        <v>25198</v>
      </c>
      <c r="C2781" s="1008">
        <v>6</v>
      </c>
      <c r="D2781" s="1009">
        <v>59599900</v>
      </c>
      <c r="E2781" s="1009">
        <v>59579999</v>
      </c>
      <c r="F2781" s="1007" t="s">
        <v>1906</v>
      </c>
      <c r="O2781" s="1007" t="s">
        <v>648</v>
      </c>
      <c r="P2781" s="1007" t="s">
        <v>648</v>
      </c>
      <c r="S2781" s="1008" t="s">
        <v>650</v>
      </c>
      <c r="T2781" s="1008" t="s">
        <v>21</v>
      </c>
      <c r="U2781" s="1008" t="s">
        <v>653</v>
      </c>
      <c r="V2781" s="1008" t="s">
        <v>648</v>
      </c>
      <c r="W2781" s="1008" t="s">
        <v>546</v>
      </c>
      <c r="X2781" s="1008"/>
      <c r="Y2781" s="1008"/>
      <c r="Z2781" s="1008"/>
      <c r="AA2781" s="1008"/>
      <c r="AB2781" s="1008"/>
      <c r="AC2781" s="1008"/>
      <c r="AD2781" s="1008"/>
      <c r="AE2781" s="1008"/>
      <c r="AF2781" s="1008"/>
      <c r="AG2781" s="1008"/>
      <c r="AH2781" s="1008"/>
      <c r="AI2781" s="1008"/>
    </row>
    <row r="2782" spans="1:35">
      <c r="A2782" s="1008">
        <v>25199</v>
      </c>
      <c r="C2782" s="1008">
        <v>5</v>
      </c>
      <c r="D2782" s="1009">
        <v>59599999</v>
      </c>
      <c r="E2782" s="1009">
        <v>59599900</v>
      </c>
      <c r="F2782" s="1007" t="s">
        <v>1905</v>
      </c>
      <c r="O2782" s="1007" t="s">
        <v>648</v>
      </c>
      <c r="P2782" s="1007" t="s">
        <v>648</v>
      </c>
      <c r="S2782" s="1008" t="s">
        <v>650</v>
      </c>
      <c r="T2782" s="1008" t="s">
        <v>21</v>
      </c>
      <c r="U2782" s="1008" t="s">
        <v>653</v>
      </c>
      <c r="V2782" s="1008" t="s">
        <v>648</v>
      </c>
      <c r="W2782" s="1008" t="s">
        <v>546</v>
      </c>
      <c r="X2782" s="1008"/>
      <c r="Y2782" s="1008"/>
      <c r="Z2782" s="1008"/>
      <c r="AA2782" s="1008"/>
      <c r="AB2782" s="1008"/>
      <c r="AC2782" s="1008"/>
      <c r="AD2782" s="1008"/>
      <c r="AE2782" s="1008"/>
      <c r="AF2782" s="1008"/>
      <c r="AG2782" s="1008"/>
      <c r="AH2782" s="1008"/>
      <c r="AI2782" s="1008"/>
    </row>
    <row r="2783" spans="1:35">
      <c r="A2783" s="1008">
        <v>25200</v>
      </c>
      <c r="C2783" s="1008">
        <v>4</v>
      </c>
      <c r="D2783" s="1009">
        <v>79999998</v>
      </c>
      <c r="E2783" s="1009">
        <v>59599999</v>
      </c>
      <c r="F2783" s="1007" t="s">
        <v>1904</v>
      </c>
      <c r="O2783" s="1007" t="s">
        <v>648</v>
      </c>
      <c r="P2783" s="1007" t="s">
        <v>648</v>
      </c>
      <c r="S2783" s="1008" t="s">
        <v>650</v>
      </c>
      <c r="T2783" s="1008" t="s">
        <v>21</v>
      </c>
      <c r="U2783" s="1008" t="s">
        <v>653</v>
      </c>
      <c r="V2783" s="1008" t="s">
        <v>648</v>
      </c>
      <c r="W2783" s="1008" t="s">
        <v>546</v>
      </c>
      <c r="X2783" s="1008"/>
      <c r="Y2783" s="1008"/>
      <c r="Z2783" s="1008"/>
      <c r="AA2783" s="1008"/>
      <c r="AB2783" s="1008"/>
      <c r="AC2783" s="1008"/>
      <c r="AD2783" s="1008"/>
      <c r="AE2783" s="1008"/>
      <c r="AF2783" s="1008"/>
      <c r="AG2783" s="1008"/>
      <c r="AH2783" s="1008"/>
      <c r="AI2783" s="1008"/>
    </row>
    <row r="2784" spans="1:35">
      <c r="A2784" s="1008">
        <v>23744</v>
      </c>
      <c r="C2784" s="1008">
        <v>4</v>
      </c>
      <c r="D2784" s="1009">
        <v>59699999</v>
      </c>
      <c r="E2784" s="1009">
        <v>59600000</v>
      </c>
      <c r="F2784" s="1007" t="s">
        <v>1903</v>
      </c>
      <c r="O2784" s="1007" t="s">
        <v>648</v>
      </c>
      <c r="P2784" s="1007" t="s">
        <v>648</v>
      </c>
      <c r="S2784" s="1008" t="s">
        <v>650</v>
      </c>
      <c r="T2784" s="1008" t="s">
        <v>675</v>
      </c>
      <c r="U2784" s="1008" t="s">
        <v>653</v>
      </c>
      <c r="V2784" s="1008" t="s">
        <v>648</v>
      </c>
      <c r="W2784" s="1008" t="s">
        <v>546</v>
      </c>
      <c r="X2784" s="1008"/>
      <c r="Y2784" s="1008"/>
      <c r="Z2784" s="1008"/>
      <c r="AA2784" s="1008"/>
      <c r="AB2784" s="1008"/>
      <c r="AC2784" s="1008"/>
      <c r="AD2784" s="1008"/>
      <c r="AE2784" s="1008"/>
      <c r="AF2784" s="1008"/>
      <c r="AG2784" s="1008"/>
      <c r="AH2784" s="1008"/>
      <c r="AI2784" s="1008"/>
    </row>
    <row r="2785" spans="1:35">
      <c r="A2785" s="1008">
        <v>23745</v>
      </c>
      <c r="C2785" s="1008">
        <v>5</v>
      </c>
      <c r="D2785" s="1009">
        <v>59649999</v>
      </c>
      <c r="E2785" s="1009">
        <v>59601000</v>
      </c>
      <c r="F2785" s="1007" t="s">
        <v>1903</v>
      </c>
      <c r="O2785" s="1007" t="s">
        <v>648</v>
      </c>
      <c r="P2785" s="1007" t="s">
        <v>648</v>
      </c>
      <c r="S2785" s="1008" t="s">
        <v>650</v>
      </c>
      <c r="T2785" s="1008" t="s">
        <v>675</v>
      </c>
      <c r="U2785" s="1008" t="s">
        <v>653</v>
      </c>
      <c r="V2785" s="1008" t="s">
        <v>648</v>
      </c>
      <c r="W2785" s="1008" t="s">
        <v>546</v>
      </c>
      <c r="X2785" s="1008"/>
      <c r="Y2785" s="1008"/>
      <c r="Z2785" s="1008"/>
      <c r="AA2785" s="1008"/>
      <c r="AB2785" s="1008"/>
      <c r="AC2785" s="1008"/>
      <c r="AD2785" s="1008"/>
      <c r="AE2785" s="1008"/>
      <c r="AF2785" s="1008"/>
      <c r="AG2785" s="1008"/>
      <c r="AH2785" s="1008"/>
      <c r="AI2785" s="1008"/>
    </row>
    <row r="2786" spans="1:35">
      <c r="A2786" s="1008">
        <v>23746</v>
      </c>
      <c r="B2786" s="1008">
        <v>857</v>
      </c>
      <c r="C2786" s="1008">
        <v>6</v>
      </c>
      <c r="D2786" s="1009">
        <v>59699999</v>
      </c>
      <c r="E2786" s="1009">
        <v>59611000</v>
      </c>
      <c r="F2786" s="1007" t="s">
        <v>1629</v>
      </c>
      <c r="G2786" s="1007">
        <v>7</v>
      </c>
      <c r="H2786" s="1010">
        <v>5099999</v>
      </c>
      <c r="I2786" s="1009">
        <v>5001002</v>
      </c>
      <c r="J2786" s="1007" t="s">
        <v>1902</v>
      </c>
      <c r="O2786" s="1007" t="s">
        <v>648</v>
      </c>
      <c r="P2786" s="1007" t="s">
        <v>648</v>
      </c>
      <c r="S2786" s="1008" t="s">
        <v>650</v>
      </c>
      <c r="T2786" s="1008" t="s">
        <v>654</v>
      </c>
      <c r="U2786" s="1008" t="s">
        <v>653</v>
      </c>
      <c r="V2786" s="1008" t="s">
        <v>648</v>
      </c>
      <c r="W2786" s="1008" t="s">
        <v>546</v>
      </c>
      <c r="X2786" s="1008" t="s">
        <v>670</v>
      </c>
      <c r="Y2786" s="1008"/>
      <c r="Z2786" s="1008"/>
      <c r="AA2786" s="1008"/>
      <c r="AB2786" s="1008"/>
      <c r="AC2786" s="1008" t="s">
        <v>670</v>
      </c>
      <c r="AD2786" s="1008"/>
      <c r="AE2786" s="1008"/>
      <c r="AF2786" s="1008"/>
      <c r="AG2786" s="1008"/>
      <c r="AH2786" s="1008"/>
      <c r="AI2786" s="1008"/>
    </row>
    <row r="2787" spans="1:35">
      <c r="A2787" s="1008">
        <v>23746</v>
      </c>
      <c r="B2787" s="1008">
        <v>858</v>
      </c>
      <c r="C2787" s="1008">
        <v>6</v>
      </c>
      <c r="D2787" s="1009">
        <v>59699999</v>
      </c>
      <c r="E2787" s="1009">
        <v>59611000</v>
      </c>
      <c r="F2787" s="1007" t="s">
        <v>1629</v>
      </c>
      <c r="G2787" s="1007">
        <v>7</v>
      </c>
      <c r="H2787" s="1010">
        <v>5099999</v>
      </c>
      <c r="I2787" s="1009">
        <v>5001003</v>
      </c>
      <c r="J2787" s="1007" t="s">
        <v>1901</v>
      </c>
      <c r="O2787" s="1007" t="s">
        <v>648</v>
      </c>
      <c r="P2787" s="1007" t="s">
        <v>648</v>
      </c>
      <c r="S2787" s="1008" t="s">
        <v>650</v>
      </c>
      <c r="T2787" s="1008" t="s">
        <v>654</v>
      </c>
      <c r="U2787" s="1008" t="s">
        <v>653</v>
      </c>
      <c r="V2787" s="1008" t="s">
        <v>648</v>
      </c>
      <c r="W2787" s="1008" t="s">
        <v>546</v>
      </c>
      <c r="X2787" s="1008" t="s">
        <v>670</v>
      </c>
      <c r="Y2787" s="1008"/>
      <c r="Z2787" s="1008"/>
      <c r="AA2787" s="1008"/>
      <c r="AB2787" s="1008"/>
      <c r="AC2787" s="1008" t="s">
        <v>670</v>
      </c>
      <c r="AD2787" s="1008"/>
      <c r="AE2787" s="1008"/>
      <c r="AF2787" s="1008"/>
      <c r="AG2787" s="1008"/>
      <c r="AH2787" s="1008"/>
      <c r="AI2787" s="1008"/>
    </row>
    <row r="2788" spans="1:35">
      <c r="A2788" s="1008">
        <v>23746</v>
      </c>
      <c r="B2788" s="1008">
        <v>914</v>
      </c>
      <c r="C2788" s="1008">
        <v>6</v>
      </c>
      <c r="D2788" s="1009">
        <v>59699999</v>
      </c>
      <c r="E2788" s="1009">
        <v>59611000</v>
      </c>
      <c r="F2788" s="1007" t="s">
        <v>1629</v>
      </c>
      <c r="G2788" s="1007">
        <v>7</v>
      </c>
      <c r="H2788" s="1010">
        <v>5099999</v>
      </c>
      <c r="I2788" s="1009">
        <v>5001004</v>
      </c>
      <c r="J2788" s="1007" t="s">
        <v>1900</v>
      </c>
      <c r="O2788" s="1007" t="s">
        <v>648</v>
      </c>
      <c r="P2788" s="1007" t="s">
        <v>648</v>
      </c>
      <c r="S2788" s="1008" t="s">
        <v>650</v>
      </c>
      <c r="T2788" s="1008" t="s">
        <v>654</v>
      </c>
      <c r="U2788" s="1008" t="s">
        <v>653</v>
      </c>
      <c r="V2788" s="1008" t="s">
        <v>648</v>
      </c>
      <c r="W2788" s="1008" t="s">
        <v>546</v>
      </c>
      <c r="X2788" s="1008" t="s">
        <v>670</v>
      </c>
      <c r="Y2788" s="1008"/>
      <c r="Z2788" s="1008"/>
      <c r="AA2788" s="1008"/>
      <c r="AB2788" s="1008"/>
      <c r="AC2788" s="1008" t="s">
        <v>670</v>
      </c>
      <c r="AD2788" s="1008"/>
      <c r="AE2788" s="1008"/>
      <c r="AF2788" s="1008"/>
      <c r="AG2788" s="1008"/>
      <c r="AH2788" s="1008"/>
      <c r="AI2788" s="1008"/>
    </row>
    <row r="2789" spans="1:35">
      <c r="A2789" s="1008">
        <v>23746</v>
      </c>
      <c r="B2789" s="1008">
        <v>6796</v>
      </c>
      <c r="C2789" s="1008">
        <v>6</v>
      </c>
      <c r="D2789" s="1009">
        <v>59699999</v>
      </c>
      <c r="E2789" s="1009">
        <v>59611000</v>
      </c>
      <c r="F2789" s="1007" t="s">
        <v>1629</v>
      </c>
      <c r="G2789" s="1007">
        <v>7</v>
      </c>
      <c r="H2789" s="1010">
        <v>5099999</v>
      </c>
      <c r="I2789" s="1009">
        <v>5001005</v>
      </c>
      <c r="J2789" s="1007" t="s">
        <v>1899</v>
      </c>
      <c r="O2789" s="1007" t="s">
        <v>648</v>
      </c>
      <c r="P2789" s="1007" t="s">
        <v>648</v>
      </c>
      <c r="S2789" s="1008" t="s">
        <v>650</v>
      </c>
      <c r="T2789" s="1008" t="s">
        <v>654</v>
      </c>
      <c r="U2789" s="1008" t="s">
        <v>653</v>
      </c>
      <c r="V2789" s="1008" t="s">
        <v>648</v>
      </c>
      <c r="W2789" s="1008" t="s">
        <v>546</v>
      </c>
      <c r="X2789" s="1008" t="s">
        <v>670</v>
      </c>
      <c r="Y2789" s="1008"/>
      <c r="Z2789" s="1008"/>
      <c r="AA2789" s="1008"/>
      <c r="AB2789" s="1008"/>
      <c r="AC2789" s="1008" t="s">
        <v>670</v>
      </c>
      <c r="AD2789" s="1008"/>
      <c r="AE2789" s="1008"/>
      <c r="AF2789" s="1008"/>
      <c r="AG2789" s="1008"/>
      <c r="AH2789" s="1008"/>
      <c r="AI2789" s="1008"/>
    </row>
    <row r="2790" spans="1:35">
      <c r="A2790" s="1008">
        <v>23746</v>
      </c>
      <c r="B2790" s="1008">
        <v>915</v>
      </c>
      <c r="C2790" s="1008">
        <v>6</v>
      </c>
      <c r="D2790" s="1009">
        <v>59699999</v>
      </c>
      <c r="E2790" s="1009">
        <v>59611000</v>
      </c>
      <c r="F2790" s="1007" t="s">
        <v>1629</v>
      </c>
      <c r="G2790" s="1007">
        <v>7</v>
      </c>
      <c r="H2790" s="1010">
        <v>5099999</v>
      </c>
      <c r="I2790" s="1009">
        <v>5001006</v>
      </c>
      <c r="J2790" s="1007" t="s">
        <v>1898</v>
      </c>
      <c r="O2790" s="1007" t="s">
        <v>648</v>
      </c>
      <c r="P2790" s="1007" t="s">
        <v>648</v>
      </c>
      <c r="S2790" s="1008" t="s">
        <v>650</v>
      </c>
      <c r="T2790" s="1008" t="s">
        <v>654</v>
      </c>
      <c r="U2790" s="1008" t="s">
        <v>653</v>
      </c>
      <c r="V2790" s="1008" t="s">
        <v>648</v>
      </c>
      <c r="W2790" s="1008" t="s">
        <v>546</v>
      </c>
      <c r="X2790" s="1008" t="s">
        <v>670</v>
      </c>
      <c r="Y2790" s="1008"/>
      <c r="Z2790" s="1008"/>
      <c r="AA2790" s="1008"/>
      <c r="AB2790" s="1008"/>
      <c r="AC2790" s="1008" t="s">
        <v>670</v>
      </c>
      <c r="AD2790" s="1008"/>
      <c r="AE2790" s="1008"/>
      <c r="AF2790" s="1008"/>
      <c r="AG2790" s="1008"/>
      <c r="AH2790" s="1008"/>
      <c r="AI2790" s="1008"/>
    </row>
    <row r="2791" spans="1:35">
      <c r="A2791" s="1008">
        <v>23746</v>
      </c>
      <c r="B2791" s="1008">
        <v>916</v>
      </c>
      <c r="C2791" s="1008">
        <v>6</v>
      </c>
      <c r="D2791" s="1009">
        <v>59699999</v>
      </c>
      <c r="E2791" s="1009">
        <v>59611000</v>
      </c>
      <c r="F2791" s="1007" t="s">
        <v>1629</v>
      </c>
      <c r="G2791" s="1007">
        <v>7</v>
      </c>
      <c r="H2791" s="1010">
        <v>5099999</v>
      </c>
      <c r="I2791" s="1009">
        <v>5001007</v>
      </c>
      <c r="J2791" s="1007" t="s">
        <v>1897</v>
      </c>
      <c r="O2791" s="1007" t="s">
        <v>648</v>
      </c>
      <c r="P2791" s="1007" t="s">
        <v>648</v>
      </c>
      <c r="S2791" s="1008" t="s">
        <v>650</v>
      </c>
      <c r="T2791" s="1008" t="s">
        <v>654</v>
      </c>
      <c r="U2791" s="1008" t="s">
        <v>653</v>
      </c>
      <c r="V2791" s="1008" t="s">
        <v>648</v>
      </c>
      <c r="W2791" s="1008" t="s">
        <v>546</v>
      </c>
      <c r="X2791" s="1008" t="s">
        <v>670</v>
      </c>
      <c r="Y2791" s="1008"/>
      <c r="Z2791" s="1008"/>
      <c r="AA2791" s="1008"/>
      <c r="AB2791" s="1008"/>
      <c r="AC2791" s="1008" t="s">
        <v>670</v>
      </c>
      <c r="AD2791" s="1008"/>
      <c r="AE2791" s="1008"/>
      <c r="AF2791" s="1008"/>
      <c r="AG2791" s="1008"/>
      <c r="AH2791" s="1008"/>
      <c r="AI2791" s="1008"/>
    </row>
    <row r="2792" spans="1:35">
      <c r="A2792" s="1008">
        <v>23746</v>
      </c>
      <c r="B2792" s="1008">
        <v>919</v>
      </c>
      <c r="C2792" s="1008">
        <v>6</v>
      </c>
      <c r="D2792" s="1009">
        <v>59699999</v>
      </c>
      <c r="E2792" s="1009">
        <v>59611000</v>
      </c>
      <c r="F2792" s="1007" t="s">
        <v>1629</v>
      </c>
      <c r="G2792" s="1007">
        <v>7</v>
      </c>
      <c r="H2792" s="1010">
        <v>5099999</v>
      </c>
      <c r="I2792" s="1009">
        <v>5001008</v>
      </c>
      <c r="J2792" s="1007" t="s">
        <v>1896</v>
      </c>
      <c r="O2792" s="1007" t="s">
        <v>648</v>
      </c>
      <c r="P2792" s="1007" t="s">
        <v>648</v>
      </c>
      <c r="S2792" s="1008" t="s">
        <v>650</v>
      </c>
      <c r="T2792" s="1008" t="s">
        <v>654</v>
      </c>
      <c r="U2792" s="1008" t="s">
        <v>653</v>
      </c>
      <c r="V2792" s="1008" t="s">
        <v>648</v>
      </c>
      <c r="W2792" s="1008" t="s">
        <v>546</v>
      </c>
      <c r="X2792" s="1008" t="s">
        <v>670</v>
      </c>
      <c r="Y2792" s="1008"/>
      <c r="Z2792" s="1008"/>
      <c r="AA2792" s="1008"/>
      <c r="AB2792" s="1008"/>
      <c r="AC2792" s="1008" t="s">
        <v>670</v>
      </c>
      <c r="AD2792" s="1008"/>
      <c r="AE2792" s="1008"/>
      <c r="AF2792" s="1008"/>
      <c r="AG2792" s="1008"/>
      <c r="AH2792" s="1008"/>
      <c r="AI2792" s="1008"/>
    </row>
    <row r="2793" spans="1:35">
      <c r="A2793" s="1008">
        <v>23746</v>
      </c>
      <c r="B2793" s="1008">
        <v>917</v>
      </c>
      <c r="C2793" s="1008">
        <v>6</v>
      </c>
      <c r="D2793" s="1009">
        <v>59699999</v>
      </c>
      <c r="E2793" s="1009">
        <v>59611000</v>
      </c>
      <c r="F2793" s="1007" t="s">
        <v>1629</v>
      </c>
      <c r="G2793" s="1007">
        <v>7</v>
      </c>
      <c r="H2793" s="1010">
        <v>5099999</v>
      </c>
      <c r="I2793" s="1009">
        <v>5001010</v>
      </c>
      <c r="J2793" s="1007" t="s">
        <v>1895</v>
      </c>
      <c r="O2793" s="1007" t="s">
        <v>648</v>
      </c>
      <c r="P2793" s="1007" t="s">
        <v>648</v>
      </c>
      <c r="S2793" s="1008" t="s">
        <v>650</v>
      </c>
      <c r="T2793" s="1008" t="s">
        <v>654</v>
      </c>
      <c r="U2793" s="1008" t="s">
        <v>653</v>
      </c>
      <c r="V2793" s="1008" t="s">
        <v>648</v>
      </c>
      <c r="W2793" s="1008" t="s">
        <v>546</v>
      </c>
      <c r="X2793" s="1008" t="s">
        <v>670</v>
      </c>
      <c r="Y2793" s="1008"/>
      <c r="Z2793" s="1008"/>
      <c r="AA2793" s="1008"/>
      <c r="AB2793" s="1008"/>
      <c r="AC2793" s="1008" t="s">
        <v>670</v>
      </c>
      <c r="AD2793" s="1008"/>
      <c r="AE2793" s="1008"/>
      <c r="AF2793" s="1008"/>
      <c r="AG2793" s="1008"/>
      <c r="AH2793" s="1008"/>
      <c r="AI2793" s="1008"/>
    </row>
    <row r="2794" spans="1:35">
      <c r="A2794" s="1008">
        <v>23746</v>
      </c>
      <c r="B2794" s="1008">
        <v>6614</v>
      </c>
      <c r="C2794" s="1008">
        <v>6</v>
      </c>
      <c r="D2794" s="1009">
        <v>59699999</v>
      </c>
      <c r="E2794" s="1009">
        <v>59611000</v>
      </c>
      <c r="F2794" s="1007" t="s">
        <v>1629</v>
      </c>
      <c r="G2794" s="1007">
        <v>7</v>
      </c>
      <c r="H2794" s="1010">
        <v>5099999</v>
      </c>
      <c r="I2794" s="1009">
        <v>5001015</v>
      </c>
      <c r="J2794" s="1007" t="s">
        <v>1894</v>
      </c>
      <c r="O2794" s="1007" t="s">
        <v>648</v>
      </c>
      <c r="P2794" s="1007" t="s">
        <v>648</v>
      </c>
      <c r="S2794" s="1008" t="s">
        <v>650</v>
      </c>
      <c r="T2794" s="1008" t="s">
        <v>654</v>
      </c>
      <c r="U2794" s="1008" t="s">
        <v>653</v>
      </c>
      <c r="V2794" s="1008" t="s">
        <v>648</v>
      </c>
      <c r="W2794" s="1008" t="s">
        <v>546</v>
      </c>
      <c r="X2794" s="1008" t="s">
        <v>670</v>
      </c>
      <c r="Y2794" s="1008"/>
      <c r="Z2794" s="1008"/>
      <c r="AA2794" s="1008"/>
      <c r="AB2794" s="1008"/>
      <c r="AC2794" s="1008" t="s">
        <v>670</v>
      </c>
      <c r="AD2794" s="1008"/>
      <c r="AE2794" s="1008"/>
      <c r="AF2794" s="1008"/>
      <c r="AG2794" s="1008"/>
      <c r="AH2794" s="1008"/>
      <c r="AI2794" s="1008"/>
    </row>
    <row r="2795" spans="1:35">
      <c r="A2795" s="1008">
        <v>23746</v>
      </c>
      <c r="B2795" s="1008">
        <v>918</v>
      </c>
      <c r="C2795" s="1008">
        <v>6</v>
      </c>
      <c r="D2795" s="1009">
        <v>59699999</v>
      </c>
      <c r="E2795" s="1009">
        <v>59611000</v>
      </c>
      <c r="F2795" s="1007" t="s">
        <v>1629</v>
      </c>
      <c r="G2795" s="1007">
        <v>7</v>
      </c>
      <c r="H2795" s="1010">
        <v>5099999</v>
      </c>
      <c r="I2795" s="1009">
        <v>5001020</v>
      </c>
      <c r="J2795" s="1007" t="s">
        <v>1893</v>
      </c>
      <c r="O2795" s="1007" t="s">
        <v>648</v>
      </c>
      <c r="P2795" s="1007" t="s">
        <v>648</v>
      </c>
      <c r="S2795" s="1008" t="s">
        <v>650</v>
      </c>
      <c r="T2795" s="1008" t="s">
        <v>654</v>
      </c>
      <c r="U2795" s="1008" t="s">
        <v>653</v>
      </c>
      <c r="V2795" s="1008" t="s">
        <v>648</v>
      </c>
      <c r="W2795" s="1008" t="s">
        <v>546</v>
      </c>
      <c r="X2795" s="1008" t="s">
        <v>670</v>
      </c>
      <c r="Y2795" s="1008"/>
      <c r="Z2795" s="1008"/>
      <c r="AA2795" s="1008"/>
      <c r="AB2795" s="1008"/>
      <c r="AC2795" s="1008" t="s">
        <v>670</v>
      </c>
      <c r="AD2795" s="1008"/>
      <c r="AE2795" s="1008"/>
      <c r="AF2795" s="1008"/>
      <c r="AG2795" s="1008"/>
      <c r="AH2795" s="1008"/>
      <c r="AI2795" s="1008"/>
    </row>
    <row r="2796" spans="1:35">
      <c r="A2796" s="1008">
        <v>23746</v>
      </c>
      <c r="B2796" s="1008">
        <v>920</v>
      </c>
      <c r="C2796" s="1008">
        <v>6</v>
      </c>
      <c r="D2796" s="1009">
        <v>59699999</v>
      </c>
      <c r="E2796" s="1009">
        <v>59611000</v>
      </c>
      <c r="F2796" s="1007" t="s">
        <v>1629</v>
      </c>
      <c r="G2796" s="1007">
        <v>7</v>
      </c>
      <c r="H2796" s="1010">
        <v>5099999</v>
      </c>
      <c r="I2796" s="1009">
        <v>5001022</v>
      </c>
      <c r="J2796" s="1007" t="s">
        <v>1892</v>
      </c>
      <c r="O2796" s="1007" t="s">
        <v>648</v>
      </c>
      <c r="P2796" s="1007" t="s">
        <v>648</v>
      </c>
      <c r="S2796" s="1008" t="s">
        <v>650</v>
      </c>
      <c r="T2796" s="1008" t="s">
        <v>654</v>
      </c>
      <c r="U2796" s="1008" t="s">
        <v>653</v>
      </c>
      <c r="V2796" s="1008" t="s">
        <v>648</v>
      </c>
      <c r="W2796" s="1008" t="s">
        <v>546</v>
      </c>
      <c r="X2796" s="1008" t="s">
        <v>670</v>
      </c>
      <c r="Y2796" s="1008"/>
      <c r="Z2796" s="1008"/>
      <c r="AA2796" s="1008"/>
      <c r="AB2796" s="1008"/>
      <c r="AC2796" s="1008" t="s">
        <v>670</v>
      </c>
      <c r="AD2796" s="1008"/>
      <c r="AE2796" s="1008"/>
      <c r="AF2796" s="1008"/>
      <c r="AG2796" s="1008"/>
      <c r="AH2796" s="1008"/>
      <c r="AI2796" s="1008"/>
    </row>
    <row r="2797" spans="1:35">
      <c r="A2797" s="1008">
        <v>23746</v>
      </c>
      <c r="B2797" s="1008">
        <v>921</v>
      </c>
      <c r="C2797" s="1008">
        <v>6</v>
      </c>
      <c r="D2797" s="1009">
        <v>59699999</v>
      </c>
      <c r="E2797" s="1009">
        <v>59611000</v>
      </c>
      <c r="F2797" s="1007" t="s">
        <v>1629</v>
      </c>
      <c r="G2797" s="1007">
        <v>7</v>
      </c>
      <c r="H2797" s="1010">
        <v>5099999</v>
      </c>
      <c r="I2797" s="1009">
        <v>5001023</v>
      </c>
      <c r="J2797" s="1007" t="s">
        <v>1891</v>
      </c>
      <c r="O2797" s="1007" t="s">
        <v>648</v>
      </c>
      <c r="P2797" s="1007" t="s">
        <v>648</v>
      </c>
      <c r="S2797" s="1008" t="s">
        <v>650</v>
      </c>
      <c r="T2797" s="1008" t="s">
        <v>654</v>
      </c>
      <c r="U2797" s="1008" t="s">
        <v>653</v>
      </c>
      <c r="V2797" s="1008" t="s">
        <v>648</v>
      </c>
      <c r="W2797" s="1008" t="s">
        <v>546</v>
      </c>
      <c r="X2797" s="1008" t="s">
        <v>670</v>
      </c>
      <c r="Y2797" s="1008"/>
      <c r="Z2797" s="1008"/>
      <c r="AA2797" s="1008"/>
      <c r="AB2797" s="1008"/>
      <c r="AC2797" s="1008" t="s">
        <v>670</v>
      </c>
      <c r="AD2797" s="1008"/>
      <c r="AE2797" s="1008"/>
      <c r="AF2797" s="1008"/>
      <c r="AG2797" s="1008"/>
      <c r="AH2797" s="1008"/>
      <c r="AI2797" s="1008"/>
    </row>
    <row r="2798" spans="1:35">
      <c r="A2798" s="1008">
        <v>23746</v>
      </c>
      <c r="B2798" s="1008">
        <v>922</v>
      </c>
      <c r="C2798" s="1008">
        <v>6</v>
      </c>
      <c r="D2798" s="1009">
        <v>59699999</v>
      </c>
      <c r="E2798" s="1009">
        <v>59611000</v>
      </c>
      <c r="F2798" s="1007" t="s">
        <v>1629</v>
      </c>
      <c r="G2798" s="1007">
        <v>7</v>
      </c>
      <c r="H2798" s="1010">
        <v>5099999</v>
      </c>
      <c r="I2798" s="1009">
        <v>5001080</v>
      </c>
      <c r="J2798" s="1007" t="s">
        <v>1890</v>
      </c>
      <c r="O2798" s="1007" t="s">
        <v>648</v>
      </c>
      <c r="P2798" s="1007" t="s">
        <v>648</v>
      </c>
      <c r="S2798" s="1008" t="s">
        <v>650</v>
      </c>
      <c r="T2798" s="1008" t="s">
        <v>654</v>
      </c>
      <c r="U2798" s="1008" t="s">
        <v>653</v>
      </c>
      <c r="V2798" s="1008" t="s">
        <v>648</v>
      </c>
      <c r="W2798" s="1008" t="s">
        <v>546</v>
      </c>
      <c r="X2798" s="1008" t="s">
        <v>670</v>
      </c>
      <c r="Y2798" s="1008"/>
      <c r="Z2798" s="1008"/>
      <c r="AA2798" s="1008"/>
      <c r="AB2798" s="1008"/>
      <c r="AC2798" s="1008" t="s">
        <v>670</v>
      </c>
      <c r="AD2798" s="1008"/>
      <c r="AE2798" s="1008"/>
      <c r="AF2798" s="1008"/>
      <c r="AG2798" s="1008"/>
      <c r="AH2798" s="1008"/>
      <c r="AI2798" s="1008"/>
    </row>
    <row r="2799" spans="1:35">
      <c r="A2799" s="1008">
        <v>23746</v>
      </c>
      <c r="B2799" s="1008">
        <v>923</v>
      </c>
      <c r="C2799" s="1008">
        <v>6</v>
      </c>
      <c r="D2799" s="1009">
        <v>59699999</v>
      </c>
      <c r="E2799" s="1009">
        <v>59611000</v>
      </c>
      <c r="F2799" s="1007" t="s">
        <v>1629</v>
      </c>
      <c r="G2799" s="1007">
        <v>7</v>
      </c>
      <c r="H2799" s="1010">
        <v>5099999</v>
      </c>
      <c r="I2799" s="1009">
        <v>5001090</v>
      </c>
      <c r="J2799" s="1007" t="s">
        <v>1889</v>
      </c>
      <c r="O2799" s="1007" t="s">
        <v>648</v>
      </c>
      <c r="P2799" s="1007" t="s">
        <v>648</v>
      </c>
      <c r="S2799" s="1008" t="s">
        <v>650</v>
      </c>
      <c r="T2799" s="1008" t="s">
        <v>654</v>
      </c>
      <c r="U2799" s="1008" t="s">
        <v>653</v>
      </c>
      <c r="V2799" s="1008" t="s">
        <v>648</v>
      </c>
      <c r="W2799" s="1008" t="s">
        <v>546</v>
      </c>
      <c r="X2799" s="1008" t="s">
        <v>670</v>
      </c>
      <c r="Y2799" s="1008"/>
      <c r="Z2799" s="1008"/>
      <c r="AA2799" s="1008"/>
      <c r="AB2799" s="1008"/>
      <c r="AC2799" s="1008" t="s">
        <v>670</v>
      </c>
      <c r="AD2799" s="1008"/>
      <c r="AE2799" s="1008"/>
      <c r="AF2799" s="1008"/>
      <c r="AG2799" s="1008"/>
      <c r="AH2799" s="1008"/>
      <c r="AI2799" s="1008"/>
    </row>
    <row r="2800" spans="1:35">
      <c r="A2800" s="1008">
        <v>23746</v>
      </c>
      <c r="B2800" s="1008">
        <v>924</v>
      </c>
      <c r="C2800" s="1008">
        <v>6</v>
      </c>
      <c r="D2800" s="1009">
        <v>59699999</v>
      </c>
      <c r="E2800" s="1009">
        <v>59611000</v>
      </c>
      <c r="F2800" s="1007" t="s">
        <v>1629</v>
      </c>
      <c r="G2800" s="1007">
        <v>7</v>
      </c>
      <c r="H2800" s="1010">
        <v>5099999</v>
      </c>
      <c r="I2800" s="1009">
        <v>5001100</v>
      </c>
      <c r="J2800" s="1007" t="s">
        <v>1888</v>
      </c>
      <c r="O2800" s="1007" t="s">
        <v>648</v>
      </c>
      <c r="P2800" s="1007" t="s">
        <v>648</v>
      </c>
      <c r="S2800" s="1008" t="s">
        <v>650</v>
      </c>
      <c r="T2800" s="1008" t="s">
        <v>654</v>
      </c>
      <c r="U2800" s="1008" t="s">
        <v>653</v>
      </c>
      <c r="V2800" s="1008" t="s">
        <v>648</v>
      </c>
      <c r="W2800" s="1008" t="s">
        <v>546</v>
      </c>
      <c r="X2800" s="1008" t="s">
        <v>670</v>
      </c>
      <c r="Y2800" s="1008"/>
      <c r="Z2800" s="1008"/>
      <c r="AA2800" s="1008"/>
      <c r="AB2800" s="1008"/>
      <c r="AC2800" s="1008" t="s">
        <v>670</v>
      </c>
      <c r="AD2800" s="1008"/>
      <c r="AE2800" s="1008"/>
      <c r="AF2800" s="1008"/>
      <c r="AG2800" s="1008"/>
      <c r="AH2800" s="1008"/>
      <c r="AI2800" s="1008"/>
    </row>
    <row r="2801" spans="1:35">
      <c r="A2801" s="1008">
        <v>23746</v>
      </c>
      <c r="B2801" s="1008">
        <v>6782</v>
      </c>
      <c r="C2801" s="1008">
        <v>6</v>
      </c>
      <c r="D2801" s="1009">
        <v>59699999</v>
      </c>
      <c r="E2801" s="1009">
        <v>59611000</v>
      </c>
      <c r="F2801" s="1007" t="s">
        <v>1629</v>
      </c>
      <c r="G2801" s="1007">
        <v>7</v>
      </c>
      <c r="H2801" s="1010">
        <v>5099999</v>
      </c>
      <c r="I2801" s="1009">
        <v>5001101</v>
      </c>
      <c r="J2801" s="1007" t="s">
        <v>1887</v>
      </c>
      <c r="O2801" s="1007" t="s">
        <v>648</v>
      </c>
      <c r="P2801" s="1007" t="s">
        <v>648</v>
      </c>
      <c r="S2801" s="1008" t="s">
        <v>650</v>
      </c>
      <c r="T2801" s="1008" t="s">
        <v>654</v>
      </c>
      <c r="U2801" s="1008" t="s">
        <v>653</v>
      </c>
      <c r="V2801" s="1008" t="s">
        <v>648</v>
      </c>
      <c r="W2801" s="1008" t="s">
        <v>546</v>
      </c>
      <c r="X2801" s="1008" t="s">
        <v>670</v>
      </c>
      <c r="Y2801" s="1008"/>
      <c r="Z2801" s="1008"/>
      <c r="AA2801" s="1008"/>
      <c r="AB2801" s="1008"/>
      <c r="AC2801" s="1008" t="s">
        <v>670</v>
      </c>
      <c r="AD2801" s="1008"/>
      <c r="AE2801" s="1008"/>
      <c r="AF2801" s="1008"/>
      <c r="AG2801" s="1008"/>
      <c r="AH2801" s="1008"/>
      <c r="AI2801" s="1008"/>
    </row>
    <row r="2802" spans="1:35">
      <c r="A2802" s="1008">
        <v>23746</v>
      </c>
      <c r="B2802" s="1008">
        <v>6783</v>
      </c>
      <c r="C2802" s="1008">
        <v>6</v>
      </c>
      <c r="D2802" s="1009">
        <v>59699999</v>
      </c>
      <c r="E2802" s="1009">
        <v>59611000</v>
      </c>
      <c r="F2802" s="1007" t="s">
        <v>1629</v>
      </c>
      <c r="G2802" s="1007">
        <v>7</v>
      </c>
      <c r="H2802" s="1010">
        <v>5099999</v>
      </c>
      <c r="I2802" s="1009">
        <v>5001102</v>
      </c>
      <c r="J2802" s="1007" t="s">
        <v>1886</v>
      </c>
      <c r="O2802" s="1007" t="s">
        <v>648</v>
      </c>
      <c r="P2802" s="1007" t="s">
        <v>648</v>
      </c>
      <c r="S2802" s="1008" t="s">
        <v>650</v>
      </c>
      <c r="T2802" s="1008" t="s">
        <v>654</v>
      </c>
      <c r="U2802" s="1008" t="s">
        <v>653</v>
      </c>
      <c r="V2802" s="1008" t="s">
        <v>648</v>
      </c>
      <c r="W2802" s="1008" t="s">
        <v>546</v>
      </c>
      <c r="X2802" s="1008" t="s">
        <v>670</v>
      </c>
      <c r="Y2802" s="1008"/>
      <c r="Z2802" s="1008"/>
      <c r="AA2802" s="1008"/>
      <c r="AB2802" s="1008"/>
      <c r="AC2802" s="1008" t="s">
        <v>670</v>
      </c>
      <c r="AD2802" s="1008"/>
      <c r="AE2802" s="1008"/>
      <c r="AF2802" s="1008"/>
      <c r="AG2802" s="1008"/>
      <c r="AH2802" s="1008"/>
      <c r="AI2802" s="1008"/>
    </row>
    <row r="2803" spans="1:35">
      <c r="A2803" s="1008">
        <v>23746</v>
      </c>
      <c r="B2803" s="1008">
        <v>925</v>
      </c>
      <c r="C2803" s="1008">
        <v>6</v>
      </c>
      <c r="D2803" s="1009">
        <v>59699999</v>
      </c>
      <c r="E2803" s="1009">
        <v>59611000</v>
      </c>
      <c r="F2803" s="1007" t="s">
        <v>1629</v>
      </c>
      <c r="G2803" s="1007">
        <v>7</v>
      </c>
      <c r="H2803" s="1010">
        <v>5099999</v>
      </c>
      <c r="I2803" s="1009">
        <v>5001103</v>
      </c>
      <c r="J2803" s="1007" t="s">
        <v>1885</v>
      </c>
      <c r="O2803" s="1007" t="s">
        <v>648</v>
      </c>
      <c r="P2803" s="1007" t="s">
        <v>648</v>
      </c>
      <c r="S2803" s="1008" t="s">
        <v>650</v>
      </c>
      <c r="T2803" s="1008" t="s">
        <v>654</v>
      </c>
      <c r="U2803" s="1008" t="s">
        <v>653</v>
      </c>
      <c r="V2803" s="1008" t="s">
        <v>648</v>
      </c>
      <c r="W2803" s="1008" t="s">
        <v>546</v>
      </c>
      <c r="X2803" s="1008" t="s">
        <v>670</v>
      </c>
      <c r="Y2803" s="1008"/>
      <c r="Z2803" s="1008"/>
      <c r="AA2803" s="1008"/>
      <c r="AB2803" s="1008"/>
      <c r="AC2803" s="1008" t="s">
        <v>670</v>
      </c>
      <c r="AD2803" s="1008"/>
      <c r="AE2803" s="1008"/>
      <c r="AF2803" s="1008"/>
      <c r="AG2803" s="1008"/>
      <c r="AH2803" s="1008"/>
      <c r="AI2803" s="1008"/>
    </row>
    <row r="2804" spans="1:35">
      <c r="A2804" s="1008">
        <v>23746</v>
      </c>
      <c r="B2804" s="1008">
        <v>6784</v>
      </c>
      <c r="C2804" s="1008">
        <v>6</v>
      </c>
      <c r="D2804" s="1009">
        <v>59699999</v>
      </c>
      <c r="E2804" s="1009">
        <v>59611000</v>
      </c>
      <c r="F2804" s="1007" t="s">
        <v>1629</v>
      </c>
      <c r="G2804" s="1007">
        <v>7</v>
      </c>
      <c r="H2804" s="1010">
        <v>5099999</v>
      </c>
      <c r="I2804" s="1009">
        <v>5001104</v>
      </c>
      <c r="J2804" s="1007" t="s">
        <v>1884</v>
      </c>
      <c r="O2804" s="1007" t="s">
        <v>648</v>
      </c>
      <c r="P2804" s="1007" t="s">
        <v>648</v>
      </c>
      <c r="S2804" s="1008" t="s">
        <v>650</v>
      </c>
      <c r="T2804" s="1008" t="s">
        <v>654</v>
      </c>
      <c r="U2804" s="1008" t="s">
        <v>653</v>
      </c>
      <c r="V2804" s="1008" t="s">
        <v>648</v>
      </c>
      <c r="W2804" s="1008" t="s">
        <v>546</v>
      </c>
      <c r="X2804" s="1008" t="s">
        <v>670</v>
      </c>
      <c r="Y2804" s="1008"/>
      <c r="Z2804" s="1008"/>
      <c r="AA2804" s="1008"/>
      <c r="AB2804" s="1008"/>
      <c r="AC2804" s="1008" t="s">
        <v>670</v>
      </c>
      <c r="AD2804" s="1008"/>
      <c r="AE2804" s="1008"/>
      <c r="AF2804" s="1008"/>
      <c r="AG2804" s="1008"/>
      <c r="AH2804" s="1008"/>
      <c r="AI2804" s="1008"/>
    </row>
    <row r="2805" spans="1:35">
      <c r="A2805" s="1008">
        <v>23746</v>
      </c>
      <c r="B2805" s="1008">
        <v>6785</v>
      </c>
      <c r="C2805" s="1008">
        <v>6</v>
      </c>
      <c r="D2805" s="1009">
        <v>59699999</v>
      </c>
      <c r="E2805" s="1009">
        <v>59611000</v>
      </c>
      <c r="F2805" s="1007" t="s">
        <v>1629</v>
      </c>
      <c r="G2805" s="1007">
        <v>7</v>
      </c>
      <c r="H2805" s="1010">
        <v>5099999</v>
      </c>
      <c r="I2805" s="1009">
        <v>5001105</v>
      </c>
      <c r="J2805" s="1007" t="s">
        <v>1883</v>
      </c>
      <c r="O2805" s="1007" t="s">
        <v>648</v>
      </c>
      <c r="P2805" s="1007" t="s">
        <v>648</v>
      </c>
      <c r="S2805" s="1008" t="s">
        <v>650</v>
      </c>
      <c r="T2805" s="1008" t="s">
        <v>654</v>
      </c>
      <c r="U2805" s="1008" t="s">
        <v>653</v>
      </c>
      <c r="V2805" s="1008" t="s">
        <v>648</v>
      </c>
      <c r="W2805" s="1008" t="s">
        <v>546</v>
      </c>
      <c r="X2805" s="1008" t="s">
        <v>670</v>
      </c>
      <c r="Y2805" s="1008"/>
      <c r="Z2805" s="1008"/>
      <c r="AA2805" s="1008"/>
      <c r="AB2805" s="1008"/>
      <c r="AC2805" s="1008" t="s">
        <v>670</v>
      </c>
      <c r="AD2805" s="1008"/>
      <c r="AE2805" s="1008"/>
      <c r="AF2805" s="1008"/>
      <c r="AG2805" s="1008"/>
      <c r="AH2805" s="1008"/>
      <c r="AI2805" s="1008"/>
    </row>
    <row r="2806" spans="1:35">
      <c r="A2806" s="1008">
        <v>23746</v>
      </c>
      <c r="B2806" s="1008">
        <v>6794</v>
      </c>
      <c r="C2806" s="1008">
        <v>6</v>
      </c>
      <c r="D2806" s="1009">
        <v>59699999</v>
      </c>
      <c r="E2806" s="1009">
        <v>59611000</v>
      </c>
      <c r="F2806" s="1007" t="s">
        <v>1629</v>
      </c>
      <c r="G2806" s="1007">
        <v>7</v>
      </c>
      <c r="H2806" s="1010">
        <v>5099999</v>
      </c>
      <c r="I2806" s="1009">
        <v>5001106</v>
      </c>
      <c r="J2806" s="1007" t="s">
        <v>1882</v>
      </c>
      <c r="O2806" s="1007" t="s">
        <v>648</v>
      </c>
      <c r="P2806" s="1007" t="s">
        <v>648</v>
      </c>
      <c r="S2806" s="1008" t="s">
        <v>650</v>
      </c>
      <c r="T2806" s="1008" t="s">
        <v>654</v>
      </c>
      <c r="U2806" s="1008" t="s">
        <v>653</v>
      </c>
      <c r="V2806" s="1008" t="s">
        <v>648</v>
      </c>
      <c r="W2806" s="1008" t="s">
        <v>546</v>
      </c>
      <c r="X2806" s="1008" t="s">
        <v>670</v>
      </c>
      <c r="Y2806" s="1008"/>
      <c r="Z2806" s="1008"/>
      <c r="AA2806" s="1008"/>
      <c r="AB2806" s="1008"/>
      <c r="AC2806" s="1008" t="s">
        <v>670</v>
      </c>
      <c r="AD2806" s="1008"/>
      <c r="AE2806" s="1008"/>
      <c r="AF2806" s="1008"/>
      <c r="AG2806" s="1008"/>
      <c r="AH2806" s="1008"/>
      <c r="AI2806" s="1008"/>
    </row>
    <row r="2807" spans="1:35">
      <c r="A2807" s="1008">
        <v>23746</v>
      </c>
      <c r="B2807" s="1008">
        <v>926</v>
      </c>
      <c r="C2807" s="1008">
        <v>6</v>
      </c>
      <c r="D2807" s="1009">
        <v>59699999</v>
      </c>
      <c r="E2807" s="1009">
        <v>59611000</v>
      </c>
      <c r="F2807" s="1007" t="s">
        <v>1629</v>
      </c>
      <c r="G2807" s="1007">
        <v>7</v>
      </c>
      <c r="H2807" s="1010">
        <v>5099999</v>
      </c>
      <c r="I2807" s="1009">
        <v>5001107</v>
      </c>
      <c r="J2807" s="1007" t="s">
        <v>1881</v>
      </c>
      <c r="O2807" s="1007" t="s">
        <v>648</v>
      </c>
      <c r="P2807" s="1007" t="s">
        <v>648</v>
      </c>
      <c r="S2807" s="1008" t="s">
        <v>650</v>
      </c>
      <c r="T2807" s="1008" t="s">
        <v>654</v>
      </c>
      <c r="U2807" s="1008" t="s">
        <v>653</v>
      </c>
      <c r="V2807" s="1008" t="s">
        <v>648</v>
      </c>
      <c r="W2807" s="1008" t="s">
        <v>546</v>
      </c>
      <c r="X2807" s="1008" t="s">
        <v>670</v>
      </c>
      <c r="Y2807" s="1008"/>
      <c r="Z2807" s="1008"/>
      <c r="AA2807" s="1008"/>
      <c r="AB2807" s="1008"/>
      <c r="AC2807" s="1008" t="s">
        <v>670</v>
      </c>
      <c r="AD2807" s="1008"/>
      <c r="AE2807" s="1008"/>
      <c r="AF2807" s="1008"/>
      <c r="AG2807" s="1008"/>
      <c r="AH2807" s="1008"/>
      <c r="AI2807" s="1008"/>
    </row>
    <row r="2808" spans="1:35">
      <c r="A2808" s="1008">
        <v>23746</v>
      </c>
      <c r="B2808" s="1008">
        <v>927</v>
      </c>
      <c r="C2808" s="1008">
        <v>6</v>
      </c>
      <c r="D2808" s="1009">
        <v>59699999</v>
      </c>
      <c r="E2808" s="1009">
        <v>59611000</v>
      </c>
      <c r="F2808" s="1007" t="s">
        <v>1629</v>
      </c>
      <c r="G2808" s="1007">
        <v>7</v>
      </c>
      <c r="H2808" s="1010">
        <v>5099999</v>
      </c>
      <c r="I2808" s="1009">
        <v>5001109</v>
      </c>
      <c r="J2808" s="1007" t="s">
        <v>1880</v>
      </c>
      <c r="O2808" s="1007" t="s">
        <v>648</v>
      </c>
      <c r="P2808" s="1007" t="s">
        <v>648</v>
      </c>
      <c r="S2808" s="1008" t="s">
        <v>650</v>
      </c>
      <c r="T2808" s="1008" t="s">
        <v>654</v>
      </c>
      <c r="U2808" s="1008" t="s">
        <v>653</v>
      </c>
      <c r="V2808" s="1008" t="s">
        <v>648</v>
      </c>
      <c r="W2808" s="1008" t="s">
        <v>546</v>
      </c>
      <c r="X2808" s="1008" t="s">
        <v>670</v>
      </c>
      <c r="Y2808" s="1008"/>
      <c r="Z2808" s="1008"/>
      <c r="AA2808" s="1008"/>
      <c r="AB2808" s="1008"/>
      <c r="AC2808" s="1008" t="s">
        <v>670</v>
      </c>
      <c r="AD2808" s="1008"/>
      <c r="AE2808" s="1008"/>
      <c r="AF2808" s="1008"/>
      <c r="AG2808" s="1008"/>
      <c r="AH2808" s="1008"/>
      <c r="AI2808" s="1008"/>
    </row>
    <row r="2809" spans="1:35">
      <c r="A2809" s="1008">
        <v>23746</v>
      </c>
      <c r="B2809" s="1008">
        <v>928</v>
      </c>
      <c r="C2809" s="1008">
        <v>6</v>
      </c>
      <c r="D2809" s="1009">
        <v>59699999</v>
      </c>
      <c r="E2809" s="1009">
        <v>59611000</v>
      </c>
      <c r="F2809" s="1007" t="s">
        <v>1629</v>
      </c>
      <c r="G2809" s="1007">
        <v>7</v>
      </c>
      <c r="H2809" s="1010">
        <v>5099999</v>
      </c>
      <c r="I2809" s="1009">
        <v>5001110</v>
      </c>
      <c r="J2809" s="1007" t="s">
        <v>1879</v>
      </c>
      <c r="O2809" s="1007" t="s">
        <v>648</v>
      </c>
      <c r="P2809" s="1007" t="s">
        <v>648</v>
      </c>
      <c r="S2809" s="1008" t="s">
        <v>650</v>
      </c>
      <c r="T2809" s="1008" t="s">
        <v>654</v>
      </c>
      <c r="U2809" s="1008" t="s">
        <v>653</v>
      </c>
      <c r="V2809" s="1008" t="s">
        <v>648</v>
      </c>
      <c r="W2809" s="1008" t="s">
        <v>546</v>
      </c>
      <c r="X2809" s="1008" t="s">
        <v>670</v>
      </c>
      <c r="Y2809" s="1008"/>
      <c r="Z2809" s="1008"/>
      <c r="AA2809" s="1008"/>
      <c r="AB2809" s="1008"/>
      <c r="AC2809" s="1008" t="s">
        <v>670</v>
      </c>
      <c r="AD2809" s="1008"/>
      <c r="AE2809" s="1008"/>
      <c r="AF2809" s="1008"/>
      <c r="AG2809" s="1008"/>
      <c r="AH2809" s="1008"/>
      <c r="AI2809" s="1008"/>
    </row>
    <row r="2810" spans="1:35">
      <c r="A2810" s="1008">
        <v>23746</v>
      </c>
      <c r="B2810" s="1008">
        <v>929</v>
      </c>
      <c r="C2810" s="1008">
        <v>6</v>
      </c>
      <c r="D2810" s="1009">
        <v>59699999</v>
      </c>
      <c r="E2810" s="1009">
        <v>59611000</v>
      </c>
      <c r="F2810" s="1007" t="s">
        <v>1629</v>
      </c>
      <c r="G2810" s="1007">
        <v>7</v>
      </c>
      <c r="H2810" s="1010">
        <v>5099999</v>
      </c>
      <c r="I2810" s="1009">
        <v>5001112</v>
      </c>
      <c r="J2810" s="1007" t="s">
        <v>1878</v>
      </c>
      <c r="O2810" s="1007" t="s">
        <v>648</v>
      </c>
      <c r="P2810" s="1007" t="s">
        <v>648</v>
      </c>
      <c r="S2810" s="1008" t="s">
        <v>650</v>
      </c>
      <c r="T2810" s="1008" t="s">
        <v>654</v>
      </c>
      <c r="U2810" s="1008" t="s">
        <v>653</v>
      </c>
      <c r="V2810" s="1008" t="s">
        <v>648</v>
      </c>
      <c r="W2810" s="1008" t="s">
        <v>546</v>
      </c>
      <c r="X2810" s="1008" t="s">
        <v>670</v>
      </c>
      <c r="Y2810" s="1008"/>
      <c r="Z2810" s="1008"/>
      <c r="AA2810" s="1008"/>
      <c r="AB2810" s="1008"/>
      <c r="AC2810" s="1008" t="s">
        <v>670</v>
      </c>
      <c r="AD2810" s="1008"/>
      <c r="AE2810" s="1008"/>
      <c r="AF2810" s="1008"/>
      <c r="AG2810" s="1008"/>
      <c r="AH2810" s="1008"/>
      <c r="AI2810" s="1008"/>
    </row>
    <row r="2811" spans="1:35">
      <c r="A2811" s="1008">
        <v>23746</v>
      </c>
      <c r="B2811" s="1008">
        <v>930</v>
      </c>
      <c r="C2811" s="1008">
        <v>6</v>
      </c>
      <c r="D2811" s="1009">
        <v>59699999</v>
      </c>
      <c r="E2811" s="1009">
        <v>59611000</v>
      </c>
      <c r="F2811" s="1007" t="s">
        <v>1629</v>
      </c>
      <c r="G2811" s="1007">
        <v>7</v>
      </c>
      <c r="H2811" s="1010">
        <v>5099999</v>
      </c>
      <c r="I2811" s="1009">
        <v>5001113</v>
      </c>
      <c r="J2811" s="1007" t="s">
        <v>1877</v>
      </c>
      <c r="O2811" s="1007" t="s">
        <v>648</v>
      </c>
      <c r="P2811" s="1007" t="s">
        <v>648</v>
      </c>
      <c r="S2811" s="1008" t="s">
        <v>650</v>
      </c>
      <c r="T2811" s="1008" t="s">
        <v>654</v>
      </c>
      <c r="U2811" s="1008" t="s">
        <v>653</v>
      </c>
      <c r="V2811" s="1008" t="s">
        <v>648</v>
      </c>
      <c r="W2811" s="1008" t="s">
        <v>546</v>
      </c>
      <c r="X2811" s="1008" t="s">
        <v>670</v>
      </c>
      <c r="Y2811" s="1008"/>
      <c r="Z2811" s="1008"/>
      <c r="AA2811" s="1008"/>
      <c r="AB2811" s="1008"/>
      <c r="AC2811" s="1008" t="s">
        <v>670</v>
      </c>
      <c r="AD2811" s="1008"/>
      <c r="AE2811" s="1008"/>
      <c r="AF2811" s="1008"/>
      <c r="AG2811" s="1008"/>
      <c r="AH2811" s="1008"/>
      <c r="AI2811" s="1008"/>
    </row>
    <row r="2812" spans="1:35">
      <c r="A2812" s="1008">
        <v>23746</v>
      </c>
      <c r="B2812" s="1008">
        <v>6797</v>
      </c>
      <c r="C2812" s="1008">
        <v>6</v>
      </c>
      <c r="D2812" s="1009">
        <v>59699999</v>
      </c>
      <c r="E2812" s="1009">
        <v>59611000</v>
      </c>
      <c r="F2812" s="1007" t="s">
        <v>1629</v>
      </c>
      <c r="G2812" s="1007" t="s">
        <v>648</v>
      </c>
      <c r="H2812" s="1010">
        <v>5099999</v>
      </c>
      <c r="I2812" s="1009">
        <v>5001114</v>
      </c>
      <c r="J2812" s="1007" t="s">
        <v>1876</v>
      </c>
      <c r="O2812" s="1007" t="s">
        <v>648</v>
      </c>
      <c r="P2812" s="1007" t="s">
        <v>648</v>
      </c>
      <c r="S2812" s="1008" t="s">
        <v>650</v>
      </c>
      <c r="T2812" s="1008" t="s">
        <v>654</v>
      </c>
      <c r="U2812" s="1008" t="s">
        <v>653</v>
      </c>
      <c r="V2812" s="1008" t="s">
        <v>648</v>
      </c>
      <c r="W2812" s="1008" t="s">
        <v>546</v>
      </c>
      <c r="X2812" s="1008" t="s">
        <v>670</v>
      </c>
      <c r="Y2812" s="1008"/>
      <c r="Z2812" s="1008"/>
      <c r="AA2812" s="1008"/>
      <c r="AB2812" s="1008"/>
      <c r="AC2812" s="1008" t="s">
        <v>670</v>
      </c>
      <c r="AD2812" s="1008"/>
      <c r="AE2812" s="1008"/>
      <c r="AF2812" s="1008"/>
      <c r="AG2812" s="1008"/>
      <c r="AH2812" s="1008"/>
      <c r="AI2812" s="1008"/>
    </row>
    <row r="2813" spans="1:35">
      <c r="A2813" s="1008">
        <v>23746</v>
      </c>
      <c r="B2813" s="1008">
        <v>931</v>
      </c>
      <c r="C2813" s="1008">
        <v>6</v>
      </c>
      <c r="D2813" s="1009">
        <v>59699999</v>
      </c>
      <c r="E2813" s="1009">
        <v>59611000</v>
      </c>
      <c r="F2813" s="1007" t="s">
        <v>1629</v>
      </c>
      <c r="G2813" s="1007">
        <v>7</v>
      </c>
      <c r="H2813" s="1010">
        <v>5099999</v>
      </c>
      <c r="I2813" s="1009">
        <v>5001115</v>
      </c>
      <c r="J2813" s="1007" t="s">
        <v>1875</v>
      </c>
      <c r="O2813" s="1007" t="s">
        <v>648</v>
      </c>
      <c r="P2813" s="1007" t="s">
        <v>648</v>
      </c>
      <c r="S2813" s="1008" t="s">
        <v>650</v>
      </c>
      <c r="T2813" s="1008" t="s">
        <v>654</v>
      </c>
      <c r="U2813" s="1008" t="s">
        <v>653</v>
      </c>
      <c r="V2813" s="1008" t="s">
        <v>648</v>
      </c>
      <c r="W2813" s="1008" t="s">
        <v>546</v>
      </c>
      <c r="X2813" s="1008" t="s">
        <v>670</v>
      </c>
      <c r="Y2813" s="1008"/>
      <c r="Z2813" s="1008"/>
      <c r="AA2813" s="1008"/>
      <c r="AB2813" s="1008"/>
      <c r="AC2813" s="1008" t="s">
        <v>670</v>
      </c>
      <c r="AD2813" s="1008"/>
      <c r="AE2813" s="1008"/>
      <c r="AF2813" s="1008"/>
      <c r="AG2813" s="1008"/>
      <c r="AH2813" s="1008"/>
      <c r="AI2813" s="1008"/>
    </row>
    <row r="2814" spans="1:35">
      <c r="A2814" s="1008">
        <v>23746</v>
      </c>
      <c r="B2814" s="1008">
        <v>6798</v>
      </c>
      <c r="C2814" s="1008">
        <v>6</v>
      </c>
      <c r="D2814" s="1009">
        <v>59699999</v>
      </c>
      <c r="E2814" s="1009">
        <v>59611000</v>
      </c>
      <c r="F2814" s="1007" t="s">
        <v>1629</v>
      </c>
      <c r="G2814" s="1007">
        <v>7</v>
      </c>
      <c r="H2814" s="1010">
        <v>5099999</v>
      </c>
      <c r="I2814" s="1009">
        <v>5001116</v>
      </c>
      <c r="J2814" s="1007" t="s">
        <v>1874</v>
      </c>
      <c r="O2814" s="1007" t="s">
        <v>648</v>
      </c>
      <c r="P2814" s="1007" t="s">
        <v>648</v>
      </c>
      <c r="S2814" s="1008" t="s">
        <v>650</v>
      </c>
      <c r="T2814" s="1008" t="s">
        <v>654</v>
      </c>
      <c r="U2814" s="1008" t="s">
        <v>653</v>
      </c>
      <c r="V2814" s="1008" t="s">
        <v>648</v>
      </c>
      <c r="W2814" s="1008" t="s">
        <v>546</v>
      </c>
      <c r="X2814" s="1008" t="s">
        <v>670</v>
      </c>
      <c r="Y2814" s="1008"/>
      <c r="Z2814" s="1008"/>
      <c r="AA2814" s="1008"/>
      <c r="AB2814" s="1008"/>
      <c r="AC2814" s="1008" t="s">
        <v>670</v>
      </c>
      <c r="AD2814" s="1008"/>
      <c r="AE2814" s="1008"/>
      <c r="AF2814" s="1008"/>
      <c r="AG2814" s="1008"/>
      <c r="AH2814" s="1008"/>
      <c r="AI2814" s="1008"/>
    </row>
    <row r="2815" spans="1:35">
      <c r="A2815" s="1008">
        <v>23746</v>
      </c>
      <c r="B2815" s="1008">
        <v>932</v>
      </c>
      <c r="C2815" s="1008">
        <v>6</v>
      </c>
      <c r="D2815" s="1009">
        <v>59699999</v>
      </c>
      <c r="E2815" s="1009">
        <v>59611000</v>
      </c>
      <c r="F2815" s="1007" t="s">
        <v>1629</v>
      </c>
      <c r="G2815" s="1007">
        <v>7</v>
      </c>
      <c r="H2815" s="1010">
        <v>5099999</v>
      </c>
      <c r="I2815" s="1009">
        <v>5001117</v>
      </c>
      <c r="J2815" s="1007" t="s">
        <v>1873</v>
      </c>
      <c r="O2815" s="1007" t="s">
        <v>648</v>
      </c>
      <c r="P2815" s="1007" t="s">
        <v>648</v>
      </c>
      <c r="S2815" s="1008" t="s">
        <v>650</v>
      </c>
      <c r="T2815" s="1008" t="s">
        <v>654</v>
      </c>
      <c r="U2815" s="1008" t="s">
        <v>653</v>
      </c>
      <c r="V2815" s="1008" t="s">
        <v>648</v>
      </c>
      <c r="W2815" s="1008" t="s">
        <v>546</v>
      </c>
      <c r="X2815" s="1008" t="s">
        <v>670</v>
      </c>
      <c r="Y2815" s="1008"/>
      <c r="Z2815" s="1008"/>
      <c r="AA2815" s="1008"/>
      <c r="AB2815" s="1008"/>
      <c r="AC2815" s="1008" t="s">
        <v>670</v>
      </c>
      <c r="AD2815" s="1008"/>
      <c r="AE2815" s="1008"/>
      <c r="AF2815" s="1008"/>
      <c r="AG2815" s="1008"/>
      <c r="AH2815" s="1008"/>
      <c r="AI2815" s="1008"/>
    </row>
    <row r="2816" spans="1:35">
      <c r="A2816" s="1008">
        <v>23746</v>
      </c>
      <c r="B2816" s="1008">
        <v>933</v>
      </c>
      <c r="C2816" s="1008">
        <v>6</v>
      </c>
      <c r="D2816" s="1009">
        <v>59699999</v>
      </c>
      <c r="E2816" s="1009">
        <v>59611000</v>
      </c>
      <c r="F2816" s="1007" t="s">
        <v>1629</v>
      </c>
      <c r="G2816" s="1007">
        <v>7</v>
      </c>
      <c r="H2816" s="1010">
        <v>5099999</v>
      </c>
      <c r="I2816" s="1009">
        <v>5001118</v>
      </c>
      <c r="J2816" s="1007" t="s">
        <v>1872</v>
      </c>
      <c r="O2816" s="1007" t="s">
        <v>648</v>
      </c>
      <c r="P2816" s="1007" t="s">
        <v>648</v>
      </c>
      <c r="S2816" s="1008" t="s">
        <v>650</v>
      </c>
      <c r="T2816" s="1008" t="s">
        <v>654</v>
      </c>
      <c r="U2816" s="1008" t="s">
        <v>653</v>
      </c>
      <c r="V2816" s="1008" t="s">
        <v>648</v>
      </c>
      <c r="W2816" s="1008" t="s">
        <v>546</v>
      </c>
      <c r="X2816" s="1008" t="s">
        <v>670</v>
      </c>
      <c r="Y2816" s="1008"/>
      <c r="Z2816" s="1008"/>
      <c r="AA2816" s="1008"/>
      <c r="AB2816" s="1008"/>
      <c r="AC2816" s="1008" t="s">
        <v>670</v>
      </c>
      <c r="AD2816" s="1008"/>
      <c r="AE2816" s="1008"/>
      <c r="AF2816" s="1008"/>
      <c r="AG2816" s="1008"/>
      <c r="AH2816" s="1008"/>
      <c r="AI2816" s="1008"/>
    </row>
    <row r="2817" spans="1:35">
      <c r="A2817" s="1008">
        <v>23746</v>
      </c>
      <c r="B2817" s="1008">
        <v>934</v>
      </c>
      <c r="C2817" s="1008">
        <v>6</v>
      </c>
      <c r="D2817" s="1009">
        <v>59699999</v>
      </c>
      <c r="E2817" s="1009">
        <v>59611000</v>
      </c>
      <c r="F2817" s="1007" t="s">
        <v>1629</v>
      </c>
      <c r="G2817" s="1007">
        <v>7</v>
      </c>
      <c r="H2817" s="1010">
        <v>5099999</v>
      </c>
      <c r="I2817" s="1009">
        <v>5001119</v>
      </c>
      <c r="J2817" s="1007" t="s">
        <v>1871</v>
      </c>
      <c r="O2817" s="1007" t="s">
        <v>648</v>
      </c>
      <c r="P2817" s="1007" t="s">
        <v>648</v>
      </c>
      <c r="S2817" s="1008" t="s">
        <v>650</v>
      </c>
      <c r="T2817" s="1008" t="s">
        <v>654</v>
      </c>
      <c r="U2817" s="1008" t="s">
        <v>653</v>
      </c>
      <c r="V2817" s="1008" t="s">
        <v>648</v>
      </c>
      <c r="W2817" s="1008" t="s">
        <v>546</v>
      </c>
      <c r="X2817" s="1008" t="s">
        <v>670</v>
      </c>
      <c r="Y2817" s="1008"/>
      <c r="Z2817" s="1008"/>
      <c r="AA2817" s="1008"/>
      <c r="AB2817" s="1008"/>
      <c r="AC2817" s="1008" t="s">
        <v>670</v>
      </c>
      <c r="AD2817" s="1008"/>
      <c r="AE2817" s="1008"/>
      <c r="AF2817" s="1008"/>
      <c r="AG2817" s="1008"/>
      <c r="AH2817" s="1008"/>
      <c r="AI2817" s="1008"/>
    </row>
    <row r="2818" spans="1:35">
      <c r="A2818" s="1008">
        <v>23746</v>
      </c>
      <c r="B2818" s="1008">
        <v>6787</v>
      </c>
      <c r="C2818" s="1008">
        <v>6</v>
      </c>
      <c r="D2818" s="1009">
        <v>59699999</v>
      </c>
      <c r="E2818" s="1009">
        <v>59611000</v>
      </c>
      <c r="F2818" s="1007" t="s">
        <v>1629</v>
      </c>
      <c r="G2818" s="1007">
        <v>7</v>
      </c>
      <c r="H2818" s="1010">
        <v>5099999</v>
      </c>
      <c r="I2818" s="1009">
        <v>5001121</v>
      </c>
      <c r="J2818" s="1007" t="s">
        <v>1870</v>
      </c>
      <c r="O2818" s="1007" t="s">
        <v>648</v>
      </c>
      <c r="P2818" s="1007" t="s">
        <v>648</v>
      </c>
      <c r="S2818" s="1008" t="s">
        <v>650</v>
      </c>
      <c r="T2818" s="1008" t="s">
        <v>654</v>
      </c>
      <c r="U2818" s="1008" t="s">
        <v>653</v>
      </c>
      <c r="V2818" s="1008" t="s">
        <v>648</v>
      </c>
      <c r="W2818" s="1008" t="s">
        <v>546</v>
      </c>
      <c r="X2818" s="1008" t="s">
        <v>670</v>
      </c>
      <c r="Y2818" s="1008"/>
      <c r="Z2818" s="1008"/>
      <c r="AA2818" s="1008"/>
      <c r="AB2818" s="1008"/>
      <c r="AC2818" s="1008" t="s">
        <v>670</v>
      </c>
      <c r="AD2818" s="1008"/>
      <c r="AE2818" s="1008"/>
      <c r="AF2818" s="1008"/>
      <c r="AG2818" s="1008"/>
      <c r="AH2818" s="1008"/>
      <c r="AI2818" s="1008"/>
    </row>
    <row r="2819" spans="1:35">
      <c r="A2819" s="1008">
        <v>23746</v>
      </c>
      <c r="B2819" s="1008">
        <v>935</v>
      </c>
      <c r="C2819" s="1008">
        <v>6</v>
      </c>
      <c r="D2819" s="1009">
        <v>59699999</v>
      </c>
      <c r="E2819" s="1009">
        <v>59611000</v>
      </c>
      <c r="F2819" s="1007" t="s">
        <v>1629</v>
      </c>
      <c r="G2819" s="1007">
        <v>7</v>
      </c>
      <c r="H2819" s="1010">
        <v>5099999</v>
      </c>
      <c r="I2819" s="1009">
        <v>5001122</v>
      </c>
      <c r="J2819" s="1007" t="s">
        <v>1869</v>
      </c>
      <c r="O2819" s="1007" t="s">
        <v>648</v>
      </c>
      <c r="P2819" s="1007" t="s">
        <v>648</v>
      </c>
      <c r="S2819" s="1008" t="s">
        <v>650</v>
      </c>
      <c r="T2819" s="1008" t="s">
        <v>654</v>
      </c>
      <c r="U2819" s="1008" t="s">
        <v>653</v>
      </c>
      <c r="V2819" s="1008" t="s">
        <v>648</v>
      </c>
      <c r="W2819" s="1008" t="s">
        <v>546</v>
      </c>
      <c r="X2819" s="1008" t="s">
        <v>670</v>
      </c>
      <c r="Y2819" s="1008"/>
      <c r="Z2819" s="1008"/>
      <c r="AA2819" s="1008"/>
      <c r="AB2819" s="1008"/>
      <c r="AC2819" s="1008" t="s">
        <v>670</v>
      </c>
      <c r="AD2819" s="1008"/>
      <c r="AE2819" s="1008"/>
      <c r="AF2819" s="1008"/>
      <c r="AG2819" s="1008"/>
      <c r="AH2819" s="1008"/>
      <c r="AI2819" s="1008"/>
    </row>
    <row r="2820" spans="1:35">
      <c r="A2820" s="1008">
        <v>23746</v>
      </c>
      <c r="B2820" s="1008">
        <v>6786</v>
      </c>
      <c r="C2820" s="1008">
        <v>6</v>
      </c>
      <c r="D2820" s="1009">
        <v>59699999</v>
      </c>
      <c r="E2820" s="1009">
        <v>59611000</v>
      </c>
      <c r="F2820" s="1007" t="s">
        <v>1629</v>
      </c>
      <c r="G2820" s="1007">
        <v>7</v>
      </c>
      <c r="H2820" s="1010">
        <v>5099999</v>
      </c>
      <c r="I2820" s="1009">
        <v>5001123</v>
      </c>
      <c r="J2820" s="1007" t="s">
        <v>1868</v>
      </c>
      <c r="O2820" s="1007" t="s">
        <v>648</v>
      </c>
      <c r="P2820" s="1007" t="s">
        <v>648</v>
      </c>
      <c r="S2820" s="1008" t="s">
        <v>650</v>
      </c>
      <c r="T2820" s="1008" t="s">
        <v>654</v>
      </c>
      <c r="U2820" s="1008" t="s">
        <v>653</v>
      </c>
      <c r="V2820" s="1008" t="s">
        <v>648</v>
      </c>
      <c r="W2820" s="1008" t="s">
        <v>546</v>
      </c>
      <c r="X2820" s="1008" t="s">
        <v>670</v>
      </c>
      <c r="Y2820" s="1008"/>
      <c r="Z2820" s="1008"/>
      <c r="AA2820" s="1008"/>
      <c r="AB2820" s="1008"/>
      <c r="AC2820" s="1008" t="s">
        <v>670</v>
      </c>
      <c r="AD2820" s="1008"/>
      <c r="AE2820" s="1008"/>
      <c r="AF2820" s="1008"/>
      <c r="AG2820" s="1008"/>
      <c r="AH2820" s="1008"/>
      <c r="AI2820" s="1008"/>
    </row>
    <row r="2821" spans="1:35">
      <c r="A2821" s="1008">
        <v>23746</v>
      </c>
      <c r="B2821" s="1008">
        <v>936</v>
      </c>
      <c r="C2821" s="1008">
        <v>6</v>
      </c>
      <c r="D2821" s="1009">
        <v>59699999</v>
      </c>
      <c r="E2821" s="1009">
        <v>59611000</v>
      </c>
      <c r="F2821" s="1007" t="s">
        <v>1629</v>
      </c>
      <c r="G2821" s="1007">
        <v>7</v>
      </c>
      <c r="H2821" s="1010">
        <v>5099999</v>
      </c>
      <c r="I2821" s="1009">
        <v>5001124</v>
      </c>
      <c r="J2821" s="1007" t="s">
        <v>1867</v>
      </c>
      <c r="O2821" s="1007" t="s">
        <v>648</v>
      </c>
      <c r="P2821" s="1007" t="s">
        <v>648</v>
      </c>
      <c r="S2821" s="1008" t="s">
        <v>650</v>
      </c>
      <c r="T2821" s="1008" t="s">
        <v>654</v>
      </c>
      <c r="U2821" s="1008" t="s">
        <v>653</v>
      </c>
      <c r="V2821" s="1008" t="s">
        <v>648</v>
      </c>
      <c r="W2821" s="1008" t="s">
        <v>546</v>
      </c>
      <c r="X2821" s="1008" t="s">
        <v>670</v>
      </c>
      <c r="Y2821" s="1008"/>
      <c r="Z2821" s="1008"/>
      <c r="AA2821" s="1008"/>
      <c r="AB2821" s="1008"/>
      <c r="AC2821" s="1008" t="s">
        <v>670</v>
      </c>
      <c r="AD2821" s="1008"/>
      <c r="AE2821" s="1008"/>
      <c r="AF2821" s="1008"/>
      <c r="AG2821" s="1008"/>
      <c r="AH2821" s="1008"/>
      <c r="AI2821" s="1008"/>
    </row>
    <row r="2822" spans="1:35">
      <c r="A2822" s="1008">
        <v>23746</v>
      </c>
      <c r="B2822" s="1008">
        <v>937</v>
      </c>
      <c r="C2822" s="1008">
        <v>6</v>
      </c>
      <c r="D2822" s="1009">
        <v>59699999</v>
      </c>
      <c r="E2822" s="1009">
        <v>59611000</v>
      </c>
      <c r="F2822" s="1007" t="s">
        <v>1629</v>
      </c>
      <c r="G2822" s="1007">
        <v>7</v>
      </c>
      <c r="H2822" s="1010">
        <v>5099999</v>
      </c>
      <c r="I2822" s="1009">
        <v>5001125</v>
      </c>
      <c r="J2822" s="1007" t="s">
        <v>1866</v>
      </c>
      <c r="O2822" s="1007" t="s">
        <v>648</v>
      </c>
      <c r="P2822" s="1007" t="s">
        <v>648</v>
      </c>
      <c r="S2822" s="1008" t="s">
        <v>650</v>
      </c>
      <c r="T2822" s="1008" t="s">
        <v>654</v>
      </c>
      <c r="U2822" s="1008" t="s">
        <v>653</v>
      </c>
      <c r="V2822" s="1008" t="s">
        <v>648</v>
      </c>
      <c r="W2822" s="1008" t="s">
        <v>546</v>
      </c>
      <c r="X2822" s="1008" t="s">
        <v>670</v>
      </c>
      <c r="Y2822" s="1008"/>
      <c r="Z2822" s="1008"/>
      <c r="AA2822" s="1008"/>
      <c r="AB2822" s="1008"/>
      <c r="AC2822" s="1008" t="s">
        <v>670</v>
      </c>
      <c r="AD2822" s="1008"/>
      <c r="AE2822" s="1008"/>
      <c r="AF2822" s="1008"/>
      <c r="AG2822" s="1008"/>
      <c r="AH2822" s="1008"/>
      <c r="AI2822" s="1008"/>
    </row>
    <row r="2823" spans="1:35">
      <c r="A2823" s="1008">
        <v>23746</v>
      </c>
      <c r="B2823" s="1008">
        <v>938</v>
      </c>
      <c r="C2823" s="1008">
        <v>6</v>
      </c>
      <c r="D2823" s="1009">
        <v>59699999</v>
      </c>
      <c r="E2823" s="1009">
        <v>59611000</v>
      </c>
      <c r="F2823" s="1007" t="s">
        <v>1629</v>
      </c>
      <c r="G2823" s="1007">
        <v>7</v>
      </c>
      <c r="H2823" s="1010">
        <v>5099999</v>
      </c>
      <c r="I2823" s="1009">
        <v>5001129</v>
      </c>
      <c r="J2823" s="1007" t="s">
        <v>1865</v>
      </c>
      <c r="O2823" s="1007" t="s">
        <v>648</v>
      </c>
      <c r="P2823" s="1007" t="s">
        <v>648</v>
      </c>
      <c r="S2823" s="1008" t="s">
        <v>650</v>
      </c>
      <c r="T2823" s="1008" t="s">
        <v>654</v>
      </c>
      <c r="U2823" s="1008" t="s">
        <v>653</v>
      </c>
      <c r="V2823" s="1008" t="s">
        <v>648</v>
      </c>
      <c r="W2823" s="1008" t="s">
        <v>546</v>
      </c>
      <c r="X2823" s="1008" t="s">
        <v>670</v>
      </c>
      <c r="Y2823" s="1008"/>
      <c r="Z2823" s="1008"/>
      <c r="AA2823" s="1008"/>
      <c r="AB2823" s="1008"/>
      <c r="AC2823" s="1008" t="s">
        <v>670</v>
      </c>
      <c r="AD2823" s="1008"/>
      <c r="AE2823" s="1008"/>
      <c r="AF2823" s="1008"/>
      <c r="AG2823" s="1008"/>
      <c r="AH2823" s="1008"/>
      <c r="AI2823" s="1008"/>
    </row>
    <row r="2824" spans="1:35">
      <c r="A2824" s="1008">
        <v>23746</v>
      </c>
      <c r="B2824" s="1008">
        <v>939</v>
      </c>
      <c r="C2824" s="1008">
        <v>6</v>
      </c>
      <c r="D2824" s="1009">
        <v>59699999</v>
      </c>
      <c r="E2824" s="1009">
        <v>59611000</v>
      </c>
      <c r="F2824" s="1007" t="s">
        <v>1629</v>
      </c>
      <c r="G2824" s="1007">
        <v>7</v>
      </c>
      <c r="H2824" s="1010">
        <v>5099999</v>
      </c>
      <c r="I2824" s="1009">
        <v>5001130</v>
      </c>
      <c r="J2824" s="1007" t="s">
        <v>1639</v>
      </c>
      <c r="O2824" s="1007" t="s">
        <v>648</v>
      </c>
      <c r="P2824" s="1007" t="s">
        <v>648</v>
      </c>
      <c r="S2824" s="1008" t="s">
        <v>650</v>
      </c>
      <c r="T2824" s="1008" t="s">
        <v>654</v>
      </c>
      <c r="U2824" s="1008" t="s">
        <v>653</v>
      </c>
      <c r="V2824" s="1008" t="s">
        <v>648</v>
      </c>
      <c r="W2824" s="1008" t="s">
        <v>546</v>
      </c>
      <c r="X2824" s="1008" t="s">
        <v>670</v>
      </c>
      <c r="Y2824" s="1008"/>
      <c r="Z2824" s="1008"/>
      <c r="AA2824" s="1008"/>
      <c r="AB2824" s="1008"/>
      <c r="AC2824" s="1008" t="s">
        <v>670</v>
      </c>
      <c r="AD2824" s="1008"/>
      <c r="AE2824" s="1008"/>
      <c r="AF2824" s="1008"/>
      <c r="AG2824" s="1008"/>
      <c r="AH2824" s="1008"/>
      <c r="AI2824" s="1008"/>
    </row>
    <row r="2825" spans="1:35">
      <c r="A2825" s="1008">
        <v>23746</v>
      </c>
      <c r="B2825" s="1008">
        <v>940</v>
      </c>
      <c r="C2825" s="1008">
        <v>6</v>
      </c>
      <c r="D2825" s="1009">
        <v>59699999</v>
      </c>
      <c r="E2825" s="1009">
        <v>59611000</v>
      </c>
      <c r="F2825" s="1007" t="s">
        <v>1629</v>
      </c>
      <c r="G2825" s="1007">
        <v>7</v>
      </c>
      <c r="H2825" s="1010">
        <v>5099999</v>
      </c>
      <c r="I2825" s="1009">
        <v>5001131</v>
      </c>
      <c r="J2825" s="1007" t="s">
        <v>1864</v>
      </c>
      <c r="O2825" s="1007" t="s">
        <v>648</v>
      </c>
      <c r="P2825" s="1007" t="s">
        <v>648</v>
      </c>
      <c r="S2825" s="1008" t="s">
        <v>650</v>
      </c>
      <c r="T2825" s="1008" t="s">
        <v>654</v>
      </c>
      <c r="U2825" s="1008" t="s">
        <v>653</v>
      </c>
      <c r="V2825" s="1008" t="s">
        <v>648</v>
      </c>
      <c r="W2825" s="1008" t="s">
        <v>546</v>
      </c>
      <c r="X2825" s="1008" t="s">
        <v>670</v>
      </c>
      <c r="Y2825" s="1008"/>
      <c r="Z2825" s="1008"/>
      <c r="AA2825" s="1008"/>
      <c r="AB2825" s="1008"/>
      <c r="AC2825" s="1008" t="s">
        <v>670</v>
      </c>
      <c r="AD2825" s="1008"/>
      <c r="AE2825" s="1008"/>
      <c r="AF2825" s="1008"/>
      <c r="AG2825" s="1008"/>
      <c r="AH2825" s="1008"/>
      <c r="AI2825" s="1008"/>
    </row>
    <row r="2826" spans="1:35">
      <c r="A2826" s="1008">
        <v>23746</v>
      </c>
      <c r="B2826" s="1008">
        <v>941</v>
      </c>
      <c r="C2826" s="1008">
        <v>6</v>
      </c>
      <c r="D2826" s="1009">
        <v>59699999</v>
      </c>
      <c r="E2826" s="1009">
        <v>59611000</v>
      </c>
      <c r="F2826" s="1007" t="s">
        <v>1629</v>
      </c>
      <c r="G2826" s="1007">
        <v>7</v>
      </c>
      <c r="H2826" s="1010">
        <v>5099999</v>
      </c>
      <c r="I2826" s="1009">
        <v>5001132</v>
      </c>
      <c r="J2826" s="1007" t="s">
        <v>1863</v>
      </c>
      <c r="O2826" s="1007" t="s">
        <v>648</v>
      </c>
      <c r="P2826" s="1007" t="s">
        <v>648</v>
      </c>
      <c r="S2826" s="1008" t="s">
        <v>650</v>
      </c>
      <c r="T2826" s="1008" t="s">
        <v>654</v>
      </c>
      <c r="U2826" s="1008" t="s">
        <v>653</v>
      </c>
      <c r="V2826" s="1008" t="s">
        <v>648</v>
      </c>
      <c r="W2826" s="1008" t="s">
        <v>546</v>
      </c>
      <c r="X2826" s="1008" t="s">
        <v>670</v>
      </c>
      <c r="Y2826" s="1008"/>
      <c r="Z2826" s="1008"/>
      <c r="AA2826" s="1008"/>
      <c r="AB2826" s="1008"/>
      <c r="AC2826" s="1008" t="s">
        <v>670</v>
      </c>
      <c r="AD2826" s="1008"/>
      <c r="AE2826" s="1008"/>
      <c r="AF2826" s="1008"/>
      <c r="AG2826" s="1008"/>
      <c r="AH2826" s="1008"/>
      <c r="AI2826" s="1008"/>
    </row>
    <row r="2827" spans="1:35">
      <c r="A2827" s="1008">
        <v>23746</v>
      </c>
      <c r="B2827" s="1008">
        <v>942</v>
      </c>
      <c r="C2827" s="1008">
        <v>6</v>
      </c>
      <c r="D2827" s="1009">
        <v>59699999</v>
      </c>
      <c r="E2827" s="1009">
        <v>59611000</v>
      </c>
      <c r="F2827" s="1007" t="s">
        <v>1629</v>
      </c>
      <c r="G2827" s="1007">
        <v>7</v>
      </c>
      <c r="H2827" s="1010">
        <v>5099999</v>
      </c>
      <c r="I2827" s="1009">
        <v>5001133</v>
      </c>
      <c r="J2827" s="1007" t="s">
        <v>1862</v>
      </c>
      <c r="O2827" s="1007" t="s">
        <v>648</v>
      </c>
      <c r="P2827" s="1007" t="s">
        <v>648</v>
      </c>
      <c r="S2827" s="1008" t="s">
        <v>650</v>
      </c>
      <c r="T2827" s="1008" t="s">
        <v>654</v>
      </c>
      <c r="U2827" s="1008" t="s">
        <v>653</v>
      </c>
      <c r="V2827" s="1008" t="s">
        <v>648</v>
      </c>
      <c r="W2827" s="1008" t="s">
        <v>546</v>
      </c>
      <c r="X2827" s="1008" t="s">
        <v>670</v>
      </c>
      <c r="Y2827" s="1008"/>
      <c r="Z2827" s="1008"/>
      <c r="AA2827" s="1008"/>
      <c r="AB2827" s="1008"/>
      <c r="AC2827" s="1008" t="s">
        <v>670</v>
      </c>
      <c r="AD2827" s="1008"/>
      <c r="AE2827" s="1008"/>
      <c r="AF2827" s="1008"/>
      <c r="AG2827" s="1008"/>
      <c r="AH2827" s="1008"/>
      <c r="AI2827" s="1008"/>
    </row>
    <row r="2828" spans="1:35">
      <c r="A2828" s="1008">
        <v>23746</v>
      </c>
      <c r="B2828" s="1008">
        <v>943</v>
      </c>
      <c r="C2828" s="1008">
        <v>6</v>
      </c>
      <c r="D2828" s="1009">
        <v>59699999</v>
      </c>
      <c r="E2828" s="1009">
        <v>59611000</v>
      </c>
      <c r="F2828" s="1007" t="s">
        <v>1629</v>
      </c>
      <c r="G2828" s="1007">
        <v>7</v>
      </c>
      <c r="H2828" s="1010">
        <v>5099999</v>
      </c>
      <c r="I2828" s="1009">
        <v>5001134</v>
      </c>
      <c r="J2828" s="1007" t="s">
        <v>1861</v>
      </c>
      <c r="O2828" s="1007" t="s">
        <v>648</v>
      </c>
      <c r="P2828" s="1007" t="s">
        <v>648</v>
      </c>
      <c r="S2828" s="1008" t="s">
        <v>650</v>
      </c>
      <c r="T2828" s="1008" t="s">
        <v>654</v>
      </c>
      <c r="U2828" s="1008" t="s">
        <v>653</v>
      </c>
      <c r="V2828" s="1008" t="s">
        <v>648</v>
      </c>
      <c r="W2828" s="1008" t="s">
        <v>546</v>
      </c>
      <c r="X2828" s="1008" t="s">
        <v>670</v>
      </c>
      <c r="Y2828" s="1008"/>
      <c r="Z2828" s="1008"/>
      <c r="AA2828" s="1008"/>
      <c r="AB2828" s="1008"/>
      <c r="AC2828" s="1008" t="s">
        <v>670</v>
      </c>
      <c r="AD2828" s="1008"/>
      <c r="AE2828" s="1008"/>
      <c r="AF2828" s="1008"/>
      <c r="AG2828" s="1008"/>
      <c r="AH2828" s="1008"/>
      <c r="AI2828" s="1008"/>
    </row>
    <row r="2829" spans="1:35">
      <c r="A2829" s="1008">
        <v>23746</v>
      </c>
      <c r="B2829" s="1008">
        <v>6795</v>
      </c>
      <c r="C2829" s="1008">
        <v>6</v>
      </c>
      <c r="D2829" s="1009">
        <v>59699999</v>
      </c>
      <c r="E2829" s="1009">
        <v>59611000</v>
      </c>
      <c r="F2829" s="1007" t="s">
        <v>1629</v>
      </c>
      <c r="G2829" s="1007">
        <v>7</v>
      </c>
      <c r="H2829" s="1010">
        <v>5099999</v>
      </c>
      <c r="I2829" s="1009">
        <v>5001135</v>
      </c>
      <c r="J2829" s="1007" t="s">
        <v>1860</v>
      </c>
      <c r="O2829" s="1007" t="s">
        <v>648</v>
      </c>
      <c r="P2829" s="1007" t="s">
        <v>648</v>
      </c>
      <c r="S2829" s="1008" t="s">
        <v>650</v>
      </c>
      <c r="T2829" s="1008" t="s">
        <v>654</v>
      </c>
      <c r="U2829" s="1008" t="s">
        <v>653</v>
      </c>
      <c r="V2829" s="1008" t="s">
        <v>648</v>
      </c>
      <c r="W2829" s="1008" t="s">
        <v>546</v>
      </c>
      <c r="X2829" s="1008" t="s">
        <v>670</v>
      </c>
      <c r="Y2829" s="1008"/>
      <c r="Z2829" s="1008"/>
      <c r="AA2829" s="1008"/>
      <c r="AB2829" s="1008"/>
      <c r="AC2829" s="1008" t="s">
        <v>670</v>
      </c>
      <c r="AD2829" s="1008"/>
      <c r="AE2829" s="1008"/>
      <c r="AF2829" s="1008"/>
      <c r="AG2829" s="1008"/>
      <c r="AH2829" s="1008"/>
      <c r="AI2829" s="1008"/>
    </row>
    <row r="2830" spans="1:35">
      <c r="A2830" s="1008">
        <v>23746</v>
      </c>
      <c r="B2830" s="1008">
        <v>944</v>
      </c>
      <c r="C2830" s="1008">
        <v>6</v>
      </c>
      <c r="D2830" s="1009">
        <v>59699999</v>
      </c>
      <c r="E2830" s="1009">
        <v>59611000</v>
      </c>
      <c r="F2830" s="1007" t="s">
        <v>1629</v>
      </c>
      <c r="G2830" s="1007">
        <v>7</v>
      </c>
      <c r="H2830" s="1010">
        <v>5099999</v>
      </c>
      <c r="I2830" s="1009">
        <v>5001137</v>
      </c>
      <c r="J2830" s="1007" t="s">
        <v>1859</v>
      </c>
      <c r="O2830" s="1007" t="s">
        <v>648</v>
      </c>
      <c r="P2830" s="1007" t="s">
        <v>648</v>
      </c>
      <c r="S2830" s="1008" t="s">
        <v>650</v>
      </c>
      <c r="T2830" s="1008" t="s">
        <v>654</v>
      </c>
      <c r="U2830" s="1008" t="s">
        <v>653</v>
      </c>
      <c r="V2830" s="1008" t="s">
        <v>648</v>
      </c>
      <c r="W2830" s="1008" t="s">
        <v>546</v>
      </c>
      <c r="X2830" s="1008" t="s">
        <v>670</v>
      </c>
      <c r="Y2830" s="1008"/>
      <c r="Z2830" s="1008"/>
      <c r="AA2830" s="1008"/>
      <c r="AB2830" s="1008"/>
      <c r="AC2830" s="1008" t="s">
        <v>670</v>
      </c>
      <c r="AD2830" s="1008"/>
      <c r="AE2830" s="1008"/>
      <c r="AF2830" s="1008"/>
      <c r="AG2830" s="1008"/>
      <c r="AH2830" s="1008"/>
      <c r="AI2830" s="1008"/>
    </row>
    <row r="2831" spans="1:35">
      <c r="A2831" s="1008">
        <v>23746</v>
      </c>
      <c r="B2831" s="1008">
        <v>6792</v>
      </c>
      <c r="C2831" s="1008">
        <v>6</v>
      </c>
      <c r="D2831" s="1009">
        <v>59699999</v>
      </c>
      <c r="E2831" s="1009">
        <v>59611000</v>
      </c>
      <c r="F2831" s="1007" t="s">
        <v>1629</v>
      </c>
      <c r="G2831" s="1007">
        <v>7</v>
      </c>
      <c r="H2831" s="1010">
        <v>5099999</v>
      </c>
      <c r="I2831" s="1009">
        <v>5001138</v>
      </c>
      <c r="J2831" s="1007" t="s">
        <v>1858</v>
      </c>
      <c r="O2831" s="1007" t="s">
        <v>648</v>
      </c>
      <c r="P2831" s="1007" t="s">
        <v>648</v>
      </c>
      <c r="S2831" s="1008" t="s">
        <v>650</v>
      </c>
      <c r="T2831" s="1008" t="s">
        <v>654</v>
      </c>
      <c r="U2831" s="1008" t="s">
        <v>653</v>
      </c>
      <c r="V2831" s="1008" t="s">
        <v>648</v>
      </c>
      <c r="W2831" s="1008" t="s">
        <v>546</v>
      </c>
      <c r="X2831" s="1008" t="s">
        <v>670</v>
      </c>
      <c r="Y2831" s="1008"/>
      <c r="Z2831" s="1008"/>
      <c r="AA2831" s="1008"/>
      <c r="AB2831" s="1008"/>
      <c r="AC2831" s="1008" t="s">
        <v>670</v>
      </c>
      <c r="AD2831" s="1008"/>
      <c r="AE2831" s="1008"/>
      <c r="AF2831" s="1008"/>
      <c r="AG2831" s="1008"/>
      <c r="AH2831" s="1008"/>
      <c r="AI2831" s="1008"/>
    </row>
    <row r="2832" spans="1:35">
      <c r="A2832" s="1008">
        <v>23746</v>
      </c>
      <c r="B2832" s="1008">
        <v>6793</v>
      </c>
      <c r="C2832" s="1008">
        <v>6</v>
      </c>
      <c r="D2832" s="1009">
        <v>59699999</v>
      </c>
      <c r="E2832" s="1009">
        <v>59611000</v>
      </c>
      <c r="F2832" s="1007" t="s">
        <v>1629</v>
      </c>
      <c r="G2832" s="1007">
        <v>7</v>
      </c>
      <c r="H2832" s="1010">
        <v>5099999</v>
      </c>
      <c r="I2832" s="1009">
        <v>5001139</v>
      </c>
      <c r="J2832" s="1007" t="s">
        <v>1857</v>
      </c>
      <c r="O2832" s="1007" t="s">
        <v>648</v>
      </c>
      <c r="P2832" s="1007" t="s">
        <v>648</v>
      </c>
      <c r="S2832" s="1008" t="s">
        <v>650</v>
      </c>
      <c r="T2832" s="1008" t="s">
        <v>654</v>
      </c>
      <c r="U2832" s="1008" t="s">
        <v>653</v>
      </c>
      <c r="V2832" s="1008" t="s">
        <v>648</v>
      </c>
      <c r="W2832" s="1008" t="s">
        <v>546</v>
      </c>
      <c r="X2832" s="1008" t="s">
        <v>670</v>
      </c>
      <c r="Y2832" s="1008"/>
      <c r="Z2832" s="1008"/>
      <c r="AA2832" s="1008"/>
      <c r="AB2832" s="1008"/>
      <c r="AC2832" s="1008" t="s">
        <v>670</v>
      </c>
      <c r="AD2832" s="1008"/>
      <c r="AE2832" s="1008"/>
      <c r="AF2832" s="1008"/>
      <c r="AG2832" s="1008"/>
      <c r="AH2832" s="1008"/>
      <c r="AI2832" s="1008"/>
    </row>
    <row r="2833" spans="1:35">
      <c r="A2833" s="1008">
        <v>23746</v>
      </c>
      <c r="B2833" s="1008">
        <v>945</v>
      </c>
      <c r="C2833" s="1008">
        <v>6</v>
      </c>
      <c r="D2833" s="1009">
        <v>59699999</v>
      </c>
      <c r="E2833" s="1009">
        <v>59611000</v>
      </c>
      <c r="F2833" s="1007" t="s">
        <v>1629</v>
      </c>
      <c r="G2833" s="1007">
        <v>7</v>
      </c>
      <c r="H2833" s="1010">
        <v>5099999</v>
      </c>
      <c r="I2833" s="1009">
        <v>5001141</v>
      </c>
      <c r="J2833" s="1007" t="s">
        <v>1856</v>
      </c>
      <c r="O2833" s="1007" t="s">
        <v>648</v>
      </c>
      <c r="P2833" s="1007" t="s">
        <v>648</v>
      </c>
      <c r="S2833" s="1008" t="s">
        <v>650</v>
      </c>
      <c r="T2833" s="1008" t="s">
        <v>654</v>
      </c>
      <c r="U2833" s="1008" t="s">
        <v>653</v>
      </c>
      <c r="V2833" s="1008" t="s">
        <v>648</v>
      </c>
      <c r="W2833" s="1008" t="s">
        <v>546</v>
      </c>
      <c r="X2833" s="1008" t="s">
        <v>670</v>
      </c>
      <c r="Y2833" s="1008"/>
      <c r="Z2833" s="1008"/>
      <c r="AA2833" s="1008"/>
      <c r="AB2833" s="1008"/>
      <c r="AC2833" s="1008" t="s">
        <v>670</v>
      </c>
      <c r="AD2833" s="1008"/>
      <c r="AE2833" s="1008"/>
      <c r="AF2833" s="1008"/>
      <c r="AG2833" s="1008"/>
      <c r="AH2833" s="1008"/>
      <c r="AI2833" s="1008"/>
    </row>
    <row r="2834" spans="1:35">
      <c r="A2834" s="1008">
        <v>23746</v>
      </c>
      <c r="B2834" s="1008">
        <v>946</v>
      </c>
      <c r="C2834" s="1008">
        <v>6</v>
      </c>
      <c r="D2834" s="1009">
        <v>59699999</v>
      </c>
      <c r="E2834" s="1009">
        <v>59611000</v>
      </c>
      <c r="F2834" s="1007" t="s">
        <v>1629</v>
      </c>
      <c r="G2834" s="1007">
        <v>7</v>
      </c>
      <c r="H2834" s="1010">
        <v>5099999</v>
      </c>
      <c r="I2834" s="1009">
        <v>5001143</v>
      </c>
      <c r="J2834" s="1007" t="s">
        <v>1855</v>
      </c>
      <c r="O2834" s="1007" t="s">
        <v>648</v>
      </c>
      <c r="P2834" s="1007" t="s">
        <v>648</v>
      </c>
      <c r="S2834" s="1008" t="s">
        <v>650</v>
      </c>
      <c r="T2834" s="1008" t="s">
        <v>654</v>
      </c>
      <c r="U2834" s="1008" t="s">
        <v>653</v>
      </c>
      <c r="V2834" s="1008" t="s">
        <v>648</v>
      </c>
      <c r="W2834" s="1008" t="s">
        <v>546</v>
      </c>
      <c r="X2834" s="1008" t="s">
        <v>670</v>
      </c>
      <c r="Y2834" s="1008"/>
      <c r="Z2834" s="1008"/>
      <c r="AA2834" s="1008"/>
      <c r="AB2834" s="1008"/>
      <c r="AC2834" s="1008" t="s">
        <v>670</v>
      </c>
      <c r="AD2834" s="1008"/>
      <c r="AE2834" s="1008"/>
      <c r="AF2834" s="1008"/>
      <c r="AG2834" s="1008"/>
      <c r="AH2834" s="1008"/>
      <c r="AI2834" s="1008"/>
    </row>
    <row r="2835" spans="1:35">
      <c r="A2835" s="1008">
        <v>23746</v>
      </c>
      <c r="B2835" s="1008">
        <v>947</v>
      </c>
      <c r="C2835" s="1008">
        <v>6</v>
      </c>
      <c r="D2835" s="1009">
        <v>59699999</v>
      </c>
      <c r="E2835" s="1009">
        <v>59611000</v>
      </c>
      <c r="F2835" s="1007" t="s">
        <v>1629</v>
      </c>
      <c r="G2835" s="1007">
        <v>7</v>
      </c>
      <c r="H2835" s="1010">
        <v>5099999</v>
      </c>
      <c r="I2835" s="1009">
        <v>5001144</v>
      </c>
      <c r="J2835" s="1007" t="s">
        <v>1854</v>
      </c>
      <c r="O2835" s="1007" t="s">
        <v>648</v>
      </c>
      <c r="P2835" s="1007" t="s">
        <v>648</v>
      </c>
      <c r="S2835" s="1008" t="s">
        <v>650</v>
      </c>
      <c r="T2835" s="1008" t="s">
        <v>654</v>
      </c>
      <c r="U2835" s="1008" t="s">
        <v>653</v>
      </c>
      <c r="V2835" s="1008" t="s">
        <v>648</v>
      </c>
      <c r="W2835" s="1008" t="s">
        <v>546</v>
      </c>
      <c r="X2835" s="1008" t="s">
        <v>670</v>
      </c>
      <c r="Y2835" s="1008"/>
      <c r="Z2835" s="1008"/>
      <c r="AA2835" s="1008"/>
      <c r="AB2835" s="1008"/>
      <c r="AC2835" s="1008" t="s">
        <v>670</v>
      </c>
      <c r="AD2835" s="1008"/>
      <c r="AE2835" s="1008"/>
      <c r="AF2835" s="1008"/>
      <c r="AG2835" s="1008"/>
      <c r="AH2835" s="1008"/>
      <c r="AI2835" s="1008"/>
    </row>
    <row r="2836" spans="1:35">
      <c r="A2836" s="1008">
        <v>23746</v>
      </c>
      <c r="B2836" s="1008">
        <v>948</v>
      </c>
      <c r="C2836" s="1008">
        <v>6</v>
      </c>
      <c r="D2836" s="1009">
        <v>59699999</v>
      </c>
      <c r="E2836" s="1009">
        <v>59611000</v>
      </c>
      <c r="F2836" s="1007" t="s">
        <v>1629</v>
      </c>
      <c r="G2836" s="1007">
        <v>7</v>
      </c>
      <c r="H2836" s="1010">
        <v>5099999</v>
      </c>
      <c r="I2836" s="1009">
        <v>5001145</v>
      </c>
      <c r="J2836" s="1007" t="s">
        <v>1853</v>
      </c>
      <c r="O2836" s="1007" t="s">
        <v>648</v>
      </c>
      <c r="P2836" s="1007" t="s">
        <v>648</v>
      </c>
      <c r="S2836" s="1008" t="s">
        <v>650</v>
      </c>
      <c r="T2836" s="1008" t="s">
        <v>654</v>
      </c>
      <c r="U2836" s="1008" t="s">
        <v>653</v>
      </c>
      <c r="V2836" s="1008" t="s">
        <v>648</v>
      </c>
      <c r="W2836" s="1008" t="s">
        <v>546</v>
      </c>
      <c r="X2836" s="1008" t="s">
        <v>670</v>
      </c>
      <c r="Y2836" s="1008"/>
      <c r="Z2836" s="1008"/>
      <c r="AA2836" s="1008"/>
      <c r="AB2836" s="1008"/>
      <c r="AC2836" s="1008" t="s">
        <v>670</v>
      </c>
      <c r="AD2836" s="1008"/>
      <c r="AE2836" s="1008"/>
      <c r="AF2836" s="1008"/>
      <c r="AG2836" s="1008"/>
      <c r="AH2836" s="1008"/>
      <c r="AI2836" s="1008"/>
    </row>
    <row r="2837" spans="1:35">
      <c r="A2837" s="1008">
        <v>23746</v>
      </c>
      <c r="B2837" s="1008">
        <v>949</v>
      </c>
      <c r="C2837" s="1008">
        <v>6</v>
      </c>
      <c r="D2837" s="1009">
        <v>59699999</v>
      </c>
      <c r="E2837" s="1009">
        <v>59611000</v>
      </c>
      <c r="F2837" s="1007" t="s">
        <v>1629</v>
      </c>
      <c r="G2837" s="1007">
        <v>7</v>
      </c>
      <c r="H2837" s="1010">
        <v>5099999</v>
      </c>
      <c r="I2837" s="1009">
        <v>5001147</v>
      </c>
      <c r="J2837" s="1007" t="s">
        <v>1852</v>
      </c>
      <c r="O2837" s="1007" t="s">
        <v>648</v>
      </c>
      <c r="P2837" s="1007" t="s">
        <v>648</v>
      </c>
      <c r="S2837" s="1008" t="s">
        <v>650</v>
      </c>
      <c r="T2837" s="1008" t="s">
        <v>654</v>
      </c>
      <c r="U2837" s="1008" t="s">
        <v>653</v>
      </c>
      <c r="V2837" s="1008" t="s">
        <v>648</v>
      </c>
      <c r="W2837" s="1008" t="s">
        <v>546</v>
      </c>
      <c r="X2837" s="1008" t="s">
        <v>670</v>
      </c>
      <c r="Y2837" s="1008"/>
      <c r="Z2837" s="1008"/>
      <c r="AA2837" s="1008"/>
      <c r="AB2837" s="1008"/>
      <c r="AC2837" s="1008" t="s">
        <v>670</v>
      </c>
      <c r="AD2837" s="1008"/>
      <c r="AE2837" s="1008"/>
      <c r="AF2837" s="1008"/>
      <c r="AG2837" s="1008"/>
      <c r="AH2837" s="1008"/>
      <c r="AI2837" s="1008"/>
    </row>
    <row r="2838" spans="1:35">
      <c r="A2838" s="1008">
        <v>23746</v>
      </c>
      <c r="B2838" s="1008">
        <v>950</v>
      </c>
      <c r="C2838" s="1008">
        <v>6</v>
      </c>
      <c r="D2838" s="1009">
        <v>59699999</v>
      </c>
      <c r="E2838" s="1009">
        <v>59611000</v>
      </c>
      <c r="F2838" s="1007" t="s">
        <v>1629</v>
      </c>
      <c r="G2838" s="1007">
        <v>7</v>
      </c>
      <c r="H2838" s="1010">
        <v>5099999</v>
      </c>
      <c r="I2838" s="1009">
        <v>5001148</v>
      </c>
      <c r="J2838" s="1007" t="s">
        <v>1851</v>
      </c>
      <c r="O2838" s="1007" t="s">
        <v>648</v>
      </c>
      <c r="P2838" s="1007" t="s">
        <v>648</v>
      </c>
      <c r="S2838" s="1008" t="s">
        <v>650</v>
      </c>
      <c r="T2838" s="1008" t="s">
        <v>654</v>
      </c>
      <c r="U2838" s="1008" t="s">
        <v>653</v>
      </c>
      <c r="V2838" s="1008" t="s">
        <v>648</v>
      </c>
      <c r="W2838" s="1008" t="s">
        <v>546</v>
      </c>
      <c r="X2838" s="1008" t="s">
        <v>670</v>
      </c>
      <c r="Y2838" s="1008"/>
      <c r="Z2838" s="1008"/>
      <c r="AA2838" s="1008"/>
      <c r="AB2838" s="1008"/>
      <c r="AC2838" s="1008" t="s">
        <v>670</v>
      </c>
      <c r="AD2838" s="1008"/>
      <c r="AE2838" s="1008"/>
      <c r="AF2838" s="1008"/>
      <c r="AG2838" s="1008"/>
      <c r="AH2838" s="1008"/>
      <c r="AI2838" s="1008"/>
    </row>
    <row r="2839" spans="1:35">
      <c r="A2839" s="1008">
        <v>23746</v>
      </c>
      <c r="B2839" s="1008">
        <v>6563</v>
      </c>
      <c r="C2839" s="1008">
        <v>6</v>
      </c>
      <c r="D2839" s="1009">
        <v>59699999</v>
      </c>
      <c r="E2839" s="1009">
        <v>59611000</v>
      </c>
      <c r="F2839" s="1007" t="s">
        <v>1629</v>
      </c>
      <c r="G2839" s="1007" t="s">
        <v>648</v>
      </c>
      <c r="H2839" s="1010">
        <v>5099999</v>
      </c>
      <c r="I2839" s="1009">
        <v>5001150</v>
      </c>
      <c r="J2839" s="1007" t="s">
        <v>1850</v>
      </c>
      <c r="O2839" s="1007" t="s">
        <v>648</v>
      </c>
      <c r="P2839" s="1007" t="s">
        <v>648</v>
      </c>
      <c r="S2839" s="1008" t="s">
        <v>650</v>
      </c>
      <c r="T2839" s="1008" t="s">
        <v>654</v>
      </c>
      <c r="U2839" s="1008" t="s">
        <v>653</v>
      </c>
      <c r="V2839" s="1008" t="s">
        <v>648</v>
      </c>
      <c r="W2839" s="1008" t="s">
        <v>546</v>
      </c>
      <c r="X2839" s="1008" t="s">
        <v>670</v>
      </c>
      <c r="Y2839" s="1008"/>
      <c r="Z2839" s="1008"/>
      <c r="AA2839" s="1008"/>
      <c r="AB2839" s="1008"/>
      <c r="AC2839" s="1008" t="s">
        <v>670</v>
      </c>
      <c r="AD2839" s="1008"/>
      <c r="AE2839" s="1008"/>
      <c r="AF2839" s="1008"/>
      <c r="AG2839" s="1008"/>
      <c r="AH2839" s="1008"/>
      <c r="AI2839" s="1008"/>
    </row>
    <row r="2840" spans="1:35">
      <c r="A2840" s="1008">
        <v>23746</v>
      </c>
      <c r="B2840" s="1008">
        <v>951</v>
      </c>
      <c r="C2840" s="1008">
        <v>6</v>
      </c>
      <c r="D2840" s="1009">
        <v>59699999</v>
      </c>
      <c r="E2840" s="1009">
        <v>59611000</v>
      </c>
      <c r="F2840" s="1007" t="s">
        <v>1629</v>
      </c>
      <c r="G2840" s="1007">
        <v>7</v>
      </c>
      <c r="H2840" s="1010">
        <v>5099999</v>
      </c>
      <c r="I2840" s="1009">
        <v>5001151</v>
      </c>
      <c r="J2840" s="1007" t="s">
        <v>1849</v>
      </c>
      <c r="O2840" s="1007" t="s">
        <v>648</v>
      </c>
      <c r="P2840" s="1007" t="s">
        <v>648</v>
      </c>
      <c r="S2840" s="1008" t="s">
        <v>650</v>
      </c>
      <c r="T2840" s="1008" t="s">
        <v>654</v>
      </c>
      <c r="U2840" s="1008" t="s">
        <v>653</v>
      </c>
      <c r="V2840" s="1008" t="s">
        <v>648</v>
      </c>
      <c r="W2840" s="1008" t="s">
        <v>546</v>
      </c>
      <c r="X2840" s="1008" t="s">
        <v>670</v>
      </c>
      <c r="Y2840" s="1008"/>
      <c r="Z2840" s="1008"/>
      <c r="AA2840" s="1008"/>
      <c r="AB2840" s="1008"/>
      <c r="AC2840" s="1008" t="s">
        <v>670</v>
      </c>
      <c r="AD2840" s="1008"/>
      <c r="AE2840" s="1008"/>
      <c r="AF2840" s="1008"/>
      <c r="AG2840" s="1008"/>
      <c r="AH2840" s="1008"/>
      <c r="AI2840" s="1008"/>
    </row>
    <row r="2841" spans="1:35">
      <c r="A2841" s="1008">
        <v>23746</v>
      </c>
      <c r="B2841" s="1008">
        <v>6788</v>
      </c>
      <c r="C2841" s="1008">
        <v>6</v>
      </c>
      <c r="D2841" s="1009">
        <v>59699999</v>
      </c>
      <c r="E2841" s="1009">
        <v>59611000</v>
      </c>
      <c r="F2841" s="1007" t="s">
        <v>1629</v>
      </c>
      <c r="G2841" s="1007">
        <v>7</v>
      </c>
      <c r="H2841" s="1010">
        <v>5099999</v>
      </c>
      <c r="I2841" s="1009">
        <v>5001152</v>
      </c>
      <c r="J2841" s="1007" t="s">
        <v>1848</v>
      </c>
      <c r="O2841" s="1007" t="s">
        <v>648</v>
      </c>
      <c r="P2841" s="1007" t="s">
        <v>648</v>
      </c>
      <c r="S2841" s="1008" t="s">
        <v>650</v>
      </c>
      <c r="T2841" s="1008" t="s">
        <v>654</v>
      </c>
      <c r="U2841" s="1008" t="s">
        <v>653</v>
      </c>
      <c r="V2841" s="1008" t="s">
        <v>648</v>
      </c>
      <c r="W2841" s="1008" t="s">
        <v>546</v>
      </c>
      <c r="X2841" s="1008" t="s">
        <v>670</v>
      </c>
      <c r="Y2841" s="1008"/>
      <c r="Z2841" s="1008"/>
      <c r="AA2841" s="1008"/>
      <c r="AB2841" s="1008"/>
      <c r="AC2841" s="1008" t="s">
        <v>670</v>
      </c>
      <c r="AD2841" s="1008"/>
      <c r="AE2841" s="1008"/>
      <c r="AF2841" s="1008"/>
      <c r="AG2841" s="1008"/>
      <c r="AH2841" s="1008"/>
      <c r="AI2841" s="1008"/>
    </row>
    <row r="2842" spans="1:35">
      <c r="A2842" s="1008">
        <v>23746</v>
      </c>
      <c r="B2842" s="1008">
        <v>6789</v>
      </c>
      <c r="C2842" s="1008">
        <v>6</v>
      </c>
      <c r="D2842" s="1009">
        <v>59699999</v>
      </c>
      <c r="E2842" s="1009">
        <v>59611000</v>
      </c>
      <c r="F2842" s="1007" t="s">
        <v>1629</v>
      </c>
      <c r="G2842" s="1007">
        <v>7</v>
      </c>
      <c r="H2842" s="1010">
        <v>5099999</v>
      </c>
      <c r="I2842" s="1009">
        <v>5001153</v>
      </c>
      <c r="J2842" s="1007" t="s">
        <v>1847</v>
      </c>
      <c r="O2842" s="1007" t="s">
        <v>648</v>
      </c>
      <c r="P2842" s="1007" t="s">
        <v>648</v>
      </c>
      <c r="S2842" s="1008" t="s">
        <v>650</v>
      </c>
      <c r="T2842" s="1008" t="s">
        <v>654</v>
      </c>
      <c r="U2842" s="1008" t="s">
        <v>653</v>
      </c>
      <c r="V2842" s="1008" t="s">
        <v>648</v>
      </c>
      <c r="W2842" s="1008" t="s">
        <v>546</v>
      </c>
      <c r="X2842" s="1008" t="s">
        <v>670</v>
      </c>
      <c r="Y2842" s="1008"/>
      <c r="Z2842" s="1008"/>
      <c r="AA2842" s="1008"/>
      <c r="AB2842" s="1008"/>
      <c r="AC2842" s="1008" t="s">
        <v>670</v>
      </c>
      <c r="AD2842" s="1008"/>
      <c r="AE2842" s="1008"/>
      <c r="AF2842" s="1008"/>
      <c r="AG2842" s="1008"/>
      <c r="AH2842" s="1008"/>
      <c r="AI2842" s="1008"/>
    </row>
    <row r="2843" spans="1:35">
      <c r="A2843" s="1008">
        <v>23746</v>
      </c>
      <c r="B2843" s="1008">
        <v>6790</v>
      </c>
      <c r="C2843" s="1008">
        <v>6</v>
      </c>
      <c r="D2843" s="1009">
        <v>59699999</v>
      </c>
      <c r="E2843" s="1009">
        <v>59611000</v>
      </c>
      <c r="F2843" s="1007" t="s">
        <v>1629</v>
      </c>
      <c r="G2843" s="1007">
        <v>7</v>
      </c>
      <c r="H2843" s="1010">
        <v>5099999</v>
      </c>
      <c r="I2843" s="1009">
        <v>5001154</v>
      </c>
      <c r="J2843" s="1007" t="s">
        <v>1846</v>
      </c>
      <c r="O2843" s="1007" t="s">
        <v>648</v>
      </c>
      <c r="P2843" s="1007" t="s">
        <v>648</v>
      </c>
      <c r="S2843" s="1008" t="s">
        <v>650</v>
      </c>
      <c r="T2843" s="1008" t="s">
        <v>654</v>
      </c>
      <c r="U2843" s="1008" t="s">
        <v>653</v>
      </c>
      <c r="V2843" s="1008" t="s">
        <v>648</v>
      </c>
      <c r="W2843" s="1008" t="s">
        <v>546</v>
      </c>
      <c r="X2843" s="1008" t="s">
        <v>670</v>
      </c>
      <c r="Y2843" s="1008"/>
      <c r="Z2843" s="1008"/>
      <c r="AA2843" s="1008"/>
      <c r="AB2843" s="1008"/>
      <c r="AC2843" s="1008" t="s">
        <v>670</v>
      </c>
      <c r="AD2843" s="1008"/>
      <c r="AE2843" s="1008"/>
      <c r="AF2843" s="1008"/>
      <c r="AG2843" s="1008"/>
      <c r="AH2843" s="1008"/>
      <c r="AI2843" s="1008"/>
    </row>
    <row r="2844" spans="1:35">
      <c r="A2844" s="1008">
        <v>23746</v>
      </c>
      <c r="B2844" s="1008">
        <v>6791</v>
      </c>
      <c r="C2844" s="1008">
        <v>6</v>
      </c>
      <c r="D2844" s="1009">
        <v>59699999</v>
      </c>
      <c r="E2844" s="1009">
        <v>59611000</v>
      </c>
      <c r="F2844" s="1007" t="s">
        <v>1629</v>
      </c>
      <c r="G2844" s="1007">
        <v>7</v>
      </c>
      <c r="H2844" s="1010">
        <v>5099999</v>
      </c>
      <c r="I2844" s="1009">
        <v>5001155</v>
      </c>
      <c r="J2844" s="1007" t="s">
        <v>1845</v>
      </c>
      <c r="O2844" s="1007" t="s">
        <v>648</v>
      </c>
      <c r="P2844" s="1007" t="s">
        <v>648</v>
      </c>
      <c r="S2844" s="1008" t="s">
        <v>650</v>
      </c>
      <c r="T2844" s="1008" t="s">
        <v>654</v>
      </c>
      <c r="U2844" s="1008" t="s">
        <v>653</v>
      </c>
      <c r="V2844" s="1008" t="s">
        <v>648</v>
      </c>
      <c r="W2844" s="1008" t="s">
        <v>546</v>
      </c>
      <c r="X2844" s="1008" t="s">
        <v>670</v>
      </c>
      <c r="Y2844" s="1008"/>
      <c r="Z2844" s="1008"/>
      <c r="AA2844" s="1008"/>
      <c r="AB2844" s="1008"/>
      <c r="AC2844" s="1008" t="s">
        <v>670</v>
      </c>
      <c r="AD2844" s="1008"/>
      <c r="AE2844" s="1008"/>
      <c r="AF2844" s="1008"/>
      <c r="AG2844" s="1008"/>
      <c r="AH2844" s="1008"/>
      <c r="AI2844" s="1008"/>
    </row>
    <row r="2845" spans="1:35">
      <c r="A2845" s="1008">
        <v>23746</v>
      </c>
      <c r="B2845" s="1008">
        <v>952</v>
      </c>
      <c r="C2845" s="1008">
        <v>6</v>
      </c>
      <c r="D2845" s="1009">
        <v>59699999</v>
      </c>
      <c r="E2845" s="1009">
        <v>59611000</v>
      </c>
      <c r="F2845" s="1007" t="s">
        <v>1629</v>
      </c>
      <c r="G2845" s="1007">
        <v>7</v>
      </c>
      <c r="H2845" s="1010">
        <v>5099999</v>
      </c>
      <c r="I2845" s="1009">
        <v>5001164</v>
      </c>
      <c r="J2845" s="1007" t="s">
        <v>1844</v>
      </c>
      <c r="O2845" s="1007" t="s">
        <v>648</v>
      </c>
      <c r="P2845" s="1007" t="s">
        <v>648</v>
      </c>
      <c r="S2845" s="1008" t="s">
        <v>650</v>
      </c>
      <c r="T2845" s="1008" t="s">
        <v>654</v>
      </c>
      <c r="U2845" s="1008" t="s">
        <v>653</v>
      </c>
      <c r="V2845" s="1008" t="s">
        <v>648</v>
      </c>
      <c r="W2845" s="1008" t="s">
        <v>546</v>
      </c>
      <c r="X2845" s="1008" t="s">
        <v>670</v>
      </c>
      <c r="Y2845" s="1008"/>
      <c r="Z2845" s="1008"/>
      <c r="AA2845" s="1008"/>
      <c r="AB2845" s="1008"/>
      <c r="AC2845" s="1008" t="s">
        <v>670</v>
      </c>
      <c r="AD2845" s="1008"/>
      <c r="AE2845" s="1008"/>
      <c r="AF2845" s="1008"/>
      <c r="AG2845" s="1008"/>
      <c r="AH2845" s="1008"/>
      <c r="AI2845" s="1008"/>
    </row>
    <row r="2846" spans="1:35">
      <c r="A2846" s="1008">
        <v>23746</v>
      </c>
      <c r="B2846" s="1008">
        <v>6609</v>
      </c>
      <c r="C2846" s="1008">
        <v>6</v>
      </c>
      <c r="D2846" s="1009">
        <v>59699999</v>
      </c>
      <c r="E2846" s="1009">
        <v>59611000</v>
      </c>
      <c r="F2846" s="1007" t="s">
        <v>1629</v>
      </c>
      <c r="G2846" s="1007" t="s">
        <v>648</v>
      </c>
      <c r="H2846" s="1010">
        <v>5099999</v>
      </c>
      <c r="I2846" s="1009">
        <v>5001170</v>
      </c>
      <c r="J2846" s="1007" t="s">
        <v>1843</v>
      </c>
      <c r="O2846" s="1007" t="s">
        <v>648</v>
      </c>
      <c r="P2846" s="1007" t="s">
        <v>648</v>
      </c>
      <c r="S2846" s="1008" t="s">
        <v>650</v>
      </c>
      <c r="T2846" s="1008" t="s">
        <v>654</v>
      </c>
      <c r="U2846" s="1008" t="s">
        <v>653</v>
      </c>
      <c r="V2846" s="1008" t="s">
        <v>648</v>
      </c>
      <c r="W2846" s="1008" t="s">
        <v>546</v>
      </c>
      <c r="X2846" s="1008" t="s">
        <v>670</v>
      </c>
      <c r="Y2846" s="1008"/>
      <c r="Z2846" s="1008"/>
      <c r="AA2846" s="1008"/>
      <c r="AB2846" s="1008"/>
      <c r="AC2846" s="1008" t="s">
        <v>670</v>
      </c>
      <c r="AD2846" s="1008"/>
      <c r="AE2846" s="1008"/>
      <c r="AF2846" s="1008"/>
      <c r="AG2846" s="1008"/>
      <c r="AH2846" s="1008"/>
      <c r="AI2846" s="1008"/>
    </row>
    <row r="2847" spans="1:35">
      <c r="A2847" s="1008">
        <v>23746</v>
      </c>
      <c r="B2847" s="1008">
        <v>6610</v>
      </c>
      <c r="C2847" s="1008">
        <v>6</v>
      </c>
      <c r="D2847" s="1009">
        <v>59699999</v>
      </c>
      <c r="E2847" s="1009">
        <v>59611000</v>
      </c>
      <c r="F2847" s="1007" t="s">
        <v>1629</v>
      </c>
      <c r="G2847" s="1007" t="s">
        <v>648</v>
      </c>
      <c r="H2847" s="1010">
        <v>5099999</v>
      </c>
      <c r="I2847" s="1009">
        <v>5001175</v>
      </c>
      <c r="J2847" s="1007" t="s">
        <v>1842</v>
      </c>
      <c r="O2847" s="1007" t="s">
        <v>648</v>
      </c>
      <c r="P2847" s="1007" t="s">
        <v>648</v>
      </c>
      <c r="S2847" s="1008" t="s">
        <v>650</v>
      </c>
      <c r="T2847" s="1008" t="s">
        <v>654</v>
      </c>
      <c r="U2847" s="1008" t="s">
        <v>653</v>
      </c>
      <c r="V2847" s="1008" t="s">
        <v>648</v>
      </c>
      <c r="W2847" s="1008" t="s">
        <v>546</v>
      </c>
      <c r="X2847" s="1008" t="s">
        <v>670</v>
      </c>
      <c r="Y2847" s="1008"/>
      <c r="Z2847" s="1008"/>
      <c r="AA2847" s="1008"/>
      <c r="AB2847" s="1008"/>
      <c r="AC2847" s="1008" t="s">
        <v>670</v>
      </c>
      <c r="AD2847" s="1008"/>
      <c r="AE2847" s="1008"/>
      <c r="AF2847" s="1008"/>
      <c r="AG2847" s="1008"/>
      <c r="AH2847" s="1008"/>
      <c r="AI2847" s="1008"/>
    </row>
    <row r="2848" spans="1:35">
      <c r="A2848" s="1008">
        <v>23746</v>
      </c>
      <c r="B2848" s="1008">
        <v>1121</v>
      </c>
      <c r="C2848" s="1008">
        <v>6</v>
      </c>
      <c r="D2848" s="1009">
        <v>59699999</v>
      </c>
      <c r="E2848" s="1009">
        <v>59611000</v>
      </c>
      <c r="F2848" s="1007" t="s">
        <v>1629</v>
      </c>
      <c r="G2848" s="1007">
        <v>7</v>
      </c>
      <c r="H2848" s="1010">
        <v>5099999</v>
      </c>
      <c r="I2848" s="1009">
        <v>5002001</v>
      </c>
      <c r="J2848" s="1007" t="s">
        <v>1841</v>
      </c>
      <c r="O2848" s="1007" t="s">
        <v>648</v>
      </c>
      <c r="P2848" s="1007" t="s">
        <v>648</v>
      </c>
      <c r="S2848" s="1008" t="s">
        <v>650</v>
      </c>
      <c r="T2848" s="1008" t="s">
        <v>654</v>
      </c>
      <c r="U2848" s="1008" t="s">
        <v>653</v>
      </c>
      <c r="V2848" s="1008" t="s">
        <v>648</v>
      </c>
      <c r="W2848" s="1008" t="s">
        <v>546</v>
      </c>
      <c r="X2848" s="1008" t="s">
        <v>670</v>
      </c>
      <c r="Y2848" s="1008"/>
      <c r="Z2848" s="1008"/>
      <c r="AA2848" s="1008"/>
      <c r="AB2848" s="1008"/>
      <c r="AC2848" s="1008" t="s">
        <v>670</v>
      </c>
      <c r="AD2848" s="1008"/>
      <c r="AE2848" s="1008"/>
      <c r="AF2848" s="1008"/>
      <c r="AG2848" s="1008"/>
      <c r="AH2848" s="1008"/>
      <c r="AI2848" s="1008"/>
    </row>
    <row r="2849" spans="1:35">
      <c r="A2849" s="1008">
        <v>23746</v>
      </c>
      <c r="B2849" s="1008">
        <v>861</v>
      </c>
      <c r="C2849" s="1008">
        <v>6</v>
      </c>
      <c r="D2849" s="1009">
        <v>59699999</v>
      </c>
      <c r="E2849" s="1009">
        <v>59611000</v>
      </c>
      <c r="F2849" s="1007" t="s">
        <v>1629</v>
      </c>
      <c r="G2849" s="1007">
        <v>7</v>
      </c>
      <c r="H2849" s="1010">
        <v>5099999</v>
      </c>
      <c r="I2849" s="1009">
        <v>5002005</v>
      </c>
      <c r="J2849" s="1007" t="s">
        <v>1840</v>
      </c>
      <c r="O2849" s="1007" t="s">
        <v>648</v>
      </c>
      <c r="P2849" s="1007" t="s">
        <v>648</v>
      </c>
      <c r="S2849" s="1008" t="s">
        <v>650</v>
      </c>
      <c r="T2849" s="1008" t="s">
        <v>654</v>
      </c>
      <c r="U2849" s="1008" t="s">
        <v>653</v>
      </c>
      <c r="V2849" s="1008" t="s">
        <v>648</v>
      </c>
      <c r="W2849" s="1008" t="s">
        <v>546</v>
      </c>
      <c r="X2849" s="1008" t="s">
        <v>670</v>
      </c>
      <c r="Y2849" s="1008"/>
      <c r="Z2849" s="1008"/>
      <c r="AA2849" s="1008"/>
      <c r="AB2849" s="1008"/>
      <c r="AC2849" s="1008" t="s">
        <v>670</v>
      </c>
      <c r="AD2849" s="1008"/>
      <c r="AE2849" s="1008"/>
      <c r="AF2849" s="1008"/>
      <c r="AG2849" s="1008"/>
      <c r="AH2849" s="1008"/>
      <c r="AI2849" s="1008"/>
    </row>
    <row r="2850" spans="1:35">
      <c r="A2850" s="1008">
        <v>23746</v>
      </c>
      <c r="B2850" s="1008">
        <v>6621</v>
      </c>
      <c r="C2850" s="1008">
        <v>6</v>
      </c>
      <c r="D2850" s="1009">
        <v>59699999</v>
      </c>
      <c r="E2850" s="1009">
        <v>59611000</v>
      </c>
      <c r="F2850" s="1007" t="s">
        <v>1629</v>
      </c>
      <c r="G2850" s="1007">
        <v>7</v>
      </c>
      <c r="H2850" s="1010">
        <v>5099999</v>
      </c>
      <c r="I2850" s="1009">
        <v>5002006</v>
      </c>
      <c r="J2850" s="1007" t="s">
        <v>1839</v>
      </c>
      <c r="O2850" s="1007" t="s">
        <v>648</v>
      </c>
      <c r="P2850" s="1007" t="s">
        <v>648</v>
      </c>
      <c r="S2850" s="1008" t="s">
        <v>650</v>
      </c>
      <c r="T2850" s="1008" t="s">
        <v>654</v>
      </c>
      <c r="U2850" s="1008" t="s">
        <v>653</v>
      </c>
      <c r="V2850" s="1008" t="s">
        <v>648</v>
      </c>
      <c r="W2850" s="1008" t="s">
        <v>546</v>
      </c>
      <c r="X2850" s="1008" t="s">
        <v>670</v>
      </c>
      <c r="Y2850" s="1008"/>
      <c r="Z2850" s="1008"/>
      <c r="AA2850" s="1008"/>
      <c r="AB2850" s="1008"/>
      <c r="AC2850" s="1008" t="s">
        <v>670</v>
      </c>
      <c r="AD2850" s="1008"/>
      <c r="AE2850" s="1008"/>
      <c r="AF2850" s="1008"/>
      <c r="AG2850" s="1008"/>
      <c r="AH2850" s="1008"/>
      <c r="AI2850" s="1008"/>
    </row>
    <row r="2851" spans="1:35">
      <c r="A2851" s="1008">
        <v>23746</v>
      </c>
      <c r="B2851" s="1008">
        <v>6622</v>
      </c>
      <c r="C2851" s="1008">
        <v>6</v>
      </c>
      <c r="D2851" s="1009">
        <v>59699999</v>
      </c>
      <c r="E2851" s="1009">
        <v>59611000</v>
      </c>
      <c r="F2851" s="1007" t="s">
        <v>1629</v>
      </c>
      <c r="G2851" s="1007">
        <v>7</v>
      </c>
      <c r="H2851" s="1010">
        <v>5099999</v>
      </c>
      <c r="I2851" s="1009">
        <v>5002007</v>
      </c>
      <c r="J2851" s="1007" t="s">
        <v>1838</v>
      </c>
      <c r="O2851" s="1007" t="s">
        <v>648</v>
      </c>
      <c r="P2851" s="1007" t="s">
        <v>648</v>
      </c>
      <c r="S2851" s="1008" t="s">
        <v>650</v>
      </c>
      <c r="T2851" s="1008" t="s">
        <v>654</v>
      </c>
      <c r="U2851" s="1008" t="s">
        <v>653</v>
      </c>
      <c r="V2851" s="1008" t="s">
        <v>648</v>
      </c>
      <c r="W2851" s="1008" t="s">
        <v>546</v>
      </c>
      <c r="X2851" s="1008" t="s">
        <v>670</v>
      </c>
      <c r="Y2851" s="1008"/>
      <c r="Z2851" s="1008"/>
      <c r="AA2851" s="1008"/>
      <c r="AB2851" s="1008"/>
      <c r="AC2851" s="1008" t="s">
        <v>670</v>
      </c>
      <c r="AD2851" s="1008"/>
      <c r="AE2851" s="1008"/>
      <c r="AF2851" s="1008"/>
      <c r="AG2851" s="1008"/>
      <c r="AH2851" s="1008"/>
      <c r="AI2851" s="1008"/>
    </row>
    <row r="2852" spans="1:35">
      <c r="A2852" s="1008">
        <v>23746</v>
      </c>
      <c r="B2852" s="1008">
        <v>953</v>
      </c>
      <c r="C2852" s="1008">
        <v>6</v>
      </c>
      <c r="D2852" s="1009">
        <v>59699999</v>
      </c>
      <c r="E2852" s="1009">
        <v>59611000</v>
      </c>
      <c r="F2852" s="1007" t="s">
        <v>1629</v>
      </c>
      <c r="G2852" s="1007">
        <v>7</v>
      </c>
      <c r="H2852" s="1010">
        <v>5099999</v>
      </c>
      <c r="I2852" s="1009">
        <v>5002010</v>
      </c>
      <c r="J2852" s="1007" t="s">
        <v>1837</v>
      </c>
      <c r="O2852" s="1007" t="s">
        <v>648</v>
      </c>
      <c r="P2852" s="1007" t="s">
        <v>648</v>
      </c>
      <c r="S2852" s="1008" t="s">
        <v>650</v>
      </c>
      <c r="T2852" s="1008" t="s">
        <v>654</v>
      </c>
      <c r="U2852" s="1008" t="s">
        <v>653</v>
      </c>
      <c r="V2852" s="1008" t="s">
        <v>648</v>
      </c>
      <c r="W2852" s="1008" t="s">
        <v>546</v>
      </c>
      <c r="X2852" s="1008" t="s">
        <v>670</v>
      </c>
      <c r="Y2852" s="1008"/>
      <c r="Z2852" s="1008"/>
      <c r="AA2852" s="1008"/>
      <c r="AB2852" s="1008"/>
      <c r="AC2852" s="1008" t="s">
        <v>670</v>
      </c>
      <c r="AD2852" s="1008"/>
      <c r="AE2852" s="1008"/>
      <c r="AF2852" s="1008"/>
      <c r="AG2852" s="1008"/>
      <c r="AH2852" s="1008"/>
      <c r="AI2852" s="1008"/>
    </row>
    <row r="2853" spans="1:35">
      <c r="A2853" s="1008">
        <v>23746</v>
      </c>
      <c r="B2853" s="1008">
        <v>954</v>
      </c>
      <c r="C2853" s="1008">
        <v>6</v>
      </c>
      <c r="D2853" s="1009">
        <v>59699999</v>
      </c>
      <c r="E2853" s="1009">
        <v>59611000</v>
      </c>
      <c r="F2853" s="1007" t="s">
        <v>1629</v>
      </c>
      <c r="G2853" s="1007">
        <v>7</v>
      </c>
      <c r="H2853" s="1010">
        <v>5099999</v>
      </c>
      <c r="I2853" s="1009">
        <v>5002011</v>
      </c>
      <c r="J2853" s="1007" t="s">
        <v>1836</v>
      </c>
      <c r="O2853" s="1007" t="s">
        <v>648</v>
      </c>
      <c r="P2853" s="1007" t="s">
        <v>648</v>
      </c>
      <c r="S2853" s="1008" t="s">
        <v>650</v>
      </c>
      <c r="T2853" s="1008" t="s">
        <v>654</v>
      </c>
      <c r="U2853" s="1008" t="s">
        <v>653</v>
      </c>
      <c r="V2853" s="1008" t="s">
        <v>648</v>
      </c>
      <c r="W2853" s="1008" t="s">
        <v>546</v>
      </c>
      <c r="X2853" s="1008" t="s">
        <v>670</v>
      </c>
      <c r="Y2853" s="1008"/>
      <c r="Z2853" s="1008"/>
      <c r="AA2853" s="1008"/>
      <c r="AB2853" s="1008"/>
      <c r="AC2853" s="1008" t="s">
        <v>670</v>
      </c>
      <c r="AD2853" s="1008"/>
      <c r="AE2853" s="1008"/>
      <c r="AF2853" s="1008"/>
      <c r="AG2853" s="1008"/>
      <c r="AH2853" s="1008"/>
      <c r="AI2853" s="1008"/>
    </row>
    <row r="2854" spans="1:35">
      <c r="A2854" s="1008">
        <v>23746</v>
      </c>
      <c r="B2854" s="1008">
        <v>955</v>
      </c>
      <c r="C2854" s="1008">
        <v>6</v>
      </c>
      <c r="D2854" s="1009">
        <v>59699999</v>
      </c>
      <c r="E2854" s="1009">
        <v>59611000</v>
      </c>
      <c r="F2854" s="1007" t="s">
        <v>1629</v>
      </c>
      <c r="G2854" s="1007">
        <v>7</v>
      </c>
      <c r="H2854" s="1010">
        <v>5099999</v>
      </c>
      <c r="I2854" s="1009">
        <v>5002013</v>
      </c>
      <c r="J2854" s="1007" t="s">
        <v>1835</v>
      </c>
      <c r="O2854" s="1007" t="s">
        <v>648</v>
      </c>
      <c r="P2854" s="1007" t="s">
        <v>648</v>
      </c>
      <c r="S2854" s="1008" t="s">
        <v>650</v>
      </c>
      <c r="T2854" s="1008" t="s">
        <v>654</v>
      </c>
      <c r="U2854" s="1008" t="s">
        <v>653</v>
      </c>
      <c r="V2854" s="1008" t="s">
        <v>648</v>
      </c>
      <c r="W2854" s="1008" t="s">
        <v>546</v>
      </c>
      <c r="X2854" s="1008" t="s">
        <v>670</v>
      </c>
      <c r="Y2854" s="1008"/>
      <c r="Z2854" s="1008"/>
      <c r="AA2854" s="1008"/>
      <c r="AB2854" s="1008"/>
      <c r="AC2854" s="1008" t="s">
        <v>670</v>
      </c>
      <c r="AD2854" s="1008"/>
      <c r="AE2854" s="1008"/>
      <c r="AF2854" s="1008"/>
      <c r="AG2854" s="1008"/>
      <c r="AH2854" s="1008"/>
      <c r="AI2854" s="1008"/>
    </row>
    <row r="2855" spans="1:35">
      <c r="A2855" s="1008">
        <v>23746</v>
      </c>
      <c r="B2855" s="1008">
        <v>956</v>
      </c>
      <c r="C2855" s="1008">
        <v>6</v>
      </c>
      <c r="D2855" s="1009">
        <v>59699999</v>
      </c>
      <c r="E2855" s="1009">
        <v>59611000</v>
      </c>
      <c r="F2855" s="1007" t="s">
        <v>1629</v>
      </c>
      <c r="G2855" s="1007">
        <v>7</v>
      </c>
      <c r="H2855" s="1010">
        <v>5099999</v>
      </c>
      <c r="I2855" s="1009">
        <v>5002014</v>
      </c>
      <c r="J2855" s="1007" t="s">
        <v>1834</v>
      </c>
      <c r="O2855" s="1007" t="s">
        <v>648</v>
      </c>
      <c r="P2855" s="1007" t="s">
        <v>648</v>
      </c>
      <c r="S2855" s="1008" t="s">
        <v>650</v>
      </c>
      <c r="T2855" s="1008" t="s">
        <v>654</v>
      </c>
      <c r="U2855" s="1008" t="s">
        <v>653</v>
      </c>
      <c r="V2855" s="1008" t="s">
        <v>648</v>
      </c>
      <c r="W2855" s="1008" t="s">
        <v>546</v>
      </c>
      <c r="X2855" s="1008" t="s">
        <v>670</v>
      </c>
      <c r="Y2855" s="1008"/>
      <c r="Z2855" s="1008"/>
      <c r="AA2855" s="1008"/>
      <c r="AB2855" s="1008"/>
      <c r="AC2855" s="1008" t="s">
        <v>670</v>
      </c>
      <c r="AD2855" s="1008"/>
      <c r="AE2855" s="1008"/>
      <c r="AF2855" s="1008"/>
      <c r="AG2855" s="1008"/>
      <c r="AH2855" s="1008"/>
      <c r="AI2855" s="1008"/>
    </row>
    <row r="2856" spans="1:35">
      <c r="A2856" s="1008">
        <v>23746</v>
      </c>
      <c r="B2856" s="1008">
        <v>957</v>
      </c>
      <c r="C2856" s="1008">
        <v>6</v>
      </c>
      <c r="D2856" s="1009">
        <v>59699999</v>
      </c>
      <c r="E2856" s="1009">
        <v>59611000</v>
      </c>
      <c r="F2856" s="1007" t="s">
        <v>1629</v>
      </c>
      <c r="G2856" s="1007">
        <v>7</v>
      </c>
      <c r="H2856" s="1010">
        <v>5099999</v>
      </c>
      <c r="I2856" s="1009">
        <v>5002015</v>
      </c>
      <c r="J2856" s="1007" t="s">
        <v>1833</v>
      </c>
      <c r="O2856" s="1007" t="s">
        <v>648</v>
      </c>
      <c r="P2856" s="1007" t="s">
        <v>648</v>
      </c>
      <c r="S2856" s="1008" t="s">
        <v>650</v>
      </c>
      <c r="T2856" s="1008" t="s">
        <v>654</v>
      </c>
      <c r="U2856" s="1008" t="s">
        <v>653</v>
      </c>
      <c r="V2856" s="1008" t="s">
        <v>648</v>
      </c>
      <c r="W2856" s="1008" t="s">
        <v>546</v>
      </c>
      <c r="X2856" s="1008" t="s">
        <v>670</v>
      </c>
      <c r="Y2856" s="1008"/>
      <c r="Z2856" s="1008"/>
      <c r="AA2856" s="1008"/>
      <c r="AB2856" s="1008"/>
      <c r="AC2856" s="1008" t="s">
        <v>670</v>
      </c>
      <c r="AD2856" s="1008"/>
      <c r="AE2856" s="1008"/>
      <c r="AF2856" s="1008"/>
      <c r="AG2856" s="1008"/>
      <c r="AH2856" s="1008"/>
      <c r="AI2856" s="1008"/>
    </row>
    <row r="2857" spans="1:35">
      <c r="A2857" s="1008">
        <v>23746</v>
      </c>
      <c r="B2857" s="1008">
        <v>958</v>
      </c>
      <c r="C2857" s="1008">
        <v>6</v>
      </c>
      <c r="D2857" s="1009">
        <v>59699999</v>
      </c>
      <c r="E2857" s="1009">
        <v>59611000</v>
      </c>
      <c r="F2857" s="1007" t="s">
        <v>1629</v>
      </c>
      <c r="G2857" s="1007">
        <v>7</v>
      </c>
      <c r="H2857" s="1010">
        <v>5099999</v>
      </c>
      <c r="I2857" s="1009">
        <v>5002016</v>
      </c>
      <c r="J2857" s="1007" t="s">
        <v>1832</v>
      </c>
      <c r="O2857" s="1007" t="s">
        <v>648</v>
      </c>
      <c r="P2857" s="1007" t="s">
        <v>648</v>
      </c>
      <c r="S2857" s="1008" t="s">
        <v>650</v>
      </c>
      <c r="T2857" s="1008" t="s">
        <v>654</v>
      </c>
      <c r="U2857" s="1008" t="s">
        <v>653</v>
      </c>
      <c r="V2857" s="1008" t="s">
        <v>648</v>
      </c>
      <c r="W2857" s="1008" t="s">
        <v>546</v>
      </c>
      <c r="X2857" s="1008" t="s">
        <v>670</v>
      </c>
      <c r="Y2857" s="1008"/>
      <c r="Z2857" s="1008"/>
      <c r="AA2857" s="1008"/>
      <c r="AB2857" s="1008"/>
      <c r="AC2857" s="1008" t="s">
        <v>670</v>
      </c>
      <c r="AD2857" s="1008"/>
      <c r="AE2857" s="1008"/>
      <c r="AF2857" s="1008"/>
      <c r="AG2857" s="1008"/>
      <c r="AH2857" s="1008"/>
      <c r="AI2857" s="1008"/>
    </row>
    <row r="2858" spans="1:35">
      <c r="A2858" s="1008">
        <v>23746</v>
      </c>
      <c r="B2858" s="1008">
        <v>959</v>
      </c>
      <c r="C2858" s="1008">
        <v>6</v>
      </c>
      <c r="D2858" s="1009">
        <v>59699999</v>
      </c>
      <c r="E2858" s="1009">
        <v>59611000</v>
      </c>
      <c r="F2858" s="1007" t="s">
        <v>1629</v>
      </c>
      <c r="G2858" s="1007">
        <v>7</v>
      </c>
      <c r="H2858" s="1010">
        <v>5099999</v>
      </c>
      <c r="I2858" s="1009">
        <v>5002018</v>
      </c>
      <c r="J2858" s="1007" t="s">
        <v>1831</v>
      </c>
      <c r="O2858" s="1007" t="s">
        <v>648</v>
      </c>
      <c r="P2858" s="1007" t="s">
        <v>648</v>
      </c>
      <c r="S2858" s="1008" t="s">
        <v>650</v>
      </c>
      <c r="T2858" s="1008" t="s">
        <v>654</v>
      </c>
      <c r="U2858" s="1008" t="s">
        <v>653</v>
      </c>
      <c r="V2858" s="1008" t="s">
        <v>648</v>
      </c>
      <c r="W2858" s="1008" t="s">
        <v>546</v>
      </c>
      <c r="X2858" s="1008" t="s">
        <v>670</v>
      </c>
      <c r="Y2858" s="1008"/>
      <c r="Z2858" s="1008"/>
      <c r="AA2858" s="1008"/>
      <c r="AB2858" s="1008"/>
      <c r="AC2858" s="1008" t="s">
        <v>670</v>
      </c>
      <c r="AD2858" s="1008"/>
      <c r="AE2858" s="1008"/>
      <c r="AF2858" s="1008"/>
      <c r="AG2858" s="1008"/>
      <c r="AH2858" s="1008"/>
      <c r="AI2858" s="1008"/>
    </row>
    <row r="2859" spans="1:35">
      <c r="A2859" s="1008">
        <v>23746</v>
      </c>
      <c r="B2859" s="1008">
        <v>960</v>
      </c>
      <c r="C2859" s="1008">
        <v>6</v>
      </c>
      <c r="D2859" s="1009">
        <v>59699999</v>
      </c>
      <c r="E2859" s="1009">
        <v>59611000</v>
      </c>
      <c r="F2859" s="1007" t="s">
        <v>1629</v>
      </c>
      <c r="G2859" s="1007">
        <v>7</v>
      </c>
      <c r="H2859" s="1010">
        <v>5099999</v>
      </c>
      <c r="I2859" s="1009">
        <v>5002019</v>
      </c>
      <c r="J2859" s="1007" t="s">
        <v>1830</v>
      </c>
      <c r="O2859" s="1007" t="s">
        <v>648</v>
      </c>
      <c r="P2859" s="1007" t="s">
        <v>648</v>
      </c>
      <c r="S2859" s="1008" t="s">
        <v>650</v>
      </c>
      <c r="T2859" s="1008" t="s">
        <v>654</v>
      </c>
      <c r="U2859" s="1008" t="s">
        <v>653</v>
      </c>
      <c r="V2859" s="1008" t="s">
        <v>648</v>
      </c>
      <c r="W2859" s="1008" t="s">
        <v>546</v>
      </c>
      <c r="X2859" s="1008" t="s">
        <v>670</v>
      </c>
      <c r="Y2859" s="1008"/>
      <c r="Z2859" s="1008"/>
      <c r="AA2859" s="1008"/>
      <c r="AB2859" s="1008"/>
      <c r="AC2859" s="1008" t="s">
        <v>670</v>
      </c>
      <c r="AD2859" s="1008"/>
      <c r="AE2859" s="1008"/>
      <c r="AF2859" s="1008"/>
      <c r="AG2859" s="1008"/>
      <c r="AH2859" s="1008"/>
      <c r="AI2859" s="1008"/>
    </row>
    <row r="2860" spans="1:35">
      <c r="A2860" s="1008">
        <v>23746</v>
      </c>
      <c r="B2860" s="1008">
        <v>961</v>
      </c>
      <c r="C2860" s="1008">
        <v>6</v>
      </c>
      <c r="D2860" s="1009">
        <v>59699999</v>
      </c>
      <c r="E2860" s="1009">
        <v>59611000</v>
      </c>
      <c r="F2860" s="1007" t="s">
        <v>1629</v>
      </c>
      <c r="G2860" s="1007">
        <v>7</v>
      </c>
      <c r="H2860" s="1010">
        <v>5099999</v>
      </c>
      <c r="I2860" s="1009">
        <v>5002020</v>
      </c>
      <c r="J2860" s="1007" t="s">
        <v>1829</v>
      </c>
      <c r="O2860" s="1007" t="s">
        <v>648</v>
      </c>
      <c r="P2860" s="1007" t="s">
        <v>648</v>
      </c>
      <c r="S2860" s="1008" t="s">
        <v>650</v>
      </c>
      <c r="T2860" s="1008" t="s">
        <v>654</v>
      </c>
      <c r="U2860" s="1008" t="s">
        <v>653</v>
      </c>
      <c r="V2860" s="1008" t="s">
        <v>648</v>
      </c>
      <c r="W2860" s="1008" t="s">
        <v>546</v>
      </c>
      <c r="X2860" s="1008" t="s">
        <v>670</v>
      </c>
      <c r="Y2860" s="1008"/>
      <c r="Z2860" s="1008"/>
      <c r="AA2860" s="1008"/>
      <c r="AB2860" s="1008"/>
      <c r="AC2860" s="1008" t="s">
        <v>670</v>
      </c>
      <c r="AD2860" s="1008"/>
      <c r="AE2860" s="1008"/>
      <c r="AF2860" s="1008"/>
      <c r="AG2860" s="1008"/>
      <c r="AH2860" s="1008"/>
      <c r="AI2860" s="1008"/>
    </row>
    <row r="2861" spans="1:35">
      <c r="A2861" s="1008">
        <v>23746</v>
      </c>
      <c r="B2861" s="1008">
        <v>962</v>
      </c>
      <c r="C2861" s="1008">
        <v>6</v>
      </c>
      <c r="D2861" s="1009">
        <v>59699999</v>
      </c>
      <c r="E2861" s="1009">
        <v>59611000</v>
      </c>
      <c r="F2861" s="1007" t="s">
        <v>1629</v>
      </c>
      <c r="G2861" s="1007">
        <v>7</v>
      </c>
      <c r="H2861" s="1010">
        <v>5099999</v>
      </c>
      <c r="I2861" s="1009">
        <v>5002021</v>
      </c>
      <c r="J2861" s="1007" t="s">
        <v>1828</v>
      </c>
      <c r="O2861" s="1007" t="s">
        <v>648</v>
      </c>
      <c r="P2861" s="1007" t="s">
        <v>648</v>
      </c>
      <c r="S2861" s="1008" t="s">
        <v>650</v>
      </c>
      <c r="T2861" s="1008" t="s">
        <v>654</v>
      </c>
      <c r="U2861" s="1008" t="s">
        <v>653</v>
      </c>
      <c r="V2861" s="1008" t="s">
        <v>648</v>
      </c>
      <c r="W2861" s="1008" t="s">
        <v>546</v>
      </c>
      <c r="X2861" s="1008" t="s">
        <v>670</v>
      </c>
      <c r="Y2861" s="1008"/>
      <c r="Z2861" s="1008"/>
      <c r="AA2861" s="1008"/>
      <c r="AB2861" s="1008"/>
      <c r="AC2861" s="1008" t="s">
        <v>670</v>
      </c>
      <c r="AD2861" s="1008"/>
      <c r="AE2861" s="1008"/>
      <c r="AF2861" s="1008"/>
      <c r="AG2861" s="1008"/>
      <c r="AH2861" s="1008"/>
      <c r="AI2861" s="1008"/>
    </row>
    <row r="2862" spans="1:35">
      <c r="A2862" s="1008">
        <v>23746</v>
      </c>
      <c r="B2862" s="1008">
        <v>963</v>
      </c>
      <c r="C2862" s="1008">
        <v>6</v>
      </c>
      <c r="D2862" s="1009">
        <v>59699999</v>
      </c>
      <c r="E2862" s="1009">
        <v>59611000</v>
      </c>
      <c r="F2862" s="1007" t="s">
        <v>1629</v>
      </c>
      <c r="G2862" s="1007">
        <v>7</v>
      </c>
      <c r="H2862" s="1010">
        <v>5099999</v>
      </c>
      <c r="I2862" s="1009">
        <v>5002027</v>
      </c>
      <c r="J2862" s="1007" t="s">
        <v>1827</v>
      </c>
      <c r="O2862" s="1007" t="s">
        <v>648</v>
      </c>
      <c r="P2862" s="1007" t="s">
        <v>648</v>
      </c>
      <c r="S2862" s="1008" t="s">
        <v>650</v>
      </c>
      <c r="T2862" s="1008" t="s">
        <v>654</v>
      </c>
      <c r="U2862" s="1008" t="s">
        <v>653</v>
      </c>
      <c r="V2862" s="1008" t="s">
        <v>648</v>
      </c>
      <c r="W2862" s="1008" t="s">
        <v>546</v>
      </c>
      <c r="X2862" s="1008" t="s">
        <v>670</v>
      </c>
      <c r="Y2862" s="1008"/>
      <c r="Z2862" s="1008"/>
      <c r="AA2862" s="1008"/>
      <c r="AB2862" s="1008"/>
      <c r="AC2862" s="1008" t="s">
        <v>670</v>
      </c>
      <c r="AD2862" s="1008"/>
      <c r="AE2862" s="1008"/>
      <c r="AF2862" s="1008"/>
      <c r="AG2862" s="1008"/>
      <c r="AH2862" s="1008"/>
      <c r="AI2862" s="1008"/>
    </row>
    <row r="2863" spans="1:35">
      <c r="A2863" s="1008">
        <v>23746</v>
      </c>
      <c r="B2863" s="1008">
        <v>964</v>
      </c>
      <c r="C2863" s="1008">
        <v>6</v>
      </c>
      <c r="D2863" s="1009">
        <v>59699999</v>
      </c>
      <c r="E2863" s="1009">
        <v>59611000</v>
      </c>
      <c r="F2863" s="1007" t="s">
        <v>1629</v>
      </c>
      <c r="G2863" s="1007">
        <v>7</v>
      </c>
      <c r="H2863" s="1010">
        <v>5099999</v>
      </c>
      <c r="I2863" s="1009">
        <v>5002028</v>
      </c>
      <c r="J2863" s="1007" t="s">
        <v>1826</v>
      </c>
      <c r="O2863" s="1007" t="s">
        <v>648</v>
      </c>
      <c r="P2863" s="1007" t="s">
        <v>648</v>
      </c>
      <c r="S2863" s="1008" t="s">
        <v>650</v>
      </c>
      <c r="T2863" s="1008" t="s">
        <v>654</v>
      </c>
      <c r="U2863" s="1008" t="s">
        <v>653</v>
      </c>
      <c r="V2863" s="1008" t="s">
        <v>648</v>
      </c>
      <c r="W2863" s="1008" t="s">
        <v>546</v>
      </c>
      <c r="X2863" s="1008" t="s">
        <v>670</v>
      </c>
      <c r="Y2863" s="1008"/>
      <c r="Z2863" s="1008"/>
      <c r="AA2863" s="1008"/>
      <c r="AB2863" s="1008"/>
      <c r="AC2863" s="1008" t="s">
        <v>670</v>
      </c>
      <c r="AD2863" s="1008"/>
      <c r="AE2863" s="1008"/>
      <c r="AF2863" s="1008"/>
      <c r="AG2863" s="1008"/>
      <c r="AH2863" s="1008"/>
      <c r="AI2863" s="1008"/>
    </row>
    <row r="2864" spans="1:35">
      <c r="A2864" s="1008">
        <v>23746</v>
      </c>
      <c r="B2864" s="1008">
        <v>965</v>
      </c>
      <c r="C2864" s="1008">
        <v>6</v>
      </c>
      <c r="D2864" s="1009">
        <v>59699999</v>
      </c>
      <c r="E2864" s="1009">
        <v>59611000</v>
      </c>
      <c r="F2864" s="1007" t="s">
        <v>1629</v>
      </c>
      <c r="G2864" s="1007">
        <v>7</v>
      </c>
      <c r="H2864" s="1010">
        <v>5099999</v>
      </c>
      <c r="I2864" s="1009">
        <v>5002031</v>
      </c>
      <c r="J2864" s="1007" t="s">
        <v>1825</v>
      </c>
      <c r="O2864" s="1007" t="s">
        <v>648</v>
      </c>
      <c r="P2864" s="1007" t="s">
        <v>648</v>
      </c>
      <c r="S2864" s="1008" t="s">
        <v>650</v>
      </c>
      <c r="T2864" s="1008" t="s">
        <v>654</v>
      </c>
      <c r="U2864" s="1008" t="s">
        <v>653</v>
      </c>
      <c r="V2864" s="1008" t="s">
        <v>648</v>
      </c>
      <c r="W2864" s="1008" t="s">
        <v>546</v>
      </c>
      <c r="X2864" s="1008" t="s">
        <v>670</v>
      </c>
      <c r="Y2864" s="1008"/>
      <c r="Z2864" s="1008"/>
      <c r="AA2864" s="1008"/>
      <c r="AB2864" s="1008"/>
      <c r="AC2864" s="1008" t="s">
        <v>670</v>
      </c>
      <c r="AD2864" s="1008"/>
      <c r="AE2864" s="1008"/>
      <c r="AF2864" s="1008"/>
      <c r="AG2864" s="1008"/>
      <c r="AH2864" s="1008"/>
      <c r="AI2864" s="1008"/>
    </row>
    <row r="2865" spans="1:35">
      <c r="A2865" s="1008">
        <v>23746</v>
      </c>
      <c r="B2865" s="1008">
        <v>966</v>
      </c>
      <c r="C2865" s="1008">
        <v>6</v>
      </c>
      <c r="D2865" s="1009">
        <v>59699999</v>
      </c>
      <c r="E2865" s="1009">
        <v>59611000</v>
      </c>
      <c r="F2865" s="1007" t="s">
        <v>1629</v>
      </c>
      <c r="G2865" s="1007">
        <v>7</v>
      </c>
      <c r="H2865" s="1010">
        <v>5099999</v>
      </c>
      <c r="I2865" s="1009">
        <v>5002036</v>
      </c>
      <c r="J2865" s="1007" t="s">
        <v>1824</v>
      </c>
      <c r="O2865" s="1007" t="s">
        <v>648</v>
      </c>
      <c r="P2865" s="1007" t="s">
        <v>648</v>
      </c>
      <c r="S2865" s="1008" t="s">
        <v>650</v>
      </c>
      <c r="T2865" s="1008" t="s">
        <v>654</v>
      </c>
      <c r="U2865" s="1008" t="s">
        <v>653</v>
      </c>
      <c r="V2865" s="1008" t="s">
        <v>648</v>
      </c>
      <c r="W2865" s="1008" t="s">
        <v>546</v>
      </c>
      <c r="X2865" s="1008" t="s">
        <v>670</v>
      </c>
      <c r="Y2865" s="1008"/>
      <c r="Z2865" s="1008"/>
      <c r="AA2865" s="1008"/>
      <c r="AB2865" s="1008"/>
      <c r="AC2865" s="1008" t="s">
        <v>670</v>
      </c>
      <c r="AD2865" s="1008"/>
      <c r="AE2865" s="1008"/>
      <c r="AF2865" s="1008"/>
      <c r="AG2865" s="1008"/>
      <c r="AH2865" s="1008"/>
      <c r="AI2865" s="1008"/>
    </row>
    <row r="2866" spans="1:35">
      <c r="A2866" s="1008">
        <v>23746</v>
      </c>
      <c r="B2866" s="1008">
        <v>967</v>
      </c>
      <c r="C2866" s="1008">
        <v>6</v>
      </c>
      <c r="D2866" s="1009">
        <v>59699999</v>
      </c>
      <c r="E2866" s="1009">
        <v>59611000</v>
      </c>
      <c r="F2866" s="1007" t="s">
        <v>1629</v>
      </c>
      <c r="G2866" s="1007">
        <v>7</v>
      </c>
      <c r="H2866" s="1010">
        <v>5099999</v>
      </c>
      <c r="I2866" s="1009">
        <v>5002038</v>
      </c>
      <c r="J2866" s="1007" t="s">
        <v>1823</v>
      </c>
      <c r="O2866" s="1007" t="s">
        <v>648</v>
      </c>
      <c r="P2866" s="1007" t="s">
        <v>648</v>
      </c>
      <c r="S2866" s="1008" t="s">
        <v>650</v>
      </c>
      <c r="T2866" s="1008" t="s">
        <v>654</v>
      </c>
      <c r="U2866" s="1008" t="s">
        <v>653</v>
      </c>
      <c r="V2866" s="1008" t="s">
        <v>648</v>
      </c>
      <c r="W2866" s="1008" t="s">
        <v>546</v>
      </c>
      <c r="X2866" s="1008" t="s">
        <v>670</v>
      </c>
      <c r="Y2866" s="1008"/>
      <c r="Z2866" s="1008"/>
      <c r="AA2866" s="1008"/>
      <c r="AB2866" s="1008"/>
      <c r="AC2866" s="1008" t="s">
        <v>670</v>
      </c>
      <c r="AD2866" s="1008"/>
      <c r="AE2866" s="1008"/>
      <c r="AF2866" s="1008"/>
      <c r="AG2866" s="1008"/>
      <c r="AH2866" s="1008"/>
      <c r="AI2866" s="1008"/>
    </row>
    <row r="2867" spans="1:35">
      <c r="A2867" s="1008">
        <v>23746</v>
      </c>
      <c r="B2867" s="1008">
        <v>968</v>
      </c>
      <c r="C2867" s="1008">
        <v>6</v>
      </c>
      <c r="D2867" s="1009">
        <v>59699999</v>
      </c>
      <c r="E2867" s="1009">
        <v>59611000</v>
      </c>
      <c r="F2867" s="1007" t="s">
        <v>1629</v>
      </c>
      <c r="G2867" s="1007">
        <v>7</v>
      </c>
      <c r="H2867" s="1010">
        <v>5099999</v>
      </c>
      <c r="I2867" s="1009">
        <v>5002040</v>
      </c>
      <c r="J2867" s="1007" t="s">
        <v>1822</v>
      </c>
      <c r="O2867" s="1007" t="s">
        <v>648</v>
      </c>
      <c r="P2867" s="1007" t="s">
        <v>648</v>
      </c>
      <c r="S2867" s="1008" t="s">
        <v>650</v>
      </c>
      <c r="T2867" s="1008" t="s">
        <v>654</v>
      </c>
      <c r="U2867" s="1008" t="s">
        <v>653</v>
      </c>
      <c r="V2867" s="1008" t="s">
        <v>648</v>
      </c>
      <c r="W2867" s="1008" t="s">
        <v>546</v>
      </c>
      <c r="X2867" s="1008" t="s">
        <v>670</v>
      </c>
      <c r="Y2867" s="1008"/>
      <c r="Z2867" s="1008"/>
      <c r="AA2867" s="1008"/>
      <c r="AB2867" s="1008"/>
      <c r="AC2867" s="1008" t="s">
        <v>670</v>
      </c>
      <c r="AD2867" s="1008"/>
      <c r="AE2867" s="1008"/>
      <c r="AF2867" s="1008"/>
      <c r="AG2867" s="1008"/>
      <c r="AH2867" s="1008"/>
      <c r="AI2867" s="1008"/>
    </row>
    <row r="2868" spans="1:35">
      <c r="A2868" s="1008">
        <v>23746</v>
      </c>
      <c r="B2868" s="1008">
        <v>969</v>
      </c>
      <c r="C2868" s="1008">
        <v>6</v>
      </c>
      <c r="D2868" s="1009">
        <v>59699999</v>
      </c>
      <c r="E2868" s="1009">
        <v>59611000</v>
      </c>
      <c r="F2868" s="1007" t="s">
        <v>1629</v>
      </c>
      <c r="G2868" s="1007">
        <v>7</v>
      </c>
      <c r="H2868" s="1010">
        <v>5099999</v>
      </c>
      <c r="I2868" s="1009">
        <v>5002042</v>
      </c>
      <c r="J2868" s="1007" t="s">
        <v>1821</v>
      </c>
      <c r="O2868" s="1007" t="s">
        <v>648</v>
      </c>
      <c r="P2868" s="1007" t="s">
        <v>648</v>
      </c>
      <c r="S2868" s="1008" t="s">
        <v>650</v>
      </c>
      <c r="T2868" s="1008" t="s">
        <v>654</v>
      </c>
      <c r="U2868" s="1008" t="s">
        <v>653</v>
      </c>
      <c r="V2868" s="1008" t="s">
        <v>648</v>
      </c>
      <c r="W2868" s="1008" t="s">
        <v>546</v>
      </c>
      <c r="X2868" s="1008" t="s">
        <v>670</v>
      </c>
      <c r="Y2868" s="1008"/>
      <c r="Z2868" s="1008"/>
      <c r="AA2868" s="1008"/>
      <c r="AB2868" s="1008"/>
      <c r="AC2868" s="1008" t="s">
        <v>670</v>
      </c>
      <c r="AD2868" s="1008"/>
      <c r="AE2868" s="1008"/>
      <c r="AF2868" s="1008"/>
      <c r="AG2868" s="1008"/>
      <c r="AH2868" s="1008"/>
      <c r="AI2868" s="1008"/>
    </row>
    <row r="2869" spans="1:35">
      <c r="A2869" s="1008">
        <v>23746</v>
      </c>
      <c r="B2869" s="1008">
        <v>970</v>
      </c>
      <c r="C2869" s="1008">
        <v>6</v>
      </c>
      <c r="D2869" s="1009">
        <v>59699999</v>
      </c>
      <c r="E2869" s="1009">
        <v>59611000</v>
      </c>
      <c r="F2869" s="1007" t="s">
        <v>1629</v>
      </c>
      <c r="G2869" s="1007">
        <v>7</v>
      </c>
      <c r="H2869" s="1010">
        <v>5099999</v>
      </c>
      <c r="I2869" s="1009">
        <v>5002044</v>
      </c>
      <c r="J2869" s="1007" t="s">
        <v>1820</v>
      </c>
      <c r="O2869" s="1007" t="s">
        <v>648</v>
      </c>
      <c r="P2869" s="1007" t="s">
        <v>648</v>
      </c>
      <c r="S2869" s="1008" t="s">
        <v>650</v>
      </c>
      <c r="T2869" s="1008" t="s">
        <v>654</v>
      </c>
      <c r="U2869" s="1008" t="s">
        <v>653</v>
      </c>
      <c r="V2869" s="1008" t="s">
        <v>648</v>
      </c>
      <c r="W2869" s="1008" t="s">
        <v>546</v>
      </c>
      <c r="X2869" s="1008" t="s">
        <v>670</v>
      </c>
      <c r="Y2869" s="1008"/>
      <c r="Z2869" s="1008"/>
      <c r="AA2869" s="1008"/>
      <c r="AB2869" s="1008"/>
      <c r="AC2869" s="1008" t="s">
        <v>670</v>
      </c>
      <c r="AD2869" s="1008"/>
      <c r="AE2869" s="1008"/>
      <c r="AF2869" s="1008"/>
      <c r="AG2869" s="1008"/>
      <c r="AH2869" s="1008"/>
      <c r="AI2869" s="1008"/>
    </row>
    <row r="2870" spans="1:35">
      <c r="A2870" s="1008">
        <v>23746</v>
      </c>
      <c r="B2870" s="1008">
        <v>971</v>
      </c>
      <c r="C2870" s="1008">
        <v>6</v>
      </c>
      <c r="D2870" s="1009">
        <v>59699999</v>
      </c>
      <c r="E2870" s="1009">
        <v>59611000</v>
      </c>
      <c r="F2870" s="1007" t="s">
        <v>1629</v>
      </c>
      <c r="G2870" s="1007">
        <v>7</v>
      </c>
      <c r="H2870" s="1010">
        <v>5099999</v>
      </c>
      <c r="I2870" s="1009">
        <v>5002046</v>
      </c>
      <c r="J2870" s="1007" t="s">
        <v>1819</v>
      </c>
      <c r="O2870" s="1007" t="s">
        <v>648</v>
      </c>
      <c r="P2870" s="1007" t="s">
        <v>648</v>
      </c>
      <c r="S2870" s="1008" t="s">
        <v>650</v>
      </c>
      <c r="T2870" s="1008" t="s">
        <v>654</v>
      </c>
      <c r="U2870" s="1008" t="s">
        <v>653</v>
      </c>
      <c r="V2870" s="1008" t="s">
        <v>648</v>
      </c>
      <c r="W2870" s="1008" t="s">
        <v>546</v>
      </c>
      <c r="X2870" s="1008" t="s">
        <v>670</v>
      </c>
      <c r="Y2870" s="1008"/>
      <c r="Z2870" s="1008"/>
      <c r="AA2870" s="1008"/>
      <c r="AB2870" s="1008"/>
      <c r="AC2870" s="1008" t="s">
        <v>670</v>
      </c>
      <c r="AD2870" s="1008"/>
      <c r="AE2870" s="1008"/>
      <c r="AF2870" s="1008"/>
      <c r="AG2870" s="1008"/>
      <c r="AH2870" s="1008"/>
      <c r="AI2870" s="1008"/>
    </row>
    <row r="2871" spans="1:35">
      <c r="A2871" s="1008">
        <v>23746</v>
      </c>
      <c r="B2871" s="1008">
        <v>972</v>
      </c>
      <c r="C2871" s="1008">
        <v>6</v>
      </c>
      <c r="D2871" s="1009">
        <v>59699999</v>
      </c>
      <c r="E2871" s="1009">
        <v>59611000</v>
      </c>
      <c r="F2871" s="1007" t="s">
        <v>1629</v>
      </c>
      <c r="G2871" s="1007">
        <v>7</v>
      </c>
      <c r="H2871" s="1010">
        <v>5099999</v>
      </c>
      <c r="I2871" s="1009">
        <v>5002050</v>
      </c>
      <c r="J2871" s="1007" t="s">
        <v>1818</v>
      </c>
      <c r="O2871" s="1007" t="s">
        <v>648</v>
      </c>
      <c r="P2871" s="1007" t="s">
        <v>648</v>
      </c>
      <c r="S2871" s="1008" t="s">
        <v>650</v>
      </c>
      <c r="T2871" s="1008" t="s">
        <v>654</v>
      </c>
      <c r="U2871" s="1008" t="s">
        <v>653</v>
      </c>
      <c r="V2871" s="1008" t="s">
        <v>648</v>
      </c>
      <c r="W2871" s="1008" t="s">
        <v>546</v>
      </c>
      <c r="X2871" s="1008" t="s">
        <v>670</v>
      </c>
      <c r="Y2871" s="1008"/>
      <c r="Z2871" s="1008"/>
      <c r="AA2871" s="1008"/>
      <c r="AB2871" s="1008"/>
      <c r="AC2871" s="1008" t="s">
        <v>670</v>
      </c>
      <c r="AD2871" s="1008"/>
      <c r="AE2871" s="1008"/>
      <c r="AF2871" s="1008"/>
      <c r="AG2871" s="1008"/>
      <c r="AH2871" s="1008"/>
      <c r="AI2871" s="1008"/>
    </row>
    <row r="2872" spans="1:35">
      <c r="A2872" s="1008">
        <v>23746</v>
      </c>
      <c r="B2872" s="1008">
        <v>973</v>
      </c>
      <c r="C2872" s="1008">
        <v>6</v>
      </c>
      <c r="D2872" s="1009">
        <v>59699999</v>
      </c>
      <c r="E2872" s="1009">
        <v>59611000</v>
      </c>
      <c r="F2872" s="1007" t="s">
        <v>1629</v>
      </c>
      <c r="G2872" s="1007">
        <v>7</v>
      </c>
      <c r="H2872" s="1010">
        <v>5099999</v>
      </c>
      <c r="I2872" s="1009">
        <v>5002052</v>
      </c>
      <c r="J2872" s="1007" t="s">
        <v>1817</v>
      </c>
      <c r="O2872" s="1007" t="s">
        <v>648</v>
      </c>
      <c r="P2872" s="1007" t="s">
        <v>648</v>
      </c>
      <c r="S2872" s="1008" t="s">
        <v>650</v>
      </c>
      <c r="T2872" s="1008" t="s">
        <v>654</v>
      </c>
      <c r="U2872" s="1008" t="s">
        <v>653</v>
      </c>
      <c r="V2872" s="1008" t="s">
        <v>648</v>
      </c>
      <c r="W2872" s="1008" t="s">
        <v>546</v>
      </c>
      <c r="X2872" s="1008" t="s">
        <v>670</v>
      </c>
      <c r="Y2872" s="1008"/>
      <c r="Z2872" s="1008"/>
      <c r="AA2872" s="1008"/>
      <c r="AB2872" s="1008"/>
      <c r="AC2872" s="1008" t="s">
        <v>670</v>
      </c>
      <c r="AD2872" s="1008"/>
      <c r="AE2872" s="1008"/>
      <c r="AF2872" s="1008"/>
      <c r="AG2872" s="1008"/>
      <c r="AH2872" s="1008"/>
      <c r="AI2872" s="1008"/>
    </row>
    <row r="2873" spans="1:35">
      <c r="A2873" s="1008">
        <v>23746</v>
      </c>
      <c r="B2873" s="1008">
        <v>974</v>
      </c>
      <c r="C2873" s="1008">
        <v>6</v>
      </c>
      <c r="D2873" s="1009">
        <v>59699999</v>
      </c>
      <c r="E2873" s="1009">
        <v>59611000</v>
      </c>
      <c r="F2873" s="1007" t="s">
        <v>1629</v>
      </c>
      <c r="G2873" s="1007">
        <v>7</v>
      </c>
      <c r="H2873" s="1010">
        <v>5099999</v>
      </c>
      <c r="I2873" s="1009">
        <v>5002055</v>
      </c>
      <c r="J2873" s="1007" t="s">
        <v>1816</v>
      </c>
      <c r="O2873" s="1007" t="s">
        <v>648</v>
      </c>
      <c r="P2873" s="1007" t="s">
        <v>648</v>
      </c>
      <c r="S2873" s="1008" t="s">
        <v>650</v>
      </c>
      <c r="T2873" s="1008" t="s">
        <v>654</v>
      </c>
      <c r="U2873" s="1008" t="s">
        <v>653</v>
      </c>
      <c r="V2873" s="1008" t="s">
        <v>648</v>
      </c>
      <c r="W2873" s="1008" t="s">
        <v>546</v>
      </c>
      <c r="X2873" s="1008" t="s">
        <v>670</v>
      </c>
      <c r="Y2873" s="1008"/>
      <c r="Z2873" s="1008"/>
      <c r="AA2873" s="1008"/>
      <c r="AB2873" s="1008"/>
      <c r="AC2873" s="1008" t="s">
        <v>670</v>
      </c>
      <c r="AD2873" s="1008"/>
      <c r="AE2873" s="1008"/>
      <c r="AF2873" s="1008"/>
      <c r="AG2873" s="1008"/>
      <c r="AH2873" s="1008"/>
      <c r="AI2873" s="1008"/>
    </row>
    <row r="2874" spans="1:35">
      <c r="A2874" s="1008">
        <v>23746</v>
      </c>
      <c r="B2874" s="1008">
        <v>975</v>
      </c>
      <c r="C2874" s="1008">
        <v>6</v>
      </c>
      <c r="D2874" s="1009">
        <v>59699999</v>
      </c>
      <c r="E2874" s="1009">
        <v>59611000</v>
      </c>
      <c r="F2874" s="1007" t="s">
        <v>1629</v>
      </c>
      <c r="G2874" s="1007">
        <v>7</v>
      </c>
      <c r="H2874" s="1010">
        <v>5099999</v>
      </c>
      <c r="I2874" s="1009">
        <v>5002056</v>
      </c>
      <c r="J2874" s="1007" t="s">
        <v>1815</v>
      </c>
      <c r="O2874" s="1007" t="s">
        <v>648</v>
      </c>
      <c r="P2874" s="1007" t="s">
        <v>648</v>
      </c>
      <c r="S2874" s="1008" t="s">
        <v>650</v>
      </c>
      <c r="T2874" s="1008" t="s">
        <v>654</v>
      </c>
      <c r="U2874" s="1008" t="s">
        <v>653</v>
      </c>
      <c r="V2874" s="1008" t="s">
        <v>648</v>
      </c>
      <c r="W2874" s="1008" t="s">
        <v>546</v>
      </c>
      <c r="X2874" s="1008" t="s">
        <v>670</v>
      </c>
      <c r="Y2874" s="1008"/>
      <c r="Z2874" s="1008"/>
      <c r="AA2874" s="1008"/>
      <c r="AB2874" s="1008"/>
      <c r="AC2874" s="1008" t="s">
        <v>670</v>
      </c>
      <c r="AD2874" s="1008"/>
      <c r="AE2874" s="1008"/>
      <c r="AF2874" s="1008"/>
      <c r="AG2874" s="1008"/>
      <c r="AH2874" s="1008"/>
      <c r="AI2874" s="1008"/>
    </row>
    <row r="2875" spans="1:35">
      <c r="A2875" s="1008">
        <v>23746</v>
      </c>
      <c r="B2875" s="1008">
        <v>976</v>
      </c>
      <c r="C2875" s="1008">
        <v>6</v>
      </c>
      <c r="D2875" s="1009">
        <v>59699999</v>
      </c>
      <c r="E2875" s="1009">
        <v>59611000</v>
      </c>
      <c r="F2875" s="1007" t="s">
        <v>1629</v>
      </c>
      <c r="G2875" s="1007">
        <v>7</v>
      </c>
      <c r="H2875" s="1010">
        <v>5099999</v>
      </c>
      <c r="I2875" s="1009">
        <v>5002058</v>
      </c>
      <c r="J2875" s="1007" t="s">
        <v>1814</v>
      </c>
      <c r="O2875" s="1007" t="s">
        <v>648</v>
      </c>
      <c r="P2875" s="1007" t="s">
        <v>648</v>
      </c>
      <c r="S2875" s="1008" t="s">
        <v>650</v>
      </c>
      <c r="T2875" s="1008" t="s">
        <v>654</v>
      </c>
      <c r="U2875" s="1008" t="s">
        <v>653</v>
      </c>
      <c r="V2875" s="1008" t="s">
        <v>648</v>
      </c>
      <c r="W2875" s="1008" t="s">
        <v>546</v>
      </c>
      <c r="X2875" s="1008" t="s">
        <v>670</v>
      </c>
      <c r="Y2875" s="1008"/>
      <c r="Z2875" s="1008"/>
      <c r="AA2875" s="1008"/>
      <c r="AB2875" s="1008"/>
      <c r="AC2875" s="1008" t="s">
        <v>670</v>
      </c>
      <c r="AD2875" s="1008"/>
      <c r="AE2875" s="1008"/>
      <c r="AF2875" s="1008"/>
      <c r="AG2875" s="1008"/>
      <c r="AH2875" s="1008"/>
      <c r="AI2875" s="1008"/>
    </row>
    <row r="2876" spans="1:35">
      <c r="A2876" s="1008">
        <v>23746</v>
      </c>
      <c r="B2876" s="1008">
        <v>977</v>
      </c>
      <c r="C2876" s="1008">
        <v>6</v>
      </c>
      <c r="D2876" s="1009">
        <v>59699999</v>
      </c>
      <c r="E2876" s="1009">
        <v>59611000</v>
      </c>
      <c r="F2876" s="1007" t="s">
        <v>1629</v>
      </c>
      <c r="G2876" s="1007">
        <v>7</v>
      </c>
      <c r="H2876" s="1010">
        <v>5099999</v>
      </c>
      <c r="I2876" s="1009">
        <v>5002068</v>
      </c>
      <c r="J2876" s="1007" t="s">
        <v>1813</v>
      </c>
      <c r="O2876" s="1007" t="s">
        <v>648</v>
      </c>
      <c r="P2876" s="1007" t="s">
        <v>648</v>
      </c>
      <c r="S2876" s="1008" t="s">
        <v>650</v>
      </c>
      <c r="T2876" s="1008" t="s">
        <v>654</v>
      </c>
      <c r="U2876" s="1008" t="s">
        <v>653</v>
      </c>
      <c r="V2876" s="1008" t="s">
        <v>648</v>
      </c>
      <c r="W2876" s="1008" t="s">
        <v>546</v>
      </c>
      <c r="X2876" s="1008" t="s">
        <v>670</v>
      </c>
      <c r="Y2876" s="1008"/>
      <c r="Z2876" s="1008"/>
      <c r="AA2876" s="1008"/>
      <c r="AB2876" s="1008"/>
      <c r="AC2876" s="1008" t="s">
        <v>670</v>
      </c>
      <c r="AD2876" s="1008"/>
      <c r="AE2876" s="1008"/>
      <c r="AF2876" s="1008"/>
      <c r="AG2876" s="1008"/>
      <c r="AH2876" s="1008"/>
      <c r="AI2876" s="1008"/>
    </row>
    <row r="2877" spans="1:35">
      <c r="A2877" s="1008">
        <v>23746</v>
      </c>
      <c r="B2877" s="1008">
        <v>978</v>
      </c>
      <c r="C2877" s="1008">
        <v>6</v>
      </c>
      <c r="D2877" s="1009">
        <v>59699999</v>
      </c>
      <c r="E2877" s="1009">
        <v>59611000</v>
      </c>
      <c r="F2877" s="1007" t="s">
        <v>1629</v>
      </c>
      <c r="G2877" s="1007">
        <v>7</v>
      </c>
      <c r="H2877" s="1010">
        <v>5099999</v>
      </c>
      <c r="I2877" s="1009">
        <v>5002070</v>
      </c>
      <c r="J2877" s="1007" t="s">
        <v>1812</v>
      </c>
      <c r="O2877" s="1007" t="s">
        <v>648</v>
      </c>
      <c r="P2877" s="1007" t="s">
        <v>648</v>
      </c>
      <c r="S2877" s="1008" t="s">
        <v>650</v>
      </c>
      <c r="T2877" s="1008" t="s">
        <v>654</v>
      </c>
      <c r="U2877" s="1008" t="s">
        <v>653</v>
      </c>
      <c r="V2877" s="1008" t="s">
        <v>648</v>
      </c>
      <c r="W2877" s="1008" t="s">
        <v>546</v>
      </c>
      <c r="X2877" s="1008" t="s">
        <v>670</v>
      </c>
      <c r="Y2877" s="1008"/>
      <c r="Z2877" s="1008"/>
      <c r="AA2877" s="1008"/>
      <c r="AB2877" s="1008"/>
      <c r="AC2877" s="1008" t="s">
        <v>670</v>
      </c>
      <c r="AD2877" s="1008"/>
      <c r="AE2877" s="1008"/>
      <c r="AF2877" s="1008"/>
      <c r="AG2877" s="1008"/>
      <c r="AH2877" s="1008"/>
      <c r="AI2877" s="1008"/>
    </row>
    <row r="2878" spans="1:35">
      <c r="A2878" s="1008">
        <v>23746</v>
      </c>
      <c r="B2878" s="1008">
        <v>979</v>
      </c>
      <c r="C2878" s="1008">
        <v>6</v>
      </c>
      <c r="D2878" s="1009">
        <v>59699999</v>
      </c>
      <c r="E2878" s="1009">
        <v>59611000</v>
      </c>
      <c r="F2878" s="1007" t="s">
        <v>1629</v>
      </c>
      <c r="G2878" s="1007">
        <v>7</v>
      </c>
      <c r="H2878" s="1010">
        <v>5099999</v>
      </c>
      <c r="I2878" s="1009">
        <v>5002073</v>
      </c>
      <c r="J2878" s="1007" t="s">
        <v>1811</v>
      </c>
      <c r="O2878" s="1007" t="s">
        <v>648</v>
      </c>
      <c r="P2878" s="1007" t="s">
        <v>648</v>
      </c>
      <c r="S2878" s="1008" t="s">
        <v>650</v>
      </c>
      <c r="T2878" s="1008" t="s">
        <v>654</v>
      </c>
      <c r="U2878" s="1008" t="s">
        <v>653</v>
      </c>
      <c r="V2878" s="1008" t="s">
        <v>648</v>
      </c>
      <c r="W2878" s="1008" t="s">
        <v>546</v>
      </c>
      <c r="X2878" s="1008" t="s">
        <v>670</v>
      </c>
      <c r="Y2878" s="1008"/>
      <c r="Z2878" s="1008"/>
      <c r="AA2878" s="1008"/>
      <c r="AB2878" s="1008"/>
      <c r="AC2878" s="1008" t="s">
        <v>670</v>
      </c>
      <c r="AD2878" s="1008"/>
      <c r="AE2878" s="1008"/>
      <c r="AF2878" s="1008"/>
      <c r="AG2878" s="1008"/>
      <c r="AH2878" s="1008"/>
      <c r="AI2878" s="1008"/>
    </row>
    <row r="2879" spans="1:35">
      <c r="A2879" s="1008">
        <v>23746</v>
      </c>
      <c r="B2879" s="1008">
        <v>980</v>
      </c>
      <c r="C2879" s="1008">
        <v>6</v>
      </c>
      <c r="D2879" s="1009">
        <v>59699999</v>
      </c>
      <c r="E2879" s="1009">
        <v>59611000</v>
      </c>
      <c r="F2879" s="1007" t="s">
        <v>1629</v>
      </c>
      <c r="G2879" s="1007">
        <v>7</v>
      </c>
      <c r="H2879" s="1010">
        <v>5099999</v>
      </c>
      <c r="I2879" s="1009">
        <v>5002077</v>
      </c>
      <c r="J2879" s="1007" t="s">
        <v>1810</v>
      </c>
      <c r="O2879" s="1007" t="s">
        <v>648</v>
      </c>
      <c r="P2879" s="1007" t="s">
        <v>648</v>
      </c>
      <c r="S2879" s="1008" t="s">
        <v>650</v>
      </c>
      <c r="T2879" s="1008" t="s">
        <v>654</v>
      </c>
      <c r="U2879" s="1008" t="s">
        <v>653</v>
      </c>
      <c r="V2879" s="1008" t="s">
        <v>648</v>
      </c>
      <c r="W2879" s="1008" t="s">
        <v>546</v>
      </c>
      <c r="X2879" s="1008" t="s">
        <v>670</v>
      </c>
      <c r="Y2879" s="1008"/>
      <c r="Z2879" s="1008"/>
      <c r="AA2879" s="1008"/>
      <c r="AB2879" s="1008"/>
      <c r="AC2879" s="1008" t="s">
        <v>670</v>
      </c>
      <c r="AD2879" s="1008"/>
      <c r="AE2879" s="1008"/>
      <c r="AF2879" s="1008"/>
      <c r="AG2879" s="1008"/>
      <c r="AH2879" s="1008"/>
      <c r="AI2879" s="1008"/>
    </row>
    <row r="2880" spans="1:35">
      <c r="A2880" s="1008">
        <v>23746</v>
      </c>
      <c r="B2880" s="1008">
        <v>981</v>
      </c>
      <c r="C2880" s="1008">
        <v>6</v>
      </c>
      <c r="D2880" s="1009">
        <v>59699999</v>
      </c>
      <c r="E2880" s="1009">
        <v>59611000</v>
      </c>
      <c r="F2880" s="1007" t="s">
        <v>1629</v>
      </c>
      <c r="G2880" s="1007">
        <v>7</v>
      </c>
      <c r="H2880" s="1010">
        <v>5099999</v>
      </c>
      <c r="I2880" s="1009">
        <v>5002080</v>
      </c>
      <c r="J2880" s="1007" t="s">
        <v>1809</v>
      </c>
      <c r="O2880" s="1007" t="s">
        <v>648</v>
      </c>
      <c r="P2880" s="1007" t="s">
        <v>648</v>
      </c>
      <c r="S2880" s="1008" t="s">
        <v>650</v>
      </c>
      <c r="T2880" s="1008" t="s">
        <v>654</v>
      </c>
      <c r="U2880" s="1008" t="s">
        <v>653</v>
      </c>
      <c r="V2880" s="1008" t="s">
        <v>648</v>
      </c>
      <c r="W2880" s="1008" t="s">
        <v>546</v>
      </c>
      <c r="X2880" s="1008" t="s">
        <v>670</v>
      </c>
      <c r="Y2880" s="1008"/>
      <c r="Z2880" s="1008"/>
      <c r="AA2880" s="1008"/>
      <c r="AB2880" s="1008"/>
      <c r="AC2880" s="1008" t="s">
        <v>670</v>
      </c>
      <c r="AD2880" s="1008"/>
      <c r="AE2880" s="1008"/>
      <c r="AF2880" s="1008"/>
      <c r="AG2880" s="1008"/>
      <c r="AH2880" s="1008"/>
      <c r="AI2880" s="1008"/>
    </row>
    <row r="2881" spans="1:35">
      <c r="A2881" s="1008">
        <v>23746</v>
      </c>
      <c r="B2881" s="1008">
        <v>982</v>
      </c>
      <c r="C2881" s="1008">
        <v>6</v>
      </c>
      <c r="D2881" s="1009">
        <v>59699999</v>
      </c>
      <c r="E2881" s="1009">
        <v>59611000</v>
      </c>
      <c r="F2881" s="1007" t="s">
        <v>1629</v>
      </c>
      <c r="G2881" s="1007">
        <v>7</v>
      </c>
      <c r="H2881" s="1010">
        <v>5099999</v>
      </c>
      <c r="I2881" s="1009">
        <v>5002083</v>
      </c>
      <c r="J2881" s="1007" t="s">
        <v>1808</v>
      </c>
      <c r="O2881" s="1007" t="s">
        <v>648</v>
      </c>
      <c r="P2881" s="1007" t="s">
        <v>648</v>
      </c>
      <c r="S2881" s="1008" t="s">
        <v>650</v>
      </c>
      <c r="T2881" s="1008" t="s">
        <v>654</v>
      </c>
      <c r="U2881" s="1008" t="s">
        <v>653</v>
      </c>
      <c r="V2881" s="1008" t="s">
        <v>648</v>
      </c>
      <c r="W2881" s="1008" t="s">
        <v>546</v>
      </c>
      <c r="X2881" s="1008" t="s">
        <v>670</v>
      </c>
      <c r="Y2881" s="1008"/>
      <c r="Z2881" s="1008"/>
      <c r="AA2881" s="1008"/>
      <c r="AB2881" s="1008"/>
      <c r="AC2881" s="1008" t="s">
        <v>670</v>
      </c>
      <c r="AD2881" s="1008"/>
      <c r="AE2881" s="1008"/>
      <c r="AF2881" s="1008"/>
      <c r="AG2881" s="1008"/>
      <c r="AH2881" s="1008"/>
      <c r="AI2881" s="1008"/>
    </row>
    <row r="2882" spans="1:35">
      <c r="A2882" s="1008">
        <v>23746</v>
      </c>
      <c r="B2882" s="1008">
        <v>983</v>
      </c>
      <c r="C2882" s="1008">
        <v>6</v>
      </c>
      <c r="D2882" s="1009">
        <v>59699999</v>
      </c>
      <c r="E2882" s="1009">
        <v>59611000</v>
      </c>
      <c r="F2882" s="1007" t="s">
        <v>1629</v>
      </c>
      <c r="G2882" s="1007">
        <v>7</v>
      </c>
      <c r="H2882" s="1010">
        <v>5099999</v>
      </c>
      <c r="I2882" s="1009">
        <v>5002084</v>
      </c>
      <c r="J2882" s="1007" t="s">
        <v>1807</v>
      </c>
      <c r="O2882" s="1007" t="s">
        <v>648</v>
      </c>
      <c r="P2882" s="1007" t="s">
        <v>648</v>
      </c>
      <c r="S2882" s="1008" t="s">
        <v>650</v>
      </c>
      <c r="T2882" s="1008" t="s">
        <v>654</v>
      </c>
      <c r="U2882" s="1008" t="s">
        <v>653</v>
      </c>
      <c r="V2882" s="1008" t="s">
        <v>648</v>
      </c>
      <c r="W2882" s="1008" t="s">
        <v>546</v>
      </c>
      <c r="X2882" s="1008" t="s">
        <v>670</v>
      </c>
      <c r="Y2882" s="1008"/>
      <c r="Z2882" s="1008"/>
      <c r="AA2882" s="1008"/>
      <c r="AB2882" s="1008"/>
      <c r="AC2882" s="1008" t="s">
        <v>670</v>
      </c>
      <c r="AD2882" s="1008"/>
      <c r="AE2882" s="1008"/>
      <c r="AF2882" s="1008"/>
      <c r="AG2882" s="1008"/>
      <c r="AH2882" s="1008"/>
      <c r="AI2882" s="1008"/>
    </row>
    <row r="2883" spans="1:35">
      <c r="A2883" s="1008">
        <v>23746</v>
      </c>
      <c r="B2883" s="1008">
        <v>999</v>
      </c>
      <c r="C2883" s="1008">
        <v>6</v>
      </c>
      <c r="D2883" s="1009">
        <v>59699999</v>
      </c>
      <c r="E2883" s="1009">
        <v>59611000</v>
      </c>
      <c r="F2883" s="1007" t="s">
        <v>1629</v>
      </c>
      <c r="G2883" s="1007">
        <v>7</v>
      </c>
      <c r="H2883" s="1010">
        <v>5099999</v>
      </c>
      <c r="I2883" s="1009">
        <v>5002085</v>
      </c>
      <c r="J2883" s="1007" t="s">
        <v>1806</v>
      </c>
      <c r="O2883" s="1007" t="s">
        <v>648</v>
      </c>
      <c r="P2883" s="1007" t="s">
        <v>648</v>
      </c>
      <c r="S2883" s="1008" t="s">
        <v>650</v>
      </c>
      <c r="T2883" s="1008" t="s">
        <v>654</v>
      </c>
      <c r="U2883" s="1008" t="s">
        <v>653</v>
      </c>
      <c r="V2883" s="1008" t="s">
        <v>648</v>
      </c>
      <c r="W2883" s="1008" t="s">
        <v>546</v>
      </c>
      <c r="X2883" s="1008" t="s">
        <v>670</v>
      </c>
      <c r="Y2883" s="1008"/>
      <c r="Z2883" s="1008"/>
      <c r="AA2883" s="1008"/>
      <c r="AB2883" s="1008"/>
      <c r="AC2883" s="1008" t="s">
        <v>670</v>
      </c>
      <c r="AD2883" s="1008"/>
      <c r="AE2883" s="1008"/>
      <c r="AF2883" s="1008"/>
      <c r="AG2883" s="1008"/>
      <c r="AH2883" s="1008"/>
      <c r="AI2883" s="1008"/>
    </row>
    <row r="2884" spans="1:35">
      <c r="A2884" s="1008">
        <v>23746</v>
      </c>
      <c r="B2884" s="1008">
        <v>984</v>
      </c>
      <c r="C2884" s="1008">
        <v>6</v>
      </c>
      <c r="D2884" s="1009">
        <v>59699999</v>
      </c>
      <c r="E2884" s="1009">
        <v>59611000</v>
      </c>
      <c r="F2884" s="1007" t="s">
        <v>1629</v>
      </c>
      <c r="G2884" s="1007">
        <v>7</v>
      </c>
      <c r="H2884" s="1010">
        <v>5099999</v>
      </c>
      <c r="I2884" s="1009">
        <v>5002086</v>
      </c>
      <c r="J2884" s="1007" t="s">
        <v>1805</v>
      </c>
      <c r="O2884" s="1007" t="s">
        <v>648</v>
      </c>
      <c r="P2884" s="1007" t="s">
        <v>648</v>
      </c>
      <c r="S2884" s="1008" t="s">
        <v>650</v>
      </c>
      <c r="T2884" s="1008" t="s">
        <v>654</v>
      </c>
      <c r="U2884" s="1008" t="s">
        <v>653</v>
      </c>
      <c r="V2884" s="1008" t="s">
        <v>648</v>
      </c>
      <c r="W2884" s="1008" t="s">
        <v>546</v>
      </c>
      <c r="X2884" s="1008" t="s">
        <v>670</v>
      </c>
      <c r="Y2884" s="1008"/>
      <c r="Z2884" s="1008"/>
      <c r="AA2884" s="1008"/>
      <c r="AB2884" s="1008"/>
      <c r="AC2884" s="1008" t="s">
        <v>670</v>
      </c>
      <c r="AD2884" s="1008"/>
      <c r="AE2884" s="1008"/>
      <c r="AF2884" s="1008"/>
      <c r="AG2884" s="1008"/>
      <c r="AH2884" s="1008"/>
      <c r="AI2884" s="1008"/>
    </row>
    <row r="2885" spans="1:35">
      <c r="A2885" s="1008">
        <v>23746</v>
      </c>
      <c r="B2885" s="1008">
        <v>985</v>
      </c>
      <c r="C2885" s="1008">
        <v>6</v>
      </c>
      <c r="D2885" s="1009">
        <v>59699999</v>
      </c>
      <c r="E2885" s="1009">
        <v>59611000</v>
      </c>
      <c r="F2885" s="1007" t="s">
        <v>1629</v>
      </c>
      <c r="G2885" s="1007">
        <v>7</v>
      </c>
      <c r="H2885" s="1010">
        <v>5099999</v>
      </c>
      <c r="I2885" s="1009">
        <v>5002090</v>
      </c>
      <c r="J2885" s="1007" t="s">
        <v>1804</v>
      </c>
      <c r="O2885" s="1007" t="s">
        <v>648</v>
      </c>
      <c r="P2885" s="1007" t="s">
        <v>648</v>
      </c>
      <c r="S2885" s="1008" t="s">
        <v>650</v>
      </c>
      <c r="T2885" s="1008" t="s">
        <v>654</v>
      </c>
      <c r="U2885" s="1008" t="s">
        <v>653</v>
      </c>
      <c r="V2885" s="1008" t="s">
        <v>648</v>
      </c>
      <c r="W2885" s="1008" t="s">
        <v>546</v>
      </c>
      <c r="X2885" s="1008" t="s">
        <v>670</v>
      </c>
      <c r="Y2885" s="1008"/>
      <c r="Z2885" s="1008"/>
      <c r="AA2885" s="1008"/>
      <c r="AB2885" s="1008"/>
      <c r="AC2885" s="1008" t="s">
        <v>670</v>
      </c>
      <c r="AD2885" s="1008"/>
      <c r="AE2885" s="1008"/>
      <c r="AF2885" s="1008"/>
      <c r="AG2885" s="1008"/>
      <c r="AH2885" s="1008"/>
      <c r="AI2885" s="1008"/>
    </row>
    <row r="2886" spans="1:35">
      <c r="A2886" s="1008">
        <v>23746</v>
      </c>
      <c r="B2886" s="1008">
        <v>986</v>
      </c>
      <c r="C2886" s="1008">
        <v>6</v>
      </c>
      <c r="D2886" s="1009">
        <v>59699999</v>
      </c>
      <c r="E2886" s="1009">
        <v>59611000</v>
      </c>
      <c r="F2886" s="1007" t="s">
        <v>1629</v>
      </c>
      <c r="G2886" s="1007">
        <v>7</v>
      </c>
      <c r="H2886" s="1010">
        <v>5099999</v>
      </c>
      <c r="I2886" s="1009">
        <v>5002097</v>
      </c>
      <c r="J2886" s="1007" t="s">
        <v>1803</v>
      </c>
      <c r="O2886" s="1007" t="s">
        <v>648</v>
      </c>
      <c r="P2886" s="1007" t="s">
        <v>648</v>
      </c>
      <c r="S2886" s="1008" t="s">
        <v>650</v>
      </c>
      <c r="T2886" s="1008" t="s">
        <v>654</v>
      </c>
      <c r="U2886" s="1008" t="s">
        <v>653</v>
      </c>
      <c r="V2886" s="1008" t="s">
        <v>648</v>
      </c>
      <c r="W2886" s="1008" t="s">
        <v>546</v>
      </c>
      <c r="X2886" s="1008" t="s">
        <v>670</v>
      </c>
      <c r="Y2886" s="1008"/>
      <c r="Z2886" s="1008"/>
      <c r="AA2886" s="1008"/>
      <c r="AB2886" s="1008"/>
      <c r="AC2886" s="1008" t="s">
        <v>670</v>
      </c>
      <c r="AD2886" s="1008"/>
      <c r="AE2886" s="1008"/>
      <c r="AF2886" s="1008"/>
      <c r="AG2886" s="1008"/>
      <c r="AH2886" s="1008"/>
      <c r="AI2886" s="1008"/>
    </row>
    <row r="2887" spans="1:35">
      <c r="A2887" s="1008">
        <v>23746</v>
      </c>
      <c r="B2887" s="1008">
        <v>864</v>
      </c>
      <c r="C2887" s="1008">
        <v>6</v>
      </c>
      <c r="D2887" s="1009">
        <v>59699999</v>
      </c>
      <c r="E2887" s="1009">
        <v>59611000</v>
      </c>
      <c r="F2887" s="1007" t="s">
        <v>1629</v>
      </c>
      <c r="G2887" s="1007">
        <v>7</v>
      </c>
      <c r="H2887" s="1010">
        <v>5099999</v>
      </c>
      <c r="I2887" s="1009">
        <v>5003005</v>
      </c>
      <c r="J2887" s="1007" t="s">
        <v>1802</v>
      </c>
      <c r="O2887" s="1007" t="s">
        <v>648</v>
      </c>
      <c r="P2887" s="1007" t="s">
        <v>648</v>
      </c>
      <c r="S2887" s="1008" t="s">
        <v>650</v>
      </c>
      <c r="T2887" s="1008" t="s">
        <v>654</v>
      </c>
      <c r="U2887" s="1008" t="s">
        <v>653</v>
      </c>
      <c r="V2887" s="1008" t="s">
        <v>648</v>
      </c>
      <c r="W2887" s="1008" t="s">
        <v>546</v>
      </c>
      <c r="X2887" s="1008" t="s">
        <v>670</v>
      </c>
      <c r="Y2887" s="1008"/>
      <c r="Z2887" s="1008"/>
      <c r="AA2887" s="1008"/>
      <c r="AB2887" s="1008"/>
      <c r="AC2887" s="1008" t="s">
        <v>670</v>
      </c>
      <c r="AD2887" s="1008"/>
      <c r="AE2887" s="1008"/>
      <c r="AF2887" s="1008"/>
      <c r="AG2887" s="1008"/>
      <c r="AH2887" s="1008"/>
      <c r="AI2887" s="1008"/>
    </row>
    <row r="2888" spans="1:35">
      <c r="A2888" s="1008">
        <v>23746</v>
      </c>
      <c r="B2888" s="1008">
        <v>987</v>
      </c>
      <c r="C2888" s="1008">
        <v>6</v>
      </c>
      <c r="D2888" s="1009">
        <v>59699999</v>
      </c>
      <c r="E2888" s="1009">
        <v>59611000</v>
      </c>
      <c r="F2888" s="1007" t="s">
        <v>1629</v>
      </c>
      <c r="G2888" s="1007">
        <v>7</v>
      </c>
      <c r="H2888" s="1010">
        <v>5099999</v>
      </c>
      <c r="I2888" s="1009">
        <v>5003014</v>
      </c>
      <c r="J2888" s="1007" t="s">
        <v>1801</v>
      </c>
      <c r="O2888" s="1007" t="s">
        <v>648</v>
      </c>
      <c r="P2888" s="1007" t="s">
        <v>648</v>
      </c>
      <c r="S2888" s="1008" t="s">
        <v>650</v>
      </c>
      <c r="T2888" s="1008" t="s">
        <v>654</v>
      </c>
      <c r="U2888" s="1008" t="s">
        <v>653</v>
      </c>
      <c r="V2888" s="1008" t="s">
        <v>648</v>
      </c>
      <c r="W2888" s="1008" t="s">
        <v>546</v>
      </c>
      <c r="X2888" s="1008" t="s">
        <v>670</v>
      </c>
      <c r="Y2888" s="1008"/>
      <c r="Z2888" s="1008"/>
      <c r="AA2888" s="1008"/>
      <c r="AB2888" s="1008"/>
      <c r="AC2888" s="1008" t="s">
        <v>670</v>
      </c>
      <c r="AD2888" s="1008"/>
      <c r="AE2888" s="1008"/>
      <c r="AF2888" s="1008"/>
      <c r="AG2888" s="1008"/>
      <c r="AH2888" s="1008"/>
      <c r="AI2888" s="1008"/>
    </row>
    <row r="2889" spans="1:35">
      <c r="A2889" s="1008">
        <v>23746</v>
      </c>
      <c r="B2889" s="1008">
        <v>988</v>
      </c>
      <c r="C2889" s="1008">
        <v>6</v>
      </c>
      <c r="D2889" s="1009">
        <v>59699999</v>
      </c>
      <c r="E2889" s="1009">
        <v>59611000</v>
      </c>
      <c r="F2889" s="1007" t="s">
        <v>1629</v>
      </c>
      <c r="G2889" s="1007">
        <v>7</v>
      </c>
      <c r="H2889" s="1010">
        <v>5099999</v>
      </c>
      <c r="I2889" s="1009">
        <v>5003015</v>
      </c>
      <c r="J2889" s="1007" t="s">
        <v>1800</v>
      </c>
      <c r="O2889" s="1007" t="s">
        <v>648</v>
      </c>
      <c r="P2889" s="1007" t="s">
        <v>648</v>
      </c>
      <c r="S2889" s="1008" t="s">
        <v>650</v>
      </c>
      <c r="T2889" s="1008" t="s">
        <v>654</v>
      </c>
      <c r="U2889" s="1008" t="s">
        <v>653</v>
      </c>
      <c r="V2889" s="1008" t="s">
        <v>648</v>
      </c>
      <c r="W2889" s="1008" t="s">
        <v>546</v>
      </c>
      <c r="X2889" s="1008" t="s">
        <v>670</v>
      </c>
      <c r="Y2889" s="1008"/>
      <c r="Z2889" s="1008"/>
      <c r="AA2889" s="1008"/>
      <c r="AB2889" s="1008"/>
      <c r="AC2889" s="1008" t="s">
        <v>670</v>
      </c>
      <c r="AD2889" s="1008"/>
      <c r="AE2889" s="1008"/>
      <c r="AF2889" s="1008"/>
      <c r="AG2889" s="1008"/>
      <c r="AH2889" s="1008"/>
      <c r="AI2889" s="1008"/>
    </row>
    <row r="2890" spans="1:35">
      <c r="A2890" s="1008">
        <v>23746</v>
      </c>
      <c r="B2890" s="1008">
        <v>989</v>
      </c>
      <c r="C2890" s="1008">
        <v>6</v>
      </c>
      <c r="D2890" s="1009">
        <v>59699999</v>
      </c>
      <c r="E2890" s="1009">
        <v>59611000</v>
      </c>
      <c r="F2890" s="1007" t="s">
        <v>1629</v>
      </c>
      <c r="G2890" s="1007">
        <v>7</v>
      </c>
      <c r="H2890" s="1010">
        <v>5099999</v>
      </c>
      <c r="I2890" s="1009">
        <v>5003025</v>
      </c>
      <c r="J2890" s="1007" t="s">
        <v>1799</v>
      </c>
      <c r="O2890" s="1007" t="s">
        <v>648</v>
      </c>
      <c r="P2890" s="1007" t="s">
        <v>648</v>
      </c>
      <c r="S2890" s="1008" t="s">
        <v>650</v>
      </c>
      <c r="T2890" s="1008" t="s">
        <v>654</v>
      </c>
      <c r="U2890" s="1008" t="s">
        <v>653</v>
      </c>
      <c r="V2890" s="1008" t="s">
        <v>648</v>
      </c>
      <c r="W2890" s="1008" t="s">
        <v>546</v>
      </c>
      <c r="X2890" s="1008" t="s">
        <v>670</v>
      </c>
      <c r="Y2890" s="1008"/>
      <c r="Z2890" s="1008"/>
      <c r="AA2890" s="1008"/>
      <c r="AB2890" s="1008"/>
      <c r="AC2890" s="1008" t="s">
        <v>670</v>
      </c>
      <c r="AD2890" s="1008"/>
      <c r="AE2890" s="1008"/>
      <c r="AF2890" s="1008"/>
      <c r="AG2890" s="1008"/>
      <c r="AH2890" s="1008"/>
      <c r="AI2890" s="1008"/>
    </row>
    <row r="2891" spans="1:35">
      <c r="A2891" s="1008">
        <v>23746</v>
      </c>
      <c r="B2891" s="1008">
        <v>990</v>
      </c>
      <c r="C2891" s="1008">
        <v>6</v>
      </c>
      <c r="D2891" s="1009">
        <v>59699999</v>
      </c>
      <c r="E2891" s="1009">
        <v>59611000</v>
      </c>
      <c r="F2891" s="1007" t="s">
        <v>1629</v>
      </c>
      <c r="G2891" s="1007">
        <v>7</v>
      </c>
      <c r="H2891" s="1010">
        <v>5099999</v>
      </c>
      <c r="I2891" s="1009">
        <v>5003030</v>
      </c>
      <c r="J2891" s="1007" t="s">
        <v>1798</v>
      </c>
      <c r="O2891" s="1007" t="s">
        <v>648</v>
      </c>
      <c r="P2891" s="1007" t="s">
        <v>648</v>
      </c>
      <c r="S2891" s="1008" t="s">
        <v>650</v>
      </c>
      <c r="T2891" s="1008" t="s">
        <v>654</v>
      </c>
      <c r="U2891" s="1008" t="s">
        <v>653</v>
      </c>
      <c r="V2891" s="1008" t="s">
        <v>648</v>
      </c>
      <c r="W2891" s="1008" t="s">
        <v>546</v>
      </c>
      <c r="X2891" s="1008" t="s">
        <v>670</v>
      </c>
      <c r="Y2891" s="1008"/>
      <c r="Z2891" s="1008"/>
      <c r="AA2891" s="1008"/>
      <c r="AB2891" s="1008"/>
      <c r="AC2891" s="1008" t="s">
        <v>670</v>
      </c>
      <c r="AD2891" s="1008"/>
      <c r="AE2891" s="1008"/>
      <c r="AF2891" s="1008"/>
      <c r="AG2891" s="1008"/>
      <c r="AH2891" s="1008"/>
      <c r="AI2891" s="1008"/>
    </row>
    <row r="2892" spans="1:35">
      <c r="A2892" s="1008">
        <v>23746</v>
      </c>
      <c r="B2892" s="1008">
        <v>991</v>
      </c>
      <c r="C2892" s="1008">
        <v>6</v>
      </c>
      <c r="D2892" s="1009">
        <v>59699999</v>
      </c>
      <c r="E2892" s="1009">
        <v>59611000</v>
      </c>
      <c r="F2892" s="1007" t="s">
        <v>1629</v>
      </c>
      <c r="G2892" s="1007">
        <v>7</v>
      </c>
      <c r="H2892" s="1010">
        <v>5099999</v>
      </c>
      <c r="I2892" s="1009">
        <v>5003032</v>
      </c>
      <c r="J2892" s="1007" t="s">
        <v>1797</v>
      </c>
      <c r="O2892" s="1007" t="s">
        <v>648</v>
      </c>
      <c r="P2892" s="1007" t="s">
        <v>648</v>
      </c>
      <c r="S2892" s="1008" t="s">
        <v>650</v>
      </c>
      <c r="T2892" s="1008" t="s">
        <v>654</v>
      </c>
      <c r="U2892" s="1008" t="s">
        <v>653</v>
      </c>
      <c r="V2892" s="1008" t="s">
        <v>648</v>
      </c>
      <c r="W2892" s="1008" t="s">
        <v>546</v>
      </c>
      <c r="X2892" s="1008" t="s">
        <v>670</v>
      </c>
      <c r="Y2892" s="1008"/>
      <c r="Z2892" s="1008"/>
      <c r="AA2892" s="1008"/>
      <c r="AB2892" s="1008"/>
      <c r="AC2892" s="1008" t="s">
        <v>670</v>
      </c>
      <c r="AD2892" s="1008"/>
      <c r="AE2892" s="1008"/>
      <c r="AF2892" s="1008"/>
      <c r="AG2892" s="1008"/>
      <c r="AH2892" s="1008"/>
      <c r="AI2892" s="1008"/>
    </row>
    <row r="2893" spans="1:35">
      <c r="A2893" s="1008">
        <v>23746</v>
      </c>
      <c r="B2893" s="1008">
        <v>992</v>
      </c>
      <c r="C2893" s="1008">
        <v>6</v>
      </c>
      <c r="D2893" s="1009">
        <v>59699999</v>
      </c>
      <c r="E2893" s="1009">
        <v>59611000</v>
      </c>
      <c r="F2893" s="1007" t="s">
        <v>1629</v>
      </c>
      <c r="G2893" s="1007">
        <v>7</v>
      </c>
      <c r="H2893" s="1010">
        <v>5099999</v>
      </c>
      <c r="I2893" s="1009">
        <v>5003038</v>
      </c>
      <c r="J2893" s="1007" t="s">
        <v>1796</v>
      </c>
      <c r="O2893" s="1007" t="s">
        <v>648</v>
      </c>
      <c r="P2893" s="1007" t="s">
        <v>648</v>
      </c>
      <c r="S2893" s="1008" t="s">
        <v>650</v>
      </c>
      <c r="T2893" s="1008" t="s">
        <v>654</v>
      </c>
      <c r="U2893" s="1008" t="s">
        <v>653</v>
      </c>
      <c r="V2893" s="1008" t="s">
        <v>648</v>
      </c>
      <c r="W2893" s="1008" t="s">
        <v>546</v>
      </c>
      <c r="X2893" s="1008" t="s">
        <v>670</v>
      </c>
      <c r="Y2893" s="1008"/>
      <c r="Z2893" s="1008"/>
      <c r="AA2893" s="1008"/>
      <c r="AB2893" s="1008"/>
      <c r="AC2893" s="1008" t="s">
        <v>670</v>
      </c>
      <c r="AD2893" s="1008"/>
      <c r="AE2893" s="1008"/>
      <c r="AF2893" s="1008"/>
      <c r="AG2893" s="1008"/>
      <c r="AH2893" s="1008"/>
      <c r="AI2893" s="1008"/>
    </row>
    <row r="2894" spans="1:35">
      <c r="A2894" s="1008">
        <v>23746</v>
      </c>
      <c r="B2894" s="1008">
        <v>993</v>
      </c>
      <c r="C2894" s="1008">
        <v>6</v>
      </c>
      <c r="D2894" s="1009">
        <v>59699999</v>
      </c>
      <c r="E2894" s="1009">
        <v>59611000</v>
      </c>
      <c r="F2894" s="1007" t="s">
        <v>1629</v>
      </c>
      <c r="G2894" s="1007">
        <v>7</v>
      </c>
      <c r="H2894" s="1010">
        <v>5099999</v>
      </c>
      <c r="I2894" s="1009">
        <v>5003040</v>
      </c>
      <c r="J2894" s="1007" t="s">
        <v>1795</v>
      </c>
      <c r="O2894" s="1007" t="s">
        <v>648</v>
      </c>
      <c r="P2894" s="1007" t="s">
        <v>648</v>
      </c>
      <c r="S2894" s="1008" t="s">
        <v>650</v>
      </c>
      <c r="T2894" s="1008" t="s">
        <v>654</v>
      </c>
      <c r="U2894" s="1008" t="s">
        <v>653</v>
      </c>
      <c r="V2894" s="1008" t="s">
        <v>648</v>
      </c>
      <c r="W2894" s="1008" t="s">
        <v>546</v>
      </c>
      <c r="X2894" s="1008" t="s">
        <v>670</v>
      </c>
      <c r="Y2894" s="1008"/>
      <c r="Z2894" s="1008"/>
      <c r="AA2894" s="1008"/>
      <c r="AB2894" s="1008"/>
      <c r="AC2894" s="1008" t="s">
        <v>670</v>
      </c>
      <c r="AD2894" s="1008"/>
      <c r="AE2894" s="1008"/>
      <c r="AF2894" s="1008"/>
      <c r="AG2894" s="1008"/>
      <c r="AH2894" s="1008"/>
      <c r="AI2894" s="1008"/>
    </row>
    <row r="2895" spans="1:35">
      <c r="A2895" s="1008">
        <v>23746</v>
      </c>
      <c r="B2895" s="1008">
        <v>994</v>
      </c>
      <c r="C2895" s="1008">
        <v>6</v>
      </c>
      <c r="D2895" s="1009">
        <v>59699999</v>
      </c>
      <c r="E2895" s="1009">
        <v>59611000</v>
      </c>
      <c r="F2895" s="1007" t="s">
        <v>1629</v>
      </c>
      <c r="G2895" s="1007">
        <v>7</v>
      </c>
      <c r="H2895" s="1010">
        <v>5099999</v>
      </c>
      <c r="I2895" s="1009">
        <v>5003060</v>
      </c>
      <c r="J2895" s="1007" t="s">
        <v>1794</v>
      </c>
      <c r="O2895" s="1007" t="s">
        <v>648</v>
      </c>
      <c r="P2895" s="1007" t="s">
        <v>648</v>
      </c>
      <c r="S2895" s="1008" t="s">
        <v>650</v>
      </c>
      <c r="T2895" s="1008" t="s">
        <v>654</v>
      </c>
      <c r="U2895" s="1008" t="s">
        <v>653</v>
      </c>
      <c r="V2895" s="1008" t="s">
        <v>648</v>
      </c>
      <c r="W2895" s="1008" t="s">
        <v>546</v>
      </c>
      <c r="X2895" s="1008" t="s">
        <v>670</v>
      </c>
      <c r="Y2895" s="1008"/>
      <c r="Z2895" s="1008"/>
      <c r="AA2895" s="1008"/>
      <c r="AB2895" s="1008"/>
      <c r="AC2895" s="1008" t="s">
        <v>670</v>
      </c>
      <c r="AD2895" s="1008"/>
      <c r="AE2895" s="1008"/>
      <c r="AF2895" s="1008"/>
      <c r="AG2895" s="1008"/>
      <c r="AH2895" s="1008"/>
      <c r="AI2895" s="1008"/>
    </row>
    <row r="2896" spans="1:35">
      <c r="A2896" s="1008">
        <v>23746</v>
      </c>
      <c r="B2896" s="1008">
        <v>995</v>
      </c>
      <c r="C2896" s="1008">
        <v>6</v>
      </c>
      <c r="D2896" s="1009">
        <v>59699999</v>
      </c>
      <c r="E2896" s="1009">
        <v>59611000</v>
      </c>
      <c r="F2896" s="1007" t="s">
        <v>1629</v>
      </c>
      <c r="G2896" s="1007">
        <v>7</v>
      </c>
      <c r="H2896" s="1010">
        <v>5099999</v>
      </c>
      <c r="I2896" s="1009">
        <v>5003061</v>
      </c>
      <c r="J2896" s="1007" t="s">
        <v>1793</v>
      </c>
      <c r="O2896" s="1007" t="s">
        <v>648</v>
      </c>
      <c r="P2896" s="1007" t="s">
        <v>648</v>
      </c>
      <c r="S2896" s="1008" t="s">
        <v>650</v>
      </c>
      <c r="T2896" s="1008" t="s">
        <v>654</v>
      </c>
      <c r="U2896" s="1008" t="s">
        <v>653</v>
      </c>
      <c r="V2896" s="1008" t="s">
        <v>648</v>
      </c>
      <c r="W2896" s="1008" t="s">
        <v>546</v>
      </c>
      <c r="X2896" s="1008" t="s">
        <v>670</v>
      </c>
      <c r="Y2896" s="1008"/>
      <c r="Z2896" s="1008"/>
      <c r="AA2896" s="1008"/>
      <c r="AB2896" s="1008"/>
      <c r="AC2896" s="1008" t="s">
        <v>670</v>
      </c>
      <c r="AD2896" s="1008"/>
      <c r="AE2896" s="1008"/>
      <c r="AF2896" s="1008"/>
      <c r="AG2896" s="1008"/>
      <c r="AH2896" s="1008"/>
      <c r="AI2896" s="1008"/>
    </row>
    <row r="2897" spans="1:35">
      <c r="A2897" s="1008">
        <v>23746</v>
      </c>
      <c r="B2897" s="1008">
        <v>996</v>
      </c>
      <c r="C2897" s="1008">
        <v>6</v>
      </c>
      <c r="D2897" s="1009">
        <v>59699999</v>
      </c>
      <c r="E2897" s="1009">
        <v>59611000</v>
      </c>
      <c r="F2897" s="1007" t="s">
        <v>1629</v>
      </c>
      <c r="G2897" s="1007">
        <v>7</v>
      </c>
      <c r="H2897" s="1010">
        <v>5099999</v>
      </c>
      <c r="I2897" s="1009">
        <v>5003078</v>
      </c>
      <c r="J2897" s="1007" t="s">
        <v>1792</v>
      </c>
      <c r="O2897" s="1007" t="s">
        <v>648</v>
      </c>
      <c r="P2897" s="1007" t="s">
        <v>648</v>
      </c>
      <c r="S2897" s="1008" t="s">
        <v>650</v>
      </c>
      <c r="T2897" s="1008" t="s">
        <v>654</v>
      </c>
      <c r="U2897" s="1008" t="s">
        <v>653</v>
      </c>
      <c r="V2897" s="1008" t="s">
        <v>648</v>
      </c>
      <c r="W2897" s="1008" t="s">
        <v>546</v>
      </c>
      <c r="X2897" s="1008" t="s">
        <v>670</v>
      </c>
      <c r="Y2897" s="1008"/>
      <c r="Z2897" s="1008"/>
      <c r="AA2897" s="1008"/>
      <c r="AB2897" s="1008"/>
      <c r="AC2897" s="1008" t="s">
        <v>670</v>
      </c>
      <c r="AD2897" s="1008"/>
      <c r="AE2897" s="1008"/>
      <c r="AF2897" s="1008"/>
      <c r="AG2897" s="1008"/>
      <c r="AH2897" s="1008"/>
      <c r="AI2897" s="1008"/>
    </row>
    <row r="2898" spans="1:35">
      <c r="A2898" s="1008">
        <v>23746</v>
      </c>
      <c r="B2898" s="1008">
        <v>997</v>
      </c>
      <c r="C2898" s="1008">
        <v>6</v>
      </c>
      <c r="D2898" s="1009">
        <v>59699999</v>
      </c>
      <c r="E2898" s="1009">
        <v>59611000</v>
      </c>
      <c r="F2898" s="1007" t="s">
        <v>1629</v>
      </c>
      <c r="G2898" s="1007">
        <v>7</v>
      </c>
      <c r="H2898" s="1010">
        <v>5099999</v>
      </c>
      <c r="I2898" s="1009">
        <v>5003079</v>
      </c>
      <c r="J2898" s="1007" t="s">
        <v>1791</v>
      </c>
      <c r="O2898" s="1007" t="s">
        <v>648</v>
      </c>
      <c r="P2898" s="1007" t="s">
        <v>648</v>
      </c>
      <c r="S2898" s="1008" t="s">
        <v>650</v>
      </c>
      <c r="T2898" s="1008" t="s">
        <v>654</v>
      </c>
      <c r="U2898" s="1008" t="s">
        <v>653</v>
      </c>
      <c r="V2898" s="1008" t="s">
        <v>648</v>
      </c>
      <c r="W2898" s="1008" t="s">
        <v>546</v>
      </c>
      <c r="X2898" s="1008" t="s">
        <v>670</v>
      </c>
      <c r="Y2898" s="1008"/>
      <c r="Z2898" s="1008"/>
      <c r="AA2898" s="1008"/>
      <c r="AB2898" s="1008"/>
      <c r="AC2898" s="1008" t="s">
        <v>670</v>
      </c>
      <c r="AD2898" s="1008"/>
      <c r="AE2898" s="1008"/>
      <c r="AF2898" s="1008"/>
      <c r="AG2898" s="1008"/>
      <c r="AH2898" s="1008"/>
      <c r="AI2898" s="1008"/>
    </row>
    <row r="2899" spans="1:35">
      <c r="A2899" s="1008">
        <v>23746</v>
      </c>
      <c r="B2899" s="1008">
        <v>998</v>
      </c>
      <c r="C2899" s="1008">
        <v>6</v>
      </c>
      <c r="D2899" s="1009">
        <v>59699999</v>
      </c>
      <c r="E2899" s="1009">
        <v>59611000</v>
      </c>
      <c r="F2899" s="1007" t="s">
        <v>1629</v>
      </c>
      <c r="G2899" s="1007">
        <v>7</v>
      </c>
      <c r="H2899" s="1010">
        <v>5099999</v>
      </c>
      <c r="I2899" s="1009">
        <v>5003080</v>
      </c>
      <c r="J2899" s="1007" t="s">
        <v>1790</v>
      </c>
      <c r="O2899" s="1007" t="s">
        <v>648</v>
      </c>
      <c r="P2899" s="1007" t="s">
        <v>648</v>
      </c>
      <c r="S2899" s="1008" t="s">
        <v>650</v>
      </c>
      <c r="T2899" s="1008" t="s">
        <v>654</v>
      </c>
      <c r="U2899" s="1008" t="s">
        <v>653</v>
      </c>
      <c r="V2899" s="1008" t="s">
        <v>648</v>
      </c>
      <c r="W2899" s="1008" t="s">
        <v>546</v>
      </c>
      <c r="X2899" s="1008" t="s">
        <v>670</v>
      </c>
      <c r="Y2899" s="1008"/>
      <c r="Z2899" s="1008"/>
      <c r="AA2899" s="1008"/>
      <c r="AB2899" s="1008"/>
      <c r="AC2899" s="1008" t="s">
        <v>670</v>
      </c>
      <c r="AD2899" s="1008"/>
      <c r="AE2899" s="1008"/>
      <c r="AF2899" s="1008"/>
      <c r="AG2899" s="1008"/>
      <c r="AH2899" s="1008"/>
      <c r="AI2899" s="1008"/>
    </row>
    <row r="2900" spans="1:35">
      <c r="A2900" s="1008">
        <v>23746</v>
      </c>
      <c r="B2900" s="1008">
        <v>867</v>
      </c>
      <c r="C2900" s="1008">
        <v>6</v>
      </c>
      <c r="D2900" s="1009">
        <v>59699999</v>
      </c>
      <c r="E2900" s="1009">
        <v>59611000</v>
      </c>
      <c r="F2900" s="1007" t="s">
        <v>1629</v>
      </c>
      <c r="G2900" s="1007">
        <v>7</v>
      </c>
      <c r="H2900" s="1010">
        <v>5099999</v>
      </c>
      <c r="I2900" s="1009">
        <v>5004005</v>
      </c>
      <c r="J2900" s="1007" t="s">
        <v>1789</v>
      </c>
      <c r="O2900" s="1007" t="s">
        <v>648</v>
      </c>
      <c r="P2900" s="1007" t="s">
        <v>648</v>
      </c>
      <c r="S2900" s="1008" t="s">
        <v>650</v>
      </c>
      <c r="T2900" s="1008" t="s">
        <v>654</v>
      </c>
      <c r="U2900" s="1008" t="s">
        <v>653</v>
      </c>
      <c r="V2900" s="1008" t="s">
        <v>648</v>
      </c>
      <c r="W2900" s="1008" t="s">
        <v>546</v>
      </c>
      <c r="X2900" s="1008" t="s">
        <v>670</v>
      </c>
      <c r="Y2900" s="1008"/>
      <c r="Z2900" s="1008"/>
      <c r="AA2900" s="1008"/>
      <c r="AB2900" s="1008"/>
      <c r="AC2900" s="1008" t="s">
        <v>670</v>
      </c>
      <c r="AD2900" s="1008"/>
      <c r="AE2900" s="1008"/>
      <c r="AF2900" s="1008"/>
      <c r="AG2900" s="1008"/>
      <c r="AH2900" s="1008"/>
      <c r="AI2900" s="1008"/>
    </row>
    <row r="2901" spans="1:35">
      <c r="A2901" s="1008">
        <v>23746</v>
      </c>
      <c r="B2901" s="1008">
        <v>1000</v>
      </c>
      <c r="C2901" s="1008">
        <v>6</v>
      </c>
      <c r="D2901" s="1009">
        <v>59699999</v>
      </c>
      <c r="E2901" s="1009">
        <v>59611000</v>
      </c>
      <c r="F2901" s="1007" t="s">
        <v>1629</v>
      </c>
      <c r="G2901" s="1007">
        <v>7</v>
      </c>
      <c r="H2901" s="1010">
        <v>5099999</v>
      </c>
      <c r="I2901" s="1009">
        <v>5004020</v>
      </c>
      <c r="J2901" s="1007" t="s">
        <v>1788</v>
      </c>
      <c r="O2901" s="1007" t="s">
        <v>648</v>
      </c>
      <c r="P2901" s="1007" t="s">
        <v>648</v>
      </c>
      <c r="S2901" s="1008" t="s">
        <v>650</v>
      </c>
      <c r="T2901" s="1008" t="s">
        <v>654</v>
      </c>
      <c r="U2901" s="1008" t="s">
        <v>653</v>
      </c>
      <c r="V2901" s="1008" t="s">
        <v>648</v>
      </c>
      <c r="W2901" s="1008" t="s">
        <v>546</v>
      </c>
      <c r="X2901" s="1008" t="s">
        <v>670</v>
      </c>
      <c r="Y2901" s="1008"/>
      <c r="Z2901" s="1008"/>
      <c r="AA2901" s="1008"/>
      <c r="AB2901" s="1008"/>
      <c r="AC2901" s="1008" t="s">
        <v>670</v>
      </c>
      <c r="AD2901" s="1008"/>
      <c r="AE2901" s="1008"/>
      <c r="AF2901" s="1008"/>
      <c r="AG2901" s="1008"/>
      <c r="AH2901" s="1008"/>
      <c r="AI2901" s="1008"/>
    </row>
    <row r="2902" spans="1:35">
      <c r="A2902" s="1008">
        <v>23746</v>
      </c>
      <c r="B2902" s="1008">
        <v>1001</v>
      </c>
      <c r="C2902" s="1008">
        <v>6</v>
      </c>
      <c r="D2902" s="1009">
        <v>59699999</v>
      </c>
      <c r="E2902" s="1009">
        <v>59611000</v>
      </c>
      <c r="F2902" s="1007" t="s">
        <v>1629</v>
      </c>
      <c r="G2902" s="1007">
        <v>7</v>
      </c>
      <c r="H2902" s="1010">
        <v>5099999</v>
      </c>
      <c r="I2902" s="1009">
        <v>5004035</v>
      </c>
      <c r="J2902" s="1007" t="s">
        <v>1787</v>
      </c>
      <c r="O2902" s="1007" t="s">
        <v>648</v>
      </c>
      <c r="P2902" s="1007" t="s">
        <v>648</v>
      </c>
      <c r="S2902" s="1008" t="s">
        <v>650</v>
      </c>
      <c r="T2902" s="1008" t="s">
        <v>654</v>
      </c>
      <c r="U2902" s="1008" t="s">
        <v>653</v>
      </c>
      <c r="V2902" s="1008" t="s">
        <v>648</v>
      </c>
      <c r="W2902" s="1008" t="s">
        <v>546</v>
      </c>
      <c r="X2902" s="1008" t="s">
        <v>670</v>
      </c>
      <c r="Y2902" s="1008"/>
      <c r="Z2902" s="1008"/>
      <c r="AA2902" s="1008"/>
      <c r="AB2902" s="1008"/>
      <c r="AC2902" s="1008" t="s">
        <v>670</v>
      </c>
      <c r="AD2902" s="1008"/>
      <c r="AE2902" s="1008"/>
      <c r="AF2902" s="1008"/>
      <c r="AG2902" s="1008"/>
      <c r="AH2902" s="1008"/>
      <c r="AI2902" s="1008"/>
    </row>
    <row r="2903" spans="1:35">
      <c r="A2903" s="1008">
        <v>23746</v>
      </c>
      <c r="B2903" s="1008">
        <v>1002</v>
      </c>
      <c r="C2903" s="1008">
        <v>6</v>
      </c>
      <c r="D2903" s="1009">
        <v>59699999</v>
      </c>
      <c r="E2903" s="1009">
        <v>59611000</v>
      </c>
      <c r="F2903" s="1007" t="s">
        <v>1629</v>
      </c>
      <c r="G2903" s="1007">
        <v>7</v>
      </c>
      <c r="H2903" s="1010">
        <v>5099999</v>
      </c>
      <c r="I2903" s="1009">
        <v>5004040</v>
      </c>
      <c r="J2903" s="1007" t="s">
        <v>1786</v>
      </c>
      <c r="O2903" s="1007" t="s">
        <v>648</v>
      </c>
      <c r="P2903" s="1007" t="s">
        <v>648</v>
      </c>
      <c r="S2903" s="1008" t="s">
        <v>650</v>
      </c>
      <c r="T2903" s="1008" t="s">
        <v>654</v>
      </c>
      <c r="U2903" s="1008" t="s">
        <v>653</v>
      </c>
      <c r="V2903" s="1008" t="s">
        <v>648</v>
      </c>
      <c r="W2903" s="1008" t="s">
        <v>546</v>
      </c>
      <c r="X2903" s="1008" t="s">
        <v>670</v>
      </c>
      <c r="Y2903" s="1008"/>
      <c r="Z2903" s="1008"/>
      <c r="AA2903" s="1008"/>
      <c r="AB2903" s="1008"/>
      <c r="AC2903" s="1008" t="s">
        <v>670</v>
      </c>
      <c r="AD2903" s="1008"/>
      <c r="AE2903" s="1008"/>
      <c r="AF2903" s="1008"/>
      <c r="AG2903" s="1008"/>
      <c r="AH2903" s="1008"/>
      <c r="AI2903" s="1008"/>
    </row>
    <row r="2904" spans="1:35">
      <c r="A2904" s="1008">
        <v>23746</v>
      </c>
      <c r="B2904" s="1008">
        <v>870</v>
      </c>
      <c r="C2904" s="1008">
        <v>6</v>
      </c>
      <c r="D2904" s="1009">
        <v>59699999</v>
      </c>
      <c r="E2904" s="1009">
        <v>59611000</v>
      </c>
      <c r="F2904" s="1007" t="s">
        <v>1629</v>
      </c>
      <c r="G2904" s="1007">
        <v>7</v>
      </c>
      <c r="H2904" s="1010">
        <v>5099999</v>
      </c>
      <c r="I2904" s="1009">
        <v>5005005</v>
      </c>
      <c r="J2904" s="1007" t="s">
        <v>1785</v>
      </c>
      <c r="O2904" s="1007" t="s">
        <v>648</v>
      </c>
      <c r="P2904" s="1007" t="s">
        <v>648</v>
      </c>
      <c r="S2904" s="1008" t="s">
        <v>650</v>
      </c>
      <c r="T2904" s="1008" t="s">
        <v>654</v>
      </c>
      <c r="U2904" s="1008" t="s">
        <v>653</v>
      </c>
      <c r="V2904" s="1008" t="s">
        <v>648</v>
      </c>
      <c r="W2904" s="1008" t="s">
        <v>546</v>
      </c>
      <c r="X2904" s="1008" t="s">
        <v>670</v>
      </c>
      <c r="Y2904" s="1008"/>
      <c r="Z2904" s="1008"/>
      <c r="AA2904" s="1008"/>
      <c r="AB2904" s="1008"/>
      <c r="AC2904" s="1008" t="s">
        <v>670</v>
      </c>
      <c r="AD2904" s="1008"/>
      <c r="AE2904" s="1008"/>
      <c r="AF2904" s="1008"/>
      <c r="AG2904" s="1008"/>
      <c r="AH2904" s="1008"/>
      <c r="AI2904" s="1008"/>
    </row>
    <row r="2905" spans="1:35">
      <c r="A2905" s="1008">
        <v>23746</v>
      </c>
      <c r="B2905" s="1008">
        <v>1003</v>
      </c>
      <c r="C2905" s="1008">
        <v>6</v>
      </c>
      <c r="D2905" s="1009">
        <v>59699999</v>
      </c>
      <c r="E2905" s="1009">
        <v>59611000</v>
      </c>
      <c r="F2905" s="1007" t="s">
        <v>1629</v>
      </c>
      <c r="G2905" s="1007">
        <v>7</v>
      </c>
      <c r="H2905" s="1010">
        <v>5099999</v>
      </c>
      <c r="I2905" s="1009">
        <v>5005015</v>
      </c>
      <c r="J2905" s="1007" t="s">
        <v>1784</v>
      </c>
      <c r="O2905" s="1007" t="s">
        <v>648</v>
      </c>
      <c r="P2905" s="1007" t="s">
        <v>648</v>
      </c>
      <c r="S2905" s="1008" t="s">
        <v>650</v>
      </c>
      <c r="T2905" s="1008" t="s">
        <v>654</v>
      </c>
      <c r="U2905" s="1008" t="s">
        <v>653</v>
      </c>
      <c r="V2905" s="1008" t="s">
        <v>648</v>
      </c>
      <c r="W2905" s="1008" t="s">
        <v>546</v>
      </c>
      <c r="X2905" s="1008" t="s">
        <v>670</v>
      </c>
      <c r="Y2905" s="1008"/>
      <c r="Z2905" s="1008"/>
      <c r="AA2905" s="1008"/>
      <c r="AB2905" s="1008"/>
      <c r="AC2905" s="1008" t="s">
        <v>670</v>
      </c>
      <c r="AD2905" s="1008"/>
      <c r="AE2905" s="1008"/>
      <c r="AF2905" s="1008"/>
      <c r="AG2905" s="1008"/>
      <c r="AH2905" s="1008"/>
      <c r="AI2905" s="1008"/>
    </row>
    <row r="2906" spans="1:35">
      <c r="A2906" s="1008">
        <v>23746</v>
      </c>
      <c r="B2906" s="1008">
        <v>1004</v>
      </c>
      <c r="C2906" s="1008">
        <v>6</v>
      </c>
      <c r="D2906" s="1009">
        <v>59699999</v>
      </c>
      <c r="E2906" s="1009">
        <v>59611000</v>
      </c>
      <c r="F2906" s="1007" t="s">
        <v>1629</v>
      </c>
      <c r="G2906" s="1007">
        <v>7</v>
      </c>
      <c r="H2906" s="1010">
        <v>5099999</v>
      </c>
      <c r="I2906" s="1009">
        <v>5005045</v>
      </c>
      <c r="J2906" s="1007" t="s">
        <v>1783</v>
      </c>
      <c r="O2906" s="1007" t="s">
        <v>648</v>
      </c>
      <c r="P2906" s="1007" t="s">
        <v>648</v>
      </c>
      <c r="S2906" s="1008" t="s">
        <v>650</v>
      </c>
      <c r="T2906" s="1008" t="s">
        <v>654</v>
      </c>
      <c r="U2906" s="1008" t="s">
        <v>653</v>
      </c>
      <c r="V2906" s="1008" t="s">
        <v>648</v>
      </c>
      <c r="W2906" s="1008" t="s">
        <v>546</v>
      </c>
      <c r="X2906" s="1008" t="s">
        <v>670</v>
      </c>
      <c r="Y2906" s="1008"/>
      <c r="Z2906" s="1008"/>
      <c r="AA2906" s="1008"/>
      <c r="AB2906" s="1008"/>
      <c r="AC2906" s="1008" t="s">
        <v>670</v>
      </c>
      <c r="AD2906" s="1008"/>
      <c r="AE2906" s="1008"/>
      <c r="AF2906" s="1008"/>
      <c r="AG2906" s="1008"/>
      <c r="AH2906" s="1008"/>
      <c r="AI2906" s="1008"/>
    </row>
    <row r="2907" spans="1:35">
      <c r="A2907" s="1008">
        <v>23746</v>
      </c>
      <c r="B2907" s="1008">
        <v>1005</v>
      </c>
      <c r="C2907" s="1008">
        <v>6</v>
      </c>
      <c r="D2907" s="1009">
        <v>59699999</v>
      </c>
      <c r="E2907" s="1009">
        <v>59611000</v>
      </c>
      <c r="F2907" s="1007" t="s">
        <v>1629</v>
      </c>
      <c r="G2907" s="1007">
        <v>7</v>
      </c>
      <c r="H2907" s="1010">
        <v>5099999</v>
      </c>
      <c r="I2907" s="1009">
        <v>5005060</v>
      </c>
      <c r="J2907" s="1007" t="s">
        <v>1782</v>
      </c>
      <c r="O2907" s="1007" t="s">
        <v>648</v>
      </c>
      <c r="P2907" s="1007" t="s">
        <v>648</v>
      </c>
      <c r="S2907" s="1008" t="s">
        <v>650</v>
      </c>
      <c r="T2907" s="1008" t="s">
        <v>654</v>
      </c>
      <c r="U2907" s="1008" t="s">
        <v>653</v>
      </c>
      <c r="V2907" s="1008" t="s">
        <v>648</v>
      </c>
      <c r="W2907" s="1008" t="s">
        <v>546</v>
      </c>
      <c r="X2907" s="1008" t="s">
        <v>670</v>
      </c>
      <c r="Y2907" s="1008"/>
      <c r="Z2907" s="1008"/>
      <c r="AA2907" s="1008"/>
      <c r="AB2907" s="1008"/>
      <c r="AC2907" s="1008" t="s">
        <v>670</v>
      </c>
      <c r="AD2907" s="1008"/>
      <c r="AE2907" s="1008"/>
      <c r="AF2907" s="1008"/>
      <c r="AG2907" s="1008"/>
      <c r="AH2907" s="1008"/>
      <c r="AI2907" s="1008"/>
    </row>
    <row r="2908" spans="1:35">
      <c r="A2908" s="1008">
        <v>23746</v>
      </c>
      <c r="B2908" s="1008">
        <v>1006</v>
      </c>
      <c r="C2908" s="1008">
        <v>6</v>
      </c>
      <c r="D2908" s="1009">
        <v>59699999</v>
      </c>
      <c r="E2908" s="1009">
        <v>59611000</v>
      </c>
      <c r="F2908" s="1007" t="s">
        <v>1629</v>
      </c>
      <c r="G2908" s="1007">
        <v>7</v>
      </c>
      <c r="H2908" s="1010">
        <v>5099999</v>
      </c>
      <c r="I2908" s="1009">
        <v>5005100</v>
      </c>
      <c r="J2908" s="1007" t="s">
        <v>1781</v>
      </c>
      <c r="O2908" s="1007" t="s">
        <v>648</v>
      </c>
      <c r="P2908" s="1007" t="s">
        <v>648</v>
      </c>
      <c r="S2908" s="1008" t="s">
        <v>650</v>
      </c>
      <c r="T2908" s="1008" t="s">
        <v>654</v>
      </c>
      <c r="U2908" s="1008" t="s">
        <v>653</v>
      </c>
      <c r="V2908" s="1008" t="s">
        <v>648</v>
      </c>
      <c r="W2908" s="1008" t="s">
        <v>546</v>
      </c>
      <c r="X2908" s="1008" t="s">
        <v>670</v>
      </c>
      <c r="Y2908" s="1008"/>
      <c r="Z2908" s="1008"/>
      <c r="AA2908" s="1008"/>
      <c r="AB2908" s="1008"/>
      <c r="AC2908" s="1008" t="s">
        <v>670</v>
      </c>
      <c r="AD2908" s="1008"/>
      <c r="AE2908" s="1008"/>
      <c r="AF2908" s="1008"/>
      <c r="AG2908" s="1008"/>
      <c r="AH2908" s="1008"/>
      <c r="AI2908" s="1008"/>
    </row>
    <row r="2909" spans="1:35">
      <c r="A2909" s="1008">
        <v>23746</v>
      </c>
      <c r="B2909" s="1008">
        <v>1007</v>
      </c>
      <c r="C2909" s="1008">
        <v>6</v>
      </c>
      <c r="D2909" s="1009">
        <v>59699999</v>
      </c>
      <c r="E2909" s="1009">
        <v>59611000</v>
      </c>
      <c r="F2909" s="1007" t="s">
        <v>1629</v>
      </c>
      <c r="G2909" s="1007">
        <v>7</v>
      </c>
      <c r="H2909" s="1010">
        <v>5099999</v>
      </c>
      <c r="I2909" s="1009">
        <v>5005150</v>
      </c>
      <c r="J2909" s="1007" t="s">
        <v>1780</v>
      </c>
      <c r="O2909" s="1007" t="s">
        <v>648</v>
      </c>
      <c r="P2909" s="1007" t="s">
        <v>648</v>
      </c>
      <c r="S2909" s="1008" t="s">
        <v>650</v>
      </c>
      <c r="T2909" s="1008" t="s">
        <v>654</v>
      </c>
      <c r="U2909" s="1008" t="s">
        <v>653</v>
      </c>
      <c r="V2909" s="1008" t="s">
        <v>648</v>
      </c>
      <c r="W2909" s="1008" t="s">
        <v>546</v>
      </c>
      <c r="X2909" s="1008" t="s">
        <v>670</v>
      </c>
      <c r="Y2909" s="1008"/>
      <c r="Z2909" s="1008"/>
      <c r="AA2909" s="1008"/>
      <c r="AB2909" s="1008"/>
      <c r="AC2909" s="1008" t="s">
        <v>670</v>
      </c>
      <c r="AD2909" s="1008"/>
      <c r="AE2909" s="1008"/>
      <c r="AF2909" s="1008"/>
      <c r="AG2909" s="1008"/>
      <c r="AH2909" s="1008"/>
      <c r="AI2909" s="1008"/>
    </row>
    <row r="2910" spans="1:35">
      <c r="A2910" s="1008">
        <v>23746</v>
      </c>
      <c r="B2910" s="1008">
        <v>873</v>
      </c>
      <c r="C2910" s="1008">
        <v>6</v>
      </c>
      <c r="D2910" s="1009">
        <v>59699999</v>
      </c>
      <c r="E2910" s="1009">
        <v>59611000</v>
      </c>
      <c r="F2910" s="1007" t="s">
        <v>1629</v>
      </c>
      <c r="G2910" s="1007">
        <v>7</v>
      </c>
      <c r="H2910" s="1010">
        <v>5099999</v>
      </c>
      <c r="I2910" s="1009">
        <v>5006005</v>
      </c>
      <c r="J2910" s="1007" t="s">
        <v>1779</v>
      </c>
      <c r="O2910" s="1007" t="s">
        <v>648</v>
      </c>
      <c r="P2910" s="1007" t="s">
        <v>648</v>
      </c>
      <c r="S2910" s="1008" t="s">
        <v>650</v>
      </c>
      <c r="T2910" s="1008" t="s">
        <v>654</v>
      </c>
      <c r="U2910" s="1008" t="s">
        <v>653</v>
      </c>
      <c r="V2910" s="1008" t="s">
        <v>648</v>
      </c>
      <c r="W2910" s="1008" t="s">
        <v>546</v>
      </c>
      <c r="X2910" s="1008" t="s">
        <v>670</v>
      </c>
      <c r="Y2910" s="1008"/>
      <c r="Z2910" s="1008"/>
      <c r="AA2910" s="1008"/>
      <c r="AB2910" s="1008"/>
      <c r="AC2910" s="1008" t="s">
        <v>670</v>
      </c>
      <c r="AD2910" s="1008"/>
      <c r="AE2910" s="1008"/>
      <c r="AF2910" s="1008"/>
      <c r="AG2910" s="1008"/>
      <c r="AH2910" s="1008"/>
      <c r="AI2910" s="1008"/>
    </row>
    <row r="2911" spans="1:35">
      <c r="A2911" s="1008">
        <v>23746</v>
      </c>
      <c r="B2911" s="1008">
        <v>1008</v>
      </c>
      <c r="C2911" s="1008">
        <v>6</v>
      </c>
      <c r="D2911" s="1009">
        <v>59699999</v>
      </c>
      <c r="E2911" s="1009">
        <v>59611000</v>
      </c>
      <c r="F2911" s="1007" t="s">
        <v>1629</v>
      </c>
      <c r="G2911" s="1007">
        <v>7</v>
      </c>
      <c r="H2911" s="1010">
        <v>5099999</v>
      </c>
      <c r="I2911" s="1009">
        <v>5006010</v>
      </c>
      <c r="J2911" s="1007" t="s">
        <v>1778</v>
      </c>
      <c r="O2911" s="1007" t="s">
        <v>648</v>
      </c>
      <c r="P2911" s="1007" t="s">
        <v>648</v>
      </c>
      <c r="S2911" s="1008" t="s">
        <v>650</v>
      </c>
      <c r="T2911" s="1008" t="s">
        <v>654</v>
      </c>
      <c r="U2911" s="1008" t="s">
        <v>653</v>
      </c>
      <c r="V2911" s="1008" t="s">
        <v>648</v>
      </c>
      <c r="W2911" s="1008" t="s">
        <v>546</v>
      </c>
      <c r="X2911" s="1008" t="s">
        <v>670</v>
      </c>
      <c r="Y2911" s="1008"/>
      <c r="Z2911" s="1008"/>
      <c r="AA2911" s="1008"/>
      <c r="AB2911" s="1008"/>
      <c r="AC2911" s="1008" t="s">
        <v>670</v>
      </c>
      <c r="AD2911" s="1008"/>
      <c r="AE2911" s="1008"/>
      <c r="AF2911" s="1008"/>
      <c r="AG2911" s="1008"/>
      <c r="AH2911" s="1008"/>
      <c r="AI2911" s="1008"/>
    </row>
    <row r="2912" spans="1:35">
      <c r="A2912" s="1008">
        <v>23746</v>
      </c>
      <c r="B2912" s="1008">
        <v>1009</v>
      </c>
      <c r="C2912" s="1008">
        <v>6</v>
      </c>
      <c r="D2912" s="1009">
        <v>59699999</v>
      </c>
      <c r="E2912" s="1009">
        <v>59611000</v>
      </c>
      <c r="F2912" s="1007" t="s">
        <v>1629</v>
      </c>
      <c r="G2912" s="1007">
        <v>7</v>
      </c>
      <c r="H2912" s="1010">
        <v>5099999</v>
      </c>
      <c r="I2912" s="1009">
        <v>5006020</v>
      </c>
      <c r="J2912" s="1007" t="s">
        <v>1777</v>
      </c>
      <c r="O2912" s="1007" t="s">
        <v>648</v>
      </c>
      <c r="P2912" s="1007" t="s">
        <v>648</v>
      </c>
      <c r="S2912" s="1008" t="s">
        <v>650</v>
      </c>
      <c r="T2912" s="1008" t="s">
        <v>654</v>
      </c>
      <c r="U2912" s="1008" t="s">
        <v>653</v>
      </c>
      <c r="V2912" s="1008" t="s">
        <v>648</v>
      </c>
      <c r="W2912" s="1008" t="s">
        <v>546</v>
      </c>
      <c r="X2912" s="1008" t="s">
        <v>670</v>
      </c>
      <c r="Y2912" s="1008"/>
      <c r="Z2912" s="1008"/>
      <c r="AA2912" s="1008"/>
      <c r="AB2912" s="1008"/>
      <c r="AC2912" s="1008" t="s">
        <v>670</v>
      </c>
      <c r="AD2912" s="1008"/>
      <c r="AE2912" s="1008"/>
      <c r="AF2912" s="1008"/>
      <c r="AG2912" s="1008"/>
      <c r="AH2912" s="1008"/>
      <c r="AI2912" s="1008"/>
    </row>
    <row r="2913" spans="1:35">
      <c r="A2913" s="1008">
        <v>23746</v>
      </c>
      <c r="B2913" s="1008">
        <v>1208</v>
      </c>
      <c r="C2913" s="1008">
        <v>6</v>
      </c>
      <c r="D2913" s="1009">
        <v>59699999</v>
      </c>
      <c r="E2913" s="1009">
        <v>59611000</v>
      </c>
      <c r="F2913" s="1007" t="s">
        <v>1629</v>
      </c>
      <c r="G2913" s="1007">
        <v>7</v>
      </c>
      <c r="H2913" s="1010">
        <v>5099999</v>
      </c>
      <c r="I2913" s="1009">
        <v>5006030</v>
      </c>
      <c r="J2913" s="1007" t="s">
        <v>1776</v>
      </c>
      <c r="O2913" s="1007" t="s">
        <v>648</v>
      </c>
      <c r="P2913" s="1007" t="s">
        <v>648</v>
      </c>
      <c r="S2913" s="1008" t="s">
        <v>650</v>
      </c>
      <c r="T2913" s="1008" t="s">
        <v>654</v>
      </c>
      <c r="U2913" s="1008" t="s">
        <v>653</v>
      </c>
      <c r="V2913" s="1008" t="s">
        <v>648</v>
      </c>
      <c r="W2913" s="1008" t="s">
        <v>546</v>
      </c>
      <c r="X2913" s="1008" t="s">
        <v>670</v>
      </c>
      <c r="Y2913" s="1008"/>
      <c r="Z2913" s="1008"/>
      <c r="AA2913" s="1008"/>
      <c r="AB2913" s="1008"/>
      <c r="AC2913" s="1008" t="s">
        <v>670</v>
      </c>
      <c r="AD2913" s="1008"/>
      <c r="AE2913" s="1008"/>
      <c r="AF2913" s="1008"/>
      <c r="AG2913" s="1008"/>
      <c r="AH2913" s="1008"/>
      <c r="AI2913" s="1008"/>
    </row>
    <row r="2914" spans="1:35">
      <c r="A2914" s="1008">
        <v>23746</v>
      </c>
      <c r="B2914" s="1008">
        <v>1010</v>
      </c>
      <c r="C2914" s="1008">
        <v>6</v>
      </c>
      <c r="D2914" s="1009">
        <v>59699999</v>
      </c>
      <c r="E2914" s="1009">
        <v>59611000</v>
      </c>
      <c r="F2914" s="1007" t="s">
        <v>1629</v>
      </c>
      <c r="G2914" s="1007">
        <v>7</v>
      </c>
      <c r="H2914" s="1010">
        <v>5099999</v>
      </c>
      <c r="I2914" s="1009">
        <v>5006040</v>
      </c>
      <c r="J2914" s="1007" t="s">
        <v>1775</v>
      </c>
      <c r="O2914" s="1007" t="s">
        <v>648</v>
      </c>
      <c r="P2914" s="1007" t="s">
        <v>648</v>
      </c>
      <c r="S2914" s="1008" t="s">
        <v>650</v>
      </c>
      <c r="T2914" s="1008" t="s">
        <v>654</v>
      </c>
      <c r="U2914" s="1008" t="s">
        <v>653</v>
      </c>
      <c r="V2914" s="1008" t="s">
        <v>648</v>
      </c>
      <c r="W2914" s="1008" t="s">
        <v>546</v>
      </c>
      <c r="X2914" s="1008" t="s">
        <v>670</v>
      </c>
      <c r="Y2914" s="1008"/>
      <c r="Z2914" s="1008"/>
      <c r="AA2914" s="1008"/>
      <c r="AB2914" s="1008"/>
      <c r="AC2914" s="1008" t="s">
        <v>670</v>
      </c>
      <c r="AD2914" s="1008"/>
      <c r="AE2914" s="1008"/>
      <c r="AF2914" s="1008"/>
      <c r="AG2914" s="1008"/>
      <c r="AH2914" s="1008"/>
      <c r="AI2914" s="1008"/>
    </row>
    <row r="2915" spans="1:35">
      <c r="A2915" s="1008">
        <v>23746</v>
      </c>
      <c r="B2915" s="1008">
        <v>1011</v>
      </c>
      <c r="C2915" s="1008">
        <v>6</v>
      </c>
      <c r="D2915" s="1009">
        <v>59699999</v>
      </c>
      <c r="E2915" s="1009">
        <v>59611000</v>
      </c>
      <c r="F2915" s="1007" t="s">
        <v>1629</v>
      </c>
      <c r="G2915" s="1007">
        <v>7</v>
      </c>
      <c r="H2915" s="1010">
        <v>5099999</v>
      </c>
      <c r="I2915" s="1009">
        <v>5006120</v>
      </c>
      <c r="J2915" s="1007" t="s">
        <v>1774</v>
      </c>
      <c r="O2915" s="1007" t="s">
        <v>648</v>
      </c>
      <c r="P2915" s="1007" t="s">
        <v>648</v>
      </c>
      <c r="S2915" s="1008" t="s">
        <v>650</v>
      </c>
      <c r="T2915" s="1008" t="s">
        <v>654</v>
      </c>
      <c r="U2915" s="1008" t="s">
        <v>653</v>
      </c>
      <c r="V2915" s="1008" t="s">
        <v>648</v>
      </c>
      <c r="W2915" s="1008" t="s">
        <v>546</v>
      </c>
      <c r="X2915" s="1008" t="s">
        <v>670</v>
      </c>
      <c r="Y2915" s="1008"/>
      <c r="Z2915" s="1008"/>
      <c r="AA2915" s="1008"/>
      <c r="AB2915" s="1008"/>
      <c r="AC2915" s="1008" t="s">
        <v>670</v>
      </c>
      <c r="AD2915" s="1008"/>
      <c r="AE2915" s="1008"/>
      <c r="AF2915" s="1008"/>
      <c r="AG2915" s="1008"/>
      <c r="AH2915" s="1008"/>
      <c r="AI2915" s="1008"/>
    </row>
    <row r="2916" spans="1:35">
      <c r="A2916" s="1008">
        <v>23746</v>
      </c>
      <c r="B2916" s="1008">
        <v>1012</v>
      </c>
      <c r="C2916" s="1008">
        <v>6</v>
      </c>
      <c r="D2916" s="1009">
        <v>59699999</v>
      </c>
      <c r="E2916" s="1009">
        <v>59611000</v>
      </c>
      <c r="F2916" s="1007" t="s">
        <v>1629</v>
      </c>
      <c r="G2916" s="1007">
        <v>7</v>
      </c>
      <c r="H2916" s="1010">
        <v>5099999</v>
      </c>
      <c r="I2916" s="1009">
        <v>5006150</v>
      </c>
      <c r="J2916" s="1007" t="s">
        <v>1773</v>
      </c>
      <c r="O2916" s="1007" t="s">
        <v>648</v>
      </c>
      <c r="P2916" s="1007" t="s">
        <v>648</v>
      </c>
      <c r="S2916" s="1008" t="s">
        <v>650</v>
      </c>
      <c r="T2916" s="1008" t="s">
        <v>654</v>
      </c>
      <c r="U2916" s="1008" t="s">
        <v>653</v>
      </c>
      <c r="V2916" s="1008" t="s">
        <v>648</v>
      </c>
      <c r="W2916" s="1008" t="s">
        <v>546</v>
      </c>
      <c r="X2916" s="1008" t="s">
        <v>670</v>
      </c>
      <c r="Y2916" s="1008"/>
      <c r="Z2916" s="1008"/>
      <c r="AA2916" s="1008"/>
      <c r="AB2916" s="1008"/>
      <c r="AC2916" s="1008" t="s">
        <v>670</v>
      </c>
      <c r="AD2916" s="1008"/>
      <c r="AE2916" s="1008"/>
      <c r="AF2916" s="1008"/>
      <c r="AG2916" s="1008"/>
      <c r="AH2916" s="1008"/>
      <c r="AI2916" s="1008"/>
    </row>
    <row r="2917" spans="1:35">
      <c r="A2917" s="1008">
        <v>23746</v>
      </c>
      <c r="B2917" s="1008">
        <v>1013</v>
      </c>
      <c r="C2917" s="1008">
        <v>6</v>
      </c>
      <c r="D2917" s="1009">
        <v>59699999</v>
      </c>
      <c r="E2917" s="1009">
        <v>59611000</v>
      </c>
      <c r="F2917" s="1007" t="s">
        <v>1629</v>
      </c>
      <c r="G2917" s="1007">
        <v>7</v>
      </c>
      <c r="H2917" s="1010">
        <v>5099999</v>
      </c>
      <c r="I2917" s="1009">
        <v>5006190</v>
      </c>
      <c r="J2917" s="1007" t="s">
        <v>1772</v>
      </c>
      <c r="O2917" s="1007" t="s">
        <v>648</v>
      </c>
      <c r="P2917" s="1007" t="s">
        <v>648</v>
      </c>
      <c r="S2917" s="1008" t="s">
        <v>650</v>
      </c>
      <c r="T2917" s="1008" t="s">
        <v>654</v>
      </c>
      <c r="U2917" s="1008" t="s">
        <v>653</v>
      </c>
      <c r="V2917" s="1008" t="s">
        <v>648</v>
      </c>
      <c r="W2917" s="1008" t="s">
        <v>546</v>
      </c>
      <c r="X2917" s="1008" t="s">
        <v>670</v>
      </c>
      <c r="Y2917" s="1008"/>
      <c r="Z2917" s="1008"/>
      <c r="AA2917" s="1008"/>
      <c r="AB2917" s="1008"/>
      <c r="AC2917" s="1008" t="s">
        <v>670</v>
      </c>
      <c r="AD2917" s="1008"/>
      <c r="AE2917" s="1008"/>
      <c r="AF2917" s="1008"/>
      <c r="AG2917" s="1008"/>
      <c r="AH2917" s="1008"/>
      <c r="AI2917" s="1008"/>
    </row>
    <row r="2918" spans="1:35">
      <c r="A2918" s="1008">
        <v>23746</v>
      </c>
      <c r="B2918" s="1008">
        <v>1014</v>
      </c>
      <c r="C2918" s="1008">
        <v>6</v>
      </c>
      <c r="D2918" s="1009">
        <v>59699999</v>
      </c>
      <c r="E2918" s="1009">
        <v>59611000</v>
      </c>
      <c r="F2918" s="1007" t="s">
        <v>1629</v>
      </c>
      <c r="G2918" s="1007">
        <v>7</v>
      </c>
      <c r="H2918" s="1010">
        <v>5099999</v>
      </c>
      <c r="I2918" s="1009">
        <v>5006191</v>
      </c>
      <c r="J2918" s="1007" t="s">
        <v>1771</v>
      </c>
      <c r="O2918" s="1007" t="s">
        <v>648</v>
      </c>
      <c r="P2918" s="1007" t="s">
        <v>648</v>
      </c>
      <c r="S2918" s="1008" t="s">
        <v>650</v>
      </c>
      <c r="T2918" s="1008" t="s">
        <v>654</v>
      </c>
      <c r="U2918" s="1008" t="s">
        <v>653</v>
      </c>
      <c r="V2918" s="1008" t="s">
        <v>648</v>
      </c>
      <c r="W2918" s="1008" t="s">
        <v>546</v>
      </c>
      <c r="X2918" s="1008" t="s">
        <v>670</v>
      </c>
      <c r="Y2918" s="1008"/>
      <c r="Z2918" s="1008"/>
      <c r="AA2918" s="1008"/>
      <c r="AB2918" s="1008"/>
      <c r="AC2918" s="1008" t="s">
        <v>670</v>
      </c>
      <c r="AD2918" s="1008"/>
      <c r="AE2918" s="1008"/>
      <c r="AF2918" s="1008"/>
      <c r="AG2918" s="1008"/>
      <c r="AH2918" s="1008"/>
      <c r="AI2918" s="1008"/>
    </row>
    <row r="2919" spans="1:35">
      <c r="A2919" s="1008">
        <v>23746</v>
      </c>
      <c r="B2919" s="1008">
        <v>1015</v>
      </c>
      <c r="C2919" s="1008">
        <v>6</v>
      </c>
      <c r="D2919" s="1009">
        <v>59699999</v>
      </c>
      <c r="E2919" s="1009">
        <v>59611000</v>
      </c>
      <c r="F2919" s="1007" t="s">
        <v>1629</v>
      </c>
      <c r="G2919" s="1007">
        <v>7</v>
      </c>
      <c r="H2919" s="1010">
        <v>5099999</v>
      </c>
      <c r="I2919" s="1009">
        <v>5006230</v>
      </c>
      <c r="J2919" s="1007" t="s">
        <v>1770</v>
      </c>
      <c r="O2919" s="1007" t="s">
        <v>648</v>
      </c>
      <c r="P2919" s="1007" t="s">
        <v>648</v>
      </c>
      <c r="S2919" s="1008" t="s">
        <v>650</v>
      </c>
      <c r="T2919" s="1008" t="s">
        <v>654</v>
      </c>
      <c r="U2919" s="1008" t="s">
        <v>653</v>
      </c>
      <c r="V2919" s="1008" t="s">
        <v>648</v>
      </c>
      <c r="W2919" s="1008" t="s">
        <v>546</v>
      </c>
      <c r="X2919" s="1008" t="s">
        <v>670</v>
      </c>
      <c r="Y2919" s="1008"/>
      <c r="Z2919" s="1008"/>
      <c r="AA2919" s="1008"/>
      <c r="AB2919" s="1008"/>
      <c r="AC2919" s="1008" t="s">
        <v>670</v>
      </c>
      <c r="AD2919" s="1008"/>
      <c r="AE2919" s="1008"/>
      <c r="AF2919" s="1008"/>
      <c r="AG2919" s="1008"/>
      <c r="AH2919" s="1008"/>
      <c r="AI2919" s="1008"/>
    </row>
    <row r="2920" spans="1:35">
      <c r="A2920" s="1008">
        <v>23746</v>
      </c>
      <c r="B2920" s="1008">
        <v>1016</v>
      </c>
      <c r="C2920" s="1008">
        <v>6</v>
      </c>
      <c r="D2920" s="1009">
        <v>59699999</v>
      </c>
      <c r="E2920" s="1009">
        <v>59611000</v>
      </c>
      <c r="F2920" s="1007" t="s">
        <v>1629</v>
      </c>
      <c r="G2920" s="1007">
        <v>7</v>
      </c>
      <c r="H2920" s="1010">
        <v>5099999</v>
      </c>
      <c r="I2920" s="1009">
        <v>5006240</v>
      </c>
      <c r="J2920" s="1007" t="s">
        <v>1769</v>
      </c>
      <c r="O2920" s="1007" t="s">
        <v>648</v>
      </c>
      <c r="P2920" s="1007" t="s">
        <v>648</v>
      </c>
      <c r="S2920" s="1008" t="s">
        <v>650</v>
      </c>
      <c r="T2920" s="1008" t="s">
        <v>654</v>
      </c>
      <c r="U2920" s="1008" t="s">
        <v>653</v>
      </c>
      <c r="V2920" s="1008" t="s">
        <v>648</v>
      </c>
      <c r="W2920" s="1008" t="s">
        <v>546</v>
      </c>
      <c r="X2920" s="1008" t="s">
        <v>670</v>
      </c>
      <c r="Y2920" s="1008"/>
      <c r="Z2920" s="1008"/>
      <c r="AA2920" s="1008"/>
      <c r="AB2920" s="1008"/>
      <c r="AC2920" s="1008" t="s">
        <v>670</v>
      </c>
      <c r="AD2920" s="1008"/>
      <c r="AE2920" s="1008"/>
      <c r="AF2920" s="1008"/>
      <c r="AG2920" s="1008"/>
      <c r="AH2920" s="1008"/>
      <c r="AI2920" s="1008"/>
    </row>
    <row r="2921" spans="1:35">
      <c r="A2921" s="1008">
        <v>23746</v>
      </c>
      <c r="B2921" s="1008">
        <v>876</v>
      </c>
      <c r="C2921" s="1008">
        <v>6</v>
      </c>
      <c r="D2921" s="1009">
        <v>59699999</v>
      </c>
      <c r="E2921" s="1009">
        <v>59611000</v>
      </c>
      <c r="F2921" s="1007" t="s">
        <v>1629</v>
      </c>
      <c r="G2921" s="1007">
        <v>7</v>
      </c>
      <c r="H2921" s="1010">
        <v>5099999</v>
      </c>
      <c r="I2921" s="1009">
        <v>5007060</v>
      </c>
      <c r="J2921" s="1007" t="s">
        <v>1768</v>
      </c>
      <c r="O2921" s="1007" t="s">
        <v>648</v>
      </c>
      <c r="P2921" s="1007" t="s">
        <v>648</v>
      </c>
      <c r="S2921" s="1008" t="s">
        <v>650</v>
      </c>
      <c r="T2921" s="1008" t="s">
        <v>654</v>
      </c>
      <c r="U2921" s="1008" t="s">
        <v>653</v>
      </c>
      <c r="V2921" s="1008" t="s">
        <v>648</v>
      </c>
      <c r="W2921" s="1008" t="s">
        <v>546</v>
      </c>
      <c r="X2921" s="1008" t="s">
        <v>670</v>
      </c>
      <c r="Y2921" s="1008"/>
      <c r="Z2921" s="1008"/>
      <c r="AA2921" s="1008"/>
      <c r="AB2921" s="1008"/>
      <c r="AC2921" s="1008" t="s">
        <v>670</v>
      </c>
      <c r="AD2921" s="1008"/>
      <c r="AE2921" s="1008"/>
      <c r="AF2921" s="1008"/>
      <c r="AG2921" s="1008"/>
      <c r="AH2921" s="1008"/>
      <c r="AI2921" s="1008"/>
    </row>
    <row r="2922" spans="1:35">
      <c r="A2922" s="1008">
        <v>23746</v>
      </c>
      <c r="B2922" s="1008">
        <v>1017</v>
      </c>
      <c r="C2922" s="1008">
        <v>6</v>
      </c>
      <c r="D2922" s="1009">
        <v>59699999</v>
      </c>
      <c r="E2922" s="1009">
        <v>59611000</v>
      </c>
      <c r="F2922" s="1007" t="s">
        <v>1629</v>
      </c>
      <c r="G2922" s="1007">
        <v>7</v>
      </c>
      <c r="H2922" s="1010">
        <v>5099999</v>
      </c>
      <c r="I2922" s="1009">
        <v>5007070</v>
      </c>
      <c r="J2922" s="1007" t="s">
        <v>1767</v>
      </c>
      <c r="O2922" s="1007" t="s">
        <v>648</v>
      </c>
      <c r="P2922" s="1007" t="s">
        <v>648</v>
      </c>
      <c r="S2922" s="1008" t="s">
        <v>650</v>
      </c>
      <c r="T2922" s="1008" t="s">
        <v>654</v>
      </c>
      <c r="U2922" s="1008" t="s">
        <v>653</v>
      </c>
      <c r="V2922" s="1008" t="s">
        <v>648</v>
      </c>
      <c r="W2922" s="1008" t="s">
        <v>546</v>
      </c>
      <c r="X2922" s="1008" t="s">
        <v>670</v>
      </c>
      <c r="Y2922" s="1008"/>
      <c r="Z2922" s="1008"/>
      <c r="AA2922" s="1008"/>
      <c r="AB2922" s="1008"/>
      <c r="AC2922" s="1008" t="s">
        <v>670</v>
      </c>
      <c r="AD2922" s="1008"/>
      <c r="AE2922" s="1008"/>
      <c r="AF2922" s="1008"/>
      <c r="AG2922" s="1008"/>
      <c r="AH2922" s="1008"/>
      <c r="AI2922" s="1008"/>
    </row>
    <row r="2923" spans="1:35">
      <c r="A2923" s="1008">
        <v>23746</v>
      </c>
      <c r="B2923" s="1008">
        <v>6611</v>
      </c>
      <c r="C2923" s="1008">
        <v>6</v>
      </c>
      <c r="D2923" s="1009">
        <v>59699999</v>
      </c>
      <c r="E2923" s="1009">
        <v>59611000</v>
      </c>
      <c r="F2923" s="1007" t="s">
        <v>1629</v>
      </c>
      <c r="G2923" s="1007" t="s">
        <v>648</v>
      </c>
      <c r="H2923" s="1010">
        <v>5099999</v>
      </c>
      <c r="I2923" s="1009">
        <v>5007080</v>
      </c>
      <c r="J2923" s="1007" t="s">
        <v>1766</v>
      </c>
      <c r="O2923" s="1007" t="s">
        <v>648</v>
      </c>
      <c r="P2923" s="1007" t="s">
        <v>648</v>
      </c>
      <c r="S2923" s="1008" t="s">
        <v>650</v>
      </c>
      <c r="T2923" s="1008" t="s">
        <v>654</v>
      </c>
      <c r="U2923" s="1008" t="s">
        <v>653</v>
      </c>
      <c r="V2923" s="1008" t="s">
        <v>648</v>
      </c>
      <c r="W2923" s="1008" t="s">
        <v>546</v>
      </c>
      <c r="X2923" s="1008" t="s">
        <v>670</v>
      </c>
      <c r="Y2923" s="1008"/>
      <c r="Z2923" s="1008"/>
      <c r="AA2923" s="1008"/>
      <c r="AB2923" s="1008"/>
      <c r="AC2923" s="1008" t="s">
        <v>670</v>
      </c>
      <c r="AD2923" s="1008"/>
      <c r="AE2923" s="1008"/>
      <c r="AF2923" s="1008"/>
      <c r="AG2923" s="1008"/>
      <c r="AH2923" s="1008"/>
      <c r="AI2923" s="1008"/>
    </row>
    <row r="2924" spans="1:35">
      <c r="A2924" s="1008">
        <v>23746</v>
      </c>
      <c r="B2924" s="1008">
        <v>1018</v>
      </c>
      <c r="C2924" s="1008">
        <v>6</v>
      </c>
      <c r="D2924" s="1009">
        <v>59699999</v>
      </c>
      <c r="E2924" s="1009">
        <v>59611000</v>
      </c>
      <c r="F2924" s="1007" t="s">
        <v>1629</v>
      </c>
      <c r="G2924" s="1007">
        <v>7</v>
      </c>
      <c r="H2924" s="1010">
        <v>5099999</v>
      </c>
      <c r="I2924" s="1009">
        <v>5007090</v>
      </c>
      <c r="J2924" s="1007" t="s">
        <v>1765</v>
      </c>
      <c r="O2924" s="1007" t="s">
        <v>648</v>
      </c>
      <c r="P2924" s="1007" t="s">
        <v>648</v>
      </c>
      <c r="S2924" s="1008" t="s">
        <v>650</v>
      </c>
      <c r="T2924" s="1008" t="s">
        <v>654</v>
      </c>
      <c r="U2924" s="1008" t="s">
        <v>653</v>
      </c>
      <c r="V2924" s="1008" t="s">
        <v>648</v>
      </c>
      <c r="W2924" s="1008" t="s">
        <v>546</v>
      </c>
      <c r="X2924" s="1008" t="s">
        <v>670</v>
      </c>
      <c r="Y2924" s="1008"/>
      <c r="Z2924" s="1008"/>
      <c r="AA2924" s="1008"/>
      <c r="AB2924" s="1008"/>
      <c r="AC2924" s="1008" t="s">
        <v>670</v>
      </c>
      <c r="AD2924" s="1008"/>
      <c r="AE2924" s="1008"/>
      <c r="AF2924" s="1008"/>
      <c r="AG2924" s="1008"/>
      <c r="AH2924" s="1008"/>
      <c r="AI2924" s="1008"/>
    </row>
    <row r="2925" spans="1:35">
      <c r="A2925" s="1008">
        <v>23746</v>
      </c>
      <c r="B2925" s="1008">
        <v>1019</v>
      </c>
      <c r="C2925" s="1008">
        <v>6</v>
      </c>
      <c r="D2925" s="1009">
        <v>59699999</v>
      </c>
      <c r="E2925" s="1009">
        <v>59611000</v>
      </c>
      <c r="F2925" s="1007" t="s">
        <v>1629</v>
      </c>
      <c r="G2925" s="1007">
        <v>7</v>
      </c>
      <c r="H2925" s="1010">
        <v>5099999</v>
      </c>
      <c r="I2925" s="1009">
        <v>5007105</v>
      </c>
      <c r="J2925" s="1007" t="s">
        <v>1764</v>
      </c>
      <c r="O2925" s="1007" t="s">
        <v>648</v>
      </c>
      <c r="P2925" s="1007" t="s">
        <v>648</v>
      </c>
      <c r="S2925" s="1008" t="s">
        <v>650</v>
      </c>
      <c r="T2925" s="1008" t="s">
        <v>654</v>
      </c>
      <c r="U2925" s="1008" t="s">
        <v>653</v>
      </c>
      <c r="V2925" s="1008" t="s">
        <v>648</v>
      </c>
      <c r="W2925" s="1008" t="s">
        <v>546</v>
      </c>
      <c r="X2925" s="1008" t="s">
        <v>670</v>
      </c>
      <c r="Y2925" s="1008"/>
      <c r="Z2925" s="1008"/>
      <c r="AA2925" s="1008"/>
      <c r="AB2925" s="1008"/>
      <c r="AC2925" s="1008" t="s">
        <v>670</v>
      </c>
      <c r="AD2925" s="1008"/>
      <c r="AE2925" s="1008"/>
      <c r="AF2925" s="1008"/>
      <c r="AG2925" s="1008"/>
      <c r="AH2925" s="1008"/>
      <c r="AI2925" s="1008"/>
    </row>
    <row r="2926" spans="1:35">
      <c r="A2926" s="1008">
        <v>23746</v>
      </c>
      <c r="B2926" s="1008">
        <v>1020</v>
      </c>
      <c r="C2926" s="1008">
        <v>6</v>
      </c>
      <c r="D2926" s="1009">
        <v>59699999</v>
      </c>
      <c r="E2926" s="1009">
        <v>59611000</v>
      </c>
      <c r="F2926" s="1007" t="s">
        <v>1629</v>
      </c>
      <c r="G2926" s="1007">
        <v>7</v>
      </c>
      <c r="H2926" s="1010">
        <v>5099999</v>
      </c>
      <c r="I2926" s="1009">
        <v>5007160</v>
      </c>
      <c r="J2926" s="1007" t="s">
        <v>1763</v>
      </c>
      <c r="O2926" s="1007" t="s">
        <v>648</v>
      </c>
      <c r="P2926" s="1007" t="s">
        <v>648</v>
      </c>
      <c r="S2926" s="1008" t="s">
        <v>650</v>
      </c>
      <c r="T2926" s="1008" t="s">
        <v>654</v>
      </c>
      <c r="U2926" s="1008" t="s">
        <v>653</v>
      </c>
      <c r="V2926" s="1008" t="s">
        <v>648</v>
      </c>
      <c r="W2926" s="1008" t="s">
        <v>546</v>
      </c>
      <c r="X2926" s="1008" t="s">
        <v>670</v>
      </c>
      <c r="Y2926" s="1008"/>
      <c r="Z2926" s="1008"/>
      <c r="AA2926" s="1008"/>
      <c r="AB2926" s="1008"/>
      <c r="AC2926" s="1008" t="s">
        <v>670</v>
      </c>
      <c r="AD2926" s="1008"/>
      <c r="AE2926" s="1008"/>
      <c r="AF2926" s="1008"/>
      <c r="AG2926" s="1008"/>
      <c r="AH2926" s="1008"/>
      <c r="AI2926" s="1008"/>
    </row>
    <row r="2927" spans="1:35">
      <c r="A2927" s="1008">
        <v>23746</v>
      </c>
      <c r="B2927" s="1008">
        <v>1021</v>
      </c>
      <c r="C2927" s="1008">
        <v>6</v>
      </c>
      <c r="D2927" s="1009">
        <v>59699999</v>
      </c>
      <c r="E2927" s="1009">
        <v>59611000</v>
      </c>
      <c r="F2927" s="1007" t="s">
        <v>1629</v>
      </c>
      <c r="G2927" s="1007">
        <v>7</v>
      </c>
      <c r="H2927" s="1010">
        <v>5099999</v>
      </c>
      <c r="I2927" s="1009">
        <v>5007180</v>
      </c>
      <c r="J2927" s="1007" t="s">
        <v>1762</v>
      </c>
      <c r="O2927" s="1007" t="s">
        <v>648</v>
      </c>
      <c r="P2927" s="1007" t="s">
        <v>648</v>
      </c>
      <c r="S2927" s="1008" t="s">
        <v>650</v>
      </c>
      <c r="T2927" s="1008" t="s">
        <v>654</v>
      </c>
      <c r="U2927" s="1008" t="s">
        <v>653</v>
      </c>
      <c r="V2927" s="1008" t="s">
        <v>648</v>
      </c>
      <c r="W2927" s="1008" t="s">
        <v>546</v>
      </c>
      <c r="X2927" s="1008" t="s">
        <v>670</v>
      </c>
      <c r="Y2927" s="1008"/>
      <c r="Z2927" s="1008"/>
      <c r="AA2927" s="1008"/>
      <c r="AB2927" s="1008"/>
      <c r="AC2927" s="1008" t="s">
        <v>670</v>
      </c>
      <c r="AD2927" s="1008"/>
      <c r="AE2927" s="1008"/>
      <c r="AF2927" s="1008"/>
      <c r="AG2927" s="1008"/>
      <c r="AH2927" s="1008"/>
      <c r="AI2927" s="1008"/>
    </row>
    <row r="2928" spans="1:35">
      <c r="A2928" s="1008">
        <v>23746</v>
      </c>
      <c r="B2928" s="1008">
        <v>1022</v>
      </c>
      <c r="C2928" s="1008">
        <v>6</v>
      </c>
      <c r="D2928" s="1009">
        <v>59699999</v>
      </c>
      <c r="E2928" s="1009">
        <v>59611000</v>
      </c>
      <c r="F2928" s="1007" t="s">
        <v>1629</v>
      </c>
      <c r="G2928" s="1007">
        <v>7</v>
      </c>
      <c r="H2928" s="1010">
        <v>5099999</v>
      </c>
      <c r="I2928" s="1009">
        <v>5007190</v>
      </c>
      <c r="J2928" s="1007" t="s">
        <v>1761</v>
      </c>
      <c r="O2928" s="1007" t="s">
        <v>648</v>
      </c>
      <c r="P2928" s="1007" t="s">
        <v>648</v>
      </c>
      <c r="S2928" s="1008" t="s">
        <v>650</v>
      </c>
      <c r="T2928" s="1008" t="s">
        <v>654</v>
      </c>
      <c r="U2928" s="1008" t="s">
        <v>653</v>
      </c>
      <c r="V2928" s="1008" t="s">
        <v>648</v>
      </c>
      <c r="W2928" s="1008" t="s">
        <v>546</v>
      </c>
      <c r="X2928" s="1008" t="s">
        <v>670</v>
      </c>
      <c r="Y2928" s="1008"/>
      <c r="Z2928" s="1008"/>
      <c r="AA2928" s="1008"/>
      <c r="AB2928" s="1008"/>
      <c r="AC2928" s="1008" t="s">
        <v>670</v>
      </c>
      <c r="AD2928" s="1008"/>
      <c r="AE2928" s="1008"/>
      <c r="AF2928" s="1008"/>
      <c r="AG2928" s="1008"/>
      <c r="AH2928" s="1008"/>
      <c r="AI2928" s="1008"/>
    </row>
    <row r="2929" spans="1:35">
      <c r="A2929" s="1008">
        <v>23746</v>
      </c>
      <c r="B2929" s="1008">
        <v>1023</v>
      </c>
      <c r="C2929" s="1008">
        <v>6</v>
      </c>
      <c r="D2929" s="1009">
        <v>59699999</v>
      </c>
      <c r="E2929" s="1009">
        <v>59611000</v>
      </c>
      <c r="F2929" s="1007" t="s">
        <v>1629</v>
      </c>
      <c r="G2929" s="1007">
        <v>7</v>
      </c>
      <c r="H2929" s="1010">
        <v>5099999</v>
      </c>
      <c r="I2929" s="1009">
        <v>5007200</v>
      </c>
      <c r="J2929" s="1007" t="s">
        <v>1760</v>
      </c>
      <c r="O2929" s="1007" t="s">
        <v>648</v>
      </c>
      <c r="P2929" s="1007" t="s">
        <v>648</v>
      </c>
      <c r="S2929" s="1008" t="s">
        <v>650</v>
      </c>
      <c r="T2929" s="1008" t="s">
        <v>654</v>
      </c>
      <c r="U2929" s="1008" t="s">
        <v>653</v>
      </c>
      <c r="V2929" s="1008" t="s">
        <v>648</v>
      </c>
      <c r="W2929" s="1008" t="s">
        <v>546</v>
      </c>
      <c r="X2929" s="1008" t="s">
        <v>670</v>
      </c>
      <c r="Y2929" s="1008"/>
      <c r="Z2929" s="1008"/>
      <c r="AA2929" s="1008"/>
      <c r="AB2929" s="1008"/>
      <c r="AC2929" s="1008" t="s">
        <v>670</v>
      </c>
      <c r="AD2929" s="1008"/>
      <c r="AE2929" s="1008"/>
      <c r="AF2929" s="1008"/>
      <c r="AG2929" s="1008"/>
      <c r="AH2929" s="1008"/>
      <c r="AI2929" s="1008"/>
    </row>
    <row r="2930" spans="1:35">
      <c r="A2930" s="1008">
        <v>23746</v>
      </c>
      <c r="B2930" s="1008">
        <v>1024</v>
      </c>
      <c r="C2930" s="1008">
        <v>6</v>
      </c>
      <c r="D2930" s="1009">
        <v>59699999</v>
      </c>
      <c r="E2930" s="1009">
        <v>59611000</v>
      </c>
      <c r="F2930" s="1007" t="s">
        <v>1629</v>
      </c>
      <c r="G2930" s="1007">
        <v>7</v>
      </c>
      <c r="H2930" s="1010">
        <v>5099999</v>
      </c>
      <c r="I2930" s="1009">
        <v>5007280</v>
      </c>
      <c r="J2930" s="1007" t="s">
        <v>1759</v>
      </c>
      <c r="O2930" s="1007" t="s">
        <v>648</v>
      </c>
      <c r="P2930" s="1007" t="s">
        <v>648</v>
      </c>
      <c r="S2930" s="1008" t="s">
        <v>650</v>
      </c>
      <c r="T2930" s="1008" t="s">
        <v>654</v>
      </c>
      <c r="U2930" s="1008" t="s">
        <v>653</v>
      </c>
      <c r="V2930" s="1008" t="s">
        <v>648</v>
      </c>
      <c r="W2930" s="1008" t="s">
        <v>546</v>
      </c>
      <c r="X2930" s="1008" t="s">
        <v>670</v>
      </c>
      <c r="Y2930" s="1008"/>
      <c r="Z2930" s="1008"/>
      <c r="AA2930" s="1008"/>
      <c r="AB2930" s="1008"/>
      <c r="AC2930" s="1008" t="s">
        <v>670</v>
      </c>
      <c r="AD2930" s="1008"/>
      <c r="AE2930" s="1008"/>
      <c r="AF2930" s="1008"/>
      <c r="AG2930" s="1008"/>
      <c r="AH2930" s="1008"/>
      <c r="AI2930" s="1008"/>
    </row>
    <row r="2931" spans="1:35">
      <c r="A2931" s="1008">
        <v>23746</v>
      </c>
      <c r="B2931" s="1008">
        <v>1025</v>
      </c>
      <c r="C2931" s="1008">
        <v>6</v>
      </c>
      <c r="D2931" s="1009">
        <v>59699999</v>
      </c>
      <c r="E2931" s="1009">
        <v>59611000</v>
      </c>
      <c r="F2931" s="1007" t="s">
        <v>1629</v>
      </c>
      <c r="G2931" s="1007">
        <v>7</v>
      </c>
      <c r="H2931" s="1010">
        <v>5099999</v>
      </c>
      <c r="I2931" s="1009">
        <v>5007290</v>
      </c>
      <c r="J2931" s="1007" t="s">
        <v>1758</v>
      </c>
      <c r="O2931" s="1007" t="s">
        <v>648</v>
      </c>
      <c r="P2931" s="1007" t="s">
        <v>648</v>
      </c>
      <c r="S2931" s="1008" t="s">
        <v>650</v>
      </c>
      <c r="T2931" s="1008" t="s">
        <v>654</v>
      </c>
      <c r="U2931" s="1008" t="s">
        <v>653</v>
      </c>
      <c r="V2931" s="1008" t="s">
        <v>648</v>
      </c>
      <c r="W2931" s="1008" t="s">
        <v>546</v>
      </c>
      <c r="X2931" s="1008" t="s">
        <v>670</v>
      </c>
      <c r="Y2931" s="1008"/>
      <c r="Z2931" s="1008"/>
      <c r="AA2931" s="1008"/>
      <c r="AB2931" s="1008"/>
      <c r="AC2931" s="1008" t="s">
        <v>670</v>
      </c>
      <c r="AD2931" s="1008"/>
      <c r="AE2931" s="1008"/>
      <c r="AF2931" s="1008"/>
      <c r="AG2931" s="1008"/>
      <c r="AH2931" s="1008"/>
      <c r="AI2931" s="1008"/>
    </row>
    <row r="2932" spans="1:35">
      <c r="A2932" s="1008">
        <v>23746</v>
      </c>
      <c r="B2932" s="1008">
        <v>879</v>
      </c>
      <c r="C2932" s="1008">
        <v>6</v>
      </c>
      <c r="D2932" s="1009">
        <v>59699999</v>
      </c>
      <c r="E2932" s="1009">
        <v>59611000</v>
      </c>
      <c r="F2932" s="1007" t="s">
        <v>1629</v>
      </c>
      <c r="G2932" s="1007">
        <v>7</v>
      </c>
      <c r="H2932" s="1010">
        <v>5099999</v>
      </c>
      <c r="I2932" s="1009">
        <v>5008010</v>
      </c>
      <c r="J2932" s="1007" t="s">
        <v>1757</v>
      </c>
      <c r="O2932" s="1007" t="s">
        <v>648</v>
      </c>
      <c r="P2932" s="1007" t="s">
        <v>648</v>
      </c>
      <c r="S2932" s="1008" t="s">
        <v>650</v>
      </c>
      <c r="T2932" s="1008" t="s">
        <v>654</v>
      </c>
      <c r="U2932" s="1008" t="s">
        <v>653</v>
      </c>
      <c r="V2932" s="1008" t="s">
        <v>648</v>
      </c>
      <c r="W2932" s="1008" t="s">
        <v>546</v>
      </c>
      <c r="X2932" s="1008" t="s">
        <v>670</v>
      </c>
      <c r="Y2932" s="1008"/>
      <c r="Z2932" s="1008"/>
      <c r="AA2932" s="1008"/>
      <c r="AB2932" s="1008"/>
      <c r="AC2932" s="1008" t="s">
        <v>670</v>
      </c>
      <c r="AD2932" s="1008"/>
      <c r="AE2932" s="1008"/>
      <c r="AF2932" s="1008"/>
      <c r="AG2932" s="1008"/>
      <c r="AH2932" s="1008"/>
      <c r="AI2932" s="1008"/>
    </row>
    <row r="2933" spans="1:35">
      <c r="A2933" s="1008">
        <v>23746</v>
      </c>
      <c r="B2933" s="1008">
        <v>1026</v>
      </c>
      <c r="C2933" s="1008">
        <v>6</v>
      </c>
      <c r="D2933" s="1009">
        <v>59699999</v>
      </c>
      <c r="E2933" s="1009">
        <v>59611000</v>
      </c>
      <c r="F2933" s="1007" t="s">
        <v>1629</v>
      </c>
      <c r="G2933" s="1007">
        <v>7</v>
      </c>
      <c r="H2933" s="1010">
        <v>5099999</v>
      </c>
      <c r="I2933" s="1009">
        <v>5008040</v>
      </c>
      <c r="J2933" s="1007" t="s">
        <v>1756</v>
      </c>
      <c r="O2933" s="1007" t="s">
        <v>648</v>
      </c>
      <c r="P2933" s="1007" t="s">
        <v>648</v>
      </c>
      <c r="S2933" s="1008" t="s">
        <v>650</v>
      </c>
      <c r="T2933" s="1008" t="s">
        <v>654</v>
      </c>
      <c r="U2933" s="1008" t="s">
        <v>653</v>
      </c>
      <c r="V2933" s="1008" t="s">
        <v>648</v>
      </c>
      <c r="W2933" s="1008" t="s">
        <v>546</v>
      </c>
      <c r="X2933" s="1008" t="s">
        <v>670</v>
      </c>
      <c r="Y2933" s="1008"/>
      <c r="Z2933" s="1008"/>
      <c r="AA2933" s="1008"/>
      <c r="AB2933" s="1008"/>
      <c r="AC2933" s="1008" t="s">
        <v>670</v>
      </c>
      <c r="AD2933" s="1008"/>
      <c r="AE2933" s="1008"/>
      <c r="AF2933" s="1008"/>
      <c r="AG2933" s="1008"/>
      <c r="AH2933" s="1008"/>
      <c r="AI2933" s="1008"/>
    </row>
    <row r="2934" spans="1:35">
      <c r="A2934" s="1008">
        <v>23746</v>
      </c>
      <c r="B2934" s="1008">
        <v>1027</v>
      </c>
      <c r="C2934" s="1008">
        <v>6</v>
      </c>
      <c r="D2934" s="1009">
        <v>59699999</v>
      </c>
      <c r="E2934" s="1009">
        <v>59611000</v>
      </c>
      <c r="F2934" s="1007" t="s">
        <v>1629</v>
      </c>
      <c r="G2934" s="1007">
        <v>7</v>
      </c>
      <c r="H2934" s="1010">
        <v>5099999</v>
      </c>
      <c r="I2934" s="1009">
        <v>5008120</v>
      </c>
      <c r="J2934" s="1007" t="s">
        <v>1755</v>
      </c>
      <c r="O2934" s="1007" t="s">
        <v>648</v>
      </c>
      <c r="P2934" s="1007" t="s">
        <v>648</v>
      </c>
      <c r="S2934" s="1008" t="s">
        <v>650</v>
      </c>
      <c r="T2934" s="1008" t="s">
        <v>654</v>
      </c>
      <c r="U2934" s="1008" t="s">
        <v>653</v>
      </c>
      <c r="V2934" s="1008" t="s">
        <v>648</v>
      </c>
      <c r="W2934" s="1008" t="s">
        <v>546</v>
      </c>
      <c r="X2934" s="1008" t="s">
        <v>670</v>
      </c>
      <c r="Y2934" s="1008"/>
      <c r="Z2934" s="1008"/>
      <c r="AA2934" s="1008"/>
      <c r="AB2934" s="1008"/>
      <c r="AC2934" s="1008" t="s">
        <v>670</v>
      </c>
      <c r="AD2934" s="1008"/>
      <c r="AE2934" s="1008"/>
      <c r="AF2934" s="1008"/>
      <c r="AG2934" s="1008"/>
      <c r="AH2934" s="1008"/>
      <c r="AI2934" s="1008"/>
    </row>
    <row r="2935" spans="1:35">
      <c r="A2935" s="1008">
        <v>23746</v>
      </c>
      <c r="B2935" s="1008">
        <v>1028</v>
      </c>
      <c r="C2935" s="1008">
        <v>6</v>
      </c>
      <c r="D2935" s="1009">
        <v>59699999</v>
      </c>
      <c r="E2935" s="1009">
        <v>59611000</v>
      </c>
      <c r="F2935" s="1007" t="s">
        <v>1629</v>
      </c>
      <c r="G2935" s="1007">
        <v>7</v>
      </c>
      <c r="H2935" s="1010">
        <v>5099999</v>
      </c>
      <c r="I2935" s="1009">
        <v>5008150</v>
      </c>
      <c r="J2935" s="1007" t="s">
        <v>1754</v>
      </c>
      <c r="O2935" s="1007" t="s">
        <v>648</v>
      </c>
      <c r="P2935" s="1007" t="s">
        <v>648</v>
      </c>
      <c r="S2935" s="1008" t="s">
        <v>650</v>
      </c>
      <c r="T2935" s="1008" t="s">
        <v>654</v>
      </c>
      <c r="U2935" s="1008" t="s">
        <v>653</v>
      </c>
      <c r="V2935" s="1008" t="s">
        <v>648</v>
      </c>
      <c r="W2935" s="1008" t="s">
        <v>546</v>
      </c>
      <c r="X2935" s="1008" t="s">
        <v>670</v>
      </c>
      <c r="Y2935" s="1008"/>
      <c r="Z2935" s="1008"/>
      <c r="AA2935" s="1008"/>
      <c r="AB2935" s="1008"/>
      <c r="AC2935" s="1008" t="s">
        <v>670</v>
      </c>
      <c r="AD2935" s="1008"/>
      <c r="AE2935" s="1008"/>
      <c r="AF2935" s="1008"/>
      <c r="AG2935" s="1008"/>
      <c r="AH2935" s="1008"/>
      <c r="AI2935" s="1008"/>
    </row>
    <row r="2936" spans="1:35">
      <c r="A2936" s="1008">
        <v>23746</v>
      </c>
      <c r="B2936" s="1008">
        <v>1029</v>
      </c>
      <c r="C2936" s="1008">
        <v>6</v>
      </c>
      <c r="D2936" s="1009">
        <v>59699999</v>
      </c>
      <c r="E2936" s="1009">
        <v>59611000</v>
      </c>
      <c r="F2936" s="1007" t="s">
        <v>1629</v>
      </c>
      <c r="G2936" s="1007">
        <v>7</v>
      </c>
      <c r="H2936" s="1010">
        <v>5099999</v>
      </c>
      <c r="I2936" s="1009">
        <v>5008160</v>
      </c>
      <c r="J2936" s="1007" t="s">
        <v>1753</v>
      </c>
      <c r="O2936" s="1007" t="s">
        <v>648</v>
      </c>
      <c r="P2936" s="1007" t="s">
        <v>648</v>
      </c>
      <c r="S2936" s="1008" t="s">
        <v>650</v>
      </c>
      <c r="T2936" s="1008" t="s">
        <v>654</v>
      </c>
      <c r="U2936" s="1008" t="s">
        <v>653</v>
      </c>
      <c r="V2936" s="1008" t="s">
        <v>648</v>
      </c>
      <c r="W2936" s="1008" t="s">
        <v>546</v>
      </c>
      <c r="X2936" s="1008" t="s">
        <v>670</v>
      </c>
      <c r="Y2936" s="1008"/>
      <c r="Z2936" s="1008"/>
      <c r="AA2936" s="1008"/>
      <c r="AB2936" s="1008"/>
      <c r="AC2936" s="1008" t="s">
        <v>670</v>
      </c>
      <c r="AD2936" s="1008"/>
      <c r="AE2936" s="1008"/>
      <c r="AF2936" s="1008"/>
      <c r="AG2936" s="1008"/>
      <c r="AH2936" s="1008"/>
      <c r="AI2936" s="1008"/>
    </row>
    <row r="2937" spans="1:35">
      <c r="A2937" s="1008">
        <v>23746</v>
      </c>
      <c r="B2937" s="1008">
        <v>1030</v>
      </c>
      <c r="C2937" s="1008">
        <v>6</v>
      </c>
      <c r="D2937" s="1009">
        <v>59699999</v>
      </c>
      <c r="E2937" s="1009">
        <v>59611000</v>
      </c>
      <c r="F2937" s="1007" t="s">
        <v>1629</v>
      </c>
      <c r="G2937" s="1007">
        <v>7</v>
      </c>
      <c r="H2937" s="1010">
        <v>5099999</v>
      </c>
      <c r="I2937" s="1009">
        <v>5008200</v>
      </c>
      <c r="J2937" s="1007" t="s">
        <v>1752</v>
      </c>
      <c r="O2937" s="1007" t="s">
        <v>648</v>
      </c>
      <c r="P2937" s="1007" t="s">
        <v>648</v>
      </c>
      <c r="S2937" s="1008" t="s">
        <v>650</v>
      </c>
      <c r="T2937" s="1008" t="s">
        <v>654</v>
      </c>
      <c r="U2937" s="1008" t="s">
        <v>653</v>
      </c>
      <c r="V2937" s="1008" t="s">
        <v>648</v>
      </c>
      <c r="W2937" s="1008" t="s">
        <v>546</v>
      </c>
      <c r="X2937" s="1008" t="s">
        <v>670</v>
      </c>
      <c r="Y2937" s="1008"/>
      <c r="Z2937" s="1008"/>
      <c r="AA2937" s="1008"/>
      <c r="AB2937" s="1008"/>
      <c r="AC2937" s="1008" t="s">
        <v>670</v>
      </c>
      <c r="AD2937" s="1008"/>
      <c r="AE2937" s="1008"/>
      <c r="AF2937" s="1008"/>
      <c r="AG2937" s="1008"/>
      <c r="AH2937" s="1008"/>
      <c r="AI2937" s="1008"/>
    </row>
    <row r="2938" spans="1:35">
      <c r="A2938" s="1008">
        <v>23746</v>
      </c>
      <c r="B2938" s="1008">
        <v>1031</v>
      </c>
      <c r="C2938" s="1008">
        <v>6</v>
      </c>
      <c r="D2938" s="1009">
        <v>59699999</v>
      </c>
      <c r="E2938" s="1009">
        <v>59611000</v>
      </c>
      <c r="F2938" s="1007" t="s">
        <v>1629</v>
      </c>
      <c r="G2938" s="1007">
        <v>7</v>
      </c>
      <c r="H2938" s="1010">
        <v>5099999</v>
      </c>
      <c r="I2938" s="1009">
        <v>5008230</v>
      </c>
      <c r="J2938" s="1007" t="s">
        <v>1751</v>
      </c>
      <c r="O2938" s="1007" t="s">
        <v>648</v>
      </c>
      <c r="P2938" s="1007" t="s">
        <v>648</v>
      </c>
      <c r="S2938" s="1008" t="s">
        <v>650</v>
      </c>
      <c r="T2938" s="1008" t="s">
        <v>654</v>
      </c>
      <c r="U2938" s="1008" t="s">
        <v>653</v>
      </c>
      <c r="V2938" s="1008" t="s">
        <v>648</v>
      </c>
      <c r="W2938" s="1008" t="s">
        <v>546</v>
      </c>
      <c r="X2938" s="1008" t="s">
        <v>670</v>
      </c>
      <c r="Y2938" s="1008"/>
      <c r="Z2938" s="1008"/>
      <c r="AA2938" s="1008"/>
      <c r="AB2938" s="1008"/>
      <c r="AC2938" s="1008" t="s">
        <v>670</v>
      </c>
      <c r="AD2938" s="1008"/>
      <c r="AE2938" s="1008"/>
      <c r="AF2938" s="1008"/>
      <c r="AG2938" s="1008"/>
      <c r="AH2938" s="1008"/>
      <c r="AI2938" s="1008"/>
    </row>
    <row r="2939" spans="1:35">
      <c r="A2939" s="1008">
        <v>23746</v>
      </c>
      <c r="B2939" s="1008">
        <v>1032</v>
      </c>
      <c r="C2939" s="1008">
        <v>6</v>
      </c>
      <c r="D2939" s="1009">
        <v>59699999</v>
      </c>
      <c r="E2939" s="1009">
        <v>59611000</v>
      </c>
      <c r="F2939" s="1007" t="s">
        <v>1629</v>
      </c>
      <c r="G2939" s="1007">
        <v>7</v>
      </c>
      <c r="H2939" s="1010">
        <v>5099999</v>
      </c>
      <c r="I2939" s="1009">
        <v>5008240</v>
      </c>
      <c r="J2939" s="1007" t="s">
        <v>1750</v>
      </c>
      <c r="O2939" s="1007" t="s">
        <v>648</v>
      </c>
      <c r="P2939" s="1007" t="s">
        <v>648</v>
      </c>
      <c r="S2939" s="1008" t="s">
        <v>650</v>
      </c>
      <c r="T2939" s="1008" t="s">
        <v>654</v>
      </c>
      <c r="U2939" s="1008" t="s">
        <v>653</v>
      </c>
      <c r="V2939" s="1008" t="s">
        <v>648</v>
      </c>
      <c r="W2939" s="1008" t="s">
        <v>546</v>
      </c>
      <c r="X2939" s="1008" t="s">
        <v>670</v>
      </c>
      <c r="Y2939" s="1008"/>
      <c r="Z2939" s="1008"/>
      <c r="AA2939" s="1008"/>
      <c r="AB2939" s="1008"/>
      <c r="AC2939" s="1008" t="s">
        <v>670</v>
      </c>
      <c r="AD2939" s="1008"/>
      <c r="AE2939" s="1008"/>
      <c r="AF2939" s="1008"/>
      <c r="AG2939" s="1008"/>
      <c r="AH2939" s="1008"/>
      <c r="AI2939" s="1008"/>
    </row>
    <row r="2940" spans="1:35">
      <c r="A2940" s="1008">
        <v>23746</v>
      </c>
      <c r="B2940" s="1008">
        <v>1033</v>
      </c>
      <c r="C2940" s="1008">
        <v>6</v>
      </c>
      <c r="D2940" s="1009">
        <v>59699999</v>
      </c>
      <c r="E2940" s="1009">
        <v>59611000</v>
      </c>
      <c r="F2940" s="1007" t="s">
        <v>1629</v>
      </c>
      <c r="G2940" s="1007">
        <v>7</v>
      </c>
      <c r="H2940" s="1010">
        <v>5099999</v>
      </c>
      <c r="I2940" s="1009">
        <v>5008250</v>
      </c>
      <c r="J2940" s="1007" t="s">
        <v>1749</v>
      </c>
      <c r="O2940" s="1007" t="s">
        <v>648</v>
      </c>
      <c r="P2940" s="1007" t="s">
        <v>648</v>
      </c>
      <c r="S2940" s="1008" t="s">
        <v>650</v>
      </c>
      <c r="T2940" s="1008" t="s">
        <v>654</v>
      </c>
      <c r="U2940" s="1008" t="s">
        <v>653</v>
      </c>
      <c r="V2940" s="1008" t="s">
        <v>648</v>
      </c>
      <c r="W2940" s="1008" t="s">
        <v>546</v>
      </c>
      <c r="X2940" s="1008" t="s">
        <v>670</v>
      </c>
      <c r="Y2940" s="1008"/>
      <c r="Z2940" s="1008"/>
      <c r="AA2940" s="1008"/>
      <c r="AB2940" s="1008"/>
      <c r="AC2940" s="1008" t="s">
        <v>670</v>
      </c>
      <c r="AD2940" s="1008"/>
      <c r="AE2940" s="1008"/>
      <c r="AF2940" s="1008"/>
      <c r="AG2940" s="1008"/>
      <c r="AH2940" s="1008"/>
      <c r="AI2940" s="1008"/>
    </row>
    <row r="2941" spans="1:35">
      <c r="A2941" s="1008">
        <v>23746</v>
      </c>
      <c r="B2941" s="1008">
        <v>882</v>
      </c>
      <c r="C2941" s="1008">
        <v>6</v>
      </c>
      <c r="D2941" s="1009">
        <v>59699999</v>
      </c>
      <c r="E2941" s="1009">
        <v>59611000</v>
      </c>
      <c r="F2941" s="1007" t="s">
        <v>1629</v>
      </c>
      <c r="G2941" s="1007">
        <v>7</v>
      </c>
      <c r="H2941" s="1010">
        <v>5099999</v>
      </c>
      <c r="I2941" s="1009">
        <v>5009005</v>
      </c>
      <c r="J2941" s="1007" t="s">
        <v>1748</v>
      </c>
      <c r="O2941" s="1007" t="s">
        <v>648</v>
      </c>
      <c r="P2941" s="1007" t="s">
        <v>648</v>
      </c>
      <c r="S2941" s="1008" t="s">
        <v>650</v>
      </c>
      <c r="T2941" s="1008" t="s">
        <v>654</v>
      </c>
      <c r="U2941" s="1008" t="s">
        <v>653</v>
      </c>
      <c r="V2941" s="1008" t="s">
        <v>648</v>
      </c>
      <c r="W2941" s="1008" t="s">
        <v>546</v>
      </c>
      <c r="X2941" s="1008" t="s">
        <v>670</v>
      </c>
      <c r="Y2941" s="1008"/>
      <c r="Z2941" s="1008"/>
      <c r="AA2941" s="1008"/>
      <c r="AB2941" s="1008"/>
      <c r="AC2941" s="1008" t="s">
        <v>670</v>
      </c>
      <c r="AD2941" s="1008"/>
      <c r="AE2941" s="1008"/>
      <c r="AF2941" s="1008"/>
      <c r="AG2941" s="1008"/>
      <c r="AH2941" s="1008"/>
      <c r="AI2941" s="1008"/>
    </row>
    <row r="2942" spans="1:35">
      <c r="A2942" s="1008">
        <v>23746</v>
      </c>
      <c r="B2942" s="1008">
        <v>1034</v>
      </c>
      <c r="C2942" s="1008">
        <v>6</v>
      </c>
      <c r="D2942" s="1009">
        <v>59699999</v>
      </c>
      <c r="E2942" s="1009">
        <v>59611000</v>
      </c>
      <c r="F2942" s="1007" t="s">
        <v>1629</v>
      </c>
      <c r="G2942" s="1007">
        <v>7</v>
      </c>
      <c r="H2942" s="1010">
        <v>5099999</v>
      </c>
      <c r="I2942" s="1009">
        <v>5009010</v>
      </c>
      <c r="J2942" s="1007" t="s">
        <v>1747</v>
      </c>
      <c r="O2942" s="1007" t="s">
        <v>648</v>
      </c>
      <c r="P2942" s="1007" t="s">
        <v>648</v>
      </c>
      <c r="S2942" s="1008" t="s">
        <v>650</v>
      </c>
      <c r="T2942" s="1008" t="s">
        <v>654</v>
      </c>
      <c r="U2942" s="1008" t="s">
        <v>653</v>
      </c>
      <c r="V2942" s="1008" t="s">
        <v>648</v>
      </c>
      <c r="W2942" s="1008" t="s">
        <v>546</v>
      </c>
      <c r="X2942" s="1008" t="s">
        <v>670</v>
      </c>
      <c r="Y2942" s="1008"/>
      <c r="Z2942" s="1008"/>
      <c r="AA2942" s="1008"/>
      <c r="AB2942" s="1008"/>
      <c r="AC2942" s="1008" t="s">
        <v>670</v>
      </c>
      <c r="AD2942" s="1008"/>
      <c r="AE2942" s="1008"/>
      <c r="AF2942" s="1008"/>
      <c r="AG2942" s="1008"/>
      <c r="AH2942" s="1008"/>
      <c r="AI2942" s="1008"/>
    </row>
    <row r="2943" spans="1:35">
      <c r="A2943" s="1008">
        <v>23746</v>
      </c>
      <c r="B2943" s="1008">
        <v>1035</v>
      </c>
      <c r="C2943" s="1008">
        <v>6</v>
      </c>
      <c r="D2943" s="1009">
        <v>59699999</v>
      </c>
      <c r="E2943" s="1009">
        <v>59611000</v>
      </c>
      <c r="F2943" s="1007" t="s">
        <v>1629</v>
      </c>
      <c r="G2943" s="1007">
        <v>7</v>
      </c>
      <c r="H2943" s="1010">
        <v>5099999</v>
      </c>
      <c r="I2943" s="1009">
        <v>5009040</v>
      </c>
      <c r="J2943" s="1007" t="s">
        <v>1746</v>
      </c>
      <c r="O2943" s="1007" t="s">
        <v>648</v>
      </c>
      <c r="P2943" s="1007" t="s">
        <v>648</v>
      </c>
      <c r="S2943" s="1008" t="s">
        <v>650</v>
      </c>
      <c r="T2943" s="1008" t="s">
        <v>654</v>
      </c>
      <c r="U2943" s="1008" t="s">
        <v>653</v>
      </c>
      <c r="V2943" s="1008" t="s">
        <v>648</v>
      </c>
      <c r="W2943" s="1008" t="s">
        <v>546</v>
      </c>
      <c r="X2943" s="1008" t="s">
        <v>670</v>
      </c>
      <c r="Y2943" s="1008"/>
      <c r="Z2943" s="1008"/>
      <c r="AA2943" s="1008"/>
      <c r="AB2943" s="1008"/>
      <c r="AC2943" s="1008" t="s">
        <v>670</v>
      </c>
      <c r="AD2943" s="1008"/>
      <c r="AE2943" s="1008"/>
      <c r="AF2943" s="1008"/>
      <c r="AG2943" s="1008"/>
      <c r="AH2943" s="1008"/>
      <c r="AI2943" s="1008"/>
    </row>
    <row r="2944" spans="1:35">
      <c r="A2944" s="1008">
        <v>23746</v>
      </c>
      <c r="B2944" s="1008">
        <v>1036</v>
      </c>
      <c r="C2944" s="1008">
        <v>6</v>
      </c>
      <c r="D2944" s="1009">
        <v>59699999</v>
      </c>
      <c r="E2944" s="1009">
        <v>59611000</v>
      </c>
      <c r="F2944" s="1007" t="s">
        <v>1629</v>
      </c>
      <c r="G2944" s="1007">
        <v>7</v>
      </c>
      <c r="H2944" s="1010">
        <v>5099999</v>
      </c>
      <c r="I2944" s="1009">
        <v>5009050</v>
      </c>
      <c r="J2944" s="1007" t="s">
        <v>1745</v>
      </c>
      <c r="O2944" s="1007" t="s">
        <v>648</v>
      </c>
      <c r="P2944" s="1007" t="s">
        <v>648</v>
      </c>
      <c r="S2944" s="1008" t="s">
        <v>650</v>
      </c>
      <c r="T2944" s="1008" t="s">
        <v>654</v>
      </c>
      <c r="U2944" s="1008" t="s">
        <v>653</v>
      </c>
      <c r="V2944" s="1008" t="s">
        <v>648</v>
      </c>
      <c r="W2944" s="1008" t="s">
        <v>546</v>
      </c>
      <c r="X2944" s="1008" t="s">
        <v>670</v>
      </c>
      <c r="Y2944" s="1008"/>
      <c r="Z2944" s="1008"/>
      <c r="AA2944" s="1008"/>
      <c r="AB2944" s="1008"/>
      <c r="AC2944" s="1008" t="s">
        <v>670</v>
      </c>
      <c r="AD2944" s="1008"/>
      <c r="AE2944" s="1008"/>
      <c r="AF2944" s="1008"/>
      <c r="AG2944" s="1008"/>
      <c r="AH2944" s="1008"/>
      <c r="AI2944" s="1008"/>
    </row>
    <row r="2945" spans="1:35">
      <c r="A2945" s="1008">
        <v>23746</v>
      </c>
      <c r="B2945" s="1008">
        <v>1037</v>
      </c>
      <c r="C2945" s="1008">
        <v>6</v>
      </c>
      <c r="D2945" s="1009">
        <v>59699999</v>
      </c>
      <c r="E2945" s="1009">
        <v>59611000</v>
      </c>
      <c r="F2945" s="1007" t="s">
        <v>1629</v>
      </c>
      <c r="G2945" s="1007">
        <v>7</v>
      </c>
      <c r="H2945" s="1010">
        <v>5099999</v>
      </c>
      <c r="I2945" s="1009">
        <v>5009065</v>
      </c>
      <c r="J2945" s="1007" t="s">
        <v>1744</v>
      </c>
      <c r="O2945" s="1007" t="s">
        <v>648</v>
      </c>
      <c r="P2945" s="1007" t="s">
        <v>648</v>
      </c>
      <c r="S2945" s="1008" t="s">
        <v>650</v>
      </c>
      <c r="T2945" s="1008" t="s">
        <v>654</v>
      </c>
      <c r="U2945" s="1008" t="s">
        <v>653</v>
      </c>
      <c r="V2945" s="1008" t="s">
        <v>648</v>
      </c>
      <c r="W2945" s="1008" t="s">
        <v>546</v>
      </c>
      <c r="X2945" s="1008" t="s">
        <v>670</v>
      </c>
      <c r="Y2945" s="1008"/>
      <c r="Z2945" s="1008"/>
      <c r="AA2945" s="1008"/>
      <c r="AB2945" s="1008"/>
      <c r="AC2945" s="1008" t="s">
        <v>670</v>
      </c>
      <c r="AD2945" s="1008"/>
      <c r="AE2945" s="1008"/>
      <c r="AF2945" s="1008"/>
      <c r="AG2945" s="1008"/>
      <c r="AH2945" s="1008"/>
      <c r="AI2945" s="1008"/>
    </row>
    <row r="2946" spans="1:35">
      <c r="A2946" s="1008">
        <v>23746</v>
      </c>
      <c r="B2946" s="1008">
        <v>1038</v>
      </c>
      <c r="C2946" s="1008">
        <v>6</v>
      </c>
      <c r="D2946" s="1009">
        <v>59699999</v>
      </c>
      <c r="E2946" s="1009">
        <v>59611000</v>
      </c>
      <c r="F2946" s="1007" t="s">
        <v>1629</v>
      </c>
      <c r="G2946" s="1007">
        <v>7</v>
      </c>
      <c r="H2946" s="1010">
        <v>5099999</v>
      </c>
      <c r="I2946" s="1009">
        <v>5009080</v>
      </c>
      <c r="J2946" s="1007" t="s">
        <v>1743</v>
      </c>
      <c r="O2946" s="1007" t="s">
        <v>648</v>
      </c>
      <c r="P2946" s="1007" t="s">
        <v>648</v>
      </c>
      <c r="S2946" s="1008" t="s">
        <v>650</v>
      </c>
      <c r="T2946" s="1008" t="s">
        <v>654</v>
      </c>
      <c r="U2946" s="1008" t="s">
        <v>653</v>
      </c>
      <c r="V2946" s="1008" t="s">
        <v>648</v>
      </c>
      <c r="W2946" s="1008" t="s">
        <v>546</v>
      </c>
      <c r="X2946" s="1008" t="s">
        <v>670</v>
      </c>
      <c r="Y2946" s="1008"/>
      <c r="Z2946" s="1008"/>
      <c r="AA2946" s="1008"/>
      <c r="AB2946" s="1008"/>
      <c r="AC2946" s="1008" t="s">
        <v>670</v>
      </c>
      <c r="AD2946" s="1008"/>
      <c r="AE2946" s="1008"/>
      <c r="AF2946" s="1008"/>
      <c r="AG2946" s="1008"/>
      <c r="AH2946" s="1008"/>
      <c r="AI2946" s="1008"/>
    </row>
    <row r="2947" spans="1:35">
      <c r="A2947" s="1008">
        <v>23746</v>
      </c>
      <c r="B2947" s="1008">
        <v>1039</v>
      </c>
      <c r="C2947" s="1008">
        <v>6</v>
      </c>
      <c r="D2947" s="1009">
        <v>59699999</v>
      </c>
      <c r="E2947" s="1009">
        <v>59611000</v>
      </c>
      <c r="F2947" s="1007" t="s">
        <v>1629</v>
      </c>
      <c r="G2947" s="1007">
        <v>7</v>
      </c>
      <c r="H2947" s="1010">
        <v>5099999</v>
      </c>
      <c r="I2947" s="1009">
        <v>5009142</v>
      </c>
      <c r="J2947" s="1007" t="s">
        <v>1742</v>
      </c>
      <c r="O2947" s="1007" t="s">
        <v>648</v>
      </c>
      <c r="P2947" s="1007" t="s">
        <v>648</v>
      </c>
      <c r="S2947" s="1008" t="s">
        <v>650</v>
      </c>
      <c r="T2947" s="1008" t="s">
        <v>654</v>
      </c>
      <c r="U2947" s="1008" t="s">
        <v>653</v>
      </c>
      <c r="V2947" s="1008" t="s">
        <v>648</v>
      </c>
      <c r="W2947" s="1008" t="s">
        <v>546</v>
      </c>
      <c r="X2947" s="1008" t="s">
        <v>670</v>
      </c>
      <c r="Y2947" s="1008"/>
      <c r="Z2947" s="1008"/>
      <c r="AA2947" s="1008"/>
      <c r="AB2947" s="1008"/>
      <c r="AC2947" s="1008" t="s">
        <v>670</v>
      </c>
      <c r="AD2947" s="1008"/>
      <c r="AE2947" s="1008"/>
      <c r="AF2947" s="1008"/>
      <c r="AG2947" s="1008"/>
      <c r="AH2947" s="1008"/>
      <c r="AI2947" s="1008"/>
    </row>
    <row r="2948" spans="1:35">
      <c r="A2948" s="1008">
        <v>23746</v>
      </c>
      <c r="B2948" s="1008">
        <v>1040</v>
      </c>
      <c r="C2948" s="1008">
        <v>6</v>
      </c>
      <c r="D2948" s="1009">
        <v>59699999</v>
      </c>
      <c r="E2948" s="1009">
        <v>59611000</v>
      </c>
      <c r="F2948" s="1007" t="s">
        <v>1629</v>
      </c>
      <c r="G2948" s="1007">
        <v>7</v>
      </c>
      <c r="H2948" s="1010">
        <v>5099999</v>
      </c>
      <c r="I2948" s="1009">
        <v>5009170</v>
      </c>
      <c r="J2948" s="1007" t="s">
        <v>1741</v>
      </c>
      <c r="O2948" s="1007" t="s">
        <v>648</v>
      </c>
      <c r="P2948" s="1007" t="s">
        <v>648</v>
      </c>
      <c r="S2948" s="1008" t="s">
        <v>650</v>
      </c>
      <c r="T2948" s="1008" t="s">
        <v>654</v>
      </c>
      <c r="U2948" s="1008" t="s">
        <v>653</v>
      </c>
      <c r="V2948" s="1008" t="s">
        <v>648</v>
      </c>
      <c r="W2948" s="1008" t="s">
        <v>546</v>
      </c>
      <c r="X2948" s="1008" t="s">
        <v>670</v>
      </c>
      <c r="Y2948" s="1008"/>
      <c r="Z2948" s="1008"/>
      <c r="AA2948" s="1008"/>
      <c r="AB2948" s="1008"/>
      <c r="AC2948" s="1008" t="s">
        <v>670</v>
      </c>
      <c r="AD2948" s="1008"/>
      <c r="AE2948" s="1008"/>
      <c r="AF2948" s="1008"/>
      <c r="AG2948" s="1008"/>
      <c r="AH2948" s="1008"/>
      <c r="AI2948" s="1008"/>
    </row>
    <row r="2949" spans="1:35">
      <c r="A2949" s="1008">
        <v>23746</v>
      </c>
      <c r="B2949" s="1008">
        <v>1041</v>
      </c>
      <c r="C2949" s="1008">
        <v>6</v>
      </c>
      <c r="D2949" s="1009">
        <v>59699999</v>
      </c>
      <c r="E2949" s="1009">
        <v>59611000</v>
      </c>
      <c r="F2949" s="1007" t="s">
        <v>1629</v>
      </c>
      <c r="G2949" s="1007">
        <v>7</v>
      </c>
      <c r="H2949" s="1010">
        <v>5099999</v>
      </c>
      <c r="I2949" s="1009">
        <v>5009180</v>
      </c>
      <c r="J2949" s="1007" t="s">
        <v>1740</v>
      </c>
      <c r="O2949" s="1007" t="s">
        <v>648</v>
      </c>
      <c r="P2949" s="1007" t="s">
        <v>648</v>
      </c>
      <c r="S2949" s="1008" t="s">
        <v>650</v>
      </c>
      <c r="T2949" s="1008" t="s">
        <v>654</v>
      </c>
      <c r="U2949" s="1008" t="s">
        <v>653</v>
      </c>
      <c r="V2949" s="1008" t="s">
        <v>648</v>
      </c>
      <c r="W2949" s="1008" t="s">
        <v>546</v>
      </c>
      <c r="X2949" s="1008" t="s">
        <v>670</v>
      </c>
      <c r="Y2949" s="1008"/>
      <c r="Z2949" s="1008"/>
      <c r="AA2949" s="1008"/>
      <c r="AB2949" s="1008"/>
      <c r="AC2949" s="1008" t="s">
        <v>670</v>
      </c>
      <c r="AD2949" s="1008"/>
      <c r="AE2949" s="1008"/>
      <c r="AF2949" s="1008"/>
      <c r="AG2949" s="1008"/>
      <c r="AH2949" s="1008"/>
      <c r="AI2949" s="1008"/>
    </row>
    <row r="2950" spans="1:35">
      <c r="A2950" s="1008">
        <v>23746</v>
      </c>
      <c r="B2950" s="1008">
        <v>1042</v>
      </c>
      <c r="C2950" s="1008">
        <v>6</v>
      </c>
      <c r="D2950" s="1009">
        <v>59699999</v>
      </c>
      <c r="E2950" s="1009">
        <v>59611000</v>
      </c>
      <c r="F2950" s="1007" t="s">
        <v>1629</v>
      </c>
      <c r="G2950" s="1007">
        <v>7</v>
      </c>
      <c r="H2950" s="1010">
        <v>5099999</v>
      </c>
      <c r="I2950" s="1009">
        <v>5009260</v>
      </c>
      <c r="J2950" s="1007" t="s">
        <v>1739</v>
      </c>
      <c r="O2950" s="1007" t="s">
        <v>648</v>
      </c>
      <c r="P2950" s="1007" t="s">
        <v>648</v>
      </c>
      <c r="S2950" s="1008" t="s">
        <v>650</v>
      </c>
      <c r="T2950" s="1008" t="s">
        <v>654</v>
      </c>
      <c r="U2950" s="1008" t="s">
        <v>653</v>
      </c>
      <c r="V2950" s="1008" t="s">
        <v>648</v>
      </c>
      <c r="W2950" s="1008" t="s">
        <v>546</v>
      </c>
      <c r="X2950" s="1008" t="s">
        <v>670</v>
      </c>
      <c r="Y2950" s="1008"/>
      <c r="Z2950" s="1008"/>
      <c r="AA2950" s="1008"/>
      <c r="AB2950" s="1008"/>
      <c r="AC2950" s="1008" t="s">
        <v>670</v>
      </c>
      <c r="AD2950" s="1008"/>
      <c r="AE2950" s="1008"/>
      <c r="AF2950" s="1008"/>
      <c r="AG2950" s="1008"/>
      <c r="AH2950" s="1008"/>
      <c r="AI2950" s="1008"/>
    </row>
    <row r="2951" spans="1:35">
      <c r="A2951" s="1008">
        <v>23746</v>
      </c>
      <c r="B2951" s="1008">
        <v>6606</v>
      </c>
      <c r="C2951" s="1008">
        <v>6</v>
      </c>
      <c r="D2951" s="1009">
        <v>59699999</v>
      </c>
      <c r="E2951" s="1009">
        <v>59611000</v>
      </c>
      <c r="F2951" s="1007" t="s">
        <v>1629</v>
      </c>
      <c r="G2951" s="1007">
        <v>7</v>
      </c>
      <c r="H2951" s="1010">
        <v>5099999</v>
      </c>
      <c r="I2951" s="1009">
        <v>5009270</v>
      </c>
      <c r="J2951" s="1007" t="s">
        <v>1738</v>
      </c>
      <c r="O2951" s="1007" t="s">
        <v>648</v>
      </c>
      <c r="P2951" s="1007" t="s">
        <v>648</v>
      </c>
      <c r="S2951" s="1008" t="s">
        <v>650</v>
      </c>
      <c r="T2951" s="1008" t="s">
        <v>654</v>
      </c>
      <c r="U2951" s="1008" t="s">
        <v>653</v>
      </c>
      <c r="V2951" s="1008" t="s">
        <v>648</v>
      </c>
      <c r="W2951" s="1008" t="s">
        <v>546</v>
      </c>
      <c r="X2951" s="1008" t="s">
        <v>670</v>
      </c>
      <c r="Y2951" s="1008"/>
      <c r="Z2951" s="1008"/>
      <c r="AA2951" s="1008"/>
      <c r="AB2951" s="1008"/>
      <c r="AC2951" s="1008" t="s">
        <v>670</v>
      </c>
      <c r="AD2951" s="1008"/>
      <c r="AE2951" s="1008"/>
      <c r="AF2951" s="1008"/>
      <c r="AG2951" s="1008"/>
      <c r="AH2951" s="1008"/>
      <c r="AI2951" s="1008"/>
    </row>
    <row r="2952" spans="1:35">
      <c r="A2952" s="1008">
        <v>23746</v>
      </c>
      <c r="B2952" s="1008">
        <v>6607</v>
      </c>
      <c r="C2952" s="1008">
        <v>6</v>
      </c>
      <c r="D2952" s="1009">
        <v>59699999</v>
      </c>
      <c r="E2952" s="1009">
        <v>59611000</v>
      </c>
      <c r="F2952" s="1007" t="s">
        <v>1629</v>
      </c>
      <c r="G2952" s="1007">
        <v>7</v>
      </c>
      <c r="H2952" s="1010">
        <v>5099999</v>
      </c>
      <c r="I2952" s="1009">
        <v>5009275</v>
      </c>
      <c r="J2952" s="1007" t="s">
        <v>1737</v>
      </c>
      <c r="O2952" s="1007" t="s">
        <v>648</v>
      </c>
      <c r="P2952" s="1007" t="s">
        <v>648</v>
      </c>
      <c r="S2952" s="1008" t="s">
        <v>650</v>
      </c>
      <c r="T2952" s="1008" t="s">
        <v>654</v>
      </c>
      <c r="U2952" s="1008" t="s">
        <v>653</v>
      </c>
      <c r="V2952" s="1008" t="s">
        <v>648</v>
      </c>
      <c r="W2952" s="1008" t="s">
        <v>546</v>
      </c>
      <c r="X2952" s="1008" t="s">
        <v>670</v>
      </c>
      <c r="Y2952" s="1008"/>
      <c r="Z2952" s="1008"/>
      <c r="AA2952" s="1008"/>
      <c r="AB2952" s="1008"/>
      <c r="AC2952" s="1008" t="s">
        <v>670</v>
      </c>
      <c r="AD2952" s="1008"/>
      <c r="AE2952" s="1008"/>
      <c r="AF2952" s="1008"/>
      <c r="AG2952" s="1008"/>
      <c r="AH2952" s="1008"/>
      <c r="AI2952" s="1008"/>
    </row>
    <row r="2953" spans="1:35">
      <c r="A2953" s="1008">
        <v>23746</v>
      </c>
      <c r="B2953" s="1008">
        <v>6608</v>
      </c>
      <c r="C2953" s="1008">
        <v>6</v>
      </c>
      <c r="D2953" s="1009">
        <v>59699999</v>
      </c>
      <c r="E2953" s="1009">
        <v>59611000</v>
      </c>
      <c r="F2953" s="1007" t="s">
        <v>1629</v>
      </c>
      <c r="G2953" s="1007">
        <v>7</v>
      </c>
      <c r="H2953" s="1010">
        <v>5099999</v>
      </c>
      <c r="I2953" s="1009">
        <v>5009280</v>
      </c>
      <c r="J2953" s="1007" t="s">
        <v>1736</v>
      </c>
      <c r="O2953" s="1007" t="s">
        <v>648</v>
      </c>
      <c r="P2953" s="1007" t="s">
        <v>648</v>
      </c>
      <c r="S2953" s="1008" t="s">
        <v>650</v>
      </c>
      <c r="T2953" s="1008" t="s">
        <v>654</v>
      </c>
      <c r="U2953" s="1008" t="s">
        <v>653</v>
      </c>
      <c r="V2953" s="1008" t="s">
        <v>648</v>
      </c>
      <c r="W2953" s="1008" t="s">
        <v>546</v>
      </c>
      <c r="X2953" s="1008" t="s">
        <v>670</v>
      </c>
      <c r="Y2953" s="1008"/>
      <c r="Z2953" s="1008"/>
      <c r="AA2953" s="1008"/>
      <c r="AB2953" s="1008"/>
      <c r="AC2953" s="1008" t="s">
        <v>670</v>
      </c>
      <c r="AD2953" s="1008"/>
      <c r="AE2953" s="1008"/>
      <c r="AF2953" s="1008"/>
      <c r="AG2953" s="1008"/>
      <c r="AH2953" s="1008"/>
      <c r="AI2953" s="1008"/>
    </row>
    <row r="2954" spans="1:35">
      <c r="A2954" s="1008">
        <v>23746</v>
      </c>
      <c r="B2954" s="1008">
        <v>885</v>
      </c>
      <c r="C2954" s="1008">
        <v>6</v>
      </c>
      <c r="D2954" s="1009">
        <v>59699999</v>
      </c>
      <c r="E2954" s="1009">
        <v>59611000</v>
      </c>
      <c r="F2954" s="1007" t="s">
        <v>1629</v>
      </c>
      <c r="G2954" s="1007">
        <v>7</v>
      </c>
      <c r="H2954" s="1010">
        <v>5099999</v>
      </c>
      <c r="I2954" s="1009">
        <v>5010005</v>
      </c>
      <c r="J2954" s="1007" t="s">
        <v>1735</v>
      </c>
      <c r="O2954" s="1007" t="s">
        <v>648</v>
      </c>
      <c r="P2954" s="1007" t="s">
        <v>648</v>
      </c>
      <c r="S2954" s="1008" t="s">
        <v>650</v>
      </c>
      <c r="T2954" s="1008" t="s">
        <v>654</v>
      </c>
      <c r="U2954" s="1008" t="s">
        <v>653</v>
      </c>
      <c r="V2954" s="1008" t="s">
        <v>648</v>
      </c>
      <c r="W2954" s="1008" t="s">
        <v>546</v>
      </c>
      <c r="X2954" s="1008" t="s">
        <v>670</v>
      </c>
      <c r="Y2954" s="1008"/>
      <c r="Z2954" s="1008"/>
      <c r="AA2954" s="1008"/>
      <c r="AB2954" s="1008"/>
      <c r="AC2954" s="1008" t="s">
        <v>670</v>
      </c>
      <c r="AD2954" s="1008"/>
      <c r="AE2954" s="1008"/>
      <c r="AF2954" s="1008"/>
      <c r="AG2954" s="1008"/>
      <c r="AH2954" s="1008"/>
      <c r="AI2954" s="1008"/>
    </row>
    <row r="2955" spans="1:35">
      <c r="A2955" s="1008">
        <v>23746</v>
      </c>
      <c r="B2955" s="1008">
        <v>1043</v>
      </c>
      <c r="C2955" s="1008">
        <v>6</v>
      </c>
      <c r="D2955" s="1009">
        <v>59699999</v>
      </c>
      <c r="E2955" s="1009">
        <v>59611000</v>
      </c>
      <c r="F2955" s="1007" t="s">
        <v>1629</v>
      </c>
      <c r="G2955" s="1007">
        <v>7</v>
      </c>
      <c r="H2955" s="1010">
        <v>5099999</v>
      </c>
      <c r="I2955" s="1009">
        <v>5010030</v>
      </c>
      <c r="J2955" s="1007" t="s">
        <v>1734</v>
      </c>
      <c r="O2955" s="1007" t="s">
        <v>648</v>
      </c>
      <c r="P2955" s="1007" t="s">
        <v>648</v>
      </c>
      <c r="S2955" s="1008" t="s">
        <v>650</v>
      </c>
      <c r="T2955" s="1008" t="s">
        <v>654</v>
      </c>
      <c r="U2955" s="1008" t="s">
        <v>653</v>
      </c>
      <c r="V2955" s="1008" t="s">
        <v>648</v>
      </c>
      <c r="W2955" s="1008" t="s">
        <v>546</v>
      </c>
      <c r="X2955" s="1008" t="s">
        <v>670</v>
      </c>
      <c r="Y2955" s="1008"/>
      <c r="Z2955" s="1008"/>
      <c r="AA2955" s="1008"/>
      <c r="AB2955" s="1008"/>
      <c r="AC2955" s="1008" t="s">
        <v>670</v>
      </c>
      <c r="AD2955" s="1008"/>
      <c r="AE2955" s="1008"/>
      <c r="AF2955" s="1008"/>
      <c r="AG2955" s="1008"/>
      <c r="AH2955" s="1008"/>
      <c r="AI2955" s="1008"/>
    </row>
    <row r="2956" spans="1:35">
      <c r="A2956" s="1008">
        <v>23746</v>
      </c>
      <c r="B2956" s="1008">
        <v>1044</v>
      </c>
      <c r="C2956" s="1008">
        <v>6</v>
      </c>
      <c r="D2956" s="1009">
        <v>59699999</v>
      </c>
      <c r="E2956" s="1009">
        <v>59611000</v>
      </c>
      <c r="F2956" s="1007" t="s">
        <v>1629</v>
      </c>
      <c r="G2956" s="1007">
        <v>7</v>
      </c>
      <c r="H2956" s="1010">
        <v>5099999</v>
      </c>
      <c r="I2956" s="1009">
        <v>5010050</v>
      </c>
      <c r="J2956" s="1007" t="s">
        <v>1733</v>
      </c>
      <c r="O2956" s="1007" t="s">
        <v>648</v>
      </c>
      <c r="P2956" s="1007" t="s">
        <v>648</v>
      </c>
      <c r="S2956" s="1008" t="s">
        <v>650</v>
      </c>
      <c r="T2956" s="1008" t="s">
        <v>654</v>
      </c>
      <c r="U2956" s="1008" t="s">
        <v>653</v>
      </c>
      <c r="V2956" s="1008" t="s">
        <v>648</v>
      </c>
      <c r="W2956" s="1008" t="s">
        <v>546</v>
      </c>
      <c r="X2956" s="1008" t="s">
        <v>670</v>
      </c>
      <c r="Y2956" s="1008"/>
      <c r="Z2956" s="1008"/>
      <c r="AA2956" s="1008"/>
      <c r="AB2956" s="1008"/>
      <c r="AC2956" s="1008" t="s">
        <v>670</v>
      </c>
      <c r="AD2956" s="1008"/>
      <c r="AE2956" s="1008"/>
      <c r="AF2956" s="1008"/>
      <c r="AG2956" s="1008"/>
      <c r="AH2956" s="1008"/>
      <c r="AI2956" s="1008"/>
    </row>
    <row r="2957" spans="1:35">
      <c r="A2957" s="1008">
        <v>23746</v>
      </c>
      <c r="B2957" s="1008">
        <v>1045</v>
      </c>
      <c r="C2957" s="1008">
        <v>6</v>
      </c>
      <c r="D2957" s="1009">
        <v>59699999</v>
      </c>
      <c r="E2957" s="1009">
        <v>59611000</v>
      </c>
      <c r="F2957" s="1007" t="s">
        <v>1629</v>
      </c>
      <c r="G2957" s="1007">
        <v>7</v>
      </c>
      <c r="H2957" s="1010">
        <v>5099999</v>
      </c>
      <c r="I2957" s="1009">
        <v>5010070</v>
      </c>
      <c r="J2957" s="1007" t="s">
        <v>1732</v>
      </c>
      <c r="O2957" s="1007" t="s">
        <v>648</v>
      </c>
      <c r="P2957" s="1007" t="s">
        <v>648</v>
      </c>
      <c r="S2957" s="1008" t="s">
        <v>650</v>
      </c>
      <c r="T2957" s="1008" t="s">
        <v>654</v>
      </c>
      <c r="U2957" s="1008" t="s">
        <v>653</v>
      </c>
      <c r="V2957" s="1008" t="s">
        <v>648</v>
      </c>
      <c r="W2957" s="1008" t="s">
        <v>546</v>
      </c>
      <c r="X2957" s="1008" t="s">
        <v>670</v>
      </c>
      <c r="Y2957" s="1008"/>
      <c r="Z2957" s="1008"/>
      <c r="AA2957" s="1008"/>
      <c r="AB2957" s="1008"/>
      <c r="AC2957" s="1008" t="s">
        <v>670</v>
      </c>
      <c r="AD2957" s="1008"/>
      <c r="AE2957" s="1008"/>
      <c r="AF2957" s="1008"/>
      <c r="AG2957" s="1008"/>
      <c r="AH2957" s="1008"/>
      <c r="AI2957" s="1008"/>
    </row>
    <row r="2958" spans="1:35">
      <c r="A2958" s="1008">
        <v>23746</v>
      </c>
      <c r="B2958" s="1008">
        <v>1046</v>
      </c>
      <c r="C2958" s="1008">
        <v>6</v>
      </c>
      <c r="D2958" s="1009">
        <v>59699999</v>
      </c>
      <c r="E2958" s="1009">
        <v>59611000</v>
      </c>
      <c r="F2958" s="1007" t="s">
        <v>1629</v>
      </c>
      <c r="G2958" s="1007">
        <v>7</v>
      </c>
      <c r="H2958" s="1010">
        <v>5099999</v>
      </c>
      <c r="I2958" s="1009">
        <v>5010100</v>
      </c>
      <c r="J2958" s="1007" t="s">
        <v>1731</v>
      </c>
      <c r="O2958" s="1007" t="s">
        <v>648</v>
      </c>
      <c r="P2958" s="1007" t="s">
        <v>648</v>
      </c>
      <c r="S2958" s="1008" t="s">
        <v>650</v>
      </c>
      <c r="T2958" s="1008" t="s">
        <v>654</v>
      </c>
      <c r="U2958" s="1008" t="s">
        <v>653</v>
      </c>
      <c r="V2958" s="1008" t="s">
        <v>648</v>
      </c>
      <c r="W2958" s="1008" t="s">
        <v>546</v>
      </c>
      <c r="X2958" s="1008" t="s">
        <v>670</v>
      </c>
      <c r="Y2958" s="1008"/>
      <c r="Z2958" s="1008"/>
      <c r="AA2958" s="1008"/>
      <c r="AB2958" s="1008"/>
      <c r="AC2958" s="1008" t="s">
        <v>670</v>
      </c>
      <c r="AD2958" s="1008"/>
      <c r="AE2958" s="1008"/>
      <c r="AF2958" s="1008"/>
      <c r="AG2958" s="1008"/>
      <c r="AH2958" s="1008"/>
      <c r="AI2958" s="1008"/>
    </row>
    <row r="2959" spans="1:35">
      <c r="A2959" s="1008">
        <v>23746</v>
      </c>
      <c r="B2959" s="1008">
        <v>1047</v>
      </c>
      <c r="C2959" s="1008">
        <v>6</v>
      </c>
      <c r="D2959" s="1009">
        <v>59699999</v>
      </c>
      <c r="E2959" s="1009">
        <v>59611000</v>
      </c>
      <c r="F2959" s="1007" t="s">
        <v>1629</v>
      </c>
      <c r="G2959" s="1007">
        <v>7</v>
      </c>
      <c r="H2959" s="1010">
        <v>5099999</v>
      </c>
      <c r="I2959" s="1009">
        <v>5010105</v>
      </c>
      <c r="J2959" s="1007" t="s">
        <v>1730</v>
      </c>
      <c r="O2959" s="1007" t="s">
        <v>648</v>
      </c>
      <c r="P2959" s="1007" t="s">
        <v>648</v>
      </c>
      <c r="S2959" s="1008" t="s">
        <v>650</v>
      </c>
      <c r="T2959" s="1008" t="s">
        <v>654</v>
      </c>
      <c r="U2959" s="1008" t="s">
        <v>653</v>
      </c>
      <c r="V2959" s="1008" t="s">
        <v>648</v>
      </c>
      <c r="W2959" s="1008" t="s">
        <v>546</v>
      </c>
      <c r="X2959" s="1008" t="s">
        <v>670</v>
      </c>
      <c r="Y2959" s="1008"/>
      <c r="Z2959" s="1008"/>
      <c r="AA2959" s="1008"/>
      <c r="AB2959" s="1008"/>
      <c r="AC2959" s="1008" t="s">
        <v>670</v>
      </c>
      <c r="AD2959" s="1008"/>
      <c r="AE2959" s="1008"/>
      <c r="AF2959" s="1008"/>
      <c r="AG2959" s="1008"/>
      <c r="AH2959" s="1008"/>
      <c r="AI2959" s="1008"/>
    </row>
    <row r="2960" spans="1:35">
      <c r="A2960" s="1008">
        <v>23746</v>
      </c>
      <c r="B2960" s="1008">
        <v>1048</v>
      </c>
      <c r="C2960" s="1008">
        <v>6</v>
      </c>
      <c r="D2960" s="1009">
        <v>59699999</v>
      </c>
      <c r="E2960" s="1009">
        <v>59611000</v>
      </c>
      <c r="F2960" s="1007" t="s">
        <v>1629</v>
      </c>
      <c r="G2960" s="1007">
        <v>7</v>
      </c>
      <c r="H2960" s="1010">
        <v>5099999</v>
      </c>
      <c r="I2960" s="1009">
        <v>5010120</v>
      </c>
      <c r="J2960" s="1007" t="s">
        <v>1729</v>
      </c>
      <c r="O2960" s="1007" t="s">
        <v>648</v>
      </c>
      <c r="P2960" s="1007" t="s">
        <v>648</v>
      </c>
      <c r="S2960" s="1008" t="s">
        <v>650</v>
      </c>
      <c r="T2960" s="1008" t="s">
        <v>654</v>
      </c>
      <c r="U2960" s="1008" t="s">
        <v>653</v>
      </c>
      <c r="V2960" s="1008" t="s">
        <v>648</v>
      </c>
      <c r="W2960" s="1008" t="s">
        <v>546</v>
      </c>
      <c r="X2960" s="1008" t="s">
        <v>670</v>
      </c>
      <c r="Y2960" s="1008"/>
      <c r="Z2960" s="1008"/>
      <c r="AA2960" s="1008"/>
      <c r="AB2960" s="1008"/>
      <c r="AC2960" s="1008" t="s">
        <v>670</v>
      </c>
      <c r="AD2960" s="1008"/>
      <c r="AE2960" s="1008"/>
      <c r="AF2960" s="1008"/>
      <c r="AG2960" s="1008"/>
      <c r="AH2960" s="1008"/>
      <c r="AI2960" s="1008"/>
    </row>
    <row r="2961" spans="1:35">
      <c r="A2961" s="1008">
        <v>23746</v>
      </c>
      <c r="B2961" s="1008">
        <v>1049</v>
      </c>
      <c r="C2961" s="1008">
        <v>6</v>
      </c>
      <c r="D2961" s="1009">
        <v>59699999</v>
      </c>
      <c r="E2961" s="1009">
        <v>59611000</v>
      </c>
      <c r="F2961" s="1007" t="s">
        <v>1629</v>
      </c>
      <c r="G2961" s="1007">
        <v>7</v>
      </c>
      <c r="H2961" s="1010">
        <v>5099999</v>
      </c>
      <c r="I2961" s="1009">
        <v>5010160</v>
      </c>
      <c r="J2961" s="1007" t="s">
        <v>1728</v>
      </c>
      <c r="O2961" s="1007" t="s">
        <v>648</v>
      </c>
      <c r="P2961" s="1007" t="s">
        <v>648</v>
      </c>
      <c r="S2961" s="1008" t="s">
        <v>650</v>
      </c>
      <c r="T2961" s="1008" t="s">
        <v>654</v>
      </c>
      <c r="U2961" s="1008" t="s">
        <v>653</v>
      </c>
      <c r="V2961" s="1008" t="s">
        <v>648</v>
      </c>
      <c r="W2961" s="1008" t="s">
        <v>546</v>
      </c>
      <c r="X2961" s="1008" t="s">
        <v>670</v>
      </c>
      <c r="Y2961" s="1008"/>
      <c r="Z2961" s="1008"/>
      <c r="AA2961" s="1008"/>
      <c r="AB2961" s="1008"/>
      <c r="AC2961" s="1008" t="s">
        <v>670</v>
      </c>
      <c r="AD2961" s="1008"/>
      <c r="AE2961" s="1008"/>
      <c r="AF2961" s="1008"/>
      <c r="AG2961" s="1008"/>
      <c r="AH2961" s="1008"/>
      <c r="AI2961" s="1008"/>
    </row>
    <row r="2962" spans="1:35">
      <c r="A2962" s="1008">
        <v>23746</v>
      </c>
      <c r="B2962" s="1008">
        <v>1050</v>
      </c>
      <c r="C2962" s="1008">
        <v>6</v>
      </c>
      <c r="D2962" s="1009">
        <v>59699999</v>
      </c>
      <c r="E2962" s="1009">
        <v>59611000</v>
      </c>
      <c r="F2962" s="1007" t="s">
        <v>1629</v>
      </c>
      <c r="G2962" s="1007">
        <v>7</v>
      </c>
      <c r="H2962" s="1010">
        <v>5099999</v>
      </c>
      <c r="I2962" s="1009">
        <v>5010190</v>
      </c>
      <c r="J2962" s="1007" t="s">
        <v>1727</v>
      </c>
      <c r="O2962" s="1007" t="s">
        <v>648</v>
      </c>
      <c r="P2962" s="1007" t="s">
        <v>648</v>
      </c>
      <c r="S2962" s="1008" t="s">
        <v>650</v>
      </c>
      <c r="T2962" s="1008" t="s">
        <v>654</v>
      </c>
      <c r="U2962" s="1008" t="s">
        <v>653</v>
      </c>
      <c r="V2962" s="1008" t="s">
        <v>648</v>
      </c>
      <c r="W2962" s="1008" t="s">
        <v>546</v>
      </c>
      <c r="X2962" s="1008" t="s">
        <v>670</v>
      </c>
      <c r="Y2962" s="1008"/>
      <c r="Z2962" s="1008"/>
      <c r="AA2962" s="1008"/>
      <c r="AB2962" s="1008"/>
      <c r="AC2962" s="1008" t="s">
        <v>670</v>
      </c>
      <c r="AD2962" s="1008"/>
      <c r="AE2962" s="1008"/>
      <c r="AF2962" s="1008"/>
      <c r="AG2962" s="1008"/>
      <c r="AH2962" s="1008"/>
      <c r="AI2962" s="1008"/>
    </row>
    <row r="2963" spans="1:35">
      <c r="A2963" s="1008">
        <v>23746</v>
      </c>
      <c r="B2963" s="1008">
        <v>1051</v>
      </c>
      <c r="C2963" s="1008">
        <v>6</v>
      </c>
      <c r="D2963" s="1009">
        <v>59699999</v>
      </c>
      <c r="E2963" s="1009">
        <v>59611000</v>
      </c>
      <c r="F2963" s="1007" t="s">
        <v>1629</v>
      </c>
      <c r="G2963" s="1007">
        <v>7</v>
      </c>
      <c r="H2963" s="1010">
        <v>5099999</v>
      </c>
      <c r="I2963" s="1009">
        <v>5010230</v>
      </c>
      <c r="J2963" s="1007" t="s">
        <v>1726</v>
      </c>
      <c r="O2963" s="1007" t="s">
        <v>648</v>
      </c>
      <c r="P2963" s="1007" t="s">
        <v>648</v>
      </c>
      <c r="S2963" s="1008" t="s">
        <v>650</v>
      </c>
      <c r="T2963" s="1008" t="s">
        <v>654</v>
      </c>
      <c r="U2963" s="1008" t="s">
        <v>653</v>
      </c>
      <c r="V2963" s="1008" t="s">
        <v>648</v>
      </c>
      <c r="W2963" s="1008" t="s">
        <v>546</v>
      </c>
      <c r="X2963" s="1008" t="s">
        <v>670</v>
      </c>
      <c r="Y2963" s="1008"/>
      <c r="Z2963" s="1008"/>
      <c r="AA2963" s="1008"/>
      <c r="AB2963" s="1008"/>
      <c r="AC2963" s="1008" t="s">
        <v>670</v>
      </c>
      <c r="AD2963" s="1008"/>
      <c r="AE2963" s="1008"/>
      <c r="AF2963" s="1008"/>
      <c r="AG2963" s="1008"/>
      <c r="AH2963" s="1008"/>
      <c r="AI2963" s="1008"/>
    </row>
    <row r="2964" spans="1:35">
      <c r="A2964" s="1008">
        <v>23746</v>
      </c>
      <c r="B2964" s="1008">
        <v>1052</v>
      </c>
      <c r="C2964" s="1008">
        <v>6</v>
      </c>
      <c r="D2964" s="1009">
        <v>59699999</v>
      </c>
      <c r="E2964" s="1009">
        <v>59611000</v>
      </c>
      <c r="F2964" s="1007" t="s">
        <v>1629</v>
      </c>
      <c r="G2964" s="1007">
        <v>7</v>
      </c>
      <c r="H2964" s="1010">
        <v>5099999</v>
      </c>
      <c r="I2964" s="1009">
        <v>5010240</v>
      </c>
      <c r="J2964" s="1007" t="s">
        <v>1725</v>
      </c>
      <c r="O2964" s="1007" t="s">
        <v>648</v>
      </c>
      <c r="P2964" s="1007" t="s">
        <v>648</v>
      </c>
      <c r="S2964" s="1008" t="s">
        <v>650</v>
      </c>
      <c r="T2964" s="1008" t="s">
        <v>654</v>
      </c>
      <c r="U2964" s="1008" t="s">
        <v>653</v>
      </c>
      <c r="V2964" s="1008" t="s">
        <v>648</v>
      </c>
      <c r="W2964" s="1008" t="s">
        <v>546</v>
      </c>
      <c r="X2964" s="1008" t="s">
        <v>670</v>
      </c>
      <c r="Y2964" s="1008"/>
      <c r="Z2964" s="1008"/>
      <c r="AA2964" s="1008"/>
      <c r="AB2964" s="1008"/>
      <c r="AC2964" s="1008" t="s">
        <v>670</v>
      </c>
      <c r="AD2964" s="1008"/>
      <c r="AE2964" s="1008"/>
      <c r="AF2964" s="1008"/>
      <c r="AG2964" s="1008"/>
      <c r="AH2964" s="1008"/>
      <c r="AI2964" s="1008"/>
    </row>
    <row r="2965" spans="1:35">
      <c r="A2965" s="1008">
        <v>23746</v>
      </c>
      <c r="B2965" s="1008">
        <v>1053</v>
      </c>
      <c r="C2965" s="1008">
        <v>6</v>
      </c>
      <c r="D2965" s="1009">
        <v>59699999</v>
      </c>
      <c r="E2965" s="1009">
        <v>59611000</v>
      </c>
      <c r="F2965" s="1007" t="s">
        <v>1629</v>
      </c>
      <c r="G2965" s="1007">
        <v>7</v>
      </c>
      <c r="H2965" s="1010">
        <v>5099999</v>
      </c>
      <c r="I2965" s="1009">
        <v>5010245</v>
      </c>
      <c r="J2965" s="1007" t="s">
        <v>1724</v>
      </c>
      <c r="O2965" s="1007" t="s">
        <v>648</v>
      </c>
      <c r="P2965" s="1007" t="s">
        <v>648</v>
      </c>
      <c r="S2965" s="1008" t="s">
        <v>650</v>
      </c>
      <c r="T2965" s="1008" t="s">
        <v>654</v>
      </c>
      <c r="U2965" s="1008" t="s">
        <v>653</v>
      </c>
      <c r="V2965" s="1008" t="s">
        <v>648</v>
      </c>
      <c r="W2965" s="1008" t="s">
        <v>546</v>
      </c>
      <c r="X2965" s="1008" t="s">
        <v>670</v>
      </c>
      <c r="Y2965" s="1008"/>
      <c r="Z2965" s="1008"/>
      <c r="AA2965" s="1008"/>
      <c r="AB2965" s="1008"/>
      <c r="AC2965" s="1008" t="s">
        <v>670</v>
      </c>
      <c r="AD2965" s="1008"/>
      <c r="AE2965" s="1008"/>
      <c r="AF2965" s="1008"/>
      <c r="AG2965" s="1008"/>
      <c r="AH2965" s="1008"/>
      <c r="AI2965" s="1008"/>
    </row>
    <row r="2966" spans="1:35">
      <c r="A2966" s="1008">
        <v>23746</v>
      </c>
      <c r="B2966" s="1008">
        <v>1054</v>
      </c>
      <c r="C2966" s="1008">
        <v>6</v>
      </c>
      <c r="D2966" s="1009">
        <v>59699999</v>
      </c>
      <c r="E2966" s="1009">
        <v>59611000</v>
      </c>
      <c r="F2966" s="1007" t="s">
        <v>1629</v>
      </c>
      <c r="G2966" s="1007">
        <v>7</v>
      </c>
      <c r="H2966" s="1010">
        <v>5099999</v>
      </c>
      <c r="I2966" s="1009">
        <v>5010250</v>
      </c>
      <c r="J2966" s="1007" t="s">
        <v>1723</v>
      </c>
      <c r="O2966" s="1007" t="s">
        <v>648</v>
      </c>
      <c r="P2966" s="1007" t="s">
        <v>648</v>
      </c>
      <c r="S2966" s="1008" t="s">
        <v>650</v>
      </c>
      <c r="T2966" s="1008" t="s">
        <v>654</v>
      </c>
      <c r="U2966" s="1008" t="s">
        <v>653</v>
      </c>
      <c r="V2966" s="1008" t="s">
        <v>648</v>
      </c>
      <c r="W2966" s="1008" t="s">
        <v>546</v>
      </c>
      <c r="X2966" s="1008" t="s">
        <v>670</v>
      </c>
      <c r="Y2966" s="1008"/>
      <c r="Z2966" s="1008"/>
      <c r="AA2966" s="1008"/>
      <c r="AB2966" s="1008"/>
      <c r="AC2966" s="1008" t="s">
        <v>670</v>
      </c>
      <c r="AD2966" s="1008"/>
      <c r="AE2966" s="1008"/>
      <c r="AF2966" s="1008"/>
      <c r="AG2966" s="1008"/>
      <c r="AH2966" s="1008"/>
      <c r="AI2966" s="1008"/>
    </row>
    <row r="2967" spans="1:35">
      <c r="A2967" s="1008">
        <v>23746</v>
      </c>
      <c r="B2967" s="1008">
        <v>1055</v>
      </c>
      <c r="C2967" s="1008">
        <v>6</v>
      </c>
      <c r="D2967" s="1009">
        <v>59699999</v>
      </c>
      <c r="E2967" s="1009">
        <v>59611000</v>
      </c>
      <c r="F2967" s="1007" t="s">
        <v>1629</v>
      </c>
      <c r="G2967" s="1007">
        <v>7</v>
      </c>
      <c r="H2967" s="1010">
        <v>5099999</v>
      </c>
      <c r="I2967" s="1009">
        <v>5010270</v>
      </c>
      <c r="J2967" s="1007" t="s">
        <v>1722</v>
      </c>
      <c r="O2967" s="1007" t="s">
        <v>648</v>
      </c>
      <c r="P2967" s="1007" t="s">
        <v>648</v>
      </c>
      <c r="S2967" s="1008" t="s">
        <v>650</v>
      </c>
      <c r="T2967" s="1008" t="s">
        <v>654</v>
      </c>
      <c r="U2967" s="1008" t="s">
        <v>653</v>
      </c>
      <c r="V2967" s="1008" t="s">
        <v>648</v>
      </c>
      <c r="W2967" s="1008" t="s">
        <v>546</v>
      </c>
      <c r="X2967" s="1008" t="s">
        <v>670</v>
      </c>
      <c r="Y2967" s="1008"/>
      <c r="Z2967" s="1008"/>
      <c r="AA2967" s="1008"/>
      <c r="AB2967" s="1008"/>
      <c r="AC2967" s="1008" t="s">
        <v>670</v>
      </c>
      <c r="AD2967" s="1008"/>
      <c r="AE2967" s="1008"/>
      <c r="AF2967" s="1008"/>
      <c r="AG2967" s="1008"/>
      <c r="AH2967" s="1008"/>
      <c r="AI2967" s="1008"/>
    </row>
    <row r="2968" spans="1:35">
      <c r="A2968" s="1008">
        <v>23746</v>
      </c>
      <c r="B2968" s="1008">
        <v>1056</v>
      </c>
      <c r="C2968" s="1008">
        <v>6</v>
      </c>
      <c r="D2968" s="1009">
        <v>59699999</v>
      </c>
      <c r="E2968" s="1009">
        <v>59611000</v>
      </c>
      <c r="F2968" s="1007" t="s">
        <v>1629</v>
      </c>
      <c r="G2968" s="1007">
        <v>7</v>
      </c>
      <c r="H2968" s="1010">
        <v>5099999</v>
      </c>
      <c r="I2968" s="1009">
        <v>5010300</v>
      </c>
      <c r="J2968" s="1007" t="s">
        <v>1721</v>
      </c>
      <c r="O2968" s="1007" t="s">
        <v>648</v>
      </c>
      <c r="P2968" s="1007" t="s">
        <v>648</v>
      </c>
      <c r="S2968" s="1008" t="s">
        <v>650</v>
      </c>
      <c r="T2968" s="1008" t="s">
        <v>654</v>
      </c>
      <c r="U2968" s="1008" t="s">
        <v>653</v>
      </c>
      <c r="V2968" s="1008" t="s">
        <v>648</v>
      </c>
      <c r="W2968" s="1008" t="s">
        <v>546</v>
      </c>
      <c r="X2968" s="1008" t="s">
        <v>670</v>
      </c>
      <c r="Y2968" s="1008"/>
      <c r="Z2968" s="1008"/>
      <c r="AA2968" s="1008"/>
      <c r="AB2968" s="1008"/>
      <c r="AC2968" s="1008" t="s">
        <v>670</v>
      </c>
      <c r="AD2968" s="1008"/>
      <c r="AE2968" s="1008"/>
      <c r="AF2968" s="1008"/>
      <c r="AG2968" s="1008"/>
      <c r="AH2968" s="1008"/>
      <c r="AI2968" s="1008"/>
    </row>
    <row r="2969" spans="1:35">
      <c r="A2969" s="1008">
        <v>23746</v>
      </c>
      <c r="B2969" s="1008">
        <v>1057</v>
      </c>
      <c r="C2969" s="1008">
        <v>6</v>
      </c>
      <c r="D2969" s="1009">
        <v>59699999</v>
      </c>
      <c r="E2969" s="1009">
        <v>59611000</v>
      </c>
      <c r="F2969" s="1007" t="s">
        <v>1629</v>
      </c>
      <c r="G2969" s="1007">
        <v>7</v>
      </c>
      <c r="H2969" s="1010">
        <v>5099999</v>
      </c>
      <c r="I2969" s="1009">
        <v>5010305</v>
      </c>
      <c r="J2969" s="1007" t="s">
        <v>1720</v>
      </c>
      <c r="O2969" s="1007" t="s">
        <v>648</v>
      </c>
      <c r="P2969" s="1007" t="s">
        <v>648</v>
      </c>
      <c r="S2969" s="1008" t="s">
        <v>650</v>
      </c>
      <c r="T2969" s="1008" t="s">
        <v>654</v>
      </c>
      <c r="U2969" s="1008" t="s">
        <v>653</v>
      </c>
      <c r="V2969" s="1008" t="s">
        <v>648</v>
      </c>
      <c r="W2969" s="1008" t="s">
        <v>546</v>
      </c>
      <c r="X2969" s="1008" t="s">
        <v>670</v>
      </c>
      <c r="Y2969" s="1008"/>
      <c r="Z2969" s="1008"/>
      <c r="AA2969" s="1008"/>
      <c r="AB2969" s="1008"/>
      <c r="AC2969" s="1008" t="s">
        <v>670</v>
      </c>
      <c r="AD2969" s="1008"/>
      <c r="AE2969" s="1008"/>
      <c r="AF2969" s="1008"/>
      <c r="AG2969" s="1008"/>
      <c r="AH2969" s="1008"/>
      <c r="AI2969" s="1008"/>
    </row>
    <row r="2970" spans="1:35">
      <c r="A2970" s="1008">
        <v>23746</v>
      </c>
      <c r="B2970" s="1008">
        <v>1058</v>
      </c>
      <c r="C2970" s="1008">
        <v>6</v>
      </c>
      <c r="D2970" s="1009">
        <v>59699999</v>
      </c>
      <c r="E2970" s="1009">
        <v>59611000</v>
      </c>
      <c r="F2970" s="1007" t="s">
        <v>1629</v>
      </c>
      <c r="G2970" s="1007">
        <v>7</v>
      </c>
      <c r="H2970" s="1010">
        <v>5099999</v>
      </c>
      <c r="I2970" s="1009">
        <v>5010340</v>
      </c>
      <c r="J2970" s="1007" t="s">
        <v>1719</v>
      </c>
      <c r="O2970" s="1007" t="s">
        <v>648</v>
      </c>
      <c r="P2970" s="1007" t="s">
        <v>648</v>
      </c>
      <c r="S2970" s="1008" t="s">
        <v>650</v>
      </c>
      <c r="T2970" s="1008" t="s">
        <v>654</v>
      </c>
      <c r="U2970" s="1008" t="s">
        <v>653</v>
      </c>
      <c r="V2970" s="1008" t="s">
        <v>648</v>
      </c>
      <c r="W2970" s="1008" t="s">
        <v>546</v>
      </c>
      <c r="X2970" s="1008" t="s">
        <v>670</v>
      </c>
      <c r="Y2970" s="1008"/>
      <c r="Z2970" s="1008"/>
      <c r="AA2970" s="1008"/>
      <c r="AB2970" s="1008"/>
      <c r="AC2970" s="1008" t="s">
        <v>670</v>
      </c>
      <c r="AD2970" s="1008"/>
      <c r="AE2970" s="1008"/>
      <c r="AF2970" s="1008"/>
      <c r="AG2970" s="1008"/>
      <c r="AH2970" s="1008"/>
      <c r="AI2970" s="1008"/>
    </row>
    <row r="2971" spans="1:35">
      <c r="A2971" s="1008">
        <v>23746</v>
      </c>
      <c r="B2971" s="1008">
        <v>1059</v>
      </c>
      <c r="C2971" s="1008">
        <v>6</v>
      </c>
      <c r="D2971" s="1009">
        <v>59699999</v>
      </c>
      <c r="E2971" s="1009">
        <v>59611000</v>
      </c>
      <c r="F2971" s="1007" t="s">
        <v>1629</v>
      </c>
      <c r="G2971" s="1007">
        <v>7</v>
      </c>
      <c r="H2971" s="1010">
        <v>5099999</v>
      </c>
      <c r="I2971" s="1009">
        <v>5010350</v>
      </c>
      <c r="J2971" s="1007" t="s">
        <v>1718</v>
      </c>
      <c r="O2971" s="1007" t="s">
        <v>648</v>
      </c>
      <c r="P2971" s="1007" t="s">
        <v>648</v>
      </c>
      <c r="S2971" s="1008" t="s">
        <v>650</v>
      </c>
      <c r="T2971" s="1008" t="s">
        <v>654</v>
      </c>
      <c r="U2971" s="1008" t="s">
        <v>653</v>
      </c>
      <c r="V2971" s="1008" t="s">
        <v>648</v>
      </c>
      <c r="W2971" s="1008" t="s">
        <v>546</v>
      </c>
      <c r="X2971" s="1008" t="s">
        <v>670</v>
      </c>
      <c r="Y2971" s="1008"/>
      <c r="Z2971" s="1008"/>
      <c r="AA2971" s="1008"/>
      <c r="AB2971" s="1008"/>
      <c r="AC2971" s="1008" t="s">
        <v>670</v>
      </c>
      <c r="AD2971" s="1008"/>
      <c r="AE2971" s="1008"/>
      <c r="AF2971" s="1008"/>
      <c r="AG2971" s="1008"/>
      <c r="AH2971" s="1008"/>
      <c r="AI2971" s="1008"/>
    </row>
    <row r="2972" spans="1:35">
      <c r="A2972" s="1008">
        <v>23746</v>
      </c>
      <c r="B2972" s="1008">
        <v>1060</v>
      </c>
      <c r="C2972" s="1008">
        <v>6</v>
      </c>
      <c r="D2972" s="1009">
        <v>59699999</v>
      </c>
      <c r="E2972" s="1009">
        <v>59611000</v>
      </c>
      <c r="F2972" s="1007" t="s">
        <v>1629</v>
      </c>
      <c r="G2972" s="1007">
        <v>7</v>
      </c>
      <c r="H2972" s="1010">
        <v>5099999</v>
      </c>
      <c r="I2972" s="1009">
        <v>5011007</v>
      </c>
      <c r="J2972" s="1007" t="s">
        <v>1717</v>
      </c>
      <c r="O2972" s="1007" t="s">
        <v>648</v>
      </c>
      <c r="P2972" s="1007" t="s">
        <v>648</v>
      </c>
      <c r="S2972" s="1008" t="s">
        <v>650</v>
      </c>
      <c r="T2972" s="1008" t="s">
        <v>654</v>
      </c>
      <c r="U2972" s="1008" t="s">
        <v>653</v>
      </c>
      <c r="V2972" s="1008" t="s">
        <v>648</v>
      </c>
      <c r="W2972" s="1008" t="s">
        <v>546</v>
      </c>
      <c r="X2972" s="1008" t="s">
        <v>670</v>
      </c>
      <c r="Y2972" s="1008"/>
      <c r="Z2972" s="1008"/>
      <c r="AA2972" s="1008"/>
      <c r="AB2972" s="1008"/>
      <c r="AC2972" s="1008" t="s">
        <v>670</v>
      </c>
      <c r="AD2972" s="1008"/>
      <c r="AE2972" s="1008"/>
      <c r="AF2972" s="1008"/>
      <c r="AG2972" s="1008"/>
      <c r="AH2972" s="1008"/>
      <c r="AI2972" s="1008"/>
    </row>
    <row r="2973" spans="1:35">
      <c r="A2973" s="1008">
        <v>23746</v>
      </c>
      <c r="B2973" s="1008">
        <v>1061</v>
      </c>
      <c r="C2973" s="1008">
        <v>6</v>
      </c>
      <c r="D2973" s="1009">
        <v>59699999</v>
      </c>
      <c r="E2973" s="1009">
        <v>59611000</v>
      </c>
      <c r="F2973" s="1007" t="s">
        <v>1629</v>
      </c>
      <c r="G2973" s="1007">
        <v>7</v>
      </c>
      <c r="H2973" s="1010">
        <v>5099999</v>
      </c>
      <c r="I2973" s="1009">
        <v>5011011</v>
      </c>
      <c r="J2973" s="1007" t="s">
        <v>1716</v>
      </c>
      <c r="O2973" s="1007" t="s">
        <v>648</v>
      </c>
      <c r="P2973" s="1007" t="s">
        <v>648</v>
      </c>
      <c r="S2973" s="1008" t="s">
        <v>650</v>
      </c>
      <c r="T2973" s="1008" t="s">
        <v>654</v>
      </c>
      <c r="U2973" s="1008" t="s">
        <v>653</v>
      </c>
      <c r="V2973" s="1008" t="s">
        <v>648</v>
      </c>
      <c r="W2973" s="1008" t="s">
        <v>546</v>
      </c>
      <c r="X2973" s="1008" t="s">
        <v>670</v>
      </c>
      <c r="Y2973" s="1008"/>
      <c r="Z2973" s="1008"/>
      <c r="AA2973" s="1008"/>
      <c r="AB2973" s="1008"/>
      <c r="AC2973" s="1008" t="s">
        <v>670</v>
      </c>
      <c r="AD2973" s="1008"/>
      <c r="AE2973" s="1008"/>
      <c r="AF2973" s="1008"/>
      <c r="AG2973" s="1008"/>
      <c r="AH2973" s="1008"/>
      <c r="AI2973" s="1008"/>
    </row>
    <row r="2974" spans="1:35">
      <c r="A2974" s="1008">
        <v>23746</v>
      </c>
      <c r="B2974" s="1008">
        <v>1062</v>
      </c>
      <c r="C2974" s="1008">
        <v>6</v>
      </c>
      <c r="D2974" s="1009">
        <v>59699999</v>
      </c>
      <c r="E2974" s="1009">
        <v>59611000</v>
      </c>
      <c r="F2974" s="1007" t="s">
        <v>1629</v>
      </c>
      <c r="G2974" s="1007">
        <v>7</v>
      </c>
      <c r="H2974" s="1010">
        <v>5099999</v>
      </c>
      <c r="I2974" s="1009">
        <v>5011013</v>
      </c>
      <c r="J2974" s="1007" t="s">
        <v>1715</v>
      </c>
      <c r="O2974" s="1007" t="s">
        <v>648</v>
      </c>
      <c r="P2974" s="1007" t="s">
        <v>648</v>
      </c>
      <c r="S2974" s="1008" t="s">
        <v>650</v>
      </c>
      <c r="T2974" s="1008" t="s">
        <v>654</v>
      </c>
      <c r="U2974" s="1008" t="s">
        <v>653</v>
      </c>
      <c r="V2974" s="1008" t="s">
        <v>648</v>
      </c>
      <c r="W2974" s="1008" t="s">
        <v>546</v>
      </c>
      <c r="X2974" s="1008" t="s">
        <v>670</v>
      </c>
      <c r="Y2974" s="1008"/>
      <c r="Z2974" s="1008"/>
      <c r="AA2974" s="1008"/>
      <c r="AB2974" s="1008"/>
      <c r="AC2974" s="1008" t="s">
        <v>670</v>
      </c>
      <c r="AD2974" s="1008"/>
      <c r="AE2974" s="1008"/>
      <c r="AF2974" s="1008"/>
      <c r="AG2974" s="1008"/>
      <c r="AH2974" s="1008"/>
      <c r="AI2974" s="1008"/>
    </row>
    <row r="2975" spans="1:35">
      <c r="A2975" s="1008">
        <v>23746</v>
      </c>
      <c r="B2975" s="1008">
        <v>1063</v>
      </c>
      <c r="C2975" s="1008">
        <v>6</v>
      </c>
      <c r="D2975" s="1009">
        <v>59699999</v>
      </c>
      <c r="E2975" s="1009">
        <v>59611000</v>
      </c>
      <c r="F2975" s="1007" t="s">
        <v>1629</v>
      </c>
      <c r="G2975" s="1007">
        <v>7</v>
      </c>
      <c r="H2975" s="1010">
        <v>5099999</v>
      </c>
      <c r="I2975" s="1009">
        <v>5011028</v>
      </c>
      <c r="J2975" s="1007" t="s">
        <v>1714</v>
      </c>
      <c r="O2975" s="1007" t="s">
        <v>648</v>
      </c>
      <c r="P2975" s="1007" t="s">
        <v>648</v>
      </c>
      <c r="S2975" s="1008" t="s">
        <v>650</v>
      </c>
      <c r="T2975" s="1008" t="s">
        <v>654</v>
      </c>
      <c r="U2975" s="1008" t="s">
        <v>653</v>
      </c>
      <c r="V2975" s="1008" t="s">
        <v>648</v>
      </c>
      <c r="W2975" s="1008" t="s">
        <v>546</v>
      </c>
      <c r="X2975" s="1008" t="s">
        <v>670</v>
      </c>
      <c r="Y2975" s="1008"/>
      <c r="Z2975" s="1008"/>
      <c r="AA2975" s="1008"/>
      <c r="AB2975" s="1008"/>
      <c r="AC2975" s="1008" t="s">
        <v>670</v>
      </c>
      <c r="AD2975" s="1008"/>
      <c r="AE2975" s="1008"/>
      <c r="AF2975" s="1008"/>
      <c r="AG2975" s="1008"/>
      <c r="AH2975" s="1008"/>
      <c r="AI2975" s="1008"/>
    </row>
    <row r="2976" spans="1:35">
      <c r="A2976" s="1008">
        <v>23746</v>
      </c>
      <c r="B2976" s="1008">
        <v>888</v>
      </c>
      <c r="C2976" s="1008">
        <v>6</v>
      </c>
      <c r="D2976" s="1009">
        <v>59699999</v>
      </c>
      <c r="E2976" s="1009">
        <v>59611000</v>
      </c>
      <c r="F2976" s="1007" t="s">
        <v>1629</v>
      </c>
      <c r="G2976" s="1007">
        <v>7</v>
      </c>
      <c r="H2976" s="1010">
        <v>5099999</v>
      </c>
      <c r="I2976" s="1009">
        <v>5011060</v>
      </c>
      <c r="J2976" s="1007" t="s">
        <v>1713</v>
      </c>
      <c r="O2976" s="1007" t="s">
        <v>648</v>
      </c>
      <c r="P2976" s="1007" t="s">
        <v>648</v>
      </c>
      <c r="S2976" s="1008" t="s">
        <v>650</v>
      </c>
      <c r="T2976" s="1008" t="s">
        <v>654</v>
      </c>
      <c r="U2976" s="1008" t="s">
        <v>653</v>
      </c>
      <c r="V2976" s="1008" t="s">
        <v>648</v>
      </c>
      <c r="W2976" s="1008" t="s">
        <v>546</v>
      </c>
      <c r="X2976" s="1008" t="s">
        <v>670</v>
      </c>
      <c r="Y2976" s="1008"/>
      <c r="Z2976" s="1008"/>
      <c r="AA2976" s="1008"/>
      <c r="AB2976" s="1008"/>
      <c r="AC2976" s="1008" t="s">
        <v>670</v>
      </c>
      <c r="AD2976" s="1008"/>
      <c r="AE2976" s="1008"/>
      <c r="AF2976" s="1008"/>
      <c r="AG2976" s="1008"/>
      <c r="AH2976" s="1008"/>
      <c r="AI2976" s="1008"/>
    </row>
    <row r="2977" spans="1:35">
      <c r="A2977" s="1008">
        <v>23746</v>
      </c>
      <c r="B2977" s="1008">
        <v>891</v>
      </c>
      <c r="C2977" s="1008">
        <v>6</v>
      </c>
      <c r="D2977" s="1009">
        <v>59699999</v>
      </c>
      <c r="E2977" s="1009">
        <v>59611000</v>
      </c>
      <c r="F2977" s="1007" t="s">
        <v>1629</v>
      </c>
      <c r="G2977" s="1007">
        <v>7</v>
      </c>
      <c r="H2977" s="1010">
        <v>5099999</v>
      </c>
      <c r="I2977" s="1009">
        <v>5012005</v>
      </c>
      <c r="J2977" s="1007" t="s">
        <v>1712</v>
      </c>
      <c r="O2977" s="1007" t="s">
        <v>648</v>
      </c>
      <c r="P2977" s="1007" t="s">
        <v>648</v>
      </c>
      <c r="S2977" s="1008" t="s">
        <v>650</v>
      </c>
      <c r="T2977" s="1008" t="s">
        <v>654</v>
      </c>
      <c r="U2977" s="1008" t="s">
        <v>653</v>
      </c>
      <c r="V2977" s="1008" t="s">
        <v>648</v>
      </c>
      <c r="W2977" s="1008" t="s">
        <v>546</v>
      </c>
      <c r="X2977" s="1008" t="s">
        <v>670</v>
      </c>
      <c r="Y2977" s="1008"/>
      <c r="Z2977" s="1008"/>
      <c r="AA2977" s="1008"/>
      <c r="AB2977" s="1008"/>
      <c r="AC2977" s="1008" t="s">
        <v>670</v>
      </c>
      <c r="AD2977" s="1008"/>
      <c r="AE2977" s="1008"/>
      <c r="AF2977" s="1008"/>
      <c r="AG2977" s="1008"/>
      <c r="AH2977" s="1008"/>
      <c r="AI2977" s="1008"/>
    </row>
    <row r="2978" spans="1:35">
      <c r="A2978" s="1008">
        <v>23746</v>
      </c>
      <c r="B2978" s="1008">
        <v>1064</v>
      </c>
      <c r="C2978" s="1008">
        <v>6</v>
      </c>
      <c r="D2978" s="1009">
        <v>59699999</v>
      </c>
      <c r="E2978" s="1009">
        <v>59611000</v>
      </c>
      <c r="F2978" s="1007" t="s">
        <v>1629</v>
      </c>
      <c r="G2978" s="1007">
        <v>7</v>
      </c>
      <c r="H2978" s="1010">
        <v>5099999</v>
      </c>
      <c r="I2978" s="1009">
        <v>5012100</v>
      </c>
      <c r="J2978" s="1007" t="s">
        <v>1711</v>
      </c>
      <c r="O2978" s="1007" t="s">
        <v>648</v>
      </c>
      <c r="P2978" s="1007" t="s">
        <v>648</v>
      </c>
      <c r="S2978" s="1008" t="s">
        <v>650</v>
      </c>
      <c r="T2978" s="1008" t="s">
        <v>654</v>
      </c>
      <c r="U2978" s="1008" t="s">
        <v>653</v>
      </c>
      <c r="V2978" s="1008" t="s">
        <v>648</v>
      </c>
      <c r="W2978" s="1008" t="s">
        <v>546</v>
      </c>
      <c r="X2978" s="1008" t="s">
        <v>670</v>
      </c>
      <c r="Y2978" s="1008"/>
      <c r="Z2978" s="1008"/>
      <c r="AA2978" s="1008"/>
      <c r="AB2978" s="1008"/>
      <c r="AC2978" s="1008" t="s">
        <v>670</v>
      </c>
      <c r="AD2978" s="1008"/>
      <c r="AE2978" s="1008"/>
      <c r="AF2978" s="1008"/>
      <c r="AG2978" s="1008"/>
      <c r="AH2978" s="1008"/>
      <c r="AI2978" s="1008"/>
    </row>
    <row r="2979" spans="1:35">
      <c r="A2979" s="1008">
        <v>23746</v>
      </c>
      <c r="B2979" s="1008">
        <v>1065</v>
      </c>
      <c r="C2979" s="1008">
        <v>6</v>
      </c>
      <c r="D2979" s="1009">
        <v>59699999</v>
      </c>
      <c r="E2979" s="1009">
        <v>59611000</v>
      </c>
      <c r="F2979" s="1007" t="s">
        <v>1629</v>
      </c>
      <c r="G2979" s="1007">
        <v>7</v>
      </c>
      <c r="H2979" s="1010">
        <v>5099999</v>
      </c>
      <c r="I2979" s="1009">
        <v>5012110</v>
      </c>
      <c r="J2979" s="1007" t="s">
        <v>1710</v>
      </c>
      <c r="O2979" s="1007" t="s">
        <v>648</v>
      </c>
      <c r="P2979" s="1007" t="s">
        <v>648</v>
      </c>
      <c r="S2979" s="1008" t="s">
        <v>650</v>
      </c>
      <c r="T2979" s="1008" t="s">
        <v>654</v>
      </c>
      <c r="U2979" s="1008" t="s">
        <v>653</v>
      </c>
      <c r="V2979" s="1008" t="s">
        <v>648</v>
      </c>
      <c r="W2979" s="1008" t="s">
        <v>546</v>
      </c>
      <c r="X2979" s="1008" t="s">
        <v>670</v>
      </c>
      <c r="Y2979" s="1008"/>
      <c r="Z2979" s="1008"/>
      <c r="AA2979" s="1008"/>
      <c r="AB2979" s="1008"/>
      <c r="AC2979" s="1008" t="s">
        <v>670</v>
      </c>
      <c r="AD2979" s="1008"/>
      <c r="AE2979" s="1008"/>
      <c r="AF2979" s="1008"/>
      <c r="AG2979" s="1008"/>
      <c r="AH2979" s="1008"/>
      <c r="AI2979" s="1008"/>
    </row>
    <row r="2980" spans="1:35">
      <c r="A2980" s="1008">
        <v>23746</v>
      </c>
      <c r="B2980" s="1008">
        <v>1066</v>
      </c>
      <c r="C2980" s="1008">
        <v>6</v>
      </c>
      <c r="D2980" s="1009">
        <v>59699999</v>
      </c>
      <c r="E2980" s="1009">
        <v>59611000</v>
      </c>
      <c r="F2980" s="1007" t="s">
        <v>1629</v>
      </c>
      <c r="G2980" s="1007">
        <v>7</v>
      </c>
      <c r="H2980" s="1010">
        <v>5099999</v>
      </c>
      <c r="I2980" s="1009">
        <v>5012160</v>
      </c>
      <c r="J2980" s="1007" t="s">
        <v>1709</v>
      </c>
      <c r="O2980" s="1007" t="s">
        <v>648</v>
      </c>
      <c r="P2980" s="1007" t="s">
        <v>648</v>
      </c>
      <c r="S2980" s="1008" t="s">
        <v>650</v>
      </c>
      <c r="T2980" s="1008" t="s">
        <v>654</v>
      </c>
      <c r="U2980" s="1008" t="s">
        <v>653</v>
      </c>
      <c r="V2980" s="1008" t="s">
        <v>648</v>
      </c>
      <c r="W2980" s="1008" t="s">
        <v>546</v>
      </c>
      <c r="X2980" s="1008" t="s">
        <v>670</v>
      </c>
      <c r="Y2980" s="1008"/>
      <c r="Z2980" s="1008"/>
      <c r="AA2980" s="1008"/>
      <c r="AB2980" s="1008"/>
      <c r="AC2980" s="1008" t="s">
        <v>670</v>
      </c>
      <c r="AD2980" s="1008"/>
      <c r="AE2980" s="1008"/>
      <c r="AF2980" s="1008"/>
      <c r="AG2980" s="1008"/>
      <c r="AH2980" s="1008"/>
      <c r="AI2980" s="1008"/>
    </row>
    <row r="2981" spans="1:35">
      <c r="A2981" s="1008">
        <v>23746</v>
      </c>
      <c r="B2981" s="1008">
        <v>894</v>
      </c>
      <c r="C2981" s="1008">
        <v>6</v>
      </c>
      <c r="D2981" s="1009">
        <v>59699999</v>
      </c>
      <c r="E2981" s="1009">
        <v>59611000</v>
      </c>
      <c r="F2981" s="1007" t="s">
        <v>1629</v>
      </c>
      <c r="G2981" s="1007">
        <v>7</v>
      </c>
      <c r="H2981" s="1010">
        <v>5099999</v>
      </c>
      <c r="I2981" s="1009">
        <v>5013005</v>
      </c>
      <c r="J2981" s="1007" t="s">
        <v>1708</v>
      </c>
      <c r="O2981" s="1007" t="s">
        <v>648</v>
      </c>
      <c r="P2981" s="1007" t="s">
        <v>648</v>
      </c>
      <c r="S2981" s="1008" t="s">
        <v>650</v>
      </c>
      <c r="T2981" s="1008" t="s">
        <v>654</v>
      </c>
      <c r="U2981" s="1008" t="s">
        <v>653</v>
      </c>
      <c r="V2981" s="1008" t="s">
        <v>648</v>
      </c>
      <c r="W2981" s="1008" t="s">
        <v>546</v>
      </c>
      <c r="X2981" s="1008" t="s">
        <v>670</v>
      </c>
      <c r="Y2981" s="1008"/>
      <c r="Z2981" s="1008"/>
      <c r="AA2981" s="1008"/>
      <c r="AB2981" s="1008"/>
      <c r="AC2981" s="1008" t="s">
        <v>670</v>
      </c>
      <c r="AD2981" s="1008"/>
      <c r="AE2981" s="1008"/>
      <c r="AF2981" s="1008"/>
      <c r="AG2981" s="1008"/>
      <c r="AH2981" s="1008"/>
      <c r="AI2981" s="1008"/>
    </row>
    <row r="2982" spans="1:35">
      <c r="A2982" s="1008">
        <v>23746</v>
      </c>
      <c r="B2982" s="1008">
        <v>1067</v>
      </c>
      <c r="C2982" s="1008">
        <v>6</v>
      </c>
      <c r="D2982" s="1009">
        <v>59699999</v>
      </c>
      <c r="E2982" s="1009">
        <v>59611000</v>
      </c>
      <c r="F2982" s="1007" t="s">
        <v>1629</v>
      </c>
      <c r="G2982" s="1007">
        <v>7</v>
      </c>
      <c r="H2982" s="1010">
        <v>5099999</v>
      </c>
      <c r="I2982" s="1009">
        <v>5013030</v>
      </c>
      <c r="J2982" s="1007" t="s">
        <v>1707</v>
      </c>
      <c r="O2982" s="1007" t="s">
        <v>648</v>
      </c>
      <c r="P2982" s="1007" t="s">
        <v>648</v>
      </c>
      <c r="S2982" s="1008" t="s">
        <v>650</v>
      </c>
      <c r="T2982" s="1008" t="s">
        <v>654</v>
      </c>
      <c r="U2982" s="1008" t="s">
        <v>653</v>
      </c>
      <c r="V2982" s="1008" t="s">
        <v>648</v>
      </c>
      <c r="W2982" s="1008" t="s">
        <v>546</v>
      </c>
      <c r="X2982" s="1008" t="s">
        <v>670</v>
      </c>
      <c r="Y2982" s="1008"/>
      <c r="Z2982" s="1008"/>
      <c r="AA2982" s="1008"/>
      <c r="AB2982" s="1008"/>
      <c r="AC2982" s="1008" t="s">
        <v>670</v>
      </c>
      <c r="AD2982" s="1008"/>
      <c r="AE2982" s="1008"/>
      <c r="AF2982" s="1008"/>
      <c r="AG2982" s="1008"/>
      <c r="AH2982" s="1008"/>
      <c r="AI2982" s="1008"/>
    </row>
    <row r="2983" spans="1:35">
      <c r="A2983" s="1008">
        <v>23746</v>
      </c>
      <c r="B2983" s="1008">
        <v>1068</v>
      </c>
      <c r="C2983" s="1008">
        <v>6</v>
      </c>
      <c r="D2983" s="1009">
        <v>59699999</v>
      </c>
      <c r="E2983" s="1009">
        <v>59611000</v>
      </c>
      <c r="F2983" s="1007" t="s">
        <v>1629</v>
      </c>
      <c r="G2983" s="1007">
        <v>7</v>
      </c>
      <c r="H2983" s="1010">
        <v>5099999</v>
      </c>
      <c r="I2983" s="1009">
        <v>5013040</v>
      </c>
      <c r="J2983" s="1007" t="s">
        <v>1706</v>
      </c>
      <c r="O2983" s="1007" t="s">
        <v>648</v>
      </c>
      <c r="P2983" s="1007" t="s">
        <v>648</v>
      </c>
      <c r="S2983" s="1008" t="s">
        <v>650</v>
      </c>
      <c r="T2983" s="1008" t="s">
        <v>654</v>
      </c>
      <c r="U2983" s="1008" t="s">
        <v>653</v>
      </c>
      <c r="V2983" s="1008" t="s">
        <v>648</v>
      </c>
      <c r="W2983" s="1008" t="s">
        <v>546</v>
      </c>
      <c r="X2983" s="1008" t="s">
        <v>670</v>
      </c>
      <c r="Y2983" s="1008"/>
      <c r="Z2983" s="1008"/>
      <c r="AA2983" s="1008"/>
      <c r="AB2983" s="1008"/>
      <c r="AC2983" s="1008" t="s">
        <v>670</v>
      </c>
      <c r="AD2983" s="1008"/>
      <c r="AE2983" s="1008"/>
      <c r="AF2983" s="1008"/>
      <c r="AG2983" s="1008"/>
      <c r="AH2983" s="1008"/>
      <c r="AI2983" s="1008"/>
    </row>
    <row r="2984" spans="1:35">
      <c r="A2984" s="1008">
        <v>23746</v>
      </c>
      <c r="B2984" s="1008">
        <v>1069</v>
      </c>
      <c r="C2984" s="1008">
        <v>6</v>
      </c>
      <c r="D2984" s="1009">
        <v>59699999</v>
      </c>
      <c r="E2984" s="1009">
        <v>59611000</v>
      </c>
      <c r="F2984" s="1007" t="s">
        <v>1629</v>
      </c>
      <c r="G2984" s="1007">
        <v>7</v>
      </c>
      <c r="H2984" s="1010">
        <v>5099999</v>
      </c>
      <c r="I2984" s="1009">
        <v>5013050</v>
      </c>
      <c r="J2984" s="1007" t="s">
        <v>1705</v>
      </c>
      <c r="O2984" s="1007" t="s">
        <v>648</v>
      </c>
      <c r="P2984" s="1007" t="s">
        <v>648</v>
      </c>
      <c r="S2984" s="1008" t="s">
        <v>650</v>
      </c>
      <c r="T2984" s="1008" t="s">
        <v>654</v>
      </c>
      <c r="U2984" s="1008" t="s">
        <v>653</v>
      </c>
      <c r="V2984" s="1008" t="s">
        <v>648</v>
      </c>
      <c r="W2984" s="1008" t="s">
        <v>546</v>
      </c>
      <c r="X2984" s="1008" t="s">
        <v>670</v>
      </c>
      <c r="Y2984" s="1008"/>
      <c r="Z2984" s="1008"/>
      <c r="AA2984" s="1008"/>
      <c r="AB2984" s="1008"/>
      <c r="AC2984" s="1008" t="s">
        <v>670</v>
      </c>
      <c r="AD2984" s="1008"/>
      <c r="AE2984" s="1008"/>
      <c r="AF2984" s="1008"/>
      <c r="AG2984" s="1008"/>
      <c r="AH2984" s="1008"/>
      <c r="AI2984" s="1008"/>
    </row>
    <row r="2985" spans="1:35">
      <c r="A2985" s="1008">
        <v>23746</v>
      </c>
      <c r="B2985" s="1008">
        <v>1070</v>
      </c>
      <c r="C2985" s="1008">
        <v>6</v>
      </c>
      <c r="D2985" s="1009">
        <v>59699999</v>
      </c>
      <c r="E2985" s="1009">
        <v>59611000</v>
      </c>
      <c r="F2985" s="1007" t="s">
        <v>1629</v>
      </c>
      <c r="G2985" s="1007">
        <v>7</v>
      </c>
      <c r="H2985" s="1010">
        <v>5099999</v>
      </c>
      <c r="I2985" s="1009">
        <v>5013060</v>
      </c>
      <c r="J2985" s="1007" t="s">
        <v>1704</v>
      </c>
      <c r="O2985" s="1007" t="s">
        <v>648</v>
      </c>
      <c r="P2985" s="1007" t="s">
        <v>648</v>
      </c>
      <c r="S2985" s="1008" t="s">
        <v>650</v>
      </c>
      <c r="T2985" s="1008" t="s">
        <v>654</v>
      </c>
      <c r="U2985" s="1008" t="s">
        <v>653</v>
      </c>
      <c r="V2985" s="1008" t="s">
        <v>648</v>
      </c>
      <c r="W2985" s="1008" t="s">
        <v>546</v>
      </c>
      <c r="X2985" s="1008" t="s">
        <v>670</v>
      </c>
      <c r="Y2985" s="1008"/>
      <c r="Z2985" s="1008"/>
      <c r="AA2985" s="1008"/>
      <c r="AB2985" s="1008"/>
      <c r="AC2985" s="1008" t="s">
        <v>670</v>
      </c>
      <c r="AD2985" s="1008"/>
      <c r="AE2985" s="1008"/>
      <c r="AF2985" s="1008"/>
      <c r="AG2985" s="1008"/>
      <c r="AH2985" s="1008"/>
      <c r="AI2985" s="1008"/>
    </row>
    <row r="2986" spans="1:35">
      <c r="A2986" s="1008">
        <v>23746</v>
      </c>
      <c r="B2986" s="1008">
        <v>1071</v>
      </c>
      <c r="C2986" s="1008">
        <v>6</v>
      </c>
      <c r="D2986" s="1009">
        <v>59699999</v>
      </c>
      <c r="E2986" s="1009">
        <v>59611000</v>
      </c>
      <c r="F2986" s="1007" t="s">
        <v>1629</v>
      </c>
      <c r="G2986" s="1007">
        <v>7</v>
      </c>
      <c r="H2986" s="1010">
        <v>5099999</v>
      </c>
      <c r="I2986" s="1009">
        <v>5013070</v>
      </c>
      <c r="J2986" s="1007" t="s">
        <v>1703</v>
      </c>
      <c r="O2986" s="1007" t="s">
        <v>648</v>
      </c>
      <c r="P2986" s="1007" t="s">
        <v>648</v>
      </c>
      <c r="S2986" s="1008" t="s">
        <v>650</v>
      </c>
      <c r="T2986" s="1008" t="s">
        <v>654</v>
      </c>
      <c r="U2986" s="1008" t="s">
        <v>653</v>
      </c>
      <c r="V2986" s="1008" t="s">
        <v>648</v>
      </c>
      <c r="W2986" s="1008" t="s">
        <v>546</v>
      </c>
      <c r="X2986" s="1008" t="s">
        <v>670</v>
      </c>
      <c r="Y2986" s="1008"/>
      <c r="Z2986" s="1008"/>
      <c r="AA2986" s="1008"/>
      <c r="AB2986" s="1008"/>
      <c r="AC2986" s="1008" t="s">
        <v>670</v>
      </c>
      <c r="AD2986" s="1008"/>
      <c r="AE2986" s="1008"/>
      <c r="AF2986" s="1008"/>
      <c r="AG2986" s="1008"/>
      <c r="AH2986" s="1008"/>
      <c r="AI2986" s="1008"/>
    </row>
    <row r="2987" spans="1:35">
      <c r="A2987" s="1008">
        <v>23746</v>
      </c>
      <c r="B2987" s="1008">
        <v>1072</v>
      </c>
      <c r="C2987" s="1008">
        <v>6</v>
      </c>
      <c r="D2987" s="1009">
        <v>59699999</v>
      </c>
      <c r="E2987" s="1009">
        <v>59611000</v>
      </c>
      <c r="F2987" s="1007" t="s">
        <v>1629</v>
      </c>
      <c r="G2987" s="1007">
        <v>7</v>
      </c>
      <c r="H2987" s="1010">
        <v>5099999</v>
      </c>
      <c r="I2987" s="1009">
        <v>5013150</v>
      </c>
      <c r="J2987" s="1007" t="s">
        <v>1702</v>
      </c>
      <c r="O2987" s="1007" t="s">
        <v>648</v>
      </c>
      <c r="P2987" s="1007" t="s">
        <v>648</v>
      </c>
      <c r="S2987" s="1008" t="s">
        <v>650</v>
      </c>
      <c r="T2987" s="1008" t="s">
        <v>654</v>
      </c>
      <c r="U2987" s="1008" t="s">
        <v>653</v>
      </c>
      <c r="V2987" s="1008" t="s">
        <v>648</v>
      </c>
      <c r="W2987" s="1008" t="s">
        <v>546</v>
      </c>
      <c r="X2987" s="1008" t="s">
        <v>670</v>
      </c>
      <c r="Y2987" s="1008"/>
      <c r="Z2987" s="1008"/>
      <c r="AA2987" s="1008"/>
      <c r="AB2987" s="1008"/>
      <c r="AC2987" s="1008" t="s">
        <v>670</v>
      </c>
      <c r="AD2987" s="1008"/>
      <c r="AE2987" s="1008"/>
      <c r="AF2987" s="1008"/>
      <c r="AG2987" s="1008"/>
      <c r="AH2987" s="1008"/>
      <c r="AI2987" s="1008"/>
    </row>
    <row r="2988" spans="1:35">
      <c r="A2988" s="1008">
        <v>23746</v>
      </c>
      <c r="B2988" s="1008">
        <v>1073</v>
      </c>
      <c r="C2988" s="1008">
        <v>6</v>
      </c>
      <c r="D2988" s="1009">
        <v>59699999</v>
      </c>
      <c r="E2988" s="1009">
        <v>59611000</v>
      </c>
      <c r="F2988" s="1007" t="s">
        <v>1629</v>
      </c>
      <c r="G2988" s="1007">
        <v>7</v>
      </c>
      <c r="H2988" s="1010">
        <v>5099999</v>
      </c>
      <c r="I2988" s="1009">
        <v>5013160</v>
      </c>
      <c r="J2988" s="1007" t="s">
        <v>1701</v>
      </c>
      <c r="O2988" s="1007" t="s">
        <v>648</v>
      </c>
      <c r="P2988" s="1007" t="s">
        <v>648</v>
      </c>
      <c r="S2988" s="1008" t="s">
        <v>650</v>
      </c>
      <c r="T2988" s="1008" t="s">
        <v>654</v>
      </c>
      <c r="U2988" s="1008" t="s">
        <v>653</v>
      </c>
      <c r="V2988" s="1008" t="s">
        <v>648</v>
      </c>
      <c r="W2988" s="1008" t="s">
        <v>546</v>
      </c>
      <c r="X2988" s="1008" t="s">
        <v>670</v>
      </c>
      <c r="Y2988" s="1008"/>
      <c r="Z2988" s="1008"/>
      <c r="AA2988" s="1008"/>
      <c r="AB2988" s="1008"/>
      <c r="AC2988" s="1008" t="s">
        <v>670</v>
      </c>
      <c r="AD2988" s="1008"/>
      <c r="AE2988" s="1008"/>
      <c r="AF2988" s="1008"/>
      <c r="AG2988" s="1008"/>
      <c r="AH2988" s="1008"/>
      <c r="AI2988" s="1008"/>
    </row>
    <row r="2989" spans="1:35">
      <c r="A2989" s="1008">
        <v>23746</v>
      </c>
      <c r="B2989" s="1008">
        <v>1074</v>
      </c>
      <c r="C2989" s="1008">
        <v>6</v>
      </c>
      <c r="D2989" s="1009">
        <v>59699999</v>
      </c>
      <c r="E2989" s="1009">
        <v>59611000</v>
      </c>
      <c r="F2989" s="1007" t="s">
        <v>1629</v>
      </c>
      <c r="G2989" s="1007">
        <v>7</v>
      </c>
      <c r="H2989" s="1010">
        <v>5099999</v>
      </c>
      <c r="I2989" s="1009">
        <v>5013170</v>
      </c>
      <c r="J2989" s="1007" t="s">
        <v>1700</v>
      </c>
      <c r="O2989" s="1007" t="s">
        <v>648</v>
      </c>
      <c r="P2989" s="1007" t="s">
        <v>648</v>
      </c>
      <c r="S2989" s="1008" t="s">
        <v>650</v>
      </c>
      <c r="T2989" s="1008" t="s">
        <v>654</v>
      </c>
      <c r="U2989" s="1008" t="s">
        <v>653</v>
      </c>
      <c r="V2989" s="1008" t="s">
        <v>648</v>
      </c>
      <c r="W2989" s="1008" t="s">
        <v>546</v>
      </c>
      <c r="X2989" s="1008" t="s">
        <v>670</v>
      </c>
      <c r="Y2989" s="1008"/>
      <c r="Z2989" s="1008"/>
      <c r="AA2989" s="1008"/>
      <c r="AB2989" s="1008"/>
      <c r="AC2989" s="1008" t="s">
        <v>670</v>
      </c>
      <c r="AD2989" s="1008"/>
      <c r="AE2989" s="1008"/>
      <c r="AF2989" s="1008"/>
      <c r="AG2989" s="1008"/>
      <c r="AH2989" s="1008"/>
      <c r="AI2989" s="1008"/>
    </row>
    <row r="2990" spans="1:35">
      <c r="A2990" s="1008">
        <v>23746</v>
      </c>
      <c r="B2990" s="1008">
        <v>1075</v>
      </c>
      <c r="C2990" s="1008">
        <v>6</v>
      </c>
      <c r="D2990" s="1009">
        <v>59699999</v>
      </c>
      <c r="E2990" s="1009">
        <v>59611000</v>
      </c>
      <c r="F2990" s="1007" t="s">
        <v>1629</v>
      </c>
      <c r="G2990" s="1007">
        <v>7</v>
      </c>
      <c r="H2990" s="1010">
        <v>5099999</v>
      </c>
      <c r="I2990" s="1009">
        <v>5013190</v>
      </c>
      <c r="J2990" s="1007" t="s">
        <v>1699</v>
      </c>
      <c r="O2990" s="1007" t="s">
        <v>648</v>
      </c>
      <c r="P2990" s="1007" t="s">
        <v>648</v>
      </c>
      <c r="S2990" s="1008" t="s">
        <v>650</v>
      </c>
      <c r="T2990" s="1008" t="s">
        <v>654</v>
      </c>
      <c r="U2990" s="1008" t="s">
        <v>653</v>
      </c>
      <c r="V2990" s="1008" t="s">
        <v>648</v>
      </c>
      <c r="W2990" s="1008" t="s">
        <v>546</v>
      </c>
      <c r="X2990" s="1008" t="s">
        <v>670</v>
      </c>
      <c r="Y2990" s="1008"/>
      <c r="Z2990" s="1008"/>
      <c r="AA2990" s="1008"/>
      <c r="AB2990" s="1008"/>
      <c r="AC2990" s="1008" t="s">
        <v>670</v>
      </c>
      <c r="AD2990" s="1008"/>
      <c r="AE2990" s="1008"/>
      <c r="AF2990" s="1008"/>
      <c r="AG2990" s="1008"/>
      <c r="AH2990" s="1008"/>
      <c r="AI2990" s="1008"/>
    </row>
    <row r="2991" spans="1:35">
      <c r="A2991" s="1008">
        <v>23746</v>
      </c>
      <c r="B2991" s="1008">
        <v>1076</v>
      </c>
      <c r="C2991" s="1008">
        <v>6</v>
      </c>
      <c r="D2991" s="1009">
        <v>59699999</v>
      </c>
      <c r="E2991" s="1009">
        <v>59611000</v>
      </c>
      <c r="F2991" s="1007" t="s">
        <v>1629</v>
      </c>
      <c r="G2991" s="1007">
        <v>7</v>
      </c>
      <c r="H2991" s="1010">
        <v>5099999</v>
      </c>
      <c r="I2991" s="1009">
        <v>5013210</v>
      </c>
      <c r="J2991" s="1007" t="s">
        <v>1698</v>
      </c>
      <c r="O2991" s="1007" t="s">
        <v>648</v>
      </c>
      <c r="P2991" s="1007" t="s">
        <v>648</v>
      </c>
      <c r="S2991" s="1008" t="s">
        <v>650</v>
      </c>
      <c r="T2991" s="1008" t="s">
        <v>654</v>
      </c>
      <c r="U2991" s="1008" t="s">
        <v>653</v>
      </c>
      <c r="V2991" s="1008" t="s">
        <v>648</v>
      </c>
      <c r="W2991" s="1008" t="s">
        <v>546</v>
      </c>
      <c r="X2991" s="1008" t="s">
        <v>670</v>
      </c>
      <c r="Y2991" s="1008"/>
      <c r="Z2991" s="1008"/>
      <c r="AA2991" s="1008"/>
      <c r="AB2991" s="1008"/>
      <c r="AC2991" s="1008" t="s">
        <v>670</v>
      </c>
      <c r="AD2991" s="1008"/>
      <c r="AE2991" s="1008"/>
      <c r="AF2991" s="1008"/>
      <c r="AG2991" s="1008"/>
      <c r="AH2991" s="1008"/>
      <c r="AI2991" s="1008"/>
    </row>
    <row r="2992" spans="1:35">
      <c r="A2992" s="1008">
        <v>23746</v>
      </c>
      <c r="B2992" s="1008">
        <v>1077</v>
      </c>
      <c r="C2992" s="1008">
        <v>6</v>
      </c>
      <c r="D2992" s="1009">
        <v>59699999</v>
      </c>
      <c r="E2992" s="1009">
        <v>59611000</v>
      </c>
      <c r="F2992" s="1007" t="s">
        <v>1629</v>
      </c>
      <c r="G2992" s="1007">
        <v>7</v>
      </c>
      <c r="H2992" s="1010">
        <v>5099999</v>
      </c>
      <c r="I2992" s="1009">
        <v>5013230</v>
      </c>
      <c r="J2992" s="1007" t="s">
        <v>1697</v>
      </c>
      <c r="O2992" s="1007" t="s">
        <v>648</v>
      </c>
      <c r="P2992" s="1007" t="s">
        <v>648</v>
      </c>
      <c r="S2992" s="1008" t="s">
        <v>650</v>
      </c>
      <c r="T2992" s="1008" t="s">
        <v>654</v>
      </c>
      <c r="U2992" s="1008" t="s">
        <v>653</v>
      </c>
      <c r="V2992" s="1008" t="s">
        <v>648</v>
      </c>
      <c r="W2992" s="1008" t="s">
        <v>546</v>
      </c>
      <c r="X2992" s="1008" t="s">
        <v>670</v>
      </c>
      <c r="Y2992" s="1008"/>
      <c r="Z2992" s="1008"/>
      <c r="AA2992" s="1008"/>
      <c r="AB2992" s="1008"/>
      <c r="AC2992" s="1008" t="s">
        <v>670</v>
      </c>
      <c r="AD2992" s="1008"/>
      <c r="AE2992" s="1008"/>
      <c r="AF2992" s="1008"/>
      <c r="AG2992" s="1008"/>
      <c r="AH2992" s="1008"/>
      <c r="AI2992" s="1008"/>
    </row>
    <row r="2993" spans="1:35">
      <c r="A2993" s="1008">
        <v>23746</v>
      </c>
      <c r="B2993" s="1008">
        <v>1078</v>
      </c>
      <c r="C2993" s="1008">
        <v>6</v>
      </c>
      <c r="D2993" s="1009">
        <v>59699999</v>
      </c>
      <c r="E2993" s="1009">
        <v>59611000</v>
      </c>
      <c r="F2993" s="1007" t="s">
        <v>1629</v>
      </c>
      <c r="G2993" s="1007">
        <v>7</v>
      </c>
      <c r="H2993" s="1010">
        <v>5099999</v>
      </c>
      <c r="I2993" s="1009">
        <v>5013250</v>
      </c>
      <c r="J2993" s="1007" t="s">
        <v>1696</v>
      </c>
      <c r="O2993" s="1007" t="s">
        <v>648</v>
      </c>
      <c r="P2993" s="1007" t="s">
        <v>648</v>
      </c>
      <c r="S2993" s="1008" t="s">
        <v>650</v>
      </c>
      <c r="T2993" s="1008" t="s">
        <v>654</v>
      </c>
      <c r="U2993" s="1008" t="s">
        <v>653</v>
      </c>
      <c r="V2993" s="1008" t="s">
        <v>648</v>
      </c>
      <c r="W2993" s="1008" t="s">
        <v>546</v>
      </c>
      <c r="X2993" s="1008" t="s">
        <v>670</v>
      </c>
      <c r="Y2993" s="1008"/>
      <c r="Z2993" s="1008"/>
      <c r="AA2993" s="1008"/>
      <c r="AB2993" s="1008"/>
      <c r="AC2993" s="1008" t="s">
        <v>670</v>
      </c>
      <c r="AD2993" s="1008"/>
      <c r="AE2993" s="1008"/>
      <c r="AF2993" s="1008"/>
      <c r="AG2993" s="1008"/>
      <c r="AH2993" s="1008"/>
      <c r="AI2993" s="1008"/>
    </row>
    <row r="2994" spans="1:35">
      <c r="A2994" s="1008">
        <v>23746</v>
      </c>
      <c r="B2994" s="1008">
        <v>1079</v>
      </c>
      <c r="C2994" s="1008">
        <v>6</v>
      </c>
      <c r="D2994" s="1009">
        <v>59699999</v>
      </c>
      <c r="E2994" s="1009">
        <v>59611000</v>
      </c>
      <c r="F2994" s="1007" t="s">
        <v>1629</v>
      </c>
      <c r="G2994" s="1007">
        <v>7</v>
      </c>
      <c r="H2994" s="1010">
        <v>5099999</v>
      </c>
      <c r="I2994" s="1009">
        <v>5013260</v>
      </c>
      <c r="J2994" s="1007" t="s">
        <v>1695</v>
      </c>
      <c r="O2994" s="1007" t="s">
        <v>648</v>
      </c>
      <c r="P2994" s="1007" t="s">
        <v>648</v>
      </c>
      <c r="S2994" s="1008" t="s">
        <v>650</v>
      </c>
      <c r="T2994" s="1008" t="s">
        <v>654</v>
      </c>
      <c r="U2994" s="1008" t="s">
        <v>653</v>
      </c>
      <c r="V2994" s="1008" t="s">
        <v>648</v>
      </c>
      <c r="W2994" s="1008" t="s">
        <v>546</v>
      </c>
      <c r="X2994" s="1008" t="s">
        <v>670</v>
      </c>
      <c r="Y2994" s="1008"/>
      <c r="Z2994" s="1008"/>
      <c r="AA2994" s="1008"/>
      <c r="AB2994" s="1008"/>
      <c r="AC2994" s="1008" t="s">
        <v>670</v>
      </c>
      <c r="AD2994" s="1008"/>
      <c r="AE2994" s="1008"/>
      <c r="AF2994" s="1008"/>
      <c r="AG2994" s="1008"/>
      <c r="AH2994" s="1008"/>
      <c r="AI2994" s="1008"/>
    </row>
    <row r="2995" spans="1:35">
      <c r="A2995" s="1008">
        <v>23746</v>
      </c>
      <c r="B2995" s="1008">
        <v>1080</v>
      </c>
      <c r="C2995" s="1008">
        <v>6</v>
      </c>
      <c r="D2995" s="1009">
        <v>59699999</v>
      </c>
      <c r="E2995" s="1009">
        <v>59611000</v>
      </c>
      <c r="F2995" s="1007" t="s">
        <v>1629</v>
      </c>
      <c r="G2995" s="1007">
        <v>7</v>
      </c>
      <c r="H2995" s="1010">
        <v>5099999</v>
      </c>
      <c r="I2995" s="1009">
        <v>5013270</v>
      </c>
      <c r="J2995" s="1007" t="s">
        <v>1694</v>
      </c>
      <c r="O2995" s="1007" t="s">
        <v>648</v>
      </c>
      <c r="P2995" s="1007" t="s">
        <v>648</v>
      </c>
      <c r="S2995" s="1008" t="s">
        <v>650</v>
      </c>
      <c r="T2995" s="1008" t="s">
        <v>654</v>
      </c>
      <c r="U2995" s="1008" t="s">
        <v>653</v>
      </c>
      <c r="V2995" s="1008" t="s">
        <v>648</v>
      </c>
      <c r="W2995" s="1008" t="s">
        <v>546</v>
      </c>
      <c r="X2995" s="1008" t="s">
        <v>670</v>
      </c>
      <c r="Y2995" s="1008"/>
      <c r="Z2995" s="1008"/>
      <c r="AA2995" s="1008"/>
      <c r="AB2995" s="1008"/>
      <c r="AC2995" s="1008" t="s">
        <v>670</v>
      </c>
      <c r="AD2995" s="1008"/>
      <c r="AE2995" s="1008"/>
      <c r="AF2995" s="1008"/>
      <c r="AG2995" s="1008"/>
      <c r="AH2995" s="1008"/>
      <c r="AI2995" s="1008"/>
    </row>
    <row r="2996" spans="1:35">
      <c r="A2996" s="1008">
        <v>23746</v>
      </c>
      <c r="B2996" s="1008">
        <v>897</v>
      </c>
      <c r="C2996" s="1008">
        <v>6</v>
      </c>
      <c r="D2996" s="1009">
        <v>59699999</v>
      </c>
      <c r="E2996" s="1009">
        <v>59611000</v>
      </c>
      <c r="F2996" s="1007" t="s">
        <v>1629</v>
      </c>
      <c r="G2996" s="1007">
        <v>7</v>
      </c>
      <c r="H2996" s="1010">
        <v>5099999</v>
      </c>
      <c r="I2996" s="1009">
        <v>5014020</v>
      </c>
      <c r="J2996" s="1007" t="s">
        <v>1693</v>
      </c>
      <c r="O2996" s="1007" t="s">
        <v>648</v>
      </c>
      <c r="P2996" s="1007" t="s">
        <v>648</v>
      </c>
      <c r="S2996" s="1008" t="s">
        <v>650</v>
      </c>
      <c r="T2996" s="1008" t="s">
        <v>654</v>
      </c>
      <c r="U2996" s="1008" t="s">
        <v>653</v>
      </c>
      <c r="V2996" s="1008" t="s">
        <v>648</v>
      </c>
      <c r="W2996" s="1008" t="s">
        <v>546</v>
      </c>
      <c r="X2996" s="1008" t="s">
        <v>670</v>
      </c>
      <c r="Y2996" s="1008"/>
      <c r="Z2996" s="1008"/>
      <c r="AA2996" s="1008"/>
      <c r="AB2996" s="1008"/>
      <c r="AC2996" s="1008" t="s">
        <v>670</v>
      </c>
      <c r="AD2996" s="1008"/>
      <c r="AE2996" s="1008"/>
      <c r="AF2996" s="1008"/>
      <c r="AG2996" s="1008"/>
      <c r="AH2996" s="1008"/>
      <c r="AI2996" s="1008"/>
    </row>
    <row r="2997" spans="1:35">
      <c r="A2997" s="1008">
        <v>23746</v>
      </c>
      <c r="B2997" s="1008">
        <v>6623</v>
      </c>
      <c r="C2997" s="1008">
        <v>6</v>
      </c>
      <c r="D2997" s="1009">
        <v>59699999</v>
      </c>
      <c r="E2997" s="1009">
        <v>59611000</v>
      </c>
      <c r="F2997" s="1007" t="s">
        <v>1629</v>
      </c>
      <c r="G2997" s="1007">
        <v>7</v>
      </c>
      <c r="H2997" s="1010">
        <v>5099999</v>
      </c>
      <c r="I2997" s="1009">
        <v>5014021</v>
      </c>
      <c r="J2997" s="1007" t="s">
        <v>1692</v>
      </c>
      <c r="O2997" s="1007" t="s">
        <v>648</v>
      </c>
      <c r="P2997" s="1007" t="s">
        <v>648</v>
      </c>
      <c r="S2997" s="1008" t="s">
        <v>650</v>
      </c>
      <c r="T2997" s="1008" t="s">
        <v>654</v>
      </c>
      <c r="U2997" s="1008" t="s">
        <v>653</v>
      </c>
      <c r="V2997" s="1008" t="s">
        <v>648</v>
      </c>
      <c r="W2997" s="1008" t="s">
        <v>546</v>
      </c>
      <c r="X2997" s="1008" t="s">
        <v>670</v>
      </c>
      <c r="Y2997" s="1008"/>
      <c r="Z2997" s="1008"/>
      <c r="AA2997" s="1008"/>
      <c r="AB2997" s="1008"/>
      <c r="AC2997" s="1008" t="s">
        <v>670</v>
      </c>
      <c r="AD2997" s="1008"/>
      <c r="AE2997" s="1008"/>
      <c r="AF2997" s="1008"/>
      <c r="AG2997" s="1008"/>
      <c r="AH2997" s="1008"/>
      <c r="AI2997" s="1008"/>
    </row>
    <row r="2998" spans="1:35">
      <c r="A2998" s="1008">
        <v>23746</v>
      </c>
      <c r="B2998" s="1008">
        <v>1081</v>
      </c>
      <c r="C2998" s="1008">
        <v>6</v>
      </c>
      <c r="D2998" s="1009">
        <v>59699999</v>
      </c>
      <c r="E2998" s="1009">
        <v>59611000</v>
      </c>
      <c r="F2998" s="1007" t="s">
        <v>1629</v>
      </c>
      <c r="G2998" s="1007">
        <v>7</v>
      </c>
      <c r="H2998" s="1010">
        <v>5099999</v>
      </c>
      <c r="I2998" s="1009">
        <v>5014040</v>
      </c>
      <c r="J2998" s="1007" t="s">
        <v>1691</v>
      </c>
      <c r="O2998" s="1007" t="s">
        <v>648</v>
      </c>
      <c r="P2998" s="1007" t="s">
        <v>648</v>
      </c>
      <c r="S2998" s="1008" t="s">
        <v>650</v>
      </c>
      <c r="T2998" s="1008" t="s">
        <v>654</v>
      </c>
      <c r="U2998" s="1008" t="s">
        <v>653</v>
      </c>
      <c r="V2998" s="1008" t="s">
        <v>648</v>
      </c>
      <c r="W2998" s="1008" t="s">
        <v>546</v>
      </c>
      <c r="X2998" s="1008" t="s">
        <v>670</v>
      </c>
      <c r="Y2998" s="1008"/>
      <c r="Z2998" s="1008"/>
      <c r="AA2998" s="1008"/>
      <c r="AB2998" s="1008"/>
      <c r="AC2998" s="1008" t="s">
        <v>670</v>
      </c>
      <c r="AD2998" s="1008"/>
      <c r="AE2998" s="1008"/>
      <c r="AF2998" s="1008"/>
      <c r="AG2998" s="1008"/>
      <c r="AH2998" s="1008"/>
      <c r="AI2998" s="1008"/>
    </row>
    <row r="2999" spans="1:35">
      <c r="A2999" s="1008">
        <v>23746</v>
      </c>
      <c r="B2999" s="1008">
        <v>900</v>
      </c>
      <c r="C2999" s="1008">
        <v>6</v>
      </c>
      <c r="D2999" s="1009">
        <v>59699999</v>
      </c>
      <c r="E2999" s="1009">
        <v>59611000</v>
      </c>
      <c r="F2999" s="1007" t="s">
        <v>1629</v>
      </c>
      <c r="G2999" s="1007">
        <v>7</v>
      </c>
      <c r="H2999" s="1010">
        <v>5099999</v>
      </c>
      <c r="I2999" s="1009">
        <v>5015005</v>
      </c>
      <c r="J2999" s="1007" t="s">
        <v>1690</v>
      </c>
      <c r="O2999" s="1007" t="s">
        <v>648</v>
      </c>
      <c r="P2999" s="1007" t="s">
        <v>648</v>
      </c>
      <c r="S2999" s="1008" t="s">
        <v>650</v>
      </c>
      <c r="T2999" s="1008" t="s">
        <v>654</v>
      </c>
      <c r="U2999" s="1008" t="s">
        <v>653</v>
      </c>
      <c r="V2999" s="1008" t="s">
        <v>648</v>
      </c>
      <c r="W2999" s="1008" t="s">
        <v>546</v>
      </c>
      <c r="X2999" s="1008" t="s">
        <v>670</v>
      </c>
      <c r="Y2999" s="1008"/>
      <c r="Z2999" s="1008"/>
      <c r="AA2999" s="1008"/>
      <c r="AB2999" s="1008"/>
      <c r="AC2999" s="1008" t="s">
        <v>670</v>
      </c>
      <c r="AD2999" s="1008"/>
      <c r="AE2999" s="1008"/>
      <c r="AF2999" s="1008"/>
      <c r="AG2999" s="1008"/>
      <c r="AH2999" s="1008"/>
      <c r="AI2999" s="1008"/>
    </row>
    <row r="3000" spans="1:35">
      <c r="A3000" s="1008">
        <v>23746</v>
      </c>
      <c r="B3000" s="1008">
        <v>1082</v>
      </c>
      <c r="C3000" s="1008">
        <v>6</v>
      </c>
      <c r="D3000" s="1009">
        <v>59699999</v>
      </c>
      <c r="E3000" s="1009">
        <v>59611000</v>
      </c>
      <c r="F3000" s="1007" t="s">
        <v>1629</v>
      </c>
      <c r="G3000" s="1007">
        <v>7</v>
      </c>
      <c r="H3000" s="1010">
        <v>5099999</v>
      </c>
      <c r="I3000" s="1009">
        <v>5015040</v>
      </c>
      <c r="J3000" s="1007" t="s">
        <v>1689</v>
      </c>
      <c r="O3000" s="1007" t="s">
        <v>648</v>
      </c>
      <c r="P3000" s="1007" t="s">
        <v>648</v>
      </c>
      <c r="S3000" s="1008" t="s">
        <v>650</v>
      </c>
      <c r="T3000" s="1008" t="s">
        <v>654</v>
      </c>
      <c r="U3000" s="1008" t="s">
        <v>653</v>
      </c>
      <c r="V3000" s="1008" t="s">
        <v>648</v>
      </c>
      <c r="W3000" s="1008" t="s">
        <v>546</v>
      </c>
      <c r="X3000" s="1008" t="s">
        <v>670</v>
      </c>
      <c r="Y3000" s="1008"/>
      <c r="Z3000" s="1008"/>
      <c r="AA3000" s="1008"/>
      <c r="AB3000" s="1008"/>
      <c r="AC3000" s="1008" t="s">
        <v>670</v>
      </c>
      <c r="AD3000" s="1008"/>
      <c r="AE3000" s="1008"/>
      <c r="AF3000" s="1008"/>
      <c r="AG3000" s="1008"/>
      <c r="AH3000" s="1008"/>
      <c r="AI3000" s="1008"/>
    </row>
    <row r="3001" spans="1:35">
      <c r="A3001" s="1008">
        <v>23746</v>
      </c>
      <c r="B3001" s="1008">
        <v>1083</v>
      </c>
      <c r="C3001" s="1008">
        <v>6</v>
      </c>
      <c r="D3001" s="1009">
        <v>59699999</v>
      </c>
      <c r="E3001" s="1009">
        <v>59611000</v>
      </c>
      <c r="F3001" s="1007" t="s">
        <v>1629</v>
      </c>
      <c r="G3001" s="1007">
        <v>7</v>
      </c>
      <c r="H3001" s="1010">
        <v>5099999</v>
      </c>
      <c r="I3001" s="1009">
        <v>5015050</v>
      </c>
      <c r="J3001" s="1007" t="s">
        <v>1688</v>
      </c>
      <c r="O3001" s="1007" t="s">
        <v>648</v>
      </c>
      <c r="P3001" s="1007" t="s">
        <v>648</v>
      </c>
      <c r="S3001" s="1008" t="s">
        <v>650</v>
      </c>
      <c r="T3001" s="1008" t="s">
        <v>654</v>
      </c>
      <c r="U3001" s="1008" t="s">
        <v>653</v>
      </c>
      <c r="V3001" s="1008" t="s">
        <v>648</v>
      </c>
      <c r="W3001" s="1008" t="s">
        <v>546</v>
      </c>
      <c r="X3001" s="1008" t="s">
        <v>670</v>
      </c>
      <c r="Y3001" s="1008"/>
      <c r="Z3001" s="1008"/>
      <c r="AA3001" s="1008"/>
      <c r="AB3001" s="1008"/>
      <c r="AC3001" s="1008" t="s">
        <v>670</v>
      </c>
      <c r="AD3001" s="1008"/>
      <c r="AE3001" s="1008"/>
      <c r="AF3001" s="1008"/>
      <c r="AG3001" s="1008"/>
      <c r="AH3001" s="1008"/>
      <c r="AI3001" s="1008"/>
    </row>
    <row r="3002" spans="1:35">
      <c r="A3002" s="1008">
        <v>23746</v>
      </c>
      <c r="B3002" s="1008">
        <v>1084</v>
      </c>
      <c r="C3002" s="1008">
        <v>6</v>
      </c>
      <c r="D3002" s="1009">
        <v>59699999</v>
      </c>
      <c r="E3002" s="1009">
        <v>59611000</v>
      </c>
      <c r="F3002" s="1007" t="s">
        <v>1629</v>
      </c>
      <c r="G3002" s="1007">
        <v>7</v>
      </c>
      <c r="H3002" s="1010">
        <v>5099999</v>
      </c>
      <c r="I3002" s="1009">
        <v>5015060</v>
      </c>
      <c r="J3002" s="1007" t="s">
        <v>1687</v>
      </c>
      <c r="O3002" s="1007" t="s">
        <v>648</v>
      </c>
      <c r="P3002" s="1007" t="s">
        <v>648</v>
      </c>
      <c r="S3002" s="1008" t="s">
        <v>650</v>
      </c>
      <c r="T3002" s="1008" t="s">
        <v>654</v>
      </c>
      <c r="U3002" s="1008" t="s">
        <v>653</v>
      </c>
      <c r="V3002" s="1008" t="s">
        <v>648</v>
      </c>
      <c r="W3002" s="1008" t="s">
        <v>546</v>
      </c>
      <c r="X3002" s="1008" t="s">
        <v>670</v>
      </c>
      <c r="Y3002" s="1008"/>
      <c r="Z3002" s="1008"/>
      <c r="AA3002" s="1008"/>
      <c r="AB3002" s="1008"/>
      <c r="AC3002" s="1008" t="s">
        <v>670</v>
      </c>
      <c r="AD3002" s="1008"/>
      <c r="AE3002" s="1008"/>
      <c r="AF3002" s="1008"/>
      <c r="AG3002" s="1008"/>
      <c r="AH3002" s="1008"/>
      <c r="AI3002" s="1008"/>
    </row>
    <row r="3003" spans="1:35">
      <c r="A3003" s="1008">
        <v>23746</v>
      </c>
      <c r="B3003" s="1008">
        <v>1085</v>
      </c>
      <c r="C3003" s="1008">
        <v>6</v>
      </c>
      <c r="D3003" s="1009">
        <v>59699999</v>
      </c>
      <c r="E3003" s="1009">
        <v>59611000</v>
      </c>
      <c r="F3003" s="1007" t="s">
        <v>1629</v>
      </c>
      <c r="G3003" s="1007">
        <v>7</v>
      </c>
      <c r="H3003" s="1010">
        <v>5099999</v>
      </c>
      <c r="I3003" s="1009">
        <v>5015090</v>
      </c>
      <c r="J3003" s="1007" t="s">
        <v>1686</v>
      </c>
      <c r="O3003" s="1007" t="s">
        <v>648</v>
      </c>
      <c r="P3003" s="1007" t="s">
        <v>648</v>
      </c>
      <c r="S3003" s="1008" t="s">
        <v>650</v>
      </c>
      <c r="T3003" s="1008" t="s">
        <v>654</v>
      </c>
      <c r="U3003" s="1008" t="s">
        <v>653</v>
      </c>
      <c r="V3003" s="1008" t="s">
        <v>648</v>
      </c>
      <c r="W3003" s="1008" t="s">
        <v>546</v>
      </c>
      <c r="X3003" s="1008" t="s">
        <v>670</v>
      </c>
      <c r="Y3003" s="1008"/>
      <c r="Z3003" s="1008"/>
      <c r="AA3003" s="1008"/>
      <c r="AB3003" s="1008"/>
      <c r="AC3003" s="1008" t="s">
        <v>670</v>
      </c>
      <c r="AD3003" s="1008"/>
      <c r="AE3003" s="1008"/>
      <c r="AF3003" s="1008"/>
      <c r="AG3003" s="1008"/>
      <c r="AH3003" s="1008"/>
      <c r="AI3003" s="1008"/>
    </row>
    <row r="3004" spans="1:35">
      <c r="A3004" s="1008">
        <v>23746</v>
      </c>
      <c r="B3004" s="1008">
        <v>1086</v>
      </c>
      <c r="C3004" s="1008">
        <v>6</v>
      </c>
      <c r="D3004" s="1009">
        <v>59699999</v>
      </c>
      <c r="E3004" s="1009">
        <v>59611000</v>
      </c>
      <c r="F3004" s="1007" t="s">
        <v>1629</v>
      </c>
      <c r="G3004" s="1007">
        <v>7</v>
      </c>
      <c r="H3004" s="1010">
        <v>5099999</v>
      </c>
      <c r="I3004" s="1009">
        <v>5015095</v>
      </c>
      <c r="J3004" s="1007" t="s">
        <v>1685</v>
      </c>
      <c r="O3004" s="1007" t="s">
        <v>648</v>
      </c>
      <c r="P3004" s="1007" t="s">
        <v>648</v>
      </c>
      <c r="S3004" s="1008" t="s">
        <v>650</v>
      </c>
      <c r="T3004" s="1008" t="s">
        <v>654</v>
      </c>
      <c r="U3004" s="1008" t="s">
        <v>653</v>
      </c>
      <c r="V3004" s="1008" t="s">
        <v>648</v>
      </c>
      <c r="W3004" s="1008" t="s">
        <v>546</v>
      </c>
      <c r="X3004" s="1008" t="s">
        <v>670</v>
      </c>
      <c r="Y3004" s="1008"/>
      <c r="Z3004" s="1008"/>
      <c r="AA3004" s="1008"/>
      <c r="AB3004" s="1008"/>
      <c r="AC3004" s="1008" t="s">
        <v>670</v>
      </c>
      <c r="AD3004" s="1008"/>
      <c r="AE3004" s="1008"/>
      <c r="AF3004" s="1008"/>
      <c r="AG3004" s="1008"/>
      <c r="AH3004" s="1008"/>
      <c r="AI3004" s="1008"/>
    </row>
    <row r="3005" spans="1:35">
      <c r="A3005" s="1008">
        <v>23746</v>
      </c>
      <c r="B3005" s="1008">
        <v>1087</v>
      </c>
      <c r="C3005" s="1008">
        <v>6</v>
      </c>
      <c r="D3005" s="1009">
        <v>59699999</v>
      </c>
      <c r="E3005" s="1009">
        <v>59611000</v>
      </c>
      <c r="F3005" s="1007" t="s">
        <v>1629</v>
      </c>
      <c r="G3005" s="1007">
        <v>7</v>
      </c>
      <c r="H3005" s="1010">
        <v>5099999</v>
      </c>
      <c r="I3005" s="1009">
        <v>5015101</v>
      </c>
      <c r="J3005" s="1007" t="s">
        <v>1684</v>
      </c>
      <c r="O3005" s="1007" t="s">
        <v>648</v>
      </c>
      <c r="P3005" s="1007" t="s">
        <v>648</v>
      </c>
      <c r="S3005" s="1008" t="s">
        <v>650</v>
      </c>
      <c r="T3005" s="1008" t="s">
        <v>654</v>
      </c>
      <c r="U3005" s="1008" t="s">
        <v>653</v>
      </c>
      <c r="V3005" s="1008" t="s">
        <v>648</v>
      </c>
      <c r="W3005" s="1008" t="s">
        <v>546</v>
      </c>
      <c r="X3005" s="1008" t="s">
        <v>670</v>
      </c>
      <c r="Y3005" s="1008"/>
      <c r="Z3005" s="1008"/>
      <c r="AA3005" s="1008"/>
      <c r="AB3005" s="1008"/>
      <c r="AC3005" s="1008" t="s">
        <v>670</v>
      </c>
      <c r="AD3005" s="1008"/>
      <c r="AE3005" s="1008"/>
      <c r="AF3005" s="1008"/>
      <c r="AG3005" s="1008"/>
      <c r="AH3005" s="1008"/>
      <c r="AI3005" s="1008"/>
    </row>
    <row r="3006" spans="1:35">
      <c r="A3006" s="1008">
        <v>23746</v>
      </c>
      <c r="B3006" s="1008">
        <v>1088</v>
      </c>
      <c r="C3006" s="1008">
        <v>6</v>
      </c>
      <c r="D3006" s="1009">
        <v>59699999</v>
      </c>
      <c r="E3006" s="1009">
        <v>59611000</v>
      </c>
      <c r="F3006" s="1007" t="s">
        <v>1629</v>
      </c>
      <c r="G3006" s="1007">
        <v>7</v>
      </c>
      <c r="H3006" s="1010">
        <v>5099999</v>
      </c>
      <c r="I3006" s="1009">
        <v>5015110</v>
      </c>
      <c r="J3006" s="1007" t="s">
        <v>1683</v>
      </c>
      <c r="O3006" s="1007" t="s">
        <v>648</v>
      </c>
      <c r="P3006" s="1007" t="s">
        <v>648</v>
      </c>
      <c r="S3006" s="1008" t="s">
        <v>650</v>
      </c>
      <c r="T3006" s="1008" t="s">
        <v>654</v>
      </c>
      <c r="U3006" s="1008" t="s">
        <v>653</v>
      </c>
      <c r="V3006" s="1008" t="s">
        <v>648</v>
      </c>
      <c r="W3006" s="1008" t="s">
        <v>546</v>
      </c>
      <c r="X3006" s="1008" t="s">
        <v>670</v>
      </c>
      <c r="Y3006" s="1008"/>
      <c r="Z3006" s="1008"/>
      <c r="AA3006" s="1008"/>
      <c r="AB3006" s="1008"/>
      <c r="AC3006" s="1008" t="s">
        <v>670</v>
      </c>
      <c r="AD3006" s="1008"/>
      <c r="AE3006" s="1008"/>
      <c r="AF3006" s="1008"/>
      <c r="AG3006" s="1008"/>
      <c r="AH3006" s="1008"/>
      <c r="AI3006" s="1008"/>
    </row>
    <row r="3007" spans="1:35">
      <c r="A3007" s="1008">
        <v>23746</v>
      </c>
      <c r="B3007" s="1008">
        <v>1089</v>
      </c>
      <c r="C3007" s="1008">
        <v>6</v>
      </c>
      <c r="D3007" s="1009">
        <v>59699999</v>
      </c>
      <c r="E3007" s="1009">
        <v>59611000</v>
      </c>
      <c r="F3007" s="1007" t="s">
        <v>1629</v>
      </c>
      <c r="G3007" s="1007">
        <v>7</v>
      </c>
      <c r="H3007" s="1010">
        <v>5099999</v>
      </c>
      <c r="I3007" s="1009">
        <v>5015140</v>
      </c>
      <c r="J3007" s="1007" t="s">
        <v>1682</v>
      </c>
      <c r="O3007" s="1007" t="s">
        <v>648</v>
      </c>
      <c r="P3007" s="1007" t="s">
        <v>648</v>
      </c>
      <c r="S3007" s="1008" t="s">
        <v>650</v>
      </c>
      <c r="T3007" s="1008" t="s">
        <v>654</v>
      </c>
      <c r="U3007" s="1008" t="s">
        <v>653</v>
      </c>
      <c r="V3007" s="1008" t="s">
        <v>648</v>
      </c>
      <c r="W3007" s="1008" t="s">
        <v>546</v>
      </c>
      <c r="X3007" s="1008" t="s">
        <v>670</v>
      </c>
      <c r="Y3007" s="1008"/>
      <c r="Z3007" s="1008"/>
      <c r="AA3007" s="1008"/>
      <c r="AB3007" s="1008"/>
      <c r="AC3007" s="1008" t="s">
        <v>670</v>
      </c>
      <c r="AD3007" s="1008"/>
      <c r="AE3007" s="1008"/>
      <c r="AF3007" s="1008"/>
      <c r="AG3007" s="1008"/>
      <c r="AH3007" s="1008"/>
      <c r="AI3007" s="1008"/>
    </row>
    <row r="3008" spans="1:35">
      <c r="A3008" s="1008">
        <v>23746</v>
      </c>
      <c r="B3008" s="1008">
        <v>1090</v>
      </c>
      <c r="C3008" s="1008">
        <v>6</v>
      </c>
      <c r="D3008" s="1009">
        <v>59699999</v>
      </c>
      <c r="E3008" s="1009">
        <v>59611000</v>
      </c>
      <c r="F3008" s="1007" t="s">
        <v>1629</v>
      </c>
      <c r="G3008" s="1007">
        <v>7</v>
      </c>
      <c r="H3008" s="1010">
        <v>5099999</v>
      </c>
      <c r="I3008" s="1009">
        <v>5015144</v>
      </c>
      <c r="J3008" s="1007" t="s">
        <v>1681</v>
      </c>
      <c r="O3008" s="1007" t="s">
        <v>648</v>
      </c>
      <c r="P3008" s="1007" t="s">
        <v>648</v>
      </c>
      <c r="S3008" s="1008" t="s">
        <v>650</v>
      </c>
      <c r="T3008" s="1008" t="s">
        <v>654</v>
      </c>
      <c r="U3008" s="1008" t="s">
        <v>653</v>
      </c>
      <c r="V3008" s="1008" t="s">
        <v>648</v>
      </c>
      <c r="W3008" s="1008" t="s">
        <v>546</v>
      </c>
      <c r="X3008" s="1008" t="s">
        <v>670</v>
      </c>
      <c r="Y3008" s="1008"/>
      <c r="Z3008" s="1008"/>
      <c r="AA3008" s="1008"/>
      <c r="AB3008" s="1008"/>
      <c r="AC3008" s="1008" t="s">
        <v>670</v>
      </c>
      <c r="AD3008" s="1008"/>
      <c r="AE3008" s="1008"/>
      <c r="AF3008" s="1008"/>
      <c r="AG3008" s="1008"/>
      <c r="AH3008" s="1008"/>
      <c r="AI3008" s="1008"/>
    </row>
    <row r="3009" spans="1:35">
      <c r="A3009" s="1008">
        <v>23746</v>
      </c>
      <c r="B3009" s="1008">
        <v>1091</v>
      </c>
      <c r="C3009" s="1008">
        <v>6</v>
      </c>
      <c r="D3009" s="1009">
        <v>59699999</v>
      </c>
      <c r="E3009" s="1009">
        <v>59611000</v>
      </c>
      <c r="F3009" s="1007" t="s">
        <v>1629</v>
      </c>
      <c r="G3009" s="1007">
        <v>7</v>
      </c>
      <c r="H3009" s="1010">
        <v>5099999</v>
      </c>
      <c r="I3009" s="1009">
        <v>5015150</v>
      </c>
      <c r="J3009" s="1007" t="s">
        <v>1680</v>
      </c>
      <c r="O3009" s="1007" t="s">
        <v>648</v>
      </c>
      <c r="P3009" s="1007" t="s">
        <v>648</v>
      </c>
      <c r="S3009" s="1008" t="s">
        <v>650</v>
      </c>
      <c r="T3009" s="1008" t="s">
        <v>654</v>
      </c>
      <c r="U3009" s="1008" t="s">
        <v>653</v>
      </c>
      <c r="V3009" s="1008" t="s">
        <v>648</v>
      </c>
      <c r="W3009" s="1008" t="s">
        <v>546</v>
      </c>
      <c r="X3009" s="1008" t="s">
        <v>670</v>
      </c>
      <c r="Y3009" s="1008"/>
      <c r="Z3009" s="1008"/>
      <c r="AA3009" s="1008"/>
      <c r="AB3009" s="1008"/>
      <c r="AC3009" s="1008" t="s">
        <v>670</v>
      </c>
      <c r="AD3009" s="1008"/>
      <c r="AE3009" s="1008"/>
      <c r="AF3009" s="1008"/>
      <c r="AG3009" s="1008"/>
      <c r="AH3009" s="1008"/>
      <c r="AI3009" s="1008"/>
    </row>
    <row r="3010" spans="1:35">
      <c r="A3010" s="1008">
        <v>23746</v>
      </c>
      <c r="B3010" s="1008">
        <v>1092</v>
      </c>
      <c r="C3010" s="1008">
        <v>6</v>
      </c>
      <c r="D3010" s="1009">
        <v>59699999</v>
      </c>
      <c r="E3010" s="1009">
        <v>59611000</v>
      </c>
      <c r="F3010" s="1007" t="s">
        <v>1629</v>
      </c>
      <c r="G3010" s="1007">
        <v>7</v>
      </c>
      <c r="H3010" s="1010">
        <v>5099999</v>
      </c>
      <c r="I3010" s="1009">
        <v>5015160</v>
      </c>
      <c r="J3010" s="1007" t="s">
        <v>1679</v>
      </c>
      <c r="O3010" s="1007" t="s">
        <v>648</v>
      </c>
      <c r="P3010" s="1007" t="s">
        <v>648</v>
      </c>
      <c r="S3010" s="1008" t="s">
        <v>650</v>
      </c>
      <c r="T3010" s="1008" t="s">
        <v>654</v>
      </c>
      <c r="U3010" s="1008" t="s">
        <v>653</v>
      </c>
      <c r="V3010" s="1008" t="s">
        <v>648</v>
      </c>
      <c r="W3010" s="1008" t="s">
        <v>546</v>
      </c>
      <c r="X3010" s="1008" t="s">
        <v>670</v>
      </c>
      <c r="Y3010" s="1008"/>
      <c r="Z3010" s="1008"/>
      <c r="AA3010" s="1008"/>
      <c r="AB3010" s="1008"/>
      <c r="AC3010" s="1008" t="s">
        <v>670</v>
      </c>
      <c r="AD3010" s="1008"/>
      <c r="AE3010" s="1008"/>
      <c r="AF3010" s="1008"/>
      <c r="AG3010" s="1008"/>
      <c r="AH3010" s="1008"/>
      <c r="AI3010" s="1008"/>
    </row>
    <row r="3011" spans="1:35">
      <c r="A3011" s="1008">
        <v>23746</v>
      </c>
      <c r="B3011" s="1008">
        <v>903</v>
      </c>
      <c r="C3011" s="1008">
        <v>6</v>
      </c>
      <c r="D3011" s="1009">
        <v>59699999</v>
      </c>
      <c r="E3011" s="1009">
        <v>59611000</v>
      </c>
      <c r="F3011" s="1007" t="s">
        <v>1629</v>
      </c>
      <c r="G3011" s="1007">
        <v>7</v>
      </c>
      <c r="H3011" s="1010">
        <v>5099999</v>
      </c>
      <c r="I3011" s="1009">
        <v>5016005</v>
      </c>
      <c r="J3011" s="1007" t="s">
        <v>1678</v>
      </c>
      <c r="O3011" s="1007" t="s">
        <v>648</v>
      </c>
      <c r="P3011" s="1007" t="s">
        <v>648</v>
      </c>
      <c r="S3011" s="1008" t="s">
        <v>650</v>
      </c>
      <c r="T3011" s="1008" t="s">
        <v>654</v>
      </c>
      <c r="U3011" s="1008" t="s">
        <v>653</v>
      </c>
      <c r="V3011" s="1008" t="s">
        <v>648</v>
      </c>
      <c r="W3011" s="1008" t="s">
        <v>546</v>
      </c>
      <c r="X3011" s="1008" t="s">
        <v>670</v>
      </c>
      <c r="Y3011" s="1008"/>
      <c r="Z3011" s="1008"/>
      <c r="AA3011" s="1008"/>
      <c r="AB3011" s="1008"/>
      <c r="AC3011" s="1008" t="s">
        <v>670</v>
      </c>
      <c r="AD3011" s="1008"/>
      <c r="AE3011" s="1008"/>
      <c r="AF3011" s="1008"/>
      <c r="AG3011" s="1008"/>
      <c r="AH3011" s="1008"/>
      <c r="AI3011" s="1008"/>
    </row>
    <row r="3012" spans="1:35">
      <c r="A3012" s="1008">
        <v>23746</v>
      </c>
      <c r="B3012" s="1008">
        <v>6624</v>
      </c>
      <c r="C3012" s="1008">
        <v>6</v>
      </c>
      <c r="D3012" s="1009">
        <v>59699999</v>
      </c>
      <c r="E3012" s="1009">
        <v>59611000</v>
      </c>
      <c r="F3012" s="1007" t="s">
        <v>1629</v>
      </c>
      <c r="G3012" s="1007">
        <v>7</v>
      </c>
      <c r="H3012" s="1010">
        <v>5099999</v>
      </c>
      <c r="I3012" s="1009">
        <v>5016006</v>
      </c>
      <c r="J3012" s="1007" t="s">
        <v>1677</v>
      </c>
      <c r="O3012" s="1007" t="s">
        <v>648</v>
      </c>
      <c r="P3012" s="1007" t="s">
        <v>648</v>
      </c>
      <c r="S3012" s="1008" t="s">
        <v>650</v>
      </c>
      <c r="T3012" s="1008" t="s">
        <v>654</v>
      </c>
      <c r="U3012" s="1008" t="s">
        <v>653</v>
      </c>
      <c r="V3012" s="1008" t="s">
        <v>648</v>
      </c>
      <c r="W3012" s="1008" t="s">
        <v>546</v>
      </c>
      <c r="X3012" s="1008" t="s">
        <v>670</v>
      </c>
      <c r="Y3012" s="1008"/>
      <c r="Z3012" s="1008"/>
      <c r="AA3012" s="1008"/>
      <c r="AB3012" s="1008"/>
      <c r="AC3012" s="1008" t="s">
        <v>670</v>
      </c>
      <c r="AD3012" s="1008"/>
      <c r="AE3012" s="1008"/>
      <c r="AF3012" s="1008"/>
      <c r="AG3012" s="1008"/>
      <c r="AH3012" s="1008"/>
      <c r="AI3012" s="1008"/>
    </row>
    <row r="3013" spans="1:35">
      <c r="A3013" s="1008">
        <v>23746</v>
      </c>
      <c r="B3013" s="1008">
        <v>6612</v>
      </c>
      <c r="C3013" s="1008">
        <v>6</v>
      </c>
      <c r="D3013" s="1009">
        <v>59699999</v>
      </c>
      <c r="E3013" s="1009">
        <v>59611000</v>
      </c>
      <c r="F3013" s="1007" t="s">
        <v>1629</v>
      </c>
      <c r="G3013" s="1007" t="s">
        <v>648</v>
      </c>
      <c r="H3013" s="1010">
        <v>5099999</v>
      </c>
      <c r="I3013" s="1009">
        <v>5016008</v>
      </c>
      <c r="J3013" s="1007" t="s">
        <v>1676</v>
      </c>
      <c r="O3013" s="1007" t="s">
        <v>648</v>
      </c>
      <c r="P3013" s="1007" t="s">
        <v>648</v>
      </c>
      <c r="S3013" s="1008" t="s">
        <v>650</v>
      </c>
      <c r="T3013" s="1008" t="s">
        <v>654</v>
      </c>
      <c r="U3013" s="1008" t="s">
        <v>653</v>
      </c>
      <c r="V3013" s="1008" t="s">
        <v>648</v>
      </c>
      <c r="W3013" s="1008" t="s">
        <v>546</v>
      </c>
      <c r="X3013" s="1008" t="s">
        <v>670</v>
      </c>
      <c r="Y3013" s="1008"/>
      <c r="Z3013" s="1008"/>
      <c r="AA3013" s="1008"/>
      <c r="AB3013" s="1008"/>
      <c r="AC3013" s="1008" t="s">
        <v>670</v>
      </c>
      <c r="AD3013" s="1008"/>
      <c r="AE3013" s="1008"/>
      <c r="AF3013" s="1008"/>
      <c r="AG3013" s="1008"/>
      <c r="AH3013" s="1008"/>
      <c r="AI3013" s="1008"/>
    </row>
    <row r="3014" spans="1:35">
      <c r="A3014" s="1008">
        <v>23746</v>
      </c>
      <c r="B3014" s="1008">
        <v>1093</v>
      </c>
      <c r="C3014" s="1008">
        <v>6</v>
      </c>
      <c r="D3014" s="1009">
        <v>59699999</v>
      </c>
      <c r="E3014" s="1009">
        <v>59611000</v>
      </c>
      <c r="F3014" s="1007" t="s">
        <v>1629</v>
      </c>
      <c r="G3014" s="1007">
        <v>7</v>
      </c>
      <c r="H3014" s="1010">
        <v>5099999</v>
      </c>
      <c r="I3014" s="1009">
        <v>5016010</v>
      </c>
      <c r="J3014" s="1007" t="s">
        <v>1675</v>
      </c>
      <c r="O3014" s="1007" t="s">
        <v>648</v>
      </c>
      <c r="P3014" s="1007" t="s">
        <v>648</v>
      </c>
      <c r="S3014" s="1008" t="s">
        <v>650</v>
      </c>
      <c r="T3014" s="1008" t="s">
        <v>654</v>
      </c>
      <c r="U3014" s="1008" t="s">
        <v>653</v>
      </c>
      <c r="V3014" s="1008" t="s">
        <v>648</v>
      </c>
      <c r="W3014" s="1008" t="s">
        <v>546</v>
      </c>
      <c r="X3014" s="1008" t="s">
        <v>670</v>
      </c>
      <c r="Y3014" s="1008"/>
      <c r="Z3014" s="1008"/>
      <c r="AA3014" s="1008"/>
      <c r="AB3014" s="1008"/>
      <c r="AC3014" s="1008" t="s">
        <v>670</v>
      </c>
      <c r="AD3014" s="1008"/>
      <c r="AE3014" s="1008"/>
      <c r="AF3014" s="1008"/>
      <c r="AG3014" s="1008"/>
      <c r="AH3014" s="1008"/>
      <c r="AI3014" s="1008"/>
    </row>
    <row r="3015" spans="1:35">
      <c r="A3015" s="1008">
        <v>23746</v>
      </c>
      <c r="B3015" s="1008">
        <v>1094</v>
      </c>
      <c r="C3015" s="1008">
        <v>6</v>
      </c>
      <c r="D3015" s="1009">
        <v>59699999</v>
      </c>
      <c r="E3015" s="1009">
        <v>59611000</v>
      </c>
      <c r="F3015" s="1007" t="s">
        <v>1629</v>
      </c>
      <c r="G3015" s="1007">
        <v>7</v>
      </c>
      <c r="H3015" s="1010">
        <v>5099999</v>
      </c>
      <c r="I3015" s="1009">
        <v>5016020</v>
      </c>
      <c r="J3015" s="1007" t="s">
        <v>1674</v>
      </c>
      <c r="O3015" s="1007" t="s">
        <v>648</v>
      </c>
      <c r="P3015" s="1007" t="s">
        <v>648</v>
      </c>
      <c r="S3015" s="1008" t="s">
        <v>650</v>
      </c>
      <c r="T3015" s="1008" t="s">
        <v>654</v>
      </c>
      <c r="U3015" s="1008" t="s">
        <v>653</v>
      </c>
      <c r="V3015" s="1008" t="s">
        <v>648</v>
      </c>
      <c r="W3015" s="1008" t="s">
        <v>546</v>
      </c>
      <c r="X3015" s="1008" t="s">
        <v>670</v>
      </c>
      <c r="Y3015" s="1008"/>
      <c r="Z3015" s="1008"/>
      <c r="AA3015" s="1008"/>
      <c r="AB3015" s="1008"/>
      <c r="AC3015" s="1008" t="s">
        <v>670</v>
      </c>
      <c r="AD3015" s="1008"/>
      <c r="AE3015" s="1008"/>
      <c r="AF3015" s="1008"/>
      <c r="AG3015" s="1008"/>
      <c r="AH3015" s="1008"/>
      <c r="AI3015" s="1008"/>
    </row>
    <row r="3016" spans="1:35">
      <c r="A3016" s="1008">
        <v>23746</v>
      </c>
      <c r="B3016" s="1008">
        <v>1095</v>
      </c>
      <c r="C3016" s="1008">
        <v>6</v>
      </c>
      <c r="D3016" s="1009">
        <v>59699999</v>
      </c>
      <c r="E3016" s="1009">
        <v>59611000</v>
      </c>
      <c r="F3016" s="1007" t="s">
        <v>1629</v>
      </c>
      <c r="G3016" s="1007">
        <v>7</v>
      </c>
      <c r="H3016" s="1010">
        <v>5099999</v>
      </c>
      <c r="I3016" s="1009">
        <v>5016050</v>
      </c>
      <c r="J3016" s="1007" t="s">
        <v>1673</v>
      </c>
      <c r="O3016" s="1007" t="s">
        <v>648</v>
      </c>
      <c r="P3016" s="1007" t="s">
        <v>648</v>
      </c>
      <c r="S3016" s="1008" t="s">
        <v>650</v>
      </c>
      <c r="T3016" s="1008" t="s">
        <v>654</v>
      </c>
      <c r="U3016" s="1008" t="s">
        <v>653</v>
      </c>
      <c r="V3016" s="1008" t="s">
        <v>648</v>
      </c>
      <c r="W3016" s="1008" t="s">
        <v>546</v>
      </c>
      <c r="X3016" s="1008" t="s">
        <v>670</v>
      </c>
      <c r="Y3016" s="1008"/>
      <c r="Z3016" s="1008"/>
      <c r="AA3016" s="1008"/>
      <c r="AB3016" s="1008"/>
      <c r="AC3016" s="1008" t="s">
        <v>670</v>
      </c>
      <c r="AD3016" s="1008"/>
      <c r="AE3016" s="1008"/>
      <c r="AF3016" s="1008"/>
      <c r="AG3016" s="1008"/>
      <c r="AH3016" s="1008"/>
      <c r="AI3016" s="1008"/>
    </row>
    <row r="3017" spans="1:35">
      <c r="A3017" s="1008">
        <v>23746</v>
      </c>
      <c r="B3017" s="1008">
        <v>1096</v>
      </c>
      <c r="C3017" s="1008">
        <v>6</v>
      </c>
      <c r="D3017" s="1009">
        <v>59699999</v>
      </c>
      <c r="E3017" s="1009">
        <v>59611000</v>
      </c>
      <c r="F3017" s="1007" t="s">
        <v>1629</v>
      </c>
      <c r="G3017" s="1007">
        <v>7</v>
      </c>
      <c r="H3017" s="1010">
        <v>5099999</v>
      </c>
      <c r="I3017" s="1009">
        <v>5016060</v>
      </c>
      <c r="J3017" s="1007" t="s">
        <v>1672</v>
      </c>
      <c r="O3017" s="1007" t="s">
        <v>648</v>
      </c>
      <c r="P3017" s="1007" t="s">
        <v>648</v>
      </c>
      <c r="S3017" s="1008" t="s">
        <v>650</v>
      </c>
      <c r="T3017" s="1008" t="s">
        <v>654</v>
      </c>
      <c r="U3017" s="1008" t="s">
        <v>653</v>
      </c>
      <c r="V3017" s="1008" t="s">
        <v>648</v>
      </c>
      <c r="W3017" s="1008" t="s">
        <v>546</v>
      </c>
      <c r="X3017" s="1008" t="s">
        <v>670</v>
      </c>
      <c r="Y3017" s="1008"/>
      <c r="Z3017" s="1008"/>
      <c r="AA3017" s="1008"/>
      <c r="AB3017" s="1008"/>
      <c r="AC3017" s="1008" t="s">
        <v>670</v>
      </c>
      <c r="AD3017" s="1008"/>
      <c r="AE3017" s="1008"/>
      <c r="AF3017" s="1008"/>
      <c r="AG3017" s="1008"/>
      <c r="AH3017" s="1008"/>
      <c r="AI3017" s="1008"/>
    </row>
    <row r="3018" spans="1:35">
      <c r="A3018" s="1008">
        <v>23746</v>
      </c>
      <c r="B3018" s="1008">
        <v>1097</v>
      </c>
      <c r="C3018" s="1008">
        <v>6</v>
      </c>
      <c r="D3018" s="1009">
        <v>59699999</v>
      </c>
      <c r="E3018" s="1009">
        <v>59611000</v>
      </c>
      <c r="F3018" s="1007" t="s">
        <v>1629</v>
      </c>
      <c r="G3018" s="1007">
        <v>7</v>
      </c>
      <c r="H3018" s="1010">
        <v>5099999</v>
      </c>
      <c r="I3018" s="1009">
        <v>5016090</v>
      </c>
      <c r="J3018" s="1007" t="s">
        <v>1671</v>
      </c>
      <c r="O3018" s="1007" t="s">
        <v>648</v>
      </c>
      <c r="P3018" s="1007" t="s">
        <v>648</v>
      </c>
      <c r="S3018" s="1008" t="s">
        <v>650</v>
      </c>
      <c r="T3018" s="1008" t="s">
        <v>654</v>
      </c>
      <c r="U3018" s="1008" t="s">
        <v>653</v>
      </c>
      <c r="V3018" s="1008" t="s">
        <v>648</v>
      </c>
      <c r="W3018" s="1008" t="s">
        <v>546</v>
      </c>
      <c r="X3018" s="1008" t="s">
        <v>670</v>
      </c>
      <c r="Y3018" s="1008"/>
      <c r="Z3018" s="1008"/>
      <c r="AA3018" s="1008"/>
      <c r="AB3018" s="1008"/>
      <c r="AC3018" s="1008" t="s">
        <v>670</v>
      </c>
      <c r="AD3018" s="1008"/>
      <c r="AE3018" s="1008"/>
      <c r="AF3018" s="1008"/>
      <c r="AG3018" s="1008"/>
      <c r="AH3018" s="1008"/>
      <c r="AI3018" s="1008"/>
    </row>
    <row r="3019" spans="1:35">
      <c r="A3019" s="1008">
        <v>23746</v>
      </c>
      <c r="B3019" s="1008">
        <v>1098</v>
      </c>
      <c r="C3019" s="1008">
        <v>6</v>
      </c>
      <c r="D3019" s="1009">
        <v>59699999</v>
      </c>
      <c r="E3019" s="1009">
        <v>59611000</v>
      </c>
      <c r="F3019" s="1007" t="s">
        <v>1629</v>
      </c>
      <c r="G3019" s="1007">
        <v>7</v>
      </c>
      <c r="H3019" s="1010">
        <v>5099999</v>
      </c>
      <c r="I3019" s="1009">
        <v>5016100</v>
      </c>
      <c r="J3019" s="1007" t="s">
        <v>1670</v>
      </c>
      <c r="O3019" s="1007" t="s">
        <v>648</v>
      </c>
      <c r="P3019" s="1007" t="s">
        <v>648</v>
      </c>
      <c r="S3019" s="1008" t="s">
        <v>650</v>
      </c>
      <c r="T3019" s="1008" t="s">
        <v>654</v>
      </c>
      <c r="U3019" s="1008" t="s">
        <v>653</v>
      </c>
      <c r="V3019" s="1008" t="s">
        <v>648</v>
      </c>
      <c r="W3019" s="1008" t="s">
        <v>546</v>
      </c>
      <c r="X3019" s="1008" t="s">
        <v>670</v>
      </c>
      <c r="Y3019" s="1008"/>
      <c r="Z3019" s="1008"/>
      <c r="AA3019" s="1008"/>
      <c r="AB3019" s="1008"/>
      <c r="AC3019" s="1008" t="s">
        <v>670</v>
      </c>
      <c r="AD3019" s="1008"/>
      <c r="AE3019" s="1008"/>
      <c r="AF3019" s="1008"/>
      <c r="AG3019" s="1008"/>
      <c r="AH3019" s="1008"/>
      <c r="AI3019" s="1008"/>
    </row>
    <row r="3020" spans="1:35">
      <c r="A3020" s="1008">
        <v>23746</v>
      </c>
      <c r="B3020" s="1008">
        <v>1099</v>
      </c>
      <c r="C3020" s="1008">
        <v>6</v>
      </c>
      <c r="D3020" s="1009">
        <v>59699999</v>
      </c>
      <c r="E3020" s="1009">
        <v>59611000</v>
      </c>
      <c r="F3020" s="1007" t="s">
        <v>1629</v>
      </c>
      <c r="G3020" s="1007">
        <v>7</v>
      </c>
      <c r="H3020" s="1010">
        <v>5099999</v>
      </c>
      <c r="I3020" s="1009">
        <v>5016110</v>
      </c>
      <c r="J3020" s="1007" t="s">
        <v>1669</v>
      </c>
      <c r="O3020" s="1007" t="s">
        <v>648</v>
      </c>
      <c r="P3020" s="1007" t="s">
        <v>648</v>
      </c>
      <c r="S3020" s="1008" t="s">
        <v>650</v>
      </c>
      <c r="T3020" s="1008" t="s">
        <v>654</v>
      </c>
      <c r="U3020" s="1008" t="s">
        <v>653</v>
      </c>
      <c r="V3020" s="1008" t="s">
        <v>648</v>
      </c>
      <c r="W3020" s="1008" t="s">
        <v>546</v>
      </c>
      <c r="X3020" s="1008" t="s">
        <v>670</v>
      </c>
      <c r="Y3020" s="1008"/>
      <c r="Z3020" s="1008"/>
      <c r="AA3020" s="1008"/>
      <c r="AB3020" s="1008"/>
      <c r="AC3020" s="1008" t="s">
        <v>670</v>
      </c>
      <c r="AD3020" s="1008"/>
      <c r="AE3020" s="1008"/>
      <c r="AF3020" s="1008"/>
      <c r="AG3020" s="1008"/>
      <c r="AH3020" s="1008"/>
      <c r="AI3020" s="1008"/>
    </row>
    <row r="3021" spans="1:35">
      <c r="A3021" s="1008">
        <v>23746</v>
      </c>
      <c r="B3021" s="1008">
        <v>1100</v>
      </c>
      <c r="C3021" s="1008">
        <v>6</v>
      </c>
      <c r="D3021" s="1009">
        <v>59699999</v>
      </c>
      <c r="E3021" s="1009">
        <v>59611000</v>
      </c>
      <c r="F3021" s="1007" t="s">
        <v>1629</v>
      </c>
      <c r="G3021" s="1007">
        <v>7</v>
      </c>
      <c r="H3021" s="1010">
        <v>5099999</v>
      </c>
      <c r="I3021" s="1009">
        <v>5016130</v>
      </c>
      <c r="J3021" s="1007" t="s">
        <v>1668</v>
      </c>
      <c r="O3021" s="1007" t="s">
        <v>648</v>
      </c>
      <c r="P3021" s="1007" t="s">
        <v>648</v>
      </c>
      <c r="S3021" s="1008" t="s">
        <v>650</v>
      </c>
      <c r="T3021" s="1008" t="s">
        <v>654</v>
      </c>
      <c r="U3021" s="1008" t="s">
        <v>653</v>
      </c>
      <c r="V3021" s="1008" t="s">
        <v>648</v>
      </c>
      <c r="W3021" s="1008" t="s">
        <v>546</v>
      </c>
      <c r="X3021" s="1008" t="s">
        <v>670</v>
      </c>
      <c r="Y3021" s="1008"/>
      <c r="Z3021" s="1008"/>
      <c r="AA3021" s="1008"/>
      <c r="AB3021" s="1008"/>
      <c r="AC3021" s="1008" t="s">
        <v>670</v>
      </c>
      <c r="AD3021" s="1008"/>
      <c r="AE3021" s="1008"/>
      <c r="AF3021" s="1008"/>
      <c r="AG3021" s="1008"/>
      <c r="AH3021" s="1008"/>
      <c r="AI3021" s="1008"/>
    </row>
    <row r="3022" spans="1:35">
      <c r="A3022" s="1008">
        <v>23746</v>
      </c>
      <c r="B3022" s="1008">
        <v>1101</v>
      </c>
      <c r="C3022" s="1008">
        <v>6</v>
      </c>
      <c r="D3022" s="1009">
        <v>59699999</v>
      </c>
      <c r="E3022" s="1009">
        <v>59611000</v>
      </c>
      <c r="F3022" s="1007" t="s">
        <v>1629</v>
      </c>
      <c r="G3022" s="1007">
        <v>7</v>
      </c>
      <c r="H3022" s="1010">
        <v>5099999</v>
      </c>
      <c r="I3022" s="1009">
        <v>5016150</v>
      </c>
      <c r="J3022" s="1007" t="s">
        <v>1667</v>
      </c>
      <c r="O3022" s="1007" t="s">
        <v>648</v>
      </c>
      <c r="P3022" s="1007" t="s">
        <v>648</v>
      </c>
      <c r="S3022" s="1008" t="s">
        <v>650</v>
      </c>
      <c r="T3022" s="1008" t="s">
        <v>654</v>
      </c>
      <c r="U3022" s="1008" t="s">
        <v>653</v>
      </c>
      <c r="V3022" s="1008" t="s">
        <v>648</v>
      </c>
      <c r="W3022" s="1008" t="s">
        <v>546</v>
      </c>
      <c r="X3022" s="1008" t="s">
        <v>670</v>
      </c>
      <c r="Y3022" s="1008"/>
      <c r="Z3022" s="1008"/>
      <c r="AA3022" s="1008"/>
      <c r="AB3022" s="1008"/>
      <c r="AC3022" s="1008" t="s">
        <v>670</v>
      </c>
      <c r="AD3022" s="1008"/>
      <c r="AE3022" s="1008"/>
      <c r="AF3022" s="1008"/>
      <c r="AG3022" s="1008"/>
      <c r="AH3022" s="1008"/>
      <c r="AI3022" s="1008"/>
    </row>
    <row r="3023" spans="1:35">
      <c r="A3023" s="1008">
        <v>23746</v>
      </c>
      <c r="B3023" s="1008">
        <v>1102</v>
      </c>
      <c r="C3023" s="1008">
        <v>6</v>
      </c>
      <c r="D3023" s="1009">
        <v>59699999</v>
      </c>
      <c r="E3023" s="1009">
        <v>59611000</v>
      </c>
      <c r="F3023" s="1007" t="s">
        <v>1629</v>
      </c>
      <c r="G3023" s="1007">
        <v>7</v>
      </c>
      <c r="H3023" s="1010">
        <v>5099999</v>
      </c>
      <c r="I3023" s="1009">
        <v>5016160</v>
      </c>
      <c r="J3023" s="1007" t="s">
        <v>1666</v>
      </c>
      <c r="O3023" s="1007" t="s">
        <v>648</v>
      </c>
      <c r="P3023" s="1007" t="s">
        <v>648</v>
      </c>
      <c r="S3023" s="1008" t="s">
        <v>650</v>
      </c>
      <c r="T3023" s="1008" t="s">
        <v>654</v>
      </c>
      <c r="U3023" s="1008" t="s">
        <v>653</v>
      </c>
      <c r="V3023" s="1008" t="s">
        <v>648</v>
      </c>
      <c r="W3023" s="1008" t="s">
        <v>546</v>
      </c>
      <c r="X3023" s="1008" t="s">
        <v>670</v>
      </c>
      <c r="Y3023" s="1008"/>
      <c r="Z3023" s="1008"/>
      <c r="AA3023" s="1008"/>
      <c r="AB3023" s="1008"/>
      <c r="AC3023" s="1008" t="s">
        <v>670</v>
      </c>
      <c r="AD3023" s="1008"/>
      <c r="AE3023" s="1008"/>
      <c r="AF3023" s="1008"/>
      <c r="AG3023" s="1008"/>
      <c r="AH3023" s="1008"/>
      <c r="AI3023" s="1008"/>
    </row>
    <row r="3024" spans="1:35">
      <c r="A3024" s="1008">
        <v>23746</v>
      </c>
      <c r="B3024" s="1008">
        <v>1103</v>
      </c>
      <c r="C3024" s="1008">
        <v>6</v>
      </c>
      <c r="D3024" s="1009">
        <v>59699999</v>
      </c>
      <c r="E3024" s="1009">
        <v>59611000</v>
      </c>
      <c r="F3024" s="1007" t="s">
        <v>1629</v>
      </c>
      <c r="G3024" s="1007">
        <v>7</v>
      </c>
      <c r="H3024" s="1010">
        <v>5099999</v>
      </c>
      <c r="I3024" s="1009">
        <v>5016170</v>
      </c>
      <c r="J3024" s="1007" t="s">
        <v>1665</v>
      </c>
      <c r="O3024" s="1007" t="s">
        <v>648</v>
      </c>
      <c r="P3024" s="1007" t="s">
        <v>648</v>
      </c>
      <c r="S3024" s="1008" t="s">
        <v>650</v>
      </c>
      <c r="T3024" s="1008" t="s">
        <v>654</v>
      </c>
      <c r="U3024" s="1008" t="s">
        <v>653</v>
      </c>
      <c r="V3024" s="1008" t="s">
        <v>648</v>
      </c>
      <c r="W3024" s="1008" t="s">
        <v>546</v>
      </c>
      <c r="X3024" s="1008" t="s">
        <v>670</v>
      </c>
      <c r="Y3024" s="1008"/>
      <c r="Z3024" s="1008"/>
      <c r="AA3024" s="1008"/>
      <c r="AB3024" s="1008"/>
      <c r="AC3024" s="1008" t="s">
        <v>670</v>
      </c>
      <c r="AD3024" s="1008"/>
      <c r="AE3024" s="1008"/>
      <c r="AF3024" s="1008"/>
      <c r="AG3024" s="1008"/>
      <c r="AH3024" s="1008"/>
      <c r="AI3024" s="1008"/>
    </row>
    <row r="3025" spans="1:35">
      <c r="A3025" s="1008">
        <v>23746</v>
      </c>
      <c r="B3025" s="1008">
        <v>1104</v>
      </c>
      <c r="C3025" s="1008">
        <v>6</v>
      </c>
      <c r="D3025" s="1009">
        <v>59699999</v>
      </c>
      <c r="E3025" s="1009">
        <v>59611000</v>
      </c>
      <c r="F3025" s="1007" t="s">
        <v>1629</v>
      </c>
      <c r="G3025" s="1007">
        <v>7</v>
      </c>
      <c r="H3025" s="1010">
        <v>5099999</v>
      </c>
      <c r="I3025" s="1009">
        <v>5016190</v>
      </c>
      <c r="J3025" s="1007" t="s">
        <v>1664</v>
      </c>
      <c r="O3025" s="1007" t="s">
        <v>648</v>
      </c>
      <c r="P3025" s="1007" t="s">
        <v>648</v>
      </c>
      <c r="S3025" s="1008" t="s">
        <v>650</v>
      </c>
      <c r="T3025" s="1008" t="s">
        <v>654</v>
      </c>
      <c r="U3025" s="1008" t="s">
        <v>653</v>
      </c>
      <c r="V3025" s="1008" t="s">
        <v>648</v>
      </c>
      <c r="W3025" s="1008" t="s">
        <v>546</v>
      </c>
      <c r="X3025" s="1008" t="s">
        <v>670</v>
      </c>
      <c r="Y3025" s="1008"/>
      <c r="Z3025" s="1008"/>
      <c r="AA3025" s="1008"/>
      <c r="AB3025" s="1008"/>
      <c r="AC3025" s="1008" t="s">
        <v>670</v>
      </c>
      <c r="AD3025" s="1008"/>
      <c r="AE3025" s="1008"/>
      <c r="AF3025" s="1008"/>
      <c r="AG3025" s="1008"/>
      <c r="AH3025" s="1008"/>
      <c r="AI3025" s="1008"/>
    </row>
    <row r="3026" spans="1:35">
      <c r="A3026" s="1008">
        <v>23746</v>
      </c>
      <c r="B3026" s="1008">
        <v>1105</v>
      </c>
      <c r="C3026" s="1008">
        <v>6</v>
      </c>
      <c r="D3026" s="1009">
        <v>59699999</v>
      </c>
      <c r="E3026" s="1009">
        <v>59611000</v>
      </c>
      <c r="F3026" s="1007" t="s">
        <v>1629</v>
      </c>
      <c r="G3026" s="1007">
        <v>7</v>
      </c>
      <c r="H3026" s="1010">
        <v>5099999</v>
      </c>
      <c r="I3026" s="1009">
        <v>5016210</v>
      </c>
      <c r="J3026" s="1007" t="s">
        <v>1663</v>
      </c>
      <c r="O3026" s="1007" t="s">
        <v>648</v>
      </c>
      <c r="P3026" s="1007" t="s">
        <v>648</v>
      </c>
      <c r="S3026" s="1008" t="s">
        <v>650</v>
      </c>
      <c r="T3026" s="1008" t="s">
        <v>654</v>
      </c>
      <c r="U3026" s="1008" t="s">
        <v>653</v>
      </c>
      <c r="V3026" s="1008" t="s">
        <v>648</v>
      </c>
      <c r="W3026" s="1008" t="s">
        <v>546</v>
      </c>
      <c r="X3026" s="1008" t="s">
        <v>670</v>
      </c>
      <c r="Y3026" s="1008"/>
      <c r="Z3026" s="1008"/>
      <c r="AA3026" s="1008"/>
      <c r="AB3026" s="1008"/>
      <c r="AC3026" s="1008" t="s">
        <v>670</v>
      </c>
      <c r="AD3026" s="1008"/>
      <c r="AE3026" s="1008"/>
      <c r="AF3026" s="1008"/>
      <c r="AG3026" s="1008"/>
      <c r="AH3026" s="1008"/>
      <c r="AI3026" s="1008"/>
    </row>
    <row r="3027" spans="1:35">
      <c r="A3027" s="1008">
        <v>23746</v>
      </c>
      <c r="B3027" s="1008">
        <v>1106</v>
      </c>
      <c r="C3027" s="1008">
        <v>6</v>
      </c>
      <c r="D3027" s="1009">
        <v>59699999</v>
      </c>
      <c r="E3027" s="1009">
        <v>59611000</v>
      </c>
      <c r="F3027" s="1007" t="s">
        <v>1629</v>
      </c>
      <c r="G3027" s="1007">
        <v>7</v>
      </c>
      <c r="H3027" s="1010">
        <v>5099999</v>
      </c>
      <c r="I3027" s="1009">
        <v>5016220</v>
      </c>
      <c r="J3027" s="1007" t="s">
        <v>1662</v>
      </c>
      <c r="O3027" s="1007" t="s">
        <v>648</v>
      </c>
      <c r="P3027" s="1007" t="s">
        <v>648</v>
      </c>
      <c r="S3027" s="1008" t="s">
        <v>650</v>
      </c>
      <c r="T3027" s="1008" t="s">
        <v>654</v>
      </c>
      <c r="U3027" s="1008" t="s">
        <v>653</v>
      </c>
      <c r="V3027" s="1008" t="s">
        <v>648</v>
      </c>
      <c r="W3027" s="1008" t="s">
        <v>546</v>
      </c>
      <c r="X3027" s="1008" t="s">
        <v>670</v>
      </c>
      <c r="Y3027" s="1008"/>
      <c r="Z3027" s="1008"/>
      <c r="AA3027" s="1008"/>
      <c r="AB3027" s="1008"/>
      <c r="AC3027" s="1008" t="s">
        <v>670</v>
      </c>
      <c r="AD3027" s="1008"/>
      <c r="AE3027" s="1008"/>
      <c r="AF3027" s="1008"/>
      <c r="AG3027" s="1008"/>
      <c r="AH3027" s="1008"/>
      <c r="AI3027" s="1008"/>
    </row>
    <row r="3028" spans="1:35">
      <c r="A3028" s="1008">
        <v>23746</v>
      </c>
      <c r="B3028" s="1008">
        <v>1107</v>
      </c>
      <c r="C3028" s="1008">
        <v>6</v>
      </c>
      <c r="D3028" s="1009">
        <v>59699999</v>
      </c>
      <c r="E3028" s="1009">
        <v>59611000</v>
      </c>
      <c r="F3028" s="1007" t="s">
        <v>1629</v>
      </c>
      <c r="G3028" s="1007">
        <v>7</v>
      </c>
      <c r="H3028" s="1010">
        <v>5099999</v>
      </c>
      <c r="I3028" s="1009">
        <v>5016250</v>
      </c>
      <c r="J3028" s="1007" t="s">
        <v>1661</v>
      </c>
      <c r="O3028" s="1007" t="s">
        <v>648</v>
      </c>
      <c r="P3028" s="1007" t="s">
        <v>648</v>
      </c>
      <c r="S3028" s="1008" t="s">
        <v>650</v>
      </c>
      <c r="T3028" s="1008" t="s">
        <v>654</v>
      </c>
      <c r="U3028" s="1008" t="s">
        <v>653</v>
      </c>
      <c r="V3028" s="1008" t="s">
        <v>648</v>
      </c>
      <c r="W3028" s="1008" t="s">
        <v>546</v>
      </c>
      <c r="X3028" s="1008" t="s">
        <v>670</v>
      </c>
      <c r="Y3028" s="1008"/>
      <c r="Z3028" s="1008"/>
      <c r="AA3028" s="1008"/>
      <c r="AB3028" s="1008"/>
      <c r="AC3028" s="1008" t="s">
        <v>670</v>
      </c>
      <c r="AD3028" s="1008"/>
      <c r="AE3028" s="1008"/>
      <c r="AF3028" s="1008"/>
      <c r="AG3028" s="1008"/>
      <c r="AH3028" s="1008"/>
      <c r="AI3028" s="1008"/>
    </row>
    <row r="3029" spans="1:35">
      <c r="A3029" s="1008">
        <v>23746</v>
      </c>
      <c r="B3029" s="1008">
        <v>6626</v>
      </c>
      <c r="C3029" s="1008">
        <v>6</v>
      </c>
      <c r="D3029" s="1009">
        <v>59699999</v>
      </c>
      <c r="E3029" s="1009">
        <v>59611000</v>
      </c>
      <c r="F3029" s="1007" t="s">
        <v>1629</v>
      </c>
      <c r="G3029" s="1007">
        <v>7</v>
      </c>
      <c r="H3029" s="1010">
        <v>5099999</v>
      </c>
      <c r="I3029" s="1009">
        <v>5018009</v>
      </c>
      <c r="J3029" s="1007" t="s">
        <v>1660</v>
      </c>
      <c r="O3029" s="1007" t="s">
        <v>648</v>
      </c>
      <c r="P3029" s="1007" t="s">
        <v>648</v>
      </c>
      <c r="S3029" s="1008" t="s">
        <v>650</v>
      </c>
      <c r="T3029" s="1008" t="s">
        <v>654</v>
      </c>
      <c r="U3029" s="1008" t="s">
        <v>653</v>
      </c>
      <c r="V3029" s="1008" t="s">
        <v>648</v>
      </c>
      <c r="W3029" s="1008" t="s">
        <v>546</v>
      </c>
      <c r="X3029" s="1008" t="s">
        <v>670</v>
      </c>
      <c r="Y3029" s="1008"/>
      <c r="Z3029" s="1008"/>
      <c r="AA3029" s="1008"/>
      <c r="AB3029" s="1008"/>
      <c r="AC3029" s="1008" t="s">
        <v>670</v>
      </c>
      <c r="AD3029" s="1008"/>
      <c r="AE3029" s="1008"/>
      <c r="AF3029" s="1008"/>
      <c r="AG3029" s="1008"/>
      <c r="AH3029" s="1008"/>
      <c r="AI3029" s="1008"/>
    </row>
    <row r="3030" spans="1:35">
      <c r="A3030" s="1008">
        <v>23746</v>
      </c>
      <c r="B3030" s="1008">
        <v>906</v>
      </c>
      <c r="C3030" s="1008">
        <v>6</v>
      </c>
      <c r="D3030" s="1009">
        <v>59699999</v>
      </c>
      <c r="E3030" s="1009">
        <v>59611000</v>
      </c>
      <c r="F3030" s="1007" t="s">
        <v>1629</v>
      </c>
      <c r="G3030" s="1007">
        <v>7</v>
      </c>
      <c r="H3030" s="1010">
        <v>5099999</v>
      </c>
      <c r="I3030" s="1009">
        <v>5018010</v>
      </c>
      <c r="J3030" s="1007" t="s">
        <v>1659</v>
      </c>
      <c r="O3030" s="1007" t="s">
        <v>648</v>
      </c>
      <c r="P3030" s="1007" t="s">
        <v>648</v>
      </c>
      <c r="S3030" s="1008" t="s">
        <v>650</v>
      </c>
      <c r="T3030" s="1008" t="s">
        <v>654</v>
      </c>
      <c r="U3030" s="1008" t="s">
        <v>653</v>
      </c>
      <c r="V3030" s="1008" t="s">
        <v>648</v>
      </c>
      <c r="W3030" s="1008" t="s">
        <v>546</v>
      </c>
      <c r="X3030" s="1008" t="s">
        <v>670</v>
      </c>
      <c r="Y3030" s="1008"/>
      <c r="Z3030" s="1008"/>
      <c r="AA3030" s="1008"/>
      <c r="AB3030" s="1008"/>
      <c r="AC3030" s="1008" t="s">
        <v>670</v>
      </c>
      <c r="AD3030" s="1008"/>
      <c r="AE3030" s="1008"/>
      <c r="AF3030" s="1008"/>
      <c r="AG3030" s="1008"/>
      <c r="AH3030" s="1008"/>
      <c r="AI3030" s="1008"/>
    </row>
    <row r="3031" spans="1:35">
      <c r="A3031" s="1008">
        <v>23746</v>
      </c>
      <c r="B3031" s="1008">
        <v>6417</v>
      </c>
      <c r="C3031" s="1008">
        <v>6</v>
      </c>
      <c r="D3031" s="1009">
        <v>59699999</v>
      </c>
      <c r="E3031" s="1009">
        <v>59611000</v>
      </c>
      <c r="F3031" s="1007" t="s">
        <v>1629</v>
      </c>
      <c r="G3031" s="1007" t="s">
        <v>648</v>
      </c>
      <c r="H3031" s="1010">
        <v>5018999</v>
      </c>
      <c r="I3031" s="1009">
        <v>5018014</v>
      </c>
      <c r="J3031" s="1007" t="s">
        <v>1658</v>
      </c>
      <c r="O3031" s="1007" t="s">
        <v>648</v>
      </c>
      <c r="P3031" s="1007" t="s">
        <v>648</v>
      </c>
      <c r="S3031" s="1008" t="s">
        <v>650</v>
      </c>
      <c r="T3031" s="1008" t="s">
        <v>654</v>
      </c>
      <c r="U3031" s="1008" t="s">
        <v>653</v>
      </c>
      <c r="V3031" s="1008" t="s">
        <v>648</v>
      </c>
      <c r="W3031" s="1008" t="s">
        <v>546</v>
      </c>
      <c r="X3031" s="1008" t="s">
        <v>670</v>
      </c>
      <c r="Y3031" s="1008"/>
      <c r="Z3031" s="1008"/>
      <c r="AA3031" s="1008"/>
      <c r="AB3031" s="1008"/>
      <c r="AC3031" s="1008" t="s">
        <v>670</v>
      </c>
      <c r="AD3031" s="1008"/>
      <c r="AE3031" s="1008"/>
      <c r="AF3031" s="1008"/>
      <c r="AG3031" s="1008"/>
      <c r="AH3031" s="1008"/>
      <c r="AI3031" s="1008"/>
    </row>
    <row r="3032" spans="1:35">
      <c r="A3032" s="1008">
        <v>23746</v>
      </c>
      <c r="B3032" s="1008">
        <v>1108</v>
      </c>
      <c r="C3032" s="1008">
        <v>6</v>
      </c>
      <c r="D3032" s="1009">
        <v>59699999</v>
      </c>
      <c r="E3032" s="1009">
        <v>59611000</v>
      </c>
      <c r="F3032" s="1007" t="s">
        <v>1629</v>
      </c>
      <c r="G3032" s="1007">
        <v>7</v>
      </c>
      <c r="H3032" s="1010">
        <v>5099999</v>
      </c>
      <c r="I3032" s="1009">
        <v>5018015</v>
      </c>
      <c r="J3032" s="1007" t="s">
        <v>1657</v>
      </c>
      <c r="O3032" s="1007" t="s">
        <v>648</v>
      </c>
      <c r="P3032" s="1007" t="s">
        <v>648</v>
      </c>
      <c r="S3032" s="1008" t="s">
        <v>650</v>
      </c>
      <c r="T3032" s="1008" t="s">
        <v>654</v>
      </c>
      <c r="U3032" s="1008" t="s">
        <v>653</v>
      </c>
      <c r="V3032" s="1008" t="s">
        <v>648</v>
      </c>
      <c r="W3032" s="1008" t="s">
        <v>546</v>
      </c>
      <c r="X3032" s="1008" t="s">
        <v>670</v>
      </c>
      <c r="Y3032" s="1008"/>
      <c r="Z3032" s="1008"/>
      <c r="AA3032" s="1008"/>
      <c r="AB3032" s="1008"/>
      <c r="AC3032" s="1008" t="s">
        <v>670</v>
      </c>
      <c r="AD3032" s="1008"/>
      <c r="AE3032" s="1008"/>
      <c r="AF3032" s="1008"/>
      <c r="AG3032" s="1008"/>
      <c r="AH3032" s="1008"/>
      <c r="AI3032" s="1008"/>
    </row>
    <row r="3033" spans="1:35">
      <c r="A3033" s="1008">
        <v>23746</v>
      </c>
      <c r="B3033" s="1008">
        <v>5931</v>
      </c>
      <c r="C3033" s="1008">
        <v>6</v>
      </c>
      <c r="D3033" s="1009">
        <v>59699999</v>
      </c>
      <c r="E3033" s="1009">
        <v>59611000</v>
      </c>
      <c r="F3033" s="1007" t="s">
        <v>1629</v>
      </c>
      <c r="G3033" s="1007">
        <v>7</v>
      </c>
      <c r="H3033" s="1010">
        <v>5099999</v>
      </c>
      <c r="I3033" s="1009">
        <v>5018016</v>
      </c>
      <c r="J3033" s="1007" t="s">
        <v>1656</v>
      </c>
      <c r="O3033" s="1007" t="s">
        <v>648</v>
      </c>
      <c r="P3033" s="1007" t="s">
        <v>648</v>
      </c>
      <c r="S3033" s="1008" t="s">
        <v>650</v>
      </c>
      <c r="T3033" s="1008" t="s">
        <v>654</v>
      </c>
      <c r="U3033" s="1008" t="s">
        <v>653</v>
      </c>
      <c r="V3033" s="1008" t="s">
        <v>648</v>
      </c>
      <c r="W3033" s="1008" t="s">
        <v>546</v>
      </c>
      <c r="X3033" s="1008" t="s">
        <v>670</v>
      </c>
      <c r="Y3033" s="1008"/>
      <c r="Z3033" s="1008"/>
      <c r="AA3033" s="1008"/>
      <c r="AB3033" s="1008"/>
      <c r="AC3033" s="1008" t="s">
        <v>670</v>
      </c>
      <c r="AD3033" s="1008"/>
      <c r="AE3033" s="1008"/>
      <c r="AF3033" s="1008"/>
      <c r="AG3033" s="1008"/>
      <c r="AH3033" s="1008"/>
      <c r="AI3033" s="1008"/>
    </row>
    <row r="3034" spans="1:35">
      <c r="A3034" s="1008">
        <v>23746</v>
      </c>
      <c r="B3034" s="1008">
        <v>5932</v>
      </c>
      <c r="C3034" s="1008">
        <v>6</v>
      </c>
      <c r="D3034" s="1009">
        <v>59699999</v>
      </c>
      <c r="E3034" s="1009">
        <v>59611000</v>
      </c>
      <c r="F3034" s="1007" t="s">
        <v>1629</v>
      </c>
      <c r="G3034" s="1007">
        <v>7</v>
      </c>
      <c r="H3034" s="1010">
        <v>5099999</v>
      </c>
      <c r="I3034" s="1009">
        <v>5018017</v>
      </c>
      <c r="J3034" s="1007" t="s">
        <v>1655</v>
      </c>
      <c r="O3034" s="1007" t="s">
        <v>648</v>
      </c>
      <c r="P3034" s="1007" t="s">
        <v>648</v>
      </c>
      <c r="S3034" s="1008" t="s">
        <v>650</v>
      </c>
      <c r="T3034" s="1008" t="s">
        <v>654</v>
      </c>
      <c r="U3034" s="1008" t="s">
        <v>653</v>
      </c>
      <c r="V3034" s="1008" t="s">
        <v>648</v>
      </c>
      <c r="W3034" s="1008" t="s">
        <v>546</v>
      </c>
      <c r="X3034" s="1008" t="s">
        <v>670</v>
      </c>
      <c r="Y3034" s="1008"/>
      <c r="Z3034" s="1008"/>
      <c r="AA3034" s="1008"/>
      <c r="AB3034" s="1008"/>
      <c r="AC3034" s="1008" t="s">
        <v>670</v>
      </c>
      <c r="AD3034" s="1008"/>
      <c r="AE3034" s="1008"/>
      <c r="AF3034" s="1008"/>
      <c r="AG3034" s="1008"/>
      <c r="AH3034" s="1008"/>
      <c r="AI3034" s="1008"/>
    </row>
    <row r="3035" spans="1:35">
      <c r="A3035" s="1008">
        <v>23746</v>
      </c>
      <c r="B3035" s="1008">
        <v>5933</v>
      </c>
      <c r="C3035" s="1008">
        <v>6</v>
      </c>
      <c r="D3035" s="1009">
        <v>59699999</v>
      </c>
      <c r="E3035" s="1009">
        <v>59611000</v>
      </c>
      <c r="F3035" s="1007" t="s">
        <v>1629</v>
      </c>
      <c r="G3035" s="1007">
        <v>7</v>
      </c>
      <c r="H3035" s="1010">
        <v>5099999</v>
      </c>
      <c r="I3035" s="1009">
        <v>5018018</v>
      </c>
      <c r="J3035" s="1007" t="s">
        <v>1654</v>
      </c>
      <c r="O3035" s="1007" t="s">
        <v>648</v>
      </c>
      <c r="P3035" s="1007" t="s">
        <v>648</v>
      </c>
      <c r="S3035" s="1008" t="s">
        <v>650</v>
      </c>
      <c r="T3035" s="1008" t="s">
        <v>654</v>
      </c>
      <c r="U3035" s="1008" t="s">
        <v>653</v>
      </c>
      <c r="V3035" s="1008" t="s">
        <v>648</v>
      </c>
      <c r="W3035" s="1008" t="s">
        <v>546</v>
      </c>
      <c r="X3035" s="1008" t="s">
        <v>670</v>
      </c>
      <c r="Y3035" s="1008"/>
      <c r="Z3035" s="1008"/>
      <c r="AA3035" s="1008"/>
      <c r="AB3035" s="1008"/>
      <c r="AC3035" s="1008" t="s">
        <v>670</v>
      </c>
      <c r="AD3035" s="1008"/>
      <c r="AE3035" s="1008"/>
      <c r="AF3035" s="1008"/>
      <c r="AG3035" s="1008"/>
      <c r="AH3035" s="1008"/>
      <c r="AI3035" s="1008"/>
    </row>
    <row r="3036" spans="1:35">
      <c r="A3036" s="1008">
        <v>23746</v>
      </c>
      <c r="B3036" s="1008">
        <v>1109</v>
      </c>
      <c r="C3036" s="1008">
        <v>6</v>
      </c>
      <c r="D3036" s="1009">
        <v>59699999</v>
      </c>
      <c r="E3036" s="1009">
        <v>59611000</v>
      </c>
      <c r="F3036" s="1007" t="s">
        <v>1629</v>
      </c>
      <c r="G3036" s="1007">
        <v>7</v>
      </c>
      <c r="H3036" s="1010">
        <v>5099999</v>
      </c>
      <c r="I3036" s="1009">
        <v>5018019</v>
      </c>
      <c r="J3036" s="1007" t="s">
        <v>1653</v>
      </c>
      <c r="O3036" s="1007" t="s">
        <v>648</v>
      </c>
      <c r="P3036" s="1007" t="s">
        <v>648</v>
      </c>
      <c r="S3036" s="1008" t="s">
        <v>650</v>
      </c>
      <c r="T3036" s="1008" t="s">
        <v>654</v>
      </c>
      <c r="U3036" s="1008" t="s">
        <v>653</v>
      </c>
      <c r="V3036" s="1008" t="s">
        <v>648</v>
      </c>
      <c r="W3036" s="1008" t="s">
        <v>546</v>
      </c>
      <c r="X3036" s="1008" t="s">
        <v>670</v>
      </c>
      <c r="Y3036" s="1008"/>
      <c r="Z3036" s="1008"/>
      <c r="AA3036" s="1008"/>
      <c r="AB3036" s="1008"/>
      <c r="AC3036" s="1008" t="s">
        <v>670</v>
      </c>
      <c r="AD3036" s="1008"/>
      <c r="AE3036" s="1008"/>
      <c r="AF3036" s="1008"/>
      <c r="AG3036" s="1008"/>
      <c r="AH3036" s="1008"/>
      <c r="AI3036" s="1008"/>
    </row>
    <row r="3037" spans="1:35">
      <c r="A3037" s="1008">
        <v>23746</v>
      </c>
      <c r="B3037" s="1008">
        <v>1110</v>
      </c>
      <c r="C3037" s="1008">
        <v>6</v>
      </c>
      <c r="D3037" s="1009">
        <v>59699999</v>
      </c>
      <c r="E3037" s="1009">
        <v>59611000</v>
      </c>
      <c r="F3037" s="1007" t="s">
        <v>1629</v>
      </c>
      <c r="G3037" s="1007">
        <v>7</v>
      </c>
      <c r="H3037" s="1010">
        <v>5099999</v>
      </c>
      <c r="I3037" s="1009">
        <v>5018020</v>
      </c>
      <c r="J3037" s="1007" t="s">
        <v>1652</v>
      </c>
      <c r="O3037" s="1007" t="s">
        <v>648</v>
      </c>
      <c r="P3037" s="1007" t="s">
        <v>648</v>
      </c>
      <c r="S3037" s="1008" t="s">
        <v>650</v>
      </c>
      <c r="T3037" s="1008" t="s">
        <v>654</v>
      </c>
      <c r="U3037" s="1008" t="s">
        <v>653</v>
      </c>
      <c r="V3037" s="1008" t="s">
        <v>648</v>
      </c>
      <c r="W3037" s="1008" t="s">
        <v>546</v>
      </c>
      <c r="X3037" s="1008" t="s">
        <v>670</v>
      </c>
      <c r="Y3037" s="1008"/>
      <c r="Z3037" s="1008"/>
      <c r="AA3037" s="1008"/>
      <c r="AB3037" s="1008"/>
      <c r="AC3037" s="1008" t="s">
        <v>670</v>
      </c>
      <c r="AD3037" s="1008"/>
      <c r="AE3037" s="1008"/>
      <c r="AF3037" s="1008"/>
      <c r="AG3037" s="1008"/>
      <c r="AH3037" s="1008"/>
      <c r="AI3037" s="1008"/>
    </row>
    <row r="3038" spans="1:35">
      <c r="A3038" s="1008">
        <v>23746</v>
      </c>
      <c r="B3038" s="1008">
        <v>1111</v>
      </c>
      <c r="C3038" s="1008">
        <v>6</v>
      </c>
      <c r="D3038" s="1009">
        <v>59699999</v>
      </c>
      <c r="E3038" s="1009">
        <v>59611000</v>
      </c>
      <c r="F3038" s="1007" t="s">
        <v>1629</v>
      </c>
      <c r="G3038" s="1007">
        <v>7</v>
      </c>
      <c r="H3038" s="1010">
        <v>5099999</v>
      </c>
      <c r="I3038" s="1009">
        <v>5018025</v>
      </c>
      <c r="J3038" s="1007" t="s">
        <v>1651</v>
      </c>
      <c r="O3038" s="1007" t="s">
        <v>648</v>
      </c>
      <c r="P3038" s="1007" t="s">
        <v>648</v>
      </c>
      <c r="S3038" s="1008" t="s">
        <v>650</v>
      </c>
      <c r="T3038" s="1008" t="s">
        <v>654</v>
      </c>
      <c r="U3038" s="1008" t="s">
        <v>653</v>
      </c>
      <c r="V3038" s="1008" t="s">
        <v>648</v>
      </c>
      <c r="W3038" s="1008" t="s">
        <v>546</v>
      </c>
      <c r="X3038" s="1008" t="s">
        <v>670</v>
      </c>
      <c r="Y3038" s="1008"/>
      <c r="Z3038" s="1008"/>
      <c r="AA3038" s="1008"/>
      <c r="AB3038" s="1008"/>
      <c r="AC3038" s="1008" t="s">
        <v>670</v>
      </c>
      <c r="AD3038" s="1008"/>
      <c r="AE3038" s="1008"/>
      <c r="AF3038" s="1008"/>
      <c r="AG3038" s="1008"/>
      <c r="AH3038" s="1008"/>
      <c r="AI3038" s="1008"/>
    </row>
    <row r="3039" spans="1:35">
      <c r="A3039" s="1008">
        <v>23746</v>
      </c>
      <c r="B3039" s="1008">
        <v>6625</v>
      </c>
      <c r="C3039" s="1008">
        <v>6</v>
      </c>
      <c r="D3039" s="1009">
        <v>59699999</v>
      </c>
      <c r="E3039" s="1009">
        <v>59611000</v>
      </c>
      <c r="F3039" s="1007" t="s">
        <v>1629</v>
      </c>
      <c r="G3039" s="1007" t="s">
        <v>648</v>
      </c>
      <c r="H3039" s="1010">
        <v>5099999</v>
      </c>
      <c r="I3039" s="1009">
        <v>5018026</v>
      </c>
      <c r="J3039" s="1007" t="s">
        <v>1650</v>
      </c>
      <c r="O3039" s="1007" t="s">
        <v>648</v>
      </c>
      <c r="P3039" s="1007" t="s">
        <v>648</v>
      </c>
      <c r="S3039" s="1008" t="s">
        <v>650</v>
      </c>
      <c r="T3039" s="1008" t="s">
        <v>654</v>
      </c>
      <c r="U3039" s="1008" t="s">
        <v>653</v>
      </c>
      <c r="V3039" s="1008" t="s">
        <v>648</v>
      </c>
      <c r="W3039" s="1008" t="s">
        <v>546</v>
      </c>
      <c r="X3039" s="1008" t="s">
        <v>670</v>
      </c>
      <c r="Y3039" s="1008"/>
      <c r="Z3039" s="1008"/>
      <c r="AA3039" s="1008"/>
      <c r="AB3039" s="1008"/>
      <c r="AC3039" s="1008" t="s">
        <v>670</v>
      </c>
      <c r="AD3039" s="1008"/>
      <c r="AE3039" s="1008"/>
      <c r="AF3039" s="1008"/>
      <c r="AG3039" s="1008"/>
      <c r="AH3039" s="1008"/>
      <c r="AI3039" s="1008"/>
    </row>
    <row r="3040" spans="1:35">
      <c r="A3040" s="1008">
        <v>23746</v>
      </c>
      <c r="B3040" s="1008">
        <v>1112</v>
      </c>
      <c r="C3040" s="1008">
        <v>6</v>
      </c>
      <c r="D3040" s="1009">
        <v>59699999</v>
      </c>
      <c r="E3040" s="1009">
        <v>59611000</v>
      </c>
      <c r="F3040" s="1007" t="s">
        <v>1629</v>
      </c>
      <c r="G3040" s="1007">
        <v>7</v>
      </c>
      <c r="H3040" s="1010">
        <v>5099999</v>
      </c>
      <c r="I3040" s="1009">
        <v>5018030</v>
      </c>
      <c r="J3040" s="1007" t="s">
        <v>1649</v>
      </c>
      <c r="O3040" s="1007" t="s">
        <v>648</v>
      </c>
      <c r="P3040" s="1007" t="s">
        <v>648</v>
      </c>
      <c r="S3040" s="1008" t="s">
        <v>650</v>
      </c>
      <c r="T3040" s="1008" t="s">
        <v>654</v>
      </c>
      <c r="U3040" s="1008" t="s">
        <v>653</v>
      </c>
      <c r="V3040" s="1008" t="s">
        <v>648</v>
      </c>
      <c r="W3040" s="1008" t="s">
        <v>546</v>
      </c>
      <c r="X3040" s="1008" t="s">
        <v>670</v>
      </c>
      <c r="Y3040" s="1008"/>
      <c r="Z3040" s="1008"/>
      <c r="AA3040" s="1008"/>
      <c r="AB3040" s="1008"/>
      <c r="AC3040" s="1008" t="s">
        <v>670</v>
      </c>
      <c r="AD3040" s="1008"/>
      <c r="AE3040" s="1008"/>
      <c r="AF3040" s="1008"/>
      <c r="AG3040" s="1008"/>
      <c r="AH3040" s="1008"/>
      <c r="AI3040" s="1008"/>
    </row>
    <row r="3041" spans="1:35">
      <c r="A3041" s="1008">
        <v>23746</v>
      </c>
      <c r="B3041" s="1008">
        <v>1113</v>
      </c>
      <c r="C3041" s="1008">
        <v>6</v>
      </c>
      <c r="D3041" s="1009">
        <v>59699999</v>
      </c>
      <c r="E3041" s="1009">
        <v>59611000</v>
      </c>
      <c r="F3041" s="1007" t="s">
        <v>1629</v>
      </c>
      <c r="G3041" s="1007">
        <v>7</v>
      </c>
      <c r="H3041" s="1010">
        <v>5099999</v>
      </c>
      <c r="I3041" s="1009">
        <v>5018040</v>
      </c>
      <c r="J3041" s="1007" t="s">
        <v>1648</v>
      </c>
      <c r="O3041" s="1007" t="s">
        <v>648</v>
      </c>
      <c r="P3041" s="1007" t="s">
        <v>648</v>
      </c>
      <c r="S3041" s="1008" t="s">
        <v>650</v>
      </c>
      <c r="T3041" s="1008" t="s">
        <v>654</v>
      </c>
      <c r="U3041" s="1008" t="s">
        <v>653</v>
      </c>
      <c r="V3041" s="1008" t="s">
        <v>648</v>
      </c>
      <c r="W3041" s="1008" t="s">
        <v>546</v>
      </c>
      <c r="X3041" s="1008" t="s">
        <v>670</v>
      </c>
      <c r="Y3041" s="1008"/>
      <c r="Z3041" s="1008"/>
      <c r="AA3041" s="1008"/>
      <c r="AB3041" s="1008"/>
      <c r="AC3041" s="1008" t="s">
        <v>670</v>
      </c>
      <c r="AD3041" s="1008"/>
      <c r="AE3041" s="1008"/>
      <c r="AF3041" s="1008"/>
      <c r="AG3041" s="1008"/>
      <c r="AH3041" s="1008"/>
      <c r="AI3041" s="1008"/>
    </row>
    <row r="3042" spans="1:35">
      <c r="A3042" s="1008">
        <v>23746</v>
      </c>
      <c r="B3042" s="1008">
        <v>1114</v>
      </c>
      <c r="C3042" s="1008">
        <v>6</v>
      </c>
      <c r="D3042" s="1009">
        <v>59699999</v>
      </c>
      <c r="E3042" s="1009">
        <v>59611000</v>
      </c>
      <c r="F3042" s="1007" t="s">
        <v>1629</v>
      </c>
      <c r="G3042" s="1007">
        <v>7</v>
      </c>
      <c r="H3042" s="1010">
        <v>5099999</v>
      </c>
      <c r="I3042" s="1009">
        <v>5018050</v>
      </c>
      <c r="J3042" s="1007" t="s">
        <v>1647</v>
      </c>
      <c r="O3042" s="1007" t="s">
        <v>648</v>
      </c>
      <c r="P3042" s="1007" t="s">
        <v>648</v>
      </c>
      <c r="S3042" s="1008" t="s">
        <v>650</v>
      </c>
      <c r="T3042" s="1008" t="s">
        <v>654</v>
      </c>
      <c r="U3042" s="1008" t="s">
        <v>653</v>
      </c>
      <c r="V3042" s="1008" t="s">
        <v>648</v>
      </c>
      <c r="W3042" s="1008" t="s">
        <v>546</v>
      </c>
      <c r="X3042" s="1008" t="s">
        <v>670</v>
      </c>
      <c r="Y3042" s="1008"/>
      <c r="Z3042" s="1008"/>
      <c r="AA3042" s="1008"/>
      <c r="AB3042" s="1008"/>
      <c r="AC3042" s="1008" t="s">
        <v>670</v>
      </c>
      <c r="AD3042" s="1008"/>
      <c r="AE3042" s="1008"/>
      <c r="AF3042" s="1008"/>
      <c r="AG3042" s="1008"/>
      <c r="AH3042" s="1008"/>
      <c r="AI3042" s="1008"/>
    </row>
    <row r="3043" spans="1:35">
      <c r="A3043" s="1008">
        <v>23746</v>
      </c>
      <c r="B3043" s="1008">
        <v>1115</v>
      </c>
      <c r="C3043" s="1008">
        <v>6</v>
      </c>
      <c r="D3043" s="1009">
        <v>59699999</v>
      </c>
      <c r="E3043" s="1009">
        <v>59611000</v>
      </c>
      <c r="F3043" s="1007" t="s">
        <v>1629</v>
      </c>
      <c r="G3043" s="1007">
        <v>7</v>
      </c>
      <c r="H3043" s="1010">
        <v>5099999</v>
      </c>
      <c r="I3043" s="1009">
        <v>5018060</v>
      </c>
      <c r="J3043" s="1007" t="s">
        <v>1646</v>
      </c>
      <c r="O3043" s="1007" t="s">
        <v>648</v>
      </c>
      <c r="P3043" s="1007" t="s">
        <v>648</v>
      </c>
      <c r="S3043" s="1008" t="s">
        <v>650</v>
      </c>
      <c r="T3043" s="1008" t="s">
        <v>654</v>
      </c>
      <c r="U3043" s="1008" t="s">
        <v>653</v>
      </c>
      <c r="V3043" s="1008" t="s">
        <v>648</v>
      </c>
      <c r="W3043" s="1008" t="s">
        <v>546</v>
      </c>
      <c r="X3043" s="1008" t="s">
        <v>670</v>
      </c>
      <c r="Y3043" s="1008"/>
      <c r="Z3043" s="1008"/>
      <c r="AA3043" s="1008"/>
      <c r="AB3043" s="1008"/>
      <c r="AC3043" s="1008" t="s">
        <v>670</v>
      </c>
      <c r="AD3043" s="1008"/>
      <c r="AE3043" s="1008"/>
      <c r="AF3043" s="1008"/>
      <c r="AG3043" s="1008"/>
      <c r="AH3043" s="1008"/>
      <c r="AI3043" s="1008"/>
    </row>
    <row r="3044" spans="1:35">
      <c r="A3044" s="1008">
        <v>23746</v>
      </c>
      <c r="B3044" s="1008">
        <v>1116</v>
      </c>
      <c r="C3044" s="1008">
        <v>6</v>
      </c>
      <c r="D3044" s="1009">
        <v>59699999</v>
      </c>
      <c r="E3044" s="1009">
        <v>59611000</v>
      </c>
      <c r="F3044" s="1007" t="s">
        <v>1629</v>
      </c>
      <c r="G3044" s="1007">
        <v>7</v>
      </c>
      <c r="H3044" s="1010">
        <v>5099999</v>
      </c>
      <c r="I3044" s="1009">
        <v>5018070</v>
      </c>
      <c r="J3044" s="1007" t="s">
        <v>1645</v>
      </c>
      <c r="O3044" s="1007" t="s">
        <v>648</v>
      </c>
      <c r="P3044" s="1007" t="s">
        <v>648</v>
      </c>
      <c r="S3044" s="1008" t="s">
        <v>650</v>
      </c>
      <c r="T3044" s="1008" t="s">
        <v>654</v>
      </c>
      <c r="U3044" s="1008" t="s">
        <v>653</v>
      </c>
      <c r="V3044" s="1008" t="s">
        <v>648</v>
      </c>
      <c r="W3044" s="1008" t="s">
        <v>546</v>
      </c>
      <c r="X3044" s="1008" t="s">
        <v>670</v>
      </c>
      <c r="Y3044" s="1008"/>
      <c r="Z3044" s="1008"/>
      <c r="AA3044" s="1008"/>
      <c r="AB3044" s="1008"/>
      <c r="AC3044" s="1008" t="s">
        <v>670</v>
      </c>
      <c r="AD3044" s="1008"/>
      <c r="AE3044" s="1008"/>
      <c r="AF3044" s="1008"/>
      <c r="AG3044" s="1008"/>
      <c r="AH3044" s="1008"/>
      <c r="AI3044" s="1008"/>
    </row>
    <row r="3045" spans="1:35">
      <c r="A3045" s="1008">
        <v>23746</v>
      </c>
      <c r="B3045" s="1008">
        <v>1117</v>
      </c>
      <c r="C3045" s="1008">
        <v>6</v>
      </c>
      <c r="D3045" s="1009">
        <v>59699999</v>
      </c>
      <c r="E3045" s="1009">
        <v>59611000</v>
      </c>
      <c r="F3045" s="1007" t="s">
        <v>1629</v>
      </c>
      <c r="G3045" s="1007">
        <v>7</v>
      </c>
      <c r="H3045" s="1010">
        <v>5099999</v>
      </c>
      <c r="I3045" s="1009">
        <v>5018080</v>
      </c>
      <c r="J3045" s="1007" t="s">
        <v>1644</v>
      </c>
      <c r="O3045" s="1007" t="s">
        <v>648</v>
      </c>
      <c r="P3045" s="1007" t="s">
        <v>648</v>
      </c>
      <c r="S3045" s="1008" t="s">
        <v>650</v>
      </c>
      <c r="T3045" s="1008" t="s">
        <v>654</v>
      </c>
      <c r="U3045" s="1008" t="s">
        <v>653</v>
      </c>
      <c r="V3045" s="1008" t="s">
        <v>648</v>
      </c>
      <c r="W3045" s="1008" t="s">
        <v>546</v>
      </c>
      <c r="X3045" s="1008" t="s">
        <v>670</v>
      </c>
      <c r="Y3045" s="1008"/>
      <c r="Z3045" s="1008"/>
      <c r="AA3045" s="1008"/>
      <c r="AB3045" s="1008"/>
      <c r="AC3045" s="1008" t="s">
        <v>670</v>
      </c>
      <c r="AD3045" s="1008"/>
      <c r="AE3045" s="1008"/>
      <c r="AF3045" s="1008"/>
      <c r="AG3045" s="1008"/>
      <c r="AH3045" s="1008"/>
      <c r="AI3045" s="1008"/>
    </row>
    <row r="3046" spans="1:35">
      <c r="A3046" s="1008">
        <v>23746</v>
      </c>
      <c r="B3046" s="1008">
        <v>1118</v>
      </c>
      <c r="C3046" s="1008">
        <v>6</v>
      </c>
      <c r="D3046" s="1009">
        <v>59699999</v>
      </c>
      <c r="E3046" s="1009">
        <v>59611000</v>
      </c>
      <c r="F3046" s="1007" t="s">
        <v>1629</v>
      </c>
      <c r="G3046" s="1007">
        <v>7</v>
      </c>
      <c r="H3046" s="1010">
        <v>5099999</v>
      </c>
      <c r="I3046" s="1009">
        <v>5018090</v>
      </c>
      <c r="J3046" s="1007" t="s">
        <v>1643</v>
      </c>
      <c r="O3046" s="1007" t="s">
        <v>648</v>
      </c>
      <c r="P3046" s="1007" t="s">
        <v>648</v>
      </c>
      <c r="S3046" s="1008" t="s">
        <v>650</v>
      </c>
      <c r="T3046" s="1008" t="s">
        <v>654</v>
      </c>
      <c r="U3046" s="1008" t="s">
        <v>653</v>
      </c>
      <c r="V3046" s="1008" t="s">
        <v>648</v>
      </c>
      <c r="W3046" s="1008" t="s">
        <v>546</v>
      </c>
      <c r="X3046" s="1008" t="s">
        <v>670</v>
      </c>
      <c r="Y3046" s="1008"/>
      <c r="Z3046" s="1008"/>
      <c r="AA3046" s="1008"/>
      <c r="AB3046" s="1008"/>
      <c r="AC3046" s="1008" t="s">
        <v>670</v>
      </c>
      <c r="AD3046" s="1008"/>
      <c r="AE3046" s="1008"/>
      <c r="AF3046" s="1008"/>
      <c r="AG3046" s="1008"/>
      <c r="AH3046" s="1008"/>
      <c r="AI3046" s="1008"/>
    </row>
    <row r="3047" spans="1:35">
      <c r="A3047" s="1008">
        <v>23746</v>
      </c>
      <c r="B3047" s="1008">
        <v>1126</v>
      </c>
      <c r="C3047" s="1008">
        <v>6</v>
      </c>
      <c r="D3047" s="1009">
        <v>59699999</v>
      </c>
      <c r="E3047" s="1009">
        <v>59611000</v>
      </c>
      <c r="F3047" s="1007" t="s">
        <v>1629</v>
      </c>
      <c r="G3047" s="1007">
        <v>7</v>
      </c>
      <c r="H3047" s="1010">
        <v>5099999</v>
      </c>
      <c r="I3047" s="1009">
        <v>5018100</v>
      </c>
      <c r="J3047" s="1007" t="s">
        <v>1642</v>
      </c>
      <c r="O3047" s="1007" t="s">
        <v>648</v>
      </c>
      <c r="P3047" s="1007" t="s">
        <v>648</v>
      </c>
      <c r="S3047" s="1008" t="s">
        <v>650</v>
      </c>
      <c r="T3047" s="1008" t="s">
        <v>654</v>
      </c>
      <c r="U3047" s="1008" t="s">
        <v>653</v>
      </c>
      <c r="V3047" s="1008" t="s">
        <v>648</v>
      </c>
      <c r="W3047" s="1008" t="s">
        <v>546</v>
      </c>
      <c r="X3047" s="1008" t="s">
        <v>670</v>
      </c>
      <c r="Y3047" s="1008"/>
      <c r="Z3047" s="1008"/>
      <c r="AA3047" s="1008"/>
      <c r="AB3047" s="1008"/>
      <c r="AC3047" s="1008" t="s">
        <v>670</v>
      </c>
      <c r="AD3047" s="1008"/>
      <c r="AE3047" s="1008"/>
      <c r="AF3047" s="1008"/>
      <c r="AG3047" s="1008"/>
      <c r="AH3047" s="1008"/>
      <c r="AI3047" s="1008"/>
    </row>
    <row r="3048" spans="1:35">
      <c r="A3048" s="1008">
        <v>23746</v>
      </c>
      <c r="B3048" s="1008">
        <v>909</v>
      </c>
      <c r="C3048" s="1008">
        <v>6</v>
      </c>
      <c r="D3048" s="1009">
        <v>59699999</v>
      </c>
      <c r="E3048" s="1009">
        <v>59611000</v>
      </c>
      <c r="F3048" s="1007" t="s">
        <v>1629</v>
      </c>
      <c r="G3048" s="1007">
        <v>7</v>
      </c>
      <c r="H3048" s="1010">
        <v>5099999</v>
      </c>
      <c r="I3048" s="1009">
        <v>5019010</v>
      </c>
      <c r="J3048" s="1007" t="s">
        <v>1641</v>
      </c>
      <c r="O3048" s="1007" t="s">
        <v>648</v>
      </c>
      <c r="P3048" s="1007" t="s">
        <v>648</v>
      </c>
      <c r="S3048" s="1008" t="s">
        <v>650</v>
      </c>
      <c r="T3048" s="1008" t="s">
        <v>654</v>
      </c>
      <c r="U3048" s="1008" t="s">
        <v>653</v>
      </c>
      <c r="V3048" s="1008" t="s">
        <v>648</v>
      </c>
      <c r="W3048" s="1008" t="s">
        <v>546</v>
      </c>
      <c r="X3048" s="1008" t="s">
        <v>670</v>
      </c>
      <c r="Y3048" s="1008"/>
      <c r="Z3048" s="1008"/>
      <c r="AA3048" s="1008"/>
      <c r="AB3048" s="1008"/>
      <c r="AC3048" s="1008" t="s">
        <v>670</v>
      </c>
      <c r="AD3048" s="1008"/>
      <c r="AE3048" s="1008"/>
      <c r="AF3048" s="1008"/>
      <c r="AG3048" s="1008"/>
      <c r="AH3048" s="1008"/>
      <c r="AI3048" s="1008"/>
    </row>
    <row r="3049" spans="1:35">
      <c r="A3049" s="1008">
        <v>23746</v>
      </c>
      <c r="B3049" s="1008">
        <v>1119</v>
      </c>
      <c r="C3049" s="1008">
        <v>6</v>
      </c>
      <c r="D3049" s="1009">
        <v>59699999</v>
      </c>
      <c r="E3049" s="1009">
        <v>59611000</v>
      </c>
      <c r="F3049" s="1007" t="s">
        <v>1629</v>
      </c>
      <c r="G3049" s="1007">
        <v>7</v>
      </c>
      <c r="H3049" s="1010">
        <v>5099999</v>
      </c>
      <c r="I3049" s="1009">
        <v>5019020</v>
      </c>
      <c r="J3049" s="1007" t="s">
        <v>1640</v>
      </c>
      <c r="O3049" s="1007" t="s">
        <v>648</v>
      </c>
      <c r="P3049" s="1007" t="s">
        <v>648</v>
      </c>
      <c r="S3049" s="1008" t="s">
        <v>650</v>
      </c>
      <c r="T3049" s="1008" t="s">
        <v>654</v>
      </c>
      <c r="U3049" s="1008" t="s">
        <v>653</v>
      </c>
      <c r="V3049" s="1008" t="s">
        <v>648</v>
      </c>
      <c r="W3049" s="1008" t="s">
        <v>546</v>
      </c>
      <c r="X3049" s="1008" t="s">
        <v>670</v>
      </c>
      <c r="Y3049" s="1008"/>
      <c r="Z3049" s="1008"/>
      <c r="AA3049" s="1008"/>
      <c r="AB3049" s="1008"/>
      <c r="AC3049" s="1008" t="s">
        <v>670</v>
      </c>
      <c r="AD3049" s="1008"/>
      <c r="AE3049" s="1008"/>
      <c r="AF3049" s="1008"/>
      <c r="AG3049" s="1008"/>
      <c r="AH3049" s="1008"/>
      <c r="AI3049" s="1008"/>
    </row>
    <row r="3050" spans="1:35">
      <c r="A3050" s="1008">
        <v>23746</v>
      </c>
      <c r="B3050" s="1008">
        <v>1120</v>
      </c>
      <c r="C3050" s="1008">
        <v>6</v>
      </c>
      <c r="D3050" s="1009">
        <v>59699999</v>
      </c>
      <c r="E3050" s="1009">
        <v>59611000</v>
      </c>
      <c r="F3050" s="1007" t="s">
        <v>1629</v>
      </c>
      <c r="G3050" s="1007">
        <v>7</v>
      </c>
      <c r="H3050" s="1010">
        <v>5099999</v>
      </c>
      <c r="I3050" s="1009">
        <v>5019030</v>
      </c>
      <c r="J3050" s="1007" t="s">
        <v>1639</v>
      </c>
      <c r="O3050" s="1007" t="s">
        <v>648</v>
      </c>
      <c r="P3050" s="1007" t="s">
        <v>648</v>
      </c>
      <c r="S3050" s="1008" t="s">
        <v>650</v>
      </c>
      <c r="T3050" s="1008" t="s">
        <v>654</v>
      </c>
      <c r="U3050" s="1008" t="s">
        <v>653</v>
      </c>
      <c r="V3050" s="1008" t="s">
        <v>648</v>
      </c>
      <c r="W3050" s="1008" t="s">
        <v>546</v>
      </c>
      <c r="X3050" s="1008" t="s">
        <v>670</v>
      </c>
      <c r="Y3050" s="1008"/>
      <c r="Z3050" s="1008"/>
      <c r="AA3050" s="1008"/>
      <c r="AB3050" s="1008"/>
      <c r="AC3050" s="1008" t="s">
        <v>670</v>
      </c>
      <c r="AD3050" s="1008"/>
      <c r="AE3050" s="1008"/>
      <c r="AF3050" s="1008"/>
      <c r="AG3050" s="1008"/>
      <c r="AH3050" s="1008"/>
      <c r="AI3050" s="1008"/>
    </row>
    <row r="3051" spans="1:35">
      <c r="A3051" s="1008">
        <v>23746</v>
      </c>
      <c r="B3051" s="1008">
        <v>1122</v>
      </c>
      <c r="C3051" s="1008">
        <v>6</v>
      </c>
      <c r="D3051" s="1009">
        <v>59699999</v>
      </c>
      <c r="E3051" s="1009">
        <v>59611000</v>
      </c>
      <c r="F3051" s="1007" t="s">
        <v>1629</v>
      </c>
      <c r="G3051" s="1007">
        <v>7</v>
      </c>
      <c r="H3051" s="1010">
        <v>5099999</v>
      </c>
      <c r="I3051" s="1009">
        <v>5019050</v>
      </c>
      <c r="J3051" s="1007" t="s">
        <v>1638</v>
      </c>
      <c r="O3051" s="1007" t="s">
        <v>648</v>
      </c>
      <c r="P3051" s="1007" t="s">
        <v>648</v>
      </c>
      <c r="S3051" s="1008" t="s">
        <v>650</v>
      </c>
      <c r="T3051" s="1008" t="s">
        <v>654</v>
      </c>
      <c r="U3051" s="1008" t="s">
        <v>653</v>
      </c>
      <c r="V3051" s="1008" t="s">
        <v>648</v>
      </c>
      <c r="W3051" s="1008" t="s">
        <v>546</v>
      </c>
      <c r="X3051" s="1008" t="s">
        <v>670</v>
      </c>
      <c r="Y3051" s="1008"/>
      <c r="Z3051" s="1008"/>
      <c r="AA3051" s="1008"/>
      <c r="AB3051" s="1008"/>
      <c r="AC3051" s="1008" t="s">
        <v>670</v>
      </c>
      <c r="AD3051" s="1008"/>
      <c r="AE3051" s="1008"/>
      <c r="AF3051" s="1008"/>
      <c r="AG3051" s="1008"/>
      <c r="AH3051" s="1008"/>
      <c r="AI3051" s="1008"/>
    </row>
    <row r="3052" spans="1:35">
      <c r="A3052" s="1008">
        <v>23746</v>
      </c>
      <c r="B3052" s="1008">
        <v>1123</v>
      </c>
      <c r="C3052" s="1008">
        <v>6</v>
      </c>
      <c r="D3052" s="1009">
        <v>59699999</v>
      </c>
      <c r="E3052" s="1009">
        <v>59611000</v>
      </c>
      <c r="F3052" s="1007" t="s">
        <v>1629</v>
      </c>
      <c r="G3052" s="1007">
        <v>7</v>
      </c>
      <c r="H3052" s="1010">
        <v>5099999</v>
      </c>
      <c r="I3052" s="1009">
        <v>5019060</v>
      </c>
      <c r="J3052" s="1007" t="s">
        <v>1637</v>
      </c>
      <c r="O3052" s="1007" t="s">
        <v>648</v>
      </c>
      <c r="P3052" s="1007" t="s">
        <v>648</v>
      </c>
      <c r="S3052" s="1008" t="s">
        <v>650</v>
      </c>
      <c r="T3052" s="1008" t="s">
        <v>654</v>
      </c>
      <c r="U3052" s="1008" t="s">
        <v>653</v>
      </c>
      <c r="V3052" s="1008" t="s">
        <v>648</v>
      </c>
      <c r="W3052" s="1008" t="s">
        <v>546</v>
      </c>
      <c r="X3052" s="1008" t="s">
        <v>670</v>
      </c>
      <c r="Y3052" s="1008"/>
      <c r="Z3052" s="1008"/>
      <c r="AA3052" s="1008"/>
      <c r="AB3052" s="1008"/>
      <c r="AC3052" s="1008" t="s">
        <v>670</v>
      </c>
      <c r="AD3052" s="1008"/>
      <c r="AE3052" s="1008"/>
      <c r="AF3052" s="1008"/>
      <c r="AG3052" s="1008"/>
      <c r="AH3052" s="1008"/>
      <c r="AI3052" s="1008"/>
    </row>
    <row r="3053" spans="1:35">
      <c r="A3053" s="1008">
        <v>23746</v>
      </c>
      <c r="B3053" s="1008">
        <v>1124</v>
      </c>
      <c r="C3053" s="1008">
        <v>6</v>
      </c>
      <c r="D3053" s="1009">
        <v>59699999</v>
      </c>
      <c r="E3053" s="1009">
        <v>59611000</v>
      </c>
      <c r="F3053" s="1007" t="s">
        <v>1629</v>
      </c>
      <c r="G3053" s="1007">
        <v>7</v>
      </c>
      <c r="H3053" s="1010">
        <v>5099999</v>
      </c>
      <c r="I3053" s="1009">
        <v>5019070</v>
      </c>
      <c r="J3053" s="1007" t="s">
        <v>1636</v>
      </c>
      <c r="O3053" s="1007" t="s">
        <v>648</v>
      </c>
      <c r="P3053" s="1007" t="s">
        <v>648</v>
      </c>
      <c r="S3053" s="1008" t="s">
        <v>650</v>
      </c>
      <c r="T3053" s="1008" t="s">
        <v>654</v>
      </c>
      <c r="U3053" s="1008" t="s">
        <v>653</v>
      </c>
      <c r="V3053" s="1008" t="s">
        <v>648</v>
      </c>
      <c r="W3053" s="1008" t="s">
        <v>546</v>
      </c>
      <c r="X3053" s="1008" t="s">
        <v>670</v>
      </c>
      <c r="Y3053" s="1008"/>
      <c r="Z3053" s="1008"/>
      <c r="AA3053" s="1008"/>
      <c r="AB3053" s="1008"/>
      <c r="AC3053" s="1008" t="s">
        <v>670</v>
      </c>
      <c r="AD3053" s="1008"/>
      <c r="AE3053" s="1008"/>
      <c r="AF3053" s="1008"/>
      <c r="AG3053" s="1008"/>
      <c r="AH3053" s="1008"/>
      <c r="AI3053" s="1008"/>
    </row>
    <row r="3054" spans="1:35">
      <c r="A3054" s="1008">
        <v>23746</v>
      </c>
      <c r="B3054" s="1008">
        <v>1125</v>
      </c>
      <c r="C3054" s="1008">
        <v>6</v>
      </c>
      <c r="D3054" s="1009">
        <v>59699999</v>
      </c>
      <c r="E3054" s="1009">
        <v>59611000</v>
      </c>
      <c r="F3054" s="1007" t="s">
        <v>1629</v>
      </c>
      <c r="G3054" s="1007">
        <v>7</v>
      </c>
      <c r="H3054" s="1010">
        <v>5099999</v>
      </c>
      <c r="I3054" s="1009">
        <v>5019080</v>
      </c>
      <c r="J3054" s="1007" t="s">
        <v>1635</v>
      </c>
      <c r="O3054" s="1007" t="s">
        <v>648</v>
      </c>
      <c r="P3054" s="1007" t="s">
        <v>648</v>
      </c>
      <c r="S3054" s="1008" t="s">
        <v>650</v>
      </c>
      <c r="T3054" s="1008" t="s">
        <v>654</v>
      </c>
      <c r="U3054" s="1008" t="s">
        <v>653</v>
      </c>
      <c r="V3054" s="1008" t="s">
        <v>648</v>
      </c>
      <c r="W3054" s="1008" t="s">
        <v>546</v>
      </c>
      <c r="X3054" s="1008" t="s">
        <v>670</v>
      </c>
      <c r="Y3054" s="1008"/>
      <c r="Z3054" s="1008"/>
      <c r="AA3054" s="1008"/>
      <c r="AB3054" s="1008"/>
      <c r="AC3054" s="1008" t="s">
        <v>670</v>
      </c>
      <c r="AD3054" s="1008"/>
      <c r="AE3054" s="1008"/>
      <c r="AF3054" s="1008"/>
      <c r="AG3054" s="1008"/>
      <c r="AH3054" s="1008"/>
      <c r="AI3054" s="1008"/>
    </row>
    <row r="3055" spans="1:35">
      <c r="A3055" s="1008">
        <v>23746</v>
      </c>
      <c r="B3055" s="1008">
        <v>1127</v>
      </c>
      <c r="C3055" s="1008">
        <v>6</v>
      </c>
      <c r="D3055" s="1009">
        <v>59699999</v>
      </c>
      <c r="E3055" s="1009">
        <v>59611000</v>
      </c>
      <c r="F3055" s="1007" t="s">
        <v>1629</v>
      </c>
      <c r="G3055" s="1007">
        <v>7</v>
      </c>
      <c r="H3055" s="1010">
        <v>5099999</v>
      </c>
      <c r="I3055" s="1009">
        <v>5019110</v>
      </c>
      <c r="J3055" s="1007" t="s">
        <v>1634</v>
      </c>
      <c r="O3055" s="1007" t="s">
        <v>648</v>
      </c>
      <c r="P3055" s="1007" t="s">
        <v>648</v>
      </c>
      <c r="S3055" s="1008" t="s">
        <v>650</v>
      </c>
      <c r="T3055" s="1008" t="s">
        <v>654</v>
      </c>
      <c r="U3055" s="1008" t="s">
        <v>653</v>
      </c>
      <c r="V3055" s="1008" t="s">
        <v>648</v>
      </c>
      <c r="W3055" s="1008" t="s">
        <v>546</v>
      </c>
      <c r="X3055" s="1008" t="s">
        <v>670</v>
      </c>
      <c r="Y3055" s="1008"/>
      <c r="Z3055" s="1008"/>
      <c r="AA3055" s="1008"/>
      <c r="AB3055" s="1008"/>
      <c r="AC3055" s="1008" t="s">
        <v>670</v>
      </c>
      <c r="AD3055" s="1008"/>
      <c r="AE3055" s="1008"/>
      <c r="AF3055" s="1008"/>
      <c r="AG3055" s="1008"/>
      <c r="AH3055" s="1008"/>
      <c r="AI3055" s="1008"/>
    </row>
    <row r="3056" spans="1:35">
      <c r="A3056" s="1008">
        <v>23746</v>
      </c>
      <c r="B3056" s="1008">
        <v>1128</v>
      </c>
      <c r="C3056" s="1008">
        <v>6</v>
      </c>
      <c r="D3056" s="1009">
        <v>59699999</v>
      </c>
      <c r="E3056" s="1009">
        <v>59611000</v>
      </c>
      <c r="F3056" s="1007" t="s">
        <v>1629</v>
      </c>
      <c r="G3056" s="1007">
        <v>7</v>
      </c>
      <c r="H3056" s="1010">
        <v>5099999</v>
      </c>
      <c r="I3056" s="1009">
        <v>5019120</v>
      </c>
      <c r="J3056" s="1007" t="s">
        <v>1633</v>
      </c>
      <c r="O3056" s="1007" t="s">
        <v>648</v>
      </c>
      <c r="P3056" s="1007" t="s">
        <v>648</v>
      </c>
      <c r="S3056" s="1008" t="s">
        <v>650</v>
      </c>
      <c r="T3056" s="1008" t="s">
        <v>654</v>
      </c>
      <c r="U3056" s="1008" t="s">
        <v>653</v>
      </c>
      <c r="V3056" s="1008" t="s">
        <v>648</v>
      </c>
      <c r="W3056" s="1008" t="s">
        <v>546</v>
      </c>
      <c r="X3056" s="1008" t="s">
        <v>670</v>
      </c>
      <c r="Y3056" s="1008"/>
      <c r="Z3056" s="1008"/>
      <c r="AA3056" s="1008"/>
      <c r="AB3056" s="1008"/>
      <c r="AC3056" s="1008" t="s">
        <v>670</v>
      </c>
      <c r="AD3056" s="1008"/>
      <c r="AE3056" s="1008"/>
      <c r="AF3056" s="1008"/>
      <c r="AG3056" s="1008"/>
      <c r="AH3056" s="1008"/>
      <c r="AI3056" s="1008"/>
    </row>
    <row r="3057" spans="1:35">
      <c r="A3057" s="1008">
        <v>23746</v>
      </c>
      <c r="B3057" s="1008">
        <v>6245</v>
      </c>
      <c r="C3057" s="1008">
        <v>6</v>
      </c>
      <c r="D3057" s="1009">
        <v>59699999</v>
      </c>
      <c r="E3057" s="1009">
        <v>59611000</v>
      </c>
      <c r="F3057" s="1007" t="s">
        <v>1629</v>
      </c>
      <c r="G3057" s="1007">
        <v>7</v>
      </c>
      <c r="H3057" s="1010">
        <v>5019999</v>
      </c>
      <c r="I3057" s="1009">
        <v>5019130</v>
      </c>
      <c r="J3057" s="1007" t="s">
        <v>1632</v>
      </c>
      <c r="O3057" s="1007" t="s">
        <v>648</v>
      </c>
      <c r="P3057" s="1007" t="s">
        <v>648</v>
      </c>
      <c r="S3057" s="1008" t="s">
        <v>650</v>
      </c>
      <c r="T3057" s="1008" t="s">
        <v>654</v>
      </c>
      <c r="U3057" s="1008" t="s">
        <v>653</v>
      </c>
      <c r="V3057" s="1008" t="s">
        <v>648</v>
      </c>
      <c r="W3057" s="1008" t="s">
        <v>546</v>
      </c>
      <c r="X3057" s="1008" t="s">
        <v>670</v>
      </c>
      <c r="Y3057" s="1008"/>
      <c r="Z3057" s="1008"/>
      <c r="AA3057" s="1008"/>
      <c r="AB3057" s="1008"/>
      <c r="AC3057" s="1008" t="s">
        <v>670</v>
      </c>
      <c r="AD3057" s="1008"/>
      <c r="AE3057" s="1008"/>
      <c r="AF3057" s="1008"/>
      <c r="AG3057" s="1008"/>
      <c r="AH3057" s="1008"/>
      <c r="AI3057" s="1008"/>
    </row>
    <row r="3058" spans="1:35">
      <c r="A3058" s="1008">
        <v>23746</v>
      </c>
      <c r="B3058" s="1008">
        <v>912</v>
      </c>
      <c r="C3058" s="1008">
        <v>6</v>
      </c>
      <c r="D3058" s="1009">
        <v>59699999</v>
      </c>
      <c r="E3058" s="1009">
        <v>59611000</v>
      </c>
      <c r="F3058" s="1007" t="s">
        <v>1629</v>
      </c>
      <c r="G3058" s="1007">
        <v>7</v>
      </c>
      <c r="H3058" s="1010">
        <v>5099999</v>
      </c>
      <c r="I3058" s="1009">
        <v>5020010</v>
      </c>
      <c r="J3058" s="1007" t="s">
        <v>1631</v>
      </c>
      <c r="O3058" s="1007" t="s">
        <v>648</v>
      </c>
      <c r="P3058" s="1007" t="s">
        <v>648</v>
      </c>
      <c r="S3058" s="1008" t="s">
        <v>650</v>
      </c>
      <c r="T3058" s="1008" t="s">
        <v>654</v>
      </c>
      <c r="U3058" s="1008" t="s">
        <v>653</v>
      </c>
      <c r="V3058" s="1008" t="s">
        <v>648</v>
      </c>
      <c r="W3058" s="1008" t="s">
        <v>546</v>
      </c>
      <c r="X3058" s="1008" t="s">
        <v>670</v>
      </c>
      <c r="Y3058" s="1008"/>
      <c r="Z3058" s="1008"/>
      <c r="AA3058" s="1008"/>
      <c r="AB3058" s="1008"/>
      <c r="AC3058" s="1008" t="s">
        <v>670</v>
      </c>
      <c r="AD3058" s="1008"/>
      <c r="AE3058" s="1008"/>
      <c r="AF3058" s="1008"/>
      <c r="AG3058" s="1008"/>
      <c r="AH3058" s="1008"/>
      <c r="AI3058" s="1008"/>
    </row>
    <row r="3059" spans="1:35">
      <c r="A3059" s="1008">
        <v>23746</v>
      </c>
      <c r="B3059" s="1008">
        <v>1129</v>
      </c>
      <c r="C3059" s="1008">
        <v>6</v>
      </c>
      <c r="D3059" s="1009">
        <v>59699999</v>
      </c>
      <c r="E3059" s="1009">
        <v>59611000</v>
      </c>
      <c r="F3059" s="1007" t="s">
        <v>1629</v>
      </c>
      <c r="G3059" s="1007">
        <v>7</v>
      </c>
      <c r="H3059" s="1010">
        <v>5099999</v>
      </c>
      <c r="I3059" s="1009">
        <v>5020020</v>
      </c>
      <c r="J3059" s="1007" t="s">
        <v>1630</v>
      </c>
      <c r="O3059" s="1007" t="s">
        <v>648</v>
      </c>
      <c r="P3059" s="1007" t="s">
        <v>648</v>
      </c>
      <c r="S3059" s="1008" t="s">
        <v>650</v>
      </c>
      <c r="T3059" s="1008" t="s">
        <v>654</v>
      </c>
      <c r="U3059" s="1008" t="s">
        <v>653</v>
      </c>
      <c r="V3059" s="1008" t="s">
        <v>648</v>
      </c>
      <c r="W3059" s="1008" t="s">
        <v>546</v>
      </c>
      <c r="X3059" s="1008" t="s">
        <v>670</v>
      </c>
      <c r="Y3059" s="1008"/>
      <c r="Z3059" s="1008"/>
      <c r="AA3059" s="1008"/>
      <c r="AB3059" s="1008"/>
      <c r="AC3059" s="1008" t="s">
        <v>670</v>
      </c>
      <c r="AD3059" s="1008"/>
      <c r="AE3059" s="1008"/>
      <c r="AF3059" s="1008"/>
      <c r="AG3059" s="1008"/>
      <c r="AH3059" s="1008"/>
      <c r="AI3059" s="1008"/>
    </row>
    <row r="3060" spans="1:35">
      <c r="A3060" s="1008">
        <v>23746</v>
      </c>
      <c r="B3060" s="1008">
        <v>1442</v>
      </c>
      <c r="C3060" s="1008">
        <v>6</v>
      </c>
      <c r="D3060" s="1009">
        <v>59699999</v>
      </c>
      <c r="E3060" s="1009">
        <v>59611000</v>
      </c>
      <c r="F3060" s="1007" t="s">
        <v>1629</v>
      </c>
      <c r="G3060" s="1007">
        <v>6</v>
      </c>
      <c r="H3060" s="1010">
        <v>99999999</v>
      </c>
      <c r="I3060" s="1009">
        <v>59611000</v>
      </c>
      <c r="J3060" s="1007" t="s">
        <v>1629</v>
      </c>
      <c r="O3060" s="1007" t="s">
        <v>648</v>
      </c>
      <c r="P3060" s="1007" t="s">
        <v>648</v>
      </c>
      <c r="S3060" s="1008" t="s">
        <v>650</v>
      </c>
      <c r="T3060" s="1008" t="s">
        <v>654</v>
      </c>
      <c r="U3060" s="1008" t="s">
        <v>653</v>
      </c>
      <c r="V3060" s="1008" t="s">
        <v>648</v>
      </c>
      <c r="W3060" s="1008" t="s">
        <v>546</v>
      </c>
      <c r="X3060" s="1008" t="s">
        <v>670</v>
      </c>
      <c r="Y3060" s="1008"/>
      <c r="Z3060" s="1008"/>
      <c r="AA3060" s="1008" t="s">
        <v>670</v>
      </c>
      <c r="AB3060" s="1008"/>
      <c r="AC3060" s="1008" t="s">
        <v>670</v>
      </c>
      <c r="AD3060" s="1008"/>
      <c r="AE3060" s="1008"/>
      <c r="AF3060" s="1008"/>
      <c r="AG3060" s="1008"/>
      <c r="AH3060" s="1008"/>
      <c r="AI3060" s="1008"/>
    </row>
    <row r="3061" spans="1:35">
      <c r="A3061" s="1008">
        <v>23751</v>
      </c>
      <c r="C3061" s="1008">
        <v>5</v>
      </c>
      <c r="D3061" s="1009">
        <v>59699999</v>
      </c>
      <c r="E3061" s="1009">
        <v>59649999</v>
      </c>
      <c r="F3061" s="1007" t="s">
        <v>1628</v>
      </c>
      <c r="O3061" s="1007" t="s">
        <v>648</v>
      </c>
      <c r="P3061" s="1007" t="s">
        <v>648</v>
      </c>
      <c r="S3061" s="1008" t="s">
        <v>650</v>
      </c>
      <c r="T3061" s="1008" t="s">
        <v>21</v>
      </c>
      <c r="U3061" s="1008" t="s">
        <v>653</v>
      </c>
      <c r="V3061" s="1008" t="s">
        <v>648</v>
      </c>
      <c r="W3061" s="1008" t="s">
        <v>546</v>
      </c>
      <c r="X3061" s="1008"/>
      <c r="Y3061" s="1008"/>
      <c r="Z3061" s="1008"/>
      <c r="AA3061" s="1008"/>
      <c r="AB3061" s="1008"/>
      <c r="AC3061" s="1008"/>
      <c r="AD3061" s="1008"/>
      <c r="AE3061" s="1008"/>
      <c r="AF3061" s="1008"/>
      <c r="AG3061" s="1008"/>
      <c r="AH3061" s="1008"/>
      <c r="AI3061" s="1008"/>
    </row>
    <row r="3062" spans="1:35">
      <c r="A3062" s="1008">
        <v>23752</v>
      </c>
      <c r="C3062" s="1008">
        <v>4</v>
      </c>
      <c r="D3062" s="1009">
        <v>79999998</v>
      </c>
      <c r="E3062" s="1009">
        <v>59699999</v>
      </c>
      <c r="F3062" s="1007" t="s">
        <v>1628</v>
      </c>
      <c r="O3062" s="1007" t="s">
        <v>648</v>
      </c>
      <c r="P3062" s="1007" t="s">
        <v>648</v>
      </c>
      <c r="S3062" s="1008" t="s">
        <v>650</v>
      </c>
      <c r="T3062" s="1008" t="s">
        <v>21</v>
      </c>
      <c r="U3062" s="1008" t="s">
        <v>653</v>
      </c>
      <c r="V3062" s="1008" t="s">
        <v>648</v>
      </c>
      <c r="W3062" s="1008" t="s">
        <v>546</v>
      </c>
      <c r="X3062" s="1008"/>
      <c r="Y3062" s="1008"/>
      <c r="Z3062" s="1008"/>
      <c r="AA3062" s="1008"/>
      <c r="AB3062" s="1008"/>
      <c r="AC3062" s="1008"/>
      <c r="AD3062" s="1008"/>
      <c r="AE3062" s="1008"/>
      <c r="AF3062" s="1008"/>
      <c r="AG3062" s="1008"/>
      <c r="AH3062" s="1008"/>
      <c r="AI3062" s="1008"/>
    </row>
    <row r="3063" spans="1:35">
      <c r="A3063" s="1008">
        <v>27333</v>
      </c>
      <c r="C3063" s="1008">
        <v>5</v>
      </c>
      <c r="D3063" s="1009">
        <v>59799999</v>
      </c>
      <c r="E3063" s="1009">
        <v>59700000</v>
      </c>
      <c r="F3063" s="1007" t="s">
        <v>1627</v>
      </c>
      <c r="O3063" s="1007" t="s">
        <v>648</v>
      </c>
      <c r="P3063" s="1007" t="s">
        <v>648</v>
      </c>
      <c r="S3063" s="1008" t="s">
        <v>650</v>
      </c>
      <c r="T3063" s="1008" t="s">
        <v>675</v>
      </c>
      <c r="U3063" s="1008" t="s">
        <v>653</v>
      </c>
      <c r="V3063" s="1008" t="s">
        <v>648</v>
      </c>
      <c r="W3063" s="1008" t="s">
        <v>546</v>
      </c>
      <c r="X3063" s="1008"/>
      <c r="Y3063" s="1008"/>
      <c r="Z3063" s="1008"/>
      <c r="AA3063" s="1008"/>
      <c r="AB3063" s="1008"/>
      <c r="AC3063" s="1008"/>
      <c r="AD3063" s="1008"/>
      <c r="AE3063" s="1008"/>
      <c r="AF3063" s="1008"/>
      <c r="AG3063" s="1008"/>
      <c r="AH3063" s="1008"/>
      <c r="AI3063" s="1008"/>
    </row>
    <row r="3064" spans="1:35">
      <c r="A3064" s="1008">
        <v>27332</v>
      </c>
      <c r="B3064" s="1008">
        <v>6246</v>
      </c>
      <c r="C3064" s="1008">
        <v>6</v>
      </c>
      <c r="D3064" s="1009">
        <v>59799999</v>
      </c>
      <c r="E3064" s="1009">
        <v>59710701</v>
      </c>
      <c r="F3064" s="1007" t="s">
        <v>1626</v>
      </c>
      <c r="G3064" s="1007">
        <v>7</v>
      </c>
      <c r="H3064" s="1010">
        <v>99999999</v>
      </c>
      <c r="I3064" s="1009">
        <v>59710701</v>
      </c>
      <c r="J3064" s="1007" t="s">
        <v>1626</v>
      </c>
      <c r="O3064" s="1007" t="s">
        <v>648</v>
      </c>
      <c r="P3064" s="1007" t="s">
        <v>648</v>
      </c>
      <c r="S3064" s="1008" t="s">
        <v>650</v>
      </c>
      <c r="T3064" s="1008" t="s">
        <v>654</v>
      </c>
      <c r="U3064" s="1008" t="s">
        <v>653</v>
      </c>
      <c r="V3064" s="1008" t="s">
        <v>648</v>
      </c>
      <c r="W3064" s="1008" t="s">
        <v>546</v>
      </c>
      <c r="X3064" s="1008" t="s">
        <v>670</v>
      </c>
      <c r="Y3064" s="1008" t="s">
        <v>670</v>
      </c>
      <c r="Z3064" s="1008" t="s">
        <v>670</v>
      </c>
      <c r="AA3064" s="1008"/>
      <c r="AB3064" s="1008" t="s">
        <v>670</v>
      </c>
      <c r="AC3064" s="1008"/>
      <c r="AD3064" s="1008" t="s">
        <v>670</v>
      </c>
      <c r="AE3064" s="1008"/>
      <c r="AF3064" s="1008" t="s">
        <v>670</v>
      </c>
      <c r="AG3064" s="1008"/>
      <c r="AH3064" s="1008"/>
      <c r="AI3064" s="1008"/>
    </row>
    <row r="3065" spans="1:35">
      <c r="A3065" s="1008">
        <v>27335</v>
      </c>
      <c r="B3065" s="1008">
        <v>6247</v>
      </c>
      <c r="C3065" s="1008">
        <v>6</v>
      </c>
      <c r="D3065" s="1009">
        <v>59799999</v>
      </c>
      <c r="E3065" s="1009">
        <v>59710702</v>
      </c>
      <c r="F3065" s="1007" t="s">
        <v>1625</v>
      </c>
      <c r="G3065" s="1007">
        <v>8</v>
      </c>
      <c r="H3065" s="1010">
        <v>99999999</v>
      </c>
      <c r="I3065" s="1009">
        <v>59710702</v>
      </c>
      <c r="J3065" s="1007" t="s">
        <v>1625</v>
      </c>
      <c r="O3065" s="1007" t="s">
        <v>648</v>
      </c>
      <c r="P3065" s="1007" t="s">
        <v>648</v>
      </c>
      <c r="S3065" s="1008" t="s">
        <v>650</v>
      </c>
      <c r="T3065" s="1008" t="s">
        <v>654</v>
      </c>
      <c r="U3065" s="1008" t="s">
        <v>653</v>
      </c>
      <c r="V3065" s="1008" t="s">
        <v>648</v>
      </c>
      <c r="W3065" s="1008" t="s">
        <v>546</v>
      </c>
      <c r="X3065" s="1008" t="s">
        <v>670</v>
      </c>
      <c r="Y3065" s="1008" t="s">
        <v>670</v>
      </c>
      <c r="Z3065" s="1008" t="s">
        <v>670</v>
      </c>
      <c r="AA3065" s="1008"/>
      <c r="AB3065" s="1008" t="s">
        <v>670</v>
      </c>
      <c r="AC3065" s="1008"/>
      <c r="AD3065" s="1008" t="s">
        <v>670</v>
      </c>
      <c r="AE3065" s="1008"/>
      <c r="AF3065" s="1008" t="s">
        <v>670</v>
      </c>
      <c r="AG3065" s="1008"/>
      <c r="AH3065" s="1008"/>
      <c r="AI3065" s="1008"/>
    </row>
    <row r="3066" spans="1:35">
      <c r="A3066" s="1008">
        <v>27336</v>
      </c>
      <c r="B3066" s="1008">
        <v>6248</v>
      </c>
      <c r="C3066" s="1008">
        <v>6</v>
      </c>
      <c r="D3066" s="1009">
        <v>59799999</v>
      </c>
      <c r="E3066" s="1009">
        <v>59710703</v>
      </c>
      <c r="F3066" s="1007" t="s">
        <v>1624</v>
      </c>
      <c r="G3066" s="1007">
        <v>8</v>
      </c>
      <c r="H3066" s="1010">
        <v>99999999</v>
      </c>
      <c r="I3066" s="1009">
        <v>59710703</v>
      </c>
      <c r="J3066" s="1007" t="s">
        <v>1624</v>
      </c>
      <c r="O3066" s="1007" t="s">
        <v>648</v>
      </c>
      <c r="P3066" s="1007" t="s">
        <v>648</v>
      </c>
      <c r="S3066" s="1008" t="s">
        <v>650</v>
      </c>
      <c r="T3066" s="1008" t="s">
        <v>654</v>
      </c>
      <c r="U3066" s="1008" t="s">
        <v>653</v>
      </c>
      <c r="V3066" s="1008" t="s">
        <v>648</v>
      </c>
      <c r="W3066" s="1008" t="s">
        <v>546</v>
      </c>
      <c r="X3066" s="1008" t="s">
        <v>670</v>
      </c>
      <c r="Y3066" s="1008" t="s">
        <v>670</v>
      </c>
      <c r="Z3066" s="1008" t="s">
        <v>670</v>
      </c>
      <c r="AA3066" s="1008"/>
      <c r="AB3066" s="1008" t="s">
        <v>670</v>
      </c>
      <c r="AC3066" s="1008"/>
      <c r="AD3066" s="1008" t="s">
        <v>670</v>
      </c>
      <c r="AE3066" s="1008"/>
      <c r="AF3066" s="1008" t="s">
        <v>670</v>
      </c>
      <c r="AG3066" s="1008"/>
      <c r="AH3066" s="1008"/>
      <c r="AI3066" s="1008"/>
    </row>
    <row r="3067" spans="1:35">
      <c r="A3067" s="1008">
        <v>27337</v>
      </c>
      <c r="B3067" s="1008">
        <v>6249</v>
      </c>
      <c r="C3067" s="1008">
        <v>6</v>
      </c>
      <c r="D3067" s="1009">
        <v>59799999</v>
      </c>
      <c r="E3067" s="1009">
        <v>59710704</v>
      </c>
      <c r="F3067" s="1007" t="s">
        <v>1623</v>
      </c>
      <c r="G3067" s="1007">
        <v>8</v>
      </c>
      <c r="H3067" s="1010">
        <v>99999999</v>
      </c>
      <c r="I3067" s="1009">
        <v>59710704</v>
      </c>
      <c r="J3067" s="1007" t="s">
        <v>1623</v>
      </c>
      <c r="O3067" s="1007" t="s">
        <v>648</v>
      </c>
      <c r="P3067" s="1007" t="s">
        <v>648</v>
      </c>
      <c r="S3067" s="1008" t="s">
        <v>650</v>
      </c>
      <c r="T3067" s="1008" t="s">
        <v>654</v>
      </c>
      <c r="U3067" s="1008" t="s">
        <v>653</v>
      </c>
      <c r="V3067" s="1008" t="s">
        <v>648</v>
      </c>
      <c r="W3067" s="1008" t="s">
        <v>546</v>
      </c>
      <c r="X3067" s="1008" t="s">
        <v>670</v>
      </c>
      <c r="Y3067" s="1008" t="s">
        <v>670</v>
      </c>
      <c r="Z3067" s="1008" t="s">
        <v>670</v>
      </c>
      <c r="AA3067" s="1008"/>
      <c r="AB3067" s="1008" t="s">
        <v>670</v>
      </c>
      <c r="AC3067" s="1008"/>
      <c r="AD3067" s="1008" t="s">
        <v>670</v>
      </c>
      <c r="AE3067" s="1008"/>
      <c r="AF3067" s="1008" t="s">
        <v>670</v>
      </c>
      <c r="AG3067" s="1008"/>
      <c r="AH3067" s="1008"/>
      <c r="AI3067" s="1008"/>
    </row>
    <row r="3068" spans="1:35">
      <c r="A3068" s="1008">
        <v>27338</v>
      </c>
      <c r="B3068" s="1008">
        <v>6250</v>
      </c>
      <c r="C3068" s="1008">
        <v>6</v>
      </c>
      <c r="D3068" s="1009">
        <v>59799999</v>
      </c>
      <c r="E3068" s="1009">
        <v>59710705</v>
      </c>
      <c r="F3068" s="1007" t="s">
        <v>1622</v>
      </c>
      <c r="G3068" s="1007">
        <v>8</v>
      </c>
      <c r="H3068" s="1010">
        <v>99999999</v>
      </c>
      <c r="I3068" s="1009">
        <v>59710705</v>
      </c>
      <c r="J3068" s="1007" t="s">
        <v>1622</v>
      </c>
      <c r="O3068" s="1007" t="s">
        <v>648</v>
      </c>
      <c r="P3068" s="1007" t="s">
        <v>648</v>
      </c>
      <c r="S3068" s="1008" t="s">
        <v>650</v>
      </c>
      <c r="T3068" s="1008" t="s">
        <v>654</v>
      </c>
      <c r="U3068" s="1008" t="s">
        <v>653</v>
      </c>
      <c r="V3068" s="1008" t="s">
        <v>648</v>
      </c>
      <c r="W3068" s="1008" t="s">
        <v>546</v>
      </c>
      <c r="X3068" s="1008" t="s">
        <v>670</v>
      </c>
      <c r="Y3068" s="1008" t="s">
        <v>670</v>
      </c>
      <c r="Z3068" s="1008" t="s">
        <v>670</v>
      </c>
      <c r="AA3068" s="1008"/>
      <c r="AB3068" s="1008" t="s">
        <v>670</v>
      </c>
      <c r="AC3068" s="1008"/>
      <c r="AD3068" s="1008" t="s">
        <v>670</v>
      </c>
      <c r="AE3068" s="1008"/>
      <c r="AF3068" s="1008" t="s">
        <v>670</v>
      </c>
      <c r="AG3068" s="1008"/>
      <c r="AH3068" s="1008"/>
      <c r="AI3068" s="1008"/>
    </row>
    <row r="3069" spans="1:35">
      <c r="A3069" s="1008">
        <v>27339</v>
      </c>
      <c r="B3069" s="1008">
        <v>6251</v>
      </c>
      <c r="C3069" s="1008">
        <v>6</v>
      </c>
      <c r="D3069" s="1009">
        <v>59799999</v>
      </c>
      <c r="E3069" s="1009">
        <v>59710706</v>
      </c>
      <c r="F3069" s="1007" t="s">
        <v>1621</v>
      </c>
      <c r="G3069" s="1007">
        <v>8</v>
      </c>
      <c r="H3069" s="1010">
        <v>99999999</v>
      </c>
      <c r="I3069" s="1009">
        <v>59710706</v>
      </c>
      <c r="J3069" s="1007" t="s">
        <v>1621</v>
      </c>
      <c r="O3069" s="1007" t="s">
        <v>648</v>
      </c>
      <c r="P3069" s="1007" t="s">
        <v>648</v>
      </c>
      <c r="S3069" s="1008" t="s">
        <v>650</v>
      </c>
      <c r="T3069" s="1008" t="s">
        <v>654</v>
      </c>
      <c r="U3069" s="1008" t="s">
        <v>653</v>
      </c>
      <c r="V3069" s="1008" t="s">
        <v>648</v>
      </c>
      <c r="W3069" s="1008" t="s">
        <v>546</v>
      </c>
      <c r="X3069" s="1008" t="s">
        <v>670</v>
      </c>
      <c r="Y3069" s="1008" t="s">
        <v>670</v>
      </c>
      <c r="Z3069" s="1008" t="s">
        <v>670</v>
      </c>
      <c r="AA3069" s="1008"/>
      <c r="AB3069" s="1008" t="s">
        <v>670</v>
      </c>
      <c r="AC3069" s="1008"/>
      <c r="AD3069" s="1008" t="s">
        <v>670</v>
      </c>
      <c r="AE3069" s="1008"/>
      <c r="AF3069" s="1008" t="s">
        <v>670</v>
      </c>
      <c r="AG3069" s="1008"/>
      <c r="AH3069" s="1008"/>
      <c r="AI3069" s="1008"/>
    </row>
    <row r="3070" spans="1:35">
      <c r="A3070" s="1008">
        <v>27340</v>
      </c>
      <c r="B3070" s="1008">
        <v>6252</v>
      </c>
      <c r="C3070" s="1008">
        <v>6</v>
      </c>
      <c r="D3070" s="1009">
        <v>59799999</v>
      </c>
      <c r="E3070" s="1009">
        <v>59710707</v>
      </c>
      <c r="F3070" s="1007" t="s">
        <v>1620</v>
      </c>
      <c r="G3070" s="1007">
        <v>8</v>
      </c>
      <c r="H3070" s="1010">
        <v>99999999</v>
      </c>
      <c r="I3070" s="1009">
        <v>59710707</v>
      </c>
      <c r="J3070" s="1007" t="s">
        <v>1620</v>
      </c>
      <c r="O3070" s="1007" t="s">
        <v>648</v>
      </c>
      <c r="P3070" s="1007" t="s">
        <v>648</v>
      </c>
      <c r="S3070" s="1008" t="s">
        <v>650</v>
      </c>
      <c r="T3070" s="1008" t="s">
        <v>654</v>
      </c>
      <c r="U3070" s="1008" t="s">
        <v>653</v>
      </c>
      <c r="V3070" s="1008" t="s">
        <v>648</v>
      </c>
      <c r="W3070" s="1008" t="s">
        <v>546</v>
      </c>
      <c r="X3070" s="1008" t="s">
        <v>670</v>
      </c>
      <c r="Y3070" s="1008" t="s">
        <v>670</v>
      </c>
      <c r="Z3070" s="1008" t="s">
        <v>670</v>
      </c>
      <c r="AA3070" s="1008"/>
      <c r="AB3070" s="1008" t="s">
        <v>670</v>
      </c>
      <c r="AC3070" s="1008"/>
      <c r="AD3070" s="1008" t="s">
        <v>670</v>
      </c>
      <c r="AE3070" s="1008"/>
      <c r="AF3070" s="1008" t="s">
        <v>670</v>
      </c>
      <c r="AG3070" s="1008"/>
      <c r="AH3070" s="1008"/>
      <c r="AI3070" s="1008"/>
    </row>
    <row r="3071" spans="1:35">
      <c r="A3071" s="1008">
        <v>27341</v>
      </c>
      <c r="B3071" s="1008">
        <v>6253</v>
      </c>
      <c r="C3071" s="1008">
        <v>6</v>
      </c>
      <c r="D3071" s="1009">
        <v>59799999</v>
      </c>
      <c r="E3071" s="1009">
        <v>59710708</v>
      </c>
      <c r="F3071" s="1007" t="s">
        <v>1619</v>
      </c>
      <c r="G3071" s="1007">
        <v>8</v>
      </c>
      <c r="H3071" s="1010">
        <v>99999999</v>
      </c>
      <c r="I3071" s="1009">
        <v>59710708</v>
      </c>
      <c r="J3071" s="1007" t="s">
        <v>1619</v>
      </c>
      <c r="O3071" s="1007" t="s">
        <v>648</v>
      </c>
      <c r="P3071" s="1007" t="s">
        <v>648</v>
      </c>
      <c r="S3071" s="1008" t="s">
        <v>650</v>
      </c>
      <c r="T3071" s="1008" t="s">
        <v>654</v>
      </c>
      <c r="U3071" s="1008" t="s">
        <v>653</v>
      </c>
      <c r="V3071" s="1008" t="s">
        <v>648</v>
      </c>
      <c r="W3071" s="1008" t="s">
        <v>546</v>
      </c>
      <c r="X3071" s="1008" t="s">
        <v>670</v>
      </c>
      <c r="Y3071" s="1008" t="s">
        <v>670</v>
      </c>
      <c r="Z3071" s="1008" t="s">
        <v>670</v>
      </c>
      <c r="AA3071" s="1008"/>
      <c r="AB3071" s="1008" t="s">
        <v>670</v>
      </c>
      <c r="AC3071" s="1008"/>
      <c r="AD3071" s="1008" t="s">
        <v>670</v>
      </c>
      <c r="AE3071" s="1008"/>
      <c r="AF3071" s="1008" t="s">
        <v>670</v>
      </c>
      <c r="AG3071" s="1008"/>
      <c r="AH3071" s="1008"/>
      <c r="AI3071" s="1008"/>
    </row>
    <row r="3072" spans="1:35">
      <c r="A3072" s="1008">
        <v>27342</v>
      </c>
      <c r="B3072" s="1008">
        <v>6254</v>
      </c>
      <c r="C3072" s="1008">
        <v>6</v>
      </c>
      <c r="D3072" s="1009">
        <v>59799999</v>
      </c>
      <c r="E3072" s="1009">
        <v>59710709</v>
      </c>
      <c r="F3072" s="1007" t="s">
        <v>1618</v>
      </c>
      <c r="G3072" s="1007">
        <v>8</v>
      </c>
      <c r="H3072" s="1010">
        <v>99999999</v>
      </c>
      <c r="I3072" s="1009">
        <v>59710709</v>
      </c>
      <c r="J3072" s="1007" t="s">
        <v>1618</v>
      </c>
      <c r="O3072" s="1007" t="s">
        <v>648</v>
      </c>
      <c r="P3072" s="1007" t="s">
        <v>648</v>
      </c>
      <c r="S3072" s="1008" t="s">
        <v>650</v>
      </c>
      <c r="T3072" s="1008" t="s">
        <v>654</v>
      </c>
      <c r="U3072" s="1008" t="s">
        <v>653</v>
      </c>
      <c r="V3072" s="1008" t="s">
        <v>648</v>
      </c>
      <c r="W3072" s="1008" t="s">
        <v>546</v>
      </c>
      <c r="X3072" s="1008" t="s">
        <v>670</v>
      </c>
      <c r="Y3072" s="1008" t="s">
        <v>670</v>
      </c>
      <c r="Z3072" s="1008" t="s">
        <v>670</v>
      </c>
      <c r="AA3072" s="1008"/>
      <c r="AB3072" s="1008" t="s">
        <v>670</v>
      </c>
      <c r="AC3072" s="1008"/>
      <c r="AD3072" s="1008" t="s">
        <v>670</v>
      </c>
      <c r="AE3072" s="1008"/>
      <c r="AF3072" s="1008" t="s">
        <v>670</v>
      </c>
      <c r="AG3072" s="1008"/>
      <c r="AH3072" s="1008"/>
      <c r="AI3072" s="1008"/>
    </row>
    <row r="3073" spans="1:35">
      <c r="A3073" s="1008">
        <v>27343</v>
      </c>
      <c r="B3073" s="1008">
        <v>6255</v>
      </c>
      <c r="C3073" s="1008">
        <v>6</v>
      </c>
      <c r="D3073" s="1009">
        <v>59799999</v>
      </c>
      <c r="E3073" s="1009">
        <v>59710710</v>
      </c>
      <c r="F3073" s="1007" t="s">
        <v>1617</v>
      </c>
      <c r="G3073" s="1007">
        <v>8</v>
      </c>
      <c r="H3073" s="1010">
        <v>99999999</v>
      </c>
      <c r="I3073" s="1009">
        <v>59710710</v>
      </c>
      <c r="J3073" s="1007" t="s">
        <v>1617</v>
      </c>
      <c r="O3073" s="1007" t="s">
        <v>648</v>
      </c>
      <c r="P3073" s="1007" t="s">
        <v>648</v>
      </c>
      <c r="S3073" s="1008" t="s">
        <v>650</v>
      </c>
      <c r="T3073" s="1008" t="s">
        <v>654</v>
      </c>
      <c r="U3073" s="1008" t="s">
        <v>653</v>
      </c>
      <c r="V3073" s="1008" t="s">
        <v>648</v>
      </c>
      <c r="W3073" s="1008" t="s">
        <v>546</v>
      </c>
      <c r="X3073" s="1008" t="s">
        <v>670</v>
      </c>
      <c r="Y3073" s="1008" t="s">
        <v>670</v>
      </c>
      <c r="Z3073" s="1008" t="s">
        <v>670</v>
      </c>
      <c r="AA3073" s="1008"/>
      <c r="AB3073" s="1008" t="s">
        <v>670</v>
      </c>
      <c r="AC3073" s="1008"/>
      <c r="AD3073" s="1008" t="s">
        <v>670</v>
      </c>
      <c r="AE3073" s="1008"/>
      <c r="AF3073" s="1008" t="s">
        <v>670</v>
      </c>
      <c r="AG3073" s="1008"/>
      <c r="AH3073" s="1008"/>
      <c r="AI3073" s="1008"/>
    </row>
    <row r="3074" spans="1:35">
      <c r="A3074" s="1008">
        <v>27344</v>
      </c>
      <c r="B3074" s="1008">
        <v>6256</v>
      </c>
      <c r="C3074" s="1008">
        <v>6</v>
      </c>
      <c r="D3074" s="1009">
        <v>59799999</v>
      </c>
      <c r="E3074" s="1009">
        <v>59710711</v>
      </c>
      <c r="F3074" s="1007" t="s">
        <v>1616</v>
      </c>
      <c r="G3074" s="1007">
        <v>8</v>
      </c>
      <c r="H3074" s="1010">
        <v>99999999</v>
      </c>
      <c r="I3074" s="1009">
        <v>59710711</v>
      </c>
      <c r="J3074" s="1007" t="s">
        <v>1616</v>
      </c>
      <c r="O3074" s="1007" t="s">
        <v>648</v>
      </c>
      <c r="P3074" s="1007" t="s">
        <v>648</v>
      </c>
      <c r="S3074" s="1008" t="s">
        <v>650</v>
      </c>
      <c r="T3074" s="1008" t="s">
        <v>654</v>
      </c>
      <c r="U3074" s="1008" t="s">
        <v>653</v>
      </c>
      <c r="V3074" s="1008" t="s">
        <v>648</v>
      </c>
      <c r="W3074" s="1008" t="s">
        <v>546</v>
      </c>
      <c r="X3074" s="1008" t="s">
        <v>670</v>
      </c>
      <c r="Y3074" s="1008" t="s">
        <v>670</v>
      </c>
      <c r="Z3074" s="1008" t="s">
        <v>670</v>
      </c>
      <c r="AA3074" s="1008"/>
      <c r="AB3074" s="1008" t="s">
        <v>670</v>
      </c>
      <c r="AC3074" s="1008"/>
      <c r="AD3074" s="1008" t="s">
        <v>670</v>
      </c>
      <c r="AE3074" s="1008"/>
      <c r="AF3074" s="1008" t="s">
        <v>670</v>
      </c>
      <c r="AG3074" s="1008"/>
      <c r="AH3074" s="1008"/>
      <c r="AI3074" s="1008"/>
    </row>
    <row r="3075" spans="1:35">
      <c r="A3075" s="1008">
        <v>27334</v>
      </c>
      <c r="C3075" s="1008">
        <v>5</v>
      </c>
      <c r="D3075" s="1009">
        <v>79999998</v>
      </c>
      <c r="E3075" s="1009">
        <v>59799999</v>
      </c>
      <c r="F3075" s="1007" t="s">
        <v>1615</v>
      </c>
      <c r="O3075" s="1007" t="s">
        <v>648</v>
      </c>
      <c r="P3075" s="1007" t="s">
        <v>648</v>
      </c>
      <c r="S3075" s="1008" t="s">
        <v>650</v>
      </c>
      <c r="T3075" s="1008" t="s">
        <v>21</v>
      </c>
      <c r="U3075" s="1008" t="s">
        <v>653</v>
      </c>
      <c r="V3075" s="1008" t="s">
        <v>648</v>
      </c>
      <c r="W3075" s="1008" t="s">
        <v>546</v>
      </c>
      <c r="X3075" s="1008"/>
      <c r="Y3075" s="1008"/>
      <c r="Z3075" s="1008"/>
      <c r="AA3075" s="1008"/>
      <c r="AB3075" s="1008"/>
      <c r="AC3075" s="1008"/>
      <c r="AD3075" s="1008"/>
      <c r="AE3075" s="1008"/>
      <c r="AF3075" s="1008"/>
      <c r="AG3075" s="1008"/>
      <c r="AH3075" s="1008"/>
      <c r="AI3075" s="1008"/>
    </row>
    <row r="3076" spans="1:35">
      <c r="A3076" s="1008">
        <v>25201</v>
      </c>
      <c r="C3076" s="1008">
        <v>4</v>
      </c>
      <c r="D3076" s="1009">
        <v>69999999</v>
      </c>
      <c r="E3076" s="1009">
        <v>60000000</v>
      </c>
      <c r="F3076" s="1007" t="s">
        <v>1614</v>
      </c>
      <c r="O3076" s="1007" t="s">
        <v>648</v>
      </c>
      <c r="P3076" s="1007" t="s">
        <v>648</v>
      </c>
      <c r="S3076" s="1008" t="s">
        <v>650</v>
      </c>
      <c r="T3076" s="1008" t="s">
        <v>675</v>
      </c>
      <c r="U3076" s="1008" t="s">
        <v>653</v>
      </c>
      <c r="V3076" s="1008" t="s">
        <v>648</v>
      </c>
      <c r="W3076" s="1008" t="s">
        <v>546</v>
      </c>
      <c r="X3076" s="1008"/>
      <c r="Y3076" s="1008"/>
      <c r="Z3076" s="1008"/>
      <c r="AA3076" s="1008"/>
      <c r="AB3076" s="1008"/>
      <c r="AC3076" s="1008"/>
      <c r="AD3076" s="1008"/>
      <c r="AE3076" s="1008"/>
      <c r="AF3076" s="1008"/>
      <c r="AG3076" s="1008"/>
      <c r="AH3076" s="1008"/>
      <c r="AI3076" s="1008"/>
    </row>
    <row r="3077" spans="1:35">
      <c r="A3077" s="1008">
        <v>25202</v>
      </c>
      <c r="C3077" s="1008">
        <v>5</v>
      </c>
      <c r="D3077" s="1009">
        <v>61099999</v>
      </c>
      <c r="E3077" s="1009">
        <v>61000000</v>
      </c>
      <c r="F3077" s="1007" t="s">
        <v>1523</v>
      </c>
      <c r="O3077" s="1007" t="s">
        <v>648</v>
      </c>
      <c r="P3077" s="1007" t="s">
        <v>648</v>
      </c>
      <c r="S3077" s="1008" t="s">
        <v>650</v>
      </c>
      <c r="T3077" s="1008" t="s">
        <v>675</v>
      </c>
      <c r="U3077" s="1008" t="s">
        <v>653</v>
      </c>
      <c r="V3077" s="1008" t="s">
        <v>648</v>
      </c>
      <c r="W3077" s="1008" t="s">
        <v>546</v>
      </c>
      <c r="X3077" s="1008"/>
      <c r="Y3077" s="1008"/>
      <c r="Z3077" s="1008"/>
      <c r="AA3077" s="1008"/>
      <c r="AB3077" s="1008"/>
      <c r="AC3077" s="1008"/>
      <c r="AD3077" s="1008"/>
      <c r="AE3077" s="1008"/>
      <c r="AF3077" s="1008"/>
      <c r="AG3077" s="1008"/>
      <c r="AH3077" s="1008"/>
      <c r="AI3077" s="1008"/>
    </row>
    <row r="3078" spans="1:35">
      <c r="A3078" s="1008">
        <v>25203</v>
      </c>
      <c r="C3078" s="1008">
        <v>6</v>
      </c>
      <c r="D3078" s="1009">
        <v>61019999</v>
      </c>
      <c r="E3078" s="1009">
        <v>61010000</v>
      </c>
      <c r="F3078" s="1007" t="s">
        <v>1522</v>
      </c>
      <c r="O3078" s="1007" t="s">
        <v>648</v>
      </c>
      <c r="P3078" s="1007" t="s">
        <v>648</v>
      </c>
      <c r="S3078" s="1008" t="s">
        <v>650</v>
      </c>
      <c r="T3078" s="1008" t="s">
        <v>675</v>
      </c>
      <c r="U3078" s="1008" t="s">
        <v>653</v>
      </c>
      <c r="V3078" s="1008" t="s">
        <v>648</v>
      </c>
      <c r="W3078" s="1008" t="s">
        <v>546</v>
      </c>
      <c r="X3078" s="1008"/>
      <c r="Y3078" s="1008"/>
      <c r="Z3078" s="1008"/>
      <c r="AA3078" s="1008"/>
      <c r="AB3078" s="1008"/>
      <c r="AC3078" s="1008"/>
      <c r="AD3078" s="1008"/>
      <c r="AE3078" s="1008"/>
      <c r="AF3078" s="1008"/>
      <c r="AG3078" s="1008"/>
      <c r="AH3078" s="1008"/>
      <c r="AI3078" s="1008"/>
    </row>
    <row r="3079" spans="1:35">
      <c r="A3079" s="1008">
        <v>27032</v>
      </c>
      <c r="C3079" s="1008">
        <v>7</v>
      </c>
      <c r="D3079" s="1009">
        <v>61018999</v>
      </c>
      <c r="E3079" s="1009">
        <v>61010050</v>
      </c>
      <c r="F3079" s="1007" t="s">
        <v>1522</v>
      </c>
      <c r="O3079" s="1007" t="s">
        <v>648</v>
      </c>
      <c r="P3079" s="1007" t="s">
        <v>648</v>
      </c>
      <c r="S3079" s="1008" t="s">
        <v>650</v>
      </c>
      <c r="T3079" s="1008" t="s">
        <v>675</v>
      </c>
      <c r="U3079" s="1008" t="s">
        <v>653</v>
      </c>
      <c r="V3079" s="1008" t="s">
        <v>648</v>
      </c>
      <c r="W3079" s="1008" t="s">
        <v>546</v>
      </c>
      <c r="X3079" s="1008"/>
      <c r="Y3079" s="1008"/>
      <c r="Z3079" s="1008"/>
      <c r="AA3079" s="1008"/>
      <c r="AB3079" s="1008"/>
      <c r="AC3079" s="1008"/>
      <c r="AD3079" s="1008"/>
      <c r="AE3079" s="1008"/>
      <c r="AF3079" s="1008"/>
      <c r="AG3079" s="1008"/>
      <c r="AH3079" s="1008"/>
      <c r="AI3079" s="1008"/>
    </row>
    <row r="3080" spans="1:35">
      <c r="A3080" s="1008">
        <v>25204</v>
      </c>
      <c r="B3080" s="1008">
        <v>543</v>
      </c>
      <c r="C3080" s="1008">
        <v>8</v>
      </c>
      <c r="D3080" s="1009">
        <v>61018999</v>
      </c>
      <c r="E3080" s="1009">
        <v>61011000</v>
      </c>
      <c r="F3080" s="1007" t="s">
        <v>1522</v>
      </c>
      <c r="G3080" s="1007">
        <v>8</v>
      </c>
      <c r="H3080" s="1010">
        <v>99999999</v>
      </c>
      <c r="I3080" s="1009">
        <v>61011000</v>
      </c>
      <c r="J3080" s="1007" t="s">
        <v>1613</v>
      </c>
      <c r="O3080" s="1007" t="s">
        <v>648</v>
      </c>
      <c r="P3080" s="1007" t="s">
        <v>648</v>
      </c>
      <c r="S3080" s="1008" t="s">
        <v>650</v>
      </c>
      <c r="T3080" s="1008" t="s">
        <v>654</v>
      </c>
      <c r="U3080" s="1008" t="s">
        <v>653</v>
      </c>
      <c r="V3080" s="1008" t="s">
        <v>648</v>
      </c>
      <c r="W3080" s="1008" t="s">
        <v>546</v>
      </c>
      <c r="X3080" s="1008" t="s">
        <v>670</v>
      </c>
      <c r="Y3080" s="1008"/>
      <c r="Z3080" s="1008"/>
      <c r="AA3080" s="1008" t="s">
        <v>670</v>
      </c>
      <c r="AB3080" s="1008"/>
      <c r="AC3080" s="1008"/>
      <c r="AD3080" s="1008"/>
      <c r="AE3080" s="1008"/>
      <c r="AF3080" s="1008"/>
      <c r="AG3080" s="1008"/>
      <c r="AH3080" s="1008"/>
      <c r="AI3080" s="1008"/>
    </row>
    <row r="3081" spans="1:35">
      <c r="A3081" s="1008">
        <v>25205</v>
      </c>
      <c r="B3081" s="1008">
        <v>2281</v>
      </c>
      <c r="C3081" s="1008">
        <v>8</v>
      </c>
      <c r="D3081" s="1009">
        <v>61018999</v>
      </c>
      <c r="E3081" s="1009">
        <v>61012000</v>
      </c>
      <c r="F3081" s="1007" t="s">
        <v>1612</v>
      </c>
      <c r="G3081" s="1007">
        <v>7</v>
      </c>
      <c r="H3081" s="1010">
        <v>99999999</v>
      </c>
      <c r="I3081" s="1009">
        <v>61012000</v>
      </c>
      <c r="J3081" s="1007" t="s">
        <v>1612</v>
      </c>
      <c r="O3081" s="1007" t="s">
        <v>648</v>
      </c>
      <c r="P3081" s="1007" t="s">
        <v>648</v>
      </c>
      <c r="S3081" s="1008" t="s">
        <v>650</v>
      </c>
      <c r="T3081" s="1008" t="s">
        <v>654</v>
      </c>
      <c r="U3081" s="1008" t="s">
        <v>653</v>
      </c>
      <c r="V3081" s="1008" t="s">
        <v>648</v>
      </c>
      <c r="W3081" s="1008" t="s">
        <v>546</v>
      </c>
      <c r="X3081" s="1008" t="s">
        <v>670</v>
      </c>
      <c r="Y3081" s="1008"/>
      <c r="Z3081" s="1008"/>
      <c r="AA3081" s="1008" t="s">
        <v>670</v>
      </c>
      <c r="AB3081" s="1008"/>
      <c r="AC3081" s="1008"/>
      <c r="AD3081" s="1008"/>
      <c r="AE3081" s="1008"/>
      <c r="AF3081" s="1008"/>
      <c r="AG3081" s="1008"/>
      <c r="AH3081" s="1008"/>
      <c r="AI3081" s="1008"/>
    </row>
    <row r="3082" spans="1:35">
      <c r="A3082" s="1008">
        <v>25206</v>
      </c>
      <c r="B3082" s="1008">
        <v>547</v>
      </c>
      <c r="C3082" s="1008">
        <v>8</v>
      </c>
      <c r="D3082" s="1009">
        <v>61018999</v>
      </c>
      <c r="E3082" s="1009">
        <v>61013000</v>
      </c>
      <c r="F3082" s="1007" t="s">
        <v>1611</v>
      </c>
      <c r="G3082" s="1007">
        <v>8</v>
      </c>
      <c r="H3082" s="1010">
        <v>99999999</v>
      </c>
      <c r="I3082" s="1009">
        <v>61013000</v>
      </c>
      <c r="J3082" s="1007" t="s">
        <v>1611</v>
      </c>
      <c r="O3082" s="1007" t="s">
        <v>648</v>
      </c>
      <c r="P3082" s="1007" t="s">
        <v>648</v>
      </c>
      <c r="S3082" s="1008" t="s">
        <v>650</v>
      </c>
      <c r="T3082" s="1008" t="s">
        <v>654</v>
      </c>
      <c r="U3082" s="1008" t="s">
        <v>653</v>
      </c>
      <c r="V3082" s="1008" t="s">
        <v>648</v>
      </c>
      <c r="W3082" s="1008" t="s">
        <v>546</v>
      </c>
      <c r="X3082" s="1008" t="s">
        <v>670</v>
      </c>
      <c r="Y3082" s="1008"/>
      <c r="Z3082" s="1008"/>
      <c r="AA3082" s="1008" t="s">
        <v>670</v>
      </c>
      <c r="AB3082" s="1008"/>
      <c r="AC3082" s="1008"/>
      <c r="AD3082" s="1008"/>
      <c r="AE3082" s="1008"/>
      <c r="AF3082" s="1008"/>
      <c r="AG3082" s="1008"/>
      <c r="AH3082" s="1008"/>
      <c r="AI3082" s="1008"/>
    </row>
    <row r="3083" spans="1:35">
      <c r="A3083" s="1008">
        <v>25209</v>
      </c>
      <c r="B3083" s="1008">
        <v>5474</v>
      </c>
      <c r="C3083" s="1008">
        <v>8</v>
      </c>
      <c r="D3083" s="1009">
        <v>61018999</v>
      </c>
      <c r="E3083" s="1009">
        <v>61014000</v>
      </c>
      <c r="F3083" s="1007" t="s">
        <v>1610</v>
      </c>
      <c r="G3083" s="1007">
        <v>7</v>
      </c>
      <c r="H3083" s="1010">
        <v>99999999</v>
      </c>
      <c r="I3083" s="1009">
        <v>61014000</v>
      </c>
      <c r="J3083" s="1007" t="s">
        <v>1610</v>
      </c>
      <c r="O3083" s="1007" t="s">
        <v>648</v>
      </c>
      <c r="P3083" s="1007" t="s">
        <v>648</v>
      </c>
      <c r="S3083" s="1008" t="s">
        <v>650</v>
      </c>
      <c r="T3083" s="1008" t="s">
        <v>654</v>
      </c>
      <c r="U3083" s="1008" t="s">
        <v>653</v>
      </c>
      <c r="V3083" s="1008" t="s">
        <v>648</v>
      </c>
      <c r="W3083" s="1008" t="s">
        <v>546</v>
      </c>
      <c r="X3083" s="1008" t="s">
        <v>670</v>
      </c>
      <c r="Y3083" s="1008"/>
      <c r="Z3083" s="1008"/>
      <c r="AA3083" s="1008" t="s">
        <v>670</v>
      </c>
      <c r="AB3083" s="1008"/>
      <c r="AC3083" s="1008"/>
      <c r="AD3083" s="1008"/>
      <c r="AE3083" s="1008"/>
      <c r="AF3083" s="1008"/>
      <c r="AG3083" s="1008"/>
      <c r="AH3083" s="1008"/>
      <c r="AI3083" s="1008"/>
    </row>
    <row r="3084" spans="1:35">
      <c r="A3084" s="1008">
        <v>27033</v>
      </c>
      <c r="C3084" s="1008">
        <v>7</v>
      </c>
      <c r="D3084" s="1009">
        <v>61019999</v>
      </c>
      <c r="E3084" s="1009">
        <v>61018999</v>
      </c>
      <c r="F3084" s="1007" t="s">
        <v>1520</v>
      </c>
      <c r="O3084" s="1007" t="s">
        <v>648</v>
      </c>
      <c r="P3084" s="1007" t="s">
        <v>648</v>
      </c>
      <c r="S3084" s="1008" t="s">
        <v>650</v>
      </c>
      <c r="T3084" s="1008" t="s">
        <v>21</v>
      </c>
      <c r="U3084" s="1008" t="s">
        <v>653</v>
      </c>
      <c r="V3084" s="1008" t="s">
        <v>648</v>
      </c>
      <c r="W3084" s="1008" t="s">
        <v>546</v>
      </c>
      <c r="X3084" s="1008"/>
      <c r="Y3084" s="1008"/>
      <c r="Z3084" s="1008"/>
      <c r="AA3084" s="1008"/>
      <c r="AB3084" s="1008"/>
      <c r="AC3084" s="1008"/>
      <c r="AD3084" s="1008"/>
      <c r="AE3084" s="1008"/>
      <c r="AF3084" s="1008"/>
      <c r="AG3084" s="1008"/>
      <c r="AH3084" s="1008"/>
      <c r="AI3084" s="1008"/>
    </row>
    <row r="3085" spans="1:35">
      <c r="A3085" s="1008">
        <v>26555</v>
      </c>
      <c r="B3085" s="1008">
        <v>5820</v>
      </c>
      <c r="C3085" s="1008">
        <v>7</v>
      </c>
      <c r="D3085" s="1009">
        <v>61019999</v>
      </c>
      <c r="E3085" s="1009">
        <v>61019000</v>
      </c>
      <c r="F3085" s="1007" t="s">
        <v>1521</v>
      </c>
      <c r="G3085" s="1007" t="s">
        <v>648</v>
      </c>
      <c r="H3085" s="1010">
        <v>99999999</v>
      </c>
      <c r="I3085" s="1009">
        <v>61019000</v>
      </c>
      <c r="J3085" s="1007" t="s">
        <v>1521</v>
      </c>
      <c r="O3085" s="1007" t="s">
        <v>648</v>
      </c>
      <c r="P3085" s="1007" t="s">
        <v>648</v>
      </c>
      <c r="S3085" s="1008" t="s">
        <v>650</v>
      </c>
      <c r="T3085" s="1008" t="s">
        <v>654</v>
      </c>
      <c r="U3085" s="1008" t="s">
        <v>653</v>
      </c>
      <c r="V3085" s="1008" t="s">
        <v>648</v>
      </c>
      <c r="W3085" s="1008" t="s">
        <v>546</v>
      </c>
      <c r="X3085" s="1008" t="s">
        <v>670</v>
      </c>
      <c r="Y3085" s="1008" t="s">
        <v>670</v>
      </c>
      <c r="Z3085" s="1008" t="s">
        <v>670</v>
      </c>
      <c r="AA3085" s="1008"/>
      <c r="AB3085" s="1008" t="s">
        <v>670</v>
      </c>
      <c r="AC3085" s="1008"/>
      <c r="AD3085" s="1008"/>
      <c r="AE3085" s="1008"/>
      <c r="AF3085" s="1008" t="s">
        <v>670</v>
      </c>
      <c r="AG3085" s="1008"/>
      <c r="AH3085" s="1008"/>
      <c r="AI3085" s="1008"/>
    </row>
    <row r="3086" spans="1:35">
      <c r="A3086" s="1008">
        <v>25207</v>
      </c>
      <c r="C3086" s="1008">
        <v>6</v>
      </c>
      <c r="D3086" s="1009">
        <v>61199999</v>
      </c>
      <c r="E3086" s="1009">
        <v>61019999</v>
      </c>
      <c r="F3086" s="1007" t="s">
        <v>1520</v>
      </c>
      <c r="O3086" s="1007" t="s">
        <v>648</v>
      </c>
      <c r="P3086" s="1007" t="s">
        <v>648</v>
      </c>
      <c r="S3086" s="1008" t="s">
        <v>650</v>
      </c>
      <c r="T3086" s="1008" t="s">
        <v>21</v>
      </c>
      <c r="U3086" s="1008" t="s">
        <v>653</v>
      </c>
      <c r="V3086" s="1008" t="s">
        <v>648</v>
      </c>
      <c r="W3086" s="1008" t="s">
        <v>546</v>
      </c>
      <c r="X3086" s="1008"/>
      <c r="Y3086" s="1008"/>
      <c r="Z3086" s="1008"/>
      <c r="AA3086" s="1008"/>
      <c r="AB3086" s="1008"/>
      <c r="AC3086" s="1008"/>
      <c r="AD3086" s="1008"/>
      <c r="AE3086" s="1008"/>
      <c r="AF3086" s="1008"/>
      <c r="AG3086" s="1008"/>
      <c r="AH3086" s="1008"/>
      <c r="AI3086" s="1008"/>
    </row>
    <row r="3087" spans="1:35">
      <c r="A3087" s="1008">
        <v>25211</v>
      </c>
      <c r="C3087" s="1008">
        <v>6</v>
      </c>
      <c r="D3087" s="1009">
        <v>61039999</v>
      </c>
      <c r="E3087" s="1009">
        <v>61030000</v>
      </c>
      <c r="F3087" s="1007" t="s">
        <v>1519</v>
      </c>
      <c r="O3087" s="1007" t="s">
        <v>648</v>
      </c>
      <c r="P3087" s="1007" t="s">
        <v>648</v>
      </c>
      <c r="S3087" s="1008" t="s">
        <v>650</v>
      </c>
      <c r="T3087" s="1008" t="s">
        <v>675</v>
      </c>
      <c r="U3087" s="1008" t="s">
        <v>653</v>
      </c>
      <c r="V3087" s="1008" t="s">
        <v>648</v>
      </c>
      <c r="W3087" s="1008" t="s">
        <v>546</v>
      </c>
      <c r="X3087" s="1008"/>
      <c r="Y3087" s="1008"/>
      <c r="Z3087" s="1008"/>
      <c r="AA3087" s="1008"/>
      <c r="AB3087" s="1008"/>
      <c r="AC3087" s="1008"/>
      <c r="AD3087" s="1008"/>
      <c r="AE3087" s="1008"/>
      <c r="AF3087" s="1008"/>
      <c r="AG3087" s="1008"/>
      <c r="AH3087" s="1008"/>
      <c r="AI3087" s="1008"/>
    </row>
    <row r="3088" spans="1:35">
      <c r="A3088" s="1008">
        <v>27034</v>
      </c>
      <c r="C3088" s="1008">
        <v>7</v>
      </c>
      <c r="D3088" s="1009">
        <v>61035999</v>
      </c>
      <c r="E3088" s="1009">
        <v>61030050</v>
      </c>
      <c r="F3088" s="1007" t="s">
        <v>1518</v>
      </c>
      <c r="O3088" s="1007" t="s">
        <v>648</v>
      </c>
      <c r="P3088" s="1007" t="s">
        <v>648</v>
      </c>
      <c r="S3088" s="1008" t="s">
        <v>650</v>
      </c>
      <c r="T3088" s="1008" t="s">
        <v>675</v>
      </c>
      <c r="U3088" s="1008" t="s">
        <v>653</v>
      </c>
      <c r="V3088" s="1008" t="s">
        <v>648</v>
      </c>
      <c r="W3088" s="1008" t="s">
        <v>546</v>
      </c>
      <c r="X3088" s="1008"/>
      <c r="Y3088" s="1008"/>
      <c r="Z3088" s="1008"/>
      <c r="AA3088" s="1008"/>
      <c r="AB3088" s="1008"/>
      <c r="AC3088" s="1008"/>
      <c r="AD3088" s="1008"/>
      <c r="AE3088" s="1008"/>
      <c r="AF3088" s="1008"/>
      <c r="AG3088" s="1008"/>
      <c r="AH3088" s="1008"/>
      <c r="AI3088" s="1008"/>
    </row>
    <row r="3089" spans="1:35">
      <c r="A3089" s="1008">
        <v>25212</v>
      </c>
      <c r="B3089" s="1008">
        <v>544</v>
      </c>
      <c r="C3089" s="1008">
        <v>8</v>
      </c>
      <c r="D3089" s="1009">
        <v>61035999</v>
      </c>
      <c r="E3089" s="1009">
        <v>61031000</v>
      </c>
      <c r="F3089" s="1007" t="s">
        <v>1518</v>
      </c>
      <c r="G3089" s="1007">
        <v>8</v>
      </c>
      <c r="H3089" s="1010">
        <v>99999999</v>
      </c>
      <c r="I3089" s="1009">
        <v>61031000</v>
      </c>
      <c r="J3089" s="1007" t="s">
        <v>1518</v>
      </c>
      <c r="O3089" s="1007" t="s">
        <v>648</v>
      </c>
      <c r="P3089" s="1007" t="s">
        <v>648</v>
      </c>
      <c r="S3089" s="1008" t="s">
        <v>650</v>
      </c>
      <c r="T3089" s="1008" t="s">
        <v>654</v>
      </c>
      <c r="U3089" s="1008" t="s">
        <v>653</v>
      </c>
      <c r="V3089" s="1008" t="s">
        <v>648</v>
      </c>
      <c r="W3089" s="1008" t="s">
        <v>546</v>
      </c>
      <c r="X3089" s="1008" t="s">
        <v>670</v>
      </c>
      <c r="Y3089" s="1008"/>
      <c r="Z3089" s="1008"/>
      <c r="AA3089" s="1008" t="s">
        <v>670</v>
      </c>
      <c r="AB3089" s="1008"/>
      <c r="AC3089" s="1008" t="s">
        <v>670</v>
      </c>
      <c r="AD3089" s="1008"/>
      <c r="AE3089" s="1008"/>
      <c r="AF3089" s="1008"/>
      <c r="AG3089" s="1008" t="s">
        <v>670</v>
      </c>
      <c r="AH3089" s="1008"/>
      <c r="AI3089" s="1008"/>
    </row>
    <row r="3090" spans="1:35">
      <c r="A3090" s="1008">
        <v>25213</v>
      </c>
      <c r="B3090" s="1008">
        <v>2285</v>
      </c>
      <c r="C3090" s="1008">
        <v>8</v>
      </c>
      <c r="D3090" s="1009">
        <v>61035999</v>
      </c>
      <c r="E3090" s="1009">
        <v>61032000</v>
      </c>
      <c r="F3090" s="1007" t="s">
        <v>1609</v>
      </c>
      <c r="G3090" s="1007">
        <v>7</v>
      </c>
      <c r="H3090" s="1010">
        <v>99999999</v>
      </c>
      <c r="I3090" s="1009">
        <v>61032000</v>
      </c>
      <c r="J3090" s="1007" t="s">
        <v>1609</v>
      </c>
      <c r="O3090" s="1007" t="s">
        <v>648</v>
      </c>
      <c r="P3090" s="1007" t="s">
        <v>648</v>
      </c>
      <c r="S3090" s="1008" t="s">
        <v>650</v>
      </c>
      <c r="T3090" s="1008" t="s">
        <v>654</v>
      </c>
      <c r="U3090" s="1008" t="s">
        <v>653</v>
      </c>
      <c r="V3090" s="1008" t="s">
        <v>648</v>
      </c>
      <c r="W3090" s="1008" t="s">
        <v>546</v>
      </c>
      <c r="X3090" s="1008" t="s">
        <v>670</v>
      </c>
      <c r="Y3090" s="1008"/>
      <c r="Z3090" s="1008"/>
      <c r="AA3090" s="1008" t="s">
        <v>670</v>
      </c>
      <c r="AB3090" s="1008"/>
      <c r="AC3090" s="1008"/>
      <c r="AD3090" s="1008"/>
      <c r="AE3090" s="1008"/>
      <c r="AF3090" s="1008"/>
      <c r="AG3090" s="1008"/>
      <c r="AH3090" s="1008"/>
      <c r="AI3090" s="1008"/>
    </row>
    <row r="3091" spans="1:35">
      <c r="A3091" s="1008">
        <v>25214</v>
      </c>
      <c r="B3091" s="1008">
        <v>2286</v>
      </c>
      <c r="C3091" s="1008">
        <v>8</v>
      </c>
      <c r="D3091" s="1009">
        <v>61035999</v>
      </c>
      <c r="E3091" s="1009">
        <v>61032500</v>
      </c>
      <c r="F3091" s="1007" t="s">
        <v>1608</v>
      </c>
      <c r="G3091" s="1007">
        <v>7</v>
      </c>
      <c r="H3091" s="1010">
        <v>99999999</v>
      </c>
      <c r="I3091" s="1009">
        <v>61032500</v>
      </c>
      <c r="J3091" s="1007" t="s">
        <v>1608</v>
      </c>
      <c r="O3091" s="1007" t="s">
        <v>648</v>
      </c>
      <c r="P3091" s="1007" t="s">
        <v>648</v>
      </c>
      <c r="S3091" s="1008" t="s">
        <v>650</v>
      </c>
      <c r="T3091" s="1008" t="s">
        <v>654</v>
      </c>
      <c r="U3091" s="1008" t="s">
        <v>653</v>
      </c>
      <c r="V3091" s="1008" t="s">
        <v>648</v>
      </c>
      <c r="W3091" s="1008" t="s">
        <v>546</v>
      </c>
      <c r="X3091" s="1008" t="s">
        <v>670</v>
      </c>
      <c r="Y3091" s="1008"/>
      <c r="Z3091" s="1008"/>
      <c r="AA3091" s="1008" t="s">
        <v>670</v>
      </c>
      <c r="AB3091" s="1008"/>
      <c r="AC3091" s="1008"/>
      <c r="AD3091" s="1008"/>
      <c r="AE3091" s="1008"/>
      <c r="AF3091" s="1008"/>
      <c r="AG3091" s="1008"/>
      <c r="AH3091" s="1008"/>
      <c r="AI3091" s="1008"/>
    </row>
    <row r="3092" spans="1:35">
      <c r="A3092" s="1008">
        <v>25215</v>
      </c>
      <c r="B3092" s="1008">
        <v>5476</v>
      </c>
      <c r="C3092" s="1008">
        <v>8</v>
      </c>
      <c r="D3092" s="1009">
        <v>61035999</v>
      </c>
      <c r="E3092" s="1009">
        <v>61033000</v>
      </c>
      <c r="F3092" s="1007" t="s">
        <v>1517</v>
      </c>
      <c r="G3092" s="1007">
        <v>7</v>
      </c>
      <c r="H3092" s="1010">
        <v>99999999</v>
      </c>
      <c r="I3092" s="1009">
        <v>61033000</v>
      </c>
      <c r="J3092" s="1007" t="s">
        <v>1517</v>
      </c>
      <c r="O3092" s="1007" t="s">
        <v>648</v>
      </c>
      <c r="P3092" s="1007" t="s">
        <v>648</v>
      </c>
      <c r="S3092" s="1008" t="s">
        <v>650</v>
      </c>
      <c r="T3092" s="1008" t="s">
        <v>654</v>
      </c>
      <c r="U3092" s="1008" t="s">
        <v>653</v>
      </c>
      <c r="V3092" s="1008" t="s">
        <v>648</v>
      </c>
      <c r="W3092" s="1008" t="s">
        <v>546</v>
      </c>
      <c r="X3092" s="1008" t="s">
        <v>670</v>
      </c>
      <c r="Y3092" s="1008" t="s">
        <v>670</v>
      </c>
      <c r="Z3092" s="1008" t="s">
        <v>670</v>
      </c>
      <c r="AA3092" s="1008" t="s">
        <v>670</v>
      </c>
      <c r="AB3092" s="1008" t="s">
        <v>670</v>
      </c>
      <c r="AC3092" s="1008" t="s">
        <v>670</v>
      </c>
      <c r="AD3092" s="1008" t="s">
        <v>670</v>
      </c>
      <c r="AE3092" s="1008" t="s">
        <v>670</v>
      </c>
      <c r="AF3092" s="1008" t="s">
        <v>670</v>
      </c>
      <c r="AG3092" s="1008" t="s">
        <v>670</v>
      </c>
      <c r="AH3092" s="1008" t="s">
        <v>670</v>
      </c>
      <c r="AI3092" s="1008" t="s">
        <v>670</v>
      </c>
    </row>
    <row r="3093" spans="1:35">
      <c r="A3093" s="1008">
        <v>27035</v>
      </c>
      <c r="C3093" s="1008">
        <v>7</v>
      </c>
      <c r="D3093" s="1009">
        <v>61039999</v>
      </c>
      <c r="E3093" s="1009">
        <v>61035999</v>
      </c>
      <c r="F3093" s="1007" t="s">
        <v>1516</v>
      </c>
      <c r="O3093" s="1007" t="s">
        <v>648</v>
      </c>
      <c r="P3093" s="1007" t="s">
        <v>648</v>
      </c>
      <c r="S3093" s="1008" t="s">
        <v>650</v>
      </c>
      <c r="T3093" s="1008" t="s">
        <v>21</v>
      </c>
      <c r="U3093" s="1008" t="s">
        <v>653</v>
      </c>
      <c r="V3093" s="1008" t="s">
        <v>648</v>
      </c>
      <c r="W3093" s="1008" t="s">
        <v>546</v>
      </c>
      <c r="X3093" s="1008"/>
      <c r="Y3093" s="1008"/>
      <c r="Z3093" s="1008"/>
      <c r="AA3093" s="1008"/>
      <c r="AB3093" s="1008"/>
      <c r="AC3093" s="1008"/>
      <c r="AD3093" s="1008"/>
      <c r="AE3093" s="1008"/>
      <c r="AF3093" s="1008"/>
      <c r="AG3093" s="1008"/>
      <c r="AH3093" s="1008"/>
      <c r="AI3093" s="1008"/>
    </row>
    <row r="3094" spans="1:35">
      <c r="A3094" s="1008">
        <v>27036</v>
      </c>
      <c r="B3094" s="1008">
        <v>5913</v>
      </c>
      <c r="C3094" s="1008">
        <v>7</v>
      </c>
      <c r="D3094" s="1009">
        <v>61039999</v>
      </c>
      <c r="E3094" s="1009">
        <v>61039000</v>
      </c>
      <c r="F3094" s="1007" t="s">
        <v>1515</v>
      </c>
      <c r="G3094" s="1007" t="s">
        <v>648</v>
      </c>
      <c r="H3094" s="1010">
        <v>99999999</v>
      </c>
      <c r="I3094" s="1009">
        <v>61039000</v>
      </c>
      <c r="J3094" s="1007" t="s">
        <v>1515</v>
      </c>
      <c r="O3094" s="1007" t="s">
        <v>648</v>
      </c>
      <c r="P3094" s="1007" t="s">
        <v>648</v>
      </c>
      <c r="S3094" s="1008" t="s">
        <v>650</v>
      </c>
      <c r="T3094" s="1008" t="s">
        <v>654</v>
      </c>
      <c r="U3094" s="1008" t="s">
        <v>653</v>
      </c>
      <c r="V3094" s="1008" t="s">
        <v>648</v>
      </c>
      <c r="W3094" s="1008" t="s">
        <v>546</v>
      </c>
      <c r="X3094" s="1008" t="s">
        <v>670</v>
      </c>
      <c r="Y3094" s="1008" t="s">
        <v>670</v>
      </c>
      <c r="Z3094" s="1008" t="s">
        <v>670</v>
      </c>
      <c r="AA3094" s="1008"/>
      <c r="AB3094" s="1008" t="s">
        <v>670</v>
      </c>
      <c r="AC3094" s="1008"/>
      <c r="AD3094" s="1008"/>
      <c r="AE3094" s="1008"/>
      <c r="AF3094" s="1008" t="s">
        <v>670</v>
      </c>
      <c r="AG3094" s="1008"/>
      <c r="AH3094" s="1008"/>
      <c r="AI3094" s="1008"/>
    </row>
    <row r="3095" spans="1:35">
      <c r="A3095" s="1008">
        <v>25216</v>
      </c>
      <c r="C3095" s="1008">
        <v>6</v>
      </c>
      <c r="D3095" s="1009">
        <v>61199999</v>
      </c>
      <c r="E3095" s="1009">
        <v>61039999</v>
      </c>
      <c r="F3095" s="1007" t="s">
        <v>1514</v>
      </c>
      <c r="O3095" s="1007" t="s">
        <v>648</v>
      </c>
      <c r="P3095" s="1007" t="s">
        <v>648</v>
      </c>
      <c r="S3095" s="1008" t="s">
        <v>650</v>
      </c>
      <c r="T3095" s="1008" t="s">
        <v>21</v>
      </c>
      <c r="U3095" s="1008" t="s">
        <v>653</v>
      </c>
      <c r="V3095" s="1008" t="s">
        <v>648</v>
      </c>
      <c r="W3095" s="1008" t="s">
        <v>546</v>
      </c>
      <c r="X3095" s="1008"/>
      <c r="Y3095" s="1008"/>
      <c r="Z3095" s="1008"/>
      <c r="AA3095" s="1008"/>
      <c r="AB3095" s="1008"/>
      <c r="AC3095" s="1008"/>
      <c r="AD3095" s="1008"/>
      <c r="AE3095" s="1008"/>
      <c r="AF3095" s="1008"/>
      <c r="AG3095" s="1008"/>
      <c r="AH3095" s="1008"/>
      <c r="AI3095" s="1008"/>
    </row>
    <row r="3096" spans="1:35">
      <c r="A3096" s="1008">
        <v>25217</v>
      </c>
      <c r="C3096" s="1008">
        <v>6</v>
      </c>
      <c r="D3096" s="1009">
        <v>61049999</v>
      </c>
      <c r="E3096" s="1009">
        <v>61040000</v>
      </c>
      <c r="F3096" s="1007" t="s">
        <v>1607</v>
      </c>
      <c r="O3096" s="1007" t="s">
        <v>648</v>
      </c>
      <c r="P3096" s="1007" t="s">
        <v>648</v>
      </c>
      <c r="S3096" s="1008" t="s">
        <v>650</v>
      </c>
      <c r="T3096" s="1008" t="s">
        <v>675</v>
      </c>
      <c r="U3096" s="1008" t="s">
        <v>653</v>
      </c>
      <c r="V3096" s="1008" t="s">
        <v>648</v>
      </c>
      <c r="W3096" s="1008" t="s">
        <v>546</v>
      </c>
      <c r="X3096" s="1008"/>
      <c r="Y3096" s="1008"/>
      <c r="Z3096" s="1008"/>
      <c r="AA3096" s="1008"/>
      <c r="AB3096" s="1008"/>
      <c r="AC3096" s="1008"/>
      <c r="AD3096" s="1008"/>
      <c r="AE3096" s="1008"/>
      <c r="AF3096" s="1008"/>
      <c r="AG3096" s="1008"/>
      <c r="AH3096" s="1008"/>
      <c r="AI3096" s="1008"/>
    </row>
    <row r="3097" spans="1:35">
      <c r="A3097" s="1008">
        <v>27037</v>
      </c>
      <c r="C3097" s="1008">
        <v>7</v>
      </c>
      <c r="D3097" s="1009">
        <v>61045999</v>
      </c>
      <c r="E3097" s="1009">
        <v>61040050</v>
      </c>
      <c r="F3097" s="1007" t="s">
        <v>1606</v>
      </c>
      <c r="O3097" s="1007" t="s">
        <v>648</v>
      </c>
      <c r="P3097" s="1007" t="s">
        <v>648</v>
      </c>
      <c r="S3097" s="1008" t="s">
        <v>650</v>
      </c>
      <c r="T3097" s="1008" t="s">
        <v>675</v>
      </c>
      <c r="U3097" s="1008" t="s">
        <v>653</v>
      </c>
      <c r="V3097" s="1008" t="s">
        <v>648</v>
      </c>
      <c r="W3097" s="1008" t="s">
        <v>546</v>
      </c>
      <c r="X3097" s="1008"/>
      <c r="Y3097" s="1008"/>
      <c r="Z3097" s="1008"/>
      <c r="AA3097" s="1008"/>
      <c r="AB3097" s="1008"/>
      <c r="AC3097" s="1008"/>
      <c r="AD3097" s="1008"/>
      <c r="AE3097" s="1008"/>
      <c r="AF3097" s="1008"/>
      <c r="AG3097" s="1008"/>
      <c r="AH3097" s="1008"/>
      <c r="AI3097" s="1008"/>
    </row>
    <row r="3098" spans="1:35">
      <c r="A3098" s="1008">
        <v>25218</v>
      </c>
      <c r="B3098" s="1008">
        <v>2288</v>
      </c>
      <c r="C3098" s="1008">
        <v>8</v>
      </c>
      <c r="D3098" s="1009">
        <v>61045999</v>
      </c>
      <c r="E3098" s="1009">
        <v>61041000</v>
      </c>
      <c r="F3098" s="1007" t="s">
        <v>1605</v>
      </c>
      <c r="G3098" s="1007">
        <v>7</v>
      </c>
      <c r="H3098" s="1010">
        <v>99999999</v>
      </c>
      <c r="I3098" s="1009">
        <v>61041000</v>
      </c>
      <c r="J3098" s="1007" t="s">
        <v>1605</v>
      </c>
      <c r="O3098" s="1007" t="s">
        <v>648</v>
      </c>
      <c r="P3098" s="1007" t="s">
        <v>648</v>
      </c>
      <c r="S3098" s="1008" t="s">
        <v>650</v>
      </c>
      <c r="T3098" s="1008" t="s">
        <v>654</v>
      </c>
      <c r="U3098" s="1008" t="s">
        <v>653</v>
      </c>
      <c r="V3098" s="1008" t="s">
        <v>648</v>
      </c>
      <c r="W3098" s="1008" t="s">
        <v>546</v>
      </c>
      <c r="X3098" s="1008" t="s">
        <v>670</v>
      </c>
      <c r="Y3098" s="1008"/>
      <c r="Z3098" s="1008"/>
      <c r="AA3098" s="1008" t="s">
        <v>670</v>
      </c>
      <c r="AB3098" s="1008"/>
      <c r="AC3098" s="1008"/>
      <c r="AD3098" s="1008"/>
      <c r="AE3098" s="1008"/>
      <c r="AF3098" s="1008"/>
      <c r="AG3098" s="1008"/>
      <c r="AH3098" s="1008"/>
      <c r="AI3098" s="1008"/>
    </row>
    <row r="3099" spans="1:35">
      <c r="A3099" s="1008">
        <v>25219</v>
      </c>
      <c r="B3099" s="1008">
        <v>2289</v>
      </c>
      <c r="C3099" s="1008">
        <v>8</v>
      </c>
      <c r="D3099" s="1009">
        <v>61045999</v>
      </c>
      <c r="E3099" s="1009">
        <v>61042000</v>
      </c>
      <c r="F3099" s="1007" t="s">
        <v>1604</v>
      </c>
      <c r="G3099" s="1007">
        <v>7</v>
      </c>
      <c r="H3099" s="1010">
        <v>99999999</v>
      </c>
      <c r="I3099" s="1009">
        <v>61042000</v>
      </c>
      <c r="J3099" s="1007" t="s">
        <v>1604</v>
      </c>
      <c r="O3099" s="1007" t="s">
        <v>648</v>
      </c>
      <c r="P3099" s="1007" t="s">
        <v>648</v>
      </c>
      <c r="S3099" s="1008" t="s">
        <v>650</v>
      </c>
      <c r="T3099" s="1008" t="s">
        <v>654</v>
      </c>
      <c r="U3099" s="1008" t="s">
        <v>653</v>
      </c>
      <c r="V3099" s="1008" t="s">
        <v>648</v>
      </c>
      <c r="W3099" s="1008" t="s">
        <v>546</v>
      </c>
      <c r="X3099" s="1008" t="s">
        <v>670</v>
      </c>
      <c r="Y3099" s="1008"/>
      <c r="Z3099" s="1008"/>
      <c r="AA3099" s="1008" t="s">
        <v>670</v>
      </c>
      <c r="AB3099" s="1008"/>
      <c r="AC3099" s="1008"/>
      <c r="AD3099" s="1008"/>
      <c r="AE3099" s="1008"/>
      <c r="AF3099" s="1008"/>
      <c r="AG3099" s="1008"/>
      <c r="AH3099" s="1008"/>
      <c r="AI3099" s="1008"/>
    </row>
    <row r="3100" spans="1:35">
      <c r="A3100" s="1008">
        <v>25220</v>
      </c>
      <c r="B3100" s="1008">
        <v>2290</v>
      </c>
      <c r="C3100" s="1008">
        <v>8</v>
      </c>
      <c r="D3100" s="1009">
        <v>61045999</v>
      </c>
      <c r="E3100" s="1009">
        <v>61043000</v>
      </c>
      <c r="F3100" s="1007" t="s">
        <v>1603</v>
      </c>
      <c r="G3100" s="1007">
        <v>7</v>
      </c>
      <c r="H3100" s="1010">
        <v>99999999</v>
      </c>
      <c r="I3100" s="1009">
        <v>61043000</v>
      </c>
      <c r="J3100" s="1007" t="s">
        <v>1603</v>
      </c>
      <c r="O3100" s="1007" t="s">
        <v>648</v>
      </c>
      <c r="P3100" s="1007" t="s">
        <v>648</v>
      </c>
      <c r="S3100" s="1008" t="s">
        <v>650</v>
      </c>
      <c r="T3100" s="1008" t="s">
        <v>654</v>
      </c>
      <c r="U3100" s="1008" t="s">
        <v>653</v>
      </c>
      <c r="V3100" s="1008" t="s">
        <v>648</v>
      </c>
      <c r="W3100" s="1008" t="s">
        <v>546</v>
      </c>
      <c r="X3100" s="1008" t="s">
        <v>670</v>
      </c>
      <c r="Y3100" s="1008"/>
      <c r="Z3100" s="1008"/>
      <c r="AA3100" s="1008" t="s">
        <v>670</v>
      </c>
      <c r="AB3100" s="1008"/>
      <c r="AC3100" s="1008"/>
      <c r="AD3100" s="1008"/>
      <c r="AE3100" s="1008"/>
      <c r="AF3100" s="1008"/>
      <c r="AG3100" s="1008"/>
      <c r="AH3100" s="1008"/>
      <c r="AI3100" s="1008"/>
    </row>
    <row r="3101" spans="1:35">
      <c r="A3101" s="1008">
        <v>25221</v>
      </c>
      <c r="B3101" s="1008">
        <v>2291</v>
      </c>
      <c r="C3101" s="1008">
        <v>8</v>
      </c>
      <c r="D3101" s="1009">
        <v>61045999</v>
      </c>
      <c r="E3101" s="1009">
        <v>61044000</v>
      </c>
      <c r="F3101" s="1007" t="s">
        <v>1602</v>
      </c>
      <c r="G3101" s="1007">
        <v>7</v>
      </c>
      <c r="H3101" s="1010">
        <v>99999999</v>
      </c>
      <c r="I3101" s="1009">
        <v>61044000</v>
      </c>
      <c r="J3101" s="1007" t="s">
        <v>1602</v>
      </c>
      <c r="O3101" s="1007" t="s">
        <v>648</v>
      </c>
      <c r="P3101" s="1007" t="s">
        <v>648</v>
      </c>
      <c r="S3101" s="1008" t="s">
        <v>650</v>
      </c>
      <c r="T3101" s="1008" t="s">
        <v>654</v>
      </c>
      <c r="U3101" s="1008" t="s">
        <v>653</v>
      </c>
      <c r="V3101" s="1008" t="s">
        <v>648</v>
      </c>
      <c r="W3101" s="1008" t="s">
        <v>546</v>
      </c>
      <c r="X3101" s="1008" t="s">
        <v>670</v>
      </c>
      <c r="Y3101" s="1008"/>
      <c r="Z3101" s="1008"/>
      <c r="AA3101" s="1008" t="s">
        <v>670</v>
      </c>
      <c r="AB3101" s="1008"/>
      <c r="AC3101" s="1008"/>
      <c r="AD3101" s="1008"/>
      <c r="AE3101" s="1008"/>
      <c r="AF3101" s="1008"/>
      <c r="AG3101" s="1008"/>
      <c r="AH3101" s="1008"/>
      <c r="AI3101" s="1008"/>
    </row>
    <row r="3102" spans="1:35">
      <c r="A3102" s="1008">
        <v>25222</v>
      </c>
      <c r="B3102" s="1008">
        <v>5478</v>
      </c>
      <c r="C3102" s="1008">
        <v>8</v>
      </c>
      <c r="D3102" s="1009">
        <v>61045999</v>
      </c>
      <c r="E3102" s="1009">
        <v>61045000</v>
      </c>
      <c r="F3102" s="1007" t="s">
        <v>1601</v>
      </c>
      <c r="G3102" s="1007">
        <v>7</v>
      </c>
      <c r="H3102" s="1010">
        <v>99999999</v>
      </c>
      <c r="I3102" s="1009">
        <v>61045000</v>
      </c>
      <c r="J3102" s="1007" t="s">
        <v>1601</v>
      </c>
      <c r="O3102" s="1007" t="s">
        <v>648</v>
      </c>
      <c r="P3102" s="1007" t="s">
        <v>648</v>
      </c>
      <c r="S3102" s="1008" t="s">
        <v>650</v>
      </c>
      <c r="T3102" s="1008" t="s">
        <v>654</v>
      </c>
      <c r="U3102" s="1008" t="s">
        <v>653</v>
      </c>
      <c r="V3102" s="1008" t="s">
        <v>648</v>
      </c>
      <c r="W3102" s="1008" t="s">
        <v>546</v>
      </c>
      <c r="X3102" s="1008" t="s">
        <v>670</v>
      </c>
      <c r="Y3102" s="1008"/>
      <c r="Z3102" s="1008"/>
      <c r="AA3102" s="1008" t="s">
        <v>670</v>
      </c>
      <c r="AB3102" s="1008"/>
      <c r="AC3102" s="1008"/>
      <c r="AD3102" s="1008"/>
      <c r="AE3102" s="1008"/>
      <c r="AF3102" s="1008"/>
      <c r="AG3102" s="1008"/>
      <c r="AH3102" s="1008"/>
      <c r="AI3102" s="1008"/>
    </row>
    <row r="3103" spans="1:35">
      <c r="A3103" s="1008">
        <v>27038</v>
      </c>
      <c r="C3103" s="1008">
        <v>7</v>
      </c>
      <c r="D3103" s="1009">
        <v>61049999</v>
      </c>
      <c r="E3103" s="1009">
        <v>61045999</v>
      </c>
      <c r="F3103" s="1007" t="s">
        <v>1600</v>
      </c>
      <c r="O3103" s="1007" t="s">
        <v>648</v>
      </c>
      <c r="P3103" s="1007" t="s">
        <v>648</v>
      </c>
      <c r="S3103" s="1008" t="s">
        <v>650</v>
      </c>
      <c r="T3103" s="1008" t="s">
        <v>21</v>
      </c>
      <c r="U3103" s="1008" t="s">
        <v>653</v>
      </c>
      <c r="V3103" s="1008" t="s">
        <v>648</v>
      </c>
      <c r="W3103" s="1008" t="s">
        <v>546</v>
      </c>
      <c r="X3103" s="1008"/>
      <c r="Y3103" s="1008"/>
      <c r="Z3103" s="1008"/>
      <c r="AA3103" s="1008"/>
      <c r="AB3103" s="1008"/>
      <c r="AC3103" s="1008"/>
      <c r="AD3103" s="1008"/>
      <c r="AE3103" s="1008"/>
      <c r="AF3103" s="1008"/>
      <c r="AG3103" s="1008"/>
      <c r="AH3103" s="1008"/>
      <c r="AI3103" s="1008"/>
    </row>
    <row r="3104" spans="1:35">
      <c r="A3104" s="1008">
        <v>27782</v>
      </c>
      <c r="C3104" s="1008">
        <v>7</v>
      </c>
      <c r="D3104" s="1009">
        <v>61046999</v>
      </c>
      <c r="E3104" s="1009">
        <v>61046000</v>
      </c>
      <c r="F3104" s="1007" t="s">
        <v>1599</v>
      </c>
      <c r="O3104" s="1007" t="s">
        <v>648</v>
      </c>
      <c r="P3104" s="1007" t="s">
        <v>648</v>
      </c>
      <c r="S3104" s="1008" t="s">
        <v>650</v>
      </c>
      <c r="T3104" s="1008" t="s">
        <v>675</v>
      </c>
      <c r="U3104" s="1008" t="s">
        <v>653</v>
      </c>
      <c r="V3104" s="1008" t="s">
        <v>648</v>
      </c>
      <c r="W3104" s="1008" t="s">
        <v>546</v>
      </c>
      <c r="X3104" s="1008"/>
      <c r="Y3104" s="1008"/>
      <c r="Z3104" s="1008"/>
      <c r="AA3104" s="1008"/>
      <c r="AB3104" s="1008"/>
      <c r="AC3104" s="1008"/>
      <c r="AD3104" s="1008"/>
      <c r="AE3104" s="1008"/>
      <c r="AF3104" s="1008"/>
      <c r="AG3104" s="1008"/>
      <c r="AH3104" s="1008"/>
      <c r="AI3104" s="1008"/>
    </row>
    <row r="3105" spans="1:35">
      <c r="A3105" s="1008">
        <v>27784</v>
      </c>
      <c r="B3105" s="1008">
        <v>6587</v>
      </c>
      <c r="C3105" s="1008">
        <v>8</v>
      </c>
      <c r="D3105" s="1009">
        <v>61046999</v>
      </c>
      <c r="E3105" s="1009">
        <v>61046110</v>
      </c>
      <c r="F3105" s="1007" t="s">
        <v>1598</v>
      </c>
      <c r="G3105" s="1007">
        <v>8</v>
      </c>
      <c r="H3105" s="1010">
        <v>99999999</v>
      </c>
      <c r="I3105" s="1009">
        <v>61046110</v>
      </c>
      <c r="J3105" s="1007" t="s">
        <v>1598</v>
      </c>
      <c r="O3105" s="1007" t="s">
        <v>648</v>
      </c>
      <c r="P3105" s="1007" t="s">
        <v>648</v>
      </c>
      <c r="S3105" s="1008" t="s">
        <v>650</v>
      </c>
      <c r="T3105" s="1008" t="s">
        <v>654</v>
      </c>
      <c r="U3105" s="1008" t="s">
        <v>653</v>
      </c>
      <c r="V3105" s="1008" t="s">
        <v>648</v>
      </c>
      <c r="W3105" s="1008" t="s">
        <v>546</v>
      </c>
      <c r="X3105" s="1008" t="s">
        <v>670</v>
      </c>
      <c r="Y3105" s="1008" t="s">
        <v>670</v>
      </c>
      <c r="Z3105" s="1008"/>
      <c r="AA3105" s="1008" t="s">
        <v>670</v>
      </c>
      <c r="AB3105" s="1008"/>
      <c r="AC3105" s="1008"/>
      <c r="AD3105" s="1008"/>
      <c r="AE3105" s="1008"/>
      <c r="AF3105" s="1008" t="s">
        <v>670</v>
      </c>
      <c r="AG3105" s="1008"/>
      <c r="AH3105" s="1008"/>
      <c r="AI3105" s="1008"/>
    </row>
    <row r="3106" spans="1:35">
      <c r="A3106" s="1008">
        <v>27785</v>
      </c>
      <c r="B3106" s="1008">
        <v>6588</v>
      </c>
      <c r="C3106" s="1008">
        <v>8</v>
      </c>
      <c r="D3106" s="1009">
        <v>61046999</v>
      </c>
      <c r="E3106" s="1009">
        <v>61046115</v>
      </c>
      <c r="F3106" s="1007" t="s">
        <v>1597</v>
      </c>
      <c r="G3106" s="1007">
        <v>8</v>
      </c>
      <c r="H3106" s="1010">
        <v>99999999</v>
      </c>
      <c r="I3106" s="1009">
        <v>61046115</v>
      </c>
      <c r="J3106" s="1007" t="s">
        <v>1597</v>
      </c>
      <c r="O3106" s="1007" t="s">
        <v>648</v>
      </c>
      <c r="P3106" s="1007" t="s">
        <v>648</v>
      </c>
      <c r="S3106" s="1008" t="s">
        <v>650</v>
      </c>
      <c r="T3106" s="1008" t="s">
        <v>654</v>
      </c>
      <c r="U3106" s="1008" t="s">
        <v>653</v>
      </c>
      <c r="V3106" s="1008" t="s">
        <v>648</v>
      </c>
      <c r="W3106" s="1008" t="s">
        <v>546</v>
      </c>
      <c r="X3106" s="1008" t="s">
        <v>670</v>
      </c>
      <c r="Y3106" s="1008" t="s">
        <v>670</v>
      </c>
      <c r="Z3106" s="1008"/>
      <c r="AA3106" s="1008" t="s">
        <v>670</v>
      </c>
      <c r="AB3106" s="1008"/>
      <c r="AC3106" s="1008"/>
      <c r="AD3106" s="1008"/>
      <c r="AE3106" s="1008"/>
      <c r="AF3106" s="1008" t="s">
        <v>670</v>
      </c>
      <c r="AG3106" s="1008"/>
      <c r="AH3106" s="1008"/>
      <c r="AI3106" s="1008"/>
    </row>
    <row r="3107" spans="1:35">
      <c r="A3107" s="1008">
        <v>27786</v>
      </c>
      <c r="B3107" s="1008">
        <v>6589</v>
      </c>
      <c r="C3107" s="1008">
        <v>8</v>
      </c>
      <c r="D3107" s="1009">
        <v>61046999</v>
      </c>
      <c r="E3107" s="1009">
        <v>61046120</v>
      </c>
      <c r="F3107" s="1007" t="s">
        <v>1596</v>
      </c>
      <c r="G3107" s="1007">
        <v>8</v>
      </c>
      <c r="H3107" s="1010">
        <v>99999999</v>
      </c>
      <c r="I3107" s="1009">
        <v>61046120</v>
      </c>
      <c r="J3107" s="1007" t="s">
        <v>1596</v>
      </c>
      <c r="O3107" s="1007" t="s">
        <v>648</v>
      </c>
      <c r="P3107" s="1007" t="s">
        <v>648</v>
      </c>
      <c r="S3107" s="1008" t="s">
        <v>650</v>
      </c>
      <c r="T3107" s="1008" t="s">
        <v>654</v>
      </c>
      <c r="U3107" s="1008" t="s">
        <v>653</v>
      </c>
      <c r="V3107" s="1008" t="s">
        <v>648</v>
      </c>
      <c r="W3107" s="1008" t="s">
        <v>546</v>
      </c>
      <c r="X3107" s="1008" t="s">
        <v>670</v>
      </c>
      <c r="Y3107" s="1008" t="s">
        <v>670</v>
      </c>
      <c r="Z3107" s="1008"/>
      <c r="AA3107" s="1008" t="s">
        <v>670</v>
      </c>
      <c r="AB3107" s="1008"/>
      <c r="AC3107" s="1008"/>
      <c r="AD3107" s="1008"/>
      <c r="AE3107" s="1008"/>
      <c r="AF3107" s="1008" t="s">
        <v>670</v>
      </c>
      <c r="AG3107" s="1008"/>
      <c r="AH3107" s="1008"/>
      <c r="AI3107" s="1008"/>
    </row>
    <row r="3108" spans="1:35">
      <c r="A3108" s="1008">
        <v>27787</v>
      </c>
      <c r="B3108" s="1008">
        <v>6590</v>
      </c>
      <c r="C3108" s="1008">
        <v>8</v>
      </c>
      <c r="D3108" s="1009">
        <v>61046999</v>
      </c>
      <c r="E3108" s="1009">
        <v>61046125</v>
      </c>
      <c r="F3108" s="1007" t="s">
        <v>1595</v>
      </c>
      <c r="G3108" s="1007">
        <v>8</v>
      </c>
      <c r="H3108" s="1010">
        <v>99999999</v>
      </c>
      <c r="I3108" s="1009">
        <v>61046125</v>
      </c>
      <c r="J3108" s="1007" t="s">
        <v>1595</v>
      </c>
      <c r="O3108" s="1007" t="s">
        <v>648</v>
      </c>
      <c r="P3108" s="1007" t="s">
        <v>648</v>
      </c>
      <c r="S3108" s="1008" t="s">
        <v>650</v>
      </c>
      <c r="T3108" s="1008" t="s">
        <v>654</v>
      </c>
      <c r="U3108" s="1008" t="s">
        <v>653</v>
      </c>
      <c r="V3108" s="1008" t="s">
        <v>648</v>
      </c>
      <c r="W3108" s="1008" t="s">
        <v>546</v>
      </c>
      <c r="X3108" s="1008" t="s">
        <v>670</v>
      </c>
      <c r="Y3108" s="1008" t="s">
        <v>670</v>
      </c>
      <c r="Z3108" s="1008"/>
      <c r="AA3108" s="1008" t="s">
        <v>670</v>
      </c>
      <c r="AB3108" s="1008"/>
      <c r="AC3108" s="1008"/>
      <c r="AD3108" s="1008"/>
      <c r="AE3108" s="1008"/>
      <c r="AF3108" s="1008" t="s">
        <v>670</v>
      </c>
      <c r="AG3108" s="1008"/>
      <c r="AH3108" s="1008"/>
      <c r="AI3108" s="1008"/>
    </row>
    <row r="3109" spans="1:35">
      <c r="A3109" s="1008">
        <v>27788</v>
      </c>
      <c r="B3109" s="1008">
        <v>6591</v>
      </c>
      <c r="C3109" s="1008">
        <v>8</v>
      </c>
      <c r="D3109" s="1009">
        <v>61046999</v>
      </c>
      <c r="E3109" s="1009">
        <v>61046130</v>
      </c>
      <c r="F3109" s="1007" t="s">
        <v>1594</v>
      </c>
      <c r="G3109" s="1007">
        <v>8</v>
      </c>
      <c r="H3109" s="1010">
        <v>99999999</v>
      </c>
      <c r="I3109" s="1009">
        <v>61046130</v>
      </c>
      <c r="J3109" s="1007" t="s">
        <v>1594</v>
      </c>
      <c r="O3109" s="1007" t="s">
        <v>648</v>
      </c>
      <c r="P3109" s="1007" t="s">
        <v>648</v>
      </c>
      <c r="S3109" s="1008" t="s">
        <v>650</v>
      </c>
      <c r="T3109" s="1008" t="s">
        <v>654</v>
      </c>
      <c r="U3109" s="1008" t="s">
        <v>653</v>
      </c>
      <c r="V3109" s="1008" t="s">
        <v>648</v>
      </c>
      <c r="W3109" s="1008" t="s">
        <v>546</v>
      </c>
      <c r="X3109" s="1008" t="s">
        <v>670</v>
      </c>
      <c r="Y3109" s="1008" t="s">
        <v>670</v>
      </c>
      <c r="Z3109" s="1008"/>
      <c r="AA3109" s="1008" t="s">
        <v>670</v>
      </c>
      <c r="AB3109" s="1008"/>
      <c r="AC3109" s="1008"/>
      <c r="AD3109" s="1008"/>
      <c r="AE3109" s="1008"/>
      <c r="AF3109" s="1008" t="s">
        <v>670</v>
      </c>
      <c r="AG3109" s="1008"/>
      <c r="AH3109" s="1008"/>
      <c r="AI3109" s="1008"/>
    </row>
    <row r="3110" spans="1:35">
      <c r="A3110" s="1008">
        <v>27801</v>
      </c>
      <c r="B3110" s="1008">
        <v>6600</v>
      </c>
      <c r="C3110" s="1008">
        <v>8</v>
      </c>
      <c r="D3110" s="1009">
        <v>61046999</v>
      </c>
      <c r="E3110" s="1009">
        <v>61046135</v>
      </c>
      <c r="F3110" s="1007" t="s">
        <v>1593</v>
      </c>
      <c r="G3110" s="1007">
        <v>8</v>
      </c>
      <c r="H3110" s="1010">
        <v>99999999</v>
      </c>
      <c r="I3110" s="1009">
        <v>61046135</v>
      </c>
      <c r="J3110" s="1007" t="s">
        <v>1593</v>
      </c>
      <c r="O3110" s="1007" t="s">
        <v>648</v>
      </c>
      <c r="P3110" s="1007" t="s">
        <v>648</v>
      </c>
      <c r="S3110" s="1008" t="s">
        <v>650</v>
      </c>
      <c r="T3110" s="1008" t="s">
        <v>654</v>
      </c>
      <c r="U3110" s="1008" t="s">
        <v>653</v>
      </c>
      <c r="V3110" s="1008" t="s">
        <v>648</v>
      </c>
      <c r="W3110" s="1008" t="s">
        <v>546</v>
      </c>
      <c r="X3110" s="1008" t="s">
        <v>670</v>
      </c>
      <c r="Y3110" s="1008" t="s">
        <v>670</v>
      </c>
      <c r="Z3110" s="1008"/>
      <c r="AA3110" s="1008" t="s">
        <v>670</v>
      </c>
      <c r="AB3110" s="1008"/>
      <c r="AC3110" s="1008"/>
      <c r="AD3110" s="1008"/>
      <c r="AE3110" s="1008"/>
      <c r="AF3110" s="1008" t="s">
        <v>670</v>
      </c>
      <c r="AG3110" s="1008"/>
      <c r="AH3110" s="1008"/>
      <c r="AI3110" s="1008"/>
    </row>
    <row r="3111" spans="1:35">
      <c r="A3111" s="1008">
        <v>27783</v>
      </c>
      <c r="C3111" s="1008">
        <v>7</v>
      </c>
      <c r="D3111" s="1009">
        <v>61049999</v>
      </c>
      <c r="E3111" s="1009">
        <v>61046999</v>
      </c>
      <c r="F3111" s="1007" t="s">
        <v>1592</v>
      </c>
      <c r="O3111" s="1007" t="s">
        <v>648</v>
      </c>
      <c r="P3111" s="1007" t="s">
        <v>648</v>
      </c>
      <c r="S3111" s="1008" t="s">
        <v>650</v>
      </c>
      <c r="T3111" s="1008" t="s">
        <v>21</v>
      </c>
      <c r="U3111" s="1008" t="s">
        <v>653</v>
      </c>
      <c r="V3111" s="1008" t="s">
        <v>648</v>
      </c>
      <c r="W3111" s="1008" t="s">
        <v>546</v>
      </c>
      <c r="X3111" s="1008"/>
      <c r="Y3111" s="1008"/>
      <c r="Z3111" s="1008"/>
      <c r="AA3111" s="1008"/>
      <c r="AB3111" s="1008"/>
      <c r="AC3111" s="1008"/>
      <c r="AD3111" s="1008"/>
      <c r="AE3111" s="1008"/>
      <c r="AF3111" s="1008"/>
      <c r="AG3111" s="1008"/>
      <c r="AH3111" s="1008"/>
      <c r="AI3111" s="1008"/>
    </row>
    <row r="3112" spans="1:35">
      <c r="A3112" s="1008">
        <v>27803</v>
      </c>
      <c r="C3112" s="1008">
        <v>7</v>
      </c>
      <c r="D3112" s="1009">
        <v>61047999</v>
      </c>
      <c r="E3112" s="1009">
        <v>61047000</v>
      </c>
      <c r="F3112" s="1007" t="s">
        <v>1591</v>
      </c>
      <c r="O3112" s="1007" t="s">
        <v>648</v>
      </c>
      <c r="P3112" s="1007" t="s">
        <v>648</v>
      </c>
      <c r="S3112" s="1008" t="s">
        <v>650</v>
      </c>
      <c r="T3112" s="1008" t="s">
        <v>675</v>
      </c>
      <c r="U3112" s="1008" t="s">
        <v>653</v>
      </c>
      <c r="V3112" s="1008" t="s">
        <v>648</v>
      </c>
      <c r="W3112" s="1008" t="s">
        <v>546</v>
      </c>
      <c r="X3112" s="1008"/>
      <c r="Y3112" s="1008"/>
      <c r="Z3112" s="1008"/>
      <c r="AA3112" s="1008"/>
      <c r="AB3112" s="1008"/>
      <c r="AC3112" s="1008"/>
      <c r="AD3112" s="1008"/>
      <c r="AE3112" s="1008"/>
      <c r="AF3112" s="1008"/>
      <c r="AG3112" s="1008"/>
      <c r="AH3112" s="1008"/>
      <c r="AI3112" s="1008"/>
    </row>
    <row r="3113" spans="1:35">
      <c r="A3113" s="1008">
        <v>27805</v>
      </c>
      <c r="B3113" s="1008">
        <v>6602</v>
      </c>
      <c r="C3113" s="1008">
        <v>8</v>
      </c>
      <c r="D3113" s="1009">
        <v>61047999</v>
      </c>
      <c r="E3113" s="1009">
        <v>61047010</v>
      </c>
      <c r="F3113" s="1007" t="s">
        <v>1590</v>
      </c>
      <c r="G3113" s="1007" t="s">
        <v>648</v>
      </c>
      <c r="H3113" s="1010">
        <v>99999999</v>
      </c>
      <c r="I3113" s="1009">
        <v>61047010</v>
      </c>
      <c r="J3113" s="1007" t="s">
        <v>1590</v>
      </c>
      <c r="O3113" s="1007" t="s">
        <v>648</v>
      </c>
      <c r="P3113" s="1007" t="s">
        <v>648</v>
      </c>
      <c r="S3113" s="1008" t="s">
        <v>650</v>
      </c>
      <c r="T3113" s="1008" t="s">
        <v>654</v>
      </c>
      <c r="U3113" s="1008" t="s">
        <v>653</v>
      </c>
      <c r="V3113" s="1008" t="s">
        <v>648</v>
      </c>
      <c r="W3113" s="1008" t="s">
        <v>546</v>
      </c>
      <c r="X3113" s="1008" t="s">
        <v>670</v>
      </c>
      <c r="Y3113" s="1008" t="s">
        <v>670</v>
      </c>
      <c r="Z3113" s="1008"/>
      <c r="AA3113" s="1008" t="s">
        <v>670</v>
      </c>
      <c r="AB3113" s="1008"/>
      <c r="AC3113" s="1008"/>
      <c r="AD3113" s="1008"/>
      <c r="AE3113" s="1008"/>
      <c r="AF3113" s="1008" t="s">
        <v>670</v>
      </c>
      <c r="AG3113" s="1008"/>
      <c r="AH3113" s="1008"/>
      <c r="AI3113" s="1008"/>
    </row>
    <row r="3114" spans="1:35">
      <c r="A3114" s="1008">
        <v>27804</v>
      </c>
      <c r="C3114" s="1008">
        <v>7</v>
      </c>
      <c r="D3114" s="1009">
        <v>61049999</v>
      </c>
      <c r="E3114" s="1009">
        <v>61047999</v>
      </c>
      <c r="F3114" s="1007" t="s">
        <v>1589</v>
      </c>
      <c r="O3114" s="1007" t="s">
        <v>648</v>
      </c>
      <c r="P3114" s="1007" t="s">
        <v>648</v>
      </c>
      <c r="S3114" s="1008" t="s">
        <v>650</v>
      </c>
      <c r="T3114" s="1008" t="s">
        <v>21</v>
      </c>
      <c r="U3114" s="1008" t="s">
        <v>653</v>
      </c>
      <c r="V3114" s="1008" t="s">
        <v>648</v>
      </c>
      <c r="W3114" s="1008" t="s">
        <v>546</v>
      </c>
      <c r="X3114" s="1008"/>
      <c r="Y3114" s="1008"/>
      <c r="Z3114" s="1008"/>
      <c r="AA3114" s="1008"/>
      <c r="AB3114" s="1008"/>
      <c r="AC3114" s="1008"/>
      <c r="AD3114" s="1008"/>
      <c r="AE3114" s="1008"/>
      <c r="AF3114" s="1008"/>
      <c r="AG3114" s="1008"/>
      <c r="AH3114" s="1008"/>
      <c r="AI3114" s="1008"/>
    </row>
    <row r="3115" spans="1:35">
      <c r="A3115" s="1008">
        <v>27039</v>
      </c>
      <c r="B3115" s="1008">
        <v>5914</v>
      </c>
      <c r="C3115" s="1008">
        <v>7</v>
      </c>
      <c r="D3115" s="1009">
        <v>61049999</v>
      </c>
      <c r="E3115" s="1009">
        <v>61049000</v>
      </c>
      <c r="F3115" s="1007" t="s">
        <v>1588</v>
      </c>
      <c r="G3115" s="1007" t="s">
        <v>648</v>
      </c>
      <c r="H3115" s="1010">
        <v>99999999</v>
      </c>
      <c r="I3115" s="1009">
        <v>61049000</v>
      </c>
      <c r="J3115" s="1007" t="s">
        <v>1588</v>
      </c>
      <c r="O3115" s="1007" t="s">
        <v>648</v>
      </c>
      <c r="P3115" s="1007" t="s">
        <v>648</v>
      </c>
      <c r="S3115" s="1008" t="s">
        <v>650</v>
      </c>
      <c r="T3115" s="1008" t="s">
        <v>654</v>
      </c>
      <c r="U3115" s="1008" t="s">
        <v>653</v>
      </c>
      <c r="V3115" s="1008" t="s">
        <v>648</v>
      </c>
      <c r="W3115" s="1008" t="s">
        <v>546</v>
      </c>
      <c r="X3115" s="1008" t="s">
        <v>670</v>
      </c>
      <c r="Y3115" s="1008" t="s">
        <v>670</v>
      </c>
      <c r="Z3115" s="1008" t="s">
        <v>670</v>
      </c>
      <c r="AA3115" s="1008"/>
      <c r="AB3115" s="1008" t="s">
        <v>670</v>
      </c>
      <c r="AC3115" s="1008"/>
      <c r="AD3115" s="1008"/>
      <c r="AE3115" s="1008"/>
      <c r="AF3115" s="1008" t="s">
        <v>670</v>
      </c>
      <c r="AG3115" s="1008"/>
      <c r="AH3115" s="1008"/>
      <c r="AI3115" s="1008"/>
    </row>
    <row r="3116" spans="1:35">
      <c r="A3116" s="1008">
        <v>25223</v>
      </c>
      <c r="C3116" s="1008">
        <v>6</v>
      </c>
      <c r="D3116" s="1009">
        <v>61199999</v>
      </c>
      <c r="E3116" s="1009">
        <v>61049999</v>
      </c>
      <c r="F3116" s="1007" t="s">
        <v>1587</v>
      </c>
      <c r="O3116" s="1007" t="s">
        <v>648</v>
      </c>
      <c r="P3116" s="1007" t="s">
        <v>648</v>
      </c>
      <c r="S3116" s="1008" t="s">
        <v>650</v>
      </c>
      <c r="T3116" s="1008" t="s">
        <v>21</v>
      </c>
      <c r="U3116" s="1008" t="s">
        <v>653</v>
      </c>
      <c r="V3116" s="1008" t="s">
        <v>648</v>
      </c>
      <c r="W3116" s="1008" t="s">
        <v>546</v>
      </c>
      <c r="X3116" s="1008"/>
      <c r="Y3116" s="1008"/>
      <c r="Z3116" s="1008"/>
      <c r="AA3116" s="1008"/>
      <c r="AB3116" s="1008"/>
      <c r="AC3116" s="1008"/>
      <c r="AD3116" s="1008"/>
      <c r="AE3116" s="1008"/>
      <c r="AF3116" s="1008"/>
      <c r="AG3116" s="1008"/>
      <c r="AH3116" s="1008"/>
      <c r="AI3116" s="1008"/>
    </row>
    <row r="3117" spans="1:35">
      <c r="A3117" s="1008">
        <v>25258</v>
      </c>
      <c r="C3117" s="1008">
        <v>6</v>
      </c>
      <c r="D3117" s="1009">
        <v>61059999</v>
      </c>
      <c r="E3117" s="1009">
        <v>61050000</v>
      </c>
      <c r="F3117" s="1007" t="s">
        <v>1513</v>
      </c>
      <c r="O3117" s="1007" t="s">
        <v>648</v>
      </c>
      <c r="P3117" s="1007" t="s">
        <v>648</v>
      </c>
      <c r="S3117" s="1008" t="s">
        <v>650</v>
      </c>
      <c r="T3117" s="1008" t="s">
        <v>675</v>
      </c>
      <c r="U3117" s="1008" t="s">
        <v>653</v>
      </c>
      <c r="V3117" s="1008" t="s">
        <v>648</v>
      </c>
      <c r="W3117" s="1008" t="s">
        <v>546</v>
      </c>
      <c r="X3117" s="1008"/>
      <c r="Y3117" s="1008"/>
      <c r="Z3117" s="1008"/>
      <c r="AA3117" s="1008"/>
      <c r="AB3117" s="1008"/>
      <c r="AC3117" s="1008"/>
      <c r="AD3117" s="1008"/>
      <c r="AE3117" s="1008"/>
      <c r="AF3117" s="1008"/>
      <c r="AG3117" s="1008"/>
      <c r="AH3117" s="1008"/>
      <c r="AI3117" s="1008"/>
    </row>
    <row r="3118" spans="1:35">
      <c r="A3118" s="1008">
        <v>27040</v>
      </c>
      <c r="C3118" s="1008">
        <v>7</v>
      </c>
      <c r="D3118" s="1009">
        <v>61055999</v>
      </c>
      <c r="E3118" s="1009">
        <v>61050050</v>
      </c>
      <c r="F3118" s="1007" t="s">
        <v>1513</v>
      </c>
      <c r="O3118" s="1007" t="s">
        <v>648</v>
      </c>
      <c r="P3118" s="1007" t="s">
        <v>648</v>
      </c>
      <c r="S3118" s="1008" t="s">
        <v>650</v>
      </c>
      <c r="T3118" s="1008" t="s">
        <v>675</v>
      </c>
      <c r="U3118" s="1008" t="s">
        <v>653</v>
      </c>
      <c r="V3118" s="1008" t="s">
        <v>648</v>
      </c>
      <c r="W3118" s="1008" t="s">
        <v>546</v>
      </c>
      <c r="X3118" s="1008"/>
      <c r="Y3118" s="1008"/>
      <c r="Z3118" s="1008"/>
      <c r="AA3118" s="1008"/>
      <c r="AB3118" s="1008"/>
      <c r="AC3118" s="1008"/>
      <c r="AD3118" s="1008"/>
      <c r="AE3118" s="1008"/>
      <c r="AF3118" s="1008"/>
      <c r="AG3118" s="1008"/>
      <c r="AH3118" s="1008"/>
      <c r="AI3118" s="1008"/>
    </row>
    <row r="3119" spans="1:35">
      <c r="A3119" s="1008">
        <v>25259</v>
      </c>
      <c r="B3119" s="1008">
        <v>546</v>
      </c>
      <c r="C3119" s="1008">
        <v>8</v>
      </c>
      <c r="D3119" s="1009">
        <v>61055999</v>
      </c>
      <c r="E3119" s="1009">
        <v>61051000</v>
      </c>
      <c r="F3119" s="1007" t="s">
        <v>1512</v>
      </c>
      <c r="G3119" s="1007">
        <v>8</v>
      </c>
      <c r="H3119" s="1010">
        <v>99999999</v>
      </c>
      <c r="I3119" s="1009">
        <v>61051000</v>
      </c>
      <c r="J3119" s="1007" t="s">
        <v>1512</v>
      </c>
      <c r="O3119" s="1007" t="s">
        <v>648</v>
      </c>
      <c r="P3119" s="1007" t="s">
        <v>648</v>
      </c>
      <c r="S3119" s="1008" t="s">
        <v>650</v>
      </c>
      <c r="T3119" s="1008" t="s">
        <v>654</v>
      </c>
      <c r="U3119" s="1008" t="s">
        <v>653</v>
      </c>
      <c r="V3119" s="1008" t="s">
        <v>648</v>
      </c>
      <c r="W3119" s="1008" t="s">
        <v>546</v>
      </c>
      <c r="X3119" s="1008" t="s">
        <v>670</v>
      </c>
      <c r="Y3119" s="1008"/>
      <c r="Z3119" s="1008"/>
      <c r="AA3119" s="1008" t="s">
        <v>670</v>
      </c>
      <c r="AB3119" s="1008"/>
      <c r="AC3119" s="1008"/>
      <c r="AD3119" s="1008"/>
      <c r="AE3119" s="1008"/>
      <c r="AF3119" s="1008"/>
      <c r="AG3119" s="1008"/>
      <c r="AH3119" s="1008"/>
      <c r="AI3119" s="1008"/>
    </row>
    <row r="3120" spans="1:35">
      <c r="A3120" s="1008">
        <v>26632</v>
      </c>
      <c r="B3120" s="1008">
        <v>5821</v>
      </c>
      <c r="C3120" s="1008">
        <v>8</v>
      </c>
      <c r="D3120" s="1009">
        <v>61055999</v>
      </c>
      <c r="E3120" s="1009">
        <v>61052000</v>
      </c>
      <c r="F3120" s="1007" t="s">
        <v>1511</v>
      </c>
      <c r="G3120" s="1007" t="s">
        <v>648</v>
      </c>
      <c r="H3120" s="1010">
        <v>99999999</v>
      </c>
      <c r="I3120" s="1009">
        <v>61052000</v>
      </c>
      <c r="J3120" s="1007" t="s">
        <v>1511</v>
      </c>
      <c r="O3120" s="1007" t="s">
        <v>648</v>
      </c>
      <c r="P3120" s="1007" t="s">
        <v>648</v>
      </c>
      <c r="S3120" s="1008" t="s">
        <v>650</v>
      </c>
      <c r="T3120" s="1008" t="s">
        <v>654</v>
      </c>
      <c r="U3120" s="1008" t="s">
        <v>653</v>
      </c>
      <c r="V3120" s="1008" t="s">
        <v>648</v>
      </c>
      <c r="W3120" s="1008" t="s">
        <v>546</v>
      </c>
      <c r="X3120" s="1008" t="s">
        <v>670</v>
      </c>
      <c r="Y3120" s="1008"/>
      <c r="Z3120" s="1008"/>
      <c r="AA3120" s="1008" t="s">
        <v>670</v>
      </c>
      <c r="AB3120" s="1008"/>
      <c r="AC3120" s="1008" t="s">
        <v>670</v>
      </c>
      <c r="AD3120" s="1008"/>
      <c r="AE3120" s="1008"/>
      <c r="AF3120" s="1008"/>
      <c r="AG3120" s="1008"/>
      <c r="AH3120" s="1008"/>
      <c r="AI3120" s="1008"/>
    </row>
    <row r="3121" spans="1:35">
      <c r="A3121" s="1008">
        <v>25260</v>
      </c>
      <c r="B3121" s="1008">
        <v>5494</v>
      </c>
      <c r="C3121" s="1008">
        <v>8</v>
      </c>
      <c r="D3121" s="1009">
        <v>61055999</v>
      </c>
      <c r="E3121" s="1009">
        <v>61053000</v>
      </c>
      <c r="F3121" s="1007" t="s">
        <v>1586</v>
      </c>
      <c r="G3121" s="1007">
        <v>7</v>
      </c>
      <c r="H3121" s="1010">
        <v>99999999</v>
      </c>
      <c r="I3121" s="1009">
        <v>61053000</v>
      </c>
      <c r="J3121" s="1007" t="s">
        <v>1586</v>
      </c>
      <c r="O3121" s="1007" t="s">
        <v>648</v>
      </c>
      <c r="P3121" s="1007" t="s">
        <v>648</v>
      </c>
      <c r="S3121" s="1008" t="s">
        <v>650</v>
      </c>
      <c r="T3121" s="1008" t="s">
        <v>654</v>
      </c>
      <c r="U3121" s="1008" t="s">
        <v>653</v>
      </c>
      <c r="V3121" s="1008" t="s">
        <v>648</v>
      </c>
      <c r="W3121" s="1008" t="s">
        <v>546</v>
      </c>
      <c r="X3121" s="1008" t="s">
        <v>670</v>
      </c>
      <c r="Y3121" s="1008"/>
      <c r="Z3121" s="1008"/>
      <c r="AA3121" s="1008" t="s">
        <v>670</v>
      </c>
      <c r="AB3121" s="1008"/>
      <c r="AC3121" s="1008"/>
      <c r="AD3121" s="1008"/>
      <c r="AE3121" s="1008"/>
      <c r="AF3121" s="1008"/>
      <c r="AG3121" s="1008"/>
      <c r="AH3121" s="1008"/>
      <c r="AI3121" s="1008"/>
    </row>
    <row r="3122" spans="1:35">
      <c r="A3122" s="1008">
        <v>27041</v>
      </c>
      <c r="C3122" s="1008">
        <v>7</v>
      </c>
      <c r="D3122" s="1009">
        <v>61059000</v>
      </c>
      <c r="E3122" s="1009">
        <v>61055999</v>
      </c>
      <c r="F3122" s="1007" t="s">
        <v>1510</v>
      </c>
      <c r="O3122" s="1007" t="s">
        <v>648</v>
      </c>
      <c r="P3122" s="1007" t="s">
        <v>648</v>
      </c>
      <c r="S3122" s="1008" t="s">
        <v>650</v>
      </c>
      <c r="T3122" s="1008" t="s">
        <v>21</v>
      </c>
      <c r="U3122" s="1008" t="s">
        <v>653</v>
      </c>
      <c r="V3122" s="1008" t="s">
        <v>648</v>
      </c>
      <c r="W3122" s="1008" t="s">
        <v>546</v>
      </c>
      <c r="X3122" s="1008"/>
      <c r="Y3122" s="1008"/>
      <c r="Z3122" s="1008"/>
      <c r="AA3122" s="1008"/>
      <c r="AB3122" s="1008"/>
      <c r="AC3122" s="1008"/>
      <c r="AD3122" s="1008"/>
      <c r="AE3122" s="1008"/>
      <c r="AF3122" s="1008"/>
      <c r="AG3122" s="1008"/>
      <c r="AH3122" s="1008"/>
      <c r="AI3122" s="1008"/>
    </row>
    <row r="3123" spans="1:35">
      <c r="A3123" s="1008">
        <v>27042</v>
      </c>
      <c r="B3123" s="1008">
        <v>5915</v>
      </c>
      <c r="C3123" s="1008">
        <v>7</v>
      </c>
      <c r="D3123" s="1009">
        <v>61059999</v>
      </c>
      <c r="E3123" s="1009">
        <v>61059000</v>
      </c>
      <c r="F3123" s="1007" t="s">
        <v>1585</v>
      </c>
      <c r="G3123" s="1007" t="s">
        <v>648</v>
      </c>
      <c r="H3123" s="1010">
        <v>99999999</v>
      </c>
      <c r="I3123" s="1009">
        <v>61059000</v>
      </c>
      <c r="J3123" s="1007" t="s">
        <v>1585</v>
      </c>
      <c r="O3123" s="1007" t="s">
        <v>648</v>
      </c>
      <c r="P3123" s="1007" t="s">
        <v>648</v>
      </c>
      <c r="S3123" s="1008" t="s">
        <v>650</v>
      </c>
      <c r="T3123" s="1008" t="s">
        <v>654</v>
      </c>
      <c r="U3123" s="1008" t="s">
        <v>653</v>
      </c>
      <c r="V3123" s="1008" t="s">
        <v>648</v>
      </c>
      <c r="W3123" s="1008" t="s">
        <v>546</v>
      </c>
      <c r="X3123" s="1008" t="s">
        <v>670</v>
      </c>
      <c r="Y3123" s="1008" t="s">
        <v>670</v>
      </c>
      <c r="Z3123" s="1008" t="s">
        <v>670</v>
      </c>
      <c r="AA3123" s="1008"/>
      <c r="AB3123" s="1008" t="s">
        <v>670</v>
      </c>
      <c r="AC3123" s="1008"/>
      <c r="AD3123" s="1008"/>
      <c r="AE3123" s="1008"/>
      <c r="AF3123" s="1008" t="s">
        <v>670</v>
      </c>
      <c r="AG3123" s="1008"/>
      <c r="AH3123" s="1008"/>
      <c r="AI3123" s="1008"/>
    </row>
    <row r="3124" spans="1:35">
      <c r="A3124" s="1008">
        <v>25261</v>
      </c>
      <c r="C3124" s="1008">
        <v>6</v>
      </c>
      <c r="D3124" s="1009">
        <v>61199999</v>
      </c>
      <c r="E3124" s="1009">
        <v>61059999</v>
      </c>
      <c r="F3124" s="1007" t="s">
        <v>1510</v>
      </c>
      <c r="O3124" s="1007" t="s">
        <v>648</v>
      </c>
      <c r="P3124" s="1007" t="s">
        <v>648</v>
      </c>
      <c r="S3124" s="1008" t="s">
        <v>650</v>
      </c>
      <c r="T3124" s="1008" t="s">
        <v>21</v>
      </c>
      <c r="U3124" s="1008" t="s">
        <v>653</v>
      </c>
      <c r="V3124" s="1008" t="s">
        <v>648</v>
      </c>
      <c r="W3124" s="1008" t="s">
        <v>546</v>
      </c>
      <c r="X3124" s="1008"/>
      <c r="Y3124" s="1008"/>
      <c r="Z3124" s="1008"/>
      <c r="AA3124" s="1008"/>
      <c r="AB3124" s="1008"/>
      <c r="AC3124" s="1008"/>
      <c r="AD3124" s="1008"/>
      <c r="AE3124" s="1008"/>
      <c r="AF3124" s="1008"/>
      <c r="AG3124" s="1008"/>
      <c r="AH3124" s="1008"/>
      <c r="AI3124" s="1008"/>
    </row>
    <row r="3125" spans="1:35">
      <c r="A3125" s="1008">
        <v>25235</v>
      </c>
      <c r="C3125" s="1008">
        <v>6</v>
      </c>
      <c r="D3125" s="1009">
        <v>61069999</v>
      </c>
      <c r="E3125" s="1009">
        <v>61060000</v>
      </c>
      <c r="F3125" s="1007" t="s">
        <v>1584</v>
      </c>
      <c r="O3125" s="1007" t="s">
        <v>648</v>
      </c>
      <c r="P3125" s="1007" t="s">
        <v>648</v>
      </c>
      <c r="S3125" s="1008" t="s">
        <v>650</v>
      </c>
      <c r="T3125" s="1008" t="s">
        <v>675</v>
      </c>
      <c r="U3125" s="1008" t="s">
        <v>653</v>
      </c>
      <c r="V3125" s="1008" t="s">
        <v>648</v>
      </c>
      <c r="W3125" s="1008" t="s">
        <v>652</v>
      </c>
      <c r="X3125" s="1008"/>
      <c r="Y3125" s="1008"/>
      <c r="Z3125" s="1008"/>
      <c r="AA3125" s="1008"/>
      <c r="AB3125" s="1008"/>
      <c r="AC3125" s="1008"/>
      <c r="AD3125" s="1008"/>
      <c r="AE3125" s="1008"/>
      <c r="AF3125" s="1008"/>
      <c r="AG3125" s="1008"/>
      <c r="AH3125" s="1008"/>
      <c r="AI3125" s="1008"/>
    </row>
    <row r="3126" spans="1:35">
      <c r="A3126" s="1008">
        <v>25236</v>
      </c>
      <c r="B3126" s="1008">
        <v>5482</v>
      </c>
      <c r="C3126" s="1008">
        <v>7</v>
      </c>
      <c r="D3126" s="1009">
        <v>61069999</v>
      </c>
      <c r="E3126" s="1009">
        <v>61061000</v>
      </c>
      <c r="F3126" s="1007" t="s">
        <v>1583</v>
      </c>
      <c r="G3126" s="1007">
        <v>7</v>
      </c>
      <c r="H3126" s="1010">
        <v>99999999</v>
      </c>
      <c r="I3126" s="1009">
        <v>61061000</v>
      </c>
      <c r="J3126" s="1007" t="s">
        <v>1583</v>
      </c>
      <c r="O3126" s="1007" t="s">
        <v>648</v>
      </c>
      <c r="P3126" s="1007" t="s">
        <v>648</v>
      </c>
      <c r="S3126" s="1008" t="s">
        <v>650</v>
      </c>
      <c r="T3126" s="1008" t="s">
        <v>654</v>
      </c>
      <c r="U3126" s="1008" t="s">
        <v>653</v>
      </c>
      <c r="V3126" s="1008" t="s">
        <v>648</v>
      </c>
      <c r="W3126" s="1008" t="s">
        <v>652</v>
      </c>
      <c r="X3126" s="1008" t="s">
        <v>670</v>
      </c>
      <c r="Y3126" s="1008"/>
      <c r="Z3126" s="1008"/>
      <c r="AA3126" s="1008" t="s">
        <v>670</v>
      </c>
      <c r="AB3126" s="1008"/>
      <c r="AC3126" s="1008"/>
      <c r="AD3126" s="1008"/>
      <c r="AE3126" s="1008"/>
      <c r="AF3126" s="1008"/>
      <c r="AG3126" s="1008"/>
      <c r="AH3126" s="1008"/>
      <c r="AI3126" s="1008"/>
    </row>
    <row r="3127" spans="1:35">
      <c r="A3127" s="1008">
        <v>25237</v>
      </c>
      <c r="C3127" s="1008">
        <v>6</v>
      </c>
      <c r="D3127" s="1009">
        <v>61199999</v>
      </c>
      <c r="E3127" s="1009">
        <v>61069999</v>
      </c>
      <c r="F3127" s="1007" t="s">
        <v>1582</v>
      </c>
      <c r="O3127" s="1007" t="s">
        <v>648</v>
      </c>
      <c r="P3127" s="1007" t="s">
        <v>648</v>
      </c>
      <c r="S3127" s="1008" t="s">
        <v>650</v>
      </c>
      <c r="T3127" s="1008" t="s">
        <v>21</v>
      </c>
      <c r="U3127" s="1008" t="s">
        <v>653</v>
      </c>
      <c r="V3127" s="1008" t="s">
        <v>648</v>
      </c>
      <c r="W3127" s="1008" t="s">
        <v>652</v>
      </c>
      <c r="X3127" s="1008"/>
      <c r="Y3127" s="1008"/>
      <c r="Z3127" s="1008"/>
      <c r="AA3127" s="1008"/>
      <c r="AB3127" s="1008"/>
      <c r="AC3127" s="1008"/>
      <c r="AD3127" s="1008"/>
      <c r="AE3127" s="1008"/>
      <c r="AF3127" s="1008"/>
      <c r="AG3127" s="1008"/>
      <c r="AH3127" s="1008"/>
      <c r="AI3127" s="1008"/>
    </row>
    <row r="3128" spans="1:35">
      <c r="A3128" s="1008">
        <v>25224</v>
      </c>
      <c r="C3128" s="1008">
        <v>6</v>
      </c>
      <c r="D3128" s="1009">
        <v>61099999</v>
      </c>
      <c r="E3128" s="1009">
        <v>61070000</v>
      </c>
      <c r="F3128" s="1007" t="s">
        <v>1509</v>
      </c>
      <c r="O3128" s="1007" t="s">
        <v>648</v>
      </c>
      <c r="P3128" s="1007" t="s">
        <v>648</v>
      </c>
      <c r="S3128" s="1008" t="s">
        <v>650</v>
      </c>
      <c r="T3128" s="1008" t="s">
        <v>675</v>
      </c>
      <c r="U3128" s="1008" t="s">
        <v>653</v>
      </c>
      <c r="V3128" s="1008" t="s">
        <v>648</v>
      </c>
      <c r="W3128" s="1008" t="s">
        <v>546</v>
      </c>
      <c r="X3128" s="1008"/>
      <c r="Y3128" s="1008"/>
      <c r="Z3128" s="1008"/>
      <c r="AA3128" s="1008"/>
      <c r="AB3128" s="1008"/>
      <c r="AC3128" s="1008"/>
      <c r="AD3128" s="1008"/>
      <c r="AE3128" s="1008"/>
      <c r="AF3128" s="1008"/>
      <c r="AG3128" s="1008"/>
      <c r="AH3128" s="1008"/>
      <c r="AI3128" s="1008"/>
    </row>
    <row r="3129" spans="1:35">
      <c r="A3129" s="1008">
        <v>27043</v>
      </c>
      <c r="C3129" s="1008">
        <v>7</v>
      </c>
      <c r="D3129" s="1009">
        <v>61085999</v>
      </c>
      <c r="E3129" s="1009">
        <v>61070050</v>
      </c>
      <c r="F3129" s="1007" t="s">
        <v>1509</v>
      </c>
      <c r="O3129" s="1007" t="s">
        <v>648</v>
      </c>
      <c r="P3129" s="1007" t="s">
        <v>648</v>
      </c>
      <c r="S3129" s="1008" t="s">
        <v>650</v>
      </c>
      <c r="T3129" s="1008" t="s">
        <v>675</v>
      </c>
      <c r="U3129" s="1008" t="s">
        <v>653</v>
      </c>
      <c r="V3129" s="1008" t="s">
        <v>648</v>
      </c>
      <c r="W3129" s="1008" t="s">
        <v>546</v>
      </c>
      <c r="X3129" s="1008"/>
      <c r="Y3129" s="1008"/>
      <c r="Z3129" s="1008"/>
      <c r="AA3129" s="1008"/>
      <c r="AB3129" s="1008"/>
      <c r="AC3129" s="1008"/>
      <c r="AD3129" s="1008"/>
      <c r="AE3129" s="1008"/>
      <c r="AF3129" s="1008"/>
      <c r="AG3129" s="1008"/>
      <c r="AH3129" s="1008"/>
      <c r="AI3129" s="1008"/>
    </row>
    <row r="3130" spans="1:35">
      <c r="A3130" s="1008">
        <v>25225</v>
      </c>
      <c r="B3130" s="1008">
        <v>2293</v>
      </c>
      <c r="C3130" s="1008">
        <v>8</v>
      </c>
      <c r="D3130" s="1009">
        <v>61085999</v>
      </c>
      <c r="E3130" s="1009">
        <v>61071000</v>
      </c>
      <c r="F3130" s="1007" t="s">
        <v>1581</v>
      </c>
      <c r="G3130" s="1007">
        <v>7</v>
      </c>
      <c r="H3130" s="1010">
        <v>99999999</v>
      </c>
      <c r="I3130" s="1009">
        <v>61071000</v>
      </c>
      <c r="J3130" s="1007" t="s">
        <v>1581</v>
      </c>
      <c r="O3130" s="1007" t="s">
        <v>648</v>
      </c>
      <c r="P3130" s="1007" t="s">
        <v>648</v>
      </c>
      <c r="S3130" s="1008" t="s">
        <v>650</v>
      </c>
      <c r="T3130" s="1008" t="s">
        <v>654</v>
      </c>
      <c r="U3130" s="1008" t="s">
        <v>653</v>
      </c>
      <c r="V3130" s="1008" t="s">
        <v>648</v>
      </c>
      <c r="W3130" s="1008" t="s">
        <v>546</v>
      </c>
      <c r="X3130" s="1008" t="s">
        <v>670</v>
      </c>
      <c r="Y3130" s="1008"/>
      <c r="Z3130" s="1008"/>
      <c r="AA3130" s="1008" t="s">
        <v>670</v>
      </c>
      <c r="AB3130" s="1008"/>
      <c r="AC3130" s="1008"/>
      <c r="AD3130" s="1008"/>
      <c r="AE3130" s="1008"/>
      <c r="AF3130" s="1008"/>
      <c r="AG3130" s="1008"/>
      <c r="AH3130" s="1008"/>
      <c r="AI3130" s="1008"/>
    </row>
    <row r="3131" spans="1:35">
      <c r="A3131" s="1008">
        <v>25226</v>
      </c>
      <c r="B3131" s="1008">
        <v>545</v>
      </c>
      <c r="C3131" s="1008">
        <v>8</v>
      </c>
      <c r="D3131" s="1009">
        <v>61085999</v>
      </c>
      <c r="E3131" s="1009">
        <v>61072000</v>
      </c>
      <c r="F3131" s="1007" t="s">
        <v>1580</v>
      </c>
      <c r="G3131" s="1007">
        <v>8</v>
      </c>
      <c r="H3131" s="1010">
        <v>99999999</v>
      </c>
      <c r="I3131" s="1009">
        <v>61072000</v>
      </c>
      <c r="J3131" s="1007" t="s">
        <v>1580</v>
      </c>
      <c r="O3131" s="1007" t="s">
        <v>648</v>
      </c>
      <c r="P3131" s="1007" t="s">
        <v>648</v>
      </c>
      <c r="S3131" s="1008" t="s">
        <v>650</v>
      </c>
      <c r="T3131" s="1008" t="s">
        <v>654</v>
      </c>
      <c r="U3131" s="1008" t="s">
        <v>653</v>
      </c>
      <c r="V3131" s="1008" t="s">
        <v>648</v>
      </c>
      <c r="W3131" s="1008" t="s">
        <v>546</v>
      </c>
      <c r="X3131" s="1008" t="s">
        <v>670</v>
      </c>
      <c r="Y3131" s="1008"/>
      <c r="Z3131" s="1008"/>
      <c r="AA3131" s="1008" t="s">
        <v>670</v>
      </c>
      <c r="AB3131" s="1008"/>
      <c r="AC3131" s="1008"/>
      <c r="AD3131" s="1008"/>
      <c r="AE3131" s="1008"/>
      <c r="AF3131" s="1008"/>
      <c r="AG3131" s="1008"/>
      <c r="AH3131" s="1008"/>
      <c r="AI3131" s="1008"/>
    </row>
    <row r="3132" spans="1:35">
      <c r="A3132" s="1008">
        <v>25227</v>
      </c>
      <c r="B3132" s="1008">
        <v>2295</v>
      </c>
      <c r="C3132" s="1008">
        <v>8</v>
      </c>
      <c r="D3132" s="1009">
        <v>61085999</v>
      </c>
      <c r="E3132" s="1009">
        <v>61073000</v>
      </c>
      <c r="F3132" s="1007" t="s">
        <v>1579</v>
      </c>
      <c r="G3132" s="1007">
        <v>7</v>
      </c>
      <c r="H3132" s="1010">
        <v>99999999</v>
      </c>
      <c r="I3132" s="1009">
        <v>61073000</v>
      </c>
      <c r="J3132" s="1007" t="s">
        <v>1579</v>
      </c>
      <c r="O3132" s="1007" t="s">
        <v>648</v>
      </c>
      <c r="P3132" s="1007" t="s">
        <v>648</v>
      </c>
      <c r="S3132" s="1008" t="s">
        <v>650</v>
      </c>
      <c r="T3132" s="1008" t="s">
        <v>654</v>
      </c>
      <c r="U3132" s="1008" t="s">
        <v>653</v>
      </c>
      <c r="V3132" s="1008" t="s">
        <v>648</v>
      </c>
      <c r="W3132" s="1008" t="s">
        <v>546</v>
      </c>
      <c r="X3132" s="1008" t="s">
        <v>670</v>
      </c>
      <c r="Y3132" s="1008"/>
      <c r="Z3132" s="1008"/>
      <c r="AA3132" s="1008" t="s">
        <v>670</v>
      </c>
      <c r="AB3132" s="1008"/>
      <c r="AC3132" s="1008"/>
      <c r="AD3132" s="1008"/>
      <c r="AE3132" s="1008"/>
      <c r="AF3132" s="1008"/>
      <c r="AG3132" s="1008"/>
      <c r="AH3132" s="1008"/>
      <c r="AI3132" s="1008"/>
    </row>
    <row r="3133" spans="1:35">
      <c r="A3133" s="1008">
        <v>25228</v>
      </c>
      <c r="B3133" s="1008">
        <v>2296</v>
      </c>
      <c r="C3133" s="1008">
        <v>8</v>
      </c>
      <c r="D3133" s="1009">
        <v>61085999</v>
      </c>
      <c r="E3133" s="1009">
        <v>61074000</v>
      </c>
      <c r="F3133" s="1007" t="s">
        <v>1578</v>
      </c>
      <c r="G3133" s="1007">
        <v>7</v>
      </c>
      <c r="H3133" s="1010">
        <v>99999999</v>
      </c>
      <c r="I3133" s="1009">
        <v>61074000</v>
      </c>
      <c r="J3133" s="1007" t="s">
        <v>1578</v>
      </c>
      <c r="O3133" s="1007" t="s">
        <v>648</v>
      </c>
      <c r="P3133" s="1007" t="s">
        <v>648</v>
      </c>
      <c r="S3133" s="1008" t="s">
        <v>650</v>
      </c>
      <c r="T3133" s="1008" t="s">
        <v>654</v>
      </c>
      <c r="U3133" s="1008" t="s">
        <v>653</v>
      </c>
      <c r="V3133" s="1008" t="s">
        <v>648</v>
      </c>
      <c r="W3133" s="1008" t="s">
        <v>546</v>
      </c>
      <c r="X3133" s="1008" t="s">
        <v>670</v>
      </c>
      <c r="Y3133" s="1008"/>
      <c r="Z3133" s="1008"/>
      <c r="AA3133" s="1008" t="s">
        <v>670</v>
      </c>
      <c r="AB3133" s="1008"/>
      <c r="AC3133" s="1008"/>
      <c r="AD3133" s="1008"/>
      <c r="AE3133" s="1008"/>
      <c r="AF3133" s="1008"/>
      <c r="AG3133" s="1008"/>
      <c r="AH3133" s="1008"/>
      <c r="AI3133" s="1008"/>
    </row>
    <row r="3134" spans="1:35">
      <c r="A3134" s="1008">
        <v>25229</v>
      </c>
      <c r="B3134" s="1008">
        <v>2297</v>
      </c>
      <c r="C3134" s="1008">
        <v>8</v>
      </c>
      <c r="D3134" s="1009">
        <v>61085999</v>
      </c>
      <c r="E3134" s="1009">
        <v>61075000</v>
      </c>
      <c r="F3134" s="1007" t="s">
        <v>1577</v>
      </c>
      <c r="G3134" s="1007">
        <v>7</v>
      </c>
      <c r="H3134" s="1010">
        <v>99999999</v>
      </c>
      <c r="I3134" s="1009">
        <v>61075000</v>
      </c>
      <c r="J3134" s="1007" t="s">
        <v>1577</v>
      </c>
      <c r="O3134" s="1007" t="s">
        <v>648</v>
      </c>
      <c r="P3134" s="1007" t="s">
        <v>648</v>
      </c>
      <c r="S3134" s="1008" t="s">
        <v>650</v>
      </c>
      <c r="T3134" s="1008" t="s">
        <v>654</v>
      </c>
      <c r="U3134" s="1008" t="s">
        <v>653</v>
      </c>
      <c r="V3134" s="1008" t="s">
        <v>648</v>
      </c>
      <c r="W3134" s="1008" t="s">
        <v>546</v>
      </c>
      <c r="X3134" s="1008" t="s">
        <v>670</v>
      </c>
      <c r="Y3134" s="1008"/>
      <c r="Z3134" s="1008"/>
      <c r="AA3134" s="1008" t="s">
        <v>670</v>
      </c>
      <c r="AB3134" s="1008"/>
      <c r="AC3134" s="1008"/>
      <c r="AD3134" s="1008"/>
      <c r="AE3134" s="1008"/>
      <c r="AF3134" s="1008"/>
      <c r="AG3134" s="1008"/>
      <c r="AH3134" s="1008"/>
      <c r="AI3134" s="1008"/>
    </row>
    <row r="3135" spans="1:35">
      <c r="A3135" s="1008">
        <v>25230</v>
      </c>
      <c r="B3135" s="1008">
        <v>2298</v>
      </c>
      <c r="C3135" s="1008">
        <v>8</v>
      </c>
      <c r="D3135" s="1009">
        <v>61085999</v>
      </c>
      <c r="E3135" s="1009">
        <v>61076000</v>
      </c>
      <c r="F3135" s="1007" t="s">
        <v>1576</v>
      </c>
      <c r="G3135" s="1007">
        <v>7</v>
      </c>
      <c r="H3135" s="1010">
        <v>99999999</v>
      </c>
      <c r="I3135" s="1009">
        <v>61076000</v>
      </c>
      <c r="J3135" s="1007" t="s">
        <v>1576</v>
      </c>
      <c r="O3135" s="1007" t="s">
        <v>648</v>
      </c>
      <c r="P3135" s="1007" t="s">
        <v>648</v>
      </c>
      <c r="S3135" s="1008" t="s">
        <v>650</v>
      </c>
      <c r="T3135" s="1008" t="s">
        <v>654</v>
      </c>
      <c r="U3135" s="1008" t="s">
        <v>653</v>
      </c>
      <c r="V3135" s="1008" t="s">
        <v>648</v>
      </c>
      <c r="W3135" s="1008" t="s">
        <v>546</v>
      </c>
      <c r="X3135" s="1008" t="s">
        <v>670</v>
      </c>
      <c r="Y3135" s="1008"/>
      <c r="Z3135" s="1008"/>
      <c r="AA3135" s="1008" t="s">
        <v>670</v>
      </c>
      <c r="AB3135" s="1008"/>
      <c r="AC3135" s="1008"/>
      <c r="AD3135" s="1008"/>
      <c r="AE3135" s="1008"/>
      <c r="AF3135" s="1008"/>
      <c r="AG3135" s="1008"/>
      <c r="AH3135" s="1008"/>
      <c r="AI3135" s="1008"/>
    </row>
    <row r="3136" spans="1:35">
      <c r="A3136" s="1008">
        <v>25231</v>
      </c>
      <c r="B3136" s="1008">
        <v>2299</v>
      </c>
      <c r="C3136" s="1008">
        <v>8</v>
      </c>
      <c r="D3136" s="1009">
        <v>61085999</v>
      </c>
      <c r="E3136" s="1009">
        <v>61077000</v>
      </c>
      <c r="F3136" s="1007" t="s">
        <v>1575</v>
      </c>
      <c r="G3136" s="1007">
        <v>7</v>
      </c>
      <c r="H3136" s="1010">
        <v>99999999</v>
      </c>
      <c r="I3136" s="1009">
        <v>61077000</v>
      </c>
      <c r="J3136" s="1007" t="s">
        <v>1575</v>
      </c>
      <c r="O3136" s="1007" t="s">
        <v>648</v>
      </c>
      <c r="P3136" s="1007" t="s">
        <v>648</v>
      </c>
      <c r="S3136" s="1008" t="s">
        <v>650</v>
      </c>
      <c r="T3136" s="1008" t="s">
        <v>654</v>
      </c>
      <c r="U3136" s="1008" t="s">
        <v>653</v>
      </c>
      <c r="V3136" s="1008" t="s">
        <v>648</v>
      </c>
      <c r="W3136" s="1008" t="s">
        <v>546</v>
      </c>
      <c r="X3136" s="1008" t="s">
        <v>670</v>
      </c>
      <c r="Y3136" s="1008"/>
      <c r="Z3136" s="1008"/>
      <c r="AA3136" s="1008" t="s">
        <v>670</v>
      </c>
      <c r="AB3136" s="1008"/>
      <c r="AC3136" s="1008"/>
      <c r="AD3136" s="1008"/>
      <c r="AE3136" s="1008"/>
      <c r="AF3136" s="1008"/>
      <c r="AG3136" s="1008"/>
      <c r="AH3136" s="1008"/>
      <c r="AI3136" s="1008"/>
    </row>
    <row r="3137" spans="1:35">
      <c r="A3137" s="1008">
        <v>26556</v>
      </c>
      <c r="B3137" s="1008">
        <v>5822</v>
      </c>
      <c r="C3137" s="1008">
        <v>8</v>
      </c>
      <c r="D3137" s="1009">
        <v>61085999</v>
      </c>
      <c r="E3137" s="1009">
        <v>61078000</v>
      </c>
      <c r="F3137" s="1007" t="s">
        <v>1574</v>
      </c>
      <c r="G3137" s="1007" t="s">
        <v>648</v>
      </c>
      <c r="H3137" s="1010">
        <v>99999999</v>
      </c>
      <c r="I3137" s="1009">
        <v>61078000</v>
      </c>
      <c r="J3137" s="1007" t="s">
        <v>1574</v>
      </c>
      <c r="O3137" s="1007" t="s">
        <v>648</v>
      </c>
      <c r="P3137" s="1007" t="s">
        <v>648</v>
      </c>
      <c r="S3137" s="1008" t="s">
        <v>650</v>
      </c>
      <c r="T3137" s="1008" t="s">
        <v>654</v>
      </c>
      <c r="U3137" s="1008" t="s">
        <v>653</v>
      </c>
      <c r="V3137" s="1008" t="s">
        <v>648</v>
      </c>
      <c r="W3137" s="1008" t="s">
        <v>546</v>
      </c>
      <c r="X3137" s="1008" t="s">
        <v>670</v>
      </c>
      <c r="Y3137" s="1008"/>
      <c r="Z3137" s="1008"/>
      <c r="AA3137" s="1008" t="s">
        <v>670</v>
      </c>
      <c r="AB3137" s="1008"/>
      <c r="AC3137" s="1008"/>
      <c r="AD3137" s="1008"/>
      <c r="AE3137" s="1008"/>
      <c r="AF3137" s="1008"/>
      <c r="AG3137" s="1008"/>
      <c r="AH3137" s="1008"/>
      <c r="AI3137" s="1008"/>
    </row>
    <row r="3138" spans="1:35">
      <c r="A3138" s="1008">
        <v>26557</v>
      </c>
      <c r="B3138" s="1008">
        <v>5823</v>
      </c>
      <c r="C3138" s="1008">
        <v>8</v>
      </c>
      <c r="D3138" s="1009">
        <v>61085999</v>
      </c>
      <c r="E3138" s="1009">
        <v>61079000</v>
      </c>
      <c r="F3138" s="1007" t="s">
        <v>1573</v>
      </c>
      <c r="G3138" s="1007" t="s">
        <v>648</v>
      </c>
      <c r="H3138" s="1010">
        <v>99999999</v>
      </c>
      <c r="I3138" s="1009">
        <v>61079000</v>
      </c>
      <c r="J3138" s="1007" t="s">
        <v>1573</v>
      </c>
      <c r="O3138" s="1007" t="s">
        <v>648</v>
      </c>
      <c r="P3138" s="1007" t="s">
        <v>648</v>
      </c>
      <c r="S3138" s="1008" t="s">
        <v>650</v>
      </c>
      <c r="T3138" s="1008" t="s">
        <v>654</v>
      </c>
      <c r="U3138" s="1008" t="s">
        <v>653</v>
      </c>
      <c r="V3138" s="1008" t="s">
        <v>648</v>
      </c>
      <c r="W3138" s="1008" t="s">
        <v>546</v>
      </c>
      <c r="X3138" s="1008" t="s">
        <v>670</v>
      </c>
      <c r="Y3138" s="1008"/>
      <c r="Z3138" s="1008"/>
      <c r="AA3138" s="1008" t="s">
        <v>670</v>
      </c>
      <c r="AB3138" s="1008"/>
      <c r="AC3138" s="1008"/>
      <c r="AD3138" s="1008"/>
      <c r="AE3138" s="1008"/>
      <c r="AF3138" s="1008"/>
      <c r="AG3138" s="1008"/>
      <c r="AH3138" s="1008"/>
      <c r="AI3138" s="1008"/>
    </row>
    <row r="3139" spans="1:35">
      <c r="A3139" s="1008">
        <v>25232</v>
      </c>
      <c r="B3139" s="1008">
        <v>2300</v>
      </c>
      <c r="C3139" s="1008">
        <v>8</v>
      </c>
      <c r="D3139" s="1009">
        <v>61085999</v>
      </c>
      <c r="E3139" s="1009">
        <v>61080000</v>
      </c>
      <c r="F3139" s="1007" t="s">
        <v>1508</v>
      </c>
      <c r="G3139" s="1007">
        <v>7</v>
      </c>
      <c r="H3139" s="1010">
        <v>99999999</v>
      </c>
      <c r="I3139" s="1009">
        <v>61080000</v>
      </c>
      <c r="J3139" s="1007" t="s">
        <v>1508</v>
      </c>
      <c r="O3139" s="1007" t="s">
        <v>648</v>
      </c>
      <c r="P3139" s="1007" t="s">
        <v>648</v>
      </c>
      <c r="S3139" s="1008" t="s">
        <v>650</v>
      </c>
      <c r="T3139" s="1008" t="s">
        <v>654</v>
      </c>
      <c r="U3139" s="1008" t="s">
        <v>653</v>
      </c>
      <c r="V3139" s="1008" t="s">
        <v>648</v>
      </c>
      <c r="W3139" s="1008" t="s">
        <v>546</v>
      </c>
      <c r="X3139" s="1008" t="s">
        <v>670</v>
      </c>
      <c r="Y3139" s="1008"/>
      <c r="Z3139" s="1008"/>
      <c r="AA3139" s="1008" t="s">
        <v>670</v>
      </c>
      <c r="AB3139" s="1008"/>
      <c r="AC3139" s="1008"/>
      <c r="AD3139" s="1008"/>
      <c r="AE3139" s="1008"/>
      <c r="AF3139" s="1008"/>
      <c r="AG3139" s="1008"/>
      <c r="AH3139" s="1008"/>
      <c r="AI3139" s="1008"/>
    </row>
    <row r="3140" spans="1:35">
      <c r="A3140" s="1008">
        <v>25233</v>
      </c>
      <c r="B3140" s="1008">
        <v>5480</v>
      </c>
      <c r="C3140" s="1008">
        <v>8</v>
      </c>
      <c r="D3140" s="1009">
        <v>61085999</v>
      </c>
      <c r="E3140" s="1009">
        <v>61081000</v>
      </c>
      <c r="F3140" s="1007" t="s">
        <v>1572</v>
      </c>
      <c r="G3140" s="1007">
        <v>7</v>
      </c>
      <c r="H3140" s="1010">
        <v>99999999</v>
      </c>
      <c r="I3140" s="1009">
        <v>61081000</v>
      </c>
      <c r="J3140" s="1007" t="s">
        <v>1572</v>
      </c>
      <c r="O3140" s="1007" t="s">
        <v>648</v>
      </c>
      <c r="P3140" s="1007" t="s">
        <v>648</v>
      </c>
      <c r="S3140" s="1008" t="s">
        <v>650</v>
      </c>
      <c r="T3140" s="1008" t="s">
        <v>654</v>
      </c>
      <c r="U3140" s="1008" t="s">
        <v>653</v>
      </c>
      <c r="V3140" s="1008" t="s">
        <v>648</v>
      </c>
      <c r="W3140" s="1008" t="s">
        <v>546</v>
      </c>
      <c r="X3140" s="1008" t="s">
        <v>670</v>
      </c>
      <c r="Y3140" s="1008"/>
      <c r="Z3140" s="1008"/>
      <c r="AA3140" s="1008" t="s">
        <v>670</v>
      </c>
      <c r="AB3140" s="1008"/>
      <c r="AC3140" s="1008"/>
      <c r="AD3140" s="1008"/>
      <c r="AE3140" s="1008"/>
      <c r="AF3140" s="1008"/>
      <c r="AG3140" s="1008"/>
      <c r="AH3140" s="1008"/>
      <c r="AI3140" s="1008"/>
    </row>
    <row r="3141" spans="1:35">
      <c r="A3141" s="1008">
        <v>27044</v>
      </c>
      <c r="C3141" s="1008">
        <v>7</v>
      </c>
      <c r="D3141" s="1009">
        <v>61099000</v>
      </c>
      <c r="E3141" s="1009">
        <v>61085999</v>
      </c>
      <c r="F3141" s="1007" t="s">
        <v>1507</v>
      </c>
      <c r="O3141" s="1007" t="s">
        <v>648</v>
      </c>
      <c r="P3141" s="1007" t="s">
        <v>648</v>
      </c>
      <c r="S3141" s="1008" t="s">
        <v>650</v>
      </c>
      <c r="T3141" s="1008" t="s">
        <v>21</v>
      </c>
      <c r="U3141" s="1008" t="s">
        <v>653</v>
      </c>
      <c r="V3141" s="1008" t="s">
        <v>648</v>
      </c>
      <c r="W3141" s="1008" t="s">
        <v>546</v>
      </c>
      <c r="X3141" s="1008"/>
      <c r="Y3141" s="1008"/>
      <c r="Z3141" s="1008"/>
      <c r="AA3141" s="1008"/>
      <c r="AB3141" s="1008"/>
      <c r="AC3141" s="1008"/>
      <c r="AD3141" s="1008"/>
      <c r="AE3141" s="1008"/>
      <c r="AF3141" s="1008"/>
      <c r="AG3141" s="1008"/>
      <c r="AH3141" s="1008"/>
      <c r="AI3141" s="1008"/>
    </row>
    <row r="3142" spans="1:35">
      <c r="A3142" s="1008">
        <v>27045</v>
      </c>
      <c r="B3142" s="1008">
        <v>5916</v>
      </c>
      <c r="C3142" s="1008">
        <v>7</v>
      </c>
      <c r="D3142" s="1009">
        <v>61099999</v>
      </c>
      <c r="E3142" s="1009">
        <v>61099000</v>
      </c>
      <c r="F3142" s="1007" t="s">
        <v>1571</v>
      </c>
      <c r="G3142" s="1007" t="s">
        <v>648</v>
      </c>
      <c r="H3142" s="1010">
        <v>99999999</v>
      </c>
      <c r="I3142" s="1009">
        <v>61099000</v>
      </c>
      <c r="J3142" s="1007" t="s">
        <v>1571</v>
      </c>
      <c r="O3142" s="1007" t="s">
        <v>648</v>
      </c>
      <c r="P3142" s="1007" t="s">
        <v>648</v>
      </c>
      <c r="S3142" s="1008" t="s">
        <v>650</v>
      </c>
      <c r="T3142" s="1008" t="s">
        <v>654</v>
      </c>
      <c r="U3142" s="1008" t="s">
        <v>653</v>
      </c>
      <c r="V3142" s="1008" t="s">
        <v>648</v>
      </c>
      <c r="W3142" s="1008" t="s">
        <v>546</v>
      </c>
      <c r="X3142" s="1008" t="s">
        <v>670</v>
      </c>
      <c r="Y3142" s="1008" t="s">
        <v>670</v>
      </c>
      <c r="Z3142" s="1008" t="s">
        <v>670</v>
      </c>
      <c r="AA3142" s="1008"/>
      <c r="AB3142" s="1008" t="s">
        <v>670</v>
      </c>
      <c r="AC3142" s="1008"/>
      <c r="AD3142" s="1008"/>
      <c r="AE3142" s="1008"/>
      <c r="AF3142" s="1008" t="s">
        <v>670</v>
      </c>
      <c r="AG3142" s="1008"/>
      <c r="AH3142" s="1008"/>
      <c r="AI3142" s="1008"/>
    </row>
    <row r="3143" spans="1:35">
      <c r="A3143" s="1008">
        <v>25234</v>
      </c>
      <c r="C3143" s="1008">
        <v>6</v>
      </c>
      <c r="D3143" s="1009">
        <v>61199999</v>
      </c>
      <c r="E3143" s="1009">
        <v>61099999</v>
      </c>
      <c r="F3143" s="1007" t="s">
        <v>1507</v>
      </c>
      <c r="O3143" s="1007" t="s">
        <v>648</v>
      </c>
      <c r="P3143" s="1007" t="s">
        <v>648</v>
      </c>
      <c r="S3143" s="1008" t="s">
        <v>650</v>
      </c>
      <c r="T3143" s="1008" t="s">
        <v>21</v>
      </c>
      <c r="U3143" s="1008" t="s">
        <v>653</v>
      </c>
      <c r="V3143" s="1008" t="s">
        <v>648</v>
      </c>
      <c r="W3143" s="1008" t="s">
        <v>546</v>
      </c>
      <c r="X3143" s="1008"/>
      <c r="Y3143" s="1008"/>
      <c r="Z3143" s="1008"/>
      <c r="AA3143" s="1008"/>
      <c r="AB3143" s="1008"/>
      <c r="AC3143" s="1008"/>
      <c r="AD3143" s="1008"/>
      <c r="AE3143" s="1008"/>
      <c r="AF3143" s="1008"/>
      <c r="AG3143" s="1008"/>
      <c r="AH3143" s="1008"/>
      <c r="AI3143" s="1008"/>
    </row>
    <row r="3144" spans="1:35">
      <c r="A3144" s="1008">
        <v>25238</v>
      </c>
      <c r="C3144" s="1008">
        <v>6</v>
      </c>
      <c r="D3144" s="1009">
        <v>61109999</v>
      </c>
      <c r="E3144" s="1009">
        <v>61100000</v>
      </c>
      <c r="F3144" s="1007" t="s">
        <v>1506</v>
      </c>
      <c r="O3144" s="1007" t="s">
        <v>648</v>
      </c>
      <c r="P3144" s="1007" t="s">
        <v>648</v>
      </c>
      <c r="S3144" s="1008" t="s">
        <v>650</v>
      </c>
      <c r="T3144" s="1008" t="s">
        <v>675</v>
      </c>
      <c r="U3144" s="1008" t="s">
        <v>653</v>
      </c>
      <c r="V3144" s="1008" t="s">
        <v>648</v>
      </c>
      <c r="W3144" s="1008" t="s">
        <v>546</v>
      </c>
      <c r="X3144" s="1008"/>
      <c r="Y3144" s="1008"/>
      <c r="Z3144" s="1008"/>
      <c r="AA3144" s="1008"/>
      <c r="AB3144" s="1008"/>
      <c r="AC3144" s="1008"/>
      <c r="AD3144" s="1008"/>
      <c r="AE3144" s="1008"/>
      <c r="AF3144" s="1008"/>
      <c r="AG3144" s="1008"/>
      <c r="AH3144" s="1008"/>
      <c r="AI3144" s="1008"/>
    </row>
    <row r="3145" spans="1:35">
      <c r="A3145" s="1008">
        <v>25239</v>
      </c>
      <c r="B3145" s="1008">
        <v>551</v>
      </c>
      <c r="C3145" s="1008">
        <v>7</v>
      </c>
      <c r="D3145" s="1009">
        <v>61109999</v>
      </c>
      <c r="E3145" s="1009">
        <v>61101000</v>
      </c>
      <c r="F3145" s="1007" t="s">
        <v>1505</v>
      </c>
      <c r="G3145" s="1007">
        <v>8</v>
      </c>
      <c r="H3145" s="1010">
        <v>99999999</v>
      </c>
      <c r="I3145" s="1009">
        <v>61101000</v>
      </c>
      <c r="J3145" s="1007" t="s">
        <v>1505</v>
      </c>
      <c r="O3145" s="1007" t="s">
        <v>648</v>
      </c>
      <c r="P3145" s="1007" t="s">
        <v>648</v>
      </c>
      <c r="S3145" s="1008" t="s">
        <v>650</v>
      </c>
      <c r="T3145" s="1008" t="s">
        <v>654</v>
      </c>
      <c r="U3145" s="1008" t="s">
        <v>653</v>
      </c>
      <c r="V3145" s="1008" t="s">
        <v>648</v>
      </c>
      <c r="W3145" s="1008" t="s">
        <v>546</v>
      </c>
      <c r="X3145" s="1008" t="s">
        <v>670</v>
      </c>
      <c r="Y3145" s="1008"/>
      <c r="Z3145" s="1008"/>
      <c r="AA3145" s="1008" t="s">
        <v>670</v>
      </c>
      <c r="AB3145" s="1008"/>
      <c r="AC3145" s="1008"/>
      <c r="AD3145" s="1008"/>
      <c r="AE3145" s="1008"/>
      <c r="AF3145" s="1008"/>
      <c r="AG3145" s="1008"/>
      <c r="AH3145" s="1008"/>
      <c r="AI3145" s="1008"/>
    </row>
    <row r="3146" spans="1:35">
      <c r="A3146" s="1008">
        <v>25241</v>
      </c>
      <c r="C3146" s="1008">
        <v>6</v>
      </c>
      <c r="D3146" s="1009">
        <v>61199999</v>
      </c>
      <c r="E3146" s="1009">
        <v>61109999</v>
      </c>
      <c r="F3146" s="1007" t="s">
        <v>1504</v>
      </c>
      <c r="O3146" s="1007" t="s">
        <v>648</v>
      </c>
      <c r="P3146" s="1007" t="s">
        <v>648</v>
      </c>
      <c r="S3146" s="1008" t="s">
        <v>650</v>
      </c>
      <c r="T3146" s="1008" t="s">
        <v>21</v>
      </c>
      <c r="U3146" s="1008" t="s">
        <v>653</v>
      </c>
      <c r="V3146" s="1008" t="s">
        <v>648</v>
      </c>
      <c r="W3146" s="1008" t="s">
        <v>546</v>
      </c>
      <c r="X3146" s="1008"/>
      <c r="Y3146" s="1008"/>
      <c r="Z3146" s="1008"/>
      <c r="AA3146" s="1008"/>
      <c r="AB3146" s="1008"/>
      <c r="AC3146" s="1008"/>
      <c r="AD3146" s="1008"/>
      <c r="AE3146" s="1008"/>
      <c r="AF3146" s="1008"/>
      <c r="AG3146" s="1008"/>
      <c r="AH3146" s="1008"/>
      <c r="AI3146" s="1008"/>
    </row>
    <row r="3147" spans="1:35">
      <c r="A3147" s="1008">
        <v>25242</v>
      </c>
      <c r="C3147" s="1008">
        <v>6</v>
      </c>
      <c r="D3147" s="1009">
        <v>61119000</v>
      </c>
      <c r="E3147" s="1009">
        <v>61110000</v>
      </c>
      <c r="F3147" s="1007" t="s">
        <v>1503</v>
      </c>
      <c r="O3147" s="1007" t="s">
        <v>648</v>
      </c>
      <c r="P3147" s="1007" t="s">
        <v>648</v>
      </c>
      <c r="S3147" s="1008" t="s">
        <v>650</v>
      </c>
      <c r="T3147" s="1008" t="s">
        <v>675</v>
      </c>
      <c r="U3147" s="1008" t="s">
        <v>653</v>
      </c>
      <c r="V3147" s="1008" t="s">
        <v>648</v>
      </c>
      <c r="W3147" s="1008" t="s">
        <v>546</v>
      </c>
      <c r="X3147" s="1008"/>
      <c r="Y3147" s="1008"/>
      <c r="Z3147" s="1008"/>
      <c r="AA3147" s="1008"/>
      <c r="AB3147" s="1008"/>
      <c r="AC3147" s="1008"/>
      <c r="AD3147" s="1008"/>
      <c r="AE3147" s="1008"/>
      <c r="AF3147" s="1008"/>
      <c r="AG3147" s="1008"/>
      <c r="AH3147" s="1008"/>
      <c r="AI3147" s="1008"/>
    </row>
    <row r="3148" spans="1:35">
      <c r="A3148" s="1008">
        <v>25243</v>
      </c>
      <c r="B3148" s="1008">
        <v>550</v>
      </c>
      <c r="C3148" s="1008">
        <v>7</v>
      </c>
      <c r="D3148" s="1009">
        <v>61119000</v>
      </c>
      <c r="E3148" s="1009">
        <v>61111000</v>
      </c>
      <c r="F3148" s="1007" t="s">
        <v>1502</v>
      </c>
      <c r="G3148" s="1007">
        <v>8</v>
      </c>
      <c r="H3148" s="1010">
        <v>99999999</v>
      </c>
      <c r="I3148" s="1009">
        <v>61111000</v>
      </c>
      <c r="J3148" s="1007" t="s">
        <v>1502</v>
      </c>
      <c r="O3148" s="1007" t="s">
        <v>648</v>
      </c>
      <c r="P3148" s="1007" t="s">
        <v>648</v>
      </c>
      <c r="S3148" s="1008" t="s">
        <v>650</v>
      </c>
      <c r="T3148" s="1008" t="s">
        <v>654</v>
      </c>
      <c r="U3148" s="1008" t="s">
        <v>653</v>
      </c>
      <c r="V3148" s="1008" t="s">
        <v>648</v>
      </c>
      <c r="W3148" s="1008" t="s">
        <v>546</v>
      </c>
      <c r="X3148" s="1008" t="s">
        <v>670</v>
      </c>
      <c r="Y3148" s="1008"/>
      <c r="Z3148" s="1008"/>
      <c r="AA3148" s="1008" t="s">
        <v>670</v>
      </c>
      <c r="AB3148" s="1008"/>
      <c r="AC3148" s="1008"/>
      <c r="AD3148" s="1008"/>
      <c r="AE3148" s="1008"/>
      <c r="AF3148" s="1008"/>
      <c r="AG3148" s="1008"/>
      <c r="AH3148" s="1008"/>
      <c r="AI3148" s="1008"/>
    </row>
    <row r="3149" spans="1:35">
      <c r="A3149" s="1008">
        <v>25244</v>
      </c>
      <c r="C3149" s="1008">
        <v>6</v>
      </c>
      <c r="D3149" s="1009">
        <v>61199999</v>
      </c>
      <c r="E3149" s="1009">
        <v>61119000</v>
      </c>
      <c r="F3149" s="1007" t="s">
        <v>1501</v>
      </c>
      <c r="O3149" s="1007" t="s">
        <v>648</v>
      </c>
      <c r="P3149" s="1007" t="s">
        <v>648</v>
      </c>
      <c r="S3149" s="1008" t="s">
        <v>650</v>
      </c>
      <c r="T3149" s="1008" t="s">
        <v>21</v>
      </c>
      <c r="U3149" s="1008" t="s">
        <v>653</v>
      </c>
      <c r="V3149" s="1008" t="s">
        <v>648</v>
      </c>
      <c r="W3149" s="1008" t="s">
        <v>546</v>
      </c>
      <c r="X3149" s="1008"/>
      <c r="Y3149" s="1008"/>
      <c r="Z3149" s="1008"/>
      <c r="AA3149" s="1008"/>
      <c r="AB3149" s="1008"/>
      <c r="AC3149" s="1008"/>
      <c r="AD3149" s="1008"/>
      <c r="AE3149" s="1008"/>
      <c r="AF3149" s="1008"/>
      <c r="AG3149" s="1008"/>
      <c r="AH3149" s="1008"/>
      <c r="AI3149" s="1008"/>
    </row>
    <row r="3150" spans="1:35">
      <c r="A3150" s="1008">
        <v>25281</v>
      </c>
      <c r="C3150" s="1008">
        <v>6</v>
      </c>
      <c r="D3150" s="1009">
        <v>61129999</v>
      </c>
      <c r="E3150" s="1009">
        <v>61120000</v>
      </c>
      <c r="F3150" s="1007" t="s">
        <v>1500</v>
      </c>
      <c r="O3150" s="1007" t="s">
        <v>648</v>
      </c>
      <c r="P3150" s="1007" t="s">
        <v>648</v>
      </c>
      <c r="S3150" s="1008" t="s">
        <v>650</v>
      </c>
      <c r="T3150" s="1008" t="s">
        <v>675</v>
      </c>
      <c r="U3150" s="1008" t="s">
        <v>653</v>
      </c>
      <c r="V3150" s="1008" t="s">
        <v>648</v>
      </c>
      <c r="W3150" s="1008" t="s">
        <v>546</v>
      </c>
      <c r="X3150" s="1008"/>
      <c r="Y3150" s="1008"/>
      <c r="Z3150" s="1008"/>
      <c r="AA3150" s="1008"/>
      <c r="AB3150" s="1008"/>
      <c r="AC3150" s="1008"/>
      <c r="AD3150" s="1008"/>
      <c r="AE3150" s="1008"/>
      <c r="AF3150" s="1008"/>
      <c r="AG3150" s="1008"/>
      <c r="AH3150" s="1008"/>
      <c r="AI3150" s="1008"/>
    </row>
    <row r="3151" spans="1:35">
      <c r="A3151" s="1008">
        <v>25282</v>
      </c>
      <c r="B3151" s="1008">
        <v>2328</v>
      </c>
      <c r="C3151" s="1008">
        <v>7</v>
      </c>
      <c r="D3151" s="1009">
        <v>61129999</v>
      </c>
      <c r="E3151" s="1009">
        <v>61121000</v>
      </c>
      <c r="F3151" s="1007" t="s">
        <v>1570</v>
      </c>
      <c r="G3151" s="1007">
        <v>7</v>
      </c>
      <c r="H3151" s="1010">
        <v>99999999</v>
      </c>
      <c r="I3151" s="1009">
        <v>61121000</v>
      </c>
      <c r="J3151" s="1007" t="s">
        <v>1570</v>
      </c>
      <c r="O3151" s="1007" t="s">
        <v>648</v>
      </c>
      <c r="P3151" s="1007" t="s">
        <v>648</v>
      </c>
      <c r="S3151" s="1008" t="s">
        <v>650</v>
      </c>
      <c r="T3151" s="1008" t="s">
        <v>654</v>
      </c>
      <c r="U3151" s="1008" t="s">
        <v>653</v>
      </c>
      <c r="V3151" s="1008" t="s">
        <v>648</v>
      </c>
      <c r="W3151" s="1008" t="s">
        <v>546</v>
      </c>
      <c r="X3151" s="1008" t="s">
        <v>670</v>
      </c>
      <c r="Y3151" s="1008"/>
      <c r="Z3151" s="1008"/>
      <c r="AA3151" s="1008" t="s">
        <v>670</v>
      </c>
      <c r="AB3151" s="1008"/>
      <c r="AC3151" s="1008"/>
      <c r="AD3151" s="1008"/>
      <c r="AE3151" s="1008"/>
      <c r="AF3151" s="1008"/>
      <c r="AG3151" s="1008"/>
      <c r="AH3151" s="1008"/>
      <c r="AI3151" s="1008"/>
    </row>
    <row r="3152" spans="1:35">
      <c r="A3152" s="1008">
        <v>25283</v>
      </c>
      <c r="B3152" s="1008">
        <v>2329</v>
      </c>
      <c r="C3152" s="1008">
        <v>7</v>
      </c>
      <c r="D3152" s="1009">
        <v>61129999</v>
      </c>
      <c r="E3152" s="1009">
        <v>61122000</v>
      </c>
      <c r="F3152" s="1007" t="s">
        <v>1569</v>
      </c>
      <c r="G3152" s="1007">
        <v>7</v>
      </c>
      <c r="H3152" s="1010">
        <v>99999999</v>
      </c>
      <c r="I3152" s="1009">
        <v>61122000</v>
      </c>
      <c r="J3152" s="1007" t="s">
        <v>1569</v>
      </c>
      <c r="O3152" s="1007" t="s">
        <v>648</v>
      </c>
      <c r="P3152" s="1007" t="s">
        <v>648</v>
      </c>
      <c r="S3152" s="1008" t="s">
        <v>650</v>
      </c>
      <c r="T3152" s="1008" t="s">
        <v>654</v>
      </c>
      <c r="U3152" s="1008" t="s">
        <v>653</v>
      </c>
      <c r="V3152" s="1008" t="s">
        <v>648</v>
      </c>
      <c r="W3152" s="1008" t="s">
        <v>546</v>
      </c>
      <c r="X3152" s="1008" t="s">
        <v>670</v>
      </c>
      <c r="Y3152" s="1008"/>
      <c r="Z3152" s="1008"/>
      <c r="AA3152" s="1008" t="s">
        <v>670</v>
      </c>
      <c r="AB3152" s="1008"/>
      <c r="AC3152" s="1008"/>
      <c r="AD3152" s="1008"/>
      <c r="AE3152" s="1008"/>
      <c r="AF3152" s="1008"/>
      <c r="AG3152" s="1008"/>
      <c r="AH3152" s="1008"/>
      <c r="AI3152" s="1008"/>
    </row>
    <row r="3153" spans="1:35">
      <c r="A3153" s="1008">
        <v>25284</v>
      </c>
      <c r="B3153" s="1008">
        <v>2330</v>
      </c>
      <c r="C3153" s="1008">
        <v>7</v>
      </c>
      <c r="D3153" s="1009">
        <v>61129999</v>
      </c>
      <c r="E3153" s="1009">
        <v>61123000</v>
      </c>
      <c r="F3153" s="1007" t="s">
        <v>1568</v>
      </c>
      <c r="G3153" s="1007">
        <v>7</v>
      </c>
      <c r="H3153" s="1010">
        <v>99999999</v>
      </c>
      <c r="I3153" s="1009">
        <v>61123000</v>
      </c>
      <c r="J3153" s="1007" t="s">
        <v>1568</v>
      </c>
      <c r="O3153" s="1007" t="s">
        <v>648</v>
      </c>
      <c r="P3153" s="1007" t="s">
        <v>648</v>
      </c>
      <c r="S3153" s="1008" t="s">
        <v>650</v>
      </c>
      <c r="T3153" s="1008" t="s">
        <v>654</v>
      </c>
      <c r="U3153" s="1008" t="s">
        <v>653</v>
      </c>
      <c r="V3153" s="1008" t="s">
        <v>648</v>
      </c>
      <c r="W3153" s="1008" t="s">
        <v>546</v>
      </c>
      <c r="X3153" s="1008" t="s">
        <v>670</v>
      </c>
      <c r="Y3153" s="1008"/>
      <c r="Z3153" s="1008"/>
      <c r="AA3153" s="1008" t="s">
        <v>670</v>
      </c>
      <c r="AB3153" s="1008"/>
      <c r="AC3153" s="1008"/>
      <c r="AD3153" s="1008"/>
      <c r="AE3153" s="1008"/>
      <c r="AF3153" s="1008"/>
      <c r="AG3153" s="1008"/>
      <c r="AH3153" s="1008"/>
      <c r="AI3153" s="1008"/>
    </row>
    <row r="3154" spans="1:35">
      <c r="A3154" s="1008">
        <v>25290</v>
      </c>
      <c r="B3154" s="1008">
        <v>5504</v>
      </c>
      <c r="C3154" s="1008">
        <v>7</v>
      </c>
      <c r="D3154" s="1009">
        <v>61129999</v>
      </c>
      <c r="E3154" s="1009">
        <v>61124000</v>
      </c>
      <c r="F3154" s="1007" t="s">
        <v>1499</v>
      </c>
      <c r="G3154" s="1007">
        <v>7</v>
      </c>
      <c r="H3154" s="1010">
        <v>99999999</v>
      </c>
      <c r="I3154" s="1009">
        <v>61124000</v>
      </c>
      <c r="J3154" s="1007" t="s">
        <v>1499</v>
      </c>
      <c r="O3154" s="1007" t="s">
        <v>648</v>
      </c>
      <c r="P3154" s="1007" t="s">
        <v>648</v>
      </c>
      <c r="S3154" s="1008" t="s">
        <v>650</v>
      </c>
      <c r="T3154" s="1008" t="s">
        <v>654</v>
      </c>
      <c r="U3154" s="1008" t="s">
        <v>653</v>
      </c>
      <c r="V3154" s="1008" t="s">
        <v>648</v>
      </c>
      <c r="W3154" s="1008" t="s">
        <v>546</v>
      </c>
      <c r="X3154" s="1008" t="s">
        <v>670</v>
      </c>
      <c r="Y3154" s="1008"/>
      <c r="Z3154" s="1008"/>
      <c r="AA3154" s="1008" t="s">
        <v>670</v>
      </c>
      <c r="AB3154" s="1008"/>
      <c r="AC3154" s="1008"/>
      <c r="AD3154" s="1008"/>
      <c r="AE3154" s="1008"/>
      <c r="AF3154" s="1008"/>
      <c r="AG3154" s="1008"/>
      <c r="AH3154" s="1008"/>
      <c r="AI3154" s="1008"/>
    </row>
    <row r="3155" spans="1:35">
      <c r="A3155" s="1008">
        <v>27093</v>
      </c>
      <c r="B3155" s="1008">
        <v>5923</v>
      </c>
      <c r="C3155" s="1008">
        <v>7</v>
      </c>
      <c r="D3155" s="1009">
        <v>61129999</v>
      </c>
      <c r="E3155" s="1009">
        <v>61125000</v>
      </c>
      <c r="F3155" s="1007" t="s">
        <v>1498</v>
      </c>
      <c r="G3155" s="1007" t="s">
        <v>648</v>
      </c>
      <c r="H3155" s="1010">
        <v>99999999</v>
      </c>
      <c r="I3155" s="1009">
        <v>61125000</v>
      </c>
      <c r="J3155" s="1007" t="s">
        <v>1498</v>
      </c>
      <c r="O3155" s="1007" t="s">
        <v>648</v>
      </c>
      <c r="P3155" s="1007" t="s">
        <v>648</v>
      </c>
      <c r="S3155" s="1008" t="s">
        <v>650</v>
      </c>
      <c r="T3155" s="1008" t="s">
        <v>654</v>
      </c>
      <c r="U3155" s="1008" t="s">
        <v>653</v>
      </c>
      <c r="V3155" s="1008" t="s">
        <v>648</v>
      </c>
      <c r="W3155" s="1008" t="s">
        <v>546</v>
      </c>
      <c r="X3155" s="1008" t="s">
        <v>670</v>
      </c>
      <c r="Y3155" s="1008"/>
      <c r="Z3155" s="1008"/>
      <c r="AA3155" s="1008" t="s">
        <v>670</v>
      </c>
      <c r="AB3155" s="1008"/>
      <c r="AC3155" s="1008"/>
      <c r="AD3155" s="1008"/>
      <c r="AE3155" s="1008"/>
      <c r="AF3155" s="1008"/>
      <c r="AG3155" s="1008"/>
      <c r="AH3155" s="1008"/>
      <c r="AI3155" s="1008"/>
    </row>
    <row r="3156" spans="1:35">
      <c r="A3156" s="1008">
        <v>25285</v>
      </c>
      <c r="B3156" s="1008">
        <v>5502</v>
      </c>
      <c r="C3156" s="1008">
        <v>7</v>
      </c>
      <c r="D3156" s="1009">
        <v>61129999</v>
      </c>
      <c r="E3156" s="1009">
        <v>61129000</v>
      </c>
      <c r="F3156" s="1007" t="s">
        <v>1497</v>
      </c>
      <c r="G3156" s="1007">
        <v>7</v>
      </c>
      <c r="H3156" s="1010">
        <v>99999999</v>
      </c>
      <c r="I3156" s="1009">
        <v>61129000</v>
      </c>
      <c r="J3156" s="1007" t="s">
        <v>1497</v>
      </c>
      <c r="O3156" s="1007" t="s">
        <v>648</v>
      </c>
      <c r="P3156" s="1007" t="s">
        <v>648</v>
      </c>
      <c r="S3156" s="1008" t="s">
        <v>650</v>
      </c>
      <c r="T3156" s="1008" t="s">
        <v>654</v>
      </c>
      <c r="U3156" s="1008" t="s">
        <v>653</v>
      </c>
      <c r="V3156" s="1008" t="s">
        <v>648</v>
      </c>
      <c r="W3156" s="1008" t="s">
        <v>546</v>
      </c>
      <c r="X3156" s="1008" t="s">
        <v>670</v>
      </c>
      <c r="Y3156" s="1008"/>
      <c r="Z3156" s="1008"/>
      <c r="AA3156" s="1008" t="s">
        <v>670</v>
      </c>
      <c r="AB3156" s="1008"/>
      <c r="AC3156" s="1008"/>
      <c r="AD3156" s="1008"/>
      <c r="AE3156" s="1008"/>
      <c r="AF3156" s="1008"/>
      <c r="AG3156" s="1008"/>
      <c r="AH3156" s="1008"/>
      <c r="AI3156" s="1008"/>
    </row>
    <row r="3157" spans="1:35">
      <c r="A3157" s="1008">
        <v>25286</v>
      </c>
      <c r="C3157" s="1008">
        <v>6</v>
      </c>
      <c r="D3157" s="1009">
        <v>61199999</v>
      </c>
      <c r="E3157" s="1009">
        <v>61129999</v>
      </c>
      <c r="F3157" s="1007" t="s">
        <v>1496</v>
      </c>
      <c r="O3157" s="1007" t="s">
        <v>648</v>
      </c>
      <c r="P3157" s="1007" t="s">
        <v>648</v>
      </c>
      <c r="S3157" s="1008" t="s">
        <v>650</v>
      </c>
      <c r="T3157" s="1008" t="s">
        <v>21</v>
      </c>
      <c r="U3157" s="1008" t="s">
        <v>653</v>
      </c>
      <c r="V3157" s="1008" t="s">
        <v>648</v>
      </c>
      <c r="W3157" s="1008" t="s">
        <v>546</v>
      </c>
      <c r="X3157" s="1008"/>
      <c r="Y3157" s="1008"/>
      <c r="Z3157" s="1008"/>
      <c r="AA3157" s="1008"/>
      <c r="AB3157" s="1008"/>
      <c r="AC3157" s="1008"/>
      <c r="AD3157" s="1008"/>
      <c r="AE3157" s="1008"/>
      <c r="AF3157" s="1008"/>
      <c r="AG3157" s="1008"/>
      <c r="AH3157" s="1008"/>
      <c r="AI3157" s="1008"/>
    </row>
    <row r="3158" spans="1:35">
      <c r="A3158" s="1008">
        <v>25287</v>
      </c>
      <c r="C3158" s="1008">
        <v>6</v>
      </c>
      <c r="D3158" s="1009">
        <v>61139999</v>
      </c>
      <c r="E3158" s="1009">
        <v>61130000</v>
      </c>
      <c r="F3158" s="1007" t="s">
        <v>1495</v>
      </c>
      <c r="O3158" s="1007" t="s">
        <v>648</v>
      </c>
      <c r="P3158" s="1007" t="s">
        <v>648</v>
      </c>
      <c r="S3158" s="1008" t="s">
        <v>650</v>
      </c>
      <c r="T3158" s="1008" t="s">
        <v>675</v>
      </c>
      <c r="U3158" s="1008" t="s">
        <v>653</v>
      </c>
      <c r="V3158" s="1008" t="s">
        <v>648</v>
      </c>
      <c r="W3158" s="1008" t="s">
        <v>546</v>
      </c>
      <c r="X3158" s="1008"/>
      <c r="Y3158" s="1008"/>
      <c r="Z3158" s="1008"/>
      <c r="AA3158" s="1008"/>
      <c r="AB3158" s="1008"/>
      <c r="AC3158" s="1008"/>
      <c r="AD3158" s="1008"/>
      <c r="AE3158" s="1008"/>
      <c r="AF3158" s="1008"/>
      <c r="AG3158" s="1008"/>
      <c r="AH3158" s="1008"/>
      <c r="AI3158" s="1008"/>
    </row>
    <row r="3159" spans="1:35">
      <c r="A3159" s="1008">
        <v>25288</v>
      </c>
      <c r="B3159" s="1008">
        <v>556</v>
      </c>
      <c r="C3159" s="1008">
        <v>7</v>
      </c>
      <c r="D3159" s="1009">
        <v>61139999</v>
      </c>
      <c r="E3159" s="1009">
        <v>61131000</v>
      </c>
      <c r="F3159" s="1007" t="s">
        <v>1494</v>
      </c>
      <c r="G3159" s="1007">
        <v>8</v>
      </c>
      <c r="H3159" s="1010">
        <v>99999999</v>
      </c>
      <c r="I3159" s="1009">
        <v>61131000</v>
      </c>
      <c r="J3159" s="1007" t="s">
        <v>1494</v>
      </c>
      <c r="O3159" s="1007" t="s">
        <v>648</v>
      </c>
      <c r="P3159" s="1007" t="s">
        <v>648</v>
      </c>
      <c r="S3159" s="1008" t="s">
        <v>650</v>
      </c>
      <c r="T3159" s="1008" t="s">
        <v>654</v>
      </c>
      <c r="U3159" s="1008" t="s">
        <v>653</v>
      </c>
      <c r="V3159" s="1008" t="s">
        <v>648</v>
      </c>
      <c r="W3159" s="1008" t="s">
        <v>546</v>
      </c>
      <c r="X3159" s="1008" t="s">
        <v>670</v>
      </c>
      <c r="Y3159" s="1008"/>
      <c r="Z3159" s="1008"/>
      <c r="AA3159" s="1008" t="s">
        <v>670</v>
      </c>
      <c r="AB3159" s="1008"/>
      <c r="AC3159" s="1008"/>
      <c r="AD3159" s="1008"/>
      <c r="AE3159" s="1008"/>
      <c r="AF3159" s="1008"/>
      <c r="AG3159" s="1008"/>
      <c r="AH3159" s="1008"/>
      <c r="AI3159" s="1008"/>
    </row>
    <row r="3160" spans="1:35">
      <c r="A3160" s="1008">
        <v>25289</v>
      </c>
      <c r="B3160" s="1008">
        <v>555</v>
      </c>
      <c r="C3160" s="1008">
        <v>7</v>
      </c>
      <c r="D3160" s="1009">
        <v>61139999</v>
      </c>
      <c r="E3160" s="1009">
        <v>61132000</v>
      </c>
      <c r="F3160" s="1007" t="s">
        <v>1493</v>
      </c>
      <c r="G3160" s="1007">
        <v>8</v>
      </c>
      <c r="H3160" s="1010">
        <v>99999999</v>
      </c>
      <c r="I3160" s="1009">
        <v>61132000</v>
      </c>
      <c r="J3160" s="1007" t="s">
        <v>1493</v>
      </c>
      <c r="O3160" s="1007" t="s">
        <v>648</v>
      </c>
      <c r="P3160" s="1007" t="s">
        <v>648</v>
      </c>
      <c r="S3160" s="1008" t="s">
        <v>650</v>
      </c>
      <c r="T3160" s="1008" t="s">
        <v>654</v>
      </c>
      <c r="U3160" s="1008" t="s">
        <v>653</v>
      </c>
      <c r="V3160" s="1008" t="s">
        <v>648</v>
      </c>
      <c r="W3160" s="1008" t="s">
        <v>546</v>
      </c>
      <c r="X3160" s="1008" t="s">
        <v>670</v>
      </c>
      <c r="Y3160" s="1008"/>
      <c r="Z3160" s="1008"/>
      <c r="AA3160" s="1008" t="s">
        <v>670</v>
      </c>
      <c r="AB3160" s="1008"/>
      <c r="AC3160" s="1008"/>
      <c r="AD3160" s="1008"/>
      <c r="AE3160" s="1008"/>
      <c r="AF3160" s="1008"/>
      <c r="AG3160" s="1008"/>
      <c r="AH3160" s="1008"/>
      <c r="AI3160" s="1008"/>
    </row>
    <row r="3161" spans="1:35">
      <c r="A3161" s="1008">
        <v>25293</v>
      </c>
      <c r="B3161" s="1008">
        <v>548</v>
      </c>
      <c r="C3161" s="1008">
        <v>7</v>
      </c>
      <c r="D3161" s="1009">
        <v>61139999</v>
      </c>
      <c r="E3161" s="1009">
        <v>61133000</v>
      </c>
      <c r="F3161" s="1007" t="s">
        <v>1492</v>
      </c>
      <c r="G3161" s="1007">
        <v>8</v>
      </c>
      <c r="H3161" s="1010">
        <v>99999999</v>
      </c>
      <c r="I3161" s="1009">
        <v>61133000</v>
      </c>
      <c r="J3161" s="1007" t="s">
        <v>1492</v>
      </c>
      <c r="O3161" s="1007" t="s">
        <v>648</v>
      </c>
      <c r="P3161" s="1007" t="s">
        <v>648</v>
      </c>
      <c r="S3161" s="1008" t="s">
        <v>650</v>
      </c>
      <c r="T3161" s="1008" t="s">
        <v>654</v>
      </c>
      <c r="U3161" s="1008" t="s">
        <v>653</v>
      </c>
      <c r="V3161" s="1008" t="s">
        <v>648</v>
      </c>
      <c r="W3161" s="1008" t="s">
        <v>546</v>
      </c>
      <c r="X3161" s="1008" t="s">
        <v>670</v>
      </c>
      <c r="Y3161" s="1008"/>
      <c r="Z3161" s="1008"/>
      <c r="AA3161" s="1008" t="s">
        <v>670</v>
      </c>
      <c r="AB3161" s="1008"/>
      <c r="AC3161" s="1008"/>
      <c r="AD3161" s="1008"/>
      <c r="AE3161" s="1008"/>
      <c r="AF3161" s="1008"/>
      <c r="AG3161" s="1008"/>
      <c r="AH3161" s="1008"/>
      <c r="AI3161" s="1008"/>
    </row>
    <row r="3162" spans="1:35">
      <c r="A3162" s="1008">
        <v>25240</v>
      </c>
      <c r="B3162" s="1008">
        <v>549</v>
      </c>
      <c r="C3162" s="1008">
        <v>7</v>
      </c>
      <c r="D3162" s="1009">
        <v>61139999</v>
      </c>
      <c r="E3162" s="1009">
        <v>61134000</v>
      </c>
      <c r="F3162" s="1007" t="s">
        <v>1491</v>
      </c>
      <c r="G3162" s="1007">
        <v>8</v>
      </c>
      <c r="H3162" s="1010">
        <v>99999999</v>
      </c>
      <c r="I3162" s="1009">
        <v>61134000</v>
      </c>
      <c r="J3162" s="1007" t="s">
        <v>1491</v>
      </c>
      <c r="O3162" s="1007" t="s">
        <v>648</v>
      </c>
      <c r="P3162" s="1007" t="s">
        <v>648</v>
      </c>
      <c r="S3162" s="1008" t="s">
        <v>650</v>
      </c>
      <c r="T3162" s="1008" t="s">
        <v>654</v>
      </c>
      <c r="U3162" s="1008" t="s">
        <v>653</v>
      </c>
      <c r="V3162" s="1008" t="s">
        <v>648</v>
      </c>
      <c r="W3162" s="1008" t="s">
        <v>546</v>
      </c>
      <c r="X3162" s="1008" t="s">
        <v>670</v>
      </c>
      <c r="Y3162" s="1008"/>
      <c r="Z3162" s="1008"/>
      <c r="AA3162" s="1008" t="s">
        <v>670</v>
      </c>
      <c r="AB3162" s="1008"/>
      <c r="AC3162" s="1008"/>
      <c r="AD3162" s="1008"/>
      <c r="AE3162" s="1008"/>
      <c r="AF3162" s="1008"/>
      <c r="AG3162" s="1008"/>
      <c r="AH3162" s="1008"/>
      <c r="AI3162" s="1008"/>
    </row>
    <row r="3163" spans="1:35">
      <c r="A3163" s="1008">
        <v>26558</v>
      </c>
      <c r="B3163" s="1008">
        <v>5824</v>
      </c>
      <c r="C3163" s="1008">
        <v>7</v>
      </c>
      <c r="D3163" s="1009">
        <v>61139999</v>
      </c>
      <c r="E3163" s="1009">
        <v>61135000</v>
      </c>
      <c r="F3163" s="1007" t="s">
        <v>1490</v>
      </c>
      <c r="G3163" s="1007" t="s">
        <v>648</v>
      </c>
      <c r="H3163" s="1010">
        <v>99999999</v>
      </c>
      <c r="I3163" s="1009">
        <v>61135000</v>
      </c>
      <c r="J3163" s="1007" t="s">
        <v>1490</v>
      </c>
      <c r="O3163" s="1007" t="s">
        <v>648</v>
      </c>
      <c r="P3163" s="1007" t="s">
        <v>648</v>
      </c>
      <c r="S3163" s="1008" t="s">
        <v>650</v>
      </c>
      <c r="T3163" s="1008" t="s">
        <v>654</v>
      </c>
      <c r="U3163" s="1008" t="s">
        <v>653</v>
      </c>
      <c r="V3163" s="1008" t="s">
        <v>648</v>
      </c>
      <c r="W3163" s="1008" t="s">
        <v>546</v>
      </c>
      <c r="X3163" s="1008" t="s">
        <v>670</v>
      </c>
      <c r="Y3163" s="1008"/>
      <c r="Z3163" s="1008"/>
      <c r="AA3163" s="1008" t="s">
        <v>670</v>
      </c>
      <c r="AB3163" s="1008"/>
      <c r="AC3163" s="1008" t="s">
        <v>670</v>
      </c>
      <c r="AD3163" s="1008"/>
      <c r="AE3163" s="1008"/>
      <c r="AF3163" s="1008"/>
      <c r="AG3163" s="1008"/>
      <c r="AH3163" s="1008"/>
      <c r="AI3163" s="1008"/>
    </row>
    <row r="3164" spans="1:35">
      <c r="A3164" s="1008">
        <v>25291</v>
      </c>
      <c r="C3164" s="1008">
        <v>6</v>
      </c>
      <c r="D3164" s="1009">
        <v>61199999</v>
      </c>
      <c r="E3164" s="1009">
        <v>61139999</v>
      </c>
      <c r="F3164" s="1007" t="s">
        <v>1489</v>
      </c>
      <c r="O3164" s="1007" t="s">
        <v>648</v>
      </c>
      <c r="P3164" s="1007" t="s">
        <v>648</v>
      </c>
      <c r="S3164" s="1008" t="s">
        <v>650</v>
      </c>
      <c r="T3164" s="1008" t="s">
        <v>21</v>
      </c>
      <c r="U3164" s="1008" t="s">
        <v>653</v>
      </c>
      <c r="V3164" s="1008" t="s">
        <v>648</v>
      </c>
      <c r="W3164" s="1008" t="s">
        <v>546</v>
      </c>
      <c r="X3164" s="1008"/>
      <c r="Y3164" s="1008"/>
      <c r="Z3164" s="1008"/>
      <c r="AA3164" s="1008"/>
      <c r="AB3164" s="1008"/>
      <c r="AC3164" s="1008"/>
      <c r="AD3164" s="1008"/>
      <c r="AE3164" s="1008"/>
      <c r="AF3164" s="1008"/>
      <c r="AG3164" s="1008"/>
      <c r="AH3164" s="1008"/>
      <c r="AI3164" s="1008"/>
    </row>
    <row r="3165" spans="1:35">
      <c r="A3165" s="1008">
        <v>25336</v>
      </c>
      <c r="C3165" s="1008">
        <v>6</v>
      </c>
      <c r="D3165" s="1009">
        <v>61169999</v>
      </c>
      <c r="E3165" s="1009">
        <v>61160000</v>
      </c>
      <c r="F3165" s="1007" t="s">
        <v>1488</v>
      </c>
      <c r="O3165" s="1007" t="s">
        <v>648</v>
      </c>
      <c r="P3165" s="1007" t="s">
        <v>648</v>
      </c>
      <c r="S3165" s="1008" t="s">
        <v>650</v>
      </c>
      <c r="T3165" s="1008" t="s">
        <v>675</v>
      </c>
      <c r="U3165" s="1008" t="s">
        <v>653</v>
      </c>
      <c r="V3165" s="1008" t="s">
        <v>648</v>
      </c>
      <c r="W3165" s="1008" t="s">
        <v>546</v>
      </c>
      <c r="X3165" s="1008"/>
      <c r="Y3165" s="1008"/>
      <c r="Z3165" s="1008"/>
      <c r="AA3165" s="1008"/>
      <c r="AB3165" s="1008"/>
      <c r="AC3165" s="1008"/>
      <c r="AD3165" s="1008"/>
      <c r="AE3165" s="1008"/>
      <c r="AF3165" s="1008"/>
      <c r="AG3165" s="1008"/>
      <c r="AH3165" s="1008"/>
      <c r="AI3165" s="1008"/>
    </row>
    <row r="3166" spans="1:35">
      <c r="A3166" s="1008">
        <v>25337</v>
      </c>
      <c r="B3166" s="1008">
        <v>557</v>
      </c>
      <c r="C3166" s="1008">
        <v>7</v>
      </c>
      <c r="D3166" s="1009">
        <v>61169999</v>
      </c>
      <c r="E3166" s="1009">
        <v>61162000</v>
      </c>
      <c r="F3166" s="1007" t="s">
        <v>1487</v>
      </c>
      <c r="G3166" s="1007">
        <v>8</v>
      </c>
      <c r="H3166" s="1010">
        <v>99999999</v>
      </c>
      <c r="I3166" s="1009">
        <v>61162000</v>
      </c>
      <c r="J3166" s="1007" t="s">
        <v>1487</v>
      </c>
      <c r="O3166" s="1007" t="s">
        <v>648</v>
      </c>
      <c r="P3166" s="1007" t="s">
        <v>648</v>
      </c>
      <c r="S3166" s="1008" t="s">
        <v>650</v>
      </c>
      <c r="T3166" s="1008" t="s">
        <v>654</v>
      </c>
      <c r="U3166" s="1008" t="s">
        <v>653</v>
      </c>
      <c r="V3166" s="1008" t="s">
        <v>648</v>
      </c>
      <c r="W3166" s="1008" t="s">
        <v>546</v>
      </c>
      <c r="X3166" s="1008" t="s">
        <v>670</v>
      </c>
      <c r="Y3166" s="1008" t="s">
        <v>670</v>
      </c>
      <c r="Z3166" s="1008"/>
      <c r="AA3166" s="1008" t="s">
        <v>670</v>
      </c>
      <c r="AB3166" s="1008"/>
      <c r="AC3166" s="1008"/>
      <c r="AD3166" s="1008"/>
      <c r="AE3166" s="1008"/>
      <c r="AF3166" s="1008" t="s">
        <v>670</v>
      </c>
      <c r="AG3166" s="1008"/>
      <c r="AH3166" s="1008"/>
      <c r="AI3166" s="1008"/>
    </row>
    <row r="3167" spans="1:35">
      <c r="A3167" s="1008">
        <v>25338</v>
      </c>
      <c r="B3167" s="1008">
        <v>2364</v>
      </c>
      <c r="C3167" s="1008">
        <v>7</v>
      </c>
      <c r="D3167" s="1009">
        <v>61169999</v>
      </c>
      <c r="E3167" s="1009">
        <v>61163000</v>
      </c>
      <c r="F3167" s="1007" t="s">
        <v>1486</v>
      </c>
      <c r="G3167" s="1007">
        <v>7</v>
      </c>
      <c r="H3167" s="1010">
        <v>99999999</v>
      </c>
      <c r="I3167" s="1009">
        <v>61163000</v>
      </c>
      <c r="J3167" s="1007" t="s">
        <v>1486</v>
      </c>
      <c r="O3167" s="1007" t="s">
        <v>648</v>
      </c>
      <c r="P3167" s="1007" t="s">
        <v>648</v>
      </c>
      <c r="S3167" s="1008" t="s">
        <v>650</v>
      </c>
      <c r="T3167" s="1008" t="s">
        <v>654</v>
      </c>
      <c r="U3167" s="1008" t="s">
        <v>653</v>
      </c>
      <c r="V3167" s="1008" t="s">
        <v>648</v>
      </c>
      <c r="W3167" s="1008" t="s">
        <v>546</v>
      </c>
      <c r="X3167" s="1008" t="s">
        <v>670</v>
      </c>
      <c r="Y3167" s="1008"/>
      <c r="Z3167" s="1008"/>
      <c r="AA3167" s="1008" t="s">
        <v>670</v>
      </c>
      <c r="AB3167" s="1008"/>
      <c r="AC3167" s="1008"/>
      <c r="AD3167" s="1008"/>
      <c r="AE3167" s="1008"/>
      <c r="AF3167" s="1008"/>
      <c r="AG3167" s="1008"/>
      <c r="AH3167" s="1008"/>
      <c r="AI3167" s="1008"/>
    </row>
    <row r="3168" spans="1:35">
      <c r="A3168" s="1008">
        <v>25339</v>
      </c>
      <c r="B3168" s="1008">
        <v>5522</v>
      </c>
      <c r="C3168" s="1008">
        <v>7</v>
      </c>
      <c r="D3168" s="1009">
        <v>61169999</v>
      </c>
      <c r="E3168" s="1009">
        <v>61164000</v>
      </c>
      <c r="F3168" s="1007" t="s">
        <v>1485</v>
      </c>
      <c r="G3168" s="1007">
        <v>7</v>
      </c>
      <c r="H3168" s="1010">
        <v>99999999</v>
      </c>
      <c r="I3168" s="1009">
        <v>61164000</v>
      </c>
      <c r="J3168" s="1007" t="s">
        <v>1485</v>
      </c>
      <c r="O3168" s="1007" t="s">
        <v>648</v>
      </c>
      <c r="P3168" s="1007" t="s">
        <v>648</v>
      </c>
      <c r="S3168" s="1008" t="s">
        <v>650</v>
      </c>
      <c r="T3168" s="1008" t="s">
        <v>654</v>
      </c>
      <c r="U3168" s="1008" t="s">
        <v>653</v>
      </c>
      <c r="V3168" s="1008" t="s">
        <v>648</v>
      </c>
      <c r="W3168" s="1008" t="s">
        <v>546</v>
      </c>
      <c r="X3168" s="1008" t="s">
        <v>670</v>
      </c>
      <c r="Y3168" s="1008"/>
      <c r="Z3168" s="1008"/>
      <c r="AA3168" s="1008" t="s">
        <v>670</v>
      </c>
      <c r="AB3168" s="1008"/>
      <c r="AC3168" s="1008"/>
      <c r="AD3168" s="1008"/>
      <c r="AE3168" s="1008"/>
      <c r="AF3168" s="1008"/>
      <c r="AG3168" s="1008"/>
      <c r="AH3168" s="1008"/>
      <c r="AI3168" s="1008"/>
    </row>
    <row r="3169" spans="1:35">
      <c r="A3169" s="1008">
        <v>25340</v>
      </c>
      <c r="C3169" s="1008">
        <v>6</v>
      </c>
      <c r="D3169" s="1009">
        <v>61199999</v>
      </c>
      <c r="E3169" s="1009">
        <v>61169999</v>
      </c>
      <c r="F3169" s="1007" t="s">
        <v>1484</v>
      </c>
      <c r="O3169" s="1007" t="s">
        <v>648</v>
      </c>
      <c r="P3169" s="1007" t="s">
        <v>648</v>
      </c>
      <c r="S3169" s="1008" t="s">
        <v>650</v>
      </c>
      <c r="T3169" s="1008" t="s">
        <v>21</v>
      </c>
      <c r="U3169" s="1008" t="s">
        <v>653</v>
      </c>
      <c r="V3169" s="1008" t="s">
        <v>648</v>
      </c>
      <c r="W3169" s="1008" t="s">
        <v>546</v>
      </c>
      <c r="X3169" s="1008"/>
      <c r="Y3169" s="1008"/>
      <c r="Z3169" s="1008"/>
      <c r="AA3169" s="1008"/>
      <c r="AB3169" s="1008"/>
      <c r="AC3169" s="1008"/>
      <c r="AD3169" s="1008"/>
      <c r="AE3169" s="1008"/>
      <c r="AF3169" s="1008"/>
      <c r="AG3169" s="1008"/>
      <c r="AH3169" s="1008"/>
      <c r="AI3169" s="1008"/>
    </row>
    <row r="3170" spans="1:35">
      <c r="A3170" s="1008">
        <v>25341</v>
      </c>
      <c r="C3170" s="1008">
        <v>6</v>
      </c>
      <c r="D3170" s="1009">
        <v>61189999</v>
      </c>
      <c r="E3170" s="1009">
        <v>61170000</v>
      </c>
      <c r="F3170" s="1007" t="s">
        <v>1483</v>
      </c>
      <c r="O3170" s="1007" t="s">
        <v>648</v>
      </c>
      <c r="P3170" s="1007" t="s">
        <v>648</v>
      </c>
      <c r="S3170" s="1008" t="s">
        <v>650</v>
      </c>
      <c r="T3170" s="1008" t="s">
        <v>675</v>
      </c>
      <c r="U3170" s="1008" t="s">
        <v>653</v>
      </c>
      <c r="V3170" s="1008" t="s">
        <v>648</v>
      </c>
      <c r="W3170" s="1008" t="s">
        <v>546</v>
      </c>
      <c r="X3170" s="1008"/>
      <c r="Y3170" s="1008"/>
      <c r="Z3170" s="1008"/>
      <c r="AA3170" s="1008"/>
      <c r="AB3170" s="1008"/>
      <c r="AC3170" s="1008"/>
      <c r="AD3170" s="1008"/>
      <c r="AE3170" s="1008"/>
      <c r="AF3170" s="1008"/>
      <c r="AG3170" s="1008"/>
      <c r="AH3170" s="1008"/>
      <c r="AI3170" s="1008"/>
    </row>
    <row r="3171" spans="1:35">
      <c r="A3171" s="1008">
        <v>25342</v>
      </c>
      <c r="B3171" s="1008">
        <v>553</v>
      </c>
      <c r="C3171" s="1008">
        <v>7</v>
      </c>
      <c r="D3171" s="1009">
        <v>61189999</v>
      </c>
      <c r="E3171" s="1009">
        <v>61171000</v>
      </c>
      <c r="F3171" s="1007" t="s">
        <v>1482</v>
      </c>
      <c r="G3171" s="1007">
        <v>8</v>
      </c>
      <c r="H3171" s="1010">
        <v>99999999</v>
      </c>
      <c r="I3171" s="1009">
        <v>61171000</v>
      </c>
      <c r="J3171" s="1007" t="s">
        <v>1482</v>
      </c>
      <c r="O3171" s="1007" t="s">
        <v>648</v>
      </c>
      <c r="P3171" s="1007" t="s">
        <v>648</v>
      </c>
      <c r="S3171" s="1008" t="s">
        <v>650</v>
      </c>
      <c r="T3171" s="1008" t="s">
        <v>654</v>
      </c>
      <c r="U3171" s="1008" t="s">
        <v>653</v>
      </c>
      <c r="V3171" s="1008" t="s">
        <v>648</v>
      </c>
      <c r="W3171" s="1008" t="s">
        <v>546</v>
      </c>
      <c r="X3171" s="1008" t="s">
        <v>670</v>
      </c>
      <c r="Y3171" s="1008"/>
      <c r="Z3171" s="1008"/>
      <c r="AA3171" s="1008" t="s">
        <v>670</v>
      </c>
      <c r="AB3171" s="1008"/>
      <c r="AC3171" s="1008"/>
      <c r="AD3171" s="1008"/>
      <c r="AE3171" s="1008"/>
      <c r="AF3171" s="1008"/>
      <c r="AG3171" s="1008"/>
      <c r="AH3171" s="1008"/>
      <c r="AI3171" s="1008"/>
    </row>
    <row r="3172" spans="1:35">
      <c r="A3172" s="1008">
        <v>26559</v>
      </c>
      <c r="B3172" s="1008">
        <v>5825</v>
      </c>
      <c r="C3172" s="1008">
        <v>7</v>
      </c>
      <c r="D3172" s="1009">
        <v>61189999</v>
      </c>
      <c r="E3172" s="1009">
        <v>61172000</v>
      </c>
      <c r="F3172" s="1007" t="s">
        <v>1480</v>
      </c>
      <c r="G3172" s="1007" t="s">
        <v>648</v>
      </c>
      <c r="H3172" s="1010">
        <v>99999999</v>
      </c>
      <c r="I3172" s="1009">
        <v>61172000</v>
      </c>
      <c r="J3172" s="1007" t="s">
        <v>1480</v>
      </c>
      <c r="O3172" s="1007" t="s">
        <v>648</v>
      </c>
      <c r="P3172" s="1007" t="s">
        <v>648</v>
      </c>
      <c r="S3172" s="1008" t="s">
        <v>650</v>
      </c>
      <c r="T3172" s="1008" t="s">
        <v>654</v>
      </c>
      <c r="U3172" s="1008" t="s">
        <v>653</v>
      </c>
      <c r="V3172" s="1008" t="s">
        <v>648</v>
      </c>
      <c r="W3172" s="1008" t="s">
        <v>546</v>
      </c>
      <c r="X3172" s="1008" t="s">
        <v>670</v>
      </c>
      <c r="Y3172" s="1008"/>
      <c r="Z3172" s="1008"/>
      <c r="AA3172" s="1008" t="s">
        <v>670</v>
      </c>
      <c r="AB3172" s="1008"/>
      <c r="AC3172" s="1008"/>
      <c r="AD3172" s="1008"/>
      <c r="AE3172" s="1008"/>
      <c r="AF3172" s="1008"/>
      <c r="AG3172" s="1008"/>
      <c r="AH3172" s="1008"/>
      <c r="AI3172" s="1008"/>
    </row>
    <row r="3173" spans="1:35">
      <c r="A3173" s="1008">
        <v>25343</v>
      </c>
      <c r="B3173" s="1008">
        <v>2367</v>
      </c>
      <c r="C3173" s="1008">
        <v>7</v>
      </c>
      <c r="D3173" s="1009">
        <v>61189999</v>
      </c>
      <c r="E3173" s="1009">
        <v>61173000</v>
      </c>
      <c r="F3173" s="1007" t="s">
        <v>1478</v>
      </c>
      <c r="G3173" s="1007">
        <v>7</v>
      </c>
      <c r="H3173" s="1010">
        <v>99999999</v>
      </c>
      <c r="I3173" s="1009">
        <v>61173000</v>
      </c>
      <c r="J3173" s="1007" t="s">
        <v>1478</v>
      </c>
      <c r="O3173" s="1007" t="s">
        <v>648</v>
      </c>
      <c r="P3173" s="1007" t="s">
        <v>648</v>
      </c>
      <c r="S3173" s="1008" t="s">
        <v>650</v>
      </c>
      <c r="T3173" s="1008" t="s">
        <v>654</v>
      </c>
      <c r="U3173" s="1008" t="s">
        <v>653</v>
      </c>
      <c r="V3173" s="1008" t="s">
        <v>648</v>
      </c>
      <c r="W3173" s="1008" t="s">
        <v>546</v>
      </c>
      <c r="X3173" s="1008" t="s">
        <v>670</v>
      </c>
      <c r="Y3173" s="1008"/>
      <c r="Z3173" s="1008"/>
      <c r="AA3173" s="1008" t="s">
        <v>670</v>
      </c>
      <c r="AB3173" s="1008"/>
      <c r="AC3173" s="1008"/>
      <c r="AD3173" s="1008"/>
      <c r="AE3173" s="1008"/>
      <c r="AF3173" s="1008"/>
      <c r="AG3173" s="1008"/>
      <c r="AH3173" s="1008"/>
      <c r="AI3173" s="1008"/>
    </row>
    <row r="3174" spans="1:35">
      <c r="A3174" s="1008">
        <v>25344</v>
      </c>
      <c r="B3174" s="1008">
        <v>2368</v>
      </c>
      <c r="C3174" s="1008">
        <v>7</v>
      </c>
      <c r="D3174" s="1009">
        <v>61189999</v>
      </c>
      <c r="E3174" s="1009">
        <v>61174000</v>
      </c>
      <c r="F3174" s="1007" t="s">
        <v>1477</v>
      </c>
      <c r="G3174" s="1007">
        <v>7</v>
      </c>
      <c r="H3174" s="1010">
        <v>99999999</v>
      </c>
      <c r="I3174" s="1009">
        <v>61174000</v>
      </c>
      <c r="J3174" s="1007" t="s">
        <v>1477</v>
      </c>
      <c r="O3174" s="1007" t="s">
        <v>648</v>
      </c>
      <c r="P3174" s="1007" t="s">
        <v>648</v>
      </c>
      <c r="S3174" s="1008" t="s">
        <v>650</v>
      </c>
      <c r="T3174" s="1008" t="s">
        <v>654</v>
      </c>
      <c r="U3174" s="1008" t="s">
        <v>653</v>
      </c>
      <c r="V3174" s="1008" t="s">
        <v>648</v>
      </c>
      <c r="W3174" s="1008" t="s">
        <v>546</v>
      </c>
      <c r="X3174" s="1008" t="s">
        <v>670</v>
      </c>
      <c r="Y3174" s="1008"/>
      <c r="Z3174" s="1008"/>
      <c r="AA3174" s="1008" t="s">
        <v>670</v>
      </c>
      <c r="AB3174" s="1008"/>
      <c r="AC3174" s="1008"/>
      <c r="AD3174" s="1008"/>
      <c r="AE3174" s="1008"/>
      <c r="AF3174" s="1008"/>
      <c r="AG3174" s="1008"/>
      <c r="AH3174" s="1008"/>
      <c r="AI3174" s="1008"/>
    </row>
    <row r="3175" spans="1:35">
      <c r="A3175" s="1008">
        <v>26560</v>
      </c>
      <c r="B3175" s="1008">
        <v>5826</v>
      </c>
      <c r="C3175" s="1008">
        <v>7</v>
      </c>
      <c r="D3175" s="1009">
        <v>61189999</v>
      </c>
      <c r="E3175" s="1009">
        <v>61175000</v>
      </c>
      <c r="F3175" s="1007" t="s">
        <v>1476</v>
      </c>
      <c r="G3175" s="1007" t="s">
        <v>648</v>
      </c>
      <c r="H3175" s="1010">
        <v>99999999</v>
      </c>
      <c r="I3175" s="1009">
        <v>61175000</v>
      </c>
      <c r="J3175" s="1007" t="s">
        <v>1476</v>
      </c>
      <c r="O3175" s="1007" t="s">
        <v>648</v>
      </c>
      <c r="P3175" s="1007" t="s">
        <v>648</v>
      </c>
      <c r="S3175" s="1008" t="s">
        <v>650</v>
      </c>
      <c r="T3175" s="1008" t="s">
        <v>654</v>
      </c>
      <c r="U3175" s="1008" t="s">
        <v>653</v>
      </c>
      <c r="V3175" s="1008" t="s">
        <v>648</v>
      </c>
      <c r="W3175" s="1008" t="s">
        <v>546</v>
      </c>
      <c r="X3175" s="1008" t="s">
        <v>670</v>
      </c>
      <c r="Y3175" s="1008"/>
      <c r="Z3175" s="1008"/>
      <c r="AA3175" s="1008" t="s">
        <v>670</v>
      </c>
      <c r="AB3175" s="1008"/>
      <c r="AC3175" s="1008"/>
      <c r="AD3175" s="1008"/>
      <c r="AE3175" s="1008"/>
      <c r="AF3175" s="1008"/>
      <c r="AG3175" s="1008"/>
      <c r="AH3175" s="1008"/>
      <c r="AI3175" s="1008"/>
    </row>
    <row r="3176" spans="1:35">
      <c r="A3176" s="1008">
        <v>25345</v>
      </c>
      <c r="B3176" s="1008">
        <v>2369</v>
      </c>
      <c r="C3176" s="1008">
        <v>7</v>
      </c>
      <c r="D3176" s="1009">
        <v>61189999</v>
      </c>
      <c r="E3176" s="1009">
        <v>61176000</v>
      </c>
      <c r="F3176" s="1007" t="s">
        <v>1475</v>
      </c>
      <c r="G3176" s="1007">
        <v>7</v>
      </c>
      <c r="H3176" s="1010">
        <v>99999999</v>
      </c>
      <c r="I3176" s="1009">
        <v>61176000</v>
      </c>
      <c r="J3176" s="1007" t="s">
        <v>1475</v>
      </c>
      <c r="O3176" s="1007" t="s">
        <v>648</v>
      </c>
      <c r="P3176" s="1007" t="s">
        <v>648</v>
      </c>
      <c r="S3176" s="1008" t="s">
        <v>650</v>
      </c>
      <c r="T3176" s="1008" t="s">
        <v>654</v>
      </c>
      <c r="U3176" s="1008" t="s">
        <v>653</v>
      </c>
      <c r="V3176" s="1008" t="s">
        <v>648</v>
      </c>
      <c r="W3176" s="1008" t="s">
        <v>546</v>
      </c>
      <c r="X3176" s="1008" t="s">
        <v>670</v>
      </c>
      <c r="Y3176" s="1008"/>
      <c r="Z3176" s="1008"/>
      <c r="AA3176" s="1008" t="s">
        <v>670</v>
      </c>
      <c r="AB3176" s="1008"/>
      <c r="AC3176" s="1008"/>
      <c r="AD3176" s="1008"/>
      <c r="AE3176" s="1008"/>
      <c r="AF3176" s="1008"/>
      <c r="AG3176" s="1008"/>
      <c r="AH3176" s="1008"/>
      <c r="AI3176" s="1008"/>
    </row>
    <row r="3177" spans="1:35">
      <c r="A3177" s="1008">
        <v>25346</v>
      </c>
      <c r="B3177" s="1008">
        <v>558</v>
      </c>
      <c r="C3177" s="1008">
        <v>7</v>
      </c>
      <c r="D3177" s="1009">
        <v>61189999</v>
      </c>
      <c r="E3177" s="1009">
        <v>61177000</v>
      </c>
      <c r="F3177" s="1007" t="s">
        <v>1474</v>
      </c>
      <c r="G3177" s="1007">
        <v>8</v>
      </c>
      <c r="H3177" s="1010">
        <v>99999999</v>
      </c>
      <c r="I3177" s="1009">
        <v>61177000</v>
      </c>
      <c r="J3177" s="1007" t="s">
        <v>1474</v>
      </c>
      <c r="O3177" s="1007" t="s">
        <v>648</v>
      </c>
      <c r="P3177" s="1007" t="s">
        <v>648</v>
      </c>
      <c r="S3177" s="1008" t="s">
        <v>650</v>
      </c>
      <c r="T3177" s="1008" t="s">
        <v>654</v>
      </c>
      <c r="U3177" s="1008" t="s">
        <v>653</v>
      </c>
      <c r="V3177" s="1008" t="s">
        <v>648</v>
      </c>
      <c r="W3177" s="1008" t="s">
        <v>546</v>
      </c>
      <c r="X3177" s="1008" t="s">
        <v>670</v>
      </c>
      <c r="Y3177" s="1008" t="s">
        <v>670</v>
      </c>
      <c r="Z3177" s="1008"/>
      <c r="AA3177" s="1008" t="s">
        <v>670</v>
      </c>
      <c r="AB3177" s="1008"/>
      <c r="AC3177" s="1008"/>
      <c r="AD3177" s="1008"/>
      <c r="AE3177" s="1008"/>
      <c r="AF3177" s="1008" t="s">
        <v>670</v>
      </c>
      <c r="AG3177" s="1008"/>
      <c r="AH3177" s="1008"/>
      <c r="AI3177" s="1008"/>
    </row>
    <row r="3178" spans="1:35">
      <c r="A3178" s="1008">
        <v>25347</v>
      </c>
      <c r="B3178" s="1008">
        <v>5524</v>
      </c>
      <c r="C3178" s="1008">
        <v>7</v>
      </c>
      <c r="D3178" s="1009">
        <v>61189999</v>
      </c>
      <c r="E3178" s="1009">
        <v>61178000</v>
      </c>
      <c r="F3178" s="1007" t="s">
        <v>1473</v>
      </c>
      <c r="G3178" s="1007">
        <v>7</v>
      </c>
      <c r="H3178" s="1010">
        <v>99999999</v>
      </c>
      <c r="I3178" s="1009">
        <v>61178000</v>
      </c>
      <c r="J3178" s="1007" t="s">
        <v>1473</v>
      </c>
      <c r="O3178" s="1007" t="s">
        <v>648</v>
      </c>
      <c r="P3178" s="1007" t="s">
        <v>648</v>
      </c>
      <c r="S3178" s="1008" t="s">
        <v>650</v>
      </c>
      <c r="T3178" s="1008" t="s">
        <v>654</v>
      </c>
      <c r="U3178" s="1008" t="s">
        <v>653</v>
      </c>
      <c r="V3178" s="1008" t="s">
        <v>648</v>
      </c>
      <c r="W3178" s="1008" t="s">
        <v>546</v>
      </c>
      <c r="X3178" s="1008" t="s">
        <v>670</v>
      </c>
      <c r="Y3178" s="1008"/>
      <c r="Z3178" s="1008"/>
      <c r="AA3178" s="1008" t="s">
        <v>670</v>
      </c>
      <c r="AB3178" s="1008"/>
      <c r="AC3178" s="1008"/>
      <c r="AD3178" s="1008"/>
      <c r="AE3178" s="1008"/>
      <c r="AF3178" s="1008"/>
      <c r="AG3178" s="1008"/>
      <c r="AH3178" s="1008"/>
      <c r="AI3178" s="1008"/>
    </row>
    <row r="3179" spans="1:35">
      <c r="A3179" s="1008">
        <v>25348</v>
      </c>
      <c r="C3179" s="1008">
        <v>6</v>
      </c>
      <c r="D3179" s="1009">
        <v>61199999</v>
      </c>
      <c r="E3179" s="1009">
        <v>61189999</v>
      </c>
      <c r="F3179" s="1007" t="s">
        <v>1472</v>
      </c>
      <c r="O3179" s="1007" t="s">
        <v>648</v>
      </c>
      <c r="P3179" s="1007" t="s">
        <v>648</v>
      </c>
      <c r="S3179" s="1008" t="s">
        <v>650</v>
      </c>
      <c r="T3179" s="1008" t="s">
        <v>21</v>
      </c>
      <c r="U3179" s="1008" t="s">
        <v>653</v>
      </c>
      <c r="V3179" s="1008" t="s">
        <v>648</v>
      </c>
      <c r="W3179" s="1008" t="s">
        <v>546</v>
      </c>
      <c r="X3179" s="1008"/>
      <c r="Y3179" s="1008"/>
      <c r="Z3179" s="1008"/>
      <c r="AA3179" s="1008"/>
      <c r="AB3179" s="1008"/>
      <c r="AC3179" s="1008"/>
      <c r="AD3179" s="1008"/>
      <c r="AE3179" s="1008"/>
      <c r="AF3179" s="1008"/>
      <c r="AG3179" s="1008"/>
      <c r="AH3179" s="1008"/>
      <c r="AI3179" s="1008"/>
    </row>
    <row r="3180" spans="1:35">
      <c r="A3180" s="1008">
        <v>25245</v>
      </c>
      <c r="C3180" s="1008">
        <v>6</v>
      </c>
      <c r="D3180" s="1009">
        <v>61199000</v>
      </c>
      <c r="E3180" s="1009">
        <v>61190000</v>
      </c>
      <c r="F3180" s="1007" t="s">
        <v>1471</v>
      </c>
      <c r="O3180" s="1007" t="s">
        <v>648</v>
      </c>
      <c r="P3180" s="1007" t="s">
        <v>648</v>
      </c>
      <c r="S3180" s="1008" t="s">
        <v>650</v>
      </c>
      <c r="T3180" s="1008" t="s">
        <v>675</v>
      </c>
      <c r="U3180" s="1008" t="s">
        <v>653</v>
      </c>
      <c r="V3180" s="1008" t="s">
        <v>648</v>
      </c>
      <c r="W3180" s="1008" t="s">
        <v>546</v>
      </c>
      <c r="X3180" s="1008"/>
      <c r="Y3180" s="1008"/>
      <c r="Z3180" s="1008"/>
      <c r="AA3180" s="1008"/>
      <c r="AB3180" s="1008"/>
      <c r="AC3180" s="1008"/>
      <c r="AD3180" s="1008"/>
      <c r="AE3180" s="1008"/>
      <c r="AF3180" s="1008"/>
      <c r="AG3180" s="1008"/>
      <c r="AH3180" s="1008"/>
      <c r="AI3180" s="1008"/>
    </row>
    <row r="3181" spans="1:35">
      <c r="A3181" s="1008">
        <v>25246</v>
      </c>
      <c r="B3181" s="1008">
        <v>584</v>
      </c>
      <c r="C3181" s="1008">
        <v>7</v>
      </c>
      <c r="D3181" s="1009">
        <v>61199000</v>
      </c>
      <c r="E3181" s="1009">
        <v>61192000</v>
      </c>
      <c r="F3181" s="1007" t="s">
        <v>1470</v>
      </c>
      <c r="G3181" s="1007">
        <v>8</v>
      </c>
      <c r="H3181" s="1010">
        <v>99999999</v>
      </c>
      <c r="I3181" s="1009">
        <v>61192000</v>
      </c>
      <c r="J3181" s="1007" t="s">
        <v>1470</v>
      </c>
      <c r="O3181" s="1007" t="s">
        <v>648</v>
      </c>
      <c r="P3181" s="1007" t="s">
        <v>648</v>
      </c>
      <c r="S3181" s="1008" t="s">
        <v>650</v>
      </c>
      <c r="T3181" s="1008" t="s">
        <v>654</v>
      </c>
      <c r="U3181" s="1008" t="s">
        <v>653</v>
      </c>
      <c r="V3181" s="1008" t="s">
        <v>648</v>
      </c>
      <c r="W3181" s="1008" t="s">
        <v>546</v>
      </c>
      <c r="X3181" s="1008" t="s">
        <v>670</v>
      </c>
      <c r="Y3181" s="1008"/>
      <c r="Z3181" s="1008"/>
      <c r="AA3181" s="1008" t="s">
        <v>670</v>
      </c>
      <c r="AB3181" s="1008"/>
      <c r="AC3181" s="1008"/>
      <c r="AD3181" s="1008"/>
      <c r="AE3181" s="1008"/>
      <c r="AF3181" s="1008"/>
      <c r="AG3181" s="1008"/>
      <c r="AH3181" s="1008"/>
      <c r="AI3181" s="1008"/>
    </row>
    <row r="3182" spans="1:35">
      <c r="A3182" s="1008">
        <v>25247</v>
      </c>
      <c r="B3182" s="1008">
        <v>5488</v>
      </c>
      <c r="C3182" s="1008">
        <v>7</v>
      </c>
      <c r="D3182" s="1009">
        <v>61199000</v>
      </c>
      <c r="E3182" s="1009">
        <v>61193000</v>
      </c>
      <c r="F3182" s="1007" t="s">
        <v>1469</v>
      </c>
      <c r="G3182" s="1007">
        <v>7</v>
      </c>
      <c r="H3182" s="1010">
        <v>99999999</v>
      </c>
      <c r="I3182" s="1009">
        <v>61193000</v>
      </c>
      <c r="J3182" s="1007" t="s">
        <v>1469</v>
      </c>
      <c r="O3182" s="1007" t="s">
        <v>648</v>
      </c>
      <c r="P3182" s="1007" t="s">
        <v>648</v>
      </c>
      <c r="S3182" s="1008" t="s">
        <v>650</v>
      </c>
      <c r="T3182" s="1008" t="s">
        <v>654</v>
      </c>
      <c r="U3182" s="1008" t="s">
        <v>653</v>
      </c>
      <c r="V3182" s="1008" t="s">
        <v>648</v>
      </c>
      <c r="W3182" s="1008" t="s">
        <v>546</v>
      </c>
      <c r="X3182" s="1008" t="s">
        <v>670</v>
      </c>
      <c r="Y3182" s="1008"/>
      <c r="Z3182" s="1008"/>
      <c r="AA3182" s="1008" t="s">
        <v>670</v>
      </c>
      <c r="AB3182" s="1008"/>
      <c r="AC3182" s="1008"/>
      <c r="AD3182" s="1008"/>
      <c r="AE3182" s="1008"/>
      <c r="AF3182" s="1008"/>
      <c r="AG3182" s="1008"/>
      <c r="AH3182" s="1008"/>
      <c r="AI3182" s="1008"/>
    </row>
    <row r="3183" spans="1:35">
      <c r="A3183" s="1008">
        <v>25248</v>
      </c>
      <c r="C3183" s="1008">
        <v>6</v>
      </c>
      <c r="D3183" s="1009">
        <v>61199999</v>
      </c>
      <c r="E3183" s="1009">
        <v>61199000</v>
      </c>
      <c r="F3183" s="1007" t="s">
        <v>1468</v>
      </c>
      <c r="O3183" s="1007" t="s">
        <v>648</v>
      </c>
      <c r="P3183" s="1007" t="s">
        <v>648</v>
      </c>
      <c r="S3183" s="1008" t="s">
        <v>650</v>
      </c>
      <c r="T3183" s="1008" t="s">
        <v>21</v>
      </c>
      <c r="U3183" s="1008" t="s">
        <v>653</v>
      </c>
      <c r="V3183" s="1008" t="s">
        <v>648</v>
      </c>
      <c r="W3183" s="1008" t="s">
        <v>546</v>
      </c>
      <c r="X3183" s="1008"/>
      <c r="Y3183" s="1008"/>
      <c r="Z3183" s="1008"/>
      <c r="AA3183" s="1008"/>
      <c r="AB3183" s="1008"/>
      <c r="AC3183" s="1008"/>
      <c r="AD3183" s="1008"/>
      <c r="AE3183" s="1008"/>
      <c r="AF3183" s="1008"/>
      <c r="AG3183" s="1008"/>
      <c r="AH3183" s="1008"/>
      <c r="AI3183" s="1008"/>
    </row>
    <row r="3184" spans="1:35">
      <c r="A3184" s="1008">
        <v>25249</v>
      </c>
      <c r="C3184" s="1008">
        <v>5</v>
      </c>
      <c r="D3184" s="1009">
        <v>69999999</v>
      </c>
      <c r="E3184" s="1009">
        <v>61199999</v>
      </c>
      <c r="F3184" s="1007" t="s">
        <v>1467</v>
      </c>
      <c r="O3184" s="1007" t="s">
        <v>648</v>
      </c>
      <c r="P3184" s="1007" t="s">
        <v>648</v>
      </c>
      <c r="S3184" s="1008" t="s">
        <v>650</v>
      </c>
      <c r="T3184" s="1008" t="s">
        <v>21</v>
      </c>
      <c r="U3184" s="1008" t="s">
        <v>653</v>
      </c>
      <c r="V3184" s="1008" t="s">
        <v>648</v>
      </c>
      <c r="W3184" s="1008" t="s">
        <v>546</v>
      </c>
      <c r="X3184" s="1008"/>
      <c r="Y3184" s="1008"/>
      <c r="Z3184" s="1008"/>
      <c r="AA3184" s="1008"/>
      <c r="AB3184" s="1008"/>
      <c r="AC3184" s="1008"/>
      <c r="AD3184" s="1008"/>
      <c r="AE3184" s="1008"/>
      <c r="AF3184" s="1008"/>
      <c r="AG3184" s="1008"/>
      <c r="AH3184" s="1008"/>
      <c r="AI3184" s="1008"/>
    </row>
    <row r="3185" spans="1:35">
      <c r="A3185" s="1008">
        <v>25250</v>
      </c>
      <c r="C3185" s="1008">
        <v>5</v>
      </c>
      <c r="D3185" s="1009">
        <v>62199999</v>
      </c>
      <c r="E3185" s="1009">
        <v>62000000</v>
      </c>
      <c r="F3185" s="1007" t="s">
        <v>1466</v>
      </c>
      <c r="O3185" s="1007" t="s">
        <v>648</v>
      </c>
      <c r="P3185" s="1007" t="s">
        <v>648</v>
      </c>
      <c r="S3185" s="1008" t="s">
        <v>650</v>
      </c>
      <c r="T3185" s="1008" t="s">
        <v>675</v>
      </c>
      <c r="U3185" s="1008" t="s">
        <v>653</v>
      </c>
      <c r="V3185" s="1008" t="s">
        <v>648</v>
      </c>
      <c r="W3185" s="1008" t="s">
        <v>546</v>
      </c>
      <c r="X3185" s="1008"/>
      <c r="Y3185" s="1008"/>
      <c r="Z3185" s="1008"/>
      <c r="AA3185" s="1008"/>
      <c r="AB3185" s="1008"/>
      <c r="AC3185" s="1008"/>
      <c r="AD3185" s="1008"/>
      <c r="AE3185" s="1008"/>
      <c r="AF3185" s="1008"/>
      <c r="AG3185" s="1008"/>
      <c r="AH3185" s="1008"/>
      <c r="AI3185" s="1008"/>
    </row>
    <row r="3186" spans="1:35">
      <c r="A3186" s="1008">
        <v>25251</v>
      </c>
      <c r="C3186" s="1008">
        <v>6</v>
      </c>
      <c r="D3186" s="1009">
        <v>62019999</v>
      </c>
      <c r="E3186" s="1009">
        <v>62010000</v>
      </c>
      <c r="F3186" s="1007" t="s">
        <v>66</v>
      </c>
      <c r="O3186" s="1007" t="s">
        <v>648</v>
      </c>
      <c r="P3186" s="1007" t="s">
        <v>648</v>
      </c>
      <c r="S3186" s="1008" t="s">
        <v>650</v>
      </c>
      <c r="T3186" s="1008" t="s">
        <v>675</v>
      </c>
      <c r="U3186" s="1008" t="s">
        <v>653</v>
      </c>
      <c r="V3186" s="1008" t="s">
        <v>648</v>
      </c>
      <c r="W3186" s="1008" t="s">
        <v>546</v>
      </c>
      <c r="X3186" s="1008"/>
      <c r="Y3186" s="1008"/>
      <c r="Z3186" s="1008"/>
      <c r="AA3186" s="1008"/>
      <c r="AB3186" s="1008"/>
      <c r="AC3186" s="1008"/>
      <c r="AD3186" s="1008"/>
      <c r="AE3186" s="1008"/>
      <c r="AF3186" s="1008"/>
      <c r="AG3186" s="1008"/>
      <c r="AH3186" s="1008"/>
      <c r="AI3186" s="1008"/>
    </row>
    <row r="3187" spans="1:35">
      <c r="A3187" s="1008">
        <v>25252</v>
      </c>
      <c r="B3187" s="1008">
        <v>2308</v>
      </c>
      <c r="C3187" s="1008">
        <v>7</v>
      </c>
      <c r="D3187" s="1009">
        <v>62019999</v>
      </c>
      <c r="E3187" s="1009">
        <v>62011000</v>
      </c>
      <c r="F3187" s="1007" t="s">
        <v>66</v>
      </c>
      <c r="G3187" s="1007">
        <v>7</v>
      </c>
      <c r="H3187" s="1010">
        <v>99999999</v>
      </c>
      <c r="I3187" s="1009">
        <v>62011000</v>
      </c>
      <c r="J3187" s="1007" t="s">
        <v>66</v>
      </c>
      <c r="O3187" s="1007" t="s">
        <v>648</v>
      </c>
      <c r="P3187" s="1007" t="s">
        <v>648</v>
      </c>
      <c r="S3187" s="1008" t="s">
        <v>650</v>
      </c>
      <c r="T3187" s="1008" t="s">
        <v>654</v>
      </c>
      <c r="U3187" s="1008" t="s">
        <v>653</v>
      </c>
      <c r="V3187" s="1008" t="s">
        <v>648</v>
      </c>
      <c r="W3187" s="1008" t="s">
        <v>546</v>
      </c>
      <c r="X3187" s="1008" t="s">
        <v>670</v>
      </c>
      <c r="Y3187" s="1008"/>
      <c r="Z3187" s="1008"/>
      <c r="AA3187" s="1008" t="s">
        <v>670</v>
      </c>
      <c r="AB3187" s="1008"/>
      <c r="AC3187" s="1008"/>
      <c r="AD3187" s="1008"/>
      <c r="AE3187" s="1008"/>
      <c r="AF3187" s="1008"/>
      <c r="AG3187" s="1008"/>
      <c r="AH3187" s="1008"/>
      <c r="AI3187" s="1008"/>
    </row>
    <row r="3188" spans="1:35">
      <c r="A3188" s="1008">
        <v>25254</v>
      </c>
      <c r="B3188" s="1008">
        <v>2310</v>
      </c>
      <c r="C3188" s="1008">
        <v>7</v>
      </c>
      <c r="D3188" s="1009">
        <v>62019999</v>
      </c>
      <c r="E3188" s="1009">
        <v>62013000</v>
      </c>
      <c r="F3188" s="1007" t="s">
        <v>1465</v>
      </c>
      <c r="G3188" s="1007">
        <v>7</v>
      </c>
      <c r="H3188" s="1010">
        <v>99999999</v>
      </c>
      <c r="I3188" s="1009">
        <v>62013000</v>
      </c>
      <c r="J3188" s="1007" t="s">
        <v>1465</v>
      </c>
      <c r="O3188" s="1007" t="s">
        <v>648</v>
      </c>
      <c r="P3188" s="1007" t="s">
        <v>648</v>
      </c>
      <c r="S3188" s="1008" t="s">
        <v>650</v>
      </c>
      <c r="T3188" s="1008" t="s">
        <v>654</v>
      </c>
      <c r="U3188" s="1008" t="s">
        <v>653</v>
      </c>
      <c r="V3188" s="1008" t="s">
        <v>648</v>
      </c>
      <c r="W3188" s="1008" t="s">
        <v>546</v>
      </c>
      <c r="X3188" s="1008" t="s">
        <v>670</v>
      </c>
      <c r="Y3188" s="1008"/>
      <c r="Z3188" s="1008"/>
      <c r="AA3188" s="1008" t="s">
        <v>670</v>
      </c>
      <c r="AB3188" s="1008"/>
      <c r="AC3188" s="1008"/>
      <c r="AD3188" s="1008"/>
      <c r="AE3188" s="1008"/>
      <c r="AF3188" s="1008"/>
      <c r="AG3188" s="1008"/>
      <c r="AH3188" s="1008"/>
      <c r="AI3188" s="1008"/>
    </row>
    <row r="3189" spans="1:35">
      <c r="A3189" s="1008">
        <v>25255</v>
      </c>
      <c r="B3189" s="1008">
        <v>2311</v>
      </c>
      <c r="C3189" s="1008">
        <v>7</v>
      </c>
      <c r="D3189" s="1009">
        <v>62019999</v>
      </c>
      <c r="E3189" s="1009">
        <v>62014000</v>
      </c>
      <c r="F3189" s="1007" t="s">
        <v>1464</v>
      </c>
      <c r="G3189" s="1007">
        <v>7</v>
      </c>
      <c r="H3189" s="1010">
        <v>99999999</v>
      </c>
      <c r="I3189" s="1009">
        <v>62014000</v>
      </c>
      <c r="J3189" s="1007" t="s">
        <v>1464</v>
      </c>
      <c r="O3189" s="1007" t="s">
        <v>648</v>
      </c>
      <c r="P3189" s="1007" t="s">
        <v>648</v>
      </c>
      <c r="S3189" s="1008" t="s">
        <v>650</v>
      </c>
      <c r="T3189" s="1008" t="s">
        <v>654</v>
      </c>
      <c r="U3189" s="1008" t="s">
        <v>653</v>
      </c>
      <c r="V3189" s="1008" t="s">
        <v>648</v>
      </c>
      <c r="W3189" s="1008" t="s">
        <v>546</v>
      </c>
      <c r="X3189" s="1008" t="s">
        <v>670</v>
      </c>
      <c r="Y3189" s="1008"/>
      <c r="Z3189" s="1008"/>
      <c r="AA3189" s="1008" t="s">
        <v>670</v>
      </c>
      <c r="AB3189" s="1008"/>
      <c r="AC3189" s="1008"/>
      <c r="AD3189" s="1008"/>
      <c r="AE3189" s="1008"/>
      <c r="AF3189" s="1008"/>
      <c r="AG3189" s="1008"/>
      <c r="AH3189" s="1008"/>
      <c r="AI3189" s="1008"/>
    </row>
    <row r="3190" spans="1:35">
      <c r="A3190" s="1008">
        <v>25256</v>
      </c>
      <c r="B3190" s="1008">
        <v>5492</v>
      </c>
      <c r="C3190" s="1008">
        <v>7</v>
      </c>
      <c r="D3190" s="1009">
        <v>62019999</v>
      </c>
      <c r="E3190" s="1009">
        <v>62015000</v>
      </c>
      <c r="F3190" s="1007" t="s">
        <v>1463</v>
      </c>
      <c r="G3190" s="1007">
        <v>7</v>
      </c>
      <c r="H3190" s="1010">
        <v>99999999</v>
      </c>
      <c r="I3190" s="1009">
        <v>62015000</v>
      </c>
      <c r="J3190" s="1007" t="s">
        <v>1463</v>
      </c>
      <c r="O3190" s="1007" t="s">
        <v>648</v>
      </c>
      <c r="P3190" s="1007" t="s">
        <v>648</v>
      </c>
      <c r="S3190" s="1008" t="s">
        <v>650</v>
      </c>
      <c r="T3190" s="1008" t="s">
        <v>654</v>
      </c>
      <c r="U3190" s="1008" t="s">
        <v>653</v>
      </c>
      <c r="V3190" s="1008" t="s">
        <v>648</v>
      </c>
      <c r="W3190" s="1008" t="s">
        <v>546</v>
      </c>
      <c r="X3190" s="1008" t="s">
        <v>670</v>
      </c>
      <c r="Y3190" s="1008"/>
      <c r="Z3190" s="1008"/>
      <c r="AA3190" s="1008" t="s">
        <v>670</v>
      </c>
      <c r="AB3190" s="1008"/>
      <c r="AC3190" s="1008"/>
      <c r="AD3190" s="1008"/>
      <c r="AE3190" s="1008"/>
      <c r="AF3190" s="1008"/>
      <c r="AG3190" s="1008"/>
      <c r="AH3190" s="1008"/>
      <c r="AI3190" s="1008"/>
    </row>
    <row r="3191" spans="1:35">
      <c r="A3191" s="1008">
        <v>25253</v>
      </c>
      <c r="B3191" s="1008">
        <v>2309</v>
      </c>
      <c r="C3191" s="1008">
        <v>7</v>
      </c>
      <c r="D3191" s="1009">
        <v>63119999</v>
      </c>
      <c r="E3191" s="1009">
        <v>62016000</v>
      </c>
      <c r="F3191" s="1007" t="s">
        <v>1462</v>
      </c>
      <c r="G3191" s="1007">
        <v>7</v>
      </c>
      <c r="H3191" s="1010">
        <v>99999999</v>
      </c>
      <c r="I3191" s="1009">
        <v>62016000</v>
      </c>
      <c r="J3191" s="1007" t="s">
        <v>1462</v>
      </c>
      <c r="O3191" s="1007" t="s">
        <v>648</v>
      </c>
      <c r="P3191" s="1007" t="s">
        <v>648</v>
      </c>
      <c r="S3191" s="1008" t="s">
        <v>650</v>
      </c>
      <c r="T3191" s="1008" t="s">
        <v>654</v>
      </c>
      <c r="U3191" s="1008" t="s">
        <v>653</v>
      </c>
      <c r="V3191" s="1008" t="s">
        <v>648</v>
      </c>
      <c r="W3191" s="1008" t="s">
        <v>546</v>
      </c>
      <c r="X3191" s="1008" t="s">
        <v>670</v>
      </c>
      <c r="Y3191" s="1008"/>
      <c r="Z3191" s="1008"/>
      <c r="AA3191" s="1008" t="s">
        <v>670</v>
      </c>
      <c r="AB3191" s="1008"/>
      <c r="AC3191" s="1008"/>
      <c r="AD3191" s="1008"/>
      <c r="AE3191" s="1008"/>
      <c r="AF3191" s="1008"/>
      <c r="AG3191" s="1008"/>
      <c r="AH3191" s="1008"/>
      <c r="AI3191" s="1008"/>
    </row>
    <row r="3192" spans="1:35">
      <c r="A3192" s="1008">
        <v>25257</v>
      </c>
      <c r="C3192" s="1008">
        <v>6</v>
      </c>
      <c r="D3192" s="1009">
        <v>62199999</v>
      </c>
      <c r="E3192" s="1009">
        <v>62019999</v>
      </c>
      <c r="F3192" s="1007" t="s">
        <v>1461</v>
      </c>
      <c r="O3192" s="1007" t="s">
        <v>648</v>
      </c>
      <c r="P3192" s="1007" t="s">
        <v>648</v>
      </c>
      <c r="S3192" s="1008" t="s">
        <v>650</v>
      </c>
      <c r="T3192" s="1008" t="s">
        <v>21</v>
      </c>
      <c r="U3192" s="1008" t="s">
        <v>653</v>
      </c>
      <c r="V3192" s="1008" t="s">
        <v>648</v>
      </c>
      <c r="W3192" s="1008" t="s">
        <v>546</v>
      </c>
      <c r="X3192" s="1008"/>
      <c r="Y3192" s="1008"/>
      <c r="Z3192" s="1008"/>
      <c r="AA3192" s="1008"/>
      <c r="AB3192" s="1008"/>
      <c r="AC3192" s="1008"/>
      <c r="AD3192" s="1008"/>
      <c r="AE3192" s="1008"/>
      <c r="AF3192" s="1008"/>
      <c r="AG3192" s="1008"/>
      <c r="AH3192" s="1008"/>
      <c r="AI3192" s="1008"/>
    </row>
    <row r="3193" spans="1:35">
      <c r="A3193" s="1008">
        <v>25262</v>
      </c>
      <c r="C3193" s="1008">
        <v>6</v>
      </c>
      <c r="D3193" s="1009">
        <v>62039999</v>
      </c>
      <c r="E3193" s="1009">
        <v>62030000</v>
      </c>
      <c r="F3193" s="1007" t="s">
        <v>1460</v>
      </c>
      <c r="O3193" s="1007" t="s">
        <v>648</v>
      </c>
      <c r="P3193" s="1007" t="s">
        <v>648</v>
      </c>
      <c r="S3193" s="1008" t="s">
        <v>650</v>
      </c>
      <c r="T3193" s="1008" t="s">
        <v>675</v>
      </c>
      <c r="U3193" s="1008" t="s">
        <v>653</v>
      </c>
      <c r="V3193" s="1008" t="s">
        <v>648</v>
      </c>
      <c r="W3193" s="1008" t="s">
        <v>546</v>
      </c>
      <c r="X3193" s="1008"/>
      <c r="Y3193" s="1008"/>
      <c r="Z3193" s="1008"/>
      <c r="AA3193" s="1008"/>
      <c r="AB3193" s="1008"/>
      <c r="AC3193" s="1008"/>
      <c r="AD3193" s="1008"/>
      <c r="AE3193" s="1008"/>
      <c r="AF3193" s="1008"/>
      <c r="AG3193" s="1008"/>
      <c r="AH3193" s="1008"/>
      <c r="AI3193" s="1008"/>
    </row>
    <row r="3194" spans="1:35">
      <c r="A3194" s="1008">
        <v>25263</v>
      </c>
      <c r="B3194" s="1008">
        <v>2315</v>
      </c>
      <c r="C3194" s="1008">
        <v>7</v>
      </c>
      <c r="D3194" s="1009">
        <v>62039999</v>
      </c>
      <c r="E3194" s="1009">
        <v>62031000</v>
      </c>
      <c r="F3194" s="1007" t="s">
        <v>1459</v>
      </c>
      <c r="G3194" s="1007">
        <v>7</v>
      </c>
      <c r="H3194" s="1010">
        <v>99999999</v>
      </c>
      <c r="I3194" s="1009">
        <v>62031000</v>
      </c>
      <c r="J3194" s="1007" t="s">
        <v>1459</v>
      </c>
      <c r="O3194" s="1007" t="s">
        <v>648</v>
      </c>
      <c r="P3194" s="1007" t="s">
        <v>648</v>
      </c>
      <c r="S3194" s="1008" t="s">
        <v>650</v>
      </c>
      <c r="T3194" s="1008" t="s">
        <v>654</v>
      </c>
      <c r="U3194" s="1008" t="s">
        <v>653</v>
      </c>
      <c r="V3194" s="1008" t="s">
        <v>648</v>
      </c>
      <c r="W3194" s="1008" t="s">
        <v>546</v>
      </c>
      <c r="X3194" s="1008" t="s">
        <v>670</v>
      </c>
      <c r="Y3194" s="1008"/>
      <c r="Z3194" s="1008"/>
      <c r="AA3194" s="1008" t="s">
        <v>670</v>
      </c>
      <c r="AB3194" s="1008"/>
      <c r="AC3194" s="1008" t="s">
        <v>670</v>
      </c>
      <c r="AD3194" s="1008"/>
      <c r="AE3194" s="1008" t="s">
        <v>670</v>
      </c>
      <c r="AF3194" s="1008"/>
      <c r="AG3194" s="1008"/>
      <c r="AH3194" s="1008"/>
      <c r="AI3194" s="1008"/>
    </row>
    <row r="3195" spans="1:35">
      <c r="A3195" s="1008">
        <v>25264</v>
      </c>
      <c r="B3195" s="1008">
        <v>565</v>
      </c>
      <c r="C3195" s="1008">
        <v>7</v>
      </c>
      <c r="D3195" s="1009">
        <v>62039999</v>
      </c>
      <c r="E3195" s="1009">
        <v>62032000</v>
      </c>
      <c r="F3195" s="1007" t="s">
        <v>1458</v>
      </c>
      <c r="G3195" s="1007">
        <v>8</v>
      </c>
      <c r="H3195" s="1010">
        <v>99999999</v>
      </c>
      <c r="I3195" s="1009">
        <v>62032000</v>
      </c>
      <c r="J3195" s="1007" t="s">
        <v>1458</v>
      </c>
      <c r="O3195" s="1007" t="s">
        <v>648</v>
      </c>
      <c r="P3195" s="1007" t="s">
        <v>648</v>
      </c>
      <c r="S3195" s="1008" t="s">
        <v>650</v>
      </c>
      <c r="T3195" s="1008" t="s">
        <v>654</v>
      </c>
      <c r="U3195" s="1008" t="s">
        <v>653</v>
      </c>
      <c r="V3195" s="1008" t="s">
        <v>648</v>
      </c>
      <c r="W3195" s="1008" t="s">
        <v>546</v>
      </c>
      <c r="X3195" s="1008" t="s">
        <v>670</v>
      </c>
      <c r="Y3195" s="1008"/>
      <c r="Z3195" s="1008"/>
      <c r="AA3195" s="1008" t="s">
        <v>670</v>
      </c>
      <c r="AB3195" s="1008"/>
      <c r="AC3195" s="1008"/>
      <c r="AD3195" s="1008"/>
      <c r="AE3195" s="1008"/>
      <c r="AF3195" s="1008"/>
      <c r="AG3195" s="1008"/>
      <c r="AH3195" s="1008"/>
      <c r="AI3195" s="1008"/>
    </row>
    <row r="3196" spans="1:35">
      <c r="A3196" s="1008">
        <v>25265</v>
      </c>
      <c r="B3196" s="1008">
        <v>5496</v>
      </c>
      <c r="C3196" s="1008">
        <v>7</v>
      </c>
      <c r="D3196" s="1009">
        <v>62039999</v>
      </c>
      <c r="E3196" s="1009">
        <v>62033000</v>
      </c>
      <c r="F3196" s="1007" t="s">
        <v>1457</v>
      </c>
      <c r="G3196" s="1007">
        <v>7</v>
      </c>
      <c r="H3196" s="1010">
        <v>99999999</v>
      </c>
      <c r="I3196" s="1009">
        <v>62033000</v>
      </c>
      <c r="J3196" s="1007" t="s">
        <v>1457</v>
      </c>
      <c r="O3196" s="1007" t="s">
        <v>648</v>
      </c>
      <c r="P3196" s="1007" t="s">
        <v>648</v>
      </c>
      <c r="S3196" s="1008" t="s">
        <v>650</v>
      </c>
      <c r="T3196" s="1008" t="s">
        <v>654</v>
      </c>
      <c r="U3196" s="1008" t="s">
        <v>653</v>
      </c>
      <c r="V3196" s="1008" t="s">
        <v>648</v>
      </c>
      <c r="W3196" s="1008" t="s">
        <v>546</v>
      </c>
      <c r="X3196" s="1008" t="s">
        <v>670</v>
      </c>
      <c r="Y3196" s="1008"/>
      <c r="Z3196" s="1008"/>
      <c r="AA3196" s="1008" t="s">
        <v>670</v>
      </c>
      <c r="AB3196" s="1008"/>
      <c r="AC3196" s="1008"/>
      <c r="AD3196" s="1008"/>
      <c r="AE3196" s="1008"/>
      <c r="AF3196" s="1008"/>
      <c r="AG3196" s="1008"/>
      <c r="AH3196" s="1008"/>
      <c r="AI3196" s="1008"/>
    </row>
    <row r="3197" spans="1:35">
      <c r="A3197" s="1008">
        <v>25266</v>
      </c>
      <c r="C3197" s="1008">
        <v>6</v>
      </c>
      <c r="D3197" s="1009">
        <v>62199999</v>
      </c>
      <c r="E3197" s="1009">
        <v>62039999</v>
      </c>
      <c r="F3197" s="1007" t="s">
        <v>1456</v>
      </c>
      <c r="O3197" s="1007" t="s">
        <v>648</v>
      </c>
      <c r="P3197" s="1007" t="s">
        <v>648</v>
      </c>
      <c r="S3197" s="1008" t="s">
        <v>650</v>
      </c>
      <c r="T3197" s="1008" t="s">
        <v>21</v>
      </c>
      <c r="U3197" s="1008" t="s">
        <v>653</v>
      </c>
      <c r="V3197" s="1008" t="s">
        <v>648</v>
      </c>
      <c r="W3197" s="1008" t="s">
        <v>546</v>
      </c>
      <c r="X3197" s="1008"/>
      <c r="Y3197" s="1008"/>
      <c r="Z3197" s="1008"/>
      <c r="AA3197" s="1008"/>
      <c r="AB3197" s="1008"/>
      <c r="AC3197" s="1008"/>
      <c r="AD3197" s="1008"/>
      <c r="AE3197" s="1008"/>
      <c r="AF3197" s="1008"/>
      <c r="AG3197" s="1008"/>
      <c r="AH3197" s="1008"/>
      <c r="AI3197" s="1008"/>
    </row>
    <row r="3198" spans="1:35">
      <c r="A3198" s="1008">
        <v>25267</v>
      </c>
      <c r="C3198" s="1008">
        <v>6</v>
      </c>
      <c r="D3198" s="1009">
        <v>62049999</v>
      </c>
      <c r="E3198" s="1009">
        <v>62040000</v>
      </c>
      <c r="F3198" s="1007" t="s">
        <v>1455</v>
      </c>
      <c r="O3198" s="1007" t="s">
        <v>648</v>
      </c>
      <c r="P3198" s="1007" t="s">
        <v>648</v>
      </c>
      <c r="S3198" s="1008" t="s">
        <v>650</v>
      </c>
      <c r="T3198" s="1008" t="s">
        <v>675</v>
      </c>
      <c r="U3198" s="1008" t="s">
        <v>653</v>
      </c>
      <c r="V3198" s="1008" t="s">
        <v>648</v>
      </c>
      <c r="W3198" s="1008" t="s">
        <v>546</v>
      </c>
      <c r="X3198" s="1008"/>
      <c r="Y3198" s="1008"/>
      <c r="Z3198" s="1008"/>
      <c r="AA3198" s="1008"/>
      <c r="AB3198" s="1008"/>
      <c r="AC3198" s="1008"/>
      <c r="AD3198" s="1008"/>
      <c r="AE3198" s="1008"/>
      <c r="AF3198" s="1008"/>
      <c r="AG3198" s="1008"/>
      <c r="AH3198" s="1008"/>
      <c r="AI3198" s="1008"/>
    </row>
    <row r="3199" spans="1:35">
      <c r="A3199" s="1008">
        <v>25268</v>
      </c>
      <c r="B3199" s="1008">
        <v>2318</v>
      </c>
      <c r="C3199" s="1008">
        <v>7</v>
      </c>
      <c r="D3199" s="1009">
        <v>62049999</v>
      </c>
      <c r="E3199" s="1009">
        <v>62041000</v>
      </c>
      <c r="F3199" s="1007" t="s">
        <v>1455</v>
      </c>
      <c r="G3199" s="1007">
        <v>7</v>
      </c>
      <c r="H3199" s="1010">
        <v>99999999</v>
      </c>
      <c r="I3199" s="1009">
        <v>62041000</v>
      </c>
      <c r="J3199" s="1007" t="s">
        <v>1455</v>
      </c>
      <c r="O3199" s="1007" t="s">
        <v>648</v>
      </c>
      <c r="P3199" s="1007" t="s">
        <v>648</v>
      </c>
      <c r="S3199" s="1008" t="s">
        <v>650</v>
      </c>
      <c r="T3199" s="1008" t="s">
        <v>654</v>
      </c>
      <c r="U3199" s="1008" t="s">
        <v>653</v>
      </c>
      <c r="V3199" s="1008" t="s">
        <v>648</v>
      </c>
      <c r="W3199" s="1008" t="s">
        <v>546</v>
      </c>
      <c r="X3199" s="1008" t="s">
        <v>670</v>
      </c>
      <c r="Y3199" s="1008"/>
      <c r="Z3199" s="1008"/>
      <c r="AA3199" s="1008" t="s">
        <v>670</v>
      </c>
      <c r="AB3199" s="1008"/>
      <c r="AC3199" s="1008"/>
      <c r="AD3199" s="1008"/>
      <c r="AE3199" s="1008" t="s">
        <v>670</v>
      </c>
      <c r="AF3199" s="1008"/>
      <c r="AG3199" s="1008"/>
      <c r="AH3199" s="1008"/>
      <c r="AI3199" s="1008"/>
    </row>
    <row r="3200" spans="1:35">
      <c r="A3200" s="1008">
        <v>25269</v>
      </c>
      <c r="B3200" s="1008">
        <v>5498</v>
      </c>
      <c r="C3200" s="1008">
        <v>7</v>
      </c>
      <c r="D3200" s="1009">
        <v>62049999</v>
      </c>
      <c r="E3200" s="1009">
        <v>62042000</v>
      </c>
      <c r="F3200" s="1007" t="s">
        <v>1454</v>
      </c>
      <c r="G3200" s="1007">
        <v>7</v>
      </c>
      <c r="H3200" s="1010">
        <v>99999999</v>
      </c>
      <c r="I3200" s="1009">
        <v>62042000</v>
      </c>
      <c r="J3200" s="1007" t="s">
        <v>1454</v>
      </c>
      <c r="O3200" s="1007" t="s">
        <v>648</v>
      </c>
      <c r="P3200" s="1007" t="s">
        <v>648</v>
      </c>
      <c r="S3200" s="1008" t="s">
        <v>650</v>
      </c>
      <c r="T3200" s="1008" t="s">
        <v>654</v>
      </c>
      <c r="U3200" s="1008" t="s">
        <v>653</v>
      </c>
      <c r="V3200" s="1008" t="s">
        <v>648</v>
      </c>
      <c r="W3200" s="1008" t="s">
        <v>546</v>
      </c>
      <c r="X3200" s="1008" t="s">
        <v>670</v>
      </c>
      <c r="Y3200" s="1008"/>
      <c r="Z3200" s="1008"/>
      <c r="AA3200" s="1008" t="s">
        <v>670</v>
      </c>
      <c r="AB3200" s="1008"/>
      <c r="AC3200" s="1008"/>
      <c r="AD3200" s="1008"/>
      <c r="AE3200" s="1008"/>
      <c r="AF3200" s="1008"/>
      <c r="AG3200" s="1008"/>
      <c r="AH3200" s="1008"/>
      <c r="AI3200" s="1008"/>
    </row>
    <row r="3201" spans="1:35">
      <c r="A3201" s="1008">
        <v>27094</v>
      </c>
      <c r="B3201" s="1008">
        <v>5924</v>
      </c>
      <c r="C3201" s="1008">
        <v>7</v>
      </c>
      <c r="D3201" s="1009">
        <v>62049999</v>
      </c>
      <c r="E3201" s="1009">
        <v>62043000</v>
      </c>
      <c r="F3201" s="1007" t="s">
        <v>1453</v>
      </c>
      <c r="G3201" s="1007" t="s">
        <v>648</v>
      </c>
      <c r="H3201" s="1010">
        <v>99999999</v>
      </c>
      <c r="I3201" s="1009">
        <v>62043000</v>
      </c>
      <c r="J3201" s="1007" t="s">
        <v>1453</v>
      </c>
      <c r="O3201" s="1007" t="s">
        <v>648</v>
      </c>
      <c r="P3201" s="1007" t="s">
        <v>648</v>
      </c>
      <c r="S3201" s="1008" t="s">
        <v>650</v>
      </c>
      <c r="T3201" s="1008" t="s">
        <v>654</v>
      </c>
      <c r="U3201" s="1008" t="s">
        <v>653</v>
      </c>
      <c r="V3201" s="1008" t="s">
        <v>648</v>
      </c>
      <c r="W3201" s="1008" t="s">
        <v>546</v>
      </c>
      <c r="X3201" s="1008" t="s">
        <v>670</v>
      </c>
      <c r="Y3201" s="1008"/>
      <c r="Z3201" s="1008"/>
      <c r="AA3201" s="1008" t="s">
        <v>670</v>
      </c>
      <c r="AB3201" s="1008"/>
      <c r="AC3201" s="1008"/>
      <c r="AD3201" s="1008"/>
      <c r="AE3201" s="1008"/>
      <c r="AF3201" s="1008"/>
      <c r="AG3201" s="1008"/>
      <c r="AH3201" s="1008"/>
      <c r="AI3201" s="1008"/>
    </row>
    <row r="3202" spans="1:35">
      <c r="A3202" s="1008">
        <v>25270</v>
      </c>
      <c r="C3202" s="1008">
        <v>6</v>
      </c>
      <c r="D3202" s="1009">
        <v>62199999</v>
      </c>
      <c r="E3202" s="1009">
        <v>62049999</v>
      </c>
      <c r="F3202" s="1007" t="s">
        <v>1452</v>
      </c>
      <c r="O3202" s="1007" t="s">
        <v>648</v>
      </c>
      <c r="P3202" s="1007" t="s">
        <v>648</v>
      </c>
      <c r="S3202" s="1008" t="s">
        <v>650</v>
      </c>
      <c r="T3202" s="1008" t="s">
        <v>21</v>
      </c>
      <c r="U3202" s="1008" t="s">
        <v>653</v>
      </c>
      <c r="V3202" s="1008" t="s">
        <v>648</v>
      </c>
      <c r="W3202" s="1008" t="s">
        <v>546</v>
      </c>
      <c r="X3202" s="1008"/>
      <c r="Y3202" s="1008"/>
      <c r="Z3202" s="1008"/>
      <c r="AA3202" s="1008"/>
      <c r="AB3202" s="1008"/>
      <c r="AC3202" s="1008"/>
      <c r="AD3202" s="1008"/>
      <c r="AE3202" s="1008"/>
      <c r="AF3202" s="1008"/>
      <c r="AG3202" s="1008"/>
      <c r="AH3202" s="1008"/>
      <c r="AI3202" s="1008"/>
    </row>
    <row r="3203" spans="1:35">
      <c r="A3203" s="1008">
        <v>25271</v>
      </c>
      <c r="C3203" s="1008">
        <v>6</v>
      </c>
      <c r="D3203" s="1009">
        <v>62059999</v>
      </c>
      <c r="E3203" s="1009">
        <v>62050000</v>
      </c>
      <c r="F3203" s="1007" t="s">
        <v>1451</v>
      </c>
      <c r="O3203" s="1007" t="s">
        <v>648</v>
      </c>
      <c r="P3203" s="1007" t="s">
        <v>648</v>
      </c>
      <c r="S3203" s="1008" t="s">
        <v>650</v>
      </c>
      <c r="T3203" s="1008" t="s">
        <v>675</v>
      </c>
      <c r="U3203" s="1008" t="s">
        <v>653</v>
      </c>
      <c r="V3203" s="1008" t="s">
        <v>648</v>
      </c>
      <c r="W3203" s="1008" t="s">
        <v>546</v>
      </c>
      <c r="X3203" s="1008"/>
      <c r="Y3203" s="1008"/>
      <c r="Z3203" s="1008"/>
      <c r="AA3203" s="1008"/>
      <c r="AB3203" s="1008"/>
      <c r="AC3203" s="1008"/>
      <c r="AD3203" s="1008"/>
      <c r="AE3203" s="1008"/>
      <c r="AF3203" s="1008"/>
      <c r="AG3203" s="1008"/>
      <c r="AH3203" s="1008"/>
      <c r="AI3203" s="1008"/>
    </row>
    <row r="3204" spans="1:35">
      <c r="A3204" s="1008">
        <v>25272</v>
      </c>
      <c r="B3204" s="1008">
        <v>600</v>
      </c>
      <c r="C3204" s="1008">
        <v>7</v>
      </c>
      <c r="D3204" s="1009">
        <v>62059999</v>
      </c>
      <c r="E3204" s="1009">
        <v>62051000</v>
      </c>
      <c r="F3204" s="1007" t="s">
        <v>1450</v>
      </c>
      <c r="G3204" s="1007">
        <v>8</v>
      </c>
      <c r="H3204" s="1010">
        <v>99999999</v>
      </c>
      <c r="I3204" s="1009">
        <v>62051000</v>
      </c>
      <c r="J3204" s="1007" t="s">
        <v>1450</v>
      </c>
      <c r="O3204" s="1007" t="s">
        <v>648</v>
      </c>
      <c r="P3204" s="1007" t="s">
        <v>648</v>
      </c>
      <c r="S3204" s="1008" t="s">
        <v>650</v>
      </c>
      <c r="T3204" s="1008" t="s">
        <v>654</v>
      </c>
      <c r="U3204" s="1008" t="s">
        <v>653</v>
      </c>
      <c r="V3204" s="1008" t="s">
        <v>648</v>
      </c>
      <c r="W3204" s="1008" t="s">
        <v>546</v>
      </c>
      <c r="X3204" s="1008" t="s">
        <v>670</v>
      </c>
      <c r="Y3204" s="1008"/>
      <c r="Z3204" s="1008"/>
      <c r="AA3204" s="1008" t="s">
        <v>670</v>
      </c>
      <c r="AB3204" s="1008"/>
      <c r="AC3204" s="1008"/>
      <c r="AD3204" s="1008"/>
      <c r="AE3204" s="1008"/>
      <c r="AF3204" s="1008"/>
      <c r="AG3204" s="1008"/>
      <c r="AH3204" s="1008"/>
      <c r="AI3204" s="1008"/>
    </row>
    <row r="3205" spans="1:35">
      <c r="A3205" s="1008">
        <v>25273</v>
      </c>
      <c r="B3205" s="1008">
        <v>599</v>
      </c>
      <c r="C3205" s="1008">
        <v>7</v>
      </c>
      <c r="D3205" s="1009">
        <v>62059999</v>
      </c>
      <c r="E3205" s="1009">
        <v>62052000</v>
      </c>
      <c r="F3205" s="1007" t="s">
        <v>1449</v>
      </c>
      <c r="G3205" s="1007">
        <v>8</v>
      </c>
      <c r="H3205" s="1010">
        <v>99999999</v>
      </c>
      <c r="I3205" s="1009">
        <v>62052000</v>
      </c>
      <c r="J3205" s="1007" t="s">
        <v>1449</v>
      </c>
      <c r="O3205" s="1007" t="s">
        <v>648</v>
      </c>
      <c r="P3205" s="1007" t="s">
        <v>648</v>
      </c>
      <c r="S3205" s="1008" t="s">
        <v>650</v>
      </c>
      <c r="T3205" s="1008" t="s">
        <v>654</v>
      </c>
      <c r="U3205" s="1008" t="s">
        <v>653</v>
      </c>
      <c r="V3205" s="1008" t="s">
        <v>648</v>
      </c>
      <c r="W3205" s="1008" t="s">
        <v>546</v>
      </c>
      <c r="X3205" s="1008" t="s">
        <v>670</v>
      </c>
      <c r="Y3205" s="1008" t="s">
        <v>670</v>
      </c>
      <c r="Z3205" s="1008"/>
      <c r="AA3205" s="1008" t="s">
        <v>670</v>
      </c>
      <c r="AB3205" s="1008"/>
      <c r="AC3205" s="1008" t="s">
        <v>670</v>
      </c>
      <c r="AD3205" s="1008"/>
      <c r="AE3205" s="1008"/>
      <c r="AF3205" s="1008" t="s">
        <v>670</v>
      </c>
      <c r="AG3205" s="1008"/>
      <c r="AH3205" s="1008"/>
      <c r="AI3205" s="1008"/>
    </row>
    <row r="3206" spans="1:35">
      <c r="A3206" s="1008">
        <v>25274</v>
      </c>
      <c r="B3206" s="1008">
        <v>2322</v>
      </c>
      <c r="C3206" s="1008">
        <v>7</v>
      </c>
      <c r="D3206" s="1009">
        <v>62059999</v>
      </c>
      <c r="E3206" s="1009">
        <v>62053000</v>
      </c>
      <c r="F3206" s="1007" t="s">
        <v>1567</v>
      </c>
      <c r="G3206" s="1007">
        <v>7</v>
      </c>
      <c r="H3206" s="1010">
        <v>99999999</v>
      </c>
      <c r="I3206" s="1009">
        <v>62053000</v>
      </c>
      <c r="J3206" s="1007" t="s">
        <v>1567</v>
      </c>
      <c r="O3206" s="1007" t="s">
        <v>648</v>
      </c>
      <c r="P3206" s="1007" t="s">
        <v>648</v>
      </c>
      <c r="S3206" s="1008" t="s">
        <v>650</v>
      </c>
      <c r="T3206" s="1008" t="s">
        <v>654</v>
      </c>
      <c r="U3206" s="1008" t="s">
        <v>653</v>
      </c>
      <c r="V3206" s="1008" t="s">
        <v>648</v>
      </c>
      <c r="W3206" s="1008" t="s">
        <v>546</v>
      </c>
      <c r="X3206" s="1008" t="s">
        <v>670</v>
      </c>
      <c r="Y3206" s="1008"/>
      <c r="Z3206" s="1008"/>
      <c r="AA3206" s="1008" t="s">
        <v>670</v>
      </c>
      <c r="AB3206" s="1008"/>
      <c r="AC3206" s="1008"/>
      <c r="AD3206" s="1008"/>
      <c r="AE3206" s="1008"/>
      <c r="AF3206" s="1008"/>
      <c r="AG3206" s="1008"/>
      <c r="AH3206" s="1008"/>
      <c r="AI3206" s="1008"/>
    </row>
    <row r="3207" spans="1:35">
      <c r="A3207" s="1008">
        <v>25275</v>
      </c>
      <c r="B3207" s="1008">
        <v>2323</v>
      </c>
      <c r="C3207" s="1008">
        <v>7</v>
      </c>
      <c r="D3207" s="1009">
        <v>62059999</v>
      </c>
      <c r="E3207" s="1009">
        <v>62054000</v>
      </c>
      <c r="F3207" s="1007" t="s">
        <v>1566</v>
      </c>
      <c r="G3207" s="1007">
        <v>7</v>
      </c>
      <c r="H3207" s="1010">
        <v>99999999</v>
      </c>
      <c r="I3207" s="1009">
        <v>62054000</v>
      </c>
      <c r="J3207" s="1007" t="s">
        <v>1566</v>
      </c>
      <c r="O3207" s="1007" t="s">
        <v>648</v>
      </c>
      <c r="P3207" s="1007" t="s">
        <v>648</v>
      </c>
      <c r="S3207" s="1008" t="s">
        <v>650</v>
      </c>
      <c r="T3207" s="1008" t="s">
        <v>654</v>
      </c>
      <c r="U3207" s="1008" t="s">
        <v>653</v>
      </c>
      <c r="V3207" s="1008" t="s">
        <v>648</v>
      </c>
      <c r="W3207" s="1008" t="s">
        <v>546</v>
      </c>
      <c r="X3207" s="1008" t="s">
        <v>670</v>
      </c>
      <c r="Y3207" s="1008"/>
      <c r="Z3207" s="1008"/>
      <c r="AA3207" s="1008" t="s">
        <v>670</v>
      </c>
      <c r="AB3207" s="1008"/>
      <c r="AC3207" s="1008"/>
      <c r="AD3207" s="1008"/>
      <c r="AE3207" s="1008"/>
      <c r="AF3207" s="1008"/>
      <c r="AG3207" s="1008"/>
      <c r="AH3207" s="1008"/>
      <c r="AI3207" s="1008"/>
    </row>
    <row r="3208" spans="1:35">
      <c r="A3208" s="1008">
        <v>25277</v>
      </c>
      <c r="B3208" s="1008">
        <v>598</v>
      </c>
      <c r="C3208" s="1008">
        <v>7</v>
      </c>
      <c r="D3208" s="1009">
        <v>62059999</v>
      </c>
      <c r="E3208" s="1009">
        <v>62056000</v>
      </c>
      <c r="F3208" s="1007" t="s">
        <v>1448</v>
      </c>
      <c r="G3208" s="1007">
        <v>8</v>
      </c>
      <c r="H3208" s="1010">
        <v>99999999</v>
      </c>
      <c r="I3208" s="1009">
        <v>62056000</v>
      </c>
      <c r="J3208" s="1007" t="s">
        <v>1448</v>
      </c>
      <c r="O3208" s="1007" t="s">
        <v>648</v>
      </c>
      <c r="P3208" s="1007" t="s">
        <v>648</v>
      </c>
      <c r="S3208" s="1008" t="s">
        <v>650</v>
      </c>
      <c r="T3208" s="1008" t="s">
        <v>654</v>
      </c>
      <c r="U3208" s="1008" t="s">
        <v>653</v>
      </c>
      <c r="V3208" s="1008" t="s">
        <v>648</v>
      </c>
      <c r="W3208" s="1008" t="s">
        <v>546</v>
      </c>
      <c r="X3208" s="1008" t="s">
        <v>670</v>
      </c>
      <c r="Y3208" s="1008" t="s">
        <v>670</v>
      </c>
      <c r="Z3208" s="1008"/>
      <c r="AA3208" s="1008" t="s">
        <v>670</v>
      </c>
      <c r="AB3208" s="1008"/>
      <c r="AC3208" s="1008"/>
      <c r="AD3208" s="1008"/>
      <c r="AE3208" s="1008"/>
      <c r="AF3208" s="1008" t="s">
        <v>670</v>
      </c>
      <c r="AG3208" s="1008"/>
      <c r="AH3208" s="1008"/>
      <c r="AI3208" s="1008"/>
    </row>
    <row r="3209" spans="1:35">
      <c r="A3209" s="1008">
        <v>25278</v>
      </c>
      <c r="B3209" s="1008">
        <v>2326</v>
      </c>
      <c r="C3209" s="1008">
        <v>7</v>
      </c>
      <c r="D3209" s="1009">
        <v>62059999</v>
      </c>
      <c r="E3209" s="1009">
        <v>62057000</v>
      </c>
      <c r="F3209" s="1007" t="s">
        <v>1447</v>
      </c>
      <c r="G3209" s="1007">
        <v>7</v>
      </c>
      <c r="H3209" s="1010">
        <v>99999999</v>
      </c>
      <c r="I3209" s="1009">
        <v>62057000</v>
      </c>
      <c r="J3209" s="1007" t="s">
        <v>1447</v>
      </c>
      <c r="O3209" s="1007" t="s">
        <v>648</v>
      </c>
      <c r="P3209" s="1007" t="s">
        <v>648</v>
      </c>
      <c r="S3209" s="1008" t="s">
        <v>650</v>
      </c>
      <c r="T3209" s="1008" t="s">
        <v>654</v>
      </c>
      <c r="U3209" s="1008" t="s">
        <v>653</v>
      </c>
      <c r="V3209" s="1008" t="s">
        <v>648</v>
      </c>
      <c r="W3209" s="1008" t="s">
        <v>546</v>
      </c>
      <c r="X3209" s="1008" t="s">
        <v>670</v>
      </c>
      <c r="Y3209" s="1008"/>
      <c r="Z3209" s="1008"/>
      <c r="AA3209" s="1008" t="s">
        <v>670</v>
      </c>
      <c r="AB3209" s="1008"/>
      <c r="AC3209" s="1008"/>
      <c r="AD3209" s="1008"/>
      <c r="AE3209" s="1008"/>
      <c r="AF3209" s="1008"/>
      <c r="AG3209" s="1008"/>
      <c r="AH3209" s="1008"/>
      <c r="AI3209" s="1008"/>
    </row>
    <row r="3210" spans="1:35">
      <c r="A3210" s="1008">
        <v>25279</v>
      </c>
      <c r="B3210" s="1008">
        <v>5500</v>
      </c>
      <c r="C3210" s="1008">
        <v>7</v>
      </c>
      <c r="D3210" s="1009">
        <v>62059999</v>
      </c>
      <c r="E3210" s="1009">
        <v>62058000</v>
      </c>
      <c r="F3210" s="1007" t="s">
        <v>1446</v>
      </c>
      <c r="G3210" s="1007">
        <v>7</v>
      </c>
      <c r="H3210" s="1010">
        <v>99999999</v>
      </c>
      <c r="I3210" s="1009">
        <v>62058000</v>
      </c>
      <c r="J3210" s="1007" t="s">
        <v>1446</v>
      </c>
      <c r="O3210" s="1007" t="s">
        <v>648</v>
      </c>
      <c r="P3210" s="1007" t="s">
        <v>648</v>
      </c>
      <c r="S3210" s="1008" t="s">
        <v>650</v>
      </c>
      <c r="T3210" s="1008" t="s">
        <v>654</v>
      </c>
      <c r="U3210" s="1008" t="s">
        <v>653</v>
      </c>
      <c r="V3210" s="1008" t="s">
        <v>648</v>
      </c>
      <c r="W3210" s="1008" t="s">
        <v>546</v>
      </c>
      <c r="X3210" s="1008" t="s">
        <v>670</v>
      </c>
      <c r="Y3210" s="1008"/>
      <c r="Z3210" s="1008"/>
      <c r="AA3210" s="1008" t="s">
        <v>670</v>
      </c>
      <c r="AB3210" s="1008"/>
      <c r="AC3210" s="1008"/>
      <c r="AD3210" s="1008"/>
      <c r="AE3210" s="1008"/>
      <c r="AF3210" s="1008"/>
      <c r="AG3210" s="1008"/>
      <c r="AH3210" s="1008"/>
      <c r="AI3210" s="1008"/>
    </row>
    <row r="3211" spans="1:35">
      <c r="A3211" s="1008">
        <v>25276</v>
      </c>
      <c r="B3211" s="1008">
        <v>2324</v>
      </c>
      <c r="C3211" s="1008">
        <v>7</v>
      </c>
      <c r="D3211" s="1009">
        <v>62059999</v>
      </c>
      <c r="E3211" s="1009">
        <v>62059000</v>
      </c>
      <c r="F3211" s="1007" t="s">
        <v>1445</v>
      </c>
      <c r="G3211" s="1007">
        <v>7</v>
      </c>
      <c r="H3211" s="1010">
        <v>99999999</v>
      </c>
      <c r="I3211" s="1009">
        <v>62059000</v>
      </c>
      <c r="J3211" s="1007" t="s">
        <v>1445</v>
      </c>
      <c r="O3211" s="1007" t="s">
        <v>648</v>
      </c>
      <c r="P3211" s="1007" t="s">
        <v>648</v>
      </c>
      <c r="S3211" s="1008" t="s">
        <v>650</v>
      </c>
      <c r="T3211" s="1008" t="s">
        <v>654</v>
      </c>
      <c r="U3211" s="1008" t="s">
        <v>653</v>
      </c>
      <c r="V3211" s="1008" t="s">
        <v>648</v>
      </c>
      <c r="W3211" s="1008" t="s">
        <v>546</v>
      </c>
      <c r="X3211" s="1008" t="s">
        <v>670</v>
      </c>
      <c r="Y3211" s="1008"/>
      <c r="Z3211" s="1008"/>
      <c r="AA3211" s="1008" t="s">
        <v>670</v>
      </c>
      <c r="AB3211" s="1008"/>
      <c r="AC3211" s="1008"/>
      <c r="AD3211" s="1008"/>
      <c r="AE3211" s="1008"/>
      <c r="AF3211" s="1008"/>
      <c r="AG3211" s="1008"/>
      <c r="AH3211" s="1008"/>
      <c r="AI3211" s="1008"/>
    </row>
    <row r="3212" spans="1:35">
      <c r="A3212" s="1008">
        <v>25280</v>
      </c>
      <c r="C3212" s="1008">
        <v>6</v>
      </c>
      <c r="D3212" s="1009">
        <v>62199999</v>
      </c>
      <c r="E3212" s="1009">
        <v>62059999</v>
      </c>
      <c r="F3212" s="1007" t="s">
        <v>1444</v>
      </c>
      <c r="O3212" s="1007" t="s">
        <v>648</v>
      </c>
      <c r="P3212" s="1007" t="s">
        <v>648</v>
      </c>
      <c r="S3212" s="1008" t="s">
        <v>650</v>
      </c>
      <c r="T3212" s="1008" t="s">
        <v>21</v>
      </c>
      <c r="U3212" s="1008" t="s">
        <v>653</v>
      </c>
      <c r="V3212" s="1008" t="s">
        <v>648</v>
      </c>
      <c r="W3212" s="1008" t="s">
        <v>546</v>
      </c>
      <c r="X3212" s="1008"/>
      <c r="Y3212" s="1008"/>
      <c r="Z3212" s="1008"/>
      <c r="AA3212" s="1008"/>
      <c r="AB3212" s="1008"/>
      <c r="AC3212" s="1008"/>
      <c r="AD3212" s="1008"/>
      <c r="AE3212" s="1008"/>
      <c r="AF3212" s="1008"/>
      <c r="AG3212" s="1008"/>
      <c r="AH3212" s="1008"/>
      <c r="AI3212" s="1008"/>
    </row>
    <row r="3213" spans="1:35">
      <c r="A3213" s="1008">
        <v>25292</v>
      </c>
      <c r="C3213" s="1008">
        <v>6</v>
      </c>
      <c r="D3213" s="1009">
        <v>62089999</v>
      </c>
      <c r="E3213" s="1009">
        <v>62080000</v>
      </c>
      <c r="F3213" s="1007" t="s">
        <v>1443</v>
      </c>
      <c r="O3213" s="1007" t="s">
        <v>648</v>
      </c>
      <c r="P3213" s="1007" t="s">
        <v>648</v>
      </c>
      <c r="S3213" s="1008" t="s">
        <v>650</v>
      </c>
      <c r="T3213" s="1008" t="s">
        <v>675</v>
      </c>
      <c r="U3213" s="1008" t="s">
        <v>653</v>
      </c>
      <c r="V3213" s="1008" t="s">
        <v>648</v>
      </c>
      <c r="W3213" s="1008" t="s">
        <v>546</v>
      </c>
      <c r="X3213" s="1008"/>
      <c r="Y3213" s="1008"/>
      <c r="Z3213" s="1008"/>
      <c r="AA3213" s="1008"/>
      <c r="AB3213" s="1008"/>
      <c r="AC3213" s="1008"/>
      <c r="AD3213" s="1008"/>
      <c r="AE3213" s="1008"/>
      <c r="AF3213" s="1008"/>
      <c r="AG3213" s="1008"/>
      <c r="AH3213" s="1008"/>
      <c r="AI3213" s="1008"/>
    </row>
    <row r="3214" spans="1:35">
      <c r="A3214" s="1008">
        <v>25294</v>
      </c>
      <c r="B3214" s="1008">
        <v>567</v>
      </c>
      <c r="C3214" s="1008">
        <v>7</v>
      </c>
      <c r="D3214" s="1009">
        <v>62089999</v>
      </c>
      <c r="E3214" s="1009">
        <v>62081000</v>
      </c>
      <c r="F3214" s="1007" t="s">
        <v>1442</v>
      </c>
      <c r="G3214" s="1007">
        <v>8</v>
      </c>
      <c r="H3214" s="1010">
        <v>99999999</v>
      </c>
      <c r="I3214" s="1009">
        <v>62081000</v>
      </c>
      <c r="J3214" s="1007" t="s">
        <v>1442</v>
      </c>
      <c r="O3214" s="1007" t="s">
        <v>648</v>
      </c>
      <c r="P3214" s="1007" t="s">
        <v>648</v>
      </c>
      <c r="S3214" s="1008" t="s">
        <v>650</v>
      </c>
      <c r="T3214" s="1008" t="s">
        <v>654</v>
      </c>
      <c r="U3214" s="1008" t="s">
        <v>653</v>
      </c>
      <c r="V3214" s="1008" t="s">
        <v>648</v>
      </c>
      <c r="W3214" s="1008" t="s">
        <v>546</v>
      </c>
      <c r="X3214" s="1008" t="s">
        <v>670</v>
      </c>
      <c r="Y3214" s="1008"/>
      <c r="Z3214" s="1008"/>
      <c r="AA3214" s="1008" t="s">
        <v>670</v>
      </c>
      <c r="AB3214" s="1008"/>
      <c r="AC3214" s="1008"/>
      <c r="AD3214" s="1008"/>
      <c r="AE3214" s="1008"/>
      <c r="AF3214" s="1008"/>
      <c r="AG3214" s="1008"/>
      <c r="AH3214" s="1008"/>
      <c r="AI3214" s="1008"/>
    </row>
    <row r="3215" spans="1:35">
      <c r="A3215" s="1008">
        <v>27095</v>
      </c>
      <c r="B3215" s="1008">
        <v>5925</v>
      </c>
      <c r="C3215" s="1008">
        <v>7</v>
      </c>
      <c r="D3215" s="1009">
        <v>62089999</v>
      </c>
      <c r="E3215" s="1009">
        <v>62082000</v>
      </c>
      <c r="F3215" s="1007" t="s">
        <v>1441</v>
      </c>
      <c r="G3215" s="1007" t="s">
        <v>648</v>
      </c>
      <c r="H3215" s="1010">
        <v>99999999</v>
      </c>
      <c r="I3215" s="1009">
        <v>62082000</v>
      </c>
      <c r="J3215" s="1007" t="s">
        <v>1441</v>
      </c>
      <c r="O3215" s="1007" t="s">
        <v>648</v>
      </c>
      <c r="P3215" s="1007" t="s">
        <v>648</v>
      </c>
      <c r="S3215" s="1008" t="s">
        <v>650</v>
      </c>
      <c r="T3215" s="1008" t="s">
        <v>654</v>
      </c>
      <c r="U3215" s="1008" t="s">
        <v>653</v>
      </c>
      <c r="V3215" s="1008" t="s">
        <v>648</v>
      </c>
      <c r="W3215" s="1008" t="s">
        <v>546</v>
      </c>
      <c r="X3215" s="1008" t="s">
        <v>670</v>
      </c>
      <c r="Y3215" s="1008"/>
      <c r="Z3215" s="1008"/>
      <c r="AA3215" s="1008" t="s">
        <v>670</v>
      </c>
      <c r="AB3215" s="1008"/>
      <c r="AC3215" s="1008"/>
      <c r="AD3215" s="1008"/>
      <c r="AE3215" s="1008"/>
      <c r="AF3215" s="1008"/>
      <c r="AG3215" s="1008"/>
      <c r="AH3215" s="1008"/>
      <c r="AI3215" s="1008"/>
    </row>
    <row r="3216" spans="1:35">
      <c r="A3216" s="1008">
        <v>25295</v>
      </c>
      <c r="C3216" s="1008">
        <v>6</v>
      </c>
      <c r="D3216" s="1009">
        <v>62199999</v>
      </c>
      <c r="E3216" s="1009">
        <v>62089999</v>
      </c>
      <c r="F3216" s="1007" t="s">
        <v>1440</v>
      </c>
      <c r="O3216" s="1007" t="s">
        <v>648</v>
      </c>
      <c r="P3216" s="1007" t="s">
        <v>648</v>
      </c>
      <c r="S3216" s="1008" t="s">
        <v>650</v>
      </c>
      <c r="T3216" s="1008" t="s">
        <v>21</v>
      </c>
      <c r="U3216" s="1008" t="s">
        <v>653</v>
      </c>
      <c r="V3216" s="1008" t="s">
        <v>648</v>
      </c>
      <c r="W3216" s="1008" t="s">
        <v>546</v>
      </c>
      <c r="X3216" s="1008"/>
      <c r="Y3216" s="1008"/>
      <c r="Z3216" s="1008"/>
      <c r="AA3216" s="1008"/>
      <c r="AB3216" s="1008"/>
      <c r="AC3216" s="1008"/>
      <c r="AD3216" s="1008"/>
      <c r="AE3216" s="1008"/>
      <c r="AF3216" s="1008"/>
      <c r="AG3216" s="1008"/>
      <c r="AH3216" s="1008"/>
      <c r="AI3216" s="1008"/>
    </row>
    <row r="3217" spans="1:35">
      <c r="A3217" s="1008">
        <v>25296</v>
      </c>
      <c r="C3217" s="1008">
        <v>6</v>
      </c>
      <c r="D3217" s="1009">
        <v>62099900</v>
      </c>
      <c r="E3217" s="1009">
        <v>62090000</v>
      </c>
      <c r="F3217" s="1007" t="s">
        <v>1439</v>
      </c>
      <c r="O3217" s="1007" t="s">
        <v>648</v>
      </c>
      <c r="P3217" s="1007" t="s">
        <v>648</v>
      </c>
      <c r="S3217" s="1008" t="s">
        <v>650</v>
      </c>
      <c r="T3217" s="1008" t="s">
        <v>675</v>
      </c>
      <c r="U3217" s="1008" t="s">
        <v>653</v>
      </c>
      <c r="V3217" s="1008" t="s">
        <v>648</v>
      </c>
      <c r="W3217" s="1008" t="s">
        <v>546</v>
      </c>
      <c r="X3217" s="1008"/>
      <c r="Y3217" s="1008"/>
      <c r="Z3217" s="1008"/>
      <c r="AA3217" s="1008"/>
      <c r="AB3217" s="1008"/>
      <c r="AC3217" s="1008"/>
      <c r="AD3217" s="1008"/>
      <c r="AE3217" s="1008"/>
      <c r="AF3217" s="1008"/>
      <c r="AG3217" s="1008"/>
      <c r="AH3217" s="1008"/>
      <c r="AI3217" s="1008"/>
    </row>
    <row r="3218" spans="1:35">
      <c r="A3218" s="1008">
        <v>25297</v>
      </c>
      <c r="B3218" s="1008">
        <v>587</v>
      </c>
      <c r="C3218" s="1008">
        <v>7</v>
      </c>
      <c r="D3218" s="1009">
        <v>62099900</v>
      </c>
      <c r="E3218" s="1009">
        <v>62091000</v>
      </c>
      <c r="F3218" s="1007" t="s">
        <v>1438</v>
      </c>
      <c r="G3218" s="1007">
        <v>8</v>
      </c>
      <c r="H3218" s="1010">
        <v>99999999</v>
      </c>
      <c r="I3218" s="1009">
        <v>62091000</v>
      </c>
      <c r="J3218" s="1007" t="s">
        <v>1438</v>
      </c>
      <c r="O3218" s="1007" t="s">
        <v>648</v>
      </c>
      <c r="P3218" s="1007" t="s">
        <v>648</v>
      </c>
      <c r="S3218" s="1008" t="s">
        <v>650</v>
      </c>
      <c r="T3218" s="1008" t="s">
        <v>654</v>
      </c>
      <c r="U3218" s="1008" t="s">
        <v>653</v>
      </c>
      <c r="V3218" s="1008" t="s">
        <v>648</v>
      </c>
      <c r="W3218" s="1008" t="s">
        <v>546</v>
      </c>
      <c r="X3218" s="1008" t="s">
        <v>670</v>
      </c>
      <c r="Y3218" s="1008" t="s">
        <v>670</v>
      </c>
      <c r="Z3218" s="1008"/>
      <c r="AA3218" s="1008" t="s">
        <v>670</v>
      </c>
      <c r="AB3218" s="1008" t="s">
        <v>670</v>
      </c>
      <c r="AC3218" s="1008" t="s">
        <v>670</v>
      </c>
      <c r="AD3218" s="1008"/>
      <c r="AE3218" s="1008"/>
      <c r="AF3218" s="1008" t="s">
        <v>670</v>
      </c>
      <c r="AG3218" s="1008" t="s">
        <v>670</v>
      </c>
      <c r="AH3218" s="1008"/>
      <c r="AI3218" s="1008"/>
    </row>
    <row r="3219" spans="1:35">
      <c r="A3219" s="1008">
        <v>25298</v>
      </c>
      <c r="B3219" s="1008">
        <v>2338</v>
      </c>
      <c r="C3219" s="1008">
        <v>7</v>
      </c>
      <c r="D3219" s="1009">
        <v>62099900</v>
      </c>
      <c r="E3219" s="1009">
        <v>62092000</v>
      </c>
      <c r="F3219" s="1007" t="s">
        <v>1437</v>
      </c>
      <c r="G3219" s="1007">
        <v>7</v>
      </c>
      <c r="H3219" s="1010">
        <v>99999999</v>
      </c>
      <c r="I3219" s="1009">
        <v>62092000</v>
      </c>
      <c r="J3219" s="1007" t="s">
        <v>1437</v>
      </c>
      <c r="O3219" s="1007" t="s">
        <v>648</v>
      </c>
      <c r="P3219" s="1007" t="s">
        <v>648</v>
      </c>
      <c r="S3219" s="1008" t="s">
        <v>650</v>
      </c>
      <c r="T3219" s="1008" t="s">
        <v>654</v>
      </c>
      <c r="U3219" s="1008" t="s">
        <v>653</v>
      </c>
      <c r="V3219" s="1008" t="s">
        <v>648</v>
      </c>
      <c r="W3219" s="1008" t="s">
        <v>546</v>
      </c>
      <c r="X3219" s="1008" t="s">
        <v>670</v>
      </c>
      <c r="Y3219" s="1008"/>
      <c r="Z3219" s="1008"/>
      <c r="AA3219" s="1008" t="s">
        <v>670</v>
      </c>
      <c r="AB3219" s="1008"/>
      <c r="AC3219" s="1008"/>
      <c r="AD3219" s="1008"/>
      <c r="AE3219" s="1008"/>
      <c r="AF3219" s="1008"/>
      <c r="AG3219" s="1008"/>
      <c r="AH3219" s="1008"/>
      <c r="AI3219" s="1008"/>
    </row>
    <row r="3220" spans="1:35">
      <c r="A3220" s="1008">
        <v>25299</v>
      </c>
      <c r="B3220" s="1008">
        <v>564</v>
      </c>
      <c r="C3220" s="1008">
        <v>7</v>
      </c>
      <c r="D3220" s="1009">
        <v>62099900</v>
      </c>
      <c r="E3220" s="1009">
        <v>62093000</v>
      </c>
      <c r="F3220" s="1007" t="s">
        <v>1436</v>
      </c>
      <c r="G3220" s="1007">
        <v>8</v>
      </c>
      <c r="H3220" s="1010">
        <v>99999999</v>
      </c>
      <c r="I3220" s="1009">
        <v>62093000</v>
      </c>
      <c r="J3220" s="1007" t="s">
        <v>1436</v>
      </c>
      <c r="O3220" s="1007" t="s">
        <v>648</v>
      </c>
      <c r="P3220" s="1007" t="s">
        <v>648</v>
      </c>
      <c r="S3220" s="1008" t="s">
        <v>650</v>
      </c>
      <c r="T3220" s="1008" t="s">
        <v>654</v>
      </c>
      <c r="U3220" s="1008" t="s">
        <v>653</v>
      </c>
      <c r="V3220" s="1008" t="s">
        <v>648</v>
      </c>
      <c r="W3220" s="1008" t="s">
        <v>546</v>
      </c>
      <c r="X3220" s="1008" t="s">
        <v>670</v>
      </c>
      <c r="Y3220" s="1008"/>
      <c r="Z3220" s="1008"/>
      <c r="AA3220" s="1008" t="s">
        <v>670</v>
      </c>
      <c r="AB3220" s="1008"/>
      <c r="AC3220" s="1008" t="s">
        <v>670</v>
      </c>
      <c r="AD3220" s="1008"/>
      <c r="AE3220" s="1008"/>
      <c r="AF3220" s="1008"/>
      <c r="AG3220" s="1008"/>
      <c r="AH3220" s="1008"/>
      <c r="AI3220" s="1008"/>
    </row>
    <row r="3221" spans="1:35">
      <c r="A3221" s="1008">
        <v>25300</v>
      </c>
      <c r="C3221" s="1008">
        <v>6</v>
      </c>
      <c r="D3221" s="1009">
        <v>62199999</v>
      </c>
      <c r="E3221" s="1009">
        <v>62099900</v>
      </c>
      <c r="F3221" s="1007" t="s">
        <v>1435</v>
      </c>
      <c r="O3221" s="1007" t="s">
        <v>648</v>
      </c>
      <c r="P3221" s="1007" t="s">
        <v>648</v>
      </c>
      <c r="S3221" s="1008" t="s">
        <v>650</v>
      </c>
      <c r="T3221" s="1008" t="s">
        <v>21</v>
      </c>
      <c r="U3221" s="1008" t="s">
        <v>653</v>
      </c>
      <c r="V3221" s="1008" t="s">
        <v>648</v>
      </c>
      <c r="W3221" s="1008" t="s">
        <v>546</v>
      </c>
      <c r="X3221" s="1008"/>
      <c r="Y3221" s="1008"/>
      <c r="Z3221" s="1008"/>
      <c r="AA3221" s="1008"/>
      <c r="AB3221" s="1008"/>
      <c r="AC3221" s="1008"/>
      <c r="AD3221" s="1008"/>
      <c r="AE3221" s="1008"/>
      <c r="AF3221" s="1008"/>
      <c r="AG3221" s="1008"/>
      <c r="AH3221" s="1008"/>
      <c r="AI3221" s="1008"/>
    </row>
    <row r="3222" spans="1:35">
      <c r="A3222" s="1008">
        <v>26561</v>
      </c>
      <c r="C3222" s="1008">
        <v>6</v>
      </c>
      <c r="D3222" s="1009">
        <v>62109999</v>
      </c>
      <c r="E3222" s="1009">
        <v>62100000</v>
      </c>
      <c r="F3222" s="1007" t="s">
        <v>1434</v>
      </c>
      <c r="O3222" s="1007" t="s">
        <v>648</v>
      </c>
      <c r="P3222" s="1007" t="s">
        <v>648</v>
      </c>
      <c r="S3222" s="1008" t="s">
        <v>650</v>
      </c>
      <c r="T3222" s="1008" t="s">
        <v>675</v>
      </c>
      <c r="U3222" s="1008" t="s">
        <v>653</v>
      </c>
      <c r="V3222" s="1008" t="s">
        <v>648</v>
      </c>
      <c r="W3222" s="1008" t="s">
        <v>546</v>
      </c>
      <c r="X3222" s="1008"/>
      <c r="Y3222" s="1008"/>
      <c r="Z3222" s="1008"/>
      <c r="AA3222" s="1008"/>
      <c r="AB3222" s="1008"/>
      <c r="AC3222" s="1008"/>
      <c r="AD3222" s="1008"/>
      <c r="AE3222" s="1008"/>
      <c r="AF3222" s="1008"/>
      <c r="AG3222" s="1008"/>
      <c r="AH3222" s="1008"/>
      <c r="AI3222" s="1008"/>
    </row>
    <row r="3223" spans="1:35">
      <c r="A3223" s="1008">
        <v>25326</v>
      </c>
      <c r="B3223" s="1008">
        <v>580</v>
      </c>
      <c r="C3223" s="1008">
        <v>7</v>
      </c>
      <c r="D3223" s="1009">
        <v>62109999</v>
      </c>
      <c r="E3223" s="1009">
        <v>62101000</v>
      </c>
      <c r="F3223" s="1007" t="s">
        <v>1433</v>
      </c>
      <c r="G3223" s="1007">
        <v>8</v>
      </c>
      <c r="H3223" s="1010">
        <v>99999999</v>
      </c>
      <c r="I3223" s="1009">
        <v>62101000</v>
      </c>
      <c r="J3223" s="1007" t="s">
        <v>1565</v>
      </c>
      <c r="O3223" s="1007" t="s">
        <v>648</v>
      </c>
      <c r="P3223" s="1007" t="s">
        <v>648</v>
      </c>
      <c r="S3223" s="1008" t="s">
        <v>650</v>
      </c>
      <c r="T3223" s="1008" t="s">
        <v>654</v>
      </c>
      <c r="U3223" s="1008" t="s">
        <v>653</v>
      </c>
      <c r="V3223" s="1008" t="s">
        <v>648</v>
      </c>
      <c r="W3223" s="1008" t="s">
        <v>546</v>
      </c>
      <c r="X3223" s="1008" t="s">
        <v>670</v>
      </c>
      <c r="Y3223" s="1008" t="s">
        <v>670</v>
      </c>
      <c r="Z3223" s="1008"/>
      <c r="AA3223" s="1008" t="s">
        <v>670</v>
      </c>
      <c r="AB3223" s="1008"/>
      <c r="AC3223" s="1008"/>
      <c r="AD3223" s="1008"/>
      <c r="AE3223" s="1008"/>
      <c r="AF3223" s="1008" t="s">
        <v>670</v>
      </c>
      <c r="AG3223" s="1008" t="s">
        <v>670</v>
      </c>
      <c r="AH3223" s="1008"/>
      <c r="AI3223" s="1008"/>
    </row>
    <row r="3224" spans="1:35">
      <c r="A3224" s="1008">
        <v>26562</v>
      </c>
      <c r="C3224" s="1008">
        <v>6</v>
      </c>
      <c r="D3224" s="1009">
        <v>62199999</v>
      </c>
      <c r="E3224" s="1009">
        <v>62109999</v>
      </c>
      <c r="F3224" s="1007" t="s">
        <v>1432</v>
      </c>
      <c r="O3224" s="1007" t="s">
        <v>648</v>
      </c>
      <c r="P3224" s="1007" t="s">
        <v>648</v>
      </c>
      <c r="S3224" s="1008" t="s">
        <v>650</v>
      </c>
      <c r="T3224" s="1008" t="s">
        <v>21</v>
      </c>
      <c r="U3224" s="1008" t="s">
        <v>653</v>
      </c>
      <c r="V3224" s="1008" t="s">
        <v>648</v>
      </c>
      <c r="W3224" s="1008" t="s">
        <v>546</v>
      </c>
      <c r="X3224" s="1008"/>
      <c r="Y3224" s="1008"/>
      <c r="Z3224" s="1008"/>
      <c r="AA3224" s="1008"/>
      <c r="AB3224" s="1008"/>
      <c r="AC3224" s="1008"/>
      <c r="AD3224" s="1008"/>
      <c r="AE3224" s="1008"/>
      <c r="AF3224" s="1008"/>
      <c r="AG3224" s="1008"/>
      <c r="AH3224" s="1008"/>
      <c r="AI3224" s="1008"/>
    </row>
    <row r="3225" spans="1:35">
      <c r="A3225" s="1008">
        <v>25301</v>
      </c>
      <c r="C3225" s="1008">
        <v>5</v>
      </c>
      <c r="D3225" s="1009">
        <v>69999999</v>
      </c>
      <c r="E3225" s="1009">
        <v>62199999</v>
      </c>
      <c r="F3225" s="1007" t="s">
        <v>1431</v>
      </c>
      <c r="O3225" s="1007" t="s">
        <v>648</v>
      </c>
      <c r="P3225" s="1007" t="s">
        <v>648</v>
      </c>
      <c r="S3225" s="1008" t="s">
        <v>650</v>
      </c>
      <c r="T3225" s="1008" t="s">
        <v>21</v>
      </c>
      <c r="U3225" s="1008" t="s">
        <v>653</v>
      </c>
      <c r="V3225" s="1008" t="s">
        <v>648</v>
      </c>
      <c r="W3225" s="1008" t="s">
        <v>546</v>
      </c>
      <c r="X3225" s="1008"/>
      <c r="Y3225" s="1008"/>
      <c r="Z3225" s="1008"/>
      <c r="AA3225" s="1008"/>
      <c r="AB3225" s="1008"/>
      <c r="AC3225" s="1008"/>
      <c r="AD3225" s="1008"/>
      <c r="AE3225" s="1008"/>
      <c r="AF3225" s="1008"/>
      <c r="AG3225" s="1008"/>
      <c r="AH3225" s="1008"/>
      <c r="AI3225" s="1008"/>
    </row>
    <row r="3226" spans="1:35">
      <c r="A3226" s="1008">
        <v>25302</v>
      </c>
      <c r="C3226" s="1008">
        <v>5</v>
      </c>
      <c r="D3226" s="1009">
        <v>63199999</v>
      </c>
      <c r="E3226" s="1009">
        <v>63000000</v>
      </c>
      <c r="F3226" s="1007" t="s">
        <v>1430</v>
      </c>
      <c r="O3226" s="1007" t="s">
        <v>648</v>
      </c>
      <c r="P3226" s="1007" t="s">
        <v>648</v>
      </c>
      <c r="S3226" s="1008" t="s">
        <v>650</v>
      </c>
      <c r="T3226" s="1008" t="s">
        <v>675</v>
      </c>
      <c r="U3226" s="1008" t="s">
        <v>653</v>
      </c>
      <c r="V3226" s="1008" t="s">
        <v>648</v>
      </c>
      <c r="W3226" s="1008" t="s">
        <v>546</v>
      </c>
      <c r="X3226" s="1008"/>
      <c r="Y3226" s="1008"/>
      <c r="Z3226" s="1008"/>
      <c r="AA3226" s="1008"/>
      <c r="AB3226" s="1008"/>
      <c r="AC3226" s="1008"/>
      <c r="AD3226" s="1008"/>
      <c r="AE3226" s="1008"/>
      <c r="AF3226" s="1008"/>
      <c r="AG3226" s="1008"/>
      <c r="AH3226" s="1008"/>
      <c r="AI3226" s="1008"/>
    </row>
    <row r="3227" spans="1:35">
      <c r="A3227" s="1008">
        <v>25303</v>
      </c>
      <c r="C3227" s="1008">
        <v>6</v>
      </c>
      <c r="D3227" s="1009">
        <v>63019999</v>
      </c>
      <c r="E3227" s="1009">
        <v>63010000</v>
      </c>
      <c r="F3227" s="1007" t="s">
        <v>1429</v>
      </c>
      <c r="O3227" s="1007" t="s">
        <v>648</v>
      </c>
      <c r="P3227" s="1007" t="s">
        <v>648</v>
      </c>
      <c r="S3227" s="1008" t="s">
        <v>650</v>
      </c>
      <c r="T3227" s="1008" t="s">
        <v>675</v>
      </c>
      <c r="U3227" s="1008" t="s">
        <v>653</v>
      </c>
      <c r="V3227" s="1008" t="s">
        <v>648</v>
      </c>
      <c r="W3227" s="1008" t="s">
        <v>546</v>
      </c>
      <c r="X3227" s="1008"/>
      <c r="Y3227" s="1008"/>
      <c r="Z3227" s="1008"/>
      <c r="AA3227" s="1008"/>
      <c r="AB3227" s="1008"/>
      <c r="AC3227" s="1008"/>
      <c r="AD3227" s="1008"/>
      <c r="AE3227" s="1008"/>
      <c r="AF3227" s="1008"/>
      <c r="AG3227" s="1008"/>
      <c r="AH3227" s="1008"/>
      <c r="AI3227" s="1008"/>
    </row>
    <row r="3228" spans="1:35">
      <c r="A3228" s="1008">
        <v>25304</v>
      </c>
      <c r="B3228" s="1008">
        <v>576</v>
      </c>
      <c r="C3228" s="1008">
        <v>7</v>
      </c>
      <c r="D3228" s="1009">
        <v>63019999</v>
      </c>
      <c r="E3228" s="1009">
        <v>63011000</v>
      </c>
      <c r="F3228" s="1007" t="s">
        <v>1428</v>
      </c>
      <c r="G3228" s="1007">
        <v>8</v>
      </c>
      <c r="H3228" s="1010">
        <v>99999999</v>
      </c>
      <c r="I3228" s="1009">
        <v>63011000</v>
      </c>
      <c r="J3228" s="1007" t="s">
        <v>1564</v>
      </c>
      <c r="O3228" s="1007" t="s">
        <v>648</v>
      </c>
      <c r="P3228" s="1007" t="s">
        <v>648</v>
      </c>
      <c r="S3228" s="1008" t="s">
        <v>650</v>
      </c>
      <c r="T3228" s="1008" t="s">
        <v>654</v>
      </c>
      <c r="U3228" s="1008" t="s">
        <v>653</v>
      </c>
      <c r="V3228" s="1008" t="s">
        <v>648</v>
      </c>
      <c r="W3228" s="1008" t="s">
        <v>546</v>
      </c>
      <c r="X3228" s="1008" t="s">
        <v>670</v>
      </c>
      <c r="Y3228" s="1008"/>
      <c r="Z3228" s="1008"/>
      <c r="AA3228" s="1008" t="s">
        <v>670</v>
      </c>
      <c r="AB3228" s="1008"/>
      <c r="AC3228" s="1008"/>
      <c r="AD3228" s="1008"/>
      <c r="AE3228" s="1008"/>
      <c r="AF3228" s="1008"/>
      <c r="AG3228" s="1008"/>
      <c r="AH3228" s="1008"/>
      <c r="AI3228" s="1008"/>
    </row>
    <row r="3229" spans="1:35">
      <c r="A3229" s="1008">
        <v>25305</v>
      </c>
      <c r="B3229" s="1008">
        <v>2341</v>
      </c>
      <c r="C3229" s="1008">
        <v>7</v>
      </c>
      <c r="D3229" s="1009">
        <v>63019999</v>
      </c>
      <c r="E3229" s="1009">
        <v>63012000</v>
      </c>
      <c r="F3229" s="1007" t="s">
        <v>1427</v>
      </c>
      <c r="G3229" s="1007">
        <v>7</v>
      </c>
      <c r="H3229" s="1010">
        <v>99999999</v>
      </c>
      <c r="I3229" s="1009">
        <v>63012000</v>
      </c>
      <c r="J3229" s="1007" t="s">
        <v>1427</v>
      </c>
      <c r="O3229" s="1007" t="s">
        <v>648</v>
      </c>
      <c r="P3229" s="1007" t="s">
        <v>648</v>
      </c>
      <c r="S3229" s="1008" t="s">
        <v>650</v>
      </c>
      <c r="T3229" s="1008" t="s">
        <v>654</v>
      </c>
      <c r="U3229" s="1008" t="s">
        <v>653</v>
      </c>
      <c r="V3229" s="1008" t="s">
        <v>648</v>
      </c>
      <c r="W3229" s="1008" t="s">
        <v>546</v>
      </c>
      <c r="X3229" s="1008" t="s">
        <v>670</v>
      </c>
      <c r="Y3229" s="1008"/>
      <c r="Z3229" s="1008"/>
      <c r="AA3229" s="1008" t="s">
        <v>670</v>
      </c>
      <c r="AB3229" s="1008"/>
      <c r="AC3229" s="1008"/>
      <c r="AD3229" s="1008"/>
      <c r="AE3229" s="1008"/>
      <c r="AF3229" s="1008"/>
      <c r="AG3229" s="1008"/>
      <c r="AH3229" s="1008"/>
      <c r="AI3229" s="1008"/>
    </row>
    <row r="3230" spans="1:35">
      <c r="A3230" s="1008">
        <v>25306</v>
      </c>
      <c r="B3230" s="1008">
        <v>2342</v>
      </c>
      <c r="C3230" s="1008">
        <v>7</v>
      </c>
      <c r="D3230" s="1009">
        <v>63019999</v>
      </c>
      <c r="E3230" s="1009">
        <v>63013000</v>
      </c>
      <c r="F3230" s="1007" t="s">
        <v>1426</v>
      </c>
      <c r="G3230" s="1007">
        <v>7</v>
      </c>
      <c r="H3230" s="1010">
        <v>99999999</v>
      </c>
      <c r="I3230" s="1009">
        <v>63013000</v>
      </c>
      <c r="J3230" s="1007" t="s">
        <v>1426</v>
      </c>
      <c r="O3230" s="1007" t="s">
        <v>648</v>
      </c>
      <c r="P3230" s="1007" t="s">
        <v>648</v>
      </c>
      <c r="S3230" s="1008" t="s">
        <v>650</v>
      </c>
      <c r="T3230" s="1008" t="s">
        <v>654</v>
      </c>
      <c r="U3230" s="1008" t="s">
        <v>653</v>
      </c>
      <c r="V3230" s="1008" t="s">
        <v>648</v>
      </c>
      <c r="W3230" s="1008" t="s">
        <v>546</v>
      </c>
      <c r="X3230" s="1008" t="s">
        <v>670</v>
      </c>
      <c r="Y3230" s="1008"/>
      <c r="Z3230" s="1008"/>
      <c r="AA3230" s="1008" t="s">
        <v>670</v>
      </c>
      <c r="AB3230" s="1008"/>
      <c r="AC3230" s="1008"/>
      <c r="AD3230" s="1008"/>
      <c r="AE3230" s="1008"/>
      <c r="AF3230" s="1008"/>
      <c r="AG3230" s="1008"/>
      <c r="AH3230" s="1008"/>
      <c r="AI3230" s="1008"/>
    </row>
    <row r="3231" spans="1:35">
      <c r="A3231" s="1008">
        <v>25307</v>
      </c>
      <c r="B3231" s="1008">
        <v>2343</v>
      </c>
      <c r="C3231" s="1008">
        <v>7</v>
      </c>
      <c r="D3231" s="1009">
        <v>63019999</v>
      </c>
      <c r="E3231" s="1009">
        <v>63014000</v>
      </c>
      <c r="F3231" s="1007" t="s">
        <v>1425</v>
      </c>
      <c r="G3231" s="1007">
        <v>7</v>
      </c>
      <c r="H3231" s="1010">
        <v>99999999</v>
      </c>
      <c r="I3231" s="1009">
        <v>63014000</v>
      </c>
      <c r="J3231" s="1007" t="s">
        <v>1425</v>
      </c>
      <c r="O3231" s="1007" t="s">
        <v>648</v>
      </c>
      <c r="P3231" s="1007" t="s">
        <v>648</v>
      </c>
      <c r="S3231" s="1008" t="s">
        <v>650</v>
      </c>
      <c r="T3231" s="1008" t="s">
        <v>654</v>
      </c>
      <c r="U3231" s="1008" t="s">
        <v>653</v>
      </c>
      <c r="V3231" s="1008" t="s">
        <v>648</v>
      </c>
      <c r="W3231" s="1008" t="s">
        <v>546</v>
      </c>
      <c r="X3231" s="1008" t="s">
        <v>670</v>
      </c>
      <c r="Y3231" s="1008"/>
      <c r="Z3231" s="1008"/>
      <c r="AA3231" s="1008" t="s">
        <v>670</v>
      </c>
      <c r="AB3231" s="1008"/>
      <c r="AC3231" s="1008"/>
      <c r="AD3231" s="1008"/>
      <c r="AE3231" s="1008"/>
      <c r="AF3231" s="1008"/>
      <c r="AG3231" s="1008"/>
      <c r="AH3231" s="1008"/>
      <c r="AI3231" s="1008"/>
    </row>
    <row r="3232" spans="1:35">
      <c r="A3232" s="1008">
        <v>25308</v>
      </c>
      <c r="B3232" s="1008">
        <v>2344</v>
      </c>
      <c r="C3232" s="1008">
        <v>7</v>
      </c>
      <c r="D3232" s="1009">
        <v>63019999</v>
      </c>
      <c r="E3232" s="1009">
        <v>63015000</v>
      </c>
      <c r="F3232" s="1007" t="s">
        <v>1424</v>
      </c>
      <c r="G3232" s="1007">
        <v>7</v>
      </c>
      <c r="H3232" s="1010">
        <v>99999999</v>
      </c>
      <c r="I3232" s="1009">
        <v>63015000</v>
      </c>
      <c r="J3232" s="1007" t="s">
        <v>1424</v>
      </c>
      <c r="O3232" s="1007" t="s">
        <v>648</v>
      </c>
      <c r="P3232" s="1007" t="s">
        <v>648</v>
      </c>
      <c r="S3232" s="1008" t="s">
        <v>650</v>
      </c>
      <c r="T3232" s="1008" t="s">
        <v>654</v>
      </c>
      <c r="U3232" s="1008" t="s">
        <v>653</v>
      </c>
      <c r="V3232" s="1008" t="s">
        <v>648</v>
      </c>
      <c r="W3232" s="1008" t="s">
        <v>546</v>
      </c>
      <c r="X3232" s="1008" t="s">
        <v>670</v>
      </c>
      <c r="Y3232" s="1008"/>
      <c r="Z3232" s="1008"/>
      <c r="AA3232" s="1008" t="s">
        <v>670</v>
      </c>
      <c r="AB3232" s="1008"/>
      <c r="AC3232" s="1008"/>
      <c r="AD3232" s="1008"/>
      <c r="AE3232" s="1008"/>
      <c r="AF3232" s="1008"/>
      <c r="AG3232" s="1008"/>
      <c r="AH3232" s="1008"/>
      <c r="AI3232" s="1008"/>
    </row>
    <row r="3233" spans="1:35">
      <c r="A3233" s="1008">
        <v>25309</v>
      </c>
      <c r="B3233" s="1008">
        <v>5512</v>
      </c>
      <c r="C3233" s="1008">
        <v>7</v>
      </c>
      <c r="D3233" s="1009">
        <v>63019999</v>
      </c>
      <c r="E3233" s="1009">
        <v>63017000</v>
      </c>
      <c r="F3233" s="1007" t="s">
        <v>1563</v>
      </c>
      <c r="G3233" s="1007">
        <v>7</v>
      </c>
      <c r="H3233" s="1010">
        <v>99999999</v>
      </c>
      <c r="I3233" s="1009">
        <v>63017000</v>
      </c>
      <c r="J3233" s="1007" t="s">
        <v>1563</v>
      </c>
      <c r="O3233" s="1007" t="s">
        <v>648</v>
      </c>
      <c r="P3233" s="1007" t="s">
        <v>648</v>
      </c>
      <c r="S3233" s="1008" t="s">
        <v>650</v>
      </c>
      <c r="T3233" s="1008" t="s">
        <v>654</v>
      </c>
      <c r="U3233" s="1008" t="s">
        <v>653</v>
      </c>
      <c r="V3233" s="1008" t="s">
        <v>648</v>
      </c>
      <c r="W3233" s="1008" t="s">
        <v>546</v>
      </c>
      <c r="X3233" s="1008" t="s">
        <v>670</v>
      </c>
      <c r="Y3233" s="1008"/>
      <c r="Z3233" s="1008"/>
      <c r="AA3233" s="1008" t="s">
        <v>670</v>
      </c>
      <c r="AB3233" s="1008"/>
      <c r="AC3233" s="1008"/>
      <c r="AD3233" s="1008"/>
      <c r="AE3233" s="1008"/>
      <c r="AF3233" s="1008"/>
      <c r="AG3233" s="1008"/>
      <c r="AH3233" s="1008"/>
      <c r="AI3233" s="1008"/>
    </row>
    <row r="3234" spans="1:35">
      <c r="A3234" s="1008">
        <v>25310</v>
      </c>
      <c r="C3234" s="1008">
        <v>6</v>
      </c>
      <c r="D3234" s="1009">
        <v>63199999</v>
      </c>
      <c r="E3234" s="1009">
        <v>63019999</v>
      </c>
      <c r="F3234" s="1007" t="s">
        <v>1423</v>
      </c>
      <c r="O3234" s="1007" t="s">
        <v>648</v>
      </c>
      <c r="P3234" s="1007" t="s">
        <v>648</v>
      </c>
      <c r="S3234" s="1008" t="s">
        <v>650</v>
      </c>
      <c r="T3234" s="1008" t="s">
        <v>21</v>
      </c>
      <c r="U3234" s="1008" t="s">
        <v>653</v>
      </c>
      <c r="V3234" s="1008" t="s">
        <v>648</v>
      </c>
      <c r="W3234" s="1008" t="s">
        <v>546</v>
      </c>
      <c r="X3234" s="1008"/>
      <c r="Y3234" s="1008"/>
      <c r="Z3234" s="1008"/>
      <c r="AA3234" s="1008"/>
      <c r="AB3234" s="1008"/>
      <c r="AC3234" s="1008"/>
      <c r="AD3234" s="1008"/>
      <c r="AE3234" s="1008"/>
      <c r="AF3234" s="1008"/>
      <c r="AG3234" s="1008"/>
      <c r="AH3234" s="1008"/>
      <c r="AI3234" s="1008"/>
    </row>
    <row r="3235" spans="1:35">
      <c r="A3235" s="1008">
        <v>26633</v>
      </c>
      <c r="C3235" s="1008">
        <v>6</v>
      </c>
      <c r="D3235" s="1009">
        <v>63029999</v>
      </c>
      <c r="E3235" s="1009">
        <v>63020000</v>
      </c>
      <c r="F3235" s="1007" t="s">
        <v>1422</v>
      </c>
      <c r="O3235" s="1007" t="s">
        <v>648</v>
      </c>
      <c r="P3235" s="1007" t="s">
        <v>648</v>
      </c>
      <c r="S3235" s="1008" t="s">
        <v>650</v>
      </c>
      <c r="T3235" s="1008" t="s">
        <v>675</v>
      </c>
      <c r="U3235" s="1008" t="s">
        <v>653</v>
      </c>
      <c r="V3235" s="1008" t="s">
        <v>648</v>
      </c>
      <c r="W3235" s="1008" t="s">
        <v>546</v>
      </c>
      <c r="X3235" s="1008"/>
      <c r="Y3235" s="1008"/>
      <c r="Z3235" s="1008"/>
      <c r="AA3235" s="1008"/>
      <c r="AB3235" s="1008"/>
      <c r="AC3235" s="1008"/>
      <c r="AD3235" s="1008"/>
      <c r="AE3235" s="1008"/>
      <c r="AF3235" s="1008"/>
      <c r="AG3235" s="1008"/>
      <c r="AH3235" s="1008"/>
      <c r="AI3235" s="1008"/>
    </row>
    <row r="3236" spans="1:35">
      <c r="A3236" s="1008">
        <v>26634</v>
      </c>
      <c r="B3236" s="1008">
        <v>5827</v>
      </c>
      <c r="C3236" s="1008">
        <v>7</v>
      </c>
      <c r="D3236" s="1009">
        <v>63029999</v>
      </c>
      <c r="E3236" s="1009">
        <v>63021000</v>
      </c>
      <c r="F3236" s="1007" t="s">
        <v>1421</v>
      </c>
      <c r="G3236" s="1007" t="s">
        <v>648</v>
      </c>
      <c r="H3236" s="1010">
        <v>99999999</v>
      </c>
      <c r="I3236" s="1009">
        <v>63021000</v>
      </c>
      <c r="J3236" s="1007" t="s">
        <v>1421</v>
      </c>
      <c r="O3236" s="1007" t="s">
        <v>648</v>
      </c>
      <c r="P3236" s="1007" t="s">
        <v>648</v>
      </c>
      <c r="S3236" s="1008" t="s">
        <v>650</v>
      </c>
      <c r="T3236" s="1008" t="s">
        <v>654</v>
      </c>
      <c r="U3236" s="1008" t="s">
        <v>653</v>
      </c>
      <c r="V3236" s="1008" t="s">
        <v>648</v>
      </c>
      <c r="W3236" s="1008" t="s">
        <v>546</v>
      </c>
      <c r="X3236" s="1008" t="s">
        <v>670</v>
      </c>
      <c r="Y3236" s="1008"/>
      <c r="Z3236" s="1008"/>
      <c r="AA3236" s="1008" t="s">
        <v>670</v>
      </c>
      <c r="AB3236" s="1008"/>
      <c r="AC3236" s="1008" t="s">
        <v>670</v>
      </c>
      <c r="AD3236" s="1008"/>
      <c r="AE3236" s="1008"/>
      <c r="AF3236" s="1008"/>
      <c r="AG3236" s="1008"/>
      <c r="AH3236" s="1008"/>
      <c r="AI3236" s="1008"/>
    </row>
    <row r="3237" spans="1:35">
      <c r="A3237" s="1008">
        <v>26635</v>
      </c>
      <c r="B3237" s="1008">
        <v>5828</v>
      </c>
      <c r="C3237" s="1008">
        <v>7</v>
      </c>
      <c r="D3237" s="1009">
        <v>63029999</v>
      </c>
      <c r="E3237" s="1009">
        <v>63022000</v>
      </c>
      <c r="F3237" s="1007" t="s">
        <v>1562</v>
      </c>
      <c r="G3237" s="1007" t="s">
        <v>648</v>
      </c>
      <c r="H3237" s="1010">
        <v>99999999</v>
      </c>
      <c r="I3237" s="1009">
        <v>63022000</v>
      </c>
      <c r="J3237" s="1007" t="s">
        <v>1562</v>
      </c>
      <c r="O3237" s="1007" t="s">
        <v>648</v>
      </c>
      <c r="P3237" s="1007" t="s">
        <v>648</v>
      </c>
      <c r="S3237" s="1008" t="s">
        <v>650</v>
      </c>
      <c r="T3237" s="1008" t="s">
        <v>654</v>
      </c>
      <c r="U3237" s="1008" t="s">
        <v>653</v>
      </c>
      <c r="V3237" s="1008" t="s">
        <v>648</v>
      </c>
      <c r="W3237" s="1008" t="s">
        <v>546</v>
      </c>
      <c r="X3237" s="1008" t="s">
        <v>670</v>
      </c>
      <c r="Y3237" s="1008"/>
      <c r="Z3237" s="1008"/>
      <c r="AA3237" s="1008" t="s">
        <v>670</v>
      </c>
      <c r="AB3237" s="1008"/>
      <c r="AC3237" s="1008"/>
      <c r="AD3237" s="1008"/>
      <c r="AE3237" s="1008"/>
      <c r="AF3237" s="1008"/>
      <c r="AG3237" s="1008"/>
      <c r="AH3237" s="1008"/>
      <c r="AI3237" s="1008"/>
    </row>
    <row r="3238" spans="1:35">
      <c r="A3238" s="1008">
        <v>26636</v>
      </c>
      <c r="C3238" s="1008">
        <v>6</v>
      </c>
      <c r="D3238" s="1009">
        <v>63199999</v>
      </c>
      <c r="E3238" s="1009">
        <v>63029999</v>
      </c>
      <c r="F3238" s="1007" t="s">
        <v>1420</v>
      </c>
      <c r="O3238" s="1007" t="s">
        <v>648</v>
      </c>
      <c r="P3238" s="1007" t="s">
        <v>648</v>
      </c>
      <c r="S3238" s="1008" t="s">
        <v>650</v>
      </c>
      <c r="T3238" s="1008" t="s">
        <v>21</v>
      </c>
      <c r="U3238" s="1008" t="s">
        <v>653</v>
      </c>
      <c r="V3238" s="1008" t="s">
        <v>648</v>
      </c>
      <c r="W3238" s="1008" t="s">
        <v>546</v>
      </c>
      <c r="X3238" s="1008"/>
      <c r="Y3238" s="1008"/>
      <c r="Z3238" s="1008"/>
      <c r="AA3238" s="1008"/>
      <c r="AB3238" s="1008"/>
      <c r="AC3238" s="1008"/>
      <c r="AD3238" s="1008"/>
      <c r="AE3238" s="1008"/>
      <c r="AF3238" s="1008"/>
      <c r="AG3238" s="1008"/>
      <c r="AH3238" s="1008"/>
      <c r="AI3238" s="1008"/>
    </row>
    <row r="3239" spans="1:35">
      <c r="A3239" s="1008">
        <v>26563</v>
      </c>
      <c r="C3239" s="1008">
        <v>6</v>
      </c>
      <c r="D3239" s="1009">
        <v>63039000</v>
      </c>
      <c r="E3239" s="1009">
        <v>63030000</v>
      </c>
      <c r="F3239" s="1007" t="s">
        <v>1419</v>
      </c>
      <c r="O3239" s="1007" t="s">
        <v>648</v>
      </c>
      <c r="P3239" s="1007" t="s">
        <v>648</v>
      </c>
      <c r="S3239" s="1008" t="s">
        <v>650</v>
      </c>
      <c r="T3239" s="1008" t="s">
        <v>675</v>
      </c>
      <c r="U3239" s="1008" t="s">
        <v>653</v>
      </c>
      <c r="V3239" s="1008" t="s">
        <v>648</v>
      </c>
      <c r="W3239" s="1008" t="s">
        <v>546</v>
      </c>
      <c r="X3239" s="1008"/>
      <c r="Y3239" s="1008"/>
      <c r="Z3239" s="1008"/>
      <c r="AA3239" s="1008"/>
      <c r="AB3239" s="1008"/>
      <c r="AC3239" s="1008"/>
      <c r="AD3239" s="1008"/>
      <c r="AE3239" s="1008"/>
      <c r="AF3239" s="1008"/>
      <c r="AG3239" s="1008"/>
      <c r="AH3239" s="1008"/>
      <c r="AI3239" s="1008"/>
    </row>
    <row r="3240" spans="1:35">
      <c r="A3240" s="1008">
        <v>26637</v>
      </c>
      <c r="B3240" s="1008">
        <v>5829</v>
      </c>
      <c r="C3240" s="1008">
        <v>7</v>
      </c>
      <c r="D3240" s="1009">
        <v>63039000</v>
      </c>
      <c r="E3240" s="1009">
        <v>63031000</v>
      </c>
      <c r="F3240" s="1007" t="s">
        <v>1419</v>
      </c>
      <c r="G3240" s="1007" t="s">
        <v>648</v>
      </c>
      <c r="H3240" s="1010">
        <v>99999999</v>
      </c>
      <c r="I3240" s="1009">
        <v>63031000</v>
      </c>
      <c r="J3240" s="1007" t="s">
        <v>1419</v>
      </c>
      <c r="O3240" s="1007" t="s">
        <v>648</v>
      </c>
      <c r="P3240" s="1007" t="s">
        <v>648</v>
      </c>
      <c r="S3240" s="1008" t="s">
        <v>650</v>
      </c>
      <c r="T3240" s="1008" t="s">
        <v>654</v>
      </c>
      <c r="U3240" s="1008" t="s">
        <v>653</v>
      </c>
      <c r="V3240" s="1008" t="s">
        <v>648</v>
      </c>
      <c r="W3240" s="1008" t="s">
        <v>546</v>
      </c>
      <c r="X3240" s="1008" t="s">
        <v>670</v>
      </c>
      <c r="Y3240" s="1008" t="s">
        <v>670</v>
      </c>
      <c r="Z3240" s="1008"/>
      <c r="AA3240" s="1008" t="s">
        <v>670</v>
      </c>
      <c r="AB3240" s="1008"/>
      <c r="AC3240" s="1008" t="s">
        <v>670</v>
      </c>
      <c r="AD3240" s="1008"/>
      <c r="AE3240" s="1008"/>
      <c r="AF3240" s="1008" t="s">
        <v>670</v>
      </c>
      <c r="AG3240" s="1008"/>
      <c r="AH3240" s="1008"/>
      <c r="AI3240" s="1008"/>
    </row>
    <row r="3241" spans="1:35">
      <c r="A3241" s="1008">
        <v>26564</v>
      </c>
      <c r="C3241" s="1008">
        <v>6</v>
      </c>
      <c r="D3241" s="1009">
        <v>63199999</v>
      </c>
      <c r="E3241" s="1009">
        <v>63039000</v>
      </c>
      <c r="F3241" s="1007" t="s">
        <v>1418</v>
      </c>
      <c r="O3241" s="1007" t="s">
        <v>648</v>
      </c>
      <c r="P3241" s="1007" t="s">
        <v>648</v>
      </c>
      <c r="S3241" s="1008" t="s">
        <v>650</v>
      </c>
      <c r="T3241" s="1008" t="s">
        <v>21</v>
      </c>
      <c r="U3241" s="1008" t="s">
        <v>653</v>
      </c>
      <c r="V3241" s="1008" t="s">
        <v>648</v>
      </c>
      <c r="W3241" s="1008" t="s">
        <v>546</v>
      </c>
      <c r="X3241" s="1008"/>
      <c r="Y3241" s="1008"/>
      <c r="Z3241" s="1008"/>
      <c r="AA3241" s="1008"/>
      <c r="AB3241" s="1008"/>
      <c r="AC3241" s="1008"/>
      <c r="AD3241" s="1008"/>
      <c r="AE3241" s="1008"/>
      <c r="AF3241" s="1008"/>
      <c r="AG3241" s="1008"/>
      <c r="AH3241" s="1008"/>
      <c r="AI3241" s="1008"/>
    </row>
    <row r="3242" spans="1:35">
      <c r="A3242" s="1008">
        <v>25311</v>
      </c>
      <c r="C3242" s="1008">
        <v>6</v>
      </c>
      <c r="D3242" s="1009">
        <v>63049999</v>
      </c>
      <c r="E3242" s="1009">
        <v>63040000</v>
      </c>
      <c r="F3242" s="1007" t="s">
        <v>1417</v>
      </c>
      <c r="O3242" s="1007" t="s">
        <v>648</v>
      </c>
      <c r="P3242" s="1007" t="s">
        <v>648</v>
      </c>
      <c r="S3242" s="1008" t="s">
        <v>650</v>
      </c>
      <c r="T3242" s="1008" t="s">
        <v>675</v>
      </c>
      <c r="U3242" s="1008" t="s">
        <v>653</v>
      </c>
      <c r="V3242" s="1008" t="s">
        <v>648</v>
      </c>
      <c r="W3242" s="1008" t="s">
        <v>546</v>
      </c>
      <c r="X3242" s="1008"/>
      <c r="Y3242" s="1008"/>
      <c r="Z3242" s="1008"/>
      <c r="AA3242" s="1008"/>
      <c r="AB3242" s="1008"/>
      <c r="AC3242" s="1008"/>
      <c r="AD3242" s="1008"/>
      <c r="AE3242" s="1008"/>
      <c r="AF3242" s="1008"/>
      <c r="AG3242" s="1008"/>
      <c r="AH3242" s="1008"/>
      <c r="AI3242" s="1008"/>
    </row>
    <row r="3243" spans="1:35">
      <c r="A3243" s="1008">
        <v>25312</v>
      </c>
      <c r="B3243" s="1008">
        <v>572</v>
      </c>
      <c r="C3243" s="1008">
        <v>7</v>
      </c>
      <c r="D3243" s="1009">
        <v>63049999</v>
      </c>
      <c r="E3243" s="1009">
        <v>63042000</v>
      </c>
      <c r="F3243" s="1007" t="s">
        <v>1416</v>
      </c>
      <c r="G3243" s="1007">
        <v>8</v>
      </c>
      <c r="H3243" s="1010">
        <v>99999999</v>
      </c>
      <c r="I3243" s="1009">
        <v>63042000</v>
      </c>
      <c r="J3243" s="1007" t="s">
        <v>1416</v>
      </c>
      <c r="O3243" s="1007" t="s">
        <v>648</v>
      </c>
      <c r="P3243" s="1007" t="s">
        <v>648</v>
      </c>
      <c r="S3243" s="1008" t="s">
        <v>650</v>
      </c>
      <c r="T3243" s="1008" t="s">
        <v>654</v>
      </c>
      <c r="U3243" s="1008" t="s">
        <v>653</v>
      </c>
      <c r="V3243" s="1008" t="s">
        <v>648</v>
      </c>
      <c r="W3243" s="1008" t="s">
        <v>546</v>
      </c>
      <c r="X3243" s="1008" t="s">
        <v>670</v>
      </c>
      <c r="Y3243" s="1008"/>
      <c r="Z3243" s="1008"/>
      <c r="AA3243" s="1008" t="s">
        <v>670</v>
      </c>
      <c r="AB3243" s="1008"/>
      <c r="AC3243" s="1008"/>
      <c r="AD3243" s="1008"/>
      <c r="AE3243" s="1008"/>
      <c r="AF3243" s="1008"/>
      <c r="AG3243" s="1008"/>
      <c r="AH3243" s="1008"/>
      <c r="AI3243" s="1008"/>
    </row>
    <row r="3244" spans="1:35">
      <c r="A3244" s="1008">
        <v>25313</v>
      </c>
      <c r="B3244" s="1008">
        <v>2347</v>
      </c>
      <c r="C3244" s="1008">
        <v>7</v>
      </c>
      <c r="D3244" s="1009">
        <v>63049999</v>
      </c>
      <c r="E3244" s="1009">
        <v>63043000</v>
      </c>
      <c r="F3244" s="1007" t="s">
        <v>1415</v>
      </c>
      <c r="G3244" s="1007">
        <v>7</v>
      </c>
      <c r="H3244" s="1010">
        <v>99999999</v>
      </c>
      <c r="I3244" s="1009">
        <v>63043000</v>
      </c>
      <c r="J3244" s="1007" t="s">
        <v>1415</v>
      </c>
      <c r="O3244" s="1007" t="s">
        <v>648</v>
      </c>
      <c r="P3244" s="1007" t="s">
        <v>648</v>
      </c>
      <c r="S3244" s="1008" t="s">
        <v>650</v>
      </c>
      <c r="T3244" s="1008" t="s">
        <v>654</v>
      </c>
      <c r="U3244" s="1008" t="s">
        <v>653</v>
      </c>
      <c r="V3244" s="1008" t="s">
        <v>648</v>
      </c>
      <c r="W3244" s="1008" t="s">
        <v>546</v>
      </c>
      <c r="X3244" s="1008" t="s">
        <v>670</v>
      </c>
      <c r="Y3244" s="1008"/>
      <c r="Z3244" s="1008"/>
      <c r="AA3244" s="1008" t="s">
        <v>670</v>
      </c>
      <c r="AB3244" s="1008"/>
      <c r="AC3244" s="1008"/>
      <c r="AD3244" s="1008"/>
      <c r="AE3244" s="1008"/>
      <c r="AF3244" s="1008"/>
      <c r="AG3244" s="1008"/>
      <c r="AH3244" s="1008"/>
      <c r="AI3244" s="1008"/>
    </row>
    <row r="3245" spans="1:35">
      <c r="A3245" s="1008">
        <v>25314</v>
      </c>
      <c r="B3245" s="1008">
        <v>2348</v>
      </c>
      <c r="C3245" s="1008">
        <v>7</v>
      </c>
      <c r="D3245" s="1009">
        <v>63049999</v>
      </c>
      <c r="E3245" s="1009">
        <v>63044000</v>
      </c>
      <c r="F3245" s="1007" t="s">
        <v>1414</v>
      </c>
      <c r="G3245" s="1007">
        <v>7</v>
      </c>
      <c r="H3245" s="1010">
        <v>99999999</v>
      </c>
      <c r="I3245" s="1009">
        <v>63044000</v>
      </c>
      <c r="J3245" s="1007" t="s">
        <v>1414</v>
      </c>
      <c r="O3245" s="1007" t="s">
        <v>648</v>
      </c>
      <c r="P3245" s="1007" t="s">
        <v>648</v>
      </c>
      <c r="S3245" s="1008" t="s">
        <v>650</v>
      </c>
      <c r="T3245" s="1008" t="s">
        <v>654</v>
      </c>
      <c r="U3245" s="1008" t="s">
        <v>653</v>
      </c>
      <c r="V3245" s="1008" t="s">
        <v>648</v>
      </c>
      <c r="W3245" s="1008" t="s">
        <v>546</v>
      </c>
      <c r="X3245" s="1008" t="s">
        <v>670</v>
      </c>
      <c r="Y3245" s="1008"/>
      <c r="Z3245" s="1008"/>
      <c r="AA3245" s="1008" t="s">
        <v>670</v>
      </c>
      <c r="AB3245" s="1008"/>
      <c r="AC3245" s="1008"/>
      <c r="AD3245" s="1008"/>
      <c r="AE3245" s="1008"/>
      <c r="AF3245" s="1008"/>
      <c r="AG3245" s="1008"/>
      <c r="AH3245" s="1008"/>
      <c r="AI3245" s="1008"/>
    </row>
    <row r="3246" spans="1:35">
      <c r="A3246" s="1008">
        <v>25315</v>
      </c>
      <c r="B3246" s="1008">
        <v>571</v>
      </c>
      <c r="C3246" s="1008">
        <v>7</v>
      </c>
      <c r="D3246" s="1009">
        <v>63049999</v>
      </c>
      <c r="E3246" s="1009">
        <v>63046000</v>
      </c>
      <c r="F3246" s="1007" t="s">
        <v>1413</v>
      </c>
      <c r="G3246" s="1007">
        <v>8</v>
      </c>
      <c r="H3246" s="1010">
        <v>99999999</v>
      </c>
      <c r="I3246" s="1009">
        <v>63046000</v>
      </c>
      <c r="J3246" s="1007" t="s">
        <v>1413</v>
      </c>
      <c r="O3246" s="1007" t="s">
        <v>648</v>
      </c>
      <c r="P3246" s="1007" t="s">
        <v>648</v>
      </c>
      <c r="S3246" s="1008" t="s">
        <v>650</v>
      </c>
      <c r="T3246" s="1008" t="s">
        <v>654</v>
      </c>
      <c r="U3246" s="1008" t="s">
        <v>653</v>
      </c>
      <c r="V3246" s="1008" t="s">
        <v>648</v>
      </c>
      <c r="W3246" s="1008" t="s">
        <v>546</v>
      </c>
      <c r="X3246" s="1008" t="s">
        <v>670</v>
      </c>
      <c r="Y3246" s="1008"/>
      <c r="Z3246" s="1008"/>
      <c r="AA3246" s="1008" t="s">
        <v>670</v>
      </c>
      <c r="AB3246" s="1008"/>
      <c r="AC3246" s="1008"/>
      <c r="AD3246" s="1008"/>
      <c r="AE3246" s="1008"/>
      <c r="AF3246" s="1008"/>
      <c r="AG3246" s="1008"/>
      <c r="AH3246" s="1008"/>
      <c r="AI3246" s="1008"/>
    </row>
    <row r="3247" spans="1:35">
      <c r="A3247" s="1008">
        <v>25316</v>
      </c>
      <c r="B3247" s="1008">
        <v>573</v>
      </c>
      <c r="C3247" s="1008">
        <v>7</v>
      </c>
      <c r="D3247" s="1009">
        <v>63049999</v>
      </c>
      <c r="E3247" s="1009">
        <v>63048000</v>
      </c>
      <c r="F3247" s="1007" t="s">
        <v>1412</v>
      </c>
      <c r="G3247" s="1007">
        <v>8</v>
      </c>
      <c r="H3247" s="1010">
        <v>99999999</v>
      </c>
      <c r="I3247" s="1009">
        <v>63048000</v>
      </c>
      <c r="J3247" s="1007" t="s">
        <v>1412</v>
      </c>
      <c r="O3247" s="1007" t="s">
        <v>648</v>
      </c>
      <c r="P3247" s="1007" t="s">
        <v>648</v>
      </c>
      <c r="S3247" s="1008" t="s">
        <v>650</v>
      </c>
      <c r="T3247" s="1008" t="s">
        <v>654</v>
      </c>
      <c r="U3247" s="1008" t="s">
        <v>653</v>
      </c>
      <c r="V3247" s="1008" t="s">
        <v>648</v>
      </c>
      <c r="W3247" s="1008" t="s">
        <v>546</v>
      </c>
      <c r="X3247" s="1008" t="s">
        <v>670</v>
      </c>
      <c r="Y3247" s="1008"/>
      <c r="Z3247" s="1008"/>
      <c r="AA3247" s="1008" t="s">
        <v>670</v>
      </c>
      <c r="AB3247" s="1008"/>
      <c r="AC3247" s="1008"/>
      <c r="AD3247" s="1008"/>
      <c r="AE3247" s="1008"/>
      <c r="AF3247" s="1008"/>
      <c r="AG3247" s="1008"/>
      <c r="AH3247" s="1008"/>
      <c r="AI3247" s="1008"/>
    </row>
    <row r="3248" spans="1:35">
      <c r="A3248" s="1008">
        <v>25317</v>
      </c>
      <c r="C3248" s="1008">
        <v>6</v>
      </c>
      <c r="D3248" s="1009">
        <v>63199999</v>
      </c>
      <c r="E3248" s="1009">
        <v>63049999</v>
      </c>
      <c r="F3248" s="1007" t="s">
        <v>1411</v>
      </c>
      <c r="O3248" s="1007" t="s">
        <v>648</v>
      </c>
      <c r="P3248" s="1007" t="s">
        <v>648</v>
      </c>
      <c r="S3248" s="1008" t="s">
        <v>650</v>
      </c>
      <c r="T3248" s="1008" t="s">
        <v>21</v>
      </c>
      <c r="U3248" s="1008" t="s">
        <v>653</v>
      </c>
      <c r="V3248" s="1008" t="s">
        <v>648</v>
      </c>
      <c r="W3248" s="1008" t="s">
        <v>546</v>
      </c>
      <c r="X3248" s="1008"/>
      <c r="Y3248" s="1008"/>
      <c r="Z3248" s="1008"/>
      <c r="AA3248" s="1008"/>
      <c r="AB3248" s="1008"/>
      <c r="AC3248" s="1008"/>
      <c r="AD3248" s="1008"/>
      <c r="AE3248" s="1008"/>
      <c r="AF3248" s="1008"/>
      <c r="AG3248" s="1008"/>
      <c r="AH3248" s="1008"/>
      <c r="AI3248" s="1008"/>
    </row>
    <row r="3249" spans="1:35">
      <c r="A3249" s="1008">
        <v>26565</v>
      </c>
      <c r="C3249" s="1008">
        <v>6</v>
      </c>
      <c r="D3249" s="1009">
        <v>63099999</v>
      </c>
      <c r="E3249" s="1009">
        <v>63050000</v>
      </c>
      <c r="F3249" s="1007" t="s">
        <v>1410</v>
      </c>
      <c r="O3249" s="1007" t="s">
        <v>648</v>
      </c>
      <c r="P3249" s="1007" t="s">
        <v>648</v>
      </c>
      <c r="S3249" s="1008" t="s">
        <v>650</v>
      </c>
      <c r="T3249" s="1008" t="s">
        <v>675</v>
      </c>
      <c r="U3249" s="1008" t="s">
        <v>653</v>
      </c>
      <c r="V3249" s="1008" t="s">
        <v>648</v>
      </c>
      <c r="W3249" s="1008" t="s">
        <v>546</v>
      </c>
      <c r="X3249" s="1008"/>
      <c r="Y3249" s="1008"/>
      <c r="Z3249" s="1008"/>
      <c r="AA3249" s="1008"/>
      <c r="AB3249" s="1008"/>
      <c r="AC3249" s="1008"/>
      <c r="AD3249" s="1008"/>
      <c r="AE3249" s="1008"/>
      <c r="AF3249" s="1008"/>
      <c r="AG3249" s="1008"/>
      <c r="AH3249" s="1008"/>
      <c r="AI3249" s="1008"/>
    </row>
    <row r="3250" spans="1:35">
      <c r="A3250" s="1008">
        <v>26566</v>
      </c>
      <c r="B3250" s="1008">
        <v>5830</v>
      </c>
      <c r="C3250" s="1008">
        <v>7</v>
      </c>
      <c r="D3250" s="1009">
        <v>63099999</v>
      </c>
      <c r="E3250" s="1009">
        <v>63051000</v>
      </c>
      <c r="F3250" s="1007" t="s">
        <v>1409</v>
      </c>
      <c r="G3250" s="1007" t="s">
        <v>648</v>
      </c>
      <c r="H3250" s="1010">
        <v>99999999</v>
      </c>
      <c r="I3250" s="1009">
        <v>63051000</v>
      </c>
      <c r="J3250" s="1007" t="s">
        <v>1409</v>
      </c>
      <c r="O3250" s="1007" t="s">
        <v>648</v>
      </c>
      <c r="P3250" s="1007" t="s">
        <v>648</v>
      </c>
      <c r="S3250" s="1008" t="s">
        <v>650</v>
      </c>
      <c r="T3250" s="1008" t="s">
        <v>654</v>
      </c>
      <c r="U3250" s="1008" t="s">
        <v>653</v>
      </c>
      <c r="V3250" s="1008" t="s">
        <v>648</v>
      </c>
      <c r="W3250" s="1008" t="s">
        <v>546</v>
      </c>
      <c r="X3250" s="1008" t="s">
        <v>670</v>
      </c>
      <c r="Y3250" s="1008"/>
      <c r="Z3250" s="1008"/>
      <c r="AA3250" s="1008" t="s">
        <v>670</v>
      </c>
      <c r="AB3250" s="1008"/>
      <c r="AC3250" s="1008"/>
      <c r="AD3250" s="1008"/>
      <c r="AE3250" s="1008"/>
      <c r="AF3250" s="1008"/>
      <c r="AG3250" s="1008"/>
      <c r="AH3250" s="1008"/>
      <c r="AI3250" s="1008"/>
    </row>
    <row r="3251" spans="1:35">
      <c r="A3251" s="1008">
        <v>26567</v>
      </c>
      <c r="B3251" s="1008">
        <v>5831</v>
      </c>
      <c r="C3251" s="1008">
        <v>7</v>
      </c>
      <c r="D3251" s="1009">
        <v>63099999</v>
      </c>
      <c r="E3251" s="1009">
        <v>63052000</v>
      </c>
      <c r="F3251" s="1007" t="s">
        <v>1408</v>
      </c>
      <c r="G3251" s="1007" t="s">
        <v>648</v>
      </c>
      <c r="H3251" s="1010">
        <v>99999999</v>
      </c>
      <c r="I3251" s="1009">
        <v>63052000</v>
      </c>
      <c r="J3251" s="1007" t="s">
        <v>1408</v>
      </c>
      <c r="O3251" s="1007" t="s">
        <v>648</v>
      </c>
      <c r="P3251" s="1007" t="s">
        <v>648</v>
      </c>
      <c r="S3251" s="1008" t="s">
        <v>650</v>
      </c>
      <c r="T3251" s="1008" t="s">
        <v>654</v>
      </c>
      <c r="U3251" s="1008" t="s">
        <v>653</v>
      </c>
      <c r="V3251" s="1008" t="s">
        <v>648</v>
      </c>
      <c r="W3251" s="1008" t="s">
        <v>546</v>
      </c>
      <c r="X3251" s="1008" t="s">
        <v>670</v>
      </c>
      <c r="Y3251" s="1008"/>
      <c r="Z3251" s="1008"/>
      <c r="AA3251" s="1008" t="s">
        <v>670</v>
      </c>
      <c r="AB3251" s="1008"/>
      <c r="AC3251" s="1008"/>
      <c r="AD3251" s="1008"/>
      <c r="AE3251" s="1008"/>
      <c r="AF3251" s="1008"/>
      <c r="AG3251" s="1008"/>
      <c r="AH3251" s="1008"/>
      <c r="AI3251" s="1008"/>
    </row>
    <row r="3252" spans="1:35">
      <c r="A3252" s="1008">
        <v>26568</v>
      </c>
      <c r="B3252" s="1008">
        <v>5832</v>
      </c>
      <c r="C3252" s="1008">
        <v>7</v>
      </c>
      <c r="D3252" s="1009">
        <v>63099999</v>
      </c>
      <c r="E3252" s="1009">
        <v>63053000</v>
      </c>
      <c r="F3252" s="1007" t="s">
        <v>1407</v>
      </c>
      <c r="G3252" s="1007" t="s">
        <v>648</v>
      </c>
      <c r="H3252" s="1010">
        <v>99999999</v>
      </c>
      <c r="I3252" s="1009">
        <v>63053000</v>
      </c>
      <c r="J3252" s="1007" t="s">
        <v>1407</v>
      </c>
      <c r="O3252" s="1007" t="s">
        <v>648</v>
      </c>
      <c r="P3252" s="1007" t="s">
        <v>648</v>
      </c>
      <c r="S3252" s="1008" t="s">
        <v>650</v>
      </c>
      <c r="T3252" s="1008" t="s">
        <v>654</v>
      </c>
      <c r="U3252" s="1008" t="s">
        <v>653</v>
      </c>
      <c r="V3252" s="1008" t="s">
        <v>648</v>
      </c>
      <c r="W3252" s="1008" t="s">
        <v>546</v>
      </c>
      <c r="X3252" s="1008" t="s">
        <v>670</v>
      </c>
      <c r="Y3252" s="1008"/>
      <c r="Z3252" s="1008"/>
      <c r="AA3252" s="1008" t="s">
        <v>670</v>
      </c>
      <c r="AB3252" s="1008"/>
      <c r="AC3252" s="1008"/>
      <c r="AD3252" s="1008"/>
      <c r="AE3252" s="1008"/>
      <c r="AF3252" s="1008"/>
      <c r="AG3252" s="1008"/>
      <c r="AH3252" s="1008"/>
      <c r="AI3252" s="1008"/>
    </row>
    <row r="3253" spans="1:35">
      <c r="A3253" s="1008">
        <v>26569</v>
      </c>
      <c r="B3253" s="1008">
        <v>5833</v>
      </c>
      <c r="C3253" s="1008">
        <v>7</v>
      </c>
      <c r="D3253" s="1009">
        <v>63099999</v>
      </c>
      <c r="E3253" s="1009">
        <v>63054000</v>
      </c>
      <c r="F3253" s="1007" t="s">
        <v>1406</v>
      </c>
      <c r="G3253" s="1007" t="s">
        <v>648</v>
      </c>
      <c r="H3253" s="1010">
        <v>99999999</v>
      </c>
      <c r="I3253" s="1009">
        <v>63054000</v>
      </c>
      <c r="J3253" s="1007" t="s">
        <v>1406</v>
      </c>
      <c r="O3253" s="1007" t="s">
        <v>648</v>
      </c>
      <c r="P3253" s="1007" t="s">
        <v>648</v>
      </c>
      <c r="S3253" s="1008" t="s">
        <v>650</v>
      </c>
      <c r="T3253" s="1008" t="s">
        <v>654</v>
      </c>
      <c r="U3253" s="1008" t="s">
        <v>653</v>
      </c>
      <c r="V3253" s="1008" t="s">
        <v>648</v>
      </c>
      <c r="W3253" s="1008" t="s">
        <v>546</v>
      </c>
      <c r="X3253" s="1008" t="s">
        <v>670</v>
      </c>
      <c r="Y3253" s="1008"/>
      <c r="Z3253" s="1008"/>
      <c r="AA3253" s="1008" t="s">
        <v>670</v>
      </c>
      <c r="AB3253" s="1008"/>
      <c r="AC3253" s="1008"/>
      <c r="AD3253" s="1008"/>
      <c r="AE3253" s="1008"/>
      <c r="AF3253" s="1008"/>
      <c r="AG3253" s="1008"/>
      <c r="AH3253" s="1008"/>
      <c r="AI3253" s="1008"/>
    </row>
    <row r="3254" spans="1:35">
      <c r="A3254" s="1008">
        <v>26570</v>
      </c>
      <c r="B3254" s="1008">
        <v>5834</v>
      </c>
      <c r="C3254" s="1008">
        <v>7</v>
      </c>
      <c r="D3254" s="1009">
        <v>63099999</v>
      </c>
      <c r="E3254" s="1009">
        <v>63055000</v>
      </c>
      <c r="F3254" s="1007" t="s">
        <v>1405</v>
      </c>
      <c r="G3254" s="1007" t="s">
        <v>648</v>
      </c>
      <c r="H3254" s="1010">
        <v>99999999</v>
      </c>
      <c r="I3254" s="1009">
        <v>63055000</v>
      </c>
      <c r="J3254" s="1007" t="s">
        <v>1405</v>
      </c>
      <c r="O3254" s="1007" t="s">
        <v>648</v>
      </c>
      <c r="P3254" s="1007" t="s">
        <v>648</v>
      </c>
      <c r="S3254" s="1008" t="s">
        <v>650</v>
      </c>
      <c r="T3254" s="1008" t="s">
        <v>654</v>
      </c>
      <c r="U3254" s="1008" t="s">
        <v>653</v>
      </c>
      <c r="V3254" s="1008" t="s">
        <v>648</v>
      </c>
      <c r="W3254" s="1008" t="s">
        <v>546</v>
      </c>
      <c r="X3254" s="1008" t="s">
        <v>670</v>
      </c>
      <c r="Y3254" s="1008"/>
      <c r="Z3254" s="1008"/>
      <c r="AA3254" s="1008" t="s">
        <v>670</v>
      </c>
      <c r="AB3254" s="1008"/>
      <c r="AC3254" s="1008"/>
      <c r="AD3254" s="1008"/>
      <c r="AE3254" s="1008"/>
      <c r="AF3254" s="1008"/>
      <c r="AG3254" s="1008"/>
      <c r="AH3254" s="1008"/>
      <c r="AI3254" s="1008"/>
    </row>
    <row r="3255" spans="1:35">
      <c r="A3255" s="1008">
        <v>26571</v>
      </c>
      <c r="B3255" s="1008">
        <v>5835</v>
      </c>
      <c r="C3255" s="1008">
        <v>7</v>
      </c>
      <c r="D3255" s="1009">
        <v>63099999</v>
      </c>
      <c r="E3255" s="1009">
        <v>63056000</v>
      </c>
      <c r="F3255" s="1007" t="s">
        <v>1403</v>
      </c>
      <c r="G3255" s="1007" t="s">
        <v>648</v>
      </c>
      <c r="H3255" s="1010">
        <v>99999999</v>
      </c>
      <c r="I3255" s="1009">
        <v>63056000</v>
      </c>
      <c r="J3255" s="1007" t="s">
        <v>1403</v>
      </c>
      <c r="O3255" s="1007" t="s">
        <v>648</v>
      </c>
      <c r="P3255" s="1007" t="s">
        <v>648</v>
      </c>
      <c r="S3255" s="1008" t="s">
        <v>650</v>
      </c>
      <c r="T3255" s="1008" t="s">
        <v>654</v>
      </c>
      <c r="U3255" s="1008" t="s">
        <v>653</v>
      </c>
      <c r="V3255" s="1008" t="s">
        <v>648</v>
      </c>
      <c r="W3255" s="1008" t="s">
        <v>546</v>
      </c>
      <c r="X3255" s="1008" t="s">
        <v>670</v>
      </c>
      <c r="Y3255" s="1008"/>
      <c r="Z3255" s="1008"/>
      <c r="AA3255" s="1008" t="s">
        <v>670</v>
      </c>
      <c r="AB3255" s="1008"/>
      <c r="AC3255" s="1008"/>
      <c r="AD3255" s="1008"/>
      <c r="AE3255" s="1008"/>
      <c r="AF3255" s="1008"/>
      <c r="AG3255" s="1008"/>
      <c r="AH3255" s="1008"/>
      <c r="AI3255" s="1008"/>
    </row>
    <row r="3256" spans="1:35">
      <c r="A3256" s="1008">
        <v>26572</v>
      </c>
      <c r="B3256" s="1008">
        <v>5836</v>
      </c>
      <c r="C3256" s="1008">
        <v>7</v>
      </c>
      <c r="D3256" s="1009">
        <v>63099999</v>
      </c>
      <c r="E3256" s="1009">
        <v>63057000</v>
      </c>
      <c r="F3256" s="1007" t="s">
        <v>1402</v>
      </c>
      <c r="G3256" s="1007" t="s">
        <v>648</v>
      </c>
      <c r="H3256" s="1010">
        <v>99999999</v>
      </c>
      <c r="I3256" s="1009">
        <v>63057000</v>
      </c>
      <c r="J3256" s="1007" t="s">
        <v>1402</v>
      </c>
      <c r="O3256" s="1007" t="s">
        <v>648</v>
      </c>
      <c r="P3256" s="1007" t="s">
        <v>648</v>
      </c>
      <c r="S3256" s="1008" t="s">
        <v>650</v>
      </c>
      <c r="T3256" s="1008" t="s">
        <v>654</v>
      </c>
      <c r="U3256" s="1008" t="s">
        <v>653</v>
      </c>
      <c r="V3256" s="1008" t="s">
        <v>648</v>
      </c>
      <c r="W3256" s="1008" t="s">
        <v>546</v>
      </c>
      <c r="X3256" s="1008" t="s">
        <v>670</v>
      </c>
      <c r="Y3256" s="1008"/>
      <c r="Z3256" s="1008"/>
      <c r="AA3256" s="1008" t="s">
        <v>670</v>
      </c>
      <c r="AB3256" s="1008"/>
      <c r="AC3256" s="1008"/>
      <c r="AD3256" s="1008"/>
      <c r="AE3256" s="1008"/>
      <c r="AF3256" s="1008"/>
      <c r="AG3256" s="1008"/>
      <c r="AH3256" s="1008"/>
      <c r="AI3256" s="1008"/>
    </row>
    <row r="3257" spans="1:35">
      <c r="A3257" s="1008">
        <v>26573</v>
      </c>
      <c r="B3257" s="1008">
        <v>5837</v>
      </c>
      <c r="C3257" s="1008">
        <v>7</v>
      </c>
      <c r="D3257" s="1009">
        <v>63099999</v>
      </c>
      <c r="E3257" s="1009">
        <v>63058000</v>
      </c>
      <c r="F3257" s="1007" t="s">
        <v>1401</v>
      </c>
      <c r="G3257" s="1007" t="s">
        <v>648</v>
      </c>
      <c r="H3257" s="1010">
        <v>99999999</v>
      </c>
      <c r="I3257" s="1009">
        <v>63058000</v>
      </c>
      <c r="J3257" s="1007" t="s">
        <v>1401</v>
      </c>
      <c r="O3257" s="1007" t="s">
        <v>648</v>
      </c>
      <c r="P3257" s="1007" t="s">
        <v>648</v>
      </c>
      <c r="S3257" s="1008" t="s">
        <v>650</v>
      </c>
      <c r="T3257" s="1008" t="s">
        <v>654</v>
      </c>
      <c r="U3257" s="1008" t="s">
        <v>653</v>
      </c>
      <c r="V3257" s="1008" t="s">
        <v>648</v>
      </c>
      <c r="W3257" s="1008" t="s">
        <v>546</v>
      </c>
      <c r="X3257" s="1008" t="s">
        <v>670</v>
      </c>
      <c r="Y3257" s="1008"/>
      <c r="Z3257" s="1008"/>
      <c r="AA3257" s="1008" t="s">
        <v>670</v>
      </c>
      <c r="AB3257" s="1008"/>
      <c r="AC3257" s="1008"/>
      <c r="AD3257" s="1008"/>
      <c r="AE3257" s="1008"/>
      <c r="AF3257" s="1008"/>
      <c r="AG3257" s="1008"/>
      <c r="AH3257" s="1008"/>
      <c r="AI3257" s="1008"/>
    </row>
    <row r="3258" spans="1:35">
      <c r="A3258" s="1008">
        <v>26574</v>
      </c>
      <c r="B3258" s="1008">
        <v>5838</v>
      </c>
      <c r="C3258" s="1008">
        <v>7</v>
      </c>
      <c r="D3258" s="1009">
        <v>63099999</v>
      </c>
      <c r="E3258" s="1009">
        <v>63059000</v>
      </c>
      <c r="F3258" s="1007" t="s">
        <v>1399</v>
      </c>
      <c r="G3258" s="1007" t="s">
        <v>648</v>
      </c>
      <c r="H3258" s="1010">
        <v>99999999</v>
      </c>
      <c r="I3258" s="1009">
        <v>63059000</v>
      </c>
      <c r="J3258" s="1007" t="s">
        <v>1399</v>
      </c>
      <c r="O3258" s="1007" t="s">
        <v>648</v>
      </c>
      <c r="P3258" s="1007" t="s">
        <v>648</v>
      </c>
      <c r="S3258" s="1008" t="s">
        <v>650</v>
      </c>
      <c r="T3258" s="1008" t="s">
        <v>654</v>
      </c>
      <c r="U3258" s="1008" t="s">
        <v>653</v>
      </c>
      <c r="V3258" s="1008" t="s">
        <v>648</v>
      </c>
      <c r="W3258" s="1008" t="s">
        <v>546</v>
      </c>
      <c r="X3258" s="1008" t="s">
        <v>670</v>
      </c>
      <c r="Y3258" s="1008"/>
      <c r="Z3258" s="1008"/>
      <c r="AA3258" s="1008" t="s">
        <v>670</v>
      </c>
      <c r="AB3258" s="1008"/>
      <c r="AC3258" s="1008"/>
      <c r="AD3258" s="1008"/>
      <c r="AE3258" s="1008"/>
      <c r="AF3258" s="1008"/>
      <c r="AG3258" s="1008"/>
      <c r="AH3258" s="1008"/>
      <c r="AI3258" s="1008"/>
    </row>
    <row r="3259" spans="1:35">
      <c r="A3259" s="1008">
        <v>26575</v>
      </c>
      <c r="B3259" s="1008">
        <v>5839</v>
      </c>
      <c r="C3259" s="1008">
        <v>7</v>
      </c>
      <c r="D3259" s="1009">
        <v>63099999</v>
      </c>
      <c r="E3259" s="1009">
        <v>63060000</v>
      </c>
      <c r="F3259" s="1007" t="s">
        <v>1398</v>
      </c>
      <c r="G3259" s="1007" t="s">
        <v>648</v>
      </c>
      <c r="H3259" s="1010">
        <v>99999999</v>
      </c>
      <c r="I3259" s="1009">
        <v>63060000</v>
      </c>
      <c r="J3259" s="1007" t="s">
        <v>1398</v>
      </c>
      <c r="O3259" s="1007" t="s">
        <v>648</v>
      </c>
      <c r="P3259" s="1007" t="s">
        <v>648</v>
      </c>
      <c r="S3259" s="1008" t="s">
        <v>650</v>
      </c>
      <c r="T3259" s="1008" t="s">
        <v>654</v>
      </c>
      <c r="U3259" s="1008" t="s">
        <v>653</v>
      </c>
      <c r="V3259" s="1008" t="s">
        <v>648</v>
      </c>
      <c r="W3259" s="1008" t="s">
        <v>546</v>
      </c>
      <c r="X3259" s="1008" t="s">
        <v>670</v>
      </c>
      <c r="Y3259" s="1008"/>
      <c r="Z3259" s="1008"/>
      <c r="AA3259" s="1008" t="s">
        <v>670</v>
      </c>
      <c r="AB3259" s="1008"/>
      <c r="AC3259" s="1008"/>
      <c r="AD3259" s="1008"/>
      <c r="AE3259" s="1008"/>
      <c r="AF3259" s="1008"/>
      <c r="AG3259" s="1008"/>
      <c r="AH3259" s="1008"/>
      <c r="AI3259" s="1008"/>
    </row>
    <row r="3260" spans="1:35">
      <c r="A3260" s="1008">
        <v>26576</v>
      </c>
      <c r="B3260" s="1008">
        <v>5840</v>
      </c>
      <c r="C3260" s="1008">
        <v>7</v>
      </c>
      <c r="D3260" s="1009">
        <v>63099999</v>
      </c>
      <c r="E3260" s="1009">
        <v>63061000</v>
      </c>
      <c r="F3260" s="1007" t="s">
        <v>1396</v>
      </c>
      <c r="G3260" s="1007" t="s">
        <v>648</v>
      </c>
      <c r="H3260" s="1010">
        <v>99999999</v>
      </c>
      <c r="I3260" s="1009">
        <v>63061000</v>
      </c>
      <c r="J3260" s="1007" t="s">
        <v>1396</v>
      </c>
      <c r="O3260" s="1007" t="s">
        <v>648</v>
      </c>
      <c r="P3260" s="1007" t="s">
        <v>648</v>
      </c>
      <c r="S3260" s="1008" t="s">
        <v>650</v>
      </c>
      <c r="T3260" s="1008" t="s">
        <v>654</v>
      </c>
      <c r="U3260" s="1008" t="s">
        <v>653</v>
      </c>
      <c r="V3260" s="1008" t="s">
        <v>648</v>
      </c>
      <c r="W3260" s="1008" t="s">
        <v>546</v>
      </c>
      <c r="X3260" s="1008" t="s">
        <v>670</v>
      </c>
      <c r="Y3260" s="1008"/>
      <c r="Z3260" s="1008"/>
      <c r="AA3260" s="1008" t="s">
        <v>670</v>
      </c>
      <c r="AB3260" s="1008"/>
      <c r="AC3260" s="1008"/>
      <c r="AD3260" s="1008"/>
      <c r="AE3260" s="1008"/>
      <c r="AF3260" s="1008"/>
      <c r="AG3260" s="1008"/>
      <c r="AH3260" s="1008"/>
      <c r="AI3260" s="1008"/>
    </row>
    <row r="3261" spans="1:35">
      <c r="A3261" s="1008">
        <v>26577</v>
      </c>
      <c r="B3261" s="1008">
        <v>5841</v>
      </c>
      <c r="C3261" s="1008">
        <v>7</v>
      </c>
      <c r="D3261" s="1009">
        <v>63099999</v>
      </c>
      <c r="E3261" s="1009">
        <v>63062000</v>
      </c>
      <c r="F3261" s="1007" t="s">
        <v>1395</v>
      </c>
      <c r="G3261" s="1007" t="s">
        <v>648</v>
      </c>
      <c r="H3261" s="1010">
        <v>99999999</v>
      </c>
      <c r="I3261" s="1009">
        <v>63062000</v>
      </c>
      <c r="J3261" s="1007" t="s">
        <v>1395</v>
      </c>
      <c r="O3261" s="1007" t="s">
        <v>648</v>
      </c>
      <c r="P3261" s="1007" t="s">
        <v>648</v>
      </c>
      <c r="S3261" s="1008" t="s">
        <v>650</v>
      </c>
      <c r="T3261" s="1008" t="s">
        <v>654</v>
      </c>
      <c r="U3261" s="1008" t="s">
        <v>653</v>
      </c>
      <c r="V3261" s="1008" t="s">
        <v>648</v>
      </c>
      <c r="W3261" s="1008" t="s">
        <v>546</v>
      </c>
      <c r="X3261" s="1008" t="s">
        <v>670</v>
      </c>
      <c r="Y3261" s="1008"/>
      <c r="Z3261" s="1008"/>
      <c r="AA3261" s="1008" t="s">
        <v>670</v>
      </c>
      <c r="AB3261" s="1008"/>
      <c r="AC3261" s="1008"/>
      <c r="AD3261" s="1008"/>
      <c r="AE3261" s="1008"/>
      <c r="AF3261" s="1008"/>
      <c r="AG3261" s="1008"/>
      <c r="AH3261" s="1008"/>
      <c r="AI3261" s="1008"/>
    </row>
    <row r="3262" spans="1:35">
      <c r="A3262" s="1008">
        <v>26578</v>
      </c>
      <c r="B3262" s="1008">
        <v>5842</v>
      </c>
      <c r="C3262" s="1008">
        <v>7</v>
      </c>
      <c r="D3262" s="1009">
        <v>63099999</v>
      </c>
      <c r="E3262" s="1009">
        <v>63063000</v>
      </c>
      <c r="F3262" s="1007" t="s">
        <v>1394</v>
      </c>
      <c r="G3262" s="1007" t="s">
        <v>648</v>
      </c>
      <c r="H3262" s="1010">
        <v>99999999</v>
      </c>
      <c r="I3262" s="1009">
        <v>63063000</v>
      </c>
      <c r="J3262" s="1007" t="s">
        <v>1394</v>
      </c>
      <c r="O3262" s="1007" t="s">
        <v>648</v>
      </c>
      <c r="P3262" s="1007" t="s">
        <v>648</v>
      </c>
      <c r="S3262" s="1008" t="s">
        <v>650</v>
      </c>
      <c r="T3262" s="1008" t="s">
        <v>654</v>
      </c>
      <c r="U3262" s="1008" t="s">
        <v>653</v>
      </c>
      <c r="V3262" s="1008" t="s">
        <v>648</v>
      </c>
      <c r="W3262" s="1008" t="s">
        <v>546</v>
      </c>
      <c r="X3262" s="1008" t="s">
        <v>670</v>
      </c>
      <c r="Y3262" s="1008"/>
      <c r="Z3262" s="1008"/>
      <c r="AA3262" s="1008" t="s">
        <v>670</v>
      </c>
      <c r="AB3262" s="1008"/>
      <c r="AC3262" s="1008"/>
      <c r="AD3262" s="1008"/>
      <c r="AE3262" s="1008"/>
      <c r="AF3262" s="1008"/>
      <c r="AG3262" s="1008"/>
      <c r="AH3262" s="1008"/>
      <c r="AI3262" s="1008"/>
    </row>
    <row r="3263" spans="1:35">
      <c r="A3263" s="1008">
        <v>26579</v>
      </c>
      <c r="B3263" s="1008">
        <v>5843</v>
      </c>
      <c r="C3263" s="1008">
        <v>7</v>
      </c>
      <c r="D3263" s="1009">
        <v>63099999</v>
      </c>
      <c r="E3263" s="1009">
        <v>63064000</v>
      </c>
      <c r="F3263" s="1007" t="s">
        <v>1393</v>
      </c>
      <c r="G3263" s="1007" t="s">
        <v>648</v>
      </c>
      <c r="H3263" s="1010">
        <v>99999999</v>
      </c>
      <c r="I3263" s="1009">
        <v>63064000</v>
      </c>
      <c r="J3263" s="1007" t="s">
        <v>1393</v>
      </c>
      <c r="O3263" s="1007" t="s">
        <v>648</v>
      </c>
      <c r="P3263" s="1007" t="s">
        <v>648</v>
      </c>
      <c r="S3263" s="1008" t="s">
        <v>650</v>
      </c>
      <c r="T3263" s="1008" t="s">
        <v>654</v>
      </c>
      <c r="U3263" s="1008" t="s">
        <v>653</v>
      </c>
      <c r="V3263" s="1008" t="s">
        <v>648</v>
      </c>
      <c r="W3263" s="1008" t="s">
        <v>546</v>
      </c>
      <c r="X3263" s="1008" t="s">
        <v>670</v>
      </c>
      <c r="Y3263" s="1008"/>
      <c r="Z3263" s="1008"/>
      <c r="AA3263" s="1008" t="s">
        <v>670</v>
      </c>
      <c r="AB3263" s="1008"/>
      <c r="AC3263" s="1008"/>
      <c r="AD3263" s="1008"/>
      <c r="AE3263" s="1008"/>
      <c r="AF3263" s="1008"/>
      <c r="AG3263" s="1008"/>
      <c r="AH3263" s="1008"/>
      <c r="AI3263" s="1008"/>
    </row>
    <row r="3264" spans="1:35">
      <c r="A3264" s="1008">
        <v>26580</v>
      </c>
      <c r="B3264" s="1008">
        <v>5844</v>
      </c>
      <c r="C3264" s="1008">
        <v>7</v>
      </c>
      <c r="D3264" s="1009">
        <v>63099999</v>
      </c>
      <c r="E3264" s="1009">
        <v>63065000</v>
      </c>
      <c r="F3264" s="1007" t="s">
        <v>1391</v>
      </c>
      <c r="G3264" s="1007" t="s">
        <v>648</v>
      </c>
      <c r="H3264" s="1010">
        <v>99999999</v>
      </c>
      <c r="I3264" s="1009">
        <v>63065000</v>
      </c>
      <c r="J3264" s="1007" t="s">
        <v>1391</v>
      </c>
      <c r="O3264" s="1007" t="s">
        <v>648</v>
      </c>
      <c r="P3264" s="1007" t="s">
        <v>648</v>
      </c>
      <c r="S3264" s="1008" t="s">
        <v>650</v>
      </c>
      <c r="T3264" s="1008" t="s">
        <v>654</v>
      </c>
      <c r="U3264" s="1008" t="s">
        <v>653</v>
      </c>
      <c r="V3264" s="1008" t="s">
        <v>648</v>
      </c>
      <c r="W3264" s="1008" t="s">
        <v>546</v>
      </c>
      <c r="X3264" s="1008" t="s">
        <v>670</v>
      </c>
      <c r="Y3264" s="1008"/>
      <c r="Z3264" s="1008"/>
      <c r="AA3264" s="1008"/>
      <c r="AB3264" s="1008"/>
      <c r="AC3264" s="1008"/>
      <c r="AD3264" s="1008"/>
      <c r="AE3264" s="1008"/>
      <c r="AF3264" s="1008"/>
      <c r="AG3264" s="1008"/>
      <c r="AH3264" s="1008"/>
      <c r="AI3264" s="1008"/>
    </row>
    <row r="3265" spans="1:35">
      <c r="A3265" s="1008">
        <v>26581</v>
      </c>
      <c r="B3265" s="1008">
        <v>5845</v>
      </c>
      <c r="C3265" s="1008">
        <v>7</v>
      </c>
      <c r="D3265" s="1009">
        <v>63099999</v>
      </c>
      <c r="E3265" s="1009">
        <v>63066000</v>
      </c>
      <c r="F3265" s="1007" t="s">
        <v>1390</v>
      </c>
      <c r="G3265" s="1007" t="s">
        <v>648</v>
      </c>
      <c r="H3265" s="1010">
        <v>99999999</v>
      </c>
      <c r="I3265" s="1009">
        <v>63066000</v>
      </c>
      <c r="J3265" s="1007" t="s">
        <v>1390</v>
      </c>
      <c r="O3265" s="1007" t="s">
        <v>648</v>
      </c>
      <c r="P3265" s="1007" t="s">
        <v>648</v>
      </c>
      <c r="S3265" s="1008" t="s">
        <v>650</v>
      </c>
      <c r="T3265" s="1008" t="s">
        <v>654</v>
      </c>
      <c r="U3265" s="1008" t="s">
        <v>653</v>
      </c>
      <c r="V3265" s="1008" t="s">
        <v>648</v>
      </c>
      <c r="W3265" s="1008" t="s">
        <v>546</v>
      </c>
      <c r="X3265" s="1008" t="s">
        <v>670</v>
      </c>
      <c r="Y3265" s="1008"/>
      <c r="Z3265" s="1008"/>
      <c r="AA3265" s="1008" t="s">
        <v>670</v>
      </c>
      <c r="AB3265" s="1008"/>
      <c r="AC3265" s="1008"/>
      <c r="AD3265" s="1008"/>
      <c r="AE3265" s="1008"/>
      <c r="AF3265" s="1008"/>
      <c r="AG3265" s="1008"/>
      <c r="AH3265" s="1008"/>
      <c r="AI3265" s="1008"/>
    </row>
    <row r="3266" spans="1:35">
      <c r="A3266" s="1008">
        <v>26582</v>
      </c>
      <c r="B3266" s="1008">
        <v>5846</v>
      </c>
      <c r="C3266" s="1008">
        <v>7</v>
      </c>
      <c r="D3266" s="1009">
        <v>63099999</v>
      </c>
      <c r="E3266" s="1009">
        <v>63067000</v>
      </c>
      <c r="F3266" s="1007" t="s">
        <v>1389</v>
      </c>
      <c r="G3266" s="1007" t="s">
        <v>648</v>
      </c>
      <c r="H3266" s="1010">
        <v>99999999</v>
      </c>
      <c r="I3266" s="1009">
        <v>63067000</v>
      </c>
      <c r="J3266" s="1007" t="s">
        <v>1389</v>
      </c>
      <c r="O3266" s="1007" t="s">
        <v>648</v>
      </c>
      <c r="P3266" s="1007" t="s">
        <v>648</v>
      </c>
      <c r="S3266" s="1008" t="s">
        <v>650</v>
      </c>
      <c r="T3266" s="1008" t="s">
        <v>654</v>
      </c>
      <c r="U3266" s="1008" t="s">
        <v>653</v>
      </c>
      <c r="V3266" s="1008" t="s">
        <v>648</v>
      </c>
      <c r="W3266" s="1008" t="s">
        <v>546</v>
      </c>
      <c r="X3266" s="1008" t="s">
        <v>670</v>
      </c>
      <c r="Y3266" s="1008"/>
      <c r="Z3266" s="1008"/>
      <c r="AA3266" s="1008" t="s">
        <v>670</v>
      </c>
      <c r="AB3266" s="1008"/>
      <c r="AC3266" s="1008"/>
      <c r="AD3266" s="1008"/>
      <c r="AE3266" s="1008"/>
      <c r="AF3266" s="1008"/>
      <c r="AG3266" s="1008"/>
      <c r="AH3266" s="1008"/>
      <c r="AI3266" s="1008"/>
    </row>
    <row r="3267" spans="1:35">
      <c r="A3267" s="1008">
        <v>26583</v>
      </c>
      <c r="B3267" s="1008">
        <v>5847</v>
      </c>
      <c r="C3267" s="1008">
        <v>7</v>
      </c>
      <c r="D3267" s="1009">
        <v>63099999</v>
      </c>
      <c r="E3267" s="1009">
        <v>63068000</v>
      </c>
      <c r="F3267" s="1007" t="s">
        <v>1388</v>
      </c>
      <c r="G3267" s="1007" t="s">
        <v>648</v>
      </c>
      <c r="H3267" s="1010">
        <v>99999999</v>
      </c>
      <c r="I3267" s="1009">
        <v>63068000</v>
      </c>
      <c r="J3267" s="1007" t="s">
        <v>1388</v>
      </c>
      <c r="O3267" s="1007" t="s">
        <v>648</v>
      </c>
      <c r="P3267" s="1007" t="s">
        <v>648</v>
      </c>
      <c r="S3267" s="1008" t="s">
        <v>650</v>
      </c>
      <c r="T3267" s="1008" t="s">
        <v>654</v>
      </c>
      <c r="U3267" s="1008" t="s">
        <v>653</v>
      </c>
      <c r="V3267" s="1008" t="s">
        <v>648</v>
      </c>
      <c r="W3267" s="1008" t="s">
        <v>546</v>
      </c>
      <c r="X3267" s="1008" t="s">
        <v>670</v>
      </c>
      <c r="Y3267" s="1008"/>
      <c r="Z3267" s="1008"/>
      <c r="AA3267" s="1008" t="s">
        <v>670</v>
      </c>
      <c r="AB3267" s="1008"/>
      <c r="AC3267" s="1008"/>
      <c r="AD3267" s="1008"/>
      <c r="AE3267" s="1008"/>
      <c r="AF3267" s="1008"/>
      <c r="AG3267" s="1008"/>
      <c r="AH3267" s="1008"/>
      <c r="AI3267" s="1008"/>
    </row>
    <row r="3268" spans="1:35">
      <c r="A3268" s="1008">
        <v>26584</v>
      </c>
      <c r="B3268" s="1008">
        <v>5848</v>
      </c>
      <c r="C3268" s="1008">
        <v>7</v>
      </c>
      <c r="D3268" s="1009">
        <v>63099999</v>
      </c>
      <c r="E3268" s="1009">
        <v>63069000</v>
      </c>
      <c r="F3268" s="1007" t="s">
        <v>1387</v>
      </c>
      <c r="G3268" s="1007" t="s">
        <v>648</v>
      </c>
      <c r="H3268" s="1010">
        <v>99999999</v>
      </c>
      <c r="I3268" s="1009">
        <v>63069000</v>
      </c>
      <c r="J3268" s="1007" t="s">
        <v>1387</v>
      </c>
      <c r="O3268" s="1007" t="s">
        <v>648</v>
      </c>
      <c r="P3268" s="1007" t="s">
        <v>648</v>
      </c>
      <c r="S3268" s="1008" t="s">
        <v>650</v>
      </c>
      <c r="T3268" s="1008" t="s">
        <v>654</v>
      </c>
      <c r="U3268" s="1008" t="s">
        <v>653</v>
      </c>
      <c r="V3268" s="1008" t="s">
        <v>648</v>
      </c>
      <c r="W3268" s="1008" t="s">
        <v>546</v>
      </c>
      <c r="X3268" s="1008" t="s">
        <v>670</v>
      </c>
      <c r="Y3268" s="1008"/>
      <c r="Z3268" s="1008"/>
      <c r="AA3268" s="1008" t="s">
        <v>670</v>
      </c>
      <c r="AB3268" s="1008"/>
      <c r="AC3268" s="1008"/>
      <c r="AD3268" s="1008"/>
      <c r="AE3268" s="1008"/>
      <c r="AF3268" s="1008"/>
      <c r="AG3268" s="1008"/>
      <c r="AH3268" s="1008"/>
      <c r="AI3268" s="1008"/>
    </row>
    <row r="3269" spans="1:35">
      <c r="A3269" s="1008">
        <v>26585</v>
      </c>
      <c r="B3269" s="1008">
        <v>5849</v>
      </c>
      <c r="C3269" s="1008">
        <v>7</v>
      </c>
      <c r="D3269" s="1009">
        <v>63099999</v>
      </c>
      <c r="E3269" s="1009">
        <v>63070000</v>
      </c>
      <c r="F3269" s="1007" t="s">
        <v>1386</v>
      </c>
      <c r="G3269" s="1007" t="s">
        <v>648</v>
      </c>
      <c r="H3269" s="1010">
        <v>99999999</v>
      </c>
      <c r="I3269" s="1009">
        <v>63070000</v>
      </c>
      <c r="J3269" s="1007" t="s">
        <v>1386</v>
      </c>
      <c r="O3269" s="1007" t="s">
        <v>648</v>
      </c>
      <c r="P3269" s="1007" t="s">
        <v>648</v>
      </c>
      <c r="S3269" s="1008" t="s">
        <v>650</v>
      </c>
      <c r="T3269" s="1008" t="s">
        <v>654</v>
      </c>
      <c r="U3269" s="1008" t="s">
        <v>653</v>
      </c>
      <c r="V3269" s="1008" t="s">
        <v>648</v>
      </c>
      <c r="W3269" s="1008" t="s">
        <v>546</v>
      </c>
      <c r="X3269" s="1008" t="s">
        <v>670</v>
      </c>
      <c r="Y3269" s="1008"/>
      <c r="Z3269" s="1008"/>
      <c r="AA3269" s="1008" t="s">
        <v>670</v>
      </c>
      <c r="AB3269" s="1008"/>
      <c r="AC3269" s="1008"/>
      <c r="AD3269" s="1008"/>
      <c r="AE3269" s="1008"/>
      <c r="AF3269" s="1008"/>
      <c r="AG3269" s="1008"/>
      <c r="AH3269" s="1008"/>
      <c r="AI3269" s="1008"/>
    </row>
    <row r="3270" spans="1:35">
      <c r="A3270" s="1008">
        <v>26586</v>
      </c>
      <c r="B3270" s="1008">
        <v>5850</v>
      </c>
      <c r="C3270" s="1008">
        <v>7</v>
      </c>
      <c r="D3270" s="1009">
        <v>63099999</v>
      </c>
      <c r="E3270" s="1009">
        <v>63071000</v>
      </c>
      <c r="F3270" s="1007" t="s">
        <v>1385</v>
      </c>
      <c r="G3270" s="1007" t="s">
        <v>648</v>
      </c>
      <c r="H3270" s="1010">
        <v>99999999</v>
      </c>
      <c r="I3270" s="1009">
        <v>63071000</v>
      </c>
      <c r="J3270" s="1007" t="s">
        <v>1385</v>
      </c>
      <c r="O3270" s="1007" t="s">
        <v>648</v>
      </c>
      <c r="P3270" s="1007" t="s">
        <v>648</v>
      </c>
      <c r="S3270" s="1008" t="s">
        <v>650</v>
      </c>
      <c r="T3270" s="1008" t="s">
        <v>654</v>
      </c>
      <c r="U3270" s="1008" t="s">
        <v>653</v>
      </c>
      <c r="V3270" s="1008" t="s">
        <v>648</v>
      </c>
      <c r="W3270" s="1008" t="s">
        <v>546</v>
      </c>
      <c r="X3270" s="1008" t="s">
        <v>670</v>
      </c>
      <c r="Y3270" s="1008"/>
      <c r="Z3270" s="1008"/>
      <c r="AA3270" s="1008" t="s">
        <v>670</v>
      </c>
      <c r="AB3270" s="1008"/>
      <c r="AC3270" s="1008"/>
      <c r="AD3270" s="1008"/>
      <c r="AE3270" s="1008"/>
      <c r="AF3270" s="1008"/>
      <c r="AG3270" s="1008"/>
      <c r="AH3270" s="1008"/>
      <c r="AI3270" s="1008"/>
    </row>
    <row r="3271" spans="1:35">
      <c r="A3271" s="1008">
        <v>26587</v>
      </c>
      <c r="B3271" s="1008">
        <v>5851</v>
      </c>
      <c r="C3271" s="1008">
        <v>7</v>
      </c>
      <c r="D3271" s="1009">
        <v>63099999</v>
      </c>
      <c r="E3271" s="1009">
        <v>63072000</v>
      </c>
      <c r="F3271" s="1007" t="s">
        <v>1384</v>
      </c>
      <c r="G3271" s="1007" t="s">
        <v>648</v>
      </c>
      <c r="H3271" s="1010">
        <v>99999999</v>
      </c>
      <c r="I3271" s="1009">
        <v>63072000</v>
      </c>
      <c r="J3271" s="1007" t="s">
        <v>1384</v>
      </c>
      <c r="O3271" s="1007" t="s">
        <v>648</v>
      </c>
      <c r="P3271" s="1007" t="s">
        <v>648</v>
      </c>
      <c r="S3271" s="1008" t="s">
        <v>650</v>
      </c>
      <c r="T3271" s="1008" t="s">
        <v>654</v>
      </c>
      <c r="U3271" s="1008" t="s">
        <v>653</v>
      </c>
      <c r="V3271" s="1008" t="s">
        <v>648</v>
      </c>
      <c r="W3271" s="1008" t="s">
        <v>546</v>
      </c>
      <c r="X3271" s="1008" t="s">
        <v>670</v>
      </c>
      <c r="Y3271" s="1008"/>
      <c r="Z3271" s="1008"/>
      <c r="AA3271" s="1008" t="s">
        <v>670</v>
      </c>
      <c r="AB3271" s="1008"/>
      <c r="AC3271" s="1008"/>
      <c r="AD3271" s="1008"/>
      <c r="AE3271" s="1008"/>
      <c r="AF3271" s="1008"/>
      <c r="AG3271" s="1008"/>
      <c r="AH3271" s="1008"/>
      <c r="AI3271" s="1008"/>
    </row>
    <row r="3272" spans="1:35">
      <c r="A3272" s="1008">
        <v>26588</v>
      </c>
      <c r="B3272" s="1008">
        <v>5852</v>
      </c>
      <c r="C3272" s="1008">
        <v>7</v>
      </c>
      <c r="D3272" s="1009">
        <v>63099999</v>
      </c>
      <c r="E3272" s="1009">
        <v>63073000</v>
      </c>
      <c r="F3272" s="1007" t="s">
        <v>1383</v>
      </c>
      <c r="G3272" s="1007" t="s">
        <v>648</v>
      </c>
      <c r="H3272" s="1010">
        <v>99999999</v>
      </c>
      <c r="I3272" s="1009">
        <v>63073000</v>
      </c>
      <c r="J3272" s="1007" t="s">
        <v>1383</v>
      </c>
      <c r="O3272" s="1007" t="s">
        <v>648</v>
      </c>
      <c r="P3272" s="1007" t="s">
        <v>648</v>
      </c>
      <c r="S3272" s="1008" t="s">
        <v>650</v>
      </c>
      <c r="T3272" s="1008" t="s">
        <v>654</v>
      </c>
      <c r="U3272" s="1008" t="s">
        <v>653</v>
      </c>
      <c r="V3272" s="1008" t="s">
        <v>648</v>
      </c>
      <c r="W3272" s="1008" t="s">
        <v>546</v>
      </c>
      <c r="X3272" s="1008" t="s">
        <v>670</v>
      </c>
      <c r="Y3272" s="1008"/>
      <c r="Z3272" s="1008"/>
      <c r="AA3272" s="1008" t="s">
        <v>670</v>
      </c>
      <c r="AB3272" s="1008"/>
      <c r="AC3272" s="1008"/>
      <c r="AD3272" s="1008"/>
      <c r="AE3272" s="1008"/>
      <c r="AF3272" s="1008"/>
      <c r="AG3272" s="1008"/>
      <c r="AH3272" s="1008"/>
      <c r="AI3272" s="1008"/>
    </row>
    <row r="3273" spans="1:35">
      <c r="A3273" s="1008">
        <v>26589</v>
      </c>
      <c r="B3273" s="1008">
        <v>5853</v>
      </c>
      <c r="C3273" s="1008">
        <v>7</v>
      </c>
      <c r="D3273" s="1009">
        <v>63099999</v>
      </c>
      <c r="E3273" s="1009">
        <v>63074000</v>
      </c>
      <c r="F3273" s="1007" t="s">
        <v>1382</v>
      </c>
      <c r="G3273" s="1007" t="s">
        <v>648</v>
      </c>
      <c r="H3273" s="1010">
        <v>99999999</v>
      </c>
      <c r="I3273" s="1009">
        <v>63074000</v>
      </c>
      <c r="J3273" s="1007" t="s">
        <v>1382</v>
      </c>
      <c r="O3273" s="1007" t="s">
        <v>648</v>
      </c>
      <c r="P3273" s="1007" t="s">
        <v>648</v>
      </c>
      <c r="S3273" s="1008" t="s">
        <v>650</v>
      </c>
      <c r="T3273" s="1008" t="s">
        <v>654</v>
      </c>
      <c r="U3273" s="1008" t="s">
        <v>653</v>
      </c>
      <c r="V3273" s="1008" t="s">
        <v>648</v>
      </c>
      <c r="W3273" s="1008" t="s">
        <v>546</v>
      </c>
      <c r="X3273" s="1008" t="s">
        <v>670</v>
      </c>
      <c r="Y3273" s="1008"/>
      <c r="Z3273" s="1008"/>
      <c r="AA3273" s="1008" t="s">
        <v>670</v>
      </c>
      <c r="AB3273" s="1008"/>
      <c r="AC3273" s="1008"/>
      <c r="AD3273" s="1008"/>
      <c r="AE3273" s="1008"/>
      <c r="AF3273" s="1008"/>
      <c r="AG3273" s="1008"/>
      <c r="AH3273" s="1008"/>
      <c r="AI3273" s="1008"/>
    </row>
    <row r="3274" spans="1:35">
      <c r="A3274" s="1008">
        <v>26590</v>
      </c>
      <c r="B3274" s="1008">
        <v>5854</v>
      </c>
      <c r="C3274" s="1008">
        <v>7</v>
      </c>
      <c r="D3274" s="1009">
        <v>63099999</v>
      </c>
      <c r="E3274" s="1009">
        <v>63075000</v>
      </c>
      <c r="F3274" s="1007" t="s">
        <v>1381</v>
      </c>
      <c r="G3274" s="1007" t="s">
        <v>648</v>
      </c>
      <c r="H3274" s="1010">
        <v>99999999</v>
      </c>
      <c r="I3274" s="1009">
        <v>63075000</v>
      </c>
      <c r="J3274" s="1007" t="s">
        <v>1381</v>
      </c>
      <c r="O3274" s="1007" t="s">
        <v>648</v>
      </c>
      <c r="P3274" s="1007" t="s">
        <v>648</v>
      </c>
      <c r="S3274" s="1008" t="s">
        <v>650</v>
      </c>
      <c r="T3274" s="1008" t="s">
        <v>654</v>
      </c>
      <c r="U3274" s="1008" t="s">
        <v>653</v>
      </c>
      <c r="V3274" s="1008" t="s">
        <v>648</v>
      </c>
      <c r="W3274" s="1008" t="s">
        <v>546</v>
      </c>
      <c r="X3274" s="1008" t="s">
        <v>670</v>
      </c>
      <c r="Y3274" s="1008"/>
      <c r="Z3274" s="1008"/>
      <c r="AA3274" s="1008" t="s">
        <v>670</v>
      </c>
      <c r="AB3274" s="1008"/>
      <c r="AC3274" s="1008"/>
      <c r="AD3274" s="1008"/>
      <c r="AE3274" s="1008"/>
      <c r="AF3274" s="1008"/>
      <c r="AG3274" s="1008"/>
      <c r="AH3274" s="1008"/>
      <c r="AI3274" s="1008"/>
    </row>
    <row r="3275" spans="1:35">
      <c r="A3275" s="1008">
        <v>26591</v>
      </c>
      <c r="B3275" s="1008">
        <v>5855</v>
      </c>
      <c r="C3275" s="1008">
        <v>7</v>
      </c>
      <c r="D3275" s="1009">
        <v>63099999</v>
      </c>
      <c r="E3275" s="1009">
        <v>63076000</v>
      </c>
      <c r="F3275" s="1007" t="s">
        <v>1380</v>
      </c>
      <c r="G3275" s="1007" t="s">
        <v>648</v>
      </c>
      <c r="H3275" s="1010">
        <v>99999999</v>
      </c>
      <c r="I3275" s="1009">
        <v>63076000</v>
      </c>
      <c r="J3275" s="1007" t="s">
        <v>1380</v>
      </c>
      <c r="O3275" s="1007" t="s">
        <v>648</v>
      </c>
      <c r="P3275" s="1007" t="s">
        <v>648</v>
      </c>
      <c r="S3275" s="1008" t="s">
        <v>650</v>
      </c>
      <c r="T3275" s="1008" t="s">
        <v>654</v>
      </c>
      <c r="U3275" s="1008" t="s">
        <v>653</v>
      </c>
      <c r="V3275" s="1008" t="s">
        <v>648</v>
      </c>
      <c r="W3275" s="1008" t="s">
        <v>546</v>
      </c>
      <c r="X3275" s="1008" t="s">
        <v>670</v>
      </c>
      <c r="Y3275" s="1008"/>
      <c r="Z3275" s="1008"/>
      <c r="AA3275" s="1008" t="s">
        <v>670</v>
      </c>
      <c r="AB3275" s="1008"/>
      <c r="AC3275" s="1008"/>
      <c r="AD3275" s="1008"/>
      <c r="AE3275" s="1008"/>
      <c r="AF3275" s="1008"/>
      <c r="AG3275" s="1008"/>
      <c r="AH3275" s="1008"/>
      <c r="AI3275" s="1008"/>
    </row>
    <row r="3276" spans="1:35">
      <c r="A3276" s="1008">
        <v>26592</v>
      </c>
      <c r="B3276" s="1008">
        <v>5856</v>
      </c>
      <c r="C3276" s="1008">
        <v>7</v>
      </c>
      <c r="D3276" s="1009">
        <v>63099999</v>
      </c>
      <c r="E3276" s="1009">
        <v>63077000</v>
      </c>
      <c r="F3276" s="1007" t="s">
        <v>1379</v>
      </c>
      <c r="G3276" s="1007" t="s">
        <v>648</v>
      </c>
      <c r="H3276" s="1010">
        <v>99999999</v>
      </c>
      <c r="I3276" s="1009">
        <v>63077000</v>
      </c>
      <c r="J3276" s="1007" t="s">
        <v>1379</v>
      </c>
      <c r="O3276" s="1007" t="s">
        <v>648</v>
      </c>
      <c r="P3276" s="1007" t="s">
        <v>648</v>
      </c>
      <c r="S3276" s="1008" t="s">
        <v>650</v>
      </c>
      <c r="T3276" s="1008" t="s">
        <v>654</v>
      </c>
      <c r="U3276" s="1008" t="s">
        <v>653</v>
      </c>
      <c r="V3276" s="1008" t="s">
        <v>648</v>
      </c>
      <c r="W3276" s="1008" t="s">
        <v>546</v>
      </c>
      <c r="X3276" s="1008" t="s">
        <v>670</v>
      </c>
      <c r="Y3276" s="1008"/>
      <c r="Z3276" s="1008"/>
      <c r="AA3276" s="1008" t="s">
        <v>670</v>
      </c>
      <c r="AB3276" s="1008"/>
      <c r="AC3276" s="1008"/>
      <c r="AD3276" s="1008"/>
      <c r="AE3276" s="1008"/>
      <c r="AF3276" s="1008"/>
      <c r="AG3276" s="1008"/>
      <c r="AH3276" s="1008"/>
      <c r="AI3276" s="1008"/>
    </row>
    <row r="3277" spans="1:35">
      <c r="A3277" s="1008">
        <v>26593</v>
      </c>
      <c r="B3277" s="1008">
        <v>5857</v>
      </c>
      <c r="C3277" s="1008">
        <v>7</v>
      </c>
      <c r="D3277" s="1009">
        <v>63099999</v>
      </c>
      <c r="E3277" s="1009">
        <v>63078000</v>
      </c>
      <c r="F3277" s="1007" t="s">
        <v>1378</v>
      </c>
      <c r="G3277" s="1007" t="s">
        <v>648</v>
      </c>
      <c r="H3277" s="1010">
        <v>99999999</v>
      </c>
      <c r="I3277" s="1009">
        <v>63078000</v>
      </c>
      <c r="J3277" s="1007" t="s">
        <v>1378</v>
      </c>
      <c r="O3277" s="1007" t="s">
        <v>648</v>
      </c>
      <c r="P3277" s="1007" t="s">
        <v>648</v>
      </c>
      <c r="S3277" s="1008" t="s">
        <v>650</v>
      </c>
      <c r="T3277" s="1008" t="s">
        <v>654</v>
      </c>
      <c r="U3277" s="1008" t="s">
        <v>653</v>
      </c>
      <c r="V3277" s="1008" t="s">
        <v>648</v>
      </c>
      <c r="W3277" s="1008" t="s">
        <v>546</v>
      </c>
      <c r="X3277" s="1008" t="s">
        <v>670</v>
      </c>
      <c r="Y3277" s="1008"/>
      <c r="Z3277" s="1008"/>
      <c r="AA3277" s="1008" t="s">
        <v>670</v>
      </c>
      <c r="AB3277" s="1008"/>
      <c r="AC3277" s="1008"/>
      <c r="AD3277" s="1008"/>
      <c r="AE3277" s="1008"/>
      <c r="AF3277" s="1008"/>
      <c r="AG3277" s="1008"/>
      <c r="AH3277" s="1008"/>
      <c r="AI3277" s="1008"/>
    </row>
    <row r="3278" spans="1:35">
      <c r="A3278" s="1008">
        <v>26594</v>
      </c>
      <c r="B3278" s="1008">
        <v>5858</v>
      </c>
      <c r="C3278" s="1008">
        <v>7</v>
      </c>
      <c r="D3278" s="1009">
        <v>63099999</v>
      </c>
      <c r="E3278" s="1009">
        <v>63079000</v>
      </c>
      <c r="F3278" s="1007" t="s">
        <v>1377</v>
      </c>
      <c r="G3278" s="1007" t="s">
        <v>648</v>
      </c>
      <c r="H3278" s="1010">
        <v>99999999</v>
      </c>
      <c r="I3278" s="1009">
        <v>63079000</v>
      </c>
      <c r="J3278" s="1007" t="s">
        <v>1377</v>
      </c>
      <c r="O3278" s="1007" t="s">
        <v>648</v>
      </c>
      <c r="P3278" s="1007" t="s">
        <v>648</v>
      </c>
      <c r="S3278" s="1008" t="s">
        <v>650</v>
      </c>
      <c r="T3278" s="1008" t="s">
        <v>654</v>
      </c>
      <c r="U3278" s="1008" t="s">
        <v>653</v>
      </c>
      <c r="V3278" s="1008" t="s">
        <v>648</v>
      </c>
      <c r="W3278" s="1008" t="s">
        <v>546</v>
      </c>
      <c r="X3278" s="1008" t="s">
        <v>670</v>
      </c>
      <c r="Y3278" s="1008"/>
      <c r="Z3278" s="1008"/>
      <c r="AA3278" s="1008" t="s">
        <v>670</v>
      </c>
      <c r="AB3278" s="1008"/>
      <c r="AC3278" s="1008"/>
      <c r="AD3278" s="1008"/>
      <c r="AE3278" s="1008"/>
      <c r="AF3278" s="1008"/>
      <c r="AG3278" s="1008"/>
      <c r="AH3278" s="1008"/>
      <c r="AI3278" s="1008"/>
    </row>
    <row r="3279" spans="1:35">
      <c r="A3279" s="1008">
        <v>26595</v>
      </c>
      <c r="B3279" s="1008">
        <v>5859</v>
      </c>
      <c r="C3279" s="1008">
        <v>7</v>
      </c>
      <c r="D3279" s="1009">
        <v>63099999</v>
      </c>
      <c r="E3279" s="1009">
        <v>63080000</v>
      </c>
      <c r="F3279" s="1007" t="s">
        <v>1376</v>
      </c>
      <c r="G3279" s="1007" t="s">
        <v>648</v>
      </c>
      <c r="H3279" s="1010">
        <v>99999999</v>
      </c>
      <c r="I3279" s="1009">
        <v>63080000</v>
      </c>
      <c r="J3279" s="1007" t="s">
        <v>1376</v>
      </c>
      <c r="O3279" s="1007" t="s">
        <v>648</v>
      </c>
      <c r="P3279" s="1007" t="s">
        <v>648</v>
      </c>
      <c r="S3279" s="1008" t="s">
        <v>650</v>
      </c>
      <c r="T3279" s="1008" t="s">
        <v>654</v>
      </c>
      <c r="U3279" s="1008" t="s">
        <v>653</v>
      </c>
      <c r="V3279" s="1008" t="s">
        <v>648</v>
      </c>
      <c r="W3279" s="1008" t="s">
        <v>546</v>
      </c>
      <c r="X3279" s="1008" t="s">
        <v>670</v>
      </c>
      <c r="Y3279" s="1008"/>
      <c r="Z3279" s="1008"/>
      <c r="AA3279" s="1008" t="s">
        <v>670</v>
      </c>
      <c r="AB3279" s="1008"/>
      <c r="AC3279" s="1008"/>
      <c r="AD3279" s="1008"/>
      <c r="AE3279" s="1008"/>
      <c r="AF3279" s="1008"/>
      <c r="AG3279" s="1008"/>
      <c r="AH3279" s="1008"/>
      <c r="AI3279" s="1008"/>
    </row>
    <row r="3280" spans="1:35">
      <c r="A3280" s="1008">
        <v>26596</v>
      </c>
      <c r="B3280" s="1008">
        <v>5860</v>
      </c>
      <c r="C3280" s="1008">
        <v>7</v>
      </c>
      <c r="D3280" s="1009">
        <v>63099999</v>
      </c>
      <c r="E3280" s="1009">
        <v>63081000</v>
      </c>
      <c r="F3280" s="1007" t="s">
        <v>1375</v>
      </c>
      <c r="G3280" s="1007" t="s">
        <v>648</v>
      </c>
      <c r="H3280" s="1010">
        <v>99999999</v>
      </c>
      <c r="I3280" s="1009">
        <v>63081000</v>
      </c>
      <c r="J3280" s="1007" t="s">
        <v>1375</v>
      </c>
      <c r="O3280" s="1007" t="s">
        <v>648</v>
      </c>
      <c r="P3280" s="1007" t="s">
        <v>648</v>
      </c>
      <c r="S3280" s="1008" t="s">
        <v>650</v>
      </c>
      <c r="T3280" s="1008" t="s">
        <v>654</v>
      </c>
      <c r="U3280" s="1008" t="s">
        <v>653</v>
      </c>
      <c r="V3280" s="1008" t="s">
        <v>648</v>
      </c>
      <c r="W3280" s="1008" t="s">
        <v>546</v>
      </c>
      <c r="X3280" s="1008" t="s">
        <v>670</v>
      </c>
      <c r="Y3280" s="1008"/>
      <c r="Z3280" s="1008"/>
      <c r="AA3280" s="1008" t="s">
        <v>670</v>
      </c>
      <c r="AB3280" s="1008"/>
      <c r="AC3280" s="1008"/>
      <c r="AD3280" s="1008"/>
      <c r="AE3280" s="1008"/>
      <c r="AF3280" s="1008"/>
      <c r="AG3280" s="1008"/>
      <c r="AH3280" s="1008"/>
      <c r="AI3280" s="1008"/>
    </row>
    <row r="3281" spans="1:35">
      <c r="A3281" s="1008">
        <v>26597</v>
      </c>
      <c r="B3281" s="1008">
        <v>5861</v>
      </c>
      <c r="C3281" s="1008">
        <v>7</v>
      </c>
      <c r="D3281" s="1009">
        <v>63099999</v>
      </c>
      <c r="E3281" s="1009">
        <v>63082000</v>
      </c>
      <c r="F3281" s="1007" t="s">
        <v>1374</v>
      </c>
      <c r="G3281" s="1007" t="s">
        <v>648</v>
      </c>
      <c r="H3281" s="1010">
        <v>99999999</v>
      </c>
      <c r="I3281" s="1009">
        <v>63082000</v>
      </c>
      <c r="J3281" s="1007" t="s">
        <v>1374</v>
      </c>
      <c r="O3281" s="1007" t="s">
        <v>648</v>
      </c>
      <c r="P3281" s="1007" t="s">
        <v>648</v>
      </c>
      <c r="S3281" s="1008" t="s">
        <v>650</v>
      </c>
      <c r="T3281" s="1008" t="s">
        <v>654</v>
      </c>
      <c r="U3281" s="1008" t="s">
        <v>653</v>
      </c>
      <c r="V3281" s="1008" t="s">
        <v>648</v>
      </c>
      <c r="W3281" s="1008" t="s">
        <v>546</v>
      </c>
      <c r="X3281" s="1008" t="s">
        <v>670</v>
      </c>
      <c r="Y3281" s="1008"/>
      <c r="Z3281" s="1008"/>
      <c r="AA3281" s="1008" t="s">
        <v>670</v>
      </c>
      <c r="AB3281" s="1008"/>
      <c r="AC3281" s="1008"/>
      <c r="AD3281" s="1008"/>
      <c r="AE3281" s="1008"/>
      <c r="AF3281" s="1008"/>
      <c r="AG3281" s="1008"/>
      <c r="AH3281" s="1008"/>
      <c r="AI3281" s="1008"/>
    </row>
    <row r="3282" spans="1:35">
      <c r="A3282" s="1008">
        <v>27125</v>
      </c>
      <c r="B3282" s="1008">
        <v>5956</v>
      </c>
      <c r="C3282" s="1008">
        <v>7</v>
      </c>
      <c r="D3282" s="1009">
        <v>63099999</v>
      </c>
      <c r="E3282" s="1009">
        <v>63083000</v>
      </c>
      <c r="F3282" s="1007" t="s">
        <v>1373</v>
      </c>
      <c r="G3282" s="1007" t="s">
        <v>648</v>
      </c>
      <c r="H3282" s="1010">
        <v>99999999</v>
      </c>
      <c r="I3282" s="1009">
        <v>63083000</v>
      </c>
      <c r="J3282" s="1007" t="s">
        <v>1373</v>
      </c>
      <c r="O3282" s="1007" t="s">
        <v>648</v>
      </c>
      <c r="P3282" s="1007" t="s">
        <v>648</v>
      </c>
      <c r="S3282" s="1008" t="s">
        <v>650</v>
      </c>
      <c r="T3282" s="1008" t="s">
        <v>654</v>
      </c>
      <c r="U3282" s="1008" t="s">
        <v>653</v>
      </c>
      <c r="V3282" s="1008" t="s">
        <v>648</v>
      </c>
      <c r="W3282" s="1008" t="s">
        <v>546</v>
      </c>
      <c r="X3282" s="1008" t="s">
        <v>670</v>
      </c>
      <c r="Y3282" s="1008"/>
      <c r="Z3282" s="1008"/>
      <c r="AA3282" s="1008" t="s">
        <v>670</v>
      </c>
      <c r="AB3282" s="1008"/>
      <c r="AC3282" s="1008"/>
      <c r="AD3282" s="1008"/>
      <c r="AE3282" s="1008"/>
      <c r="AF3282" s="1008"/>
      <c r="AG3282" s="1008"/>
      <c r="AH3282" s="1008"/>
      <c r="AI3282" s="1008"/>
    </row>
    <row r="3283" spans="1:35">
      <c r="A3283" s="1008">
        <v>27126</v>
      </c>
      <c r="B3283" s="1008">
        <v>5957</v>
      </c>
      <c r="C3283" s="1008">
        <v>7</v>
      </c>
      <c r="D3283" s="1009">
        <v>63099999</v>
      </c>
      <c r="E3283" s="1009">
        <v>63084000</v>
      </c>
      <c r="F3283" s="1007" t="s">
        <v>1371</v>
      </c>
      <c r="G3283" s="1007" t="s">
        <v>648</v>
      </c>
      <c r="H3283" s="1010">
        <v>99999999</v>
      </c>
      <c r="I3283" s="1009">
        <v>63084000</v>
      </c>
      <c r="J3283" s="1007" t="s">
        <v>1371</v>
      </c>
      <c r="O3283" s="1007" t="s">
        <v>648</v>
      </c>
      <c r="P3283" s="1007" t="s">
        <v>648</v>
      </c>
      <c r="S3283" s="1008" t="s">
        <v>650</v>
      </c>
      <c r="T3283" s="1008" t="s">
        <v>654</v>
      </c>
      <c r="U3283" s="1008" t="s">
        <v>653</v>
      </c>
      <c r="V3283" s="1008" t="s">
        <v>648</v>
      </c>
      <c r="W3283" s="1008" t="s">
        <v>546</v>
      </c>
      <c r="X3283" s="1008" t="s">
        <v>670</v>
      </c>
      <c r="Y3283" s="1008"/>
      <c r="Z3283" s="1008"/>
      <c r="AA3283" s="1008" t="s">
        <v>670</v>
      </c>
      <c r="AB3283" s="1008"/>
      <c r="AC3283" s="1008"/>
      <c r="AD3283" s="1008"/>
      <c r="AE3283" s="1008"/>
      <c r="AF3283" s="1008"/>
      <c r="AG3283" s="1008"/>
      <c r="AH3283" s="1008"/>
      <c r="AI3283" s="1008"/>
    </row>
    <row r="3284" spans="1:35">
      <c r="A3284" s="1008">
        <v>27096</v>
      </c>
      <c r="B3284" s="1008">
        <v>5926</v>
      </c>
      <c r="C3284" s="1008">
        <v>7</v>
      </c>
      <c r="D3284" s="1009">
        <v>63099999</v>
      </c>
      <c r="E3284" s="1009">
        <v>63099000</v>
      </c>
      <c r="F3284" s="1007" t="s">
        <v>1370</v>
      </c>
      <c r="G3284" s="1007" t="s">
        <v>648</v>
      </c>
      <c r="H3284" s="1010">
        <v>99999999</v>
      </c>
      <c r="I3284" s="1009">
        <v>63099000</v>
      </c>
      <c r="J3284" s="1007" t="s">
        <v>1370</v>
      </c>
      <c r="O3284" s="1007" t="s">
        <v>648</v>
      </c>
      <c r="P3284" s="1007" t="s">
        <v>648</v>
      </c>
      <c r="S3284" s="1008" t="s">
        <v>650</v>
      </c>
      <c r="T3284" s="1008" t="s">
        <v>654</v>
      </c>
      <c r="U3284" s="1008" t="s">
        <v>653</v>
      </c>
      <c r="V3284" s="1008" t="s">
        <v>648</v>
      </c>
      <c r="W3284" s="1008" t="s">
        <v>546</v>
      </c>
      <c r="X3284" s="1008" t="s">
        <v>670</v>
      </c>
      <c r="Y3284" s="1008"/>
      <c r="Z3284" s="1008"/>
      <c r="AA3284" s="1008" t="s">
        <v>670</v>
      </c>
      <c r="AB3284" s="1008"/>
      <c r="AC3284" s="1008"/>
      <c r="AD3284" s="1008"/>
      <c r="AE3284" s="1008"/>
      <c r="AF3284" s="1008"/>
      <c r="AG3284" s="1008"/>
      <c r="AH3284" s="1008"/>
      <c r="AI3284" s="1008"/>
    </row>
    <row r="3285" spans="1:35">
      <c r="A3285" s="1008">
        <v>26638</v>
      </c>
      <c r="C3285" s="1008">
        <v>6</v>
      </c>
      <c r="D3285" s="1009">
        <v>63199999</v>
      </c>
      <c r="E3285" s="1009">
        <v>63099999</v>
      </c>
      <c r="F3285" s="1007" t="s">
        <v>1369</v>
      </c>
      <c r="O3285" s="1007" t="s">
        <v>648</v>
      </c>
      <c r="P3285" s="1007" t="s">
        <v>648</v>
      </c>
      <c r="S3285" s="1008" t="s">
        <v>650</v>
      </c>
      <c r="T3285" s="1008" t="s">
        <v>21</v>
      </c>
      <c r="U3285" s="1008" t="s">
        <v>653</v>
      </c>
      <c r="V3285" s="1008" t="s">
        <v>648</v>
      </c>
      <c r="W3285" s="1008" t="s">
        <v>546</v>
      </c>
      <c r="X3285" s="1008"/>
      <c r="Y3285" s="1008"/>
      <c r="Z3285" s="1008"/>
      <c r="AA3285" s="1008"/>
      <c r="AB3285" s="1008"/>
      <c r="AC3285" s="1008"/>
      <c r="AD3285" s="1008"/>
      <c r="AE3285" s="1008"/>
      <c r="AF3285" s="1008"/>
      <c r="AG3285" s="1008"/>
      <c r="AH3285" s="1008"/>
      <c r="AI3285" s="1008"/>
    </row>
    <row r="3286" spans="1:35">
      <c r="A3286" s="1008">
        <v>25328</v>
      </c>
      <c r="C3286" s="1008">
        <v>6</v>
      </c>
      <c r="D3286" s="1009">
        <v>63109999</v>
      </c>
      <c r="E3286" s="1009">
        <v>63100000</v>
      </c>
      <c r="F3286" s="1007" t="s">
        <v>1364</v>
      </c>
      <c r="O3286" s="1007" t="s">
        <v>648</v>
      </c>
      <c r="P3286" s="1007" t="s">
        <v>648</v>
      </c>
      <c r="S3286" s="1008" t="s">
        <v>650</v>
      </c>
      <c r="T3286" s="1008" t="s">
        <v>675</v>
      </c>
      <c r="U3286" s="1008" t="s">
        <v>653</v>
      </c>
      <c r="V3286" s="1008" t="s">
        <v>648</v>
      </c>
      <c r="W3286" s="1008" t="s">
        <v>546</v>
      </c>
      <c r="X3286" s="1008"/>
      <c r="Y3286" s="1008"/>
      <c r="Z3286" s="1008"/>
      <c r="AA3286" s="1008"/>
      <c r="AB3286" s="1008"/>
      <c r="AC3286" s="1008"/>
      <c r="AD3286" s="1008"/>
      <c r="AE3286" s="1008"/>
      <c r="AF3286" s="1008"/>
      <c r="AG3286" s="1008"/>
      <c r="AH3286" s="1008"/>
      <c r="AI3286" s="1008"/>
    </row>
    <row r="3287" spans="1:35">
      <c r="A3287" s="1008">
        <v>25329</v>
      </c>
      <c r="B3287" s="1008">
        <v>2359</v>
      </c>
      <c r="C3287" s="1008">
        <v>7</v>
      </c>
      <c r="D3287" s="1009">
        <v>63109999</v>
      </c>
      <c r="E3287" s="1009">
        <v>63101000</v>
      </c>
      <c r="F3287" s="1007" t="s">
        <v>1368</v>
      </c>
      <c r="G3287" s="1007">
        <v>7</v>
      </c>
      <c r="H3287" s="1010">
        <v>99999999</v>
      </c>
      <c r="I3287" s="1009">
        <v>63101000</v>
      </c>
      <c r="J3287" s="1007" t="s">
        <v>1368</v>
      </c>
      <c r="O3287" s="1007" t="s">
        <v>648</v>
      </c>
      <c r="P3287" s="1007" t="s">
        <v>648</v>
      </c>
      <c r="S3287" s="1008" t="s">
        <v>650</v>
      </c>
      <c r="T3287" s="1008" t="s">
        <v>654</v>
      </c>
      <c r="U3287" s="1008" t="s">
        <v>653</v>
      </c>
      <c r="V3287" s="1008" t="s">
        <v>648</v>
      </c>
      <c r="W3287" s="1008" t="s">
        <v>546</v>
      </c>
      <c r="X3287" s="1008" t="s">
        <v>670</v>
      </c>
      <c r="Y3287" s="1008"/>
      <c r="Z3287" s="1008"/>
      <c r="AA3287" s="1008" t="s">
        <v>670</v>
      </c>
      <c r="AB3287" s="1008"/>
      <c r="AC3287" s="1008"/>
      <c r="AD3287" s="1008"/>
      <c r="AE3287" s="1008"/>
      <c r="AF3287" s="1008"/>
      <c r="AG3287" s="1008"/>
      <c r="AH3287" s="1008"/>
      <c r="AI3287" s="1008"/>
    </row>
    <row r="3288" spans="1:35">
      <c r="A3288" s="1008">
        <v>25330</v>
      </c>
      <c r="B3288" s="1008">
        <v>2360</v>
      </c>
      <c r="C3288" s="1008">
        <v>7</v>
      </c>
      <c r="D3288" s="1009">
        <v>63109999</v>
      </c>
      <c r="E3288" s="1009">
        <v>63102000</v>
      </c>
      <c r="F3288" s="1007" t="s">
        <v>1367</v>
      </c>
      <c r="G3288" s="1007">
        <v>7</v>
      </c>
      <c r="H3288" s="1010">
        <v>99999999</v>
      </c>
      <c r="I3288" s="1009">
        <v>63102000</v>
      </c>
      <c r="J3288" s="1007" t="s">
        <v>1367</v>
      </c>
      <c r="O3288" s="1007" t="s">
        <v>648</v>
      </c>
      <c r="P3288" s="1007" t="s">
        <v>648</v>
      </c>
      <c r="S3288" s="1008" t="s">
        <v>650</v>
      </c>
      <c r="T3288" s="1008" t="s">
        <v>654</v>
      </c>
      <c r="U3288" s="1008" t="s">
        <v>653</v>
      </c>
      <c r="V3288" s="1008" t="s">
        <v>648</v>
      </c>
      <c r="W3288" s="1008" t="s">
        <v>546</v>
      </c>
      <c r="X3288" s="1008" t="s">
        <v>670</v>
      </c>
      <c r="Y3288" s="1008"/>
      <c r="Z3288" s="1008"/>
      <c r="AA3288" s="1008" t="s">
        <v>670</v>
      </c>
      <c r="AB3288" s="1008"/>
      <c r="AC3288" s="1008"/>
      <c r="AD3288" s="1008"/>
      <c r="AE3288" s="1008"/>
      <c r="AF3288" s="1008"/>
      <c r="AG3288" s="1008"/>
      <c r="AH3288" s="1008"/>
      <c r="AI3288" s="1008"/>
    </row>
    <row r="3289" spans="1:35">
      <c r="A3289" s="1008">
        <v>25331</v>
      </c>
      <c r="B3289" s="1008">
        <v>2361</v>
      </c>
      <c r="C3289" s="1008">
        <v>7</v>
      </c>
      <c r="D3289" s="1009">
        <v>63109999</v>
      </c>
      <c r="E3289" s="1009">
        <v>63103000</v>
      </c>
      <c r="F3289" s="1007" t="s">
        <v>1366</v>
      </c>
      <c r="G3289" s="1007">
        <v>7</v>
      </c>
      <c r="H3289" s="1010">
        <v>99999999</v>
      </c>
      <c r="I3289" s="1009">
        <v>63103000</v>
      </c>
      <c r="J3289" s="1007" t="s">
        <v>1366</v>
      </c>
      <c r="O3289" s="1007" t="s">
        <v>648</v>
      </c>
      <c r="P3289" s="1007" t="s">
        <v>648</v>
      </c>
      <c r="S3289" s="1008" t="s">
        <v>650</v>
      </c>
      <c r="T3289" s="1008" t="s">
        <v>654</v>
      </c>
      <c r="U3289" s="1008" t="s">
        <v>653</v>
      </c>
      <c r="V3289" s="1008" t="s">
        <v>648</v>
      </c>
      <c r="W3289" s="1008" t="s">
        <v>546</v>
      </c>
      <c r="X3289" s="1008" t="s">
        <v>670</v>
      </c>
      <c r="Y3289" s="1008"/>
      <c r="Z3289" s="1008"/>
      <c r="AA3289" s="1008" t="s">
        <v>670</v>
      </c>
      <c r="AB3289" s="1008"/>
      <c r="AC3289" s="1008"/>
      <c r="AD3289" s="1008"/>
      <c r="AE3289" s="1008"/>
      <c r="AF3289" s="1008"/>
      <c r="AG3289" s="1008"/>
      <c r="AH3289" s="1008"/>
      <c r="AI3289" s="1008"/>
    </row>
    <row r="3290" spans="1:35">
      <c r="A3290" s="1008">
        <v>25332</v>
      </c>
      <c r="B3290" s="1008">
        <v>5518</v>
      </c>
      <c r="C3290" s="1008">
        <v>7</v>
      </c>
      <c r="D3290" s="1009">
        <v>63109999</v>
      </c>
      <c r="E3290" s="1009">
        <v>63104000</v>
      </c>
      <c r="F3290" s="1007" t="s">
        <v>1365</v>
      </c>
      <c r="G3290" s="1007">
        <v>7</v>
      </c>
      <c r="H3290" s="1010">
        <v>99999999</v>
      </c>
      <c r="I3290" s="1009">
        <v>63104000</v>
      </c>
      <c r="J3290" s="1007" t="s">
        <v>1365</v>
      </c>
      <c r="O3290" s="1007" t="s">
        <v>648</v>
      </c>
      <c r="P3290" s="1007" t="s">
        <v>648</v>
      </c>
      <c r="S3290" s="1008" t="s">
        <v>650</v>
      </c>
      <c r="T3290" s="1008" t="s">
        <v>654</v>
      </c>
      <c r="U3290" s="1008" t="s">
        <v>653</v>
      </c>
      <c r="V3290" s="1008" t="s">
        <v>648</v>
      </c>
      <c r="W3290" s="1008" t="s">
        <v>546</v>
      </c>
      <c r="X3290" s="1008" t="s">
        <v>670</v>
      </c>
      <c r="Y3290" s="1008"/>
      <c r="Z3290" s="1008"/>
      <c r="AA3290" s="1008" t="s">
        <v>670</v>
      </c>
      <c r="AB3290" s="1008"/>
      <c r="AC3290" s="1008"/>
      <c r="AD3290" s="1008"/>
      <c r="AE3290" s="1008"/>
      <c r="AF3290" s="1008"/>
      <c r="AG3290" s="1008"/>
      <c r="AH3290" s="1008"/>
      <c r="AI3290" s="1008"/>
    </row>
    <row r="3291" spans="1:35">
      <c r="A3291" s="1008">
        <v>25333</v>
      </c>
      <c r="C3291" s="1008">
        <v>6</v>
      </c>
      <c r="D3291" s="1009">
        <v>63199999</v>
      </c>
      <c r="E3291" s="1009">
        <v>63109999</v>
      </c>
      <c r="F3291" s="1007" t="s">
        <v>1364</v>
      </c>
      <c r="O3291" s="1007" t="s">
        <v>648</v>
      </c>
      <c r="P3291" s="1007" t="s">
        <v>648</v>
      </c>
      <c r="S3291" s="1008" t="s">
        <v>650</v>
      </c>
      <c r="T3291" s="1008" t="s">
        <v>21</v>
      </c>
      <c r="U3291" s="1008" t="s">
        <v>653</v>
      </c>
      <c r="V3291" s="1008" t="s">
        <v>648</v>
      </c>
      <c r="W3291" s="1008" t="s">
        <v>546</v>
      </c>
      <c r="X3291" s="1008"/>
      <c r="Y3291" s="1008"/>
      <c r="Z3291" s="1008"/>
      <c r="AA3291" s="1008"/>
      <c r="AB3291" s="1008"/>
      <c r="AC3291" s="1008"/>
      <c r="AD3291" s="1008"/>
      <c r="AE3291" s="1008"/>
      <c r="AF3291" s="1008"/>
      <c r="AG3291" s="1008"/>
      <c r="AH3291" s="1008"/>
      <c r="AI3291" s="1008"/>
    </row>
    <row r="3292" spans="1:35">
      <c r="A3292" s="1008">
        <v>25318</v>
      </c>
      <c r="C3292" s="1008">
        <v>6</v>
      </c>
      <c r="D3292" s="1009">
        <v>63119999</v>
      </c>
      <c r="E3292" s="1009">
        <v>63110000</v>
      </c>
      <c r="F3292" s="1007" t="s">
        <v>1363</v>
      </c>
      <c r="O3292" s="1007" t="s">
        <v>648</v>
      </c>
      <c r="P3292" s="1007" t="s">
        <v>648</v>
      </c>
      <c r="S3292" s="1008" t="s">
        <v>650</v>
      </c>
      <c r="T3292" s="1008" t="s">
        <v>675</v>
      </c>
      <c r="U3292" s="1008" t="s">
        <v>653</v>
      </c>
      <c r="V3292" s="1008" t="s">
        <v>648</v>
      </c>
      <c r="W3292" s="1008" t="s">
        <v>546</v>
      </c>
      <c r="X3292" s="1008"/>
      <c r="Y3292" s="1008"/>
      <c r="Z3292" s="1008"/>
      <c r="AA3292" s="1008"/>
      <c r="AB3292" s="1008"/>
      <c r="AC3292" s="1008"/>
      <c r="AD3292" s="1008"/>
      <c r="AE3292" s="1008"/>
      <c r="AF3292" s="1008"/>
      <c r="AG3292" s="1008"/>
      <c r="AH3292" s="1008"/>
      <c r="AI3292" s="1008"/>
    </row>
    <row r="3293" spans="1:35">
      <c r="A3293" s="1008">
        <v>25319</v>
      </c>
      <c r="B3293" s="1008">
        <v>574</v>
      </c>
      <c r="C3293" s="1008">
        <v>7</v>
      </c>
      <c r="D3293" s="1009">
        <v>63119999</v>
      </c>
      <c r="E3293" s="1009">
        <v>63111000</v>
      </c>
      <c r="F3293" s="1007" t="s">
        <v>1362</v>
      </c>
      <c r="G3293" s="1007">
        <v>8</v>
      </c>
      <c r="H3293" s="1010">
        <v>99999999</v>
      </c>
      <c r="I3293" s="1009">
        <v>63111000</v>
      </c>
      <c r="J3293" s="1007" t="s">
        <v>1362</v>
      </c>
      <c r="O3293" s="1007" t="s">
        <v>648</v>
      </c>
      <c r="P3293" s="1007" t="s">
        <v>648</v>
      </c>
      <c r="S3293" s="1008" t="s">
        <v>650</v>
      </c>
      <c r="T3293" s="1008" t="s">
        <v>654</v>
      </c>
      <c r="U3293" s="1008" t="s">
        <v>653</v>
      </c>
      <c r="V3293" s="1008" t="s">
        <v>648</v>
      </c>
      <c r="W3293" s="1008" t="s">
        <v>546</v>
      </c>
      <c r="X3293" s="1008" t="s">
        <v>670</v>
      </c>
      <c r="Y3293" s="1008"/>
      <c r="Z3293" s="1008"/>
      <c r="AA3293" s="1008" t="s">
        <v>670</v>
      </c>
      <c r="AB3293" s="1008"/>
      <c r="AC3293" s="1008"/>
      <c r="AD3293" s="1008"/>
      <c r="AE3293" s="1008"/>
      <c r="AF3293" s="1008"/>
      <c r="AG3293" s="1008"/>
      <c r="AH3293" s="1008"/>
      <c r="AI3293" s="1008"/>
    </row>
    <row r="3294" spans="1:35">
      <c r="A3294" s="1008">
        <v>25320</v>
      </c>
      <c r="B3294" s="1008">
        <v>2352</v>
      </c>
      <c r="C3294" s="1008">
        <v>7</v>
      </c>
      <c r="D3294" s="1009">
        <v>63119999</v>
      </c>
      <c r="E3294" s="1009">
        <v>63112000</v>
      </c>
      <c r="F3294" s="1007" t="s">
        <v>1361</v>
      </c>
      <c r="G3294" s="1007">
        <v>7</v>
      </c>
      <c r="H3294" s="1010">
        <v>99999999</v>
      </c>
      <c r="I3294" s="1009">
        <v>63112000</v>
      </c>
      <c r="J3294" s="1007" t="s">
        <v>1361</v>
      </c>
      <c r="O3294" s="1007" t="s">
        <v>648</v>
      </c>
      <c r="P3294" s="1007" t="s">
        <v>648</v>
      </c>
      <c r="S3294" s="1008" t="s">
        <v>650</v>
      </c>
      <c r="T3294" s="1008" t="s">
        <v>654</v>
      </c>
      <c r="U3294" s="1008" t="s">
        <v>653</v>
      </c>
      <c r="V3294" s="1008" t="s">
        <v>648</v>
      </c>
      <c r="W3294" s="1008" t="s">
        <v>546</v>
      </c>
      <c r="X3294" s="1008" t="s">
        <v>670</v>
      </c>
      <c r="Y3294" s="1008"/>
      <c r="Z3294" s="1008"/>
      <c r="AA3294" s="1008" t="s">
        <v>670</v>
      </c>
      <c r="AB3294" s="1008"/>
      <c r="AC3294" s="1008"/>
      <c r="AD3294" s="1008"/>
      <c r="AE3294" s="1008"/>
      <c r="AF3294" s="1008"/>
      <c r="AG3294" s="1008"/>
      <c r="AH3294" s="1008"/>
      <c r="AI3294" s="1008"/>
    </row>
    <row r="3295" spans="1:35">
      <c r="A3295" s="1008">
        <v>25321</v>
      </c>
      <c r="B3295" s="1008">
        <v>2353</v>
      </c>
      <c r="C3295" s="1008">
        <v>7</v>
      </c>
      <c r="D3295" s="1009">
        <v>63119999</v>
      </c>
      <c r="E3295" s="1009">
        <v>63113000</v>
      </c>
      <c r="F3295" s="1007" t="s">
        <v>1360</v>
      </c>
      <c r="G3295" s="1007">
        <v>7</v>
      </c>
      <c r="H3295" s="1010">
        <v>99999999</v>
      </c>
      <c r="I3295" s="1009">
        <v>63113000</v>
      </c>
      <c r="J3295" s="1007" t="s">
        <v>1360</v>
      </c>
      <c r="O3295" s="1007" t="s">
        <v>648</v>
      </c>
      <c r="P3295" s="1007" t="s">
        <v>648</v>
      </c>
      <c r="S3295" s="1008" t="s">
        <v>650</v>
      </c>
      <c r="T3295" s="1008" t="s">
        <v>654</v>
      </c>
      <c r="U3295" s="1008" t="s">
        <v>653</v>
      </c>
      <c r="V3295" s="1008" t="s">
        <v>648</v>
      </c>
      <c r="W3295" s="1008" t="s">
        <v>546</v>
      </c>
      <c r="X3295" s="1008" t="s">
        <v>670</v>
      </c>
      <c r="Y3295" s="1008"/>
      <c r="Z3295" s="1008"/>
      <c r="AA3295" s="1008" t="s">
        <v>670</v>
      </c>
      <c r="AB3295" s="1008"/>
      <c r="AC3295" s="1008"/>
      <c r="AD3295" s="1008"/>
      <c r="AE3295" s="1008"/>
      <c r="AF3295" s="1008"/>
      <c r="AG3295" s="1008"/>
      <c r="AH3295" s="1008"/>
      <c r="AI3295" s="1008"/>
    </row>
    <row r="3296" spans="1:35">
      <c r="A3296" s="1008">
        <v>25322</v>
      </c>
      <c r="B3296" s="1008">
        <v>2354</v>
      </c>
      <c r="C3296" s="1008">
        <v>7</v>
      </c>
      <c r="D3296" s="1009">
        <v>63119999</v>
      </c>
      <c r="E3296" s="1009">
        <v>63114000</v>
      </c>
      <c r="F3296" s="1007" t="s">
        <v>1359</v>
      </c>
      <c r="G3296" s="1007">
        <v>7</v>
      </c>
      <c r="H3296" s="1010">
        <v>99999999</v>
      </c>
      <c r="I3296" s="1009">
        <v>63114000</v>
      </c>
      <c r="J3296" s="1007" t="s">
        <v>1359</v>
      </c>
      <c r="O3296" s="1007" t="s">
        <v>648</v>
      </c>
      <c r="P3296" s="1007" t="s">
        <v>648</v>
      </c>
      <c r="S3296" s="1008" t="s">
        <v>650</v>
      </c>
      <c r="T3296" s="1008" t="s">
        <v>654</v>
      </c>
      <c r="U3296" s="1008" t="s">
        <v>653</v>
      </c>
      <c r="V3296" s="1008" t="s">
        <v>648</v>
      </c>
      <c r="W3296" s="1008" t="s">
        <v>546</v>
      </c>
      <c r="X3296" s="1008" t="s">
        <v>670</v>
      </c>
      <c r="Y3296" s="1008"/>
      <c r="Z3296" s="1008"/>
      <c r="AA3296" s="1008" t="s">
        <v>670</v>
      </c>
      <c r="AB3296" s="1008"/>
      <c r="AC3296" s="1008"/>
      <c r="AD3296" s="1008"/>
      <c r="AE3296" s="1008"/>
      <c r="AF3296" s="1008"/>
      <c r="AG3296" s="1008"/>
      <c r="AH3296" s="1008"/>
      <c r="AI3296" s="1008"/>
    </row>
    <row r="3297" spans="1:35">
      <c r="A3297" s="1008">
        <v>25323</v>
      </c>
      <c r="B3297" s="1008">
        <v>575</v>
      </c>
      <c r="C3297" s="1008">
        <v>7</v>
      </c>
      <c r="D3297" s="1009">
        <v>63119999</v>
      </c>
      <c r="E3297" s="1009">
        <v>63115000</v>
      </c>
      <c r="F3297" s="1007" t="s">
        <v>1358</v>
      </c>
      <c r="G3297" s="1007">
        <v>8</v>
      </c>
      <c r="H3297" s="1010">
        <v>99999999</v>
      </c>
      <c r="I3297" s="1009">
        <v>63115000</v>
      </c>
      <c r="J3297" s="1007" t="s">
        <v>1561</v>
      </c>
      <c r="O3297" s="1007" t="s">
        <v>648</v>
      </c>
      <c r="P3297" s="1007" t="s">
        <v>648</v>
      </c>
      <c r="S3297" s="1008" t="s">
        <v>650</v>
      </c>
      <c r="T3297" s="1008" t="s">
        <v>654</v>
      </c>
      <c r="U3297" s="1008" t="s">
        <v>653</v>
      </c>
      <c r="V3297" s="1008" t="s">
        <v>648</v>
      </c>
      <c r="W3297" s="1008" t="s">
        <v>546</v>
      </c>
      <c r="X3297" s="1008" t="s">
        <v>670</v>
      </c>
      <c r="Y3297" s="1008"/>
      <c r="Z3297" s="1008"/>
      <c r="AA3297" s="1008" t="s">
        <v>670</v>
      </c>
      <c r="AB3297" s="1008"/>
      <c r="AC3297" s="1008"/>
      <c r="AD3297" s="1008"/>
      <c r="AE3297" s="1008"/>
      <c r="AF3297" s="1008"/>
      <c r="AG3297" s="1008"/>
      <c r="AH3297" s="1008"/>
      <c r="AI3297" s="1008"/>
    </row>
    <row r="3298" spans="1:35">
      <c r="A3298" s="1008">
        <v>25324</v>
      </c>
      <c r="B3298" s="1008">
        <v>577</v>
      </c>
      <c r="C3298" s="1008">
        <v>7</v>
      </c>
      <c r="D3298" s="1009">
        <v>63119999</v>
      </c>
      <c r="E3298" s="1009">
        <v>63116000</v>
      </c>
      <c r="F3298" s="1007" t="s">
        <v>1357</v>
      </c>
      <c r="G3298" s="1007">
        <v>8</v>
      </c>
      <c r="H3298" s="1010">
        <v>99999999</v>
      </c>
      <c r="I3298" s="1009">
        <v>63116000</v>
      </c>
      <c r="J3298" s="1007" t="s">
        <v>1560</v>
      </c>
      <c r="O3298" s="1007" t="s">
        <v>648</v>
      </c>
      <c r="P3298" s="1007" t="s">
        <v>648</v>
      </c>
      <c r="S3298" s="1008" t="s">
        <v>650</v>
      </c>
      <c r="T3298" s="1008" t="s">
        <v>654</v>
      </c>
      <c r="U3298" s="1008" t="s">
        <v>653</v>
      </c>
      <c r="V3298" s="1008" t="s">
        <v>648</v>
      </c>
      <c r="W3298" s="1008" t="s">
        <v>546</v>
      </c>
      <c r="X3298" s="1008" t="s">
        <v>670</v>
      </c>
      <c r="Y3298" s="1008"/>
      <c r="Z3298" s="1008"/>
      <c r="AA3298" s="1008" t="s">
        <v>670</v>
      </c>
      <c r="AB3298" s="1008"/>
      <c r="AC3298" s="1008"/>
      <c r="AD3298" s="1008"/>
      <c r="AE3298" s="1008"/>
      <c r="AF3298" s="1008"/>
      <c r="AG3298" s="1008"/>
      <c r="AH3298" s="1008"/>
      <c r="AI3298" s="1008"/>
    </row>
    <row r="3299" spans="1:35">
      <c r="A3299" s="1008">
        <v>25325</v>
      </c>
      <c r="B3299" s="1008">
        <v>2357</v>
      </c>
      <c r="C3299" s="1008">
        <v>7</v>
      </c>
      <c r="D3299" s="1009">
        <v>63119999</v>
      </c>
      <c r="E3299" s="1009">
        <v>63117000</v>
      </c>
      <c r="F3299" s="1007" t="s">
        <v>1356</v>
      </c>
      <c r="G3299" s="1007">
        <v>7</v>
      </c>
      <c r="H3299" s="1010">
        <v>99999999</v>
      </c>
      <c r="I3299" s="1009">
        <v>63117000</v>
      </c>
      <c r="J3299" s="1007" t="s">
        <v>1356</v>
      </c>
      <c r="O3299" s="1007" t="s">
        <v>648</v>
      </c>
      <c r="P3299" s="1007" t="s">
        <v>648</v>
      </c>
      <c r="S3299" s="1008" t="s">
        <v>650</v>
      </c>
      <c r="T3299" s="1008" t="s">
        <v>654</v>
      </c>
      <c r="U3299" s="1008" t="s">
        <v>653</v>
      </c>
      <c r="V3299" s="1008" t="s">
        <v>648</v>
      </c>
      <c r="W3299" s="1008" t="s">
        <v>546</v>
      </c>
      <c r="X3299" s="1008" t="s">
        <v>670</v>
      </c>
      <c r="Y3299" s="1008"/>
      <c r="Z3299" s="1008"/>
      <c r="AA3299" s="1008" t="s">
        <v>670</v>
      </c>
      <c r="AB3299" s="1008"/>
      <c r="AC3299" s="1008"/>
      <c r="AD3299" s="1008"/>
      <c r="AE3299" s="1008"/>
      <c r="AF3299" s="1008"/>
      <c r="AG3299" s="1008"/>
      <c r="AH3299" s="1008"/>
      <c r="AI3299" s="1008"/>
    </row>
    <row r="3300" spans="1:35">
      <c r="A3300" s="1008">
        <v>25327</v>
      </c>
      <c r="C3300" s="1008">
        <v>6</v>
      </c>
      <c r="D3300" s="1009">
        <v>63199999</v>
      </c>
      <c r="E3300" s="1009">
        <v>63119999</v>
      </c>
      <c r="F3300" s="1007" t="s">
        <v>1355</v>
      </c>
      <c r="O3300" s="1007" t="s">
        <v>648</v>
      </c>
      <c r="P3300" s="1007" t="s">
        <v>648</v>
      </c>
      <c r="S3300" s="1008" t="s">
        <v>650</v>
      </c>
      <c r="T3300" s="1008" t="s">
        <v>21</v>
      </c>
      <c r="U3300" s="1008" t="s">
        <v>653</v>
      </c>
      <c r="V3300" s="1008" t="s">
        <v>648</v>
      </c>
      <c r="W3300" s="1008" t="s">
        <v>546</v>
      </c>
      <c r="X3300" s="1008"/>
      <c r="Y3300" s="1008"/>
      <c r="Z3300" s="1008"/>
      <c r="AA3300" s="1008"/>
      <c r="AB3300" s="1008"/>
      <c r="AC3300" s="1008"/>
      <c r="AD3300" s="1008"/>
      <c r="AE3300" s="1008"/>
      <c r="AF3300" s="1008"/>
      <c r="AG3300" s="1008"/>
      <c r="AH3300" s="1008"/>
      <c r="AI3300" s="1008"/>
    </row>
    <row r="3301" spans="1:35">
      <c r="A3301" s="1008">
        <v>25334</v>
      </c>
      <c r="C3301" s="1008">
        <v>5</v>
      </c>
      <c r="D3301" s="1009">
        <v>69999999</v>
      </c>
      <c r="E3301" s="1009">
        <v>63199999</v>
      </c>
      <c r="F3301" s="1007" t="s">
        <v>1354</v>
      </c>
      <c r="O3301" s="1007" t="s">
        <v>648</v>
      </c>
      <c r="P3301" s="1007" t="s">
        <v>648</v>
      </c>
      <c r="S3301" s="1008" t="s">
        <v>650</v>
      </c>
      <c r="T3301" s="1008" t="s">
        <v>21</v>
      </c>
      <c r="U3301" s="1008" t="s">
        <v>653</v>
      </c>
      <c r="V3301" s="1008" t="s">
        <v>648</v>
      </c>
      <c r="W3301" s="1008" t="s">
        <v>546</v>
      </c>
      <c r="X3301" s="1008"/>
      <c r="Y3301" s="1008"/>
      <c r="Z3301" s="1008"/>
      <c r="AA3301" s="1008"/>
      <c r="AB3301" s="1008"/>
      <c r="AC3301" s="1008"/>
      <c r="AD3301" s="1008"/>
      <c r="AE3301" s="1008"/>
      <c r="AF3301" s="1008"/>
      <c r="AG3301" s="1008"/>
      <c r="AH3301" s="1008"/>
      <c r="AI3301" s="1008"/>
    </row>
    <row r="3302" spans="1:35">
      <c r="A3302" s="1008">
        <v>25350</v>
      </c>
      <c r="C3302" s="1008">
        <v>5</v>
      </c>
      <c r="D3302" s="1009">
        <v>65099999</v>
      </c>
      <c r="E3302" s="1009">
        <v>65000000</v>
      </c>
      <c r="F3302" s="1007" t="s">
        <v>1353</v>
      </c>
      <c r="O3302" s="1007" t="s">
        <v>648</v>
      </c>
      <c r="P3302" s="1007" t="s">
        <v>648</v>
      </c>
      <c r="S3302" s="1008" t="s">
        <v>650</v>
      </c>
      <c r="T3302" s="1008" t="s">
        <v>675</v>
      </c>
      <c r="U3302" s="1008" t="s">
        <v>653</v>
      </c>
      <c r="V3302" s="1008" t="s">
        <v>648</v>
      </c>
      <c r="W3302" s="1008" t="s">
        <v>546</v>
      </c>
      <c r="X3302" s="1008"/>
      <c r="Y3302" s="1008"/>
      <c r="Z3302" s="1008"/>
      <c r="AA3302" s="1008"/>
      <c r="AB3302" s="1008"/>
      <c r="AC3302" s="1008"/>
      <c r="AD3302" s="1008"/>
      <c r="AE3302" s="1008"/>
      <c r="AF3302" s="1008"/>
      <c r="AG3302" s="1008"/>
      <c r="AH3302" s="1008"/>
      <c r="AI3302" s="1008"/>
    </row>
    <row r="3303" spans="1:35">
      <c r="A3303" s="1008">
        <v>25351</v>
      </c>
      <c r="C3303" s="1008">
        <v>6</v>
      </c>
      <c r="D3303" s="1009">
        <v>65029999</v>
      </c>
      <c r="E3303" s="1009">
        <v>65010000</v>
      </c>
      <c r="F3303" s="1007" t="s">
        <v>1352</v>
      </c>
      <c r="O3303" s="1007" t="s">
        <v>648</v>
      </c>
      <c r="P3303" s="1007" t="s">
        <v>648</v>
      </c>
      <c r="S3303" s="1008" t="s">
        <v>650</v>
      </c>
      <c r="T3303" s="1008" t="s">
        <v>675</v>
      </c>
      <c r="U3303" s="1008" t="s">
        <v>653</v>
      </c>
      <c r="V3303" s="1008" t="s">
        <v>648</v>
      </c>
      <c r="W3303" s="1008" t="s">
        <v>546</v>
      </c>
      <c r="X3303" s="1008"/>
      <c r="Y3303" s="1008"/>
      <c r="Z3303" s="1008"/>
      <c r="AA3303" s="1008"/>
      <c r="AB3303" s="1008"/>
      <c r="AC3303" s="1008"/>
      <c r="AD3303" s="1008"/>
      <c r="AE3303" s="1008"/>
      <c r="AF3303" s="1008"/>
      <c r="AG3303" s="1008"/>
      <c r="AH3303" s="1008"/>
      <c r="AI3303" s="1008"/>
    </row>
    <row r="3304" spans="1:35">
      <c r="A3304" s="1008">
        <v>25352</v>
      </c>
      <c r="B3304" s="1008">
        <v>594</v>
      </c>
      <c r="C3304" s="1008">
        <v>7</v>
      </c>
      <c r="D3304" s="1009">
        <v>65029999</v>
      </c>
      <c r="E3304" s="1009">
        <v>65011000</v>
      </c>
      <c r="F3304" s="1007" t="s">
        <v>1559</v>
      </c>
      <c r="G3304" s="1007">
        <v>8</v>
      </c>
      <c r="H3304" s="1010">
        <v>99999999</v>
      </c>
      <c r="I3304" s="1009">
        <v>65011000</v>
      </c>
      <c r="J3304" s="1007" t="s">
        <v>1559</v>
      </c>
      <c r="O3304" s="1007" t="s">
        <v>648</v>
      </c>
      <c r="P3304" s="1007" t="s">
        <v>648</v>
      </c>
      <c r="S3304" s="1008" t="s">
        <v>650</v>
      </c>
      <c r="T3304" s="1008" t="s">
        <v>654</v>
      </c>
      <c r="U3304" s="1008" t="s">
        <v>653</v>
      </c>
      <c r="V3304" s="1008" t="s">
        <v>648</v>
      </c>
      <c r="W3304" s="1008" t="s">
        <v>546</v>
      </c>
      <c r="X3304" s="1008" t="s">
        <v>670</v>
      </c>
      <c r="Y3304" s="1008"/>
      <c r="Z3304" s="1008"/>
      <c r="AA3304" s="1008" t="s">
        <v>670</v>
      </c>
      <c r="AB3304" s="1008"/>
      <c r="AC3304" s="1008"/>
      <c r="AD3304" s="1008"/>
      <c r="AE3304" s="1008"/>
      <c r="AF3304" s="1008"/>
      <c r="AG3304" s="1008"/>
      <c r="AH3304" s="1008"/>
      <c r="AI3304" s="1008"/>
    </row>
    <row r="3305" spans="1:35">
      <c r="A3305" s="1008">
        <v>25353</v>
      </c>
      <c r="B3305" s="1008">
        <v>554</v>
      </c>
      <c r="C3305" s="1008">
        <v>7</v>
      </c>
      <c r="D3305" s="1009">
        <v>65029999</v>
      </c>
      <c r="E3305" s="1009">
        <v>65012000</v>
      </c>
      <c r="F3305" s="1007" t="s">
        <v>1558</v>
      </c>
      <c r="G3305" s="1007">
        <v>8</v>
      </c>
      <c r="H3305" s="1010">
        <v>99999999</v>
      </c>
      <c r="I3305" s="1009">
        <v>65012000</v>
      </c>
      <c r="J3305" s="1007" t="s">
        <v>1558</v>
      </c>
      <c r="O3305" s="1007" t="s">
        <v>648</v>
      </c>
      <c r="P3305" s="1007" t="s">
        <v>648</v>
      </c>
      <c r="S3305" s="1008" t="s">
        <v>650</v>
      </c>
      <c r="T3305" s="1008" t="s">
        <v>654</v>
      </c>
      <c r="U3305" s="1008" t="s">
        <v>653</v>
      </c>
      <c r="V3305" s="1008" t="s">
        <v>648</v>
      </c>
      <c r="W3305" s="1008" t="s">
        <v>546</v>
      </c>
      <c r="X3305" s="1008" t="s">
        <v>670</v>
      </c>
      <c r="Y3305" s="1008"/>
      <c r="Z3305" s="1008"/>
      <c r="AA3305" s="1008" t="s">
        <v>670</v>
      </c>
      <c r="AB3305" s="1008"/>
      <c r="AC3305" s="1008"/>
      <c r="AD3305" s="1008"/>
      <c r="AE3305" s="1008"/>
      <c r="AF3305" s="1008"/>
      <c r="AG3305" s="1008"/>
      <c r="AH3305" s="1008"/>
      <c r="AI3305" s="1008"/>
    </row>
    <row r="3306" spans="1:35">
      <c r="A3306" s="1008">
        <v>25354</v>
      </c>
      <c r="B3306" s="1008">
        <v>2374</v>
      </c>
      <c r="C3306" s="1008">
        <v>7</v>
      </c>
      <c r="D3306" s="1009">
        <v>65029999</v>
      </c>
      <c r="E3306" s="1009">
        <v>65013000</v>
      </c>
      <c r="F3306" s="1007" t="s">
        <v>1557</v>
      </c>
      <c r="G3306" s="1007">
        <v>7</v>
      </c>
      <c r="H3306" s="1010">
        <v>99999999</v>
      </c>
      <c r="I3306" s="1009">
        <v>65013000</v>
      </c>
      <c r="J3306" s="1007" t="s">
        <v>1557</v>
      </c>
      <c r="O3306" s="1007" t="s">
        <v>648</v>
      </c>
      <c r="P3306" s="1007" t="s">
        <v>648</v>
      </c>
      <c r="S3306" s="1008" t="s">
        <v>650</v>
      </c>
      <c r="T3306" s="1008" t="s">
        <v>654</v>
      </c>
      <c r="U3306" s="1008" t="s">
        <v>653</v>
      </c>
      <c r="V3306" s="1008" t="s">
        <v>648</v>
      </c>
      <c r="W3306" s="1008" t="s">
        <v>546</v>
      </c>
      <c r="X3306" s="1008" t="s">
        <v>670</v>
      </c>
      <c r="Y3306" s="1008"/>
      <c r="Z3306" s="1008"/>
      <c r="AA3306" s="1008" t="s">
        <v>670</v>
      </c>
      <c r="AB3306" s="1008"/>
      <c r="AC3306" s="1008"/>
      <c r="AD3306" s="1008"/>
      <c r="AE3306" s="1008"/>
      <c r="AF3306" s="1008"/>
      <c r="AG3306" s="1008"/>
      <c r="AH3306" s="1008"/>
      <c r="AI3306" s="1008"/>
    </row>
    <row r="3307" spans="1:35">
      <c r="A3307" s="1008">
        <v>25355</v>
      </c>
      <c r="B3307" s="1008">
        <v>596</v>
      </c>
      <c r="C3307" s="1008">
        <v>7</v>
      </c>
      <c r="D3307" s="1009">
        <v>65029999</v>
      </c>
      <c r="E3307" s="1009">
        <v>65014000</v>
      </c>
      <c r="F3307" s="1007" t="s">
        <v>1556</v>
      </c>
      <c r="G3307" s="1007">
        <v>8</v>
      </c>
      <c r="H3307" s="1010">
        <v>99999999</v>
      </c>
      <c r="I3307" s="1009">
        <v>65014000</v>
      </c>
      <c r="J3307" s="1007" t="s">
        <v>1556</v>
      </c>
      <c r="O3307" s="1007" t="s">
        <v>648</v>
      </c>
      <c r="P3307" s="1007" t="s">
        <v>648</v>
      </c>
      <c r="S3307" s="1008" t="s">
        <v>650</v>
      </c>
      <c r="T3307" s="1008" t="s">
        <v>654</v>
      </c>
      <c r="U3307" s="1008" t="s">
        <v>653</v>
      </c>
      <c r="V3307" s="1008" t="s">
        <v>648</v>
      </c>
      <c r="W3307" s="1008" t="s">
        <v>546</v>
      </c>
      <c r="X3307" s="1008" t="s">
        <v>670</v>
      </c>
      <c r="Y3307" s="1008"/>
      <c r="Z3307" s="1008"/>
      <c r="AA3307" s="1008" t="s">
        <v>670</v>
      </c>
      <c r="AB3307" s="1008"/>
      <c r="AC3307" s="1008"/>
      <c r="AD3307" s="1008"/>
      <c r="AE3307" s="1008"/>
      <c r="AF3307" s="1008"/>
      <c r="AG3307" s="1008"/>
      <c r="AH3307" s="1008"/>
      <c r="AI3307" s="1008"/>
    </row>
    <row r="3308" spans="1:35">
      <c r="A3308" s="1008">
        <v>25357</v>
      </c>
      <c r="B3308" s="1008">
        <v>2377</v>
      </c>
      <c r="C3308" s="1008">
        <v>7</v>
      </c>
      <c r="D3308" s="1009">
        <v>65029999</v>
      </c>
      <c r="E3308" s="1009">
        <v>65016000</v>
      </c>
      <c r="F3308" s="1007" t="s">
        <v>1555</v>
      </c>
      <c r="G3308" s="1007">
        <v>7</v>
      </c>
      <c r="H3308" s="1010">
        <v>99999999</v>
      </c>
      <c r="I3308" s="1009">
        <v>65016000</v>
      </c>
      <c r="J3308" s="1007" t="s">
        <v>1555</v>
      </c>
      <c r="O3308" s="1007" t="s">
        <v>648</v>
      </c>
      <c r="P3308" s="1007" t="s">
        <v>648</v>
      </c>
      <c r="S3308" s="1008" t="s">
        <v>650</v>
      </c>
      <c r="T3308" s="1008" t="s">
        <v>654</v>
      </c>
      <c r="U3308" s="1008" t="s">
        <v>653</v>
      </c>
      <c r="V3308" s="1008" t="s">
        <v>648</v>
      </c>
      <c r="W3308" s="1008" t="s">
        <v>546</v>
      </c>
      <c r="X3308" s="1008" t="s">
        <v>670</v>
      </c>
      <c r="Y3308" s="1008"/>
      <c r="Z3308" s="1008"/>
      <c r="AA3308" s="1008" t="s">
        <v>670</v>
      </c>
      <c r="AB3308" s="1008"/>
      <c r="AC3308" s="1008"/>
      <c r="AD3308" s="1008"/>
      <c r="AE3308" s="1008"/>
      <c r="AF3308" s="1008"/>
      <c r="AG3308" s="1008"/>
      <c r="AH3308" s="1008"/>
      <c r="AI3308" s="1008"/>
    </row>
    <row r="3309" spans="1:35">
      <c r="A3309" s="1008">
        <v>25358</v>
      </c>
      <c r="B3309" s="1008">
        <v>595</v>
      </c>
      <c r="C3309" s="1008">
        <v>7</v>
      </c>
      <c r="D3309" s="1009">
        <v>65029999</v>
      </c>
      <c r="E3309" s="1009">
        <v>65017000</v>
      </c>
      <c r="F3309" s="1007" t="s">
        <v>1554</v>
      </c>
      <c r="G3309" s="1007">
        <v>8</v>
      </c>
      <c r="H3309" s="1010">
        <v>99999999</v>
      </c>
      <c r="I3309" s="1009">
        <v>65017000</v>
      </c>
      <c r="J3309" s="1007" t="s">
        <v>1554</v>
      </c>
      <c r="O3309" s="1007" t="s">
        <v>648</v>
      </c>
      <c r="P3309" s="1007" t="s">
        <v>648</v>
      </c>
      <c r="S3309" s="1008" t="s">
        <v>650</v>
      </c>
      <c r="T3309" s="1008" t="s">
        <v>654</v>
      </c>
      <c r="U3309" s="1008" t="s">
        <v>653</v>
      </c>
      <c r="V3309" s="1008" t="s">
        <v>648</v>
      </c>
      <c r="W3309" s="1008" t="s">
        <v>546</v>
      </c>
      <c r="X3309" s="1008" t="s">
        <v>670</v>
      </c>
      <c r="Y3309" s="1008"/>
      <c r="Z3309" s="1008"/>
      <c r="AA3309" s="1008" t="s">
        <v>670</v>
      </c>
      <c r="AB3309" s="1008"/>
      <c r="AC3309" s="1008"/>
      <c r="AD3309" s="1008"/>
      <c r="AE3309" s="1008"/>
      <c r="AF3309" s="1008"/>
      <c r="AG3309" s="1008"/>
      <c r="AH3309" s="1008"/>
      <c r="AI3309" s="1008"/>
    </row>
    <row r="3310" spans="1:35">
      <c r="A3310" s="1008">
        <v>25359</v>
      </c>
      <c r="B3310" s="1008">
        <v>2379</v>
      </c>
      <c r="C3310" s="1008">
        <v>7</v>
      </c>
      <c r="D3310" s="1009">
        <v>65029999</v>
      </c>
      <c r="E3310" s="1009">
        <v>65018000</v>
      </c>
      <c r="F3310" s="1007" t="s">
        <v>1553</v>
      </c>
      <c r="G3310" s="1007">
        <v>7</v>
      </c>
      <c r="H3310" s="1010">
        <v>99999999</v>
      </c>
      <c r="I3310" s="1009">
        <v>65018000</v>
      </c>
      <c r="J3310" s="1007" t="s">
        <v>1553</v>
      </c>
      <c r="O3310" s="1007" t="s">
        <v>648</v>
      </c>
      <c r="P3310" s="1007" t="s">
        <v>648</v>
      </c>
      <c r="S3310" s="1008" t="s">
        <v>650</v>
      </c>
      <c r="T3310" s="1008" t="s">
        <v>654</v>
      </c>
      <c r="U3310" s="1008" t="s">
        <v>653</v>
      </c>
      <c r="V3310" s="1008" t="s">
        <v>648</v>
      </c>
      <c r="W3310" s="1008" t="s">
        <v>546</v>
      </c>
      <c r="X3310" s="1008" t="s">
        <v>670</v>
      </c>
      <c r="Y3310" s="1008"/>
      <c r="Z3310" s="1008"/>
      <c r="AA3310" s="1008" t="s">
        <v>670</v>
      </c>
      <c r="AB3310" s="1008"/>
      <c r="AC3310" s="1008"/>
      <c r="AD3310" s="1008"/>
      <c r="AE3310" s="1008"/>
      <c r="AF3310" s="1008"/>
      <c r="AG3310" s="1008"/>
      <c r="AH3310" s="1008"/>
      <c r="AI3310" s="1008"/>
    </row>
    <row r="3311" spans="1:35">
      <c r="A3311" s="1008">
        <v>25360</v>
      </c>
      <c r="B3311" s="1008">
        <v>5528</v>
      </c>
      <c r="C3311" s="1008">
        <v>7</v>
      </c>
      <c r="D3311" s="1009">
        <v>65029999</v>
      </c>
      <c r="E3311" s="1009">
        <v>65019000</v>
      </c>
      <c r="F3311" s="1007" t="s">
        <v>1552</v>
      </c>
      <c r="G3311" s="1007">
        <v>7</v>
      </c>
      <c r="H3311" s="1010">
        <v>99999999</v>
      </c>
      <c r="I3311" s="1009">
        <v>65019000</v>
      </c>
      <c r="J3311" s="1007" t="s">
        <v>1552</v>
      </c>
      <c r="O3311" s="1007" t="s">
        <v>648</v>
      </c>
      <c r="P3311" s="1007" t="s">
        <v>648</v>
      </c>
      <c r="S3311" s="1008" t="s">
        <v>650</v>
      </c>
      <c r="T3311" s="1008" t="s">
        <v>654</v>
      </c>
      <c r="U3311" s="1008" t="s">
        <v>653</v>
      </c>
      <c r="V3311" s="1008" t="s">
        <v>648</v>
      </c>
      <c r="W3311" s="1008" t="s">
        <v>546</v>
      </c>
      <c r="X3311" s="1008" t="s">
        <v>670</v>
      </c>
      <c r="Y3311" s="1008"/>
      <c r="Z3311" s="1008"/>
      <c r="AA3311" s="1008" t="s">
        <v>670</v>
      </c>
      <c r="AB3311" s="1008"/>
      <c r="AC3311" s="1008"/>
      <c r="AD3311" s="1008"/>
      <c r="AE3311" s="1008"/>
      <c r="AF3311" s="1008"/>
      <c r="AG3311" s="1008"/>
      <c r="AH3311" s="1008"/>
      <c r="AI3311" s="1008"/>
    </row>
    <row r="3312" spans="1:35">
      <c r="A3312" s="1008">
        <v>26598</v>
      </c>
      <c r="B3312" s="1008">
        <v>5862</v>
      </c>
      <c r="C3312" s="1008">
        <v>7</v>
      </c>
      <c r="D3312" s="1009">
        <v>65029999</v>
      </c>
      <c r="E3312" s="1009">
        <v>65020000</v>
      </c>
      <c r="F3312" s="1007" t="s">
        <v>1351</v>
      </c>
      <c r="G3312" s="1007" t="s">
        <v>648</v>
      </c>
      <c r="H3312" s="1010">
        <v>99999999</v>
      </c>
      <c r="I3312" s="1009">
        <v>65020000</v>
      </c>
      <c r="J3312" s="1007" t="s">
        <v>1351</v>
      </c>
      <c r="O3312" s="1007" t="s">
        <v>648</v>
      </c>
      <c r="P3312" s="1007" t="s">
        <v>648</v>
      </c>
      <c r="S3312" s="1008" t="s">
        <v>650</v>
      </c>
      <c r="T3312" s="1008" t="s">
        <v>654</v>
      </c>
      <c r="U3312" s="1008" t="s">
        <v>653</v>
      </c>
      <c r="V3312" s="1008" t="s">
        <v>648</v>
      </c>
      <c r="W3312" s="1008" t="s">
        <v>546</v>
      </c>
      <c r="X3312" s="1008" t="s">
        <v>670</v>
      </c>
      <c r="Y3312" s="1008"/>
      <c r="Z3312" s="1008"/>
      <c r="AA3312" s="1008" t="s">
        <v>670</v>
      </c>
      <c r="AB3312" s="1008"/>
      <c r="AC3312" s="1008" t="s">
        <v>670</v>
      </c>
      <c r="AD3312" s="1008"/>
      <c r="AE3312" s="1008"/>
      <c r="AF3312" s="1008"/>
      <c r="AG3312" s="1008"/>
      <c r="AH3312" s="1008"/>
      <c r="AI3312" s="1008"/>
    </row>
    <row r="3313" spans="1:35">
      <c r="A3313" s="1008">
        <v>26599</v>
      </c>
      <c r="B3313" s="1008">
        <v>5863</v>
      </c>
      <c r="C3313" s="1008">
        <v>7</v>
      </c>
      <c r="D3313" s="1009">
        <v>65029999</v>
      </c>
      <c r="E3313" s="1009">
        <v>65021000</v>
      </c>
      <c r="F3313" s="1007" t="s">
        <v>1551</v>
      </c>
      <c r="G3313" s="1007" t="s">
        <v>648</v>
      </c>
      <c r="H3313" s="1010">
        <v>99999999</v>
      </c>
      <c r="I3313" s="1009">
        <v>65021000</v>
      </c>
      <c r="J3313" s="1007" t="s">
        <v>1551</v>
      </c>
      <c r="O3313" s="1007" t="s">
        <v>648</v>
      </c>
      <c r="P3313" s="1007" t="s">
        <v>648</v>
      </c>
      <c r="S3313" s="1008" t="s">
        <v>650</v>
      </c>
      <c r="T3313" s="1008" t="s">
        <v>654</v>
      </c>
      <c r="U3313" s="1008" t="s">
        <v>653</v>
      </c>
      <c r="V3313" s="1008" t="s">
        <v>648</v>
      </c>
      <c r="W3313" s="1008" t="s">
        <v>546</v>
      </c>
      <c r="X3313" s="1008" t="s">
        <v>670</v>
      </c>
      <c r="Y3313" s="1008"/>
      <c r="Z3313" s="1008"/>
      <c r="AA3313" s="1008" t="s">
        <v>670</v>
      </c>
      <c r="AB3313" s="1008"/>
      <c r="AC3313" s="1008"/>
      <c r="AD3313" s="1008"/>
      <c r="AE3313" s="1008"/>
      <c r="AF3313" s="1008"/>
      <c r="AG3313" s="1008"/>
      <c r="AH3313" s="1008"/>
      <c r="AI3313" s="1008"/>
    </row>
    <row r="3314" spans="1:35">
      <c r="A3314" s="1008">
        <v>25361</v>
      </c>
      <c r="C3314" s="1008">
        <v>6</v>
      </c>
      <c r="D3314" s="1009">
        <v>65099999</v>
      </c>
      <c r="E3314" s="1009">
        <v>65029999</v>
      </c>
      <c r="F3314" s="1007" t="s">
        <v>1350</v>
      </c>
      <c r="O3314" s="1007" t="s">
        <v>648</v>
      </c>
      <c r="P3314" s="1007" t="s">
        <v>648</v>
      </c>
      <c r="S3314" s="1008" t="s">
        <v>650</v>
      </c>
      <c r="T3314" s="1008" t="s">
        <v>21</v>
      </c>
      <c r="U3314" s="1008" t="s">
        <v>653</v>
      </c>
      <c r="V3314" s="1008" t="s">
        <v>648</v>
      </c>
      <c r="W3314" s="1008" t="s">
        <v>546</v>
      </c>
      <c r="X3314" s="1008"/>
      <c r="Y3314" s="1008"/>
      <c r="Z3314" s="1008"/>
      <c r="AA3314" s="1008"/>
      <c r="AB3314" s="1008"/>
      <c r="AC3314" s="1008"/>
      <c r="AD3314" s="1008"/>
      <c r="AE3314" s="1008"/>
      <c r="AF3314" s="1008"/>
      <c r="AG3314" s="1008"/>
      <c r="AH3314" s="1008"/>
      <c r="AI3314" s="1008"/>
    </row>
    <row r="3315" spans="1:35">
      <c r="A3315" s="1008">
        <v>26600</v>
      </c>
      <c r="C3315" s="1008">
        <v>6</v>
      </c>
      <c r="D3315" s="1009">
        <v>65039999</v>
      </c>
      <c r="E3315" s="1009">
        <v>65030000</v>
      </c>
      <c r="F3315" s="1007" t="s">
        <v>1349</v>
      </c>
      <c r="O3315" s="1007" t="s">
        <v>648</v>
      </c>
      <c r="P3315" s="1007" t="s">
        <v>648</v>
      </c>
      <c r="S3315" s="1008" t="s">
        <v>650</v>
      </c>
      <c r="T3315" s="1008" t="s">
        <v>675</v>
      </c>
      <c r="U3315" s="1008" t="s">
        <v>653</v>
      </c>
      <c r="V3315" s="1008" t="s">
        <v>648</v>
      </c>
      <c r="W3315" s="1008" t="s">
        <v>546</v>
      </c>
      <c r="X3315" s="1008"/>
      <c r="Y3315" s="1008"/>
      <c r="Z3315" s="1008"/>
      <c r="AA3315" s="1008"/>
      <c r="AB3315" s="1008"/>
      <c r="AC3315" s="1008"/>
      <c r="AD3315" s="1008"/>
      <c r="AE3315" s="1008"/>
      <c r="AF3315" s="1008"/>
      <c r="AG3315" s="1008"/>
      <c r="AH3315" s="1008"/>
      <c r="AI3315" s="1008"/>
    </row>
    <row r="3316" spans="1:35">
      <c r="A3316" s="1008">
        <v>25356</v>
      </c>
      <c r="B3316" s="1008">
        <v>2376</v>
      </c>
      <c r="C3316" s="1008">
        <v>7</v>
      </c>
      <c r="D3316" s="1009">
        <v>65039999</v>
      </c>
      <c r="E3316" s="1009">
        <v>65031000</v>
      </c>
      <c r="F3316" s="1007" t="s">
        <v>1348</v>
      </c>
      <c r="G3316" s="1007">
        <v>7</v>
      </c>
      <c r="H3316" s="1010">
        <v>99999999</v>
      </c>
      <c r="I3316" s="1009">
        <v>65031000</v>
      </c>
      <c r="J3316" s="1007" t="s">
        <v>1348</v>
      </c>
      <c r="O3316" s="1007" t="s">
        <v>648</v>
      </c>
      <c r="P3316" s="1007" t="s">
        <v>648</v>
      </c>
      <c r="S3316" s="1008" t="s">
        <v>650</v>
      </c>
      <c r="T3316" s="1008" t="s">
        <v>654</v>
      </c>
      <c r="U3316" s="1008" t="s">
        <v>653</v>
      </c>
      <c r="V3316" s="1008" t="s">
        <v>648</v>
      </c>
      <c r="W3316" s="1008" t="s">
        <v>546</v>
      </c>
      <c r="X3316" s="1008" t="s">
        <v>670</v>
      </c>
      <c r="Y3316" s="1008"/>
      <c r="Z3316" s="1008"/>
      <c r="AA3316" s="1008" t="s">
        <v>670</v>
      </c>
      <c r="AB3316" s="1008"/>
      <c r="AC3316" s="1008"/>
      <c r="AD3316" s="1008"/>
      <c r="AE3316" s="1008"/>
      <c r="AF3316" s="1008"/>
      <c r="AG3316" s="1008"/>
      <c r="AH3316" s="1008"/>
      <c r="AI3316" s="1008"/>
    </row>
    <row r="3317" spans="1:35">
      <c r="A3317" s="1008">
        <v>26601</v>
      </c>
      <c r="B3317" s="1008">
        <v>5864</v>
      </c>
      <c r="C3317" s="1008">
        <v>7</v>
      </c>
      <c r="D3317" s="1009">
        <v>65039999</v>
      </c>
      <c r="E3317" s="1009">
        <v>65032000</v>
      </c>
      <c r="F3317" s="1007" t="s">
        <v>1346</v>
      </c>
      <c r="G3317" s="1007" t="s">
        <v>648</v>
      </c>
      <c r="H3317" s="1010">
        <v>99999999</v>
      </c>
      <c r="I3317" s="1009">
        <v>65032000</v>
      </c>
      <c r="J3317" s="1007" t="s">
        <v>1346</v>
      </c>
      <c r="O3317" s="1007" t="s">
        <v>648</v>
      </c>
      <c r="P3317" s="1007" t="s">
        <v>648</v>
      </c>
      <c r="S3317" s="1008" t="s">
        <v>650</v>
      </c>
      <c r="T3317" s="1008" t="s">
        <v>654</v>
      </c>
      <c r="U3317" s="1008" t="s">
        <v>653</v>
      </c>
      <c r="V3317" s="1008" t="s">
        <v>648</v>
      </c>
      <c r="W3317" s="1008" t="s">
        <v>546</v>
      </c>
      <c r="X3317" s="1008" t="s">
        <v>670</v>
      </c>
      <c r="Y3317" s="1008"/>
      <c r="Z3317" s="1008"/>
      <c r="AA3317" s="1008" t="s">
        <v>670</v>
      </c>
      <c r="AB3317" s="1008"/>
      <c r="AC3317" s="1008"/>
      <c r="AD3317" s="1008"/>
      <c r="AE3317" s="1008"/>
      <c r="AF3317" s="1008"/>
      <c r="AG3317" s="1008"/>
      <c r="AH3317" s="1008"/>
      <c r="AI3317" s="1008"/>
    </row>
    <row r="3318" spans="1:35">
      <c r="A3318" s="1008">
        <v>26602</v>
      </c>
      <c r="B3318" s="1008">
        <v>5865</v>
      </c>
      <c r="C3318" s="1008">
        <v>7</v>
      </c>
      <c r="D3318" s="1009">
        <v>65039999</v>
      </c>
      <c r="E3318" s="1009">
        <v>65033000</v>
      </c>
      <c r="F3318" s="1007" t="s">
        <v>1345</v>
      </c>
      <c r="G3318" s="1007" t="s">
        <v>648</v>
      </c>
      <c r="H3318" s="1010">
        <v>99999999</v>
      </c>
      <c r="I3318" s="1009">
        <v>65033000</v>
      </c>
      <c r="J3318" s="1007" t="s">
        <v>1345</v>
      </c>
      <c r="O3318" s="1007" t="s">
        <v>648</v>
      </c>
      <c r="P3318" s="1007" t="s">
        <v>648</v>
      </c>
      <c r="S3318" s="1008" t="s">
        <v>650</v>
      </c>
      <c r="T3318" s="1008" t="s">
        <v>654</v>
      </c>
      <c r="U3318" s="1008" t="s">
        <v>653</v>
      </c>
      <c r="V3318" s="1008" t="s">
        <v>648</v>
      </c>
      <c r="W3318" s="1008" t="s">
        <v>546</v>
      </c>
      <c r="X3318" s="1008" t="s">
        <v>670</v>
      </c>
      <c r="Y3318" s="1008"/>
      <c r="Z3318" s="1008"/>
      <c r="AA3318" s="1008" t="s">
        <v>670</v>
      </c>
      <c r="AB3318" s="1008"/>
      <c r="AC3318" s="1008"/>
      <c r="AD3318" s="1008"/>
      <c r="AE3318" s="1008"/>
      <c r="AF3318" s="1008"/>
      <c r="AG3318" s="1008"/>
      <c r="AH3318" s="1008"/>
      <c r="AI3318" s="1008"/>
    </row>
    <row r="3319" spans="1:35">
      <c r="A3319" s="1008">
        <v>26603</v>
      </c>
      <c r="B3319" s="1008">
        <v>5866</v>
      </c>
      <c r="C3319" s="1008">
        <v>7</v>
      </c>
      <c r="D3319" s="1009">
        <v>65039999</v>
      </c>
      <c r="E3319" s="1009">
        <v>65034000</v>
      </c>
      <c r="F3319" s="1007" t="s">
        <v>1344</v>
      </c>
      <c r="G3319" s="1007" t="s">
        <v>648</v>
      </c>
      <c r="H3319" s="1010">
        <v>99999999</v>
      </c>
      <c r="I3319" s="1009">
        <v>65034000</v>
      </c>
      <c r="J3319" s="1007" t="s">
        <v>1344</v>
      </c>
      <c r="O3319" s="1007" t="s">
        <v>648</v>
      </c>
      <c r="P3319" s="1007" t="s">
        <v>648</v>
      </c>
      <c r="S3319" s="1008" t="s">
        <v>650</v>
      </c>
      <c r="T3319" s="1008" t="s">
        <v>654</v>
      </c>
      <c r="U3319" s="1008" t="s">
        <v>653</v>
      </c>
      <c r="V3319" s="1008" t="s">
        <v>648</v>
      </c>
      <c r="W3319" s="1008" t="s">
        <v>546</v>
      </c>
      <c r="X3319" s="1008" t="s">
        <v>670</v>
      </c>
      <c r="Y3319" s="1008"/>
      <c r="Z3319" s="1008"/>
      <c r="AA3319" s="1008" t="s">
        <v>670</v>
      </c>
      <c r="AB3319" s="1008"/>
      <c r="AC3319" s="1008"/>
      <c r="AD3319" s="1008"/>
      <c r="AE3319" s="1008"/>
      <c r="AF3319" s="1008"/>
      <c r="AG3319" s="1008"/>
      <c r="AH3319" s="1008"/>
      <c r="AI3319" s="1008"/>
    </row>
    <row r="3320" spans="1:35">
      <c r="A3320" s="1008">
        <v>26604</v>
      </c>
      <c r="B3320" s="1008">
        <v>5867</v>
      </c>
      <c r="C3320" s="1008">
        <v>7</v>
      </c>
      <c r="D3320" s="1009">
        <v>65039999</v>
      </c>
      <c r="E3320" s="1009">
        <v>65035000</v>
      </c>
      <c r="F3320" s="1007" t="s">
        <v>1343</v>
      </c>
      <c r="G3320" s="1007" t="s">
        <v>648</v>
      </c>
      <c r="H3320" s="1010">
        <v>99999999</v>
      </c>
      <c r="I3320" s="1009">
        <v>65035000</v>
      </c>
      <c r="J3320" s="1007" t="s">
        <v>1343</v>
      </c>
      <c r="O3320" s="1007" t="s">
        <v>648</v>
      </c>
      <c r="P3320" s="1007" t="s">
        <v>648</v>
      </c>
      <c r="S3320" s="1008" t="s">
        <v>650</v>
      </c>
      <c r="T3320" s="1008" t="s">
        <v>654</v>
      </c>
      <c r="U3320" s="1008" t="s">
        <v>653</v>
      </c>
      <c r="V3320" s="1008" t="s">
        <v>648</v>
      </c>
      <c r="W3320" s="1008" t="s">
        <v>546</v>
      </c>
      <c r="X3320" s="1008" t="s">
        <v>670</v>
      </c>
      <c r="Y3320" s="1008"/>
      <c r="Z3320" s="1008"/>
      <c r="AA3320" s="1008" t="s">
        <v>670</v>
      </c>
      <c r="AB3320" s="1008"/>
      <c r="AC3320" s="1008"/>
      <c r="AD3320" s="1008"/>
      <c r="AE3320" s="1008"/>
      <c r="AF3320" s="1008"/>
      <c r="AG3320" s="1008"/>
      <c r="AH3320" s="1008"/>
      <c r="AI3320" s="1008"/>
    </row>
    <row r="3321" spans="1:35">
      <c r="A3321" s="1008">
        <v>26605</v>
      </c>
      <c r="B3321" s="1008">
        <v>5868</v>
      </c>
      <c r="C3321" s="1008">
        <v>7</v>
      </c>
      <c r="D3321" s="1009">
        <v>65039999</v>
      </c>
      <c r="E3321" s="1009">
        <v>65036000</v>
      </c>
      <c r="F3321" s="1007" t="s">
        <v>1342</v>
      </c>
      <c r="G3321" s="1007" t="s">
        <v>648</v>
      </c>
      <c r="H3321" s="1010">
        <v>99999999</v>
      </c>
      <c r="I3321" s="1009">
        <v>65036000</v>
      </c>
      <c r="J3321" s="1007" t="s">
        <v>1342</v>
      </c>
      <c r="O3321" s="1007" t="s">
        <v>648</v>
      </c>
      <c r="P3321" s="1007" t="s">
        <v>648</v>
      </c>
      <c r="S3321" s="1008" t="s">
        <v>650</v>
      </c>
      <c r="T3321" s="1008" t="s">
        <v>654</v>
      </c>
      <c r="U3321" s="1008" t="s">
        <v>653</v>
      </c>
      <c r="V3321" s="1008" t="s">
        <v>648</v>
      </c>
      <c r="W3321" s="1008" t="s">
        <v>546</v>
      </c>
      <c r="X3321" s="1008" t="s">
        <v>670</v>
      </c>
      <c r="Y3321" s="1008"/>
      <c r="Z3321" s="1008"/>
      <c r="AA3321" s="1008" t="s">
        <v>670</v>
      </c>
      <c r="AB3321" s="1008"/>
      <c r="AC3321" s="1008"/>
      <c r="AD3321" s="1008"/>
      <c r="AE3321" s="1008"/>
      <c r="AF3321" s="1008"/>
      <c r="AG3321" s="1008"/>
      <c r="AH3321" s="1008"/>
      <c r="AI3321" s="1008"/>
    </row>
    <row r="3322" spans="1:35">
      <c r="A3322" s="1008">
        <v>26606</v>
      </c>
      <c r="B3322" s="1008">
        <v>5869</v>
      </c>
      <c r="C3322" s="1008">
        <v>7</v>
      </c>
      <c r="D3322" s="1009">
        <v>65039999</v>
      </c>
      <c r="E3322" s="1009">
        <v>65037000</v>
      </c>
      <c r="F3322" s="1007" t="s">
        <v>1341</v>
      </c>
      <c r="G3322" s="1007" t="s">
        <v>648</v>
      </c>
      <c r="H3322" s="1010">
        <v>99999999</v>
      </c>
      <c r="I3322" s="1009">
        <v>65037000</v>
      </c>
      <c r="J3322" s="1007" t="s">
        <v>1341</v>
      </c>
      <c r="O3322" s="1007" t="s">
        <v>648</v>
      </c>
      <c r="P3322" s="1007" t="s">
        <v>648</v>
      </c>
      <c r="S3322" s="1008" t="s">
        <v>650</v>
      </c>
      <c r="T3322" s="1008" t="s">
        <v>654</v>
      </c>
      <c r="U3322" s="1008" t="s">
        <v>653</v>
      </c>
      <c r="V3322" s="1008" t="s">
        <v>648</v>
      </c>
      <c r="W3322" s="1008" t="s">
        <v>546</v>
      </c>
      <c r="X3322" s="1008" t="s">
        <v>670</v>
      </c>
      <c r="Y3322" s="1008"/>
      <c r="Z3322" s="1008"/>
      <c r="AA3322" s="1008" t="s">
        <v>670</v>
      </c>
      <c r="AB3322" s="1008"/>
      <c r="AC3322" s="1008"/>
      <c r="AD3322" s="1008"/>
      <c r="AE3322" s="1008"/>
      <c r="AF3322" s="1008"/>
      <c r="AG3322" s="1008"/>
      <c r="AH3322" s="1008"/>
      <c r="AI3322" s="1008"/>
    </row>
    <row r="3323" spans="1:35">
      <c r="A3323" s="1008">
        <v>26607</v>
      </c>
      <c r="B3323" s="1008">
        <v>5870</v>
      </c>
      <c r="C3323" s="1008">
        <v>7</v>
      </c>
      <c r="D3323" s="1009">
        <v>65039999</v>
      </c>
      <c r="E3323" s="1009">
        <v>65038000</v>
      </c>
      <c r="F3323" s="1007" t="s">
        <v>1340</v>
      </c>
      <c r="G3323" s="1007" t="s">
        <v>648</v>
      </c>
      <c r="H3323" s="1010">
        <v>99999999</v>
      </c>
      <c r="I3323" s="1009">
        <v>65038000</v>
      </c>
      <c r="J3323" s="1007" t="s">
        <v>1340</v>
      </c>
      <c r="O3323" s="1007" t="s">
        <v>648</v>
      </c>
      <c r="P3323" s="1007" t="s">
        <v>648</v>
      </c>
      <c r="S3323" s="1008" t="s">
        <v>650</v>
      </c>
      <c r="T3323" s="1008" t="s">
        <v>654</v>
      </c>
      <c r="U3323" s="1008" t="s">
        <v>653</v>
      </c>
      <c r="V3323" s="1008" t="s">
        <v>648</v>
      </c>
      <c r="W3323" s="1008" t="s">
        <v>546</v>
      </c>
      <c r="X3323" s="1008" t="s">
        <v>670</v>
      </c>
      <c r="Y3323" s="1008"/>
      <c r="Z3323" s="1008"/>
      <c r="AA3323" s="1008" t="s">
        <v>670</v>
      </c>
      <c r="AB3323" s="1008"/>
      <c r="AC3323" s="1008"/>
      <c r="AD3323" s="1008"/>
      <c r="AE3323" s="1008"/>
      <c r="AF3323" s="1008"/>
      <c r="AG3323" s="1008"/>
      <c r="AH3323" s="1008"/>
      <c r="AI3323" s="1008"/>
    </row>
    <row r="3324" spans="1:35">
      <c r="A3324" s="1008">
        <v>26608</v>
      </c>
      <c r="C3324" s="1008">
        <v>6</v>
      </c>
      <c r="D3324" s="1009">
        <v>65099999</v>
      </c>
      <c r="E3324" s="1009">
        <v>65039999</v>
      </c>
      <c r="F3324" s="1007" t="s">
        <v>1339</v>
      </c>
      <c r="O3324" s="1007" t="s">
        <v>648</v>
      </c>
      <c r="P3324" s="1007" t="s">
        <v>648</v>
      </c>
      <c r="S3324" s="1008" t="s">
        <v>650</v>
      </c>
      <c r="T3324" s="1008" t="s">
        <v>21</v>
      </c>
      <c r="U3324" s="1008" t="s">
        <v>653</v>
      </c>
      <c r="V3324" s="1008" t="s">
        <v>648</v>
      </c>
      <c r="W3324" s="1008" t="s">
        <v>546</v>
      </c>
      <c r="X3324" s="1008"/>
      <c r="Y3324" s="1008"/>
      <c r="Z3324" s="1008"/>
      <c r="AA3324" s="1008"/>
      <c r="AB3324" s="1008"/>
      <c r="AC3324" s="1008"/>
      <c r="AD3324" s="1008"/>
      <c r="AE3324" s="1008"/>
      <c r="AF3324" s="1008"/>
      <c r="AG3324" s="1008"/>
      <c r="AH3324" s="1008"/>
      <c r="AI3324" s="1008"/>
    </row>
    <row r="3325" spans="1:35">
      <c r="A3325" s="1008">
        <v>25362</v>
      </c>
      <c r="C3325" s="1008">
        <v>5</v>
      </c>
      <c r="D3325" s="1009">
        <v>69999999</v>
      </c>
      <c r="E3325" s="1009">
        <v>65099999</v>
      </c>
      <c r="F3325" s="1007" t="s">
        <v>1338</v>
      </c>
      <c r="O3325" s="1007" t="s">
        <v>648</v>
      </c>
      <c r="P3325" s="1007" t="s">
        <v>648</v>
      </c>
      <c r="S3325" s="1008" t="s">
        <v>650</v>
      </c>
      <c r="T3325" s="1008" t="s">
        <v>21</v>
      </c>
      <c r="U3325" s="1008" t="s">
        <v>653</v>
      </c>
      <c r="V3325" s="1008" t="s">
        <v>648</v>
      </c>
      <c r="W3325" s="1008" t="s">
        <v>546</v>
      </c>
      <c r="X3325" s="1008"/>
      <c r="Y3325" s="1008"/>
      <c r="Z3325" s="1008"/>
      <c r="AA3325" s="1008"/>
      <c r="AB3325" s="1008"/>
      <c r="AC3325" s="1008"/>
      <c r="AD3325" s="1008"/>
      <c r="AE3325" s="1008"/>
      <c r="AF3325" s="1008"/>
      <c r="AG3325" s="1008"/>
      <c r="AH3325" s="1008"/>
      <c r="AI3325" s="1008"/>
    </row>
    <row r="3326" spans="1:35">
      <c r="A3326" s="1008">
        <v>25363</v>
      </c>
      <c r="C3326" s="1008">
        <v>5</v>
      </c>
      <c r="D3326" s="1009">
        <v>66099999</v>
      </c>
      <c r="E3326" s="1009">
        <v>66000000</v>
      </c>
      <c r="F3326" s="1007" t="s">
        <v>1337</v>
      </c>
      <c r="O3326" s="1007" t="s">
        <v>648</v>
      </c>
      <c r="P3326" s="1007" t="s">
        <v>648</v>
      </c>
      <c r="S3326" s="1008" t="s">
        <v>650</v>
      </c>
      <c r="T3326" s="1008" t="s">
        <v>675</v>
      </c>
      <c r="U3326" s="1008" t="s">
        <v>653</v>
      </c>
      <c r="V3326" s="1008" t="s">
        <v>648</v>
      </c>
      <c r="W3326" s="1008" t="s">
        <v>546</v>
      </c>
      <c r="X3326" s="1008"/>
      <c r="Y3326" s="1008"/>
      <c r="Z3326" s="1008"/>
      <c r="AA3326" s="1008"/>
      <c r="AB3326" s="1008"/>
      <c r="AC3326" s="1008"/>
      <c r="AD3326" s="1008"/>
      <c r="AE3326" s="1008"/>
      <c r="AF3326" s="1008"/>
      <c r="AG3326" s="1008"/>
      <c r="AH3326" s="1008"/>
      <c r="AI3326" s="1008"/>
    </row>
    <row r="3327" spans="1:35">
      <c r="A3327" s="1008">
        <v>25364</v>
      </c>
      <c r="C3327" s="1008">
        <v>6</v>
      </c>
      <c r="D3327" s="1009">
        <v>66019999</v>
      </c>
      <c r="E3327" s="1009">
        <v>66010000</v>
      </c>
      <c r="F3327" s="1007" t="s">
        <v>1336</v>
      </c>
      <c r="O3327" s="1007" t="s">
        <v>648</v>
      </c>
      <c r="P3327" s="1007" t="s">
        <v>648</v>
      </c>
      <c r="S3327" s="1008" t="s">
        <v>650</v>
      </c>
      <c r="T3327" s="1008" t="s">
        <v>675</v>
      </c>
      <c r="U3327" s="1008" t="s">
        <v>653</v>
      </c>
      <c r="V3327" s="1008" t="s">
        <v>648</v>
      </c>
      <c r="W3327" s="1008" t="s">
        <v>546</v>
      </c>
      <c r="X3327" s="1008"/>
      <c r="Y3327" s="1008"/>
      <c r="Z3327" s="1008"/>
      <c r="AA3327" s="1008"/>
      <c r="AB3327" s="1008"/>
      <c r="AC3327" s="1008"/>
      <c r="AD3327" s="1008"/>
      <c r="AE3327" s="1008"/>
      <c r="AF3327" s="1008"/>
      <c r="AG3327" s="1008"/>
      <c r="AH3327" s="1008"/>
      <c r="AI3327" s="1008"/>
    </row>
    <row r="3328" spans="1:35">
      <c r="A3328" s="1008">
        <v>25366</v>
      </c>
      <c r="B3328" s="1008">
        <v>2382</v>
      </c>
      <c r="C3328" s="1008">
        <v>7</v>
      </c>
      <c r="D3328" s="1009">
        <v>66019999</v>
      </c>
      <c r="E3328" s="1009">
        <v>66012000</v>
      </c>
      <c r="F3328" s="1007" t="s">
        <v>1335</v>
      </c>
      <c r="G3328" s="1007">
        <v>7</v>
      </c>
      <c r="H3328" s="1010">
        <v>99999999</v>
      </c>
      <c r="I3328" s="1009">
        <v>66012000</v>
      </c>
      <c r="J3328" s="1007" t="s">
        <v>1335</v>
      </c>
      <c r="O3328" s="1007" t="s">
        <v>648</v>
      </c>
      <c r="P3328" s="1007" t="s">
        <v>648</v>
      </c>
      <c r="S3328" s="1008" t="s">
        <v>650</v>
      </c>
      <c r="T3328" s="1008" t="s">
        <v>654</v>
      </c>
      <c r="U3328" s="1008" t="s">
        <v>653</v>
      </c>
      <c r="V3328" s="1008" t="s">
        <v>648</v>
      </c>
      <c r="W3328" s="1008" t="s">
        <v>546</v>
      </c>
      <c r="X3328" s="1008" t="s">
        <v>670</v>
      </c>
      <c r="Y3328" s="1008"/>
      <c r="Z3328" s="1008"/>
      <c r="AA3328" s="1008" t="s">
        <v>670</v>
      </c>
      <c r="AB3328" s="1008"/>
      <c r="AC3328" s="1008"/>
      <c r="AD3328" s="1008"/>
      <c r="AE3328" s="1008"/>
      <c r="AF3328" s="1008"/>
      <c r="AG3328" s="1008"/>
      <c r="AH3328" s="1008"/>
      <c r="AI3328" s="1008"/>
    </row>
    <row r="3329" spans="1:35">
      <c r="A3329" s="1008">
        <v>26609</v>
      </c>
      <c r="B3329" s="1008">
        <v>5871</v>
      </c>
      <c r="C3329" s="1008">
        <v>7</v>
      </c>
      <c r="D3329" s="1009">
        <v>66019999</v>
      </c>
      <c r="E3329" s="1009">
        <v>66012010</v>
      </c>
      <c r="F3329" s="1007" t="s">
        <v>1334</v>
      </c>
      <c r="G3329" s="1007" t="s">
        <v>648</v>
      </c>
      <c r="H3329" s="1010">
        <v>99999999</v>
      </c>
      <c r="I3329" s="1009">
        <v>66012010</v>
      </c>
      <c r="J3329" s="1007" t="s">
        <v>1334</v>
      </c>
      <c r="O3329" s="1007" t="s">
        <v>648</v>
      </c>
      <c r="P3329" s="1007" t="s">
        <v>648</v>
      </c>
      <c r="S3329" s="1008" t="s">
        <v>650</v>
      </c>
      <c r="T3329" s="1008" t="s">
        <v>654</v>
      </c>
      <c r="U3329" s="1008" t="s">
        <v>653</v>
      </c>
      <c r="V3329" s="1008" t="s">
        <v>648</v>
      </c>
      <c r="W3329" s="1008" t="s">
        <v>546</v>
      </c>
      <c r="X3329" s="1008" t="s">
        <v>670</v>
      </c>
      <c r="Y3329" s="1008"/>
      <c r="Z3329" s="1008"/>
      <c r="AA3329" s="1008" t="s">
        <v>670</v>
      </c>
      <c r="AB3329" s="1008"/>
      <c r="AC3329" s="1008"/>
      <c r="AD3329" s="1008"/>
      <c r="AE3329" s="1008"/>
      <c r="AF3329" s="1008"/>
      <c r="AG3329" s="1008"/>
      <c r="AH3329" s="1008"/>
      <c r="AI3329" s="1008"/>
    </row>
    <row r="3330" spans="1:35">
      <c r="A3330" s="1008">
        <v>25367</v>
      </c>
      <c r="B3330" s="1008">
        <v>2383</v>
      </c>
      <c r="C3330" s="1008">
        <v>7</v>
      </c>
      <c r="D3330" s="1009">
        <v>66019999</v>
      </c>
      <c r="E3330" s="1009">
        <v>66013000</v>
      </c>
      <c r="F3330" s="1007" t="s">
        <v>121</v>
      </c>
      <c r="G3330" s="1007">
        <v>7</v>
      </c>
      <c r="H3330" s="1010">
        <v>99999999</v>
      </c>
      <c r="I3330" s="1009">
        <v>66013000</v>
      </c>
      <c r="J3330" s="1007" t="s">
        <v>121</v>
      </c>
      <c r="O3330" s="1007" t="s">
        <v>648</v>
      </c>
      <c r="P3330" s="1007" t="s">
        <v>648</v>
      </c>
      <c r="S3330" s="1008" t="s">
        <v>650</v>
      </c>
      <c r="T3330" s="1008" t="s">
        <v>654</v>
      </c>
      <c r="U3330" s="1008" t="s">
        <v>653</v>
      </c>
      <c r="V3330" s="1008" t="s">
        <v>648</v>
      </c>
      <c r="W3330" s="1008" t="s">
        <v>546</v>
      </c>
      <c r="X3330" s="1008" t="s">
        <v>670</v>
      </c>
      <c r="Y3330" s="1008"/>
      <c r="Z3330" s="1008"/>
      <c r="AA3330" s="1008" t="s">
        <v>670</v>
      </c>
      <c r="AB3330" s="1008"/>
      <c r="AC3330" s="1008"/>
      <c r="AD3330" s="1008"/>
      <c r="AE3330" s="1008"/>
      <c r="AF3330" s="1008"/>
      <c r="AG3330" s="1008"/>
      <c r="AH3330" s="1008"/>
      <c r="AI3330" s="1008"/>
    </row>
    <row r="3331" spans="1:35">
      <c r="A3331" s="1008">
        <v>25368</v>
      </c>
      <c r="B3331" s="1008">
        <v>579</v>
      </c>
      <c r="C3331" s="1008">
        <v>7</v>
      </c>
      <c r="D3331" s="1009">
        <v>66019999</v>
      </c>
      <c r="E3331" s="1009">
        <v>66014000</v>
      </c>
      <c r="F3331" s="1007" t="s">
        <v>1333</v>
      </c>
      <c r="G3331" s="1007">
        <v>8</v>
      </c>
      <c r="H3331" s="1010">
        <v>99999999</v>
      </c>
      <c r="I3331" s="1009">
        <v>66014000</v>
      </c>
      <c r="J3331" s="1007" t="s">
        <v>1333</v>
      </c>
      <c r="O3331" s="1007" t="s">
        <v>648</v>
      </c>
      <c r="P3331" s="1007" t="s">
        <v>648</v>
      </c>
      <c r="S3331" s="1008" t="s">
        <v>650</v>
      </c>
      <c r="T3331" s="1008" t="s">
        <v>654</v>
      </c>
      <c r="U3331" s="1008" t="s">
        <v>653</v>
      </c>
      <c r="V3331" s="1008" t="s">
        <v>648</v>
      </c>
      <c r="W3331" s="1008" t="s">
        <v>546</v>
      </c>
      <c r="X3331" s="1008" t="s">
        <v>670</v>
      </c>
      <c r="Y3331" s="1008"/>
      <c r="Z3331" s="1008"/>
      <c r="AA3331" s="1008" t="s">
        <v>670</v>
      </c>
      <c r="AB3331" s="1008"/>
      <c r="AC3331" s="1008"/>
      <c r="AD3331" s="1008"/>
      <c r="AE3331" s="1008"/>
      <c r="AF3331" s="1008"/>
      <c r="AG3331" s="1008"/>
      <c r="AH3331" s="1008"/>
      <c r="AI3331" s="1008"/>
    </row>
    <row r="3332" spans="1:35">
      <c r="A3332" s="1008">
        <v>25369</v>
      </c>
      <c r="B3332" s="1008">
        <v>578</v>
      </c>
      <c r="C3332" s="1008">
        <v>7</v>
      </c>
      <c r="D3332" s="1009">
        <v>66019999</v>
      </c>
      <c r="E3332" s="1009">
        <v>66015000</v>
      </c>
      <c r="F3332" s="1007" t="s">
        <v>1332</v>
      </c>
      <c r="G3332" s="1007">
        <v>8</v>
      </c>
      <c r="H3332" s="1010">
        <v>99999999</v>
      </c>
      <c r="I3332" s="1009">
        <v>66015000</v>
      </c>
      <c r="J3332" s="1007" t="s">
        <v>1332</v>
      </c>
      <c r="O3332" s="1007" t="s">
        <v>648</v>
      </c>
      <c r="P3332" s="1007" t="s">
        <v>648</v>
      </c>
      <c r="S3332" s="1008" t="s">
        <v>650</v>
      </c>
      <c r="T3332" s="1008" t="s">
        <v>654</v>
      </c>
      <c r="U3332" s="1008" t="s">
        <v>653</v>
      </c>
      <c r="V3332" s="1008" t="s">
        <v>648</v>
      </c>
      <c r="W3332" s="1008" t="s">
        <v>546</v>
      </c>
      <c r="X3332" s="1008" t="s">
        <v>670</v>
      </c>
      <c r="Y3332" s="1008"/>
      <c r="Z3332" s="1008"/>
      <c r="AA3332" s="1008" t="s">
        <v>670</v>
      </c>
      <c r="AB3332" s="1008"/>
      <c r="AC3332" s="1008"/>
      <c r="AD3332" s="1008"/>
      <c r="AE3332" s="1008"/>
      <c r="AF3332" s="1008"/>
      <c r="AG3332" s="1008"/>
      <c r="AH3332" s="1008"/>
      <c r="AI3332" s="1008"/>
    </row>
    <row r="3333" spans="1:35">
      <c r="A3333" s="1008">
        <v>25365</v>
      </c>
      <c r="B3333" s="1008">
        <v>542</v>
      </c>
      <c r="C3333" s="1008">
        <v>7</v>
      </c>
      <c r="D3333" s="1009">
        <v>66019999</v>
      </c>
      <c r="E3333" s="1009">
        <v>66019000</v>
      </c>
      <c r="F3333" s="1007" t="s">
        <v>1331</v>
      </c>
      <c r="G3333" s="1007">
        <v>8</v>
      </c>
      <c r="H3333" s="1010">
        <v>99999999</v>
      </c>
      <c r="I3333" s="1009">
        <v>66019000</v>
      </c>
      <c r="J3333" s="1007" t="s">
        <v>1331</v>
      </c>
      <c r="O3333" s="1007" t="s">
        <v>648</v>
      </c>
      <c r="P3333" s="1007" t="s">
        <v>648</v>
      </c>
      <c r="S3333" s="1008" t="s">
        <v>650</v>
      </c>
      <c r="T3333" s="1008" t="s">
        <v>654</v>
      </c>
      <c r="U3333" s="1008" t="s">
        <v>653</v>
      </c>
      <c r="V3333" s="1008" t="s">
        <v>648</v>
      </c>
      <c r="W3333" s="1008" t="s">
        <v>546</v>
      </c>
      <c r="X3333" s="1008" t="s">
        <v>670</v>
      </c>
      <c r="Y3333" s="1008"/>
      <c r="Z3333" s="1008"/>
      <c r="AA3333" s="1008" t="s">
        <v>670</v>
      </c>
      <c r="AB3333" s="1008"/>
      <c r="AC3333" s="1008"/>
      <c r="AD3333" s="1008"/>
      <c r="AE3333" s="1008"/>
      <c r="AF3333" s="1008"/>
      <c r="AG3333" s="1008"/>
      <c r="AH3333" s="1008"/>
      <c r="AI3333" s="1008"/>
    </row>
    <row r="3334" spans="1:35">
      <c r="A3334" s="1008">
        <v>25370</v>
      </c>
      <c r="C3334" s="1008">
        <v>6</v>
      </c>
      <c r="D3334" s="1009">
        <v>66099999</v>
      </c>
      <c r="E3334" s="1009">
        <v>66019999</v>
      </c>
      <c r="F3334" s="1007" t="s">
        <v>1329</v>
      </c>
      <c r="O3334" s="1007" t="s">
        <v>648</v>
      </c>
      <c r="P3334" s="1007" t="s">
        <v>648</v>
      </c>
      <c r="S3334" s="1008" t="s">
        <v>650</v>
      </c>
      <c r="T3334" s="1008" t="s">
        <v>21</v>
      </c>
      <c r="U3334" s="1008" t="s">
        <v>653</v>
      </c>
      <c r="V3334" s="1008" t="s">
        <v>648</v>
      </c>
      <c r="W3334" s="1008" t="s">
        <v>546</v>
      </c>
      <c r="X3334" s="1008"/>
      <c r="Y3334" s="1008"/>
      <c r="Z3334" s="1008"/>
      <c r="AA3334" s="1008"/>
      <c r="AB3334" s="1008"/>
      <c r="AC3334" s="1008"/>
      <c r="AD3334" s="1008"/>
      <c r="AE3334" s="1008"/>
      <c r="AF3334" s="1008"/>
      <c r="AG3334" s="1008"/>
      <c r="AH3334" s="1008"/>
      <c r="AI3334" s="1008"/>
    </row>
    <row r="3335" spans="1:35">
      <c r="A3335" s="1008">
        <v>25371</v>
      </c>
      <c r="C3335" s="1008">
        <v>5</v>
      </c>
      <c r="D3335" s="1009">
        <v>69999999</v>
      </c>
      <c r="E3335" s="1009">
        <v>66099999</v>
      </c>
      <c r="F3335" s="1007" t="s">
        <v>1328</v>
      </c>
      <c r="O3335" s="1007" t="s">
        <v>648</v>
      </c>
      <c r="P3335" s="1007" t="s">
        <v>648</v>
      </c>
      <c r="S3335" s="1008" t="s">
        <v>650</v>
      </c>
      <c r="T3335" s="1008" t="s">
        <v>21</v>
      </c>
      <c r="U3335" s="1008" t="s">
        <v>653</v>
      </c>
      <c r="V3335" s="1008" t="s">
        <v>648</v>
      </c>
      <c r="W3335" s="1008" t="s">
        <v>546</v>
      </c>
      <c r="X3335" s="1008"/>
      <c r="Y3335" s="1008"/>
      <c r="Z3335" s="1008"/>
      <c r="AA3335" s="1008"/>
      <c r="AB3335" s="1008"/>
      <c r="AC3335" s="1008"/>
      <c r="AD3335" s="1008"/>
      <c r="AE3335" s="1008"/>
      <c r="AF3335" s="1008"/>
      <c r="AG3335" s="1008"/>
      <c r="AH3335" s="1008"/>
      <c r="AI3335" s="1008"/>
    </row>
    <row r="3336" spans="1:35">
      <c r="A3336" s="1008">
        <v>25372</v>
      </c>
      <c r="C3336" s="1008">
        <v>5</v>
      </c>
      <c r="D3336" s="1009">
        <v>67099999</v>
      </c>
      <c r="E3336" s="1009">
        <v>67000000</v>
      </c>
      <c r="F3336" s="1007" t="s">
        <v>1327</v>
      </c>
      <c r="O3336" s="1007" t="s">
        <v>648</v>
      </c>
      <c r="P3336" s="1007" t="s">
        <v>648</v>
      </c>
      <c r="S3336" s="1008" t="s">
        <v>650</v>
      </c>
      <c r="T3336" s="1008" t="s">
        <v>675</v>
      </c>
      <c r="U3336" s="1008" t="s">
        <v>653</v>
      </c>
      <c r="V3336" s="1008" t="s">
        <v>648</v>
      </c>
      <c r="W3336" s="1008" t="s">
        <v>546</v>
      </c>
      <c r="X3336" s="1008"/>
      <c r="Y3336" s="1008"/>
      <c r="Z3336" s="1008"/>
      <c r="AA3336" s="1008"/>
      <c r="AB3336" s="1008"/>
      <c r="AC3336" s="1008"/>
      <c r="AD3336" s="1008"/>
      <c r="AE3336" s="1008"/>
      <c r="AF3336" s="1008"/>
      <c r="AG3336" s="1008"/>
      <c r="AH3336" s="1008"/>
      <c r="AI3336" s="1008"/>
    </row>
    <row r="3337" spans="1:35">
      <c r="A3337" s="1008">
        <v>25373</v>
      </c>
      <c r="C3337" s="1008">
        <v>6</v>
      </c>
      <c r="D3337" s="1009">
        <v>67019999</v>
      </c>
      <c r="E3337" s="1009">
        <v>67010000</v>
      </c>
      <c r="F3337" s="1007" t="s">
        <v>23</v>
      </c>
      <c r="O3337" s="1007" t="s">
        <v>648</v>
      </c>
      <c r="P3337" s="1007" t="s">
        <v>648</v>
      </c>
      <c r="S3337" s="1008" t="s">
        <v>650</v>
      </c>
      <c r="T3337" s="1008" t="s">
        <v>675</v>
      </c>
      <c r="U3337" s="1008" t="s">
        <v>653</v>
      </c>
      <c r="V3337" s="1008" t="s">
        <v>648</v>
      </c>
      <c r="W3337" s="1008" t="s">
        <v>546</v>
      </c>
      <c r="X3337" s="1008"/>
      <c r="Y3337" s="1008"/>
      <c r="Z3337" s="1008"/>
      <c r="AA3337" s="1008"/>
      <c r="AB3337" s="1008"/>
      <c r="AC3337" s="1008"/>
      <c r="AD3337" s="1008"/>
      <c r="AE3337" s="1008"/>
      <c r="AF3337" s="1008"/>
      <c r="AG3337" s="1008"/>
      <c r="AH3337" s="1008"/>
      <c r="AI3337" s="1008"/>
    </row>
    <row r="3338" spans="1:35">
      <c r="A3338" s="1008">
        <v>25374</v>
      </c>
      <c r="B3338" s="1008">
        <v>2386</v>
      </c>
      <c r="C3338" s="1008">
        <v>7</v>
      </c>
      <c r="D3338" s="1009">
        <v>67019999</v>
      </c>
      <c r="E3338" s="1009">
        <v>67011000</v>
      </c>
      <c r="F3338" s="1007" t="s">
        <v>1326</v>
      </c>
      <c r="G3338" s="1007">
        <v>7</v>
      </c>
      <c r="H3338" s="1010">
        <v>99999999</v>
      </c>
      <c r="I3338" s="1009">
        <v>67011000</v>
      </c>
      <c r="J3338" s="1007" t="s">
        <v>1326</v>
      </c>
      <c r="O3338" s="1007" t="s">
        <v>648</v>
      </c>
      <c r="P3338" s="1007" t="s">
        <v>648</v>
      </c>
      <c r="S3338" s="1008" t="s">
        <v>650</v>
      </c>
      <c r="T3338" s="1008" t="s">
        <v>654</v>
      </c>
      <c r="U3338" s="1008" t="s">
        <v>653</v>
      </c>
      <c r="V3338" s="1008" t="s">
        <v>648</v>
      </c>
      <c r="W3338" s="1008" t="s">
        <v>546</v>
      </c>
      <c r="X3338" s="1008" t="s">
        <v>670</v>
      </c>
      <c r="Y3338" s="1008"/>
      <c r="Z3338" s="1008"/>
      <c r="AA3338" s="1008" t="s">
        <v>670</v>
      </c>
      <c r="AB3338" s="1008"/>
      <c r="AC3338" s="1008"/>
      <c r="AD3338" s="1008"/>
      <c r="AE3338" s="1008"/>
      <c r="AF3338" s="1008"/>
      <c r="AG3338" s="1008"/>
      <c r="AH3338" s="1008"/>
      <c r="AI3338" s="1008"/>
    </row>
    <row r="3339" spans="1:35">
      <c r="A3339" s="1008">
        <v>25375</v>
      </c>
      <c r="B3339" s="1008">
        <v>2387</v>
      </c>
      <c r="C3339" s="1008">
        <v>7</v>
      </c>
      <c r="D3339" s="1009">
        <v>67019999</v>
      </c>
      <c r="E3339" s="1009">
        <v>67012000</v>
      </c>
      <c r="F3339" s="1007" t="s">
        <v>1550</v>
      </c>
      <c r="G3339" s="1007">
        <v>7</v>
      </c>
      <c r="H3339" s="1010">
        <v>99999999</v>
      </c>
      <c r="I3339" s="1009">
        <v>67012000</v>
      </c>
      <c r="J3339" s="1007" t="s">
        <v>1550</v>
      </c>
      <c r="O3339" s="1007" t="s">
        <v>648</v>
      </c>
      <c r="P3339" s="1007" t="s">
        <v>648</v>
      </c>
      <c r="S3339" s="1008" t="s">
        <v>650</v>
      </c>
      <c r="T3339" s="1008" t="s">
        <v>654</v>
      </c>
      <c r="U3339" s="1008" t="s">
        <v>653</v>
      </c>
      <c r="V3339" s="1008" t="s">
        <v>648</v>
      </c>
      <c r="W3339" s="1008" t="s">
        <v>546</v>
      </c>
      <c r="X3339" s="1008" t="s">
        <v>670</v>
      </c>
      <c r="Y3339" s="1008"/>
      <c r="Z3339" s="1008"/>
      <c r="AA3339" s="1008" t="s">
        <v>670</v>
      </c>
      <c r="AB3339" s="1008"/>
      <c r="AC3339" s="1008"/>
      <c r="AD3339" s="1008"/>
      <c r="AE3339" s="1008"/>
      <c r="AF3339" s="1008"/>
      <c r="AG3339" s="1008"/>
      <c r="AH3339" s="1008"/>
      <c r="AI3339" s="1008"/>
    </row>
    <row r="3340" spans="1:35">
      <c r="A3340" s="1008">
        <v>25376</v>
      </c>
      <c r="B3340" s="1008">
        <v>2388</v>
      </c>
      <c r="C3340" s="1008">
        <v>7</v>
      </c>
      <c r="D3340" s="1009">
        <v>67019999</v>
      </c>
      <c r="E3340" s="1009">
        <v>67013000</v>
      </c>
      <c r="F3340" s="1007" t="s">
        <v>1325</v>
      </c>
      <c r="G3340" s="1007">
        <v>7</v>
      </c>
      <c r="H3340" s="1010">
        <v>99999999</v>
      </c>
      <c r="I3340" s="1009">
        <v>67013000</v>
      </c>
      <c r="J3340" s="1007" t="s">
        <v>1325</v>
      </c>
      <c r="O3340" s="1007" t="s">
        <v>648</v>
      </c>
      <c r="P3340" s="1007" t="s">
        <v>648</v>
      </c>
      <c r="S3340" s="1008" t="s">
        <v>650</v>
      </c>
      <c r="T3340" s="1008" t="s">
        <v>654</v>
      </c>
      <c r="U3340" s="1008" t="s">
        <v>653</v>
      </c>
      <c r="V3340" s="1008" t="s">
        <v>648</v>
      </c>
      <c r="W3340" s="1008" t="s">
        <v>546</v>
      </c>
      <c r="X3340" s="1008" t="s">
        <v>670</v>
      </c>
      <c r="Y3340" s="1008"/>
      <c r="Z3340" s="1008"/>
      <c r="AA3340" s="1008" t="s">
        <v>670</v>
      </c>
      <c r="AB3340" s="1008"/>
      <c r="AC3340" s="1008"/>
      <c r="AD3340" s="1008"/>
      <c r="AE3340" s="1008"/>
      <c r="AF3340" s="1008"/>
      <c r="AG3340" s="1008"/>
      <c r="AH3340" s="1008"/>
      <c r="AI3340" s="1008"/>
    </row>
    <row r="3341" spans="1:35">
      <c r="A3341" s="1008">
        <v>25377</v>
      </c>
      <c r="B3341" s="1008">
        <v>2389</v>
      </c>
      <c r="C3341" s="1008">
        <v>7</v>
      </c>
      <c r="D3341" s="1009">
        <v>67019999</v>
      </c>
      <c r="E3341" s="1009">
        <v>67014000</v>
      </c>
      <c r="F3341" s="1007" t="s">
        <v>1549</v>
      </c>
      <c r="G3341" s="1007">
        <v>7</v>
      </c>
      <c r="H3341" s="1010">
        <v>99999999</v>
      </c>
      <c r="I3341" s="1009">
        <v>67014000</v>
      </c>
      <c r="J3341" s="1007" t="s">
        <v>1549</v>
      </c>
      <c r="O3341" s="1007" t="s">
        <v>648</v>
      </c>
      <c r="P3341" s="1007" t="s">
        <v>648</v>
      </c>
      <c r="S3341" s="1008" t="s">
        <v>650</v>
      </c>
      <c r="T3341" s="1008" t="s">
        <v>654</v>
      </c>
      <c r="U3341" s="1008" t="s">
        <v>653</v>
      </c>
      <c r="V3341" s="1008" t="s">
        <v>648</v>
      </c>
      <c r="W3341" s="1008" t="s">
        <v>546</v>
      </c>
      <c r="X3341" s="1008" t="s">
        <v>670</v>
      </c>
      <c r="Y3341" s="1008"/>
      <c r="Z3341" s="1008"/>
      <c r="AA3341" s="1008" t="s">
        <v>670</v>
      </c>
      <c r="AB3341" s="1008"/>
      <c r="AC3341" s="1008"/>
      <c r="AD3341" s="1008"/>
      <c r="AE3341" s="1008"/>
      <c r="AF3341" s="1008"/>
      <c r="AG3341" s="1008"/>
      <c r="AH3341" s="1008"/>
      <c r="AI3341" s="1008"/>
    </row>
    <row r="3342" spans="1:35">
      <c r="A3342" s="1008">
        <v>25378</v>
      </c>
      <c r="B3342" s="1008">
        <v>561</v>
      </c>
      <c r="C3342" s="1008">
        <v>7</v>
      </c>
      <c r="D3342" s="1009">
        <v>67019999</v>
      </c>
      <c r="E3342" s="1009">
        <v>67015000</v>
      </c>
      <c r="F3342" s="1007" t="s">
        <v>1548</v>
      </c>
      <c r="G3342" s="1007">
        <v>8</v>
      </c>
      <c r="H3342" s="1010">
        <v>99999999</v>
      </c>
      <c r="I3342" s="1009">
        <v>67015000</v>
      </c>
      <c r="J3342" s="1007" t="s">
        <v>1548</v>
      </c>
      <c r="O3342" s="1007" t="s">
        <v>648</v>
      </c>
      <c r="P3342" s="1007" t="s">
        <v>648</v>
      </c>
      <c r="S3342" s="1008" t="s">
        <v>650</v>
      </c>
      <c r="T3342" s="1008" t="s">
        <v>654</v>
      </c>
      <c r="U3342" s="1008" t="s">
        <v>653</v>
      </c>
      <c r="V3342" s="1008" t="s">
        <v>648</v>
      </c>
      <c r="W3342" s="1008" t="s">
        <v>546</v>
      </c>
      <c r="X3342" s="1008" t="s">
        <v>670</v>
      </c>
      <c r="Y3342" s="1008"/>
      <c r="Z3342" s="1008"/>
      <c r="AA3342" s="1008" t="s">
        <v>670</v>
      </c>
      <c r="AB3342" s="1008"/>
      <c r="AC3342" s="1008"/>
      <c r="AD3342" s="1008"/>
      <c r="AE3342" s="1008"/>
      <c r="AF3342" s="1008"/>
      <c r="AG3342" s="1008"/>
      <c r="AH3342" s="1008"/>
      <c r="AI3342" s="1008"/>
    </row>
    <row r="3343" spans="1:35">
      <c r="A3343" s="1008">
        <v>25379</v>
      </c>
      <c r="B3343" s="1008">
        <v>560</v>
      </c>
      <c r="C3343" s="1008">
        <v>7</v>
      </c>
      <c r="D3343" s="1009">
        <v>67019999</v>
      </c>
      <c r="E3343" s="1009">
        <v>67016000</v>
      </c>
      <c r="F3343" s="1007" t="s">
        <v>1324</v>
      </c>
      <c r="G3343" s="1007">
        <v>8</v>
      </c>
      <c r="H3343" s="1010">
        <v>99999999</v>
      </c>
      <c r="I3343" s="1009">
        <v>67016000</v>
      </c>
      <c r="J3343" s="1007" t="s">
        <v>1324</v>
      </c>
      <c r="O3343" s="1007" t="s">
        <v>648</v>
      </c>
      <c r="P3343" s="1007" t="s">
        <v>648</v>
      </c>
      <c r="S3343" s="1008" t="s">
        <v>650</v>
      </c>
      <c r="T3343" s="1008" t="s">
        <v>654</v>
      </c>
      <c r="U3343" s="1008" t="s">
        <v>653</v>
      </c>
      <c r="V3343" s="1008" t="s">
        <v>648</v>
      </c>
      <c r="W3343" s="1008" t="s">
        <v>546</v>
      </c>
      <c r="X3343" s="1008" t="s">
        <v>670</v>
      </c>
      <c r="Y3343" s="1008"/>
      <c r="Z3343" s="1008"/>
      <c r="AA3343" s="1008" t="s">
        <v>670</v>
      </c>
      <c r="AB3343" s="1008"/>
      <c r="AC3343" s="1008"/>
      <c r="AD3343" s="1008"/>
      <c r="AE3343" s="1008"/>
      <c r="AF3343" s="1008"/>
      <c r="AG3343" s="1008" t="s">
        <v>670</v>
      </c>
      <c r="AH3343" s="1008"/>
      <c r="AI3343" s="1008"/>
    </row>
    <row r="3344" spans="1:35">
      <c r="A3344" s="1008">
        <v>25380</v>
      </c>
      <c r="C3344" s="1008">
        <v>6</v>
      </c>
      <c r="D3344" s="1009">
        <v>67099999</v>
      </c>
      <c r="E3344" s="1009">
        <v>67019999</v>
      </c>
      <c r="F3344" s="1007" t="s">
        <v>229</v>
      </c>
      <c r="O3344" s="1007" t="s">
        <v>648</v>
      </c>
      <c r="P3344" s="1007" t="s">
        <v>648</v>
      </c>
      <c r="S3344" s="1008" t="s">
        <v>650</v>
      </c>
      <c r="T3344" s="1008" t="s">
        <v>21</v>
      </c>
      <c r="U3344" s="1008" t="s">
        <v>653</v>
      </c>
      <c r="V3344" s="1008" t="s">
        <v>648</v>
      </c>
      <c r="W3344" s="1008" t="s">
        <v>546</v>
      </c>
      <c r="X3344" s="1008"/>
      <c r="Y3344" s="1008"/>
      <c r="Z3344" s="1008"/>
      <c r="AA3344" s="1008"/>
      <c r="AB3344" s="1008"/>
      <c r="AC3344" s="1008"/>
      <c r="AD3344" s="1008"/>
      <c r="AE3344" s="1008"/>
      <c r="AF3344" s="1008"/>
      <c r="AG3344" s="1008"/>
      <c r="AH3344" s="1008"/>
      <c r="AI3344" s="1008"/>
    </row>
    <row r="3345" spans="1:35">
      <c r="A3345" s="1008">
        <v>25381</v>
      </c>
      <c r="C3345" s="1008">
        <v>6</v>
      </c>
      <c r="D3345" s="1009">
        <v>67029999</v>
      </c>
      <c r="E3345" s="1009">
        <v>67020000</v>
      </c>
      <c r="F3345" s="1007" t="s">
        <v>1323</v>
      </c>
      <c r="O3345" s="1007" t="s">
        <v>648</v>
      </c>
      <c r="P3345" s="1007" t="s">
        <v>648</v>
      </c>
      <c r="S3345" s="1008" t="s">
        <v>650</v>
      </c>
      <c r="T3345" s="1008" t="s">
        <v>675</v>
      </c>
      <c r="U3345" s="1008" t="s">
        <v>653</v>
      </c>
      <c r="V3345" s="1008" t="s">
        <v>648</v>
      </c>
      <c r="W3345" s="1008" t="s">
        <v>546</v>
      </c>
      <c r="X3345" s="1008"/>
      <c r="Y3345" s="1008"/>
      <c r="Z3345" s="1008"/>
      <c r="AA3345" s="1008"/>
      <c r="AB3345" s="1008"/>
      <c r="AC3345" s="1008"/>
      <c r="AD3345" s="1008"/>
      <c r="AE3345" s="1008"/>
      <c r="AF3345" s="1008"/>
      <c r="AG3345" s="1008"/>
      <c r="AH3345" s="1008"/>
      <c r="AI3345" s="1008"/>
    </row>
    <row r="3346" spans="1:35">
      <c r="A3346" s="1008">
        <v>25382</v>
      </c>
      <c r="B3346" s="1008">
        <v>2392</v>
      </c>
      <c r="C3346" s="1008">
        <v>7</v>
      </c>
      <c r="D3346" s="1009">
        <v>67029999</v>
      </c>
      <c r="E3346" s="1009">
        <v>67021000</v>
      </c>
      <c r="F3346" s="1007" t="s">
        <v>1322</v>
      </c>
      <c r="G3346" s="1007">
        <v>7</v>
      </c>
      <c r="H3346" s="1010">
        <v>99999999</v>
      </c>
      <c r="I3346" s="1009">
        <v>67021000</v>
      </c>
      <c r="J3346" s="1007" t="s">
        <v>1322</v>
      </c>
      <c r="O3346" s="1007" t="s">
        <v>648</v>
      </c>
      <c r="P3346" s="1007" t="s">
        <v>648</v>
      </c>
      <c r="S3346" s="1008" t="s">
        <v>650</v>
      </c>
      <c r="T3346" s="1008" t="s">
        <v>654</v>
      </c>
      <c r="U3346" s="1008" t="s">
        <v>653</v>
      </c>
      <c r="V3346" s="1008" t="s">
        <v>648</v>
      </c>
      <c r="W3346" s="1008" t="s">
        <v>546</v>
      </c>
      <c r="X3346" s="1008" t="s">
        <v>670</v>
      </c>
      <c r="Y3346" s="1008"/>
      <c r="Z3346" s="1008"/>
      <c r="AA3346" s="1008" t="s">
        <v>670</v>
      </c>
      <c r="AB3346" s="1008"/>
      <c r="AC3346" s="1008"/>
      <c r="AD3346" s="1008"/>
      <c r="AE3346" s="1008"/>
      <c r="AF3346" s="1008"/>
      <c r="AG3346" s="1008"/>
      <c r="AH3346" s="1008"/>
      <c r="AI3346" s="1008"/>
    </row>
    <row r="3347" spans="1:35">
      <c r="A3347" s="1008">
        <v>25383</v>
      </c>
      <c r="B3347" s="1008">
        <v>2393</v>
      </c>
      <c r="C3347" s="1008">
        <v>7</v>
      </c>
      <c r="D3347" s="1009">
        <v>67029999</v>
      </c>
      <c r="E3347" s="1009">
        <v>67022000</v>
      </c>
      <c r="F3347" s="1007" t="s">
        <v>1547</v>
      </c>
      <c r="G3347" s="1007">
        <v>7</v>
      </c>
      <c r="H3347" s="1010">
        <v>99999999</v>
      </c>
      <c r="I3347" s="1009">
        <v>67022000</v>
      </c>
      <c r="J3347" s="1007" t="s">
        <v>1547</v>
      </c>
      <c r="O3347" s="1007" t="s">
        <v>648</v>
      </c>
      <c r="P3347" s="1007" t="s">
        <v>648</v>
      </c>
      <c r="S3347" s="1008" t="s">
        <v>650</v>
      </c>
      <c r="T3347" s="1008" t="s">
        <v>654</v>
      </c>
      <c r="U3347" s="1008" t="s">
        <v>653</v>
      </c>
      <c r="V3347" s="1008" t="s">
        <v>648</v>
      </c>
      <c r="W3347" s="1008" t="s">
        <v>546</v>
      </c>
      <c r="X3347" s="1008" t="s">
        <v>670</v>
      </c>
      <c r="Y3347" s="1008"/>
      <c r="Z3347" s="1008"/>
      <c r="AA3347" s="1008" t="s">
        <v>670</v>
      </c>
      <c r="AB3347" s="1008"/>
      <c r="AC3347" s="1008"/>
      <c r="AD3347" s="1008"/>
      <c r="AE3347" s="1008"/>
      <c r="AF3347" s="1008"/>
      <c r="AG3347" s="1008"/>
      <c r="AH3347" s="1008"/>
      <c r="AI3347" s="1008"/>
    </row>
    <row r="3348" spans="1:35">
      <c r="A3348" s="1008">
        <v>25384</v>
      </c>
      <c r="B3348" s="1008">
        <v>2394</v>
      </c>
      <c r="C3348" s="1008">
        <v>7</v>
      </c>
      <c r="D3348" s="1009">
        <v>67029999</v>
      </c>
      <c r="E3348" s="1009">
        <v>67023000</v>
      </c>
      <c r="F3348" s="1007" t="s">
        <v>1321</v>
      </c>
      <c r="G3348" s="1007">
        <v>7</v>
      </c>
      <c r="H3348" s="1010">
        <v>99999999</v>
      </c>
      <c r="I3348" s="1009">
        <v>67023000</v>
      </c>
      <c r="J3348" s="1007" t="s">
        <v>1321</v>
      </c>
      <c r="O3348" s="1007" t="s">
        <v>648</v>
      </c>
      <c r="P3348" s="1007" t="s">
        <v>648</v>
      </c>
      <c r="S3348" s="1008" t="s">
        <v>650</v>
      </c>
      <c r="T3348" s="1008" t="s">
        <v>654</v>
      </c>
      <c r="U3348" s="1008" t="s">
        <v>653</v>
      </c>
      <c r="V3348" s="1008" t="s">
        <v>648</v>
      </c>
      <c r="W3348" s="1008" t="s">
        <v>546</v>
      </c>
      <c r="X3348" s="1008" t="s">
        <v>670</v>
      </c>
      <c r="Y3348" s="1008"/>
      <c r="Z3348" s="1008"/>
      <c r="AA3348" s="1008" t="s">
        <v>670</v>
      </c>
      <c r="AB3348" s="1008"/>
      <c r="AC3348" s="1008" t="s">
        <v>670</v>
      </c>
      <c r="AD3348" s="1008"/>
      <c r="AE3348" s="1008"/>
      <c r="AF3348" s="1008"/>
      <c r="AG3348" s="1008"/>
      <c r="AH3348" s="1008"/>
      <c r="AI3348" s="1008"/>
    </row>
    <row r="3349" spans="1:35">
      <c r="A3349" s="1008">
        <v>26498</v>
      </c>
      <c r="B3349" s="1008">
        <v>5538</v>
      </c>
      <c r="C3349" s="1008">
        <v>7</v>
      </c>
      <c r="D3349" s="1009">
        <v>67029999</v>
      </c>
      <c r="E3349" s="1009">
        <v>67024000</v>
      </c>
      <c r="F3349" s="1007" t="s">
        <v>1320</v>
      </c>
      <c r="G3349" s="1007">
        <v>7</v>
      </c>
      <c r="H3349" s="1010">
        <v>99999999</v>
      </c>
      <c r="I3349" s="1009">
        <v>67024000</v>
      </c>
      <c r="J3349" s="1007" t="s">
        <v>1320</v>
      </c>
      <c r="O3349" s="1007" t="s">
        <v>648</v>
      </c>
      <c r="P3349" s="1007" t="s">
        <v>648</v>
      </c>
      <c r="S3349" s="1008" t="s">
        <v>650</v>
      </c>
      <c r="T3349" s="1008" t="s">
        <v>654</v>
      </c>
      <c r="U3349" s="1008" t="s">
        <v>653</v>
      </c>
      <c r="V3349" s="1008" t="s">
        <v>648</v>
      </c>
      <c r="W3349" s="1008" t="s">
        <v>546</v>
      </c>
      <c r="X3349" s="1008" t="s">
        <v>670</v>
      </c>
      <c r="Y3349" s="1008"/>
      <c r="Z3349" s="1008"/>
      <c r="AA3349" s="1008" t="s">
        <v>670</v>
      </c>
      <c r="AB3349" s="1008"/>
      <c r="AC3349" s="1008"/>
      <c r="AD3349" s="1008"/>
      <c r="AE3349" s="1008"/>
      <c r="AF3349" s="1008"/>
      <c r="AG3349" s="1008"/>
      <c r="AH3349" s="1008"/>
      <c r="AI3349" s="1008"/>
    </row>
    <row r="3350" spans="1:35">
      <c r="A3350" s="1008">
        <v>26610</v>
      </c>
      <c r="B3350" s="1008">
        <v>5872</v>
      </c>
      <c r="C3350" s="1008">
        <v>7</v>
      </c>
      <c r="D3350" s="1009">
        <v>67029999</v>
      </c>
      <c r="E3350" s="1009">
        <v>67025000</v>
      </c>
      <c r="F3350" s="1007" t="s">
        <v>1319</v>
      </c>
      <c r="G3350" s="1007" t="s">
        <v>648</v>
      </c>
      <c r="H3350" s="1010">
        <v>99999999</v>
      </c>
      <c r="I3350" s="1009">
        <v>67025000</v>
      </c>
      <c r="J3350" s="1007" t="s">
        <v>1319</v>
      </c>
      <c r="O3350" s="1007" t="s">
        <v>648</v>
      </c>
      <c r="P3350" s="1007" t="s">
        <v>648</v>
      </c>
      <c r="S3350" s="1008" t="s">
        <v>650</v>
      </c>
      <c r="T3350" s="1008" t="s">
        <v>654</v>
      </c>
      <c r="U3350" s="1008" t="s">
        <v>653</v>
      </c>
      <c r="V3350" s="1008" t="s">
        <v>648</v>
      </c>
      <c r="W3350" s="1008" t="s">
        <v>546</v>
      </c>
      <c r="X3350" s="1008" t="s">
        <v>670</v>
      </c>
      <c r="Y3350" s="1008"/>
      <c r="Z3350" s="1008" t="s">
        <v>670</v>
      </c>
      <c r="AA3350" s="1008" t="s">
        <v>670</v>
      </c>
      <c r="AB3350" s="1008"/>
      <c r="AC3350" s="1008"/>
      <c r="AD3350" s="1008"/>
      <c r="AE3350" s="1008" t="s">
        <v>670</v>
      </c>
      <c r="AF3350" s="1008"/>
      <c r="AG3350" s="1008" t="s">
        <v>670</v>
      </c>
      <c r="AH3350" s="1008"/>
      <c r="AI3350" s="1008"/>
    </row>
    <row r="3351" spans="1:35">
      <c r="A3351" s="1008">
        <v>25385</v>
      </c>
      <c r="C3351" s="1008">
        <v>6</v>
      </c>
      <c r="D3351" s="1009">
        <v>67099999</v>
      </c>
      <c r="E3351" s="1009">
        <v>67029999</v>
      </c>
      <c r="F3351" s="1007" t="s">
        <v>1318</v>
      </c>
      <c r="O3351" s="1007" t="s">
        <v>648</v>
      </c>
      <c r="P3351" s="1007" t="s">
        <v>648</v>
      </c>
      <c r="S3351" s="1008" t="s">
        <v>650</v>
      </c>
      <c r="T3351" s="1008" t="s">
        <v>21</v>
      </c>
      <c r="U3351" s="1008" t="s">
        <v>653</v>
      </c>
      <c r="V3351" s="1008" t="s">
        <v>648</v>
      </c>
      <c r="W3351" s="1008" t="s">
        <v>546</v>
      </c>
      <c r="X3351" s="1008"/>
      <c r="Y3351" s="1008"/>
      <c r="Z3351" s="1008"/>
      <c r="AA3351" s="1008"/>
      <c r="AB3351" s="1008"/>
      <c r="AC3351" s="1008"/>
      <c r="AD3351" s="1008"/>
      <c r="AE3351" s="1008"/>
      <c r="AF3351" s="1008"/>
      <c r="AG3351" s="1008"/>
      <c r="AH3351" s="1008"/>
      <c r="AI3351" s="1008"/>
    </row>
    <row r="3352" spans="1:35">
      <c r="A3352" s="1008">
        <v>25386</v>
      </c>
      <c r="C3352" s="1008">
        <v>6</v>
      </c>
      <c r="D3352" s="1009">
        <v>67039999</v>
      </c>
      <c r="E3352" s="1009">
        <v>67030000</v>
      </c>
      <c r="F3352" s="1007" t="s">
        <v>1317</v>
      </c>
      <c r="O3352" s="1007" t="s">
        <v>648</v>
      </c>
      <c r="P3352" s="1007" t="s">
        <v>648</v>
      </c>
      <c r="S3352" s="1008" t="s">
        <v>650</v>
      </c>
      <c r="T3352" s="1008" t="s">
        <v>675</v>
      </c>
      <c r="U3352" s="1008" t="s">
        <v>653</v>
      </c>
      <c r="V3352" s="1008" t="s">
        <v>648</v>
      </c>
      <c r="W3352" s="1008" t="s">
        <v>546</v>
      </c>
      <c r="X3352" s="1008"/>
      <c r="Y3352" s="1008"/>
      <c r="Z3352" s="1008"/>
      <c r="AA3352" s="1008"/>
      <c r="AB3352" s="1008"/>
      <c r="AC3352" s="1008"/>
      <c r="AD3352" s="1008"/>
      <c r="AE3352" s="1008"/>
      <c r="AF3352" s="1008"/>
      <c r="AG3352" s="1008"/>
      <c r="AH3352" s="1008"/>
      <c r="AI3352" s="1008"/>
    </row>
    <row r="3353" spans="1:35">
      <c r="A3353" s="1008">
        <v>25387</v>
      </c>
      <c r="B3353" s="1008">
        <v>2396</v>
      </c>
      <c r="C3353" s="1008">
        <v>7</v>
      </c>
      <c r="D3353" s="1009">
        <v>67039999</v>
      </c>
      <c r="E3353" s="1009">
        <v>67031000</v>
      </c>
      <c r="F3353" s="1007" t="s">
        <v>1316</v>
      </c>
      <c r="G3353" s="1007">
        <v>7</v>
      </c>
      <c r="H3353" s="1010">
        <v>99999999</v>
      </c>
      <c r="I3353" s="1009">
        <v>67031000</v>
      </c>
      <c r="J3353" s="1007" t="s">
        <v>1316</v>
      </c>
      <c r="O3353" s="1007" t="s">
        <v>648</v>
      </c>
      <c r="P3353" s="1007" t="s">
        <v>648</v>
      </c>
      <c r="S3353" s="1008" t="s">
        <v>650</v>
      </c>
      <c r="T3353" s="1008" t="s">
        <v>654</v>
      </c>
      <c r="U3353" s="1008" t="s">
        <v>653</v>
      </c>
      <c r="V3353" s="1008" t="s">
        <v>648</v>
      </c>
      <c r="W3353" s="1008" t="s">
        <v>546</v>
      </c>
      <c r="X3353" s="1008" t="s">
        <v>670</v>
      </c>
      <c r="Y3353" s="1008"/>
      <c r="Z3353" s="1008"/>
      <c r="AA3353" s="1008" t="s">
        <v>670</v>
      </c>
      <c r="AB3353" s="1008" t="s">
        <v>670</v>
      </c>
      <c r="AC3353" s="1008" t="s">
        <v>670</v>
      </c>
      <c r="AD3353" s="1008"/>
      <c r="AE3353" s="1008"/>
      <c r="AF3353" s="1008"/>
      <c r="AG3353" s="1008"/>
      <c r="AH3353" s="1008"/>
      <c r="AI3353" s="1008"/>
    </row>
    <row r="3354" spans="1:35">
      <c r="A3354" s="1008">
        <v>25388</v>
      </c>
      <c r="B3354" s="1008">
        <v>2397</v>
      </c>
      <c r="C3354" s="1008">
        <v>7</v>
      </c>
      <c r="D3354" s="1009">
        <v>67039999</v>
      </c>
      <c r="E3354" s="1009">
        <v>67032000</v>
      </c>
      <c r="F3354" s="1007" t="s">
        <v>1315</v>
      </c>
      <c r="G3354" s="1007">
        <v>7</v>
      </c>
      <c r="H3354" s="1010">
        <v>99999999</v>
      </c>
      <c r="I3354" s="1009">
        <v>67032000</v>
      </c>
      <c r="J3354" s="1007" t="s">
        <v>1315</v>
      </c>
      <c r="O3354" s="1007" t="s">
        <v>648</v>
      </c>
      <c r="P3354" s="1007" t="s">
        <v>648</v>
      </c>
      <c r="S3354" s="1008" t="s">
        <v>650</v>
      </c>
      <c r="T3354" s="1008" t="s">
        <v>654</v>
      </c>
      <c r="U3354" s="1008" t="s">
        <v>653</v>
      </c>
      <c r="V3354" s="1008" t="s">
        <v>648</v>
      </c>
      <c r="W3354" s="1008" t="s">
        <v>546</v>
      </c>
      <c r="X3354" s="1008" t="s">
        <v>670</v>
      </c>
      <c r="Y3354" s="1008"/>
      <c r="Z3354" s="1008"/>
      <c r="AA3354" s="1008" t="s">
        <v>670</v>
      </c>
      <c r="AB3354" s="1008"/>
      <c r="AC3354" s="1008"/>
      <c r="AD3354" s="1008"/>
      <c r="AE3354" s="1008"/>
      <c r="AF3354" s="1008"/>
      <c r="AG3354" s="1008"/>
      <c r="AH3354" s="1008"/>
      <c r="AI3354" s="1008"/>
    </row>
    <row r="3355" spans="1:35">
      <c r="A3355" s="1008">
        <v>25389</v>
      </c>
      <c r="B3355" s="1008">
        <v>583</v>
      </c>
      <c r="C3355" s="1008">
        <v>7</v>
      </c>
      <c r="D3355" s="1009">
        <v>67039999</v>
      </c>
      <c r="E3355" s="1009">
        <v>67033000</v>
      </c>
      <c r="F3355" s="1007" t="s">
        <v>1314</v>
      </c>
      <c r="G3355" s="1007">
        <v>8</v>
      </c>
      <c r="H3355" s="1010">
        <v>99999999</v>
      </c>
      <c r="I3355" s="1009">
        <v>67033000</v>
      </c>
      <c r="J3355" s="1007" t="s">
        <v>1314</v>
      </c>
      <c r="O3355" s="1007" t="s">
        <v>648</v>
      </c>
      <c r="P3355" s="1007" t="s">
        <v>648</v>
      </c>
      <c r="S3355" s="1008" t="s">
        <v>650</v>
      </c>
      <c r="T3355" s="1008" t="s">
        <v>654</v>
      </c>
      <c r="U3355" s="1008" t="s">
        <v>653</v>
      </c>
      <c r="V3355" s="1008" t="s">
        <v>648</v>
      </c>
      <c r="W3355" s="1008" t="s">
        <v>546</v>
      </c>
      <c r="X3355" s="1008" t="s">
        <v>670</v>
      </c>
      <c r="Y3355" s="1008"/>
      <c r="Z3355" s="1008"/>
      <c r="AA3355" s="1008" t="s">
        <v>670</v>
      </c>
      <c r="AB3355" s="1008"/>
      <c r="AC3355" s="1008"/>
      <c r="AD3355" s="1008"/>
      <c r="AE3355" s="1008"/>
      <c r="AF3355" s="1008"/>
      <c r="AG3355" s="1008" t="s">
        <v>670</v>
      </c>
      <c r="AH3355" s="1008"/>
      <c r="AI3355" s="1008"/>
    </row>
    <row r="3356" spans="1:35">
      <c r="A3356" s="1008">
        <v>25390</v>
      </c>
      <c r="B3356" s="1008">
        <v>5540</v>
      </c>
      <c r="C3356" s="1008">
        <v>7</v>
      </c>
      <c r="D3356" s="1009">
        <v>67039999</v>
      </c>
      <c r="E3356" s="1009">
        <v>67034000</v>
      </c>
      <c r="F3356" s="1007" t="s">
        <v>1546</v>
      </c>
      <c r="G3356" s="1007">
        <v>7</v>
      </c>
      <c r="H3356" s="1010">
        <v>99999999</v>
      </c>
      <c r="I3356" s="1009">
        <v>67034000</v>
      </c>
      <c r="J3356" s="1007" t="s">
        <v>1546</v>
      </c>
      <c r="O3356" s="1007" t="s">
        <v>648</v>
      </c>
      <c r="P3356" s="1007" t="s">
        <v>648</v>
      </c>
      <c r="S3356" s="1008" t="s">
        <v>650</v>
      </c>
      <c r="T3356" s="1008" t="s">
        <v>654</v>
      </c>
      <c r="U3356" s="1008" t="s">
        <v>653</v>
      </c>
      <c r="V3356" s="1008" t="s">
        <v>648</v>
      </c>
      <c r="W3356" s="1008" t="s">
        <v>546</v>
      </c>
      <c r="X3356" s="1008" t="s">
        <v>670</v>
      </c>
      <c r="Y3356" s="1008"/>
      <c r="Z3356" s="1008"/>
      <c r="AA3356" s="1008" t="s">
        <v>670</v>
      </c>
      <c r="AB3356" s="1008"/>
      <c r="AC3356" s="1008"/>
      <c r="AD3356" s="1008"/>
      <c r="AE3356" s="1008"/>
      <c r="AF3356" s="1008"/>
      <c r="AG3356" s="1008"/>
      <c r="AH3356" s="1008"/>
      <c r="AI3356" s="1008"/>
    </row>
    <row r="3357" spans="1:35">
      <c r="A3357" s="1008">
        <v>25391</v>
      </c>
      <c r="C3357" s="1008">
        <v>6</v>
      </c>
      <c r="D3357" s="1009">
        <v>67099999</v>
      </c>
      <c r="E3357" s="1009">
        <v>67039999</v>
      </c>
      <c r="F3357" s="1007" t="s">
        <v>1313</v>
      </c>
      <c r="O3357" s="1007" t="s">
        <v>648</v>
      </c>
      <c r="P3357" s="1007" t="s">
        <v>648</v>
      </c>
      <c r="S3357" s="1008" t="s">
        <v>650</v>
      </c>
      <c r="T3357" s="1008" t="s">
        <v>21</v>
      </c>
      <c r="U3357" s="1008" t="s">
        <v>653</v>
      </c>
      <c r="V3357" s="1008" t="s">
        <v>648</v>
      </c>
      <c r="W3357" s="1008" t="s">
        <v>546</v>
      </c>
      <c r="X3357" s="1008"/>
      <c r="Y3357" s="1008"/>
      <c r="Z3357" s="1008"/>
      <c r="AA3357" s="1008"/>
      <c r="AB3357" s="1008"/>
      <c r="AC3357" s="1008"/>
      <c r="AD3357" s="1008"/>
      <c r="AE3357" s="1008"/>
      <c r="AF3357" s="1008"/>
      <c r="AG3357" s="1008"/>
      <c r="AH3357" s="1008"/>
      <c r="AI3357" s="1008"/>
    </row>
    <row r="3358" spans="1:35">
      <c r="A3358" s="1008">
        <v>25392</v>
      </c>
      <c r="C3358" s="1008">
        <v>5</v>
      </c>
      <c r="D3358" s="1009">
        <v>69999999</v>
      </c>
      <c r="E3358" s="1009">
        <v>67099999</v>
      </c>
      <c r="F3358" s="1007" t="s">
        <v>1312</v>
      </c>
      <c r="O3358" s="1007" t="s">
        <v>648</v>
      </c>
      <c r="P3358" s="1007" t="s">
        <v>648</v>
      </c>
      <c r="S3358" s="1008" t="s">
        <v>650</v>
      </c>
      <c r="T3358" s="1008" t="s">
        <v>21</v>
      </c>
      <c r="U3358" s="1008" t="s">
        <v>653</v>
      </c>
      <c r="V3358" s="1008" t="s">
        <v>648</v>
      </c>
      <c r="W3358" s="1008" t="s">
        <v>546</v>
      </c>
      <c r="X3358" s="1008"/>
      <c r="Y3358" s="1008"/>
      <c r="Z3358" s="1008"/>
      <c r="AA3358" s="1008"/>
      <c r="AB3358" s="1008"/>
      <c r="AC3358" s="1008"/>
      <c r="AD3358" s="1008"/>
      <c r="AE3358" s="1008"/>
      <c r="AF3358" s="1008"/>
      <c r="AG3358" s="1008"/>
      <c r="AH3358" s="1008"/>
      <c r="AI3358" s="1008"/>
    </row>
    <row r="3359" spans="1:35">
      <c r="A3359" s="1008">
        <v>25393</v>
      </c>
      <c r="C3359" s="1008">
        <v>5</v>
      </c>
      <c r="D3359" s="1009">
        <v>68099999</v>
      </c>
      <c r="E3359" s="1009">
        <v>68000000</v>
      </c>
      <c r="F3359" s="1007" t="s">
        <v>1311</v>
      </c>
      <c r="O3359" s="1007" t="s">
        <v>648</v>
      </c>
      <c r="P3359" s="1007" t="s">
        <v>648</v>
      </c>
      <c r="S3359" s="1008" t="s">
        <v>650</v>
      </c>
      <c r="T3359" s="1008" t="s">
        <v>675</v>
      </c>
      <c r="U3359" s="1008" t="s">
        <v>653</v>
      </c>
      <c r="V3359" s="1008" t="s">
        <v>648</v>
      </c>
      <c r="W3359" s="1008" t="s">
        <v>546</v>
      </c>
      <c r="X3359" s="1008"/>
      <c r="Y3359" s="1008"/>
      <c r="Z3359" s="1008"/>
      <c r="AA3359" s="1008"/>
      <c r="AB3359" s="1008"/>
      <c r="AC3359" s="1008"/>
      <c r="AD3359" s="1008"/>
      <c r="AE3359" s="1008"/>
      <c r="AF3359" s="1008"/>
      <c r="AG3359" s="1008"/>
      <c r="AH3359" s="1008"/>
      <c r="AI3359" s="1008"/>
    </row>
    <row r="3360" spans="1:35">
      <c r="A3360" s="1008">
        <v>25394</v>
      </c>
      <c r="C3360" s="1008">
        <v>6</v>
      </c>
      <c r="D3360" s="1009">
        <v>68019999</v>
      </c>
      <c r="E3360" s="1009">
        <v>68010000</v>
      </c>
      <c r="F3360" s="1007" t="s">
        <v>1310</v>
      </c>
      <c r="O3360" s="1007" t="s">
        <v>648</v>
      </c>
      <c r="P3360" s="1007" t="s">
        <v>648</v>
      </c>
      <c r="S3360" s="1008" t="s">
        <v>650</v>
      </c>
      <c r="T3360" s="1008" t="s">
        <v>675</v>
      </c>
      <c r="U3360" s="1008" t="s">
        <v>653</v>
      </c>
      <c r="V3360" s="1008" t="s">
        <v>648</v>
      </c>
      <c r="W3360" s="1008" t="s">
        <v>546</v>
      </c>
      <c r="X3360" s="1008"/>
      <c r="Y3360" s="1008"/>
      <c r="Z3360" s="1008"/>
      <c r="AA3360" s="1008"/>
      <c r="AB3360" s="1008"/>
      <c r="AC3360" s="1008"/>
      <c r="AD3360" s="1008"/>
      <c r="AE3360" s="1008"/>
      <c r="AF3360" s="1008"/>
      <c r="AG3360" s="1008"/>
      <c r="AH3360" s="1008"/>
      <c r="AI3360" s="1008"/>
    </row>
    <row r="3361" spans="1:35">
      <c r="A3361" s="1008">
        <v>25395</v>
      </c>
      <c r="B3361" s="1008">
        <v>2400</v>
      </c>
      <c r="C3361" s="1008">
        <v>7</v>
      </c>
      <c r="D3361" s="1009">
        <v>68019999</v>
      </c>
      <c r="E3361" s="1009">
        <v>68011000</v>
      </c>
      <c r="F3361" s="1007" t="s">
        <v>1309</v>
      </c>
      <c r="G3361" s="1007">
        <v>7</v>
      </c>
      <c r="H3361" s="1010">
        <v>99999999</v>
      </c>
      <c r="I3361" s="1009">
        <v>68011000</v>
      </c>
      <c r="J3361" s="1007" t="s">
        <v>1309</v>
      </c>
      <c r="O3361" s="1007" t="s">
        <v>648</v>
      </c>
      <c r="P3361" s="1007" t="s">
        <v>648</v>
      </c>
      <c r="S3361" s="1008" t="s">
        <v>650</v>
      </c>
      <c r="T3361" s="1008" t="s">
        <v>654</v>
      </c>
      <c r="U3361" s="1008" t="s">
        <v>653</v>
      </c>
      <c r="V3361" s="1008" t="s">
        <v>648</v>
      </c>
      <c r="W3361" s="1008" t="s">
        <v>546</v>
      </c>
      <c r="X3361" s="1008" t="s">
        <v>670</v>
      </c>
      <c r="Y3361" s="1008"/>
      <c r="Z3361" s="1008"/>
      <c r="AA3361" s="1008" t="s">
        <v>670</v>
      </c>
      <c r="AB3361" s="1008"/>
      <c r="AC3361" s="1008"/>
      <c r="AD3361" s="1008"/>
      <c r="AE3361" s="1008"/>
      <c r="AF3361" s="1008"/>
      <c r="AG3361" s="1008"/>
      <c r="AH3361" s="1008"/>
      <c r="AI3361" s="1008"/>
    </row>
    <row r="3362" spans="1:35">
      <c r="A3362" s="1008">
        <v>25396</v>
      </c>
      <c r="B3362" s="1008">
        <v>2401</v>
      </c>
      <c r="C3362" s="1008">
        <v>7</v>
      </c>
      <c r="D3362" s="1009">
        <v>68019999</v>
      </c>
      <c r="E3362" s="1009">
        <v>68012000</v>
      </c>
      <c r="F3362" s="1007" t="s">
        <v>1308</v>
      </c>
      <c r="G3362" s="1007">
        <v>7</v>
      </c>
      <c r="H3362" s="1010">
        <v>99999999</v>
      </c>
      <c r="I3362" s="1009">
        <v>68012000</v>
      </c>
      <c r="J3362" s="1007" t="s">
        <v>1308</v>
      </c>
      <c r="O3362" s="1007" t="s">
        <v>648</v>
      </c>
      <c r="P3362" s="1007" t="s">
        <v>648</v>
      </c>
      <c r="S3362" s="1008" t="s">
        <v>650</v>
      </c>
      <c r="T3362" s="1008" t="s">
        <v>654</v>
      </c>
      <c r="U3362" s="1008" t="s">
        <v>653</v>
      </c>
      <c r="V3362" s="1008" t="s">
        <v>648</v>
      </c>
      <c r="W3362" s="1008" t="s">
        <v>546</v>
      </c>
      <c r="X3362" s="1008" t="s">
        <v>670</v>
      </c>
      <c r="Y3362" s="1008"/>
      <c r="Z3362" s="1008"/>
      <c r="AA3362" s="1008" t="s">
        <v>670</v>
      </c>
      <c r="AB3362" s="1008"/>
      <c r="AC3362" s="1008"/>
      <c r="AD3362" s="1008"/>
      <c r="AE3362" s="1008"/>
      <c r="AF3362" s="1008"/>
      <c r="AG3362" s="1008"/>
      <c r="AH3362" s="1008"/>
      <c r="AI3362" s="1008"/>
    </row>
    <row r="3363" spans="1:35">
      <c r="A3363" s="1008">
        <v>25397</v>
      </c>
      <c r="B3363" s="1008">
        <v>2402</v>
      </c>
      <c r="C3363" s="1008">
        <v>7</v>
      </c>
      <c r="D3363" s="1009">
        <v>68019999</v>
      </c>
      <c r="E3363" s="1009">
        <v>68013000</v>
      </c>
      <c r="F3363" s="1007" t="s">
        <v>1307</v>
      </c>
      <c r="G3363" s="1007">
        <v>7</v>
      </c>
      <c r="H3363" s="1010">
        <v>99999999</v>
      </c>
      <c r="I3363" s="1009">
        <v>68013000</v>
      </c>
      <c r="J3363" s="1007" t="s">
        <v>1307</v>
      </c>
      <c r="O3363" s="1007" t="s">
        <v>648</v>
      </c>
      <c r="P3363" s="1007" t="s">
        <v>648</v>
      </c>
      <c r="S3363" s="1008" t="s">
        <v>650</v>
      </c>
      <c r="T3363" s="1008" t="s">
        <v>654</v>
      </c>
      <c r="U3363" s="1008" t="s">
        <v>653</v>
      </c>
      <c r="V3363" s="1008" t="s">
        <v>648</v>
      </c>
      <c r="W3363" s="1008" t="s">
        <v>546</v>
      </c>
      <c r="X3363" s="1008" t="s">
        <v>670</v>
      </c>
      <c r="Y3363" s="1008"/>
      <c r="Z3363" s="1008"/>
      <c r="AA3363" s="1008" t="s">
        <v>670</v>
      </c>
      <c r="AB3363" s="1008"/>
      <c r="AC3363" s="1008"/>
      <c r="AD3363" s="1008"/>
      <c r="AE3363" s="1008"/>
      <c r="AF3363" s="1008"/>
      <c r="AG3363" s="1008"/>
      <c r="AH3363" s="1008"/>
      <c r="AI3363" s="1008"/>
    </row>
    <row r="3364" spans="1:35">
      <c r="A3364" s="1008">
        <v>25398</v>
      </c>
      <c r="B3364" s="1008">
        <v>2403</v>
      </c>
      <c r="C3364" s="1008">
        <v>7</v>
      </c>
      <c r="D3364" s="1009">
        <v>68019999</v>
      </c>
      <c r="E3364" s="1009">
        <v>68014000</v>
      </c>
      <c r="F3364" s="1007" t="s">
        <v>1306</v>
      </c>
      <c r="G3364" s="1007">
        <v>7</v>
      </c>
      <c r="H3364" s="1010">
        <v>99999999</v>
      </c>
      <c r="I3364" s="1009">
        <v>68014000</v>
      </c>
      <c r="J3364" s="1007" t="s">
        <v>1306</v>
      </c>
      <c r="O3364" s="1007" t="s">
        <v>648</v>
      </c>
      <c r="P3364" s="1007" t="s">
        <v>648</v>
      </c>
      <c r="S3364" s="1008" t="s">
        <v>650</v>
      </c>
      <c r="T3364" s="1008" t="s">
        <v>654</v>
      </c>
      <c r="U3364" s="1008" t="s">
        <v>653</v>
      </c>
      <c r="V3364" s="1008" t="s">
        <v>648</v>
      </c>
      <c r="W3364" s="1008" t="s">
        <v>546</v>
      </c>
      <c r="X3364" s="1008" t="s">
        <v>670</v>
      </c>
      <c r="Y3364" s="1008"/>
      <c r="Z3364" s="1008"/>
      <c r="AA3364" s="1008" t="s">
        <v>670</v>
      </c>
      <c r="AB3364" s="1008"/>
      <c r="AC3364" s="1008"/>
      <c r="AD3364" s="1008"/>
      <c r="AE3364" s="1008"/>
      <c r="AF3364" s="1008"/>
      <c r="AG3364" s="1008"/>
      <c r="AH3364" s="1008"/>
      <c r="AI3364" s="1008"/>
    </row>
    <row r="3365" spans="1:35">
      <c r="A3365" s="1008">
        <v>25399</v>
      </c>
      <c r="B3365" s="1008">
        <v>586</v>
      </c>
      <c r="C3365" s="1008">
        <v>7</v>
      </c>
      <c r="D3365" s="1009">
        <v>68019999</v>
      </c>
      <c r="E3365" s="1009">
        <v>68015000</v>
      </c>
      <c r="F3365" s="1007" t="s">
        <v>1305</v>
      </c>
      <c r="G3365" s="1007">
        <v>8</v>
      </c>
      <c r="H3365" s="1010">
        <v>99999999</v>
      </c>
      <c r="I3365" s="1009">
        <v>68015000</v>
      </c>
      <c r="J3365" s="1007" t="s">
        <v>1305</v>
      </c>
      <c r="O3365" s="1007" t="s">
        <v>648</v>
      </c>
      <c r="P3365" s="1007" t="s">
        <v>648</v>
      </c>
      <c r="S3365" s="1008" t="s">
        <v>650</v>
      </c>
      <c r="T3365" s="1008" t="s">
        <v>654</v>
      </c>
      <c r="U3365" s="1008" t="s">
        <v>653</v>
      </c>
      <c r="V3365" s="1008" t="s">
        <v>648</v>
      </c>
      <c r="W3365" s="1008" t="s">
        <v>546</v>
      </c>
      <c r="X3365" s="1008" t="s">
        <v>670</v>
      </c>
      <c r="Y3365" s="1008"/>
      <c r="Z3365" s="1008"/>
      <c r="AA3365" s="1008" t="s">
        <v>670</v>
      </c>
      <c r="AB3365" s="1008"/>
      <c r="AC3365" s="1008"/>
      <c r="AD3365" s="1008"/>
      <c r="AE3365" s="1008" t="s">
        <v>670</v>
      </c>
      <c r="AF3365" s="1008"/>
      <c r="AG3365" s="1008"/>
      <c r="AH3365" s="1008"/>
      <c r="AI3365" s="1008"/>
    </row>
    <row r="3366" spans="1:35">
      <c r="A3366" s="1008">
        <v>25400</v>
      </c>
      <c r="B3366" s="1008">
        <v>606</v>
      </c>
      <c r="C3366" s="1008">
        <v>7</v>
      </c>
      <c r="D3366" s="1009">
        <v>68019999</v>
      </c>
      <c r="E3366" s="1009">
        <v>68016000</v>
      </c>
      <c r="F3366" s="1007" t="s">
        <v>1304</v>
      </c>
      <c r="G3366" s="1007">
        <v>8</v>
      </c>
      <c r="H3366" s="1010">
        <v>99999999</v>
      </c>
      <c r="I3366" s="1009">
        <v>68016000</v>
      </c>
      <c r="J3366" s="1007" t="s">
        <v>1304</v>
      </c>
      <c r="O3366" s="1007" t="s">
        <v>648</v>
      </c>
      <c r="P3366" s="1007" t="s">
        <v>648</v>
      </c>
      <c r="S3366" s="1008" t="s">
        <v>650</v>
      </c>
      <c r="T3366" s="1008" t="s">
        <v>654</v>
      </c>
      <c r="U3366" s="1008" t="s">
        <v>653</v>
      </c>
      <c r="V3366" s="1008" t="s">
        <v>648</v>
      </c>
      <c r="W3366" s="1008" t="s">
        <v>546</v>
      </c>
      <c r="X3366" s="1008" t="s">
        <v>670</v>
      </c>
      <c r="Y3366" s="1008"/>
      <c r="Z3366" s="1008"/>
      <c r="AA3366" s="1008" t="s">
        <v>670</v>
      </c>
      <c r="AB3366" s="1008"/>
      <c r="AC3366" s="1008"/>
      <c r="AD3366" s="1008"/>
      <c r="AE3366" s="1008"/>
      <c r="AF3366" s="1008"/>
      <c r="AG3366" s="1008"/>
      <c r="AH3366" s="1008"/>
      <c r="AI3366" s="1008"/>
    </row>
    <row r="3367" spans="1:35">
      <c r="A3367" s="1008">
        <v>25401</v>
      </c>
      <c r="B3367" s="1008">
        <v>5544</v>
      </c>
      <c r="C3367" s="1008">
        <v>7</v>
      </c>
      <c r="D3367" s="1009">
        <v>68019999</v>
      </c>
      <c r="E3367" s="1009">
        <v>68017000</v>
      </c>
      <c r="F3367" s="1007" t="s">
        <v>1303</v>
      </c>
      <c r="G3367" s="1007">
        <v>7</v>
      </c>
      <c r="H3367" s="1010">
        <v>99999999</v>
      </c>
      <c r="I3367" s="1009">
        <v>68017000</v>
      </c>
      <c r="J3367" s="1007" t="s">
        <v>1303</v>
      </c>
      <c r="O3367" s="1007" t="s">
        <v>648</v>
      </c>
      <c r="P3367" s="1007" t="s">
        <v>648</v>
      </c>
      <c r="S3367" s="1008" t="s">
        <v>650</v>
      </c>
      <c r="T3367" s="1008" t="s">
        <v>654</v>
      </c>
      <c r="U3367" s="1008" t="s">
        <v>653</v>
      </c>
      <c r="V3367" s="1008" t="s">
        <v>648</v>
      </c>
      <c r="W3367" s="1008" t="s">
        <v>546</v>
      </c>
      <c r="X3367" s="1008" t="s">
        <v>670</v>
      </c>
      <c r="Y3367" s="1008"/>
      <c r="Z3367" s="1008"/>
      <c r="AA3367" s="1008" t="s">
        <v>670</v>
      </c>
      <c r="AB3367" s="1008"/>
      <c r="AC3367" s="1008"/>
      <c r="AD3367" s="1008"/>
      <c r="AE3367" s="1008"/>
      <c r="AF3367" s="1008"/>
      <c r="AG3367" s="1008"/>
      <c r="AH3367" s="1008"/>
      <c r="AI3367" s="1008"/>
    </row>
    <row r="3368" spans="1:35">
      <c r="A3368" s="1008">
        <v>25402</v>
      </c>
      <c r="C3368" s="1008">
        <v>6</v>
      </c>
      <c r="D3368" s="1009">
        <v>68099999</v>
      </c>
      <c r="E3368" s="1009">
        <v>68019999</v>
      </c>
      <c r="F3368" s="1007" t="s">
        <v>1302</v>
      </c>
      <c r="O3368" s="1007" t="s">
        <v>648</v>
      </c>
      <c r="P3368" s="1007" t="s">
        <v>648</v>
      </c>
      <c r="S3368" s="1008" t="s">
        <v>650</v>
      </c>
      <c r="T3368" s="1008" t="s">
        <v>21</v>
      </c>
      <c r="U3368" s="1008" t="s">
        <v>653</v>
      </c>
      <c r="V3368" s="1008" t="s">
        <v>648</v>
      </c>
      <c r="W3368" s="1008" t="s">
        <v>546</v>
      </c>
      <c r="X3368" s="1008"/>
      <c r="Y3368" s="1008"/>
      <c r="Z3368" s="1008"/>
      <c r="AA3368" s="1008"/>
      <c r="AB3368" s="1008"/>
      <c r="AC3368" s="1008"/>
      <c r="AD3368" s="1008"/>
      <c r="AE3368" s="1008"/>
      <c r="AF3368" s="1008"/>
      <c r="AG3368" s="1008"/>
      <c r="AH3368" s="1008"/>
      <c r="AI3368" s="1008"/>
    </row>
    <row r="3369" spans="1:35">
      <c r="A3369" s="1008">
        <v>25403</v>
      </c>
      <c r="C3369" s="1008">
        <v>5</v>
      </c>
      <c r="D3369" s="1009">
        <v>69999999</v>
      </c>
      <c r="E3369" s="1009">
        <v>68099999</v>
      </c>
      <c r="F3369" s="1007" t="s">
        <v>1301</v>
      </c>
      <c r="O3369" s="1007" t="s">
        <v>648</v>
      </c>
      <c r="P3369" s="1007" t="s">
        <v>648</v>
      </c>
      <c r="S3369" s="1008" t="s">
        <v>650</v>
      </c>
      <c r="T3369" s="1008" t="s">
        <v>21</v>
      </c>
      <c r="U3369" s="1008" t="s">
        <v>653</v>
      </c>
      <c r="V3369" s="1008" t="s">
        <v>648</v>
      </c>
      <c r="W3369" s="1008" t="s">
        <v>546</v>
      </c>
      <c r="X3369" s="1008"/>
      <c r="Y3369" s="1008"/>
      <c r="Z3369" s="1008"/>
      <c r="AA3369" s="1008"/>
      <c r="AB3369" s="1008"/>
      <c r="AC3369" s="1008"/>
      <c r="AD3369" s="1008"/>
      <c r="AE3369" s="1008"/>
      <c r="AF3369" s="1008"/>
      <c r="AG3369" s="1008"/>
      <c r="AH3369" s="1008"/>
      <c r="AI3369" s="1008"/>
    </row>
    <row r="3370" spans="1:35">
      <c r="A3370" s="1008">
        <v>25404</v>
      </c>
      <c r="C3370" s="1008">
        <v>5</v>
      </c>
      <c r="D3370" s="1009">
        <v>69399999</v>
      </c>
      <c r="E3370" s="1009">
        <v>69000000</v>
      </c>
      <c r="F3370" s="1007" t="s">
        <v>1545</v>
      </c>
      <c r="O3370" s="1007" t="s">
        <v>648</v>
      </c>
      <c r="P3370" s="1007" t="s">
        <v>648</v>
      </c>
      <c r="S3370" s="1008" t="s">
        <v>650</v>
      </c>
      <c r="T3370" s="1008" t="s">
        <v>675</v>
      </c>
      <c r="U3370" s="1008" t="s">
        <v>653</v>
      </c>
      <c r="V3370" s="1008" t="s">
        <v>648</v>
      </c>
      <c r="W3370" s="1008" t="s">
        <v>546</v>
      </c>
      <c r="X3370" s="1008"/>
      <c r="Y3370" s="1008"/>
      <c r="Z3370" s="1008"/>
      <c r="AA3370" s="1008"/>
      <c r="AB3370" s="1008"/>
      <c r="AC3370" s="1008"/>
      <c r="AD3370" s="1008"/>
      <c r="AE3370" s="1008"/>
      <c r="AF3370" s="1008"/>
      <c r="AG3370" s="1008"/>
      <c r="AH3370" s="1008"/>
      <c r="AI3370" s="1008"/>
    </row>
    <row r="3371" spans="1:35">
      <c r="A3371" s="1008">
        <v>25405</v>
      </c>
      <c r="C3371" s="1008">
        <v>6</v>
      </c>
      <c r="D3371" s="1009">
        <v>69209999</v>
      </c>
      <c r="E3371" s="1009">
        <v>69200000</v>
      </c>
      <c r="F3371" s="1007" t="s">
        <v>1544</v>
      </c>
      <c r="O3371" s="1007" t="s">
        <v>648</v>
      </c>
      <c r="P3371" s="1007" t="s">
        <v>648</v>
      </c>
      <c r="S3371" s="1008" t="s">
        <v>650</v>
      </c>
      <c r="T3371" s="1008" t="s">
        <v>675</v>
      </c>
      <c r="U3371" s="1008" t="s">
        <v>653</v>
      </c>
      <c r="V3371" s="1008" t="s">
        <v>648</v>
      </c>
      <c r="W3371" s="1008" t="s">
        <v>546</v>
      </c>
      <c r="X3371" s="1008"/>
      <c r="Y3371" s="1008"/>
      <c r="Z3371" s="1008"/>
      <c r="AA3371" s="1008"/>
      <c r="AB3371" s="1008"/>
      <c r="AC3371" s="1008"/>
      <c r="AD3371" s="1008"/>
      <c r="AE3371" s="1008"/>
      <c r="AF3371" s="1008"/>
      <c r="AG3371" s="1008"/>
      <c r="AH3371" s="1008"/>
      <c r="AI3371" s="1008"/>
    </row>
    <row r="3372" spans="1:35">
      <c r="A3372" s="1008">
        <v>25406</v>
      </c>
      <c r="B3372" s="1008">
        <v>758</v>
      </c>
      <c r="C3372" s="1008">
        <v>7</v>
      </c>
      <c r="D3372" s="1009">
        <v>69209999</v>
      </c>
      <c r="E3372" s="1009">
        <v>69201000</v>
      </c>
      <c r="F3372" s="1007" t="s">
        <v>1543</v>
      </c>
      <c r="G3372" s="1007">
        <v>8</v>
      </c>
      <c r="H3372" s="1010">
        <v>99999999</v>
      </c>
      <c r="I3372" s="1009">
        <v>69201000</v>
      </c>
      <c r="J3372" s="1007" t="s">
        <v>1543</v>
      </c>
      <c r="O3372" s="1007" t="s">
        <v>648</v>
      </c>
      <c r="P3372" s="1007" t="s">
        <v>648</v>
      </c>
      <c r="S3372" s="1008" t="s">
        <v>650</v>
      </c>
      <c r="T3372" s="1008" t="s">
        <v>654</v>
      </c>
      <c r="U3372" s="1008" t="s">
        <v>653</v>
      </c>
      <c r="V3372" s="1008" t="s">
        <v>648</v>
      </c>
      <c r="W3372" s="1008" t="s">
        <v>546</v>
      </c>
      <c r="X3372" s="1008" t="s">
        <v>670</v>
      </c>
      <c r="Y3372" s="1008"/>
      <c r="Z3372" s="1008"/>
      <c r="AA3372" s="1008" t="s">
        <v>670</v>
      </c>
      <c r="AB3372" s="1008"/>
      <c r="AC3372" s="1008"/>
      <c r="AD3372" s="1008"/>
      <c r="AE3372" s="1008"/>
      <c r="AF3372" s="1008"/>
      <c r="AG3372" s="1008"/>
      <c r="AH3372" s="1008"/>
      <c r="AI3372" s="1008"/>
    </row>
    <row r="3373" spans="1:35">
      <c r="A3373" s="1008">
        <v>26494</v>
      </c>
      <c r="B3373" s="1008">
        <v>5548</v>
      </c>
      <c r="C3373" s="1008">
        <v>7</v>
      </c>
      <c r="D3373" s="1009">
        <v>69209999</v>
      </c>
      <c r="E3373" s="1009">
        <v>69202000</v>
      </c>
      <c r="F3373" s="1007" t="s">
        <v>1542</v>
      </c>
      <c r="G3373" s="1007">
        <v>7</v>
      </c>
      <c r="H3373" s="1010">
        <v>99999999</v>
      </c>
      <c r="I3373" s="1009">
        <v>69202000</v>
      </c>
      <c r="J3373" s="1007" t="s">
        <v>1542</v>
      </c>
      <c r="O3373" s="1007" t="s">
        <v>648</v>
      </c>
      <c r="P3373" s="1007" t="s">
        <v>648</v>
      </c>
      <c r="S3373" s="1008" t="s">
        <v>650</v>
      </c>
      <c r="T3373" s="1008" t="s">
        <v>654</v>
      </c>
      <c r="U3373" s="1008" t="s">
        <v>653</v>
      </c>
      <c r="V3373" s="1008" t="s">
        <v>648</v>
      </c>
      <c r="W3373" s="1008" t="s">
        <v>546</v>
      </c>
      <c r="X3373" s="1008" t="s">
        <v>670</v>
      </c>
      <c r="Y3373" s="1008"/>
      <c r="Z3373" s="1008"/>
      <c r="AA3373" s="1008" t="s">
        <v>670</v>
      </c>
      <c r="AB3373" s="1008"/>
      <c r="AC3373" s="1008"/>
      <c r="AD3373" s="1008"/>
      <c r="AE3373" s="1008"/>
      <c r="AF3373" s="1008"/>
      <c r="AG3373" s="1008"/>
      <c r="AH3373" s="1008"/>
      <c r="AI3373" s="1008"/>
    </row>
    <row r="3374" spans="1:35">
      <c r="A3374" s="1008">
        <v>25407</v>
      </c>
      <c r="C3374" s="1008">
        <v>6</v>
      </c>
      <c r="D3374" s="1009">
        <v>69399999</v>
      </c>
      <c r="E3374" s="1009">
        <v>69209999</v>
      </c>
      <c r="F3374" s="1007" t="s">
        <v>1541</v>
      </c>
      <c r="O3374" s="1007" t="s">
        <v>648</v>
      </c>
      <c r="P3374" s="1007" t="s">
        <v>648</v>
      </c>
      <c r="S3374" s="1008" t="s">
        <v>650</v>
      </c>
      <c r="T3374" s="1008" t="s">
        <v>21</v>
      </c>
      <c r="U3374" s="1008" t="s">
        <v>653</v>
      </c>
      <c r="V3374" s="1008" t="s">
        <v>648</v>
      </c>
      <c r="W3374" s="1008" t="s">
        <v>546</v>
      </c>
      <c r="X3374" s="1008"/>
      <c r="Y3374" s="1008"/>
      <c r="Z3374" s="1008"/>
      <c r="AA3374" s="1008"/>
      <c r="AB3374" s="1008"/>
      <c r="AC3374" s="1008"/>
      <c r="AD3374" s="1008"/>
      <c r="AE3374" s="1008"/>
      <c r="AF3374" s="1008"/>
      <c r="AG3374" s="1008"/>
      <c r="AH3374" s="1008"/>
      <c r="AI3374" s="1008"/>
    </row>
    <row r="3375" spans="1:35">
      <c r="A3375" s="1008">
        <v>25408</v>
      </c>
      <c r="C3375" s="1008">
        <v>5</v>
      </c>
      <c r="D3375" s="1009">
        <v>69999999</v>
      </c>
      <c r="E3375" s="1009">
        <v>69399999</v>
      </c>
      <c r="F3375" s="1007" t="s">
        <v>1540</v>
      </c>
      <c r="O3375" s="1007" t="s">
        <v>648</v>
      </c>
      <c r="P3375" s="1007" t="s">
        <v>648</v>
      </c>
      <c r="S3375" s="1008" t="s">
        <v>650</v>
      </c>
      <c r="T3375" s="1008" t="s">
        <v>21</v>
      </c>
      <c r="U3375" s="1008" t="s">
        <v>653</v>
      </c>
      <c r="V3375" s="1008" t="s">
        <v>648</v>
      </c>
      <c r="W3375" s="1008" t="s">
        <v>546</v>
      </c>
      <c r="X3375" s="1008"/>
      <c r="Y3375" s="1008"/>
      <c r="Z3375" s="1008"/>
      <c r="AA3375" s="1008"/>
      <c r="AB3375" s="1008"/>
      <c r="AC3375" s="1008"/>
      <c r="AD3375" s="1008"/>
      <c r="AE3375" s="1008"/>
      <c r="AF3375" s="1008"/>
      <c r="AG3375" s="1008"/>
      <c r="AH3375" s="1008"/>
      <c r="AI3375" s="1008"/>
    </row>
    <row r="3376" spans="1:35">
      <c r="A3376" s="1008">
        <v>25409</v>
      </c>
      <c r="C3376" s="1008">
        <v>5</v>
      </c>
      <c r="D3376" s="1009">
        <v>69999900</v>
      </c>
      <c r="E3376" s="1009">
        <v>69900000</v>
      </c>
      <c r="F3376" s="1007" t="s">
        <v>1539</v>
      </c>
      <c r="O3376" s="1007" t="s">
        <v>648</v>
      </c>
      <c r="P3376" s="1007" t="s">
        <v>648</v>
      </c>
      <c r="S3376" s="1008" t="s">
        <v>650</v>
      </c>
      <c r="T3376" s="1008" t="s">
        <v>675</v>
      </c>
      <c r="U3376" s="1008" t="s">
        <v>653</v>
      </c>
      <c r="V3376" s="1008" t="s">
        <v>648</v>
      </c>
      <c r="W3376" s="1008" t="s">
        <v>546</v>
      </c>
      <c r="X3376" s="1008"/>
      <c r="Y3376" s="1008"/>
      <c r="Z3376" s="1008"/>
      <c r="AA3376" s="1008"/>
      <c r="AB3376" s="1008"/>
      <c r="AC3376" s="1008"/>
      <c r="AD3376" s="1008"/>
      <c r="AE3376" s="1008"/>
      <c r="AF3376" s="1008"/>
      <c r="AG3376" s="1008"/>
      <c r="AH3376" s="1008"/>
      <c r="AI3376" s="1008"/>
    </row>
    <row r="3377" spans="1:35">
      <c r="A3377" s="1008">
        <v>25410</v>
      </c>
      <c r="C3377" s="1008">
        <v>6</v>
      </c>
      <c r="D3377" s="1009">
        <v>69919999</v>
      </c>
      <c r="E3377" s="1009">
        <v>69910000</v>
      </c>
      <c r="F3377" s="1007" t="s">
        <v>1538</v>
      </c>
      <c r="O3377" s="1007" t="s">
        <v>648</v>
      </c>
      <c r="P3377" s="1007" t="s">
        <v>648</v>
      </c>
      <c r="S3377" s="1008" t="s">
        <v>650</v>
      </c>
      <c r="T3377" s="1008" t="s">
        <v>675</v>
      </c>
      <c r="U3377" s="1008" t="s">
        <v>653</v>
      </c>
      <c r="V3377" s="1008" t="s">
        <v>648</v>
      </c>
      <c r="W3377" s="1008" t="s">
        <v>546</v>
      </c>
      <c r="X3377" s="1008"/>
      <c r="Y3377" s="1008"/>
      <c r="Z3377" s="1008"/>
      <c r="AA3377" s="1008"/>
      <c r="AB3377" s="1008"/>
      <c r="AC3377" s="1008"/>
      <c r="AD3377" s="1008"/>
      <c r="AE3377" s="1008"/>
      <c r="AF3377" s="1008"/>
      <c r="AG3377" s="1008"/>
      <c r="AH3377" s="1008"/>
      <c r="AI3377" s="1008"/>
    </row>
    <row r="3378" spans="1:35">
      <c r="A3378" s="1008">
        <v>25412</v>
      </c>
      <c r="B3378" s="1008">
        <v>589</v>
      </c>
      <c r="C3378" s="1008">
        <v>7</v>
      </c>
      <c r="D3378" s="1009">
        <v>69919999</v>
      </c>
      <c r="E3378" s="1009">
        <v>69912000</v>
      </c>
      <c r="F3378" s="1007" t="s">
        <v>1537</v>
      </c>
      <c r="G3378" s="1007">
        <v>8</v>
      </c>
      <c r="H3378" s="1010">
        <v>99999999</v>
      </c>
      <c r="I3378" s="1009">
        <v>69912000</v>
      </c>
      <c r="J3378" s="1007" t="s">
        <v>1537</v>
      </c>
      <c r="O3378" s="1007" t="s">
        <v>648</v>
      </c>
      <c r="P3378" s="1007" t="s">
        <v>648</v>
      </c>
      <c r="S3378" s="1008" t="s">
        <v>650</v>
      </c>
      <c r="T3378" s="1008" t="s">
        <v>654</v>
      </c>
      <c r="U3378" s="1008" t="s">
        <v>653</v>
      </c>
      <c r="V3378" s="1008" t="s">
        <v>648</v>
      </c>
      <c r="W3378" s="1008" t="s">
        <v>546</v>
      </c>
      <c r="X3378" s="1008" t="s">
        <v>670</v>
      </c>
      <c r="Y3378" s="1008"/>
      <c r="Z3378" s="1008"/>
      <c r="AA3378" s="1008" t="s">
        <v>670</v>
      </c>
      <c r="AB3378" s="1008"/>
      <c r="AC3378" s="1008"/>
      <c r="AD3378" s="1008"/>
      <c r="AE3378" s="1008"/>
      <c r="AF3378" s="1008"/>
      <c r="AG3378" s="1008"/>
      <c r="AH3378" s="1008"/>
      <c r="AI3378" s="1008"/>
    </row>
    <row r="3379" spans="1:35">
      <c r="A3379" s="1008">
        <v>26611</v>
      </c>
      <c r="B3379" s="1008">
        <v>5873</v>
      </c>
      <c r="C3379" s="1008">
        <v>7</v>
      </c>
      <c r="D3379" s="1009">
        <v>69919999</v>
      </c>
      <c r="E3379" s="1009">
        <v>69913000</v>
      </c>
      <c r="F3379" s="1007" t="s">
        <v>1536</v>
      </c>
      <c r="G3379" s="1007" t="s">
        <v>648</v>
      </c>
      <c r="H3379" s="1010">
        <v>99999999</v>
      </c>
      <c r="I3379" s="1009">
        <v>69913000</v>
      </c>
      <c r="J3379" s="1007" t="s">
        <v>1536</v>
      </c>
      <c r="O3379" s="1007" t="s">
        <v>648</v>
      </c>
      <c r="P3379" s="1007" t="s">
        <v>648</v>
      </c>
      <c r="S3379" s="1008" t="s">
        <v>650</v>
      </c>
      <c r="T3379" s="1008" t="s">
        <v>654</v>
      </c>
      <c r="U3379" s="1008" t="s">
        <v>653</v>
      </c>
      <c r="V3379" s="1008" t="s">
        <v>648</v>
      </c>
      <c r="W3379" s="1008" t="s">
        <v>546</v>
      </c>
      <c r="X3379" s="1008" t="s">
        <v>670</v>
      </c>
      <c r="Y3379" s="1008"/>
      <c r="Z3379" s="1008"/>
      <c r="AA3379" s="1008" t="s">
        <v>670</v>
      </c>
      <c r="AB3379" s="1008"/>
      <c r="AC3379" s="1008"/>
      <c r="AD3379" s="1008"/>
      <c r="AE3379" s="1008"/>
      <c r="AF3379" s="1008"/>
      <c r="AG3379" s="1008"/>
      <c r="AH3379" s="1008"/>
      <c r="AI3379" s="1008"/>
    </row>
    <row r="3380" spans="1:35">
      <c r="A3380" s="1008">
        <v>25413</v>
      </c>
      <c r="B3380" s="1008">
        <v>588</v>
      </c>
      <c r="C3380" s="1008">
        <v>7</v>
      </c>
      <c r="D3380" s="1009">
        <v>69919999</v>
      </c>
      <c r="E3380" s="1009">
        <v>69919000</v>
      </c>
      <c r="F3380" s="1007" t="s">
        <v>1535</v>
      </c>
      <c r="G3380" s="1007">
        <v>8</v>
      </c>
      <c r="H3380" s="1010">
        <v>99999999</v>
      </c>
      <c r="I3380" s="1009">
        <v>69919000</v>
      </c>
      <c r="J3380" s="1007" t="s">
        <v>1535</v>
      </c>
      <c r="O3380" s="1007" t="s">
        <v>648</v>
      </c>
      <c r="P3380" s="1007" t="s">
        <v>648</v>
      </c>
      <c r="S3380" s="1008" t="s">
        <v>650</v>
      </c>
      <c r="T3380" s="1008" t="s">
        <v>654</v>
      </c>
      <c r="U3380" s="1008" t="s">
        <v>653</v>
      </c>
      <c r="V3380" s="1008" t="s">
        <v>648</v>
      </c>
      <c r="W3380" s="1008" t="s">
        <v>546</v>
      </c>
      <c r="X3380" s="1008" t="s">
        <v>670</v>
      </c>
      <c r="Y3380" s="1008"/>
      <c r="Z3380" s="1008"/>
      <c r="AA3380" s="1008" t="s">
        <v>670</v>
      </c>
      <c r="AB3380" s="1008"/>
      <c r="AC3380" s="1008"/>
      <c r="AD3380" s="1008"/>
      <c r="AE3380" s="1008"/>
      <c r="AF3380" s="1008"/>
      <c r="AG3380" s="1008"/>
      <c r="AH3380" s="1008"/>
      <c r="AI3380" s="1008"/>
    </row>
    <row r="3381" spans="1:35">
      <c r="A3381" s="1008">
        <v>25414</v>
      </c>
      <c r="C3381" s="1008">
        <v>6</v>
      </c>
      <c r="D3381" s="1009">
        <v>69999900</v>
      </c>
      <c r="E3381" s="1009">
        <v>69919999</v>
      </c>
      <c r="F3381" s="1007" t="s">
        <v>1534</v>
      </c>
      <c r="O3381" s="1007" t="s">
        <v>648</v>
      </c>
      <c r="P3381" s="1007" t="s">
        <v>648</v>
      </c>
      <c r="S3381" s="1008" t="s">
        <v>650</v>
      </c>
      <c r="T3381" s="1008" t="s">
        <v>21</v>
      </c>
      <c r="U3381" s="1008" t="s">
        <v>653</v>
      </c>
      <c r="V3381" s="1008" t="s">
        <v>648</v>
      </c>
      <c r="W3381" s="1008" t="s">
        <v>546</v>
      </c>
      <c r="X3381" s="1008"/>
      <c r="Y3381" s="1008"/>
      <c r="Z3381" s="1008"/>
      <c r="AA3381" s="1008"/>
      <c r="AB3381" s="1008"/>
      <c r="AC3381" s="1008"/>
      <c r="AD3381" s="1008"/>
      <c r="AE3381" s="1008"/>
      <c r="AF3381" s="1008"/>
      <c r="AG3381" s="1008"/>
      <c r="AH3381" s="1008"/>
      <c r="AI3381" s="1008"/>
    </row>
    <row r="3382" spans="1:35">
      <c r="A3382" s="1008">
        <v>26612</v>
      </c>
      <c r="C3382" s="1008">
        <v>6</v>
      </c>
      <c r="D3382" s="1009">
        <v>69929999</v>
      </c>
      <c r="E3382" s="1009">
        <v>69920000</v>
      </c>
      <c r="F3382" s="1007" t="s">
        <v>1533</v>
      </c>
      <c r="O3382" s="1007" t="s">
        <v>648</v>
      </c>
      <c r="P3382" s="1007" t="s">
        <v>648</v>
      </c>
      <c r="S3382" s="1008" t="s">
        <v>650</v>
      </c>
      <c r="T3382" s="1008" t="s">
        <v>675</v>
      </c>
      <c r="U3382" s="1008" t="s">
        <v>653</v>
      </c>
      <c r="V3382" s="1008" t="s">
        <v>648</v>
      </c>
      <c r="W3382" s="1008" t="s">
        <v>546</v>
      </c>
      <c r="X3382" s="1008"/>
      <c r="Y3382" s="1008"/>
      <c r="Z3382" s="1008"/>
      <c r="AA3382" s="1008"/>
      <c r="AB3382" s="1008"/>
      <c r="AC3382" s="1008"/>
      <c r="AD3382" s="1008"/>
      <c r="AE3382" s="1008"/>
      <c r="AF3382" s="1008"/>
      <c r="AG3382" s="1008"/>
      <c r="AH3382" s="1008"/>
      <c r="AI3382" s="1008"/>
    </row>
    <row r="3383" spans="1:35">
      <c r="A3383" s="1008">
        <v>25411</v>
      </c>
      <c r="B3383" s="1008">
        <v>593</v>
      </c>
      <c r="C3383" s="1008">
        <v>7</v>
      </c>
      <c r="D3383" s="1009">
        <v>69929999</v>
      </c>
      <c r="E3383" s="1009">
        <v>69921000</v>
      </c>
      <c r="F3383" s="1007" t="s">
        <v>1532</v>
      </c>
      <c r="G3383" s="1007">
        <v>8</v>
      </c>
      <c r="H3383" s="1010">
        <v>99999999</v>
      </c>
      <c r="I3383" s="1009">
        <v>69921000</v>
      </c>
      <c r="J3383" s="1007" t="s">
        <v>1532</v>
      </c>
      <c r="O3383" s="1007" t="s">
        <v>648</v>
      </c>
      <c r="P3383" s="1007" t="s">
        <v>648</v>
      </c>
      <c r="S3383" s="1008" t="s">
        <v>650</v>
      </c>
      <c r="T3383" s="1008" t="s">
        <v>654</v>
      </c>
      <c r="U3383" s="1008" t="s">
        <v>653</v>
      </c>
      <c r="V3383" s="1008" t="s">
        <v>648</v>
      </c>
      <c r="W3383" s="1008" t="s">
        <v>546</v>
      </c>
      <c r="X3383" s="1008" t="s">
        <v>670</v>
      </c>
      <c r="Y3383" s="1008" t="s">
        <v>670</v>
      </c>
      <c r="Z3383" s="1008" t="s">
        <v>670</v>
      </c>
      <c r="AA3383" s="1008" t="s">
        <v>670</v>
      </c>
      <c r="AB3383" s="1008" t="s">
        <v>670</v>
      </c>
      <c r="AC3383" s="1008" t="s">
        <v>670</v>
      </c>
      <c r="AD3383" s="1008" t="s">
        <v>670</v>
      </c>
      <c r="AE3383" s="1008" t="s">
        <v>670</v>
      </c>
      <c r="AF3383" s="1008" t="s">
        <v>670</v>
      </c>
      <c r="AG3383" s="1008" t="s">
        <v>670</v>
      </c>
      <c r="AH3383" s="1008" t="s">
        <v>670</v>
      </c>
      <c r="AI3383" s="1008" t="s">
        <v>670</v>
      </c>
    </row>
    <row r="3384" spans="1:35">
      <c r="A3384" s="1008">
        <v>26613</v>
      </c>
      <c r="C3384" s="1008">
        <v>6</v>
      </c>
      <c r="D3384" s="1009">
        <v>69999900</v>
      </c>
      <c r="E3384" s="1009">
        <v>69929999</v>
      </c>
      <c r="F3384" s="1007" t="s">
        <v>1531</v>
      </c>
      <c r="O3384" s="1007" t="s">
        <v>648</v>
      </c>
      <c r="P3384" s="1007" t="s">
        <v>648</v>
      </c>
      <c r="S3384" s="1008" t="s">
        <v>650</v>
      </c>
      <c r="T3384" s="1008" t="s">
        <v>21</v>
      </c>
      <c r="U3384" s="1008" t="s">
        <v>653</v>
      </c>
      <c r="V3384" s="1008" t="s">
        <v>648</v>
      </c>
      <c r="W3384" s="1008" t="s">
        <v>546</v>
      </c>
      <c r="X3384" s="1008"/>
      <c r="Y3384" s="1008"/>
      <c r="Z3384" s="1008"/>
      <c r="AA3384" s="1008"/>
      <c r="AB3384" s="1008"/>
      <c r="AC3384" s="1008"/>
      <c r="AD3384" s="1008"/>
      <c r="AE3384" s="1008"/>
      <c r="AF3384" s="1008"/>
      <c r="AG3384" s="1008"/>
      <c r="AH3384" s="1008"/>
      <c r="AI3384" s="1008"/>
    </row>
    <row r="3385" spans="1:35">
      <c r="A3385" s="1008">
        <v>27592</v>
      </c>
      <c r="C3385" s="1008">
        <v>6</v>
      </c>
      <c r="D3385" s="1009">
        <v>69949999</v>
      </c>
      <c r="E3385" s="1009">
        <v>69940000</v>
      </c>
      <c r="F3385" s="1007" t="s">
        <v>1530</v>
      </c>
      <c r="O3385" s="1007" t="s">
        <v>648</v>
      </c>
      <c r="P3385" s="1007" t="s">
        <v>648</v>
      </c>
      <c r="S3385" s="1008" t="s">
        <v>650</v>
      </c>
      <c r="T3385" s="1008" t="s">
        <v>675</v>
      </c>
      <c r="U3385" s="1008" t="s">
        <v>653</v>
      </c>
      <c r="V3385" s="1008" t="s">
        <v>648</v>
      </c>
      <c r="W3385" s="1008" t="s">
        <v>546</v>
      </c>
      <c r="X3385" s="1008"/>
      <c r="Y3385" s="1008"/>
      <c r="Z3385" s="1008"/>
      <c r="AA3385" s="1008"/>
      <c r="AB3385" s="1008"/>
      <c r="AC3385" s="1008"/>
      <c r="AD3385" s="1008"/>
      <c r="AE3385" s="1008"/>
      <c r="AF3385" s="1008"/>
      <c r="AG3385" s="1008"/>
      <c r="AH3385" s="1008"/>
      <c r="AI3385" s="1008"/>
    </row>
    <row r="3386" spans="1:35">
      <c r="A3386" s="1008">
        <v>27594</v>
      </c>
      <c r="B3386" s="1008">
        <v>6436</v>
      </c>
      <c r="C3386" s="1008">
        <v>6</v>
      </c>
      <c r="D3386" s="1009">
        <v>69949999</v>
      </c>
      <c r="E3386" s="1009">
        <v>69945600</v>
      </c>
      <c r="F3386" s="1007" t="s">
        <v>1529</v>
      </c>
      <c r="G3386" s="1007">
        <v>8</v>
      </c>
      <c r="H3386" s="1010">
        <v>99999999</v>
      </c>
      <c r="I3386" s="1009">
        <v>69945600</v>
      </c>
      <c r="J3386" s="1007" t="s">
        <v>1529</v>
      </c>
      <c r="O3386" s="1007" t="s">
        <v>648</v>
      </c>
      <c r="P3386" s="1007" t="s">
        <v>648</v>
      </c>
      <c r="S3386" s="1008" t="s">
        <v>650</v>
      </c>
      <c r="T3386" s="1008" t="s">
        <v>654</v>
      </c>
      <c r="U3386" s="1008" t="s">
        <v>653</v>
      </c>
      <c r="V3386" s="1008" t="s">
        <v>648</v>
      </c>
      <c r="W3386" s="1008" t="s">
        <v>546</v>
      </c>
      <c r="X3386" s="1008" t="s">
        <v>670</v>
      </c>
      <c r="Y3386" s="1008"/>
      <c r="Z3386" s="1008"/>
      <c r="AA3386" s="1008" t="s">
        <v>670</v>
      </c>
      <c r="AB3386" s="1008"/>
      <c r="AC3386" s="1008"/>
      <c r="AD3386" s="1008"/>
      <c r="AE3386" s="1008"/>
      <c r="AF3386" s="1008"/>
      <c r="AG3386" s="1008"/>
      <c r="AH3386" s="1008"/>
      <c r="AI3386" s="1008"/>
    </row>
    <row r="3387" spans="1:35">
      <c r="A3387" s="1008">
        <v>27595</v>
      </c>
      <c r="B3387" s="1008">
        <v>6437</v>
      </c>
      <c r="C3387" s="1008">
        <v>6</v>
      </c>
      <c r="D3387" s="1009">
        <v>69949999</v>
      </c>
      <c r="E3387" s="1009">
        <v>69945605</v>
      </c>
      <c r="F3387" s="1007" t="s">
        <v>1528</v>
      </c>
      <c r="G3387" s="1007">
        <v>8</v>
      </c>
      <c r="H3387" s="1010">
        <v>99999999</v>
      </c>
      <c r="I3387" s="1009">
        <v>69945605</v>
      </c>
      <c r="J3387" s="1007" t="s">
        <v>1528</v>
      </c>
      <c r="O3387" s="1007" t="s">
        <v>648</v>
      </c>
      <c r="P3387" s="1007" t="s">
        <v>648</v>
      </c>
      <c r="S3387" s="1008" t="s">
        <v>650</v>
      </c>
      <c r="T3387" s="1008" t="s">
        <v>654</v>
      </c>
      <c r="U3387" s="1008" t="s">
        <v>653</v>
      </c>
      <c r="V3387" s="1008" t="s">
        <v>648</v>
      </c>
      <c r="W3387" s="1008" t="s">
        <v>546</v>
      </c>
      <c r="X3387" s="1008" t="s">
        <v>670</v>
      </c>
      <c r="Y3387" s="1008"/>
      <c r="Z3387" s="1008"/>
      <c r="AA3387" s="1008" t="s">
        <v>670</v>
      </c>
      <c r="AB3387" s="1008"/>
      <c r="AC3387" s="1008"/>
      <c r="AD3387" s="1008"/>
      <c r="AE3387" s="1008"/>
      <c r="AF3387" s="1008"/>
      <c r="AG3387" s="1008"/>
      <c r="AH3387" s="1008"/>
      <c r="AI3387" s="1008"/>
    </row>
    <row r="3388" spans="1:35">
      <c r="A3388" s="1008">
        <v>27593</v>
      </c>
      <c r="C3388" s="1008">
        <v>6</v>
      </c>
      <c r="D3388" s="1009">
        <v>69999900</v>
      </c>
      <c r="E3388" s="1009">
        <v>69949999</v>
      </c>
      <c r="F3388" s="1007" t="s">
        <v>1527</v>
      </c>
      <c r="O3388" s="1007" t="s">
        <v>648</v>
      </c>
      <c r="P3388" s="1007" t="s">
        <v>648</v>
      </c>
      <c r="S3388" s="1008" t="s">
        <v>650</v>
      </c>
      <c r="T3388" s="1008" t="s">
        <v>21</v>
      </c>
      <c r="U3388" s="1008" t="s">
        <v>653</v>
      </c>
      <c r="V3388" s="1008" t="s">
        <v>648</v>
      </c>
      <c r="W3388" s="1008" t="s">
        <v>546</v>
      </c>
      <c r="X3388" s="1008"/>
      <c r="Y3388" s="1008"/>
      <c r="Z3388" s="1008"/>
      <c r="AA3388" s="1008"/>
      <c r="AB3388" s="1008"/>
      <c r="AC3388" s="1008"/>
      <c r="AD3388" s="1008"/>
      <c r="AE3388" s="1008"/>
      <c r="AF3388" s="1008"/>
      <c r="AG3388" s="1008"/>
      <c r="AH3388" s="1008"/>
      <c r="AI3388" s="1008"/>
    </row>
    <row r="3389" spans="1:35">
      <c r="A3389" s="1008">
        <v>25415</v>
      </c>
      <c r="C3389" s="1008">
        <v>5</v>
      </c>
      <c r="D3389" s="1009">
        <v>69999999</v>
      </c>
      <c r="E3389" s="1009">
        <v>69999900</v>
      </c>
      <c r="F3389" s="1007" t="s">
        <v>1526</v>
      </c>
      <c r="O3389" s="1007" t="s">
        <v>648</v>
      </c>
      <c r="P3389" s="1007" t="s">
        <v>648</v>
      </c>
      <c r="S3389" s="1008" t="s">
        <v>650</v>
      </c>
      <c r="T3389" s="1008" t="s">
        <v>21</v>
      </c>
      <c r="U3389" s="1008" t="s">
        <v>653</v>
      </c>
      <c r="V3389" s="1008" t="s">
        <v>648</v>
      </c>
      <c r="W3389" s="1008" t="s">
        <v>546</v>
      </c>
      <c r="X3389" s="1008"/>
      <c r="Y3389" s="1008"/>
      <c r="Z3389" s="1008"/>
      <c r="AA3389" s="1008"/>
      <c r="AB3389" s="1008"/>
      <c r="AC3389" s="1008"/>
      <c r="AD3389" s="1008"/>
      <c r="AE3389" s="1008"/>
      <c r="AF3389" s="1008"/>
      <c r="AG3389" s="1008"/>
      <c r="AH3389" s="1008"/>
      <c r="AI3389" s="1008"/>
    </row>
    <row r="3390" spans="1:35">
      <c r="A3390" s="1008">
        <v>25416</v>
      </c>
      <c r="C3390" s="1008">
        <v>4</v>
      </c>
      <c r="D3390" s="1009">
        <v>79999998</v>
      </c>
      <c r="E3390" s="1009">
        <v>69999999</v>
      </c>
      <c r="F3390" s="1007" t="s">
        <v>1525</v>
      </c>
      <c r="O3390" s="1007" t="s">
        <v>648</v>
      </c>
      <c r="P3390" s="1007" t="s">
        <v>648</v>
      </c>
      <c r="S3390" s="1008" t="s">
        <v>650</v>
      </c>
      <c r="T3390" s="1008" t="s">
        <v>21</v>
      </c>
      <c r="U3390" s="1008" t="s">
        <v>653</v>
      </c>
      <c r="V3390" s="1008" t="s">
        <v>648</v>
      </c>
      <c r="W3390" s="1008" t="s">
        <v>546</v>
      </c>
      <c r="X3390" s="1008"/>
      <c r="Y3390" s="1008"/>
      <c r="Z3390" s="1008"/>
      <c r="AA3390" s="1008"/>
      <c r="AB3390" s="1008"/>
      <c r="AC3390" s="1008"/>
      <c r="AD3390" s="1008"/>
      <c r="AE3390" s="1008"/>
      <c r="AF3390" s="1008"/>
      <c r="AG3390" s="1008"/>
      <c r="AH3390" s="1008"/>
      <c r="AI3390" s="1008"/>
    </row>
    <row r="3391" spans="1:35">
      <c r="A3391" s="1008">
        <v>27828</v>
      </c>
      <c r="C3391" s="1008">
        <v>4</v>
      </c>
      <c r="D3391" s="1009">
        <v>79999990</v>
      </c>
      <c r="E3391" s="1009">
        <v>70000000</v>
      </c>
      <c r="F3391" s="1007" t="s">
        <v>1524</v>
      </c>
      <c r="O3391" s="1007" t="s">
        <v>648</v>
      </c>
      <c r="P3391" s="1007" t="s">
        <v>648</v>
      </c>
      <c r="S3391" s="1008" t="s">
        <v>650</v>
      </c>
      <c r="T3391" s="1008" t="s">
        <v>675</v>
      </c>
      <c r="U3391" s="1008" t="s">
        <v>653</v>
      </c>
      <c r="V3391" s="1008" t="s">
        <v>648</v>
      </c>
      <c r="W3391" s="1008" t="s">
        <v>546</v>
      </c>
      <c r="X3391" s="1008"/>
      <c r="Y3391" s="1008"/>
      <c r="Z3391" s="1008"/>
      <c r="AA3391" s="1008"/>
      <c r="AB3391" s="1008"/>
      <c r="AC3391" s="1008"/>
      <c r="AD3391" s="1008"/>
      <c r="AE3391" s="1008"/>
      <c r="AF3391" s="1008"/>
      <c r="AG3391" s="1008"/>
      <c r="AH3391" s="1008"/>
      <c r="AI3391" s="1008"/>
    </row>
    <row r="3392" spans="1:35">
      <c r="A3392" s="1008">
        <v>27829</v>
      </c>
      <c r="C3392" s="1008">
        <v>5</v>
      </c>
      <c r="D3392" s="1009">
        <v>71099999</v>
      </c>
      <c r="E3392" s="1009">
        <v>71000000</v>
      </c>
      <c r="F3392" s="1007" t="s">
        <v>1523</v>
      </c>
      <c r="O3392" s="1007" t="s">
        <v>648</v>
      </c>
      <c r="P3392" s="1007" t="s">
        <v>648</v>
      </c>
      <c r="S3392" s="1008" t="s">
        <v>650</v>
      </c>
      <c r="T3392" s="1008" t="s">
        <v>675</v>
      </c>
      <c r="U3392" s="1008" t="s">
        <v>653</v>
      </c>
      <c r="V3392" s="1008" t="s">
        <v>648</v>
      </c>
      <c r="W3392" s="1008" t="s">
        <v>546</v>
      </c>
      <c r="X3392" s="1008"/>
      <c r="Y3392" s="1008"/>
      <c r="Z3392" s="1008"/>
      <c r="AA3392" s="1008"/>
      <c r="AB3392" s="1008"/>
      <c r="AC3392" s="1008"/>
      <c r="AD3392" s="1008"/>
      <c r="AE3392" s="1008"/>
      <c r="AF3392" s="1008"/>
      <c r="AG3392" s="1008"/>
      <c r="AH3392" s="1008"/>
      <c r="AI3392" s="1008"/>
    </row>
    <row r="3393" spans="1:35">
      <c r="A3393" s="1008">
        <v>27830</v>
      </c>
      <c r="C3393" s="1008">
        <v>6</v>
      </c>
      <c r="D3393" s="1009">
        <v>71019999</v>
      </c>
      <c r="E3393" s="1009">
        <v>71010000</v>
      </c>
      <c r="F3393" s="1007" t="s">
        <v>1522</v>
      </c>
      <c r="O3393" s="1007" t="s">
        <v>648</v>
      </c>
      <c r="P3393" s="1007" t="s">
        <v>648</v>
      </c>
      <c r="S3393" s="1008" t="s">
        <v>650</v>
      </c>
      <c r="T3393" s="1008" t="s">
        <v>675</v>
      </c>
      <c r="U3393" s="1008" t="s">
        <v>653</v>
      </c>
      <c r="V3393" s="1008" t="s">
        <v>648</v>
      </c>
      <c r="W3393" s="1008" t="s">
        <v>546</v>
      </c>
      <c r="X3393" s="1008"/>
      <c r="Y3393" s="1008"/>
      <c r="Z3393" s="1008"/>
      <c r="AA3393" s="1008"/>
      <c r="AB3393" s="1008"/>
      <c r="AC3393" s="1008"/>
      <c r="AD3393" s="1008"/>
      <c r="AE3393" s="1008"/>
      <c r="AF3393" s="1008"/>
      <c r="AG3393" s="1008"/>
      <c r="AH3393" s="1008"/>
      <c r="AI3393" s="1008"/>
    </row>
    <row r="3394" spans="1:35">
      <c r="A3394" s="1008">
        <v>27831</v>
      </c>
      <c r="C3394" s="1008">
        <v>7</v>
      </c>
      <c r="D3394" s="1009">
        <v>71018999</v>
      </c>
      <c r="E3394" s="1009">
        <v>71010050</v>
      </c>
      <c r="F3394" s="1007" t="s">
        <v>1522</v>
      </c>
      <c r="O3394" s="1007" t="s">
        <v>648</v>
      </c>
      <c r="P3394" s="1007" t="s">
        <v>648</v>
      </c>
      <c r="S3394" s="1008" t="s">
        <v>650</v>
      </c>
      <c r="T3394" s="1008" t="s">
        <v>675</v>
      </c>
      <c r="U3394" s="1008" t="s">
        <v>653</v>
      </c>
      <c r="V3394" s="1008" t="s">
        <v>648</v>
      </c>
      <c r="W3394" s="1008" t="s">
        <v>546</v>
      </c>
      <c r="X3394" s="1008"/>
      <c r="Y3394" s="1008"/>
      <c r="Z3394" s="1008"/>
      <c r="AA3394" s="1008"/>
      <c r="AB3394" s="1008"/>
      <c r="AC3394" s="1008"/>
      <c r="AD3394" s="1008"/>
      <c r="AE3394" s="1008"/>
      <c r="AF3394" s="1008"/>
      <c r="AG3394" s="1008"/>
      <c r="AH3394" s="1008"/>
      <c r="AI3394" s="1008"/>
    </row>
    <row r="3395" spans="1:35">
      <c r="A3395" s="1008">
        <v>27832</v>
      </c>
      <c r="B3395" s="1008">
        <v>6635</v>
      </c>
      <c r="C3395" s="1008">
        <v>8</v>
      </c>
      <c r="D3395" s="1009">
        <v>71018999</v>
      </c>
      <c r="E3395" s="1009">
        <v>71011000</v>
      </c>
      <c r="F3395" s="1007" t="s">
        <v>1522</v>
      </c>
      <c r="G3395" s="1007" t="s">
        <v>648</v>
      </c>
      <c r="H3395" s="1010">
        <v>99999999</v>
      </c>
      <c r="I3395" s="1009">
        <v>71011000</v>
      </c>
      <c r="J3395" s="1007" t="s">
        <v>1522</v>
      </c>
      <c r="O3395" s="1007" t="s">
        <v>648</v>
      </c>
      <c r="P3395" s="1007" t="s">
        <v>648</v>
      </c>
      <c r="S3395" s="1008" t="s">
        <v>650</v>
      </c>
      <c r="T3395" s="1008" t="s">
        <v>654</v>
      </c>
      <c r="U3395" s="1008" t="s">
        <v>653</v>
      </c>
      <c r="V3395" s="1008" t="s">
        <v>648</v>
      </c>
      <c r="W3395" s="1008" t="s">
        <v>546</v>
      </c>
      <c r="X3395" s="1008" t="s">
        <v>670</v>
      </c>
      <c r="Y3395" s="1008"/>
      <c r="Z3395" s="1008"/>
      <c r="AA3395" s="1008" t="s">
        <v>670</v>
      </c>
      <c r="AB3395" s="1008"/>
      <c r="AC3395" s="1008"/>
      <c r="AD3395" s="1008"/>
      <c r="AE3395" s="1008"/>
      <c r="AF3395" s="1008"/>
      <c r="AG3395" s="1008" t="s">
        <v>670</v>
      </c>
      <c r="AH3395" s="1008"/>
      <c r="AI3395" s="1008"/>
    </row>
    <row r="3396" spans="1:35">
      <c r="A3396" s="1008">
        <v>27833</v>
      </c>
      <c r="C3396" s="1008">
        <v>7</v>
      </c>
      <c r="D3396" s="1009">
        <v>71019999</v>
      </c>
      <c r="E3396" s="1009">
        <v>71018999</v>
      </c>
      <c r="F3396" s="1007" t="s">
        <v>1520</v>
      </c>
      <c r="O3396" s="1007" t="s">
        <v>648</v>
      </c>
      <c r="P3396" s="1007" t="s">
        <v>648</v>
      </c>
      <c r="S3396" s="1008" t="s">
        <v>650</v>
      </c>
      <c r="T3396" s="1008" t="s">
        <v>21</v>
      </c>
      <c r="U3396" s="1008" t="s">
        <v>653</v>
      </c>
      <c r="V3396" s="1008" t="s">
        <v>648</v>
      </c>
      <c r="W3396" s="1008" t="s">
        <v>546</v>
      </c>
      <c r="X3396" s="1008"/>
      <c r="Y3396" s="1008"/>
      <c r="Z3396" s="1008"/>
      <c r="AA3396" s="1008"/>
      <c r="AB3396" s="1008"/>
      <c r="AC3396" s="1008"/>
      <c r="AD3396" s="1008"/>
      <c r="AE3396" s="1008"/>
      <c r="AF3396" s="1008"/>
      <c r="AG3396" s="1008"/>
      <c r="AH3396" s="1008"/>
      <c r="AI3396" s="1008"/>
    </row>
    <row r="3397" spans="1:35">
      <c r="A3397" s="1008">
        <v>27834</v>
      </c>
      <c r="B3397" s="1008">
        <v>6636</v>
      </c>
      <c r="C3397" s="1008">
        <v>7</v>
      </c>
      <c r="D3397" s="1009">
        <v>71019999</v>
      </c>
      <c r="E3397" s="1009">
        <v>71019000</v>
      </c>
      <c r="F3397" s="1007" t="s">
        <v>1521</v>
      </c>
      <c r="G3397" s="1007" t="s">
        <v>648</v>
      </c>
      <c r="H3397" s="1010">
        <v>99999999</v>
      </c>
      <c r="I3397" s="1009">
        <v>71019000</v>
      </c>
      <c r="J3397" s="1007" t="s">
        <v>1521</v>
      </c>
      <c r="O3397" s="1007" t="s">
        <v>648</v>
      </c>
      <c r="P3397" s="1007" t="s">
        <v>648</v>
      </c>
      <c r="S3397" s="1008" t="s">
        <v>650</v>
      </c>
      <c r="T3397" s="1008" t="s">
        <v>654</v>
      </c>
      <c r="U3397" s="1008" t="s">
        <v>653</v>
      </c>
      <c r="V3397" s="1008" t="s">
        <v>648</v>
      </c>
      <c r="W3397" s="1008" t="s">
        <v>546</v>
      </c>
      <c r="X3397" s="1008" t="s">
        <v>670</v>
      </c>
      <c r="Y3397" s="1008"/>
      <c r="Z3397" s="1008"/>
      <c r="AA3397" s="1008" t="s">
        <v>670</v>
      </c>
      <c r="AB3397" s="1008"/>
      <c r="AC3397" s="1008"/>
      <c r="AD3397" s="1008"/>
      <c r="AE3397" s="1008"/>
      <c r="AF3397" s="1008"/>
      <c r="AG3397" s="1008" t="s">
        <v>670</v>
      </c>
      <c r="AH3397" s="1008"/>
      <c r="AI3397" s="1008"/>
    </row>
    <row r="3398" spans="1:35">
      <c r="A3398" s="1008">
        <v>27835</v>
      </c>
      <c r="C3398" s="1008">
        <v>6</v>
      </c>
      <c r="D3398" s="1009">
        <v>71199999</v>
      </c>
      <c r="E3398" s="1009">
        <v>71019999</v>
      </c>
      <c r="F3398" s="1007" t="s">
        <v>1520</v>
      </c>
      <c r="O3398" s="1007" t="s">
        <v>648</v>
      </c>
      <c r="P3398" s="1007" t="s">
        <v>648</v>
      </c>
      <c r="S3398" s="1008" t="s">
        <v>650</v>
      </c>
      <c r="T3398" s="1008" t="s">
        <v>21</v>
      </c>
      <c r="U3398" s="1008" t="s">
        <v>653</v>
      </c>
      <c r="V3398" s="1008" t="s">
        <v>648</v>
      </c>
      <c r="W3398" s="1008" t="s">
        <v>546</v>
      </c>
      <c r="X3398" s="1008"/>
      <c r="Y3398" s="1008"/>
      <c r="Z3398" s="1008"/>
      <c r="AA3398" s="1008"/>
      <c r="AB3398" s="1008"/>
      <c r="AC3398" s="1008"/>
      <c r="AD3398" s="1008"/>
      <c r="AE3398" s="1008"/>
      <c r="AF3398" s="1008"/>
      <c r="AG3398" s="1008"/>
      <c r="AH3398" s="1008"/>
      <c r="AI3398" s="1008"/>
    </row>
    <row r="3399" spans="1:35">
      <c r="A3399" s="1008">
        <v>27836</v>
      </c>
      <c r="C3399" s="1008">
        <v>6</v>
      </c>
      <c r="D3399" s="1009">
        <v>71039999</v>
      </c>
      <c r="E3399" s="1009">
        <v>71030000</v>
      </c>
      <c r="F3399" s="1007" t="s">
        <v>1519</v>
      </c>
      <c r="O3399" s="1007" t="s">
        <v>648</v>
      </c>
      <c r="P3399" s="1007" t="s">
        <v>648</v>
      </c>
      <c r="S3399" s="1008" t="s">
        <v>650</v>
      </c>
      <c r="T3399" s="1008" t="s">
        <v>675</v>
      </c>
      <c r="U3399" s="1008" t="s">
        <v>653</v>
      </c>
      <c r="V3399" s="1008" t="s">
        <v>648</v>
      </c>
      <c r="W3399" s="1008" t="s">
        <v>546</v>
      </c>
      <c r="X3399" s="1008"/>
      <c r="Y3399" s="1008"/>
      <c r="Z3399" s="1008"/>
      <c r="AA3399" s="1008"/>
      <c r="AB3399" s="1008"/>
      <c r="AC3399" s="1008"/>
      <c r="AD3399" s="1008"/>
      <c r="AE3399" s="1008"/>
      <c r="AF3399" s="1008"/>
      <c r="AG3399" s="1008"/>
      <c r="AH3399" s="1008"/>
      <c r="AI3399" s="1008"/>
    </row>
    <row r="3400" spans="1:35">
      <c r="A3400" s="1008">
        <v>27837</v>
      </c>
      <c r="C3400" s="1008">
        <v>7</v>
      </c>
      <c r="D3400" s="1009">
        <v>71035999</v>
      </c>
      <c r="E3400" s="1009">
        <v>71030050</v>
      </c>
      <c r="F3400" s="1007" t="s">
        <v>1518</v>
      </c>
      <c r="O3400" s="1007" t="s">
        <v>648</v>
      </c>
      <c r="P3400" s="1007" t="s">
        <v>648</v>
      </c>
      <c r="S3400" s="1008" t="s">
        <v>650</v>
      </c>
      <c r="T3400" s="1008" t="s">
        <v>675</v>
      </c>
      <c r="U3400" s="1008" t="s">
        <v>653</v>
      </c>
      <c r="V3400" s="1008" t="s">
        <v>648</v>
      </c>
      <c r="W3400" s="1008" t="s">
        <v>546</v>
      </c>
      <c r="X3400" s="1008"/>
      <c r="Y3400" s="1008"/>
      <c r="Z3400" s="1008"/>
      <c r="AA3400" s="1008"/>
      <c r="AB3400" s="1008"/>
      <c r="AC3400" s="1008"/>
      <c r="AD3400" s="1008"/>
      <c r="AE3400" s="1008"/>
      <c r="AF3400" s="1008"/>
      <c r="AG3400" s="1008"/>
      <c r="AH3400" s="1008"/>
      <c r="AI3400" s="1008"/>
    </row>
    <row r="3401" spans="1:35">
      <c r="A3401" s="1008">
        <v>27838</v>
      </c>
      <c r="B3401" s="1008">
        <v>6637</v>
      </c>
      <c r="C3401" s="1008">
        <v>8</v>
      </c>
      <c r="D3401" s="1009">
        <v>71035999</v>
      </c>
      <c r="E3401" s="1009">
        <v>71031000</v>
      </c>
      <c r="F3401" s="1007" t="s">
        <v>1518</v>
      </c>
      <c r="G3401" s="1007" t="s">
        <v>648</v>
      </c>
      <c r="H3401" s="1010">
        <v>99999999</v>
      </c>
      <c r="I3401" s="1009">
        <v>71031000</v>
      </c>
      <c r="J3401" s="1007" t="s">
        <v>1518</v>
      </c>
      <c r="O3401" s="1007" t="s">
        <v>648</v>
      </c>
      <c r="P3401" s="1007" t="s">
        <v>648</v>
      </c>
      <c r="S3401" s="1008" t="s">
        <v>650</v>
      </c>
      <c r="T3401" s="1008" t="s">
        <v>654</v>
      </c>
      <c r="U3401" s="1008" t="s">
        <v>653</v>
      </c>
      <c r="V3401" s="1008" t="s">
        <v>648</v>
      </c>
      <c r="W3401" s="1008" t="s">
        <v>546</v>
      </c>
      <c r="X3401" s="1008" t="s">
        <v>670</v>
      </c>
      <c r="Y3401" s="1008"/>
      <c r="Z3401" s="1008"/>
      <c r="AA3401" s="1008" t="s">
        <v>670</v>
      </c>
      <c r="AB3401" s="1008"/>
      <c r="AC3401" s="1008"/>
      <c r="AD3401" s="1008"/>
      <c r="AE3401" s="1008"/>
      <c r="AF3401" s="1008"/>
      <c r="AG3401" s="1008" t="s">
        <v>670</v>
      </c>
      <c r="AH3401" s="1008"/>
      <c r="AI3401" s="1008"/>
    </row>
    <row r="3402" spans="1:35">
      <c r="A3402" s="1008">
        <v>28062</v>
      </c>
      <c r="B3402" s="1008">
        <v>6779</v>
      </c>
      <c r="C3402" s="1008">
        <v>8</v>
      </c>
      <c r="D3402" s="1009">
        <v>71035999</v>
      </c>
      <c r="E3402" s="1009">
        <v>71033000</v>
      </c>
      <c r="F3402" s="1007" t="s">
        <v>1517</v>
      </c>
      <c r="G3402" s="1007" t="s">
        <v>648</v>
      </c>
      <c r="H3402" s="1010">
        <v>99999999</v>
      </c>
      <c r="I3402" s="1009">
        <v>71033000</v>
      </c>
      <c r="J3402" s="1007" t="s">
        <v>1517</v>
      </c>
      <c r="O3402" s="1007" t="s">
        <v>648</v>
      </c>
      <c r="P3402" s="1007" t="s">
        <v>648</v>
      </c>
      <c r="S3402" s="1008" t="s">
        <v>650</v>
      </c>
      <c r="T3402" s="1008" t="s">
        <v>654</v>
      </c>
      <c r="U3402" s="1008" t="s">
        <v>653</v>
      </c>
      <c r="V3402" s="1008" t="s">
        <v>648</v>
      </c>
      <c r="W3402" s="1008" t="s">
        <v>546</v>
      </c>
      <c r="X3402" s="1008" t="s">
        <v>670</v>
      </c>
      <c r="Y3402" s="1008"/>
      <c r="Z3402" s="1008"/>
      <c r="AA3402" s="1008" t="s">
        <v>670</v>
      </c>
      <c r="AB3402" s="1008"/>
      <c r="AC3402" s="1008"/>
      <c r="AD3402" s="1008"/>
      <c r="AE3402" s="1008"/>
      <c r="AF3402" s="1008"/>
      <c r="AG3402" s="1008"/>
      <c r="AH3402" s="1008"/>
      <c r="AI3402" s="1008"/>
    </row>
    <row r="3403" spans="1:35">
      <c r="A3403" s="1008">
        <v>27839</v>
      </c>
      <c r="C3403" s="1008">
        <v>7</v>
      </c>
      <c r="D3403" s="1009">
        <v>71039999</v>
      </c>
      <c r="E3403" s="1009">
        <v>71035999</v>
      </c>
      <c r="F3403" s="1007" t="s">
        <v>1516</v>
      </c>
      <c r="O3403" s="1007" t="s">
        <v>648</v>
      </c>
      <c r="P3403" s="1007" t="s">
        <v>648</v>
      </c>
      <c r="S3403" s="1008" t="s">
        <v>650</v>
      </c>
      <c r="T3403" s="1008" t="s">
        <v>21</v>
      </c>
      <c r="U3403" s="1008" t="s">
        <v>653</v>
      </c>
      <c r="V3403" s="1008" t="s">
        <v>648</v>
      </c>
      <c r="W3403" s="1008" t="s">
        <v>546</v>
      </c>
      <c r="X3403" s="1008"/>
      <c r="Y3403" s="1008"/>
      <c r="Z3403" s="1008"/>
      <c r="AA3403" s="1008"/>
      <c r="AB3403" s="1008"/>
      <c r="AC3403" s="1008"/>
      <c r="AD3403" s="1008"/>
      <c r="AE3403" s="1008"/>
      <c r="AF3403" s="1008"/>
      <c r="AG3403" s="1008"/>
      <c r="AH3403" s="1008"/>
      <c r="AI3403" s="1008"/>
    </row>
    <row r="3404" spans="1:35">
      <c r="A3404" s="1008">
        <v>27840</v>
      </c>
      <c r="B3404" s="1008">
        <v>6638</v>
      </c>
      <c r="C3404" s="1008">
        <v>7</v>
      </c>
      <c r="D3404" s="1009">
        <v>71039999</v>
      </c>
      <c r="E3404" s="1009">
        <v>71039000</v>
      </c>
      <c r="F3404" s="1007" t="s">
        <v>1515</v>
      </c>
      <c r="G3404" s="1007" t="s">
        <v>648</v>
      </c>
      <c r="H3404" s="1010">
        <v>99999999</v>
      </c>
      <c r="I3404" s="1009">
        <v>71039000</v>
      </c>
      <c r="J3404" s="1007" t="s">
        <v>1515</v>
      </c>
      <c r="O3404" s="1007" t="s">
        <v>648</v>
      </c>
      <c r="P3404" s="1007" t="s">
        <v>648</v>
      </c>
      <c r="S3404" s="1008" t="s">
        <v>650</v>
      </c>
      <c r="T3404" s="1008" t="s">
        <v>654</v>
      </c>
      <c r="U3404" s="1008" t="s">
        <v>653</v>
      </c>
      <c r="V3404" s="1008" t="s">
        <v>648</v>
      </c>
      <c r="W3404" s="1008" t="s">
        <v>546</v>
      </c>
      <c r="X3404" s="1008" t="s">
        <v>670</v>
      </c>
      <c r="Y3404" s="1008"/>
      <c r="Z3404" s="1008"/>
      <c r="AA3404" s="1008" t="s">
        <v>670</v>
      </c>
      <c r="AB3404" s="1008"/>
      <c r="AC3404" s="1008"/>
      <c r="AD3404" s="1008"/>
      <c r="AE3404" s="1008"/>
      <c r="AF3404" s="1008"/>
      <c r="AG3404" s="1008" t="s">
        <v>670</v>
      </c>
      <c r="AH3404" s="1008"/>
      <c r="AI3404" s="1008"/>
    </row>
    <row r="3405" spans="1:35">
      <c r="A3405" s="1008">
        <v>27841</v>
      </c>
      <c r="C3405" s="1008">
        <v>6</v>
      </c>
      <c r="D3405" s="1009">
        <v>71199999</v>
      </c>
      <c r="E3405" s="1009">
        <v>71039999</v>
      </c>
      <c r="F3405" s="1007" t="s">
        <v>1514</v>
      </c>
      <c r="O3405" s="1007" t="s">
        <v>648</v>
      </c>
      <c r="P3405" s="1007" t="s">
        <v>648</v>
      </c>
      <c r="S3405" s="1008" t="s">
        <v>650</v>
      </c>
      <c r="T3405" s="1008" t="s">
        <v>21</v>
      </c>
      <c r="U3405" s="1008" t="s">
        <v>653</v>
      </c>
      <c r="V3405" s="1008" t="s">
        <v>648</v>
      </c>
      <c r="W3405" s="1008" t="s">
        <v>546</v>
      </c>
      <c r="X3405" s="1008"/>
      <c r="Y3405" s="1008"/>
      <c r="Z3405" s="1008"/>
      <c r="AA3405" s="1008"/>
      <c r="AB3405" s="1008"/>
      <c r="AC3405" s="1008"/>
      <c r="AD3405" s="1008"/>
      <c r="AE3405" s="1008"/>
      <c r="AF3405" s="1008"/>
      <c r="AG3405" s="1008"/>
      <c r="AH3405" s="1008"/>
      <c r="AI3405" s="1008"/>
    </row>
    <row r="3406" spans="1:35">
      <c r="A3406" s="1008">
        <v>27842</v>
      </c>
      <c r="C3406" s="1008">
        <v>6</v>
      </c>
      <c r="D3406" s="1009">
        <v>71059999</v>
      </c>
      <c r="E3406" s="1009">
        <v>71050000</v>
      </c>
      <c r="F3406" s="1007" t="s">
        <v>1513</v>
      </c>
      <c r="O3406" s="1007" t="s">
        <v>648</v>
      </c>
      <c r="P3406" s="1007" t="s">
        <v>648</v>
      </c>
      <c r="S3406" s="1008" t="s">
        <v>650</v>
      </c>
      <c r="T3406" s="1008" t="s">
        <v>675</v>
      </c>
      <c r="U3406" s="1008" t="s">
        <v>653</v>
      </c>
      <c r="V3406" s="1008" t="s">
        <v>648</v>
      </c>
      <c r="W3406" s="1008" t="s">
        <v>546</v>
      </c>
      <c r="X3406" s="1008"/>
      <c r="Y3406" s="1008"/>
      <c r="Z3406" s="1008"/>
      <c r="AA3406" s="1008"/>
      <c r="AB3406" s="1008"/>
      <c r="AC3406" s="1008"/>
      <c r="AD3406" s="1008"/>
      <c r="AE3406" s="1008"/>
      <c r="AF3406" s="1008"/>
      <c r="AG3406" s="1008"/>
      <c r="AH3406" s="1008"/>
      <c r="AI3406" s="1008"/>
    </row>
    <row r="3407" spans="1:35">
      <c r="A3407" s="1008">
        <v>27843</v>
      </c>
      <c r="C3407" s="1008">
        <v>7</v>
      </c>
      <c r="D3407" s="1009">
        <v>71055999</v>
      </c>
      <c r="E3407" s="1009">
        <v>71050050</v>
      </c>
      <c r="F3407" s="1007" t="s">
        <v>1513</v>
      </c>
      <c r="O3407" s="1007" t="s">
        <v>648</v>
      </c>
      <c r="P3407" s="1007" t="s">
        <v>648</v>
      </c>
      <c r="S3407" s="1008" t="s">
        <v>650</v>
      </c>
      <c r="T3407" s="1008" t="s">
        <v>675</v>
      </c>
      <c r="U3407" s="1008" t="s">
        <v>653</v>
      </c>
      <c r="V3407" s="1008" t="s">
        <v>648</v>
      </c>
      <c r="W3407" s="1008" t="s">
        <v>546</v>
      </c>
      <c r="X3407" s="1008"/>
      <c r="Y3407" s="1008"/>
      <c r="Z3407" s="1008"/>
      <c r="AA3407" s="1008"/>
      <c r="AB3407" s="1008"/>
      <c r="AC3407" s="1008"/>
      <c r="AD3407" s="1008"/>
      <c r="AE3407" s="1008"/>
      <c r="AF3407" s="1008"/>
      <c r="AG3407" s="1008"/>
      <c r="AH3407" s="1008"/>
      <c r="AI3407" s="1008"/>
    </row>
    <row r="3408" spans="1:35">
      <c r="A3408" s="1008">
        <v>27844</v>
      </c>
      <c r="B3408" s="1008">
        <v>6639</v>
      </c>
      <c r="C3408" s="1008">
        <v>8</v>
      </c>
      <c r="D3408" s="1009">
        <v>71055999</v>
      </c>
      <c r="E3408" s="1009">
        <v>71051000</v>
      </c>
      <c r="F3408" s="1007" t="s">
        <v>1512</v>
      </c>
      <c r="G3408" s="1007" t="s">
        <v>648</v>
      </c>
      <c r="H3408" s="1010">
        <v>99999999</v>
      </c>
      <c r="I3408" s="1009">
        <v>71051000</v>
      </c>
      <c r="J3408" s="1007" t="s">
        <v>1512</v>
      </c>
      <c r="O3408" s="1007" t="s">
        <v>648</v>
      </c>
      <c r="P3408" s="1007" t="s">
        <v>648</v>
      </c>
      <c r="S3408" s="1008" t="s">
        <v>650</v>
      </c>
      <c r="T3408" s="1008" t="s">
        <v>654</v>
      </c>
      <c r="U3408" s="1008" t="s">
        <v>653</v>
      </c>
      <c r="V3408" s="1008" t="s">
        <v>648</v>
      </c>
      <c r="W3408" s="1008" t="s">
        <v>546</v>
      </c>
      <c r="X3408" s="1008" t="s">
        <v>670</v>
      </c>
      <c r="Y3408" s="1008"/>
      <c r="Z3408" s="1008"/>
      <c r="AA3408" s="1008" t="s">
        <v>670</v>
      </c>
      <c r="AB3408" s="1008"/>
      <c r="AC3408" s="1008"/>
      <c r="AD3408" s="1008"/>
      <c r="AE3408" s="1008"/>
      <c r="AF3408" s="1008"/>
      <c r="AG3408" s="1008" t="s">
        <v>670</v>
      </c>
      <c r="AH3408" s="1008"/>
      <c r="AI3408" s="1008"/>
    </row>
    <row r="3409" spans="1:35">
      <c r="A3409" s="1008">
        <v>27845</v>
      </c>
      <c r="B3409" s="1008">
        <v>6640</v>
      </c>
      <c r="C3409" s="1008">
        <v>8</v>
      </c>
      <c r="D3409" s="1009">
        <v>71055999</v>
      </c>
      <c r="E3409" s="1009">
        <v>71052000</v>
      </c>
      <c r="F3409" s="1007" t="s">
        <v>1511</v>
      </c>
      <c r="G3409" s="1007" t="s">
        <v>648</v>
      </c>
      <c r="H3409" s="1010">
        <v>99999999</v>
      </c>
      <c r="I3409" s="1009">
        <v>71052000</v>
      </c>
      <c r="J3409" s="1007" t="s">
        <v>1511</v>
      </c>
      <c r="O3409" s="1007" t="s">
        <v>648</v>
      </c>
      <c r="P3409" s="1007" t="s">
        <v>648</v>
      </c>
      <c r="S3409" s="1008" t="s">
        <v>650</v>
      </c>
      <c r="T3409" s="1008" t="s">
        <v>654</v>
      </c>
      <c r="U3409" s="1008" t="s">
        <v>653</v>
      </c>
      <c r="V3409" s="1008" t="s">
        <v>648</v>
      </c>
      <c r="W3409" s="1008" t="s">
        <v>546</v>
      </c>
      <c r="X3409" s="1008" t="s">
        <v>670</v>
      </c>
      <c r="Y3409" s="1008"/>
      <c r="Z3409" s="1008"/>
      <c r="AA3409" s="1008" t="s">
        <v>670</v>
      </c>
      <c r="AB3409" s="1008"/>
      <c r="AC3409" s="1008"/>
      <c r="AD3409" s="1008"/>
      <c r="AE3409" s="1008"/>
      <c r="AF3409" s="1008"/>
      <c r="AG3409" s="1008" t="s">
        <v>670</v>
      </c>
      <c r="AH3409" s="1008"/>
      <c r="AI3409" s="1008"/>
    </row>
    <row r="3410" spans="1:35">
      <c r="A3410" s="1008">
        <v>27846</v>
      </c>
      <c r="C3410" s="1008">
        <v>7</v>
      </c>
      <c r="D3410" s="1009">
        <v>71059999</v>
      </c>
      <c r="E3410" s="1009">
        <v>71055999</v>
      </c>
      <c r="F3410" s="1007" t="s">
        <v>1510</v>
      </c>
      <c r="O3410" s="1007" t="s">
        <v>648</v>
      </c>
      <c r="P3410" s="1007" t="s">
        <v>648</v>
      </c>
      <c r="S3410" s="1008" t="s">
        <v>650</v>
      </c>
      <c r="T3410" s="1008" t="s">
        <v>21</v>
      </c>
      <c r="U3410" s="1008" t="s">
        <v>653</v>
      </c>
      <c r="V3410" s="1008" t="s">
        <v>648</v>
      </c>
      <c r="W3410" s="1008" t="s">
        <v>546</v>
      </c>
      <c r="X3410" s="1008"/>
      <c r="Y3410" s="1008"/>
      <c r="Z3410" s="1008"/>
      <c r="AA3410" s="1008"/>
      <c r="AB3410" s="1008"/>
      <c r="AC3410" s="1008"/>
      <c r="AD3410" s="1008"/>
      <c r="AE3410" s="1008"/>
      <c r="AF3410" s="1008"/>
      <c r="AG3410" s="1008"/>
      <c r="AH3410" s="1008"/>
      <c r="AI3410" s="1008"/>
    </row>
    <row r="3411" spans="1:35">
      <c r="A3411" s="1008">
        <v>27847</v>
      </c>
      <c r="C3411" s="1008">
        <v>6</v>
      </c>
      <c r="D3411" s="1009">
        <v>71199999</v>
      </c>
      <c r="E3411" s="1009">
        <v>71059999</v>
      </c>
      <c r="F3411" s="1007" t="s">
        <v>1510</v>
      </c>
      <c r="O3411" s="1007" t="s">
        <v>648</v>
      </c>
      <c r="P3411" s="1007" t="s">
        <v>648</v>
      </c>
      <c r="S3411" s="1008" t="s">
        <v>650</v>
      </c>
      <c r="T3411" s="1008" t="s">
        <v>21</v>
      </c>
      <c r="U3411" s="1008" t="s">
        <v>653</v>
      </c>
      <c r="V3411" s="1008" t="s">
        <v>648</v>
      </c>
      <c r="W3411" s="1008" t="s">
        <v>546</v>
      </c>
      <c r="X3411" s="1008"/>
      <c r="Y3411" s="1008"/>
      <c r="Z3411" s="1008"/>
      <c r="AA3411" s="1008"/>
      <c r="AB3411" s="1008"/>
      <c r="AC3411" s="1008"/>
      <c r="AD3411" s="1008"/>
      <c r="AE3411" s="1008"/>
      <c r="AF3411" s="1008"/>
      <c r="AG3411" s="1008"/>
      <c r="AH3411" s="1008"/>
      <c r="AI3411" s="1008"/>
    </row>
    <row r="3412" spans="1:35">
      <c r="A3412" s="1008">
        <v>27848</v>
      </c>
      <c r="C3412" s="1008">
        <v>6</v>
      </c>
      <c r="D3412" s="1009">
        <v>71099999</v>
      </c>
      <c r="E3412" s="1009">
        <v>71070000</v>
      </c>
      <c r="F3412" s="1007" t="s">
        <v>1509</v>
      </c>
      <c r="O3412" s="1007" t="s">
        <v>648</v>
      </c>
      <c r="P3412" s="1007" t="s">
        <v>648</v>
      </c>
      <c r="S3412" s="1008" t="s">
        <v>650</v>
      </c>
      <c r="T3412" s="1008" t="s">
        <v>675</v>
      </c>
      <c r="U3412" s="1008" t="s">
        <v>653</v>
      </c>
      <c r="V3412" s="1008" t="s">
        <v>648</v>
      </c>
      <c r="W3412" s="1008" t="s">
        <v>546</v>
      </c>
      <c r="X3412" s="1008"/>
      <c r="Y3412" s="1008"/>
      <c r="Z3412" s="1008"/>
      <c r="AA3412" s="1008"/>
      <c r="AB3412" s="1008"/>
      <c r="AC3412" s="1008"/>
      <c r="AD3412" s="1008"/>
      <c r="AE3412" s="1008"/>
      <c r="AF3412" s="1008"/>
      <c r="AG3412" s="1008"/>
      <c r="AH3412" s="1008"/>
      <c r="AI3412" s="1008"/>
    </row>
    <row r="3413" spans="1:35">
      <c r="A3413" s="1008">
        <v>27849</v>
      </c>
      <c r="C3413" s="1008">
        <v>7</v>
      </c>
      <c r="D3413" s="1009">
        <v>71085999</v>
      </c>
      <c r="E3413" s="1009">
        <v>71070050</v>
      </c>
      <c r="F3413" s="1007" t="s">
        <v>1509</v>
      </c>
      <c r="O3413" s="1007" t="s">
        <v>648</v>
      </c>
      <c r="P3413" s="1007" t="s">
        <v>648</v>
      </c>
      <c r="S3413" s="1008" t="s">
        <v>650</v>
      </c>
      <c r="T3413" s="1008" t="s">
        <v>675</v>
      </c>
      <c r="U3413" s="1008" t="s">
        <v>653</v>
      </c>
      <c r="V3413" s="1008" t="s">
        <v>648</v>
      </c>
      <c r="W3413" s="1008" t="s">
        <v>546</v>
      </c>
      <c r="X3413" s="1008"/>
      <c r="Y3413" s="1008"/>
      <c r="Z3413" s="1008"/>
      <c r="AA3413" s="1008"/>
      <c r="AB3413" s="1008"/>
      <c r="AC3413" s="1008"/>
      <c r="AD3413" s="1008"/>
      <c r="AE3413" s="1008"/>
      <c r="AF3413" s="1008"/>
      <c r="AG3413" s="1008"/>
      <c r="AH3413" s="1008"/>
      <c r="AI3413" s="1008"/>
    </row>
    <row r="3414" spans="1:35">
      <c r="A3414" s="1008">
        <v>27850</v>
      </c>
      <c r="B3414" s="1008">
        <v>6641</v>
      </c>
      <c r="C3414" s="1008">
        <v>8</v>
      </c>
      <c r="D3414" s="1009">
        <v>71085999</v>
      </c>
      <c r="E3414" s="1009">
        <v>71080000</v>
      </c>
      <c r="F3414" s="1007" t="s">
        <v>1508</v>
      </c>
      <c r="G3414" s="1007" t="s">
        <v>648</v>
      </c>
      <c r="H3414" s="1010">
        <v>99999999</v>
      </c>
      <c r="I3414" s="1009">
        <v>71080000</v>
      </c>
      <c r="J3414" s="1007" t="s">
        <v>1508</v>
      </c>
      <c r="O3414" s="1007" t="s">
        <v>648</v>
      </c>
      <c r="P3414" s="1007" t="s">
        <v>648</v>
      </c>
      <c r="S3414" s="1008" t="s">
        <v>650</v>
      </c>
      <c r="T3414" s="1008" t="s">
        <v>654</v>
      </c>
      <c r="U3414" s="1008" t="s">
        <v>653</v>
      </c>
      <c r="V3414" s="1008" t="s">
        <v>648</v>
      </c>
      <c r="W3414" s="1008" t="s">
        <v>546</v>
      </c>
      <c r="X3414" s="1008" t="s">
        <v>670</v>
      </c>
      <c r="Y3414" s="1008"/>
      <c r="Z3414" s="1008"/>
      <c r="AA3414" s="1008" t="s">
        <v>670</v>
      </c>
      <c r="AB3414" s="1008"/>
      <c r="AC3414" s="1008"/>
      <c r="AD3414" s="1008"/>
      <c r="AE3414" s="1008"/>
      <c r="AF3414" s="1008"/>
      <c r="AG3414" s="1008" t="s">
        <v>670</v>
      </c>
      <c r="AH3414" s="1008"/>
      <c r="AI3414" s="1008"/>
    </row>
    <row r="3415" spans="1:35">
      <c r="A3415" s="1008">
        <v>27851</v>
      </c>
      <c r="C3415" s="1008">
        <v>7</v>
      </c>
      <c r="D3415" s="1009">
        <v>71099999</v>
      </c>
      <c r="E3415" s="1009">
        <v>71085999</v>
      </c>
      <c r="F3415" s="1007" t="s">
        <v>1507</v>
      </c>
      <c r="O3415" s="1007" t="s">
        <v>648</v>
      </c>
      <c r="P3415" s="1007" t="s">
        <v>648</v>
      </c>
      <c r="S3415" s="1008" t="s">
        <v>650</v>
      </c>
      <c r="T3415" s="1008" t="s">
        <v>21</v>
      </c>
      <c r="U3415" s="1008" t="s">
        <v>653</v>
      </c>
      <c r="V3415" s="1008" t="s">
        <v>648</v>
      </c>
      <c r="W3415" s="1008" t="s">
        <v>546</v>
      </c>
      <c r="X3415" s="1008"/>
      <c r="Y3415" s="1008"/>
      <c r="Z3415" s="1008"/>
      <c r="AA3415" s="1008"/>
      <c r="AB3415" s="1008"/>
      <c r="AC3415" s="1008"/>
      <c r="AD3415" s="1008"/>
      <c r="AE3415" s="1008"/>
      <c r="AF3415" s="1008"/>
      <c r="AG3415" s="1008"/>
      <c r="AH3415" s="1008"/>
      <c r="AI3415" s="1008"/>
    </row>
    <row r="3416" spans="1:35">
      <c r="A3416" s="1008">
        <v>27852</v>
      </c>
      <c r="C3416" s="1008">
        <v>6</v>
      </c>
      <c r="D3416" s="1009">
        <v>71199999</v>
      </c>
      <c r="E3416" s="1009">
        <v>71099999</v>
      </c>
      <c r="F3416" s="1007" t="s">
        <v>1507</v>
      </c>
      <c r="O3416" s="1007" t="s">
        <v>648</v>
      </c>
      <c r="P3416" s="1007" t="s">
        <v>648</v>
      </c>
      <c r="S3416" s="1008" t="s">
        <v>650</v>
      </c>
      <c r="T3416" s="1008" t="s">
        <v>21</v>
      </c>
      <c r="U3416" s="1008" t="s">
        <v>653</v>
      </c>
      <c r="V3416" s="1008" t="s">
        <v>648</v>
      </c>
      <c r="W3416" s="1008" t="s">
        <v>546</v>
      </c>
      <c r="X3416" s="1008"/>
      <c r="Y3416" s="1008"/>
      <c r="Z3416" s="1008"/>
      <c r="AA3416" s="1008"/>
      <c r="AB3416" s="1008"/>
      <c r="AC3416" s="1008"/>
      <c r="AD3416" s="1008"/>
      <c r="AE3416" s="1008"/>
      <c r="AF3416" s="1008"/>
      <c r="AG3416" s="1008"/>
      <c r="AH3416" s="1008"/>
      <c r="AI3416" s="1008"/>
    </row>
    <row r="3417" spans="1:35">
      <c r="A3417" s="1008">
        <v>27853</v>
      </c>
      <c r="C3417" s="1008">
        <v>6</v>
      </c>
      <c r="D3417" s="1009">
        <v>71109999</v>
      </c>
      <c r="E3417" s="1009">
        <v>71100000</v>
      </c>
      <c r="F3417" s="1007" t="s">
        <v>1506</v>
      </c>
      <c r="O3417" s="1007" t="s">
        <v>648</v>
      </c>
      <c r="P3417" s="1007" t="s">
        <v>648</v>
      </c>
      <c r="S3417" s="1008" t="s">
        <v>650</v>
      </c>
      <c r="T3417" s="1008" t="s">
        <v>675</v>
      </c>
      <c r="U3417" s="1008" t="s">
        <v>653</v>
      </c>
      <c r="V3417" s="1008" t="s">
        <v>648</v>
      </c>
      <c r="W3417" s="1008" t="s">
        <v>546</v>
      </c>
      <c r="X3417" s="1008"/>
      <c r="Y3417" s="1008"/>
      <c r="Z3417" s="1008"/>
      <c r="AA3417" s="1008"/>
      <c r="AB3417" s="1008"/>
      <c r="AC3417" s="1008"/>
      <c r="AD3417" s="1008"/>
      <c r="AE3417" s="1008"/>
      <c r="AF3417" s="1008"/>
      <c r="AG3417" s="1008"/>
      <c r="AH3417" s="1008"/>
      <c r="AI3417" s="1008"/>
    </row>
    <row r="3418" spans="1:35">
      <c r="A3418" s="1008">
        <v>27854</v>
      </c>
      <c r="B3418" s="1008">
        <v>6642</v>
      </c>
      <c r="C3418" s="1008">
        <v>7</v>
      </c>
      <c r="D3418" s="1009">
        <v>71109999</v>
      </c>
      <c r="E3418" s="1009">
        <v>71101000</v>
      </c>
      <c r="F3418" s="1007" t="s">
        <v>1505</v>
      </c>
      <c r="G3418" s="1007" t="s">
        <v>648</v>
      </c>
      <c r="H3418" s="1010">
        <v>99999999</v>
      </c>
      <c r="I3418" s="1009">
        <v>71101000</v>
      </c>
      <c r="J3418" s="1007" t="s">
        <v>1505</v>
      </c>
      <c r="O3418" s="1007" t="s">
        <v>648</v>
      </c>
      <c r="P3418" s="1007" t="s">
        <v>648</v>
      </c>
      <c r="S3418" s="1008" t="s">
        <v>650</v>
      </c>
      <c r="T3418" s="1008" t="s">
        <v>654</v>
      </c>
      <c r="U3418" s="1008" t="s">
        <v>653</v>
      </c>
      <c r="V3418" s="1008" t="s">
        <v>648</v>
      </c>
      <c r="W3418" s="1008" t="s">
        <v>546</v>
      </c>
      <c r="X3418" s="1008" t="s">
        <v>670</v>
      </c>
      <c r="Y3418" s="1008"/>
      <c r="Z3418" s="1008"/>
      <c r="AA3418" s="1008" t="s">
        <v>670</v>
      </c>
      <c r="AB3418" s="1008"/>
      <c r="AC3418" s="1008"/>
      <c r="AD3418" s="1008"/>
      <c r="AE3418" s="1008"/>
      <c r="AF3418" s="1008"/>
      <c r="AG3418" s="1008" t="s">
        <v>670</v>
      </c>
      <c r="AH3418" s="1008"/>
      <c r="AI3418" s="1008"/>
    </row>
    <row r="3419" spans="1:35">
      <c r="A3419" s="1008">
        <v>27855</v>
      </c>
      <c r="C3419" s="1008">
        <v>6</v>
      </c>
      <c r="D3419" s="1009">
        <v>71199999</v>
      </c>
      <c r="E3419" s="1009">
        <v>71109999</v>
      </c>
      <c r="F3419" s="1007" t="s">
        <v>1504</v>
      </c>
      <c r="O3419" s="1007" t="s">
        <v>648</v>
      </c>
      <c r="P3419" s="1007" t="s">
        <v>648</v>
      </c>
      <c r="S3419" s="1008" t="s">
        <v>650</v>
      </c>
      <c r="T3419" s="1008" t="s">
        <v>21</v>
      </c>
      <c r="U3419" s="1008" t="s">
        <v>653</v>
      </c>
      <c r="V3419" s="1008" t="s">
        <v>648</v>
      </c>
      <c r="W3419" s="1008" t="s">
        <v>546</v>
      </c>
      <c r="X3419" s="1008"/>
      <c r="Y3419" s="1008"/>
      <c r="Z3419" s="1008"/>
      <c r="AA3419" s="1008"/>
      <c r="AB3419" s="1008"/>
      <c r="AC3419" s="1008"/>
      <c r="AD3419" s="1008"/>
      <c r="AE3419" s="1008"/>
      <c r="AF3419" s="1008"/>
      <c r="AG3419" s="1008"/>
      <c r="AH3419" s="1008"/>
      <c r="AI3419" s="1008"/>
    </row>
    <row r="3420" spans="1:35">
      <c r="A3420" s="1008">
        <v>27856</v>
      </c>
      <c r="C3420" s="1008">
        <v>6</v>
      </c>
      <c r="D3420" s="1009">
        <v>71119000</v>
      </c>
      <c r="E3420" s="1009">
        <v>71110000</v>
      </c>
      <c r="F3420" s="1007" t="s">
        <v>1503</v>
      </c>
      <c r="O3420" s="1007" t="s">
        <v>648</v>
      </c>
      <c r="P3420" s="1007" t="s">
        <v>648</v>
      </c>
      <c r="S3420" s="1008" t="s">
        <v>650</v>
      </c>
      <c r="T3420" s="1008" t="s">
        <v>675</v>
      </c>
      <c r="U3420" s="1008" t="s">
        <v>653</v>
      </c>
      <c r="V3420" s="1008" t="s">
        <v>648</v>
      </c>
      <c r="W3420" s="1008" t="s">
        <v>546</v>
      </c>
      <c r="X3420" s="1008"/>
      <c r="Y3420" s="1008"/>
      <c r="Z3420" s="1008"/>
      <c r="AA3420" s="1008"/>
      <c r="AB3420" s="1008"/>
      <c r="AC3420" s="1008"/>
      <c r="AD3420" s="1008"/>
      <c r="AE3420" s="1008"/>
      <c r="AF3420" s="1008"/>
      <c r="AG3420" s="1008"/>
      <c r="AH3420" s="1008"/>
      <c r="AI3420" s="1008"/>
    </row>
    <row r="3421" spans="1:35">
      <c r="A3421" s="1008">
        <v>27857</v>
      </c>
      <c r="B3421" s="1008">
        <v>6643</v>
      </c>
      <c r="C3421" s="1008">
        <v>7</v>
      </c>
      <c r="D3421" s="1009">
        <v>71119000</v>
      </c>
      <c r="E3421" s="1009">
        <v>71111000</v>
      </c>
      <c r="F3421" s="1007" t="s">
        <v>1502</v>
      </c>
      <c r="G3421" s="1007" t="s">
        <v>648</v>
      </c>
      <c r="H3421" s="1010">
        <v>99999999</v>
      </c>
      <c r="I3421" s="1009">
        <v>71111000</v>
      </c>
      <c r="J3421" s="1007" t="s">
        <v>1502</v>
      </c>
      <c r="O3421" s="1007" t="s">
        <v>648</v>
      </c>
      <c r="P3421" s="1007" t="s">
        <v>648</v>
      </c>
      <c r="S3421" s="1008" t="s">
        <v>650</v>
      </c>
      <c r="T3421" s="1008" t="s">
        <v>654</v>
      </c>
      <c r="U3421" s="1008" t="s">
        <v>653</v>
      </c>
      <c r="V3421" s="1008" t="s">
        <v>648</v>
      </c>
      <c r="W3421" s="1008" t="s">
        <v>546</v>
      </c>
      <c r="X3421" s="1008" t="s">
        <v>670</v>
      </c>
      <c r="Y3421" s="1008"/>
      <c r="Z3421" s="1008"/>
      <c r="AA3421" s="1008" t="s">
        <v>670</v>
      </c>
      <c r="AB3421" s="1008"/>
      <c r="AC3421" s="1008"/>
      <c r="AD3421" s="1008"/>
      <c r="AE3421" s="1008"/>
      <c r="AF3421" s="1008"/>
      <c r="AG3421" s="1008" t="s">
        <v>670</v>
      </c>
      <c r="AH3421" s="1008"/>
      <c r="AI3421" s="1008"/>
    </row>
    <row r="3422" spans="1:35">
      <c r="A3422" s="1008">
        <v>27858</v>
      </c>
      <c r="C3422" s="1008">
        <v>6</v>
      </c>
      <c r="D3422" s="1009">
        <v>71199999</v>
      </c>
      <c r="E3422" s="1009">
        <v>71119000</v>
      </c>
      <c r="F3422" s="1007" t="s">
        <v>1501</v>
      </c>
      <c r="O3422" s="1007" t="s">
        <v>648</v>
      </c>
      <c r="P3422" s="1007" t="s">
        <v>648</v>
      </c>
      <c r="S3422" s="1008" t="s">
        <v>650</v>
      </c>
      <c r="T3422" s="1008" t="s">
        <v>21</v>
      </c>
      <c r="U3422" s="1008" t="s">
        <v>653</v>
      </c>
      <c r="V3422" s="1008" t="s">
        <v>648</v>
      </c>
      <c r="W3422" s="1008" t="s">
        <v>546</v>
      </c>
      <c r="X3422" s="1008"/>
      <c r="Y3422" s="1008"/>
      <c r="Z3422" s="1008"/>
      <c r="AA3422" s="1008"/>
      <c r="AB3422" s="1008"/>
      <c r="AC3422" s="1008"/>
      <c r="AD3422" s="1008"/>
      <c r="AE3422" s="1008"/>
      <c r="AF3422" s="1008"/>
      <c r="AG3422" s="1008"/>
      <c r="AH3422" s="1008"/>
      <c r="AI3422" s="1008"/>
    </row>
    <row r="3423" spans="1:35">
      <c r="A3423" s="1008">
        <v>27859</v>
      </c>
      <c r="C3423" s="1008">
        <v>6</v>
      </c>
      <c r="D3423" s="1009">
        <v>71129999</v>
      </c>
      <c r="E3423" s="1009">
        <v>71120000</v>
      </c>
      <c r="F3423" s="1007" t="s">
        <v>1500</v>
      </c>
      <c r="O3423" s="1007" t="s">
        <v>648</v>
      </c>
      <c r="P3423" s="1007" t="s">
        <v>648</v>
      </c>
      <c r="S3423" s="1008" t="s">
        <v>650</v>
      </c>
      <c r="T3423" s="1008" t="s">
        <v>675</v>
      </c>
      <c r="U3423" s="1008" t="s">
        <v>653</v>
      </c>
      <c r="V3423" s="1008" t="s">
        <v>648</v>
      </c>
      <c r="W3423" s="1008" t="s">
        <v>546</v>
      </c>
      <c r="X3423" s="1008"/>
      <c r="Y3423" s="1008"/>
      <c r="Z3423" s="1008"/>
      <c r="AA3423" s="1008"/>
      <c r="AB3423" s="1008"/>
      <c r="AC3423" s="1008"/>
      <c r="AD3423" s="1008"/>
      <c r="AE3423" s="1008"/>
      <c r="AF3423" s="1008"/>
      <c r="AG3423" s="1008"/>
      <c r="AH3423" s="1008"/>
      <c r="AI3423" s="1008"/>
    </row>
    <row r="3424" spans="1:35">
      <c r="A3424" s="1008">
        <v>27860</v>
      </c>
      <c r="B3424" s="1008">
        <v>6644</v>
      </c>
      <c r="C3424" s="1008">
        <v>7</v>
      </c>
      <c r="D3424" s="1009">
        <v>71129999</v>
      </c>
      <c r="E3424" s="1009">
        <v>71124000</v>
      </c>
      <c r="F3424" s="1007" t="s">
        <v>1499</v>
      </c>
      <c r="G3424" s="1007" t="s">
        <v>648</v>
      </c>
      <c r="H3424" s="1010">
        <v>99999999</v>
      </c>
      <c r="I3424" s="1009">
        <v>71124000</v>
      </c>
      <c r="J3424" s="1007" t="s">
        <v>1499</v>
      </c>
      <c r="O3424" s="1007" t="s">
        <v>648</v>
      </c>
      <c r="P3424" s="1007" t="s">
        <v>648</v>
      </c>
      <c r="S3424" s="1008" t="s">
        <v>650</v>
      </c>
      <c r="T3424" s="1008" t="s">
        <v>654</v>
      </c>
      <c r="U3424" s="1008" t="s">
        <v>653</v>
      </c>
      <c r="V3424" s="1008" t="s">
        <v>648</v>
      </c>
      <c r="W3424" s="1008" t="s">
        <v>546</v>
      </c>
      <c r="X3424" s="1008" t="s">
        <v>670</v>
      </c>
      <c r="Y3424" s="1008"/>
      <c r="Z3424" s="1008"/>
      <c r="AA3424" s="1008" t="s">
        <v>670</v>
      </c>
      <c r="AB3424" s="1008"/>
      <c r="AC3424" s="1008"/>
      <c r="AD3424" s="1008"/>
      <c r="AE3424" s="1008"/>
      <c r="AF3424" s="1008"/>
      <c r="AG3424" s="1008" t="s">
        <v>670</v>
      </c>
      <c r="AH3424" s="1008"/>
      <c r="AI3424" s="1008"/>
    </row>
    <row r="3425" spans="1:35">
      <c r="A3425" s="1008">
        <v>27861</v>
      </c>
      <c r="B3425" s="1008">
        <v>6645</v>
      </c>
      <c r="C3425" s="1008">
        <v>7</v>
      </c>
      <c r="D3425" s="1009">
        <v>71129999</v>
      </c>
      <c r="E3425" s="1009">
        <v>71125000</v>
      </c>
      <c r="F3425" s="1007" t="s">
        <v>1498</v>
      </c>
      <c r="G3425" s="1007" t="s">
        <v>648</v>
      </c>
      <c r="H3425" s="1010">
        <v>99999999</v>
      </c>
      <c r="I3425" s="1009">
        <v>71125000</v>
      </c>
      <c r="J3425" s="1007" t="s">
        <v>1498</v>
      </c>
      <c r="O3425" s="1007" t="s">
        <v>648</v>
      </c>
      <c r="P3425" s="1007" t="s">
        <v>648</v>
      </c>
      <c r="S3425" s="1008" t="s">
        <v>650</v>
      </c>
      <c r="T3425" s="1008" t="s">
        <v>654</v>
      </c>
      <c r="U3425" s="1008" t="s">
        <v>653</v>
      </c>
      <c r="V3425" s="1008" t="s">
        <v>648</v>
      </c>
      <c r="W3425" s="1008" t="s">
        <v>546</v>
      </c>
      <c r="X3425" s="1008" t="s">
        <v>670</v>
      </c>
      <c r="Y3425" s="1008"/>
      <c r="Z3425" s="1008"/>
      <c r="AA3425" s="1008" t="s">
        <v>670</v>
      </c>
      <c r="AB3425" s="1008"/>
      <c r="AC3425" s="1008"/>
      <c r="AD3425" s="1008"/>
      <c r="AE3425" s="1008"/>
      <c r="AF3425" s="1008"/>
      <c r="AG3425" s="1008" t="s">
        <v>670</v>
      </c>
      <c r="AH3425" s="1008"/>
      <c r="AI3425" s="1008"/>
    </row>
    <row r="3426" spans="1:35">
      <c r="A3426" s="1008">
        <v>27862</v>
      </c>
      <c r="B3426" s="1008">
        <v>6646</v>
      </c>
      <c r="C3426" s="1008">
        <v>7</v>
      </c>
      <c r="D3426" s="1009">
        <v>71129999</v>
      </c>
      <c r="E3426" s="1009">
        <v>71129000</v>
      </c>
      <c r="F3426" s="1007" t="s">
        <v>1497</v>
      </c>
      <c r="G3426" s="1007" t="s">
        <v>648</v>
      </c>
      <c r="H3426" s="1010">
        <v>99999999</v>
      </c>
      <c r="I3426" s="1009">
        <v>71129000</v>
      </c>
      <c r="J3426" s="1007" t="s">
        <v>1497</v>
      </c>
      <c r="O3426" s="1007" t="s">
        <v>648</v>
      </c>
      <c r="P3426" s="1007" t="s">
        <v>648</v>
      </c>
      <c r="S3426" s="1008" t="s">
        <v>650</v>
      </c>
      <c r="T3426" s="1008" t="s">
        <v>654</v>
      </c>
      <c r="U3426" s="1008" t="s">
        <v>653</v>
      </c>
      <c r="V3426" s="1008" t="s">
        <v>648</v>
      </c>
      <c r="W3426" s="1008" t="s">
        <v>546</v>
      </c>
      <c r="X3426" s="1008" t="s">
        <v>670</v>
      </c>
      <c r="Y3426" s="1008"/>
      <c r="Z3426" s="1008"/>
      <c r="AA3426" s="1008" t="s">
        <v>670</v>
      </c>
      <c r="AB3426" s="1008"/>
      <c r="AC3426" s="1008"/>
      <c r="AD3426" s="1008"/>
      <c r="AE3426" s="1008"/>
      <c r="AF3426" s="1008"/>
      <c r="AG3426" s="1008" t="s">
        <v>670</v>
      </c>
      <c r="AH3426" s="1008"/>
      <c r="AI3426" s="1008"/>
    </row>
    <row r="3427" spans="1:35">
      <c r="A3427" s="1008">
        <v>27863</v>
      </c>
      <c r="C3427" s="1008">
        <v>6</v>
      </c>
      <c r="D3427" s="1009">
        <v>71199999</v>
      </c>
      <c r="E3427" s="1009">
        <v>71129999</v>
      </c>
      <c r="F3427" s="1007" t="s">
        <v>1496</v>
      </c>
      <c r="O3427" s="1007" t="s">
        <v>648</v>
      </c>
      <c r="P3427" s="1007" t="s">
        <v>648</v>
      </c>
      <c r="S3427" s="1008" t="s">
        <v>650</v>
      </c>
      <c r="T3427" s="1008" t="s">
        <v>21</v>
      </c>
      <c r="U3427" s="1008" t="s">
        <v>653</v>
      </c>
      <c r="V3427" s="1008" t="s">
        <v>648</v>
      </c>
      <c r="W3427" s="1008" t="s">
        <v>546</v>
      </c>
      <c r="X3427" s="1008"/>
      <c r="Y3427" s="1008"/>
      <c r="Z3427" s="1008"/>
      <c r="AA3427" s="1008"/>
      <c r="AB3427" s="1008"/>
      <c r="AC3427" s="1008"/>
      <c r="AD3427" s="1008"/>
      <c r="AE3427" s="1008"/>
      <c r="AF3427" s="1008"/>
      <c r="AG3427" s="1008"/>
      <c r="AH3427" s="1008"/>
      <c r="AI3427" s="1008"/>
    </row>
    <row r="3428" spans="1:35">
      <c r="A3428" s="1008">
        <v>27864</v>
      </c>
      <c r="C3428" s="1008">
        <v>6</v>
      </c>
      <c r="D3428" s="1009">
        <v>71139999</v>
      </c>
      <c r="E3428" s="1009">
        <v>71130000</v>
      </c>
      <c r="F3428" s="1007" t="s">
        <v>1495</v>
      </c>
      <c r="O3428" s="1007" t="s">
        <v>648</v>
      </c>
      <c r="P3428" s="1007" t="s">
        <v>648</v>
      </c>
      <c r="S3428" s="1008" t="s">
        <v>650</v>
      </c>
      <c r="T3428" s="1008" t="s">
        <v>675</v>
      </c>
      <c r="U3428" s="1008" t="s">
        <v>653</v>
      </c>
      <c r="V3428" s="1008" t="s">
        <v>648</v>
      </c>
      <c r="W3428" s="1008" t="s">
        <v>546</v>
      </c>
      <c r="X3428" s="1008"/>
      <c r="Y3428" s="1008"/>
      <c r="Z3428" s="1008"/>
      <c r="AA3428" s="1008"/>
      <c r="AB3428" s="1008"/>
      <c r="AC3428" s="1008"/>
      <c r="AD3428" s="1008"/>
      <c r="AE3428" s="1008"/>
      <c r="AF3428" s="1008"/>
      <c r="AG3428" s="1008"/>
      <c r="AH3428" s="1008"/>
      <c r="AI3428" s="1008"/>
    </row>
    <row r="3429" spans="1:35">
      <c r="A3429" s="1008">
        <v>27865</v>
      </c>
      <c r="B3429" s="1008">
        <v>6647</v>
      </c>
      <c r="C3429" s="1008">
        <v>7</v>
      </c>
      <c r="D3429" s="1009">
        <v>71139999</v>
      </c>
      <c r="E3429" s="1009">
        <v>71131000</v>
      </c>
      <c r="F3429" s="1007" t="s">
        <v>1494</v>
      </c>
      <c r="G3429" s="1007" t="s">
        <v>648</v>
      </c>
      <c r="H3429" s="1010">
        <v>99999999</v>
      </c>
      <c r="I3429" s="1009">
        <v>71131000</v>
      </c>
      <c r="J3429" s="1007" t="s">
        <v>1494</v>
      </c>
      <c r="O3429" s="1007" t="s">
        <v>648</v>
      </c>
      <c r="P3429" s="1007" t="s">
        <v>648</v>
      </c>
      <c r="S3429" s="1008" t="s">
        <v>650</v>
      </c>
      <c r="T3429" s="1008" t="s">
        <v>654</v>
      </c>
      <c r="U3429" s="1008" t="s">
        <v>653</v>
      </c>
      <c r="V3429" s="1008" t="s">
        <v>648</v>
      </c>
      <c r="W3429" s="1008" t="s">
        <v>546</v>
      </c>
      <c r="X3429" s="1008" t="s">
        <v>670</v>
      </c>
      <c r="Y3429" s="1008"/>
      <c r="Z3429" s="1008"/>
      <c r="AA3429" s="1008" t="s">
        <v>670</v>
      </c>
      <c r="AB3429" s="1008"/>
      <c r="AC3429" s="1008"/>
      <c r="AD3429" s="1008"/>
      <c r="AE3429" s="1008"/>
      <c r="AF3429" s="1008"/>
      <c r="AG3429" s="1008" t="s">
        <v>670</v>
      </c>
      <c r="AH3429" s="1008"/>
      <c r="AI3429" s="1008"/>
    </row>
    <row r="3430" spans="1:35">
      <c r="A3430" s="1008">
        <v>27866</v>
      </c>
      <c r="B3430" s="1008">
        <v>6648</v>
      </c>
      <c r="C3430" s="1008">
        <v>7</v>
      </c>
      <c r="D3430" s="1009">
        <v>71139999</v>
      </c>
      <c r="E3430" s="1009">
        <v>71132000</v>
      </c>
      <c r="F3430" s="1007" t="s">
        <v>1493</v>
      </c>
      <c r="G3430" s="1007" t="s">
        <v>648</v>
      </c>
      <c r="H3430" s="1010">
        <v>99999999</v>
      </c>
      <c r="I3430" s="1009">
        <v>71132000</v>
      </c>
      <c r="J3430" s="1007" t="s">
        <v>1493</v>
      </c>
      <c r="O3430" s="1007" t="s">
        <v>648</v>
      </c>
      <c r="P3430" s="1007" t="s">
        <v>648</v>
      </c>
      <c r="S3430" s="1008" t="s">
        <v>650</v>
      </c>
      <c r="T3430" s="1008" t="s">
        <v>654</v>
      </c>
      <c r="U3430" s="1008" t="s">
        <v>653</v>
      </c>
      <c r="V3430" s="1008" t="s">
        <v>648</v>
      </c>
      <c r="W3430" s="1008" t="s">
        <v>546</v>
      </c>
      <c r="X3430" s="1008" t="s">
        <v>670</v>
      </c>
      <c r="Y3430" s="1008"/>
      <c r="Z3430" s="1008"/>
      <c r="AA3430" s="1008" t="s">
        <v>670</v>
      </c>
      <c r="AB3430" s="1008"/>
      <c r="AC3430" s="1008"/>
      <c r="AD3430" s="1008"/>
      <c r="AE3430" s="1008"/>
      <c r="AF3430" s="1008"/>
      <c r="AG3430" s="1008" t="s">
        <v>670</v>
      </c>
      <c r="AH3430" s="1008"/>
      <c r="AI3430" s="1008"/>
    </row>
    <row r="3431" spans="1:35">
      <c r="A3431" s="1008">
        <v>27867</v>
      </c>
      <c r="B3431" s="1008">
        <v>6649</v>
      </c>
      <c r="C3431" s="1008">
        <v>7</v>
      </c>
      <c r="D3431" s="1009">
        <v>71139999</v>
      </c>
      <c r="E3431" s="1009">
        <v>71133000</v>
      </c>
      <c r="F3431" s="1007" t="s">
        <v>1492</v>
      </c>
      <c r="G3431" s="1007" t="s">
        <v>648</v>
      </c>
      <c r="H3431" s="1010">
        <v>99999999</v>
      </c>
      <c r="I3431" s="1009">
        <v>71133000</v>
      </c>
      <c r="J3431" s="1007" t="s">
        <v>1492</v>
      </c>
      <c r="O3431" s="1007" t="s">
        <v>648</v>
      </c>
      <c r="P3431" s="1007" t="s">
        <v>648</v>
      </c>
      <c r="S3431" s="1008" t="s">
        <v>650</v>
      </c>
      <c r="T3431" s="1008" t="s">
        <v>654</v>
      </c>
      <c r="U3431" s="1008" t="s">
        <v>653</v>
      </c>
      <c r="V3431" s="1008" t="s">
        <v>648</v>
      </c>
      <c r="W3431" s="1008" t="s">
        <v>546</v>
      </c>
      <c r="X3431" s="1008" t="s">
        <v>670</v>
      </c>
      <c r="Y3431" s="1008"/>
      <c r="Z3431" s="1008"/>
      <c r="AA3431" s="1008" t="s">
        <v>670</v>
      </c>
      <c r="AB3431" s="1008"/>
      <c r="AC3431" s="1008"/>
      <c r="AD3431" s="1008"/>
      <c r="AE3431" s="1008"/>
      <c r="AF3431" s="1008"/>
      <c r="AG3431" s="1008" t="s">
        <v>670</v>
      </c>
      <c r="AH3431" s="1008"/>
      <c r="AI3431" s="1008"/>
    </row>
    <row r="3432" spans="1:35">
      <c r="A3432" s="1008">
        <v>27868</v>
      </c>
      <c r="B3432" s="1008">
        <v>6650</v>
      </c>
      <c r="C3432" s="1008">
        <v>7</v>
      </c>
      <c r="D3432" s="1009">
        <v>71139999</v>
      </c>
      <c r="E3432" s="1009">
        <v>71134000</v>
      </c>
      <c r="F3432" s="1007" t="s">
        <v>1491</v>
      </c>
      <c r="G3432" s="1007" t="s">
        <v>648</v>
      </c>
      <c r="H3432" s="1010">
        <v>99999999</v>
      </c>
      <c r="I3432" s="1009">
        <v>71134000</v>
      </c>
      <c r="J3432" s="1007" t="s">
        <v>1491</v>
      </c>
      <c r="O3432" s="1007" t="s">
        <v>648</v>
      </c>
      <c r="P3432" s="1007" t="s">
        <v>648</v>
      </c>
      <c r="S3432" s="1008" t="s">
        <v>650</v>
      </c>
      <c r="T3432" s="1008" t="s">
        <v>654</v>
      </c>
      <c r="U3432" s="1008" t="s">
        <v>653</v>
      </c>
      <c r="V3432" s="1008" t="s">
        <v>648</v>
      </c>
      <c r="W3432" s="1008" t="s">
        <v>546</v>
      </c>
      <c r="X3432" s="1008" t="s">
        <v>670</v>
      </c>
      <c r="Y3432" s="1008"/>
      <c r="Z3432" s="1008"/>
      <c r="AA3432" s="1008" t="s">
        <v>670</v>
      </c>
      <c r="AB3432" s="1008"/>
      <c r="AC3432" s="1008"/>
      <c r="AD3432" s="1008"/>
      <c r="AE3432" s="1008"/>
      <c r="AF3432" s="1008"/>
      <c r="AG3432" s="1008" t="s">
        <v>670</v>
      </c>
      <c r="AH3432" s="1008"/>
      <c r="AI3432" s="1008"/>
    </row>
    <row r="3433" spans="1:35">
      <c r="A3433" s="1008">
        <v>27869</v>
      </c>
      <c r="B3433" s="1008">
        <v>6651</v>
      </c>
      <c r="C3433" s="1008">
        <v>7</v>
      </c>
      <c r="D3433" s="1009">
        <v>71139999</v>
      </c>
      <c r="E3433" s="1009">
        <v>71135000</v>
      </c>
      <c r="F3433" s="1007" t="s">
        <v>1490</v>
      </c>
      <c r="G3433" s="1007" t="s">
        <v>648</v>
      </c>
      <c r="H3433" s="1010">
        <v>99999999</v>
      </c>
      <c r="I3433" s="1009">
        <v>71135000</v>
      </c>
      <c r="J3433" s="1007" t="s">
        <v>1490</v>
      </c>
      <c r="O3433" s="1007" t="s">
        <v>648</v>
      </c>
      <c r="P3433" s="1007" t="s">
        <v>648</v>
      </c>
      <c r="S3433" s="1008" t="s">
        <v>650</v>
      </c>
      <c r="T3433" s="1008" t="s">
        <v>654</v>
      </c>
      <c r="U3433" s="1008" t="s">
        <v>653</v>
      </c>
      <c r="V3433" s="1008" t="s">
        <v>648</v>
      </c>
      <c r="W3433" s="1008" t="s">
        <v>546</v>
      </c>
      <c r="X3433" s="1008" t="s">
        <v>670</v>
      </c>
      <c r="Y3433" s="1008"/>
      <c r="Z3433" s="1008"/>
      <c r="AA3433" s="1008" t="s">
        <v>670</v>
      </c>
      <c r="AB3433" s="1008"/>
      <c r="AC3433" s="1008"/>
      <c r="AD3433" s="1008"/>
      <c r="AE3433" s="1008"/>
      <c r="AF3433" s="1008"/>
      <c r="AG3433" s="1008" t="s">
        <v>670</v>
      </c>
      <c r="AH3433" s="1008"/>
      <c r="AI3433" s="1008"/>
    </row>
    <row r="3434" spans="1:35">
      <c r="A3434" s="1008">
        <v>27870</v>
      </c>
      <c r="C3434" s="1008">
        <v>6</v>
      </c>
      <c r="D3434" s="1009">
        <v>71199999</v>
      </c>
      <c r="E3434" s="1009">
        <v>71139999</v>
      </c>
      <c r="F3434" s="1007" t="s">
        <v>1489</v>
      </c>
      <c r="O3434" s="1007" t="s">
        <v>648</v>
      </c>
      <c r="P3434" s="1007" t="s">
        <v>648</v>
      </c>
      <c r="S3434" s="1008" t="s">
        <v>650</v>
      </c>
      <c r="T3434" s="1008" t="s">
        <v>21</v>
      </c>
      <c r="U3434" s="1008" t="s">
        <v>653</v>
      </c>
      <c r="V3434" s="1008" t="s">
        <v>648</v>
      </c>
      <c r="W3434" s="1008" t="s">
        <v>546</v>
      </c>
      <c r="X3434" s="1008"/>
      <c r="Y3434" s="1008"/>
      <c r="Z3434" s="1008"/>
      <c r="AA3434" s="1008"/>
      <c r="AB3434" s="1008"/>
      <c r="AC3434" s="1008"/>
      <c r="AD3434" s="1008"/>
      <c r="AE3434" s="1008"/>
      <c r="AF3434" s="1008"/>
      <c r="AG3434" s="1008"/>
      <c r="AH3434" s="1008"/>
      <c r="AI3434" s="1008"/>
    </row>
    <row r="3435" spans="1:35">
      <c r="A3435" s="1008">
        <v>27871</v>
      </c>
      <c r="C3435" s="1008">
        <v>6</v>
      </c>
      <c r="D3435" s="1009">
        <v>71169999</v>
      </c>
      <c r="E3435" s="1009">
        <v>71160000</v>
      </c>
      <c r="F3435" s="1007" t="s">
        <v>1488</v>
      </c>
      <c r="O3435" s="1007" t="s">
        <v>648</v>
      </c>
      <c r="P3435" s="1007" t="s">
        <v>648</v>
      </c>
      <c r="S3435" s="1008" t="s">
        <v>650</v>
      </c>
      <c r="T3435" s="1008" t="s">
        <v>675</v>
      </c>
      <c r="U3435" s="1008" t="s">
        <v>653</v>
      </c>
      <c r="V3435" s="1008" t="s">
        <v>648</v>
      </c>
      <c r="W3435" s="1008" t="s">
        <v>546</v>
      </c>
      <c r="X3435" s="1008"/>
      <c r="Y3435" s="1008"/>
      <c r="Z3435" s="1008"/>
      <c r="AA3435" s="1008"/>
      <c r="AB3435" s="1008"/>
      <c r="AC3435" s="1008"/>
      <c r="AD3435" s="1008"/>
      <c r="AE3435" s="1008"/>
      <c r="AF3435" s="1008"/>
      <c r="AG3435" s="1008"/>
      <c r="AH3435" s="1008"/>
      <c r="AI3435" s="1008"/>
    </row>
    <row r="3436" spans="1:35">
      <c r="A3436" s="1008">
        <v>27872</v>
      </c>
      <c r="B3436" s="1008">
        <v>6652</v>
      </c>
      <c r="C3436" s="1008">
        <v>7</v>
      </c>
      <c r="D3436" s="1009">
        <v>71169999</v>
      </c>
      <c r="E3436" s="1009">
        <v>71162000</v>
      </c>
      <c r="F3436" s="1007" t="s">
        <v>1487</v>
      </c>
      <c r="G3436" s="1007" t="s">
        <v>648</v>
      </c>
      <c r="H3436" s="1010">
        <v>99999999</v>
      </c>
      <c r="I3436" s="1009">
        <v>71162000</v>
      </c>
      <c r="J3436" s="1007" t="s">
        <v>1487</v>
      </c>
      <c r="O3436" s="1007" t="s">
        <v>648</v>
      </c>
      <c r="P3436" s="1007" t="s">
        <v>648</v>
      </c>
      <c r="S3436" s="1008" t="s">
        <v>650</v>
      </c>
      <c r="T3436" s="1008" t="s">
        <v>654</v>
      </c>
      <c r="U3436" s="1008" t="s">
        <v>653</v>
      </c>
      <c r="V3436" s="1008" t="s">
        <v>648</v>
      </c>
      <c r="W3436" s="1008" t="s">
        <v>546</v>
      </c>
      <c r="X3436" s="1008" t="s">
        <v>670</v>
      </c>
      <c r="Y3436" s="1008"/>
      <c r="Z3436" s="1008"/>
      <c r="AA3436" s="1008" t="s">
        <v>670</v>
      </c>
      <c r="AB3436" s="1008"/>
      <c r="AC3436" s="1008"/>
      <c r="AD3436" s="1008"/>
      <c r="AE3436" s="1008"/>
      <c r="AF3436" s="1008"/>
      <c r="AG3436" s="1008" t="s">
        <v>670</v>
      </c>
      <c r="AH3436" s="1008"/>
      <c r="AI3436" s="1008"/>
    </row>
    <row r="3437" spans="1:35">
      <c r="A3437" s="1008">
        <v>27873</v>
      </c>
      <c r="B3437" s="1008">
        <v>6653</v>
      </c>
      <c r="C3437" s="1008">
        <v>7</v>
      </c>
      <c r="D3437" s="1009">
        <v>71169999</v>
      </c>
      <c r="E3437" s="1009">
        <v>71163000</v>
      </c>
      <c r="F3437" s="1007" t="s">
        <v>1486</v>
      </c>
      <c r="G3437" s="1007" t="s">
        <v>648</v>
      </c>
      <c r="H3437" s="1010">
        <v>99999999</v>
      </c>
      <c r="I3437" s="1009">
        <v>71163000</v>
      </c>
      <c r="J3437" s="1007" t="s">
        <v>1486</v>
      </c>
      <c r="O3437" s="1007" t="s">
        <v>648</v>
      </c>
      <c r="P3437" s="1007" t="s">
        <v>648</v>
      </c>
      <c r="S3437" s="1008" t="s">
        <v>650</v>
      </c>
      <c r="T3437" s="1008" t="s">
        <v>654</v>
      </c>
      <c r="U3437" s="1008" t="s">
        <v>653</v>
      </c>
      <c r="V3437" s="1008" t="s">
        <v>648</v>
      </c>
      <c r="W3437" s="1008" t="s">
        <v>546</v>
      </c>
      <c r="X3437" s="1008" t="s">
        <v>670</v>
      </c>
      <c r="Y3437" s="1008"/>
      <c r="Z3437" s="1008"/>
      <c r="AA3437" s="1008" t="s">
        <v>670</v>
      </c>
      <c r="AB3437" s="1008"/>
      <c r="AC3437" s="1008"/>
      <c r="AD3437" s="1008"/>
      <c r="AE3437" s="1008"/>
      <c r="AF3437" s="1008"/>
      <c r="AG3437" s="1008" t="s">
        <v>670</v>
      </c>
      <c r="AH3437" s="1008"/>
      <c r="AI3437" s="1008"/>
    </row>
    <row r="3438" spans="1:35">
      <c r="A3438" s="1008">
        <v>27874</v>
      </c>
      <c r="B3438" s="1008">
        <v>6654</v>
      </c>
      <c r="C3438" s="1008">
        <v>7</v>
      </c>
      <c r="D3438" s="1009">
        <v>71169999</v>
      </c>
      <c r="E3438" s="1009">
        <v>71164000</v>
      </c>
      <c r="F3438" s="1007" t="s">
        <v>1485</v>
      </c>
      <c r="G3438" s="1007" t="s">
        <v>648</v>
      </c>
      <c r="H3438" s="1010">
        <v>99999999</v>
      </c>
      <c r="I3438" s="1009">
        <v>71164000</v>
      </c>
      <c r="J3438" s="1007" t="s">
        <v>1485</v>
      </c>
      <c r="O3438" s="1007" t="s">
        <v>648</v>
      </c>
      <c r="P3438" s="1007" t="s">
        <v>648</v>
      </c>
      <c r="S3438" s="1008" t="s">
        <v>650</v>
      </c>
      <c r="T3438" s="1008" t="s">
        <v>654</v>
      </c>
      <c r="U3438" s="1008" t="s">
        <v>653</v>
      </c>
      <c r="V3438" s="1008" t="s">
        <v>648</v>
      </c>
      <c r="W3438" s="1008" t="s">
        <v>546</v>
      </c>
      <c r="X3438" s="1008" t="s">
        <v>670</v>
      </c>
      <c r="Y3438" s="1008"/>
      <c r="Z3438" s="1008"/>
      <c r="AA3438" s="1008" t="s">
        <v>670</v>
      </c>
      <c r="AB3438" s="1008"/>
      <c r="AC3438" s="1008"/>
      <c r="AD3438" s="1008"/>
      <c r="AE3438" s="1008"/>
      <c r="AF3438" s="1008"/>
      <c r="AG3438" s="1008" t="s">
        <v>670</v>
      </c>
      <c r="AH3438" s="1008"/>
      <c r="AI3438" s="1008"/>
    </row>
    <row r="3439" spans="1:35">
      <c r="A3439" s="1008">
        <v>27875</v>
      </c>
      <c r="C3439" s="1008">
        <v>6</v>
      </c>
      <c r="D3439" s="1009">
        <v>71199999</v>
      </c>
      <c r="E3439" s="1009">
        <v>71169999</v>
      </c>
      <c r="F3439" s="1007" t="s">
        <v>1484</v>
      </c>
      <c r="O3439" s="1007" t="s">
        <v>648</v>
      </c>
      <c r="P3439" s="1007" t="s">
        <v>648</v>
      </c>
      <c r="S3439" s="1008" t="s">
        <v>650</v>
      </c>
      <c r="T3439" s="1008" t="s">
        <v>21</v>
      </c>
      <c r="U3439" s="1008" t="s">
        <v>653</v>
      </c>
      <c r="V3439" s="1008" t="s">
        <v>648</v>
      </c>
      <c r="W3439" s="1008" t="s">
        <v>546</v>
      </c>
      <c r="X3439" s="1008"/>
      <c r="Y3439" s="1008"/>
      <c r="Z3439" s="1008"/>
      <c r="AA3439" s="1008"/>
      <c r="AB3439" s="1008"/>
      <c r="AC3439" s="1008"/>
      <c r="AD3439" s="1008"/>
      <c r="AE3439" s="1008"/>
      <c r="AF3439" s="1008"/>
      <c r="AG3439" s="1008"/>
      <c r="AH3439" s="1008"/>
      <c r="AI3439" s="1008"/>
    </row>
    <row r="3440" spans="1:35">
      <c r="A3440" s="1008">
        <v>27876</v>
      </c>
      <c r="C3440" s="1008">
        <v>6</v>
      </c>
      <c r="D3440" s="1009">
        <v>71189999</v>
      </c>
      <c r="E3440" s="1009">
        <v>71170000</v>
      </c>
      <c r="F3440" s="1007" t="s">
        <v>1483</v>
      </c>
      <c r="O3440" s="1007" t="s">
        <v>648</v>
      </c>
      <c r="P3440" s="1007" t="s">
        <v>648</v>
      </c>
      <c r="S3440" s="1008" t="s">
        <v>650</v>
      </c>
      <c r="T3440" s="1008" t="s">
        <v>675</v>
      </c>
      <c r="U3440" s="1008" t="s">
        <v>653</v>
      </c>
      <c r="V3440" s="1008" t="s">
        <v>648</v>
      </c>
      <c r="W3440" s="1008" t="s">
        <v>546</v>
      </c>
      <c r="X3440" s="1008"/>
      <c r="Y3440" s="1008"/>
      <c r="Z3440" s="1008"/>
      <c r="AA3440" s="1008"/>
      <c r="AB3440" s="1008"/>
      <c r="AC3440" s="1008"/>
      <c r="AD3440" s="1008"/>
      <c r="AE3440" s="1008"/>
      <c r="AF3440" s="1008"/>
      <c r="AG3440" s="1008"/>
      <c r="AH3440" s="1008"/>
      <c r="AI3440" s="1008"/>
    </row>
    <row r="3441" spans="1:35">
      <c r="A3441" s="1008">
        <v>27877</v>
      </c>
      <c r="B3441" s="1008">
        <v>6655</v>
      </c>
      <c r="C3441" s="1008">
        <v>7</v>
      </c>
      <c r="D3441" s="1009">
        <v>71189999</v>
      </c>
      <c r="E3441" s="1009">
        <v>71171000</v>
      </c>
      <c r="F3441" s="1007" t="s">
        <v>1482</v>
      </c>
      <c r="G3441" s="1007" t="s">
        <v>648</v>
      </c>
      <c r="H3441" s="1010">
        <v>99999999</v>
      </c>
      <c r="I3441" s="1009">
        <v>71171000</v>
      </c>
      <c r="J3441" s="1007" t="s">
        <v>1481</v>
      </c>
      <c r="O3441" s="1007" t="s">
        <v>648</v>
      </c>
      <c r="P3441" s="1007" t="s">
        <v>648</v>
      </c>
      <c r="S3441" s="1008" t="s">
        <v>650</v>
      </c>
      <c r="T3441" s="1008" t="s">
        <v>654</v>
      </c>
      <c r="U3441" s="1008" t="s">
        <v>653</v>
      </c>
      <c r="V3441" s="1008" t="s">
        <v>648</v>
      </c>
      <c r="W3441" s="1008" t="s">
        <v>546</v>
      </c>
      <c r="X3441" s="1008" t="s">
        <v>670</v>
      </c>
      <c r="Y3441" s="1008"/>
      <c r="Z3441" s="1008"/>
      <c r="AA3441" s="1008" t="s">
        <v>670</v>
      </c>
      <c r="AB3441" s="1008"/>
      <c r="AC3441" s="1008"/>
      <c r="AD3441" s="1008"/>
      <c r="AE3441" s="1008"/>
      <c r="AF3441" s="1008"/>
      <c r="AG3441" s="1008" t="s">
        <v>670</v>
      </c>
      <c r="AH3441" s="1008"/>
      <c r="AI3441" s="1008"/>
    </row>
    <row r="3442" spans="1:35">
      <c r="A3442" s="1008">
        <v>27878</v>
      </c>
      <c r="B3442" s="1008">
        <v>6656</v>
      </c>
      <c r="C3442" s="1008">
        <v>7</v>
      </c>
      <c r="D3442" s="1009">
        <v>71189999</v>
      </c>
      <c r="E3442" s="1009">
        <v>71172000</v>
      </c>
      <c r="F3442" s="1007" t="s">
        <v>1480</v>
      </c>
      <c r="G3442" s="1007" t="s">
        <v>648</v>
      </c>
      <c r="H3442" s="1010">
        <v>99999999</v>
      </c>
      <c r="I3442" s="1009">
        <v>71172000</v>
      </c>
      <c r="J3442" s="1007" t="s">
        <v>1479</v>
      </c>
      <c r="O3442" s="1007" t="s">
        <v>648</v>
      </c>
      <c r="P3442" s="1007" t="s">
        <v>648</v>
      </c>
      <c r="S3442" s="1008" t="s">
        <v>650</v>
      </c>
      <c r="T3442" s="1008" t="s">
        <v>654</v>
      </c>
      <c r="U3442" s="1008" t="s">
        <v>653</v>
      </c>
      <c r="V3442" s="1008" t="s">
        <v>648</v>
      </c>
      <c r="W3442" s="1008" t="s">
        <v>546</v>
      </c>
      <c r="X3442" s="1008" t="s">
        <v>670</v>
      </c>
      <c r="Y3442" s="1008"/>
      <c r="Z3442" s="1008"/>
      <c r="AA3442" s="1008" t="s">
        <v>670</v>
      </c>
      <c r="AB3442" s="1008"/>
      <c r="AC3442" s="1008"/>
      <c r="AD3442" s="1008"/>
      <c r="AE3442" s="1008"/>
      <c r="AF3442" s="1008"/>
      <c r="AG3442" s="1008" t="s">
        <v>670</v>
      </c>
      <c r="AH3442" s="1008"/>
      <c r="AI3442" s="1008"/>
    </row>
    <row r="3443" spans="1:35">
      <c r="A3443" s="1008">
        <v>27879</v>
      </c>
      <c r="B3443" s="1008">
        <v>6657</v>
      </c>
      <c r="C3443" s="1008">
        <v>7</v>
      </c>
      <c r="D3443" s="1009">
        <v>71189999</v>
      </c>
      <c r="E3443" s="1009">
        <v>71173000</v>
      </c>
      <c r="F3443" s="1007" t="s">
        <v>1478</v>
      </c>
      <c r="G3443" s="1007" t="s">
        <v>648</v>
      </c>
      <c r="H3443" s="1010">
        <v>99999999</v>
      </c>
      <c r="I3443" s="1009">
        <v>71173000</v>
      </c>
      <c r="J3443" s="1007" t="s">
        <v>1478</v>
      </c>
      <c r="O3443" s="1007" t="s">
        <v>648</v>
      </c>
      <c r="P3443" s="1007" t="s">
        <v>648</v>
      </c>
      <c r="S3443" s="1008" t="s">
        <v>650</v>
      </c>
      <c r="T3443" s="1008" t="s">
        <v>654</v>
      </c>
      <c r="U3443" s="1008" t="s">
        <v>653</v>
      </c>
      <c r="V3443" s="1008" t="s">
        <v>648</v>
      </c>
      <c r="W3443" s="1008" t="s">
        <v>546</v>
      </c>
      <c r="X3443" s="1008" t="s">
        <v>670</v>
      </c>
      <c r="Y3443" s="1008"/>
      <c r="Z3443" s="1008"/>
      <c r="AA3443" s="1008" t="s">
        <v>670</v>
      </c>
      <c r="AB3443" s="1008"/>
      <c r="AC3443" s="1008"/>
      <c r="AD3443" s="1008"/>
      <c r="AE3443" s="1008"/>
      <c r="AF3443" s="1008"/>
      <c r="AG3443" s="1008" t="s">
        <v>670</v>
      </c>
      <c r="AH3443" s="1008"/>
      <c r="AI3443" s="1008"/>
    </row>
    <row r="3444" spans="1:35">
      <c r="A3444" s="1008">
        <v>27880</v>
      </c>
      <c r="B3444" s="1008">
        <v>6658</v>
      </c>
      <c r="C3444" s="1008">
        <v>7</v>
      </c>
      <c r="D3444" s="1009">
        <v>71189999</v>
      </c>
      <c r="E3444" s="1009">
        <v>71174000</v>
      </c>
      <c r="F3444" s="1007" t="s">
        <v>1477</v>
      </c>
      <c r="G3444" s="1007" t="s">
        <v>648</v>
      </c>
      <c r="H3444" s="1010">
        <v>99999999</v>
      </c>
      <c r="I3444" s="1009">
        <v>71174000</v>
      </c>
      <c r="J3444" s="1007" t="s">
        <v>1477</v>
      </c>
      <c r="O3444" s="1007" t="s">
        <v>648</v>
      </c>
      <c r="P3444" s="1007" t="s">
        <v>648</v>
      </c>
      <c r="S3444" s="1008" t="s">
        <v>650</v>
      </c>
      <c r="T3444" s="1008" t="s">
        <v>654</v>
      </c>
      <c r="U3444" s="1008" t="s">
        <v>653</v>
      </c>
      <c r="V3444" s="1008" t="s">
        <v>648</v>
      </c>
      <c r="W3444" s="1008" t="s">
        <v>546</v>
      </c>
      <c r="X3444" s="1008" t="s">
        <v>670</v>
      </c>
      <c r="Y3444" s="1008"/>
      <c r="Z3444" s="1008"/>
      <c r="AA3444" s="1008" t="s">
        <v>670</v>
      </c>
      <c r="AB3444" s="1008"/>
      <c r="AC3444" s="1008"/>
      <c r="AD3444" s="1008"/>
      <c r="AE3444" s="1008"/>
      <c r="AF3444" s="1008"/>
      <c r="AG3444" s="1008" t="s">
        <v>670</v>
      </c>
      <c r="AH3444" s="1008"/>
      <c r="AI3444" s="1008"/>
    </row>
    <row r="3445" spans="1:35">
      <c r="A3445" s="1008">
        <v>27881</v>
      </c>
      <c r="B3445" s="1008">
        <v>6659</v>
      </c>
      <c r="C3445" s="1008">
        <v>7</v>
      </c>
      <c r="D3445" s="1009">
        <v>71189999</v>
      </c>
      <c r="E3445" s="1009">
        <v>71175000</v>
      </c>
      <c r="F3445" s="1007" t="s">
        <v>1476</v>
      </c>
      <c r="G3445" s="1007" t="s">
        <v>648</v>
      </c>
      <c r="H3445" s="1010">
        <v>99999999</v>
      </c>
      <c r="I3445" s="1009">
        <v>71175000</v>
      </c>
      <c r="J3445" s="1007" t="s">
        <v>1476</v>
      </c>
      <c r="O3445" s="1007" t="s">
        <v>648</v>
      </c>
      <c r="P3445" s="1007" t="s">
        <v>648</v>
      </c>
      <c r="S3445" s="1008" t="s">
        <v>650</v>
      </c>
      <c r="T3445" s="1008" t="s">
        <v>654</v>
      </c>
      <c r="U3445" s="1008" t="s">
        <v>653</v>
      </c>
      <c r="V3445" s="1008" t="s">
        <v>648</v>
      </c>
      <c r="W3445" s="1008" t="s">
        <v>546</v>
      </c>
      <c r="X3445" s="1008" t="s">
        <v>670</v>
      </c>
      <c r="Y3445" s="1008"/>
      <c r="Z3445" s="1008"/>
      <c r="AA3445" s="1008" t="s">
        <v>670</v>
      </c>
      <c r="AB3445" s="1008"/>
      <c r="AC3445" s="1008"/>
      <c r="AD3445" s="1008"/>
      <c r="AE3445" s="1008"/>
      <c r="AF3445" s="1008"/>
      <c r="AG3445" s="1008" t="s">
        <v>670</v>
      </c>
      <c r="AH3445" s="1008"/>
      <c r="AI3445" s="1008"/>
    </row>
    <row r="3446" spans="1:35">
      <c r="A3446" s="1008">
        <v>27882</v>
      </c>
      <c r="B3446" s="1008">
        <v>6660</v>
      </c>
      <c r="C3446" s="1008">
        <v>7</v>
      </c>
      <c r="D3446" s="1009">
        <v>71189999</v>
      </c>
      <c r="E3446" s="1009">
        <v>71176000</v>
      </c>
      <c r="F3446" s="1007" t="s">
        <v>1475</v>
      </c>
      <c r="G3446" s="1007" t="s">
        <v>648</v>
      </c>
      <c r="H3446" s="1010">
        <v>99999999</v>
      </c>
      <c r="I3446" s="1009">
        <v>71176000</v>
      </c>
      <c r="J3446" s="1007" t="s">
        <v>1475</v>
      </c>
      <c r="O3446" s="1007" t="s">
        <v>648</v>
      </c>
      <c r="P3446" s="1007" t="s">
        <v>648</v>
      </c>
      <c r="S3446" s="1008" t="s">
        <v>650</v>
      </c>
      <c r="T3446" s="1008" t="s">
        <v>654</v>
      </c>
      <c r="U3446" s="1008" t="s">
        <v>653</v>
      </c>
      <c r="V3446" s="1008" t="s">
        <v>648</v>
      </c>
      <c r="W3446" s="1008" t="s">
        <v>546</v>
      </c>
      <c r="X3446" s="1008" t="s">
        <v>670</v>
      </c>
      <c r="Y3446" s="1008"/>
      <c r="Z3446" s="1008"/>
      <c r="AA3446" s="1008" t="s">
        <v>670</v>
      </c>
      <c r="AB3446" s="1008"/>
      <c r="AC3446" s="1008"/>
      <c r="AD3446" s="1008"/>
      <c r="AE3446" s="1008"/>
      <c r="AF3446" s="1008"/>
      <c r="AG3446" s="1008" t="s">
        <v>670</v>
      </c>
      <c r="AH3446" s="1008"/>
      <c r="AI3446" s="1008"/>
    </row>
    <row r="3447" spans="1:35">
      <c r="A3447" s="1008">
        <v>27883</v>
      </c>
      <c r="B3447" s="1008">
        <v>6661</v>
      </c>
      <c r="C3447" s="1008">
        <v>7</v>
      </c>
      <c r="D3447" s="1009">
        <v>71189999</v>
      </c>
      <c r="E3447" s="1009">
        <v>71177000</v>
      </c>
      <c r="F3447" s="1007" t="s">
        <v>1474</v>
      </c>
      <c r="G3447" s="1007" t="s">
        <v>648</v>
      </c>
      <c r="H3447" s="1010">
        <v>99999999</v>
      </c>
      <c r="I3447" s="1009">
        <v>71177000</v>
      </c>
      <c r="J3447" s="1007" t="s">
        <v>1474</v>
      </c>
      <c r="O3447" s="1007" t="s">
        <v>648</v>
      </c>
      <c r="P3447" s="1007" t="s">
        <v>648</v>
      </c>
      <c r="S3447" s="1008" t="s">
        <v>650</v>
      </c>
      <c r="T3447" s="1008" t="s">
        <v>654</v>
      </c>
      <c r="U3447" s="1008" t="s">
        <v>653</v>
      </c>
      <c r="V3447" s="1008" t="s">
        <v>648</v>
      </c>
      <c r="W3447" s="1008" t="s">
        <v>546</v>
      </c>
      <c r="X3447" s="1008" t="s">
        <v>670</v>
      </c>
      <c r="Y3447" s="1008"/>
      <c r="Z3447" s="1008"/>
      <c r="AA3447" s="1008" t="s">
        <v>670</v>
      </c>
      <c r="AB3447" s="1008"/>
      <c r="AC3447" s="1008"/>
      <c r="AD3447" s="1008"/>
      <c r="AE3447" s="1008"/>
      <c r="AF3447" s="1008"/>
      <c r="AG3447" s="1008" t="s">
        <v>670</v>
      </c>
      <c r="AH3447" s="1008"/>
      <c r="AI3447" s="1008"/>
    </row>
    <row r="3448" spans="1:35">
      <c r="A3448" s="1008">
        <v>27884</v>
      </c>
      <c r="B3448" s="1008">
        <v>6662</v>
      </c>
      <c r="C3448" s="1008">
        <v>7</v>
      </c>
      <c r="D3448" s="1009">
        <v>71189999</v>
      </c>
      <c r="E3448" s="1009">
        <v>71178000</v>
      </c>
      <c r="F3448" s="1007" t="s">
        <v>1473</v>
      </c>
      <c r="G3448" s="1007" t="s">
        <v>648</v>
      </c>
      <c r="H3448" s="1010">
        <v>99999999</v>
      </c>
      <c r="I3448" s="1009">
        <v>71178000</v>
      </c>
      <c r="J3448" s="1007" t="s">
        <v>1473</v>
      </c>
      <c r="O3448" s="1007" t="s">
        <v>648</v>
      </c>
      <c r="P3448" s="1007" t="s">
        <v>648</v>
      </c>
      <c r="S3448" s="1008" t="s">
        <v>650</v>
      </c>
      <c r="T3448" s="1008" t="s">
        <v>654</v>
      </c>
      <c r="U3448" s="1008" t="s">
        <v>653</v>
      </c>
      <c r="V3448" s="1008" t="s">
        <v>648</v>
      </c>
      <c r="W3448" s="1008" t="s">
        <v>546</v>
      </c>
      <c r="X3448" s="1008" t="s">
        <v>670</v>
      </c>
      <c r="Y3448" s="1008"/>
      <c r="Z3448" s="1008"/>
      <c r="AA3448" s="1008" t="s">
        <v>670</v>
      </c>
      <c r="AB3448" s="1008"/>
      <c r="AC3448" s="1008"/>
      <c r="AD3448" s="1008"/>
      <c r="AE3448" s="1008"/>
      <c r="AF3448" s="1008"/>
      <c r="AG3448" s="1008" t="s">
        <v>670</v>
      </c>
      <c r="AH3448" s="1008"/>
      <c r="AI3448" s="1008"/>
    </row>
    <row r="3449" spans="1:35">
      <c r="A3449" s="1008">
        <v>27885</v>
      </c>
      <c r="C3449" s="1008">
        <v>6</v>
      </c>
      <c r="D3449" s="1009">
        <v>71199999</v>
      </c>
      <c r="E3449" s="1009">
        <v>71189999</v>
      </c>
      <c r="F3449" s="1007" t="s">
        <v>1472</v>
      </c>
      <c r="O3449" s="1007" t="s">
        <v>648</v>
      </c>
      <c r="P3449" s="1007" t="s">
        <v>648</v>
      </c>
      <c r="S3449" s="1008" t="s">
        <v>650</v>
      </c>
      <c r="T3449" s="1008" t="s">
        <v>21</v>
      </c>
      <c r="U3449" s="1008" t="s">
        <v>653</v>
      </c>
      <c r="V3449" s="1008" t="s">
        <v>648</v>
      </c>
      <c r="W3449" s="1008" t="s">
        <v>546</v>
      </c>
      <c r="X3449" s="1008"/>
      <c r="Y3449" s="1008"/>
      <c r="Z3449" s="1008"/>
      <c r="AA3449" s="1008"/>
      <c r="AB3449" s="1008"/>
      <c r="AC3449" s="1008"/>
      <c r="AD3449" s="1008"/>
      <c r="AE3449" s="1008"/>
      <c r="AF3449" s="1008"/>
      <c r="AG3449" s="1008"/>
      <c r="AH3449" s="1008"/>
      <c r="AI3449" s="1008"/>
    </row>
    <row r="3450" spans="1:35">
      <c r="A3450" s="1008">
        <v>27886</v>
      </c>
      <c r="C3450" s="1008">
        <v>6</v>
      </c>
      <c r="D3450" s="1009">
        <v>71199000</v>
      </c>
      <c r="E3450" s="1009">
        <v>71190000</v>
      </c>
      <c r="F3450" s="1007" t="s">
        <v>1471</v>
      </c>
      <c r="O3450" s="1007" t="s">
        <v>648</v>
      </c>
      <c r="P3450" s="1007" t="s">
        <v>648</v>
      </c>
      <c r="S3450" s="1008" t="s">
        <v>650</v>
      </c>
      <c r="T3450" s="1008" t="s">
        <v>675</v>
      </c>
      <c r="U3450" s="1008" t="s">
        <v>653</v>
      </c>
      <c r="V3450" s="1008" t="s">
        <v>648</v>
      </c>
      <c r="W3450" s="1008" t="s">
        <v>546</v>
      </c>
      <c r="X3450" s="1008"/>
      <c r="Y3450" s="1008"/>
      <c r="Z3450" s="1008"/>
      <c r="AA3450" s="1008"/>
      <c r="AB3450" s="1008"/>
      <c r="AC3450" s="1008"/>
      <c r="AD3450" s="1008"/>
      <c r="AE3450" s="1008"/>
      <c r="AF3450" s="1008"/>
      <c r="AG3450" s="1008"/>
      <c r="AH3450" s="1008"/>
      <c r="AI3450" s="1008"/>
    </row>
    <row r="3451" spans="1:35">
      <c r="A3451" s="1008">
        <v>27887</v>
      </c>
      <c r="B3451" s="1008">
        <v>6663</v>
      </c>
      <c r="C3451" s="1008">
        <v>7</v>
      </c>
      <c r="D3451" s="1009">
        <v>71199000</v>
      </c>
      <c r="E3451" s="1009">
        <v>71192000</v>
      </c>
      <c r="F3451" s="1007" t="s">
        <v>1470</v>
      </c>
      <c r="G3451" s="1007" t="s">
        <v>648</v>
      </c>
      <c r="H3451" s="1010">
        <v>99999999</v>
      </c>
      <c r="I3451" s="1009">
        <v>71192000</v>
      </c>
      <c r="J3451" s="1007" t="s">
        <v>1470</v>
      </c>
      <c r="O3451" s="1007" t="s">
        <v>648</v>
      </c>
      <c r="P3451" s="1007" t="s">
        <v>648</v>
      </c>
      <c r="S3451" s="1008" t="s">
        <v>650</v>
      </c>
      <c r="T3451" s="1008" t="s">
        <v>654</v>
      </c>
      <c r="U3451" s="1008" t="s">
        <v>653</v>
      </c>
      <c r="V3451" s="1008" t="s">
        <v>648</v>
      </c>
      <c r="W3451" s="1008" t="s">
        <v>546</v>
      </c>
      <c r="X3451" s="1008" t="s">
        <v>670</v>
      </c>
      <c r="Y3451" s="1008"/>
      <c r="Z3451" s="1008"/>
      <c r="AA3451" s="1008" t="s">
        <v>670</v>
      </c>
      <c r="AB3451" s="1008"/>
      <c r="AC3451" s="1008"/>
      <c r="AD3451" s="1008"/>
      <c r="AE3451" s="1008"/>
      <c r="AF3451" s="1008"/>
      <c r="AG3451" s="1008" t="s">
        <v>670</v>
      </c>
      <c r="AH3451" s="1008"/>
      <c r="AI3451" s="1008"/>
    </row>
    <row r="3452" spans="1:35">
      <c r="A3452" s="1008">
        <v>27888</v>
      </c>
      <c r="B3452" s="1008">
        <v>6664</v>
      </c>
      <c r="C3452" s="1008">
        <v>7</v>
      </c>
      <c r="D3452" s="1009">
        <v>71199000</v>
      </c>
      <c r="E3452" s="1009">
        <v>71193000</v>
      </c>
      <c r="F3452" s="1007" t="s">
        <v>1469</v>
      </c>
      <c r="G3452" s="1007" t="s">
        <v>648</v>
      </c>
      <c r="H3452" s="1010">
        <v>99999999</v>
      </c>
      <c r="I3452" s="1009">
        <v>71193000</v>
      </c>
      <c r="J3452" s="1007" t="s">
        <v>1469</v>
      </c>
      <c r="O3452" s="1007" t="s">
        <v>648</v>
      </c>
      <c r="P3452" s="1007" t="s">
        <v>648</v>
      </c>
      <c r="S3452" s="1008" t="s">
        <v>650</v>
      </c>
      <c r="T3452" s="1008" t="s">
        <v>654</v>
      </c>
      <c r="U3452" s="1008" t="s">
        <v>653</v>
      </c>
      <c r="V3452" s="1008" t="s">
        <v>648</v>
      </c>
      <c r="W3452" s="1008" t="s">
        <v>546</v>
      </c>
      <c r="X3452" s="1008" t="s">
        <v>670</v>
      </c>
      <c r="Y3452" s="1008"/>
      <c r="Z3452" s="1008"/>
      <c r="AA3452" s="1008" t="s">
        <v>670</v>
      </c>
      <c r="AB3452" s="1008"/>
      <c r="AC3452" s="1008"/>
      <c r="AD3452" s="1008"/>
      <c r="AE3452" s="1008"/>
      <c r="AF3452" s="1008"/>
      <c r="AG3452" s="1008" t="s">
        <v>670</v>
      </c>
      <c r="AH3452" s="1008"/>
      <c r="AI3452" s="1008"/>
    </row>
    <row r="3453" spans="1:35">
      <c r="A3453" s="1008">
        <v>27889</v>
      </c>
      <c r="C3453" s="1008">
        <v>6</v>
      </c>
      <c r="D3453" s="1009">
        <v>71199999</v>
      </c>
      <c r="E3453" s="1009">
        <v>71199000</v>
      </c>
      <c r="F3453" s="1007" t="s">
        <v>1468</v>
      </c>
      <c r="O3453" s="1007" t="s">
        <v>648</v>
      </c>
      <c r="P3453" s="1007" t="s">
        <v>648</v>
      </c>
      <c r="S3453" s="1008" t="s">
        <v>650</v>
      </c>
      <c r="T3453" s="1008" t="s">
        <v>21</v>
      </c>
      <c r="U3453" s="1008" t="s">
        <v>653</v>
      </c>
      <c r="V3453" s="1008" t="s">
        <v>648</v>
      </c>
      <c r="W3453" s="1008" t="s">
        <v>546</v>
      </c>
      <c r="X3453" s="1008"/>
      <c r="Y3453" s="1008"/>
      <c r="Z3453" s="1008"/>
      <c r="AA3453" s="1008"/>
      <c r="AB3453" s="1008"/>
      <c r="AC3453" s="1008"/>
      <c r="AD3453" s="1008"/>
      <c r="AE3453" s="1008"/>
      <c r="AF3453" s="1008"/>
      <c r="AG3453" s="1008"/>
      <c r="AH3453" s="1008"/>
      <c r="AI3453" s="1008"/>
    </row>
    <row r="3454" spans="1:35">
      <c r="A3454" s="1008">
        <v>27890</v>
      </c>
      <c r="C3454" s="1008">
        <v>5</v>
      </c>
      <c r="D3454" s="1009">
        <v>79999990</v>
      </c>
      <c r="E3454" s="1009">
        <v>71199999</v>
      </c>
      <c r="F3454" s="1007" t="s">
        <v>1467</v>
      </c>
      <c r="O3454" s="1007" t="s">
        <v>648</v>
      </c>
      <c r="P3454" s="1007" t="s">
        <v>648</v>
      </c>
      <c r="S3454" s="1008" t="s">
        <v>650</v>
      </c>
      <c r="T3454" s="1008" t="s">
        <v>21</v>
      </c>
      <c r="U3454" s="1008" t="s">
        <v>653</v>
      </c>
      <c r="V3454" s="1008" t="s">
        <v>648</v>
      </c>
      <c r="W3454" s="1008" t="s">
        <v>546</v>
      </c>
      <c r="X3454" s="1008"/>
      <c r="Y3454" s="1008"/>
      <c r="Z3454" s="1008"/>
      <c r="AA3454" s="1008"/>
      <c r="AB3454" s="1008"/>
      <c r="AC3454" s="1008"/>
      <c r="AD3454" s="1008"/>
      <c r="AE3454" s="1008"/>
      <c r="AF3454" s="1008"/>
      <c r="AG3454" s="1008"/>
      <c r="AH3454" s="1008"/>
      <c r="AI3454" s="1008"/>
    </row>
    <row r="3455" spans="1:35">
      <c r="A3455" s="1008">
        <v>27891</v>
      </c>
      <c r="C3455" s="1008">
        <v>5</v>
      </c>
      <c r="D3455" s="1009">
        <v>72199999</v>
      </c>
      <c r="E3455" s="1009">
        <v>72000000</v>
      </c>
      <c r="F3455" s="1007" t="s">
        <v>1466</v>
      </c>
      <c r="O3455" s="1007" t="s">
        <v>648</v>
      </c>
      <c r="P3455" s="1007" t="s">
        <v>648</v>
      </c>
      <c r="S3455" s="1008" t="s">
        <v>650</v>
      </c>
      <c r="T3455" s="1008" t="s">
        <v>675</v>
      </c>
      <c r="U3455" s="1008" t="s">
        <v>653</v>
      </c>
      <c r="V3455" s="1008" t="s">
        <v>648</v>
      </c>
      <c r="W3455" s="1008" t="s">
        <v>546</v>
      </c>
      <c r="X3455" s="1008"/>
      <c r="Y3455" s="1008"/>
      <c r="Z3455" s="1008"/>
      <c r="AA3455" s="1008"/>
      <c r="AB3455" s="1008"/>
      <c r="AC3455" s="1008"/>
      <c r="AD3455" s="1008"/>
      <c r="AE3455" s="1008"/>
      <c r="AF3455" s="1008"/>
      <c r="AG3455" s="1008"/>
      <c r="AH3455" s="1008"/>
      <c r="AI3455" s="1008"/>
    </row>
    <row r="3456" spans="1:35">
      <c r="A3456" s="1008">
        <v>27892</v>
      </c>
      <c r="C3456" s="1008">
        <v>6</v>
      </c>
      <c r="D3456" s="1009">
        <v>72019999</v>
      </c>
      <c r="E3456" s="1009">
        <v>72010000</v>
      </c>
      <c r="F3456" s="1007" t="s">
        <v>66</v>
      </c>
      <c r="O3456" s="1007" t="s">
        <v>648</v>
      </c>
      <c r="P3456" s="1007" t="s">
        <v>648</v>
      </c>
      <c r="S3456" s="1008" t="s">
        <v>650</v>
      </c>
      <c r="T3456" s="1008" t="s">
        <v>675</v>
      </c>
      <c r="U3456" s="1008" t="s">
        <v>653</v>
      </c>
      <c r="V3456" s="1008" t="s">
        <v>648</v>
      </c>
      <c r="W3456" s="1008" t="s">
        <v>546</v>
      </c>
      <c r="X3456" s="1008"/>
      <c r="Y3456" s="1008"/>
      <c r="Z3456" s="1008"/>
      <c r="AA3456" s="1008"/>
      <c r="AB3456" s="1008"/>
      <c r="AC3456" s="1008"/>
      <c r="AD3456" s="1008"/>
      <c r="AE3456" s="1008"/>
      <c r="AF3456" s="1008"/>
      <c r="AG3456" s="1008"/>
      <c r="AH3456" s="1008"/>
      <c r="AI3456" s="1008"/>
    </row>
    <row r="3457" spans="1:35">
      <c r="A3457" s="1008">
        <v>27893</v>
      </c>
      <c r="B3457" s="1008">
        <v>6665</v>
      </c>
      <c r="C3457" s="1008">
        <v>7</v>
      </c>
      <c r="D3457" s="1009">
        <v>72019999</v>
      </c>
      <c r="E3457" s="1009">
        <v>72011000</v>
      </c>
      <c r="F3457" s="1007" t="s">
        <v>66</v>
      </c>
      <c r="G3457" s="1007" t="s">
        <v>648</v>
      </c>
      <c r="H3457" s="1010">
        <v>99999999</v>
      </c>
      <c r="I3457" s="1009">
        <v>72011000</v>
      </c>
      <c r="J3457" s="1007" t="s">
        <v>66</v>
      </c>
      <c r="O3457" s="1007" t="s">
        <v>648</v>
      </c>
      <c r="P3457" s="1007" t="s">
        <v>648</v>
      </c>
      <c r="S3457" s="1008" t="s">
        <v>650</v>
      </c>
      <c r="T3457" s="1008" t="s">
        <v>654</v>
      </c>
      <c r="U3457" s="1008" t="s">
        <v>653</v>
      </c>
      <c r="V3457" s="1008" t="s">
        <v>648</v>
      </c>
      <c r="W3457" s="1008" t="s">
        <v>546</v>
      </c>
      <c r="X3457" s="1008" t="s">
        <v>670</v>
      </c>
      <c r="Y3457" s="1008"/>
      <c r="Z3457" s="1008"/>
      <c r="AA3457" s="1008" t="s">
        <v>670</v>
      </c>
      <c r="AB3457" s="1008"/>
      <c r="AC3457" s="1008"/>
      <c r="AD3457" s="1008"/>
      <c r="AE3457" s="1008"/>
      <c r="AF3457" s="1008"/>
      <c r="AG3457" s="1008" t="s">
        <v>670</v>
      </c>
      <c r="AH3457" s="1008"/>
      <c r="AI3457" s="1008"/>
    </row>
    <row r="3458" spans="1:35">
      <c r="A3458" s="1008">
        <v>27894</v>
      </c>
      <c r="B3458" s="1008">
        <v>6666</v>
      </c>
      <c r="C3458" s="1008">
        <v>7</v>
      </c>
      <c r="D3458" s="1009">
        <v>72019999</v>
      </c>
      <c r="E3458" s="1009">
        <v>72013000</v>
      </c>
      <c r="F3458" s="1007" t="s">
        <v>1465</v>
      </c>
      <c r="G3458" s="1007" t="s">
        <v>648</v>
      </c>
      <c r="H3458" s="1010">
        <v>99999999</v>
      </c>
      <c r="I3458" s="1009">
        <v>72013000</v>
      </c>
      <c r="J3458" s="1007" t="s">
        <v>1465</v>
      </c>
      <c r="O3458" s="1007" t="s">
        <v>648</v>
      </c>
      <c r="P3458" s="1007" t="s">
        <v>648</v>
      </c>
      <c r="S3458" s="1008" t="s">
        <v>650</v>
      </c>
      <c r="T3458" s="1008" t="s">
        <v>654</v>
      </c>
      <c r="U3458" s="1008" t="s">
        <v>653</v>
      </c>
      <c r="V3458" s="1008" t="s">
        <v>648</v>
      </c>
      <c r="W3458" s="1008" t="s">
        <v>546</v>
      </c>
      <c r="X3458" s="1008" t="s">
        <v>670</v>
      </c>
      <c r="Y3458" s="1008"/>
      <c r="Z3458" s="1008"/>
      <c r="AA3458" s="1008" t="s">
        <v>670</v>
      </c>
      <c r="AB3458" s="1008"/>
      <c r="AC3458" s="1008"/>
      <c r="AD3458" s="1008"/>
      <c r="AE3458" s="1008"/>
      <c r="AF3458" s="1008"/>
      <c r="AG3458" s="1008" t="s">
        <v>670</v>
      </c>
      <c r="AH3458" s="1008"/>
      <c r="AI3458" s="1008"/>
    </row>
    <row r="3459" spans="1:35">
      <c r="A3459" s="1008">
        <v>27895</v>
      </c>
      <c r="B3459" s="1008">
        <v>6667</v>
      </c>
      <c r="C3459" s="1008">
        <v>7</v>
      </c>
      <c r="D3459" s="1009">
        <v>72019999</v>
      </c>
      <c r="E3459" s="1009">
        <v>72014000</v>
      </c>
      <c r="F3459" s="1007" t="s">
        <v>1464</v>
      </c>
      <c r="G3459" s="1007" t="s">
        <v>648</v>
      </c>
      <c r="H3459" s="1010">
        <v>99999999</v>
      </c>
      <c r="I3459" s="1009">
        <v>72014000</v>
      </c>
      <c r="J3459" s="1007" t="s">
        <v>1464</v>
      </c>
      <c r="O3459" s="1007" t="s">
        <v>648</v>
      </c>
      <c r="P3459" s="1007" t="s">
        <v>648</v>
      </c>
      <c r="S3459" s="1008" t="s">
        <v>650</v>
      </c>
      <c r="T3459" s="1008" t="s">
        <v>654</v>
      </c>
      <c r="U3459" s="1008" t="s">
        <v>653</v>
      </c>
      <c r="V3459" s="1008" t="s">
        <v>648</v>
      </c>
      <c r="W3459" s="1008" t="s">
        <v>546</v>
      </c>
      <c r="X3459" s="1008" t="s">
        <v>670</v>
      </c>
      <c r="Y3459" s="1008"/>
      <c r="Z3459" s="1008"/>
      <c r="AA3459" s="1008" t="s">
        <v>670</v>
      </c>
      <c r="AB3459" s="1008"/>
      <c r="AC3459" s="1008"/>
      <c r="AD3459" s="1008"/>
      <c r="AE3459" s="1008"/>
      <c r="AF3459" s="1008"/>
      <c r="AG3459" s="1008" t="s">
        <v>670</v>
      </c>
      <c r="AH3459" s="1008"/>
      <c r="AI3459" s="1008"/>
    </row>
    <row r="3460" spans="1:35">
      <c r="A3460" s="1008">
        <v>27896</v>
      </c>
      <c r="B3460" s="1008">
        <v>6668</v>
      </c>
      <c r="C3460" s="1008">
        <v>7</v>
      </c>
      <c r="D3460" s="1009">
        <v>72019999</v>
      </c>
      <c r="E3460" s="1009">
        <v>72015000</v>
      </c>
      <c r="F3460" s="1007" t="s">
        <v>1463</v>
      </c>
      <c r="G3460" s="1007" t="s">
        <v>648</v>
      </c>
      <c r="H3460" s="1010">
        <v>99999999</v>
      </c>
      <c r="I3460" s="1009">
        <v>72015000</v>
      </c>
      <c r="J3460" s="1007" t="s">
        <v>1463</v>
      </c>
      <c r="O3460" s="1007" t="s">
        <v>648</v>
      </c>
      <c r="P3460" s="1007" t="s">
        <v>648</v>
      </c>
      <c r="S3460" s="1008" t="s">
        <v>650</v>
      </c>
      <c r="T3460" s="1008" t="s">
        <v>654</v>
      </c>
      <c r="U3460" s="1008" t="s">
        <v>653</v>
      </c>
      <c r="V3460" s="1008" t="s">
        <v>648</v>
      </c>
      <c r="W3460" s="1008" t="s">
        <v>546</v>
      </c>
      <c r="X3460" s="1008" t="s">
        <v>670</v>
      </c>
      <c r="Y3460" s="1008"/>
      <c r="Z3460" s="1008"/>
      <c r="AA3460" s="1008" t="s">
        <v>670</v>
      </c>
      <c r="AB3460" s="1008"/>
      <c r="AC3460" s="1008"/>
      <c r="AD3460" s="1008"/>
      <c r="AE3460" s="1008"/>
      <c r="AF3460" s="1008"/>
      <c r="AG3460" s="1008" t="s">
        <v>670</v>
      </c>
      <c r="AH3460" s="1008"/>
      <c r="AI3460" s="1008"/>
    </row>
    <row r="3461" spans="1:35">
      <c r="A3461" s="1008">
        <v>27897</v>
      </c>
      <c r="B3461" s="1008">
        <v>6669</v>
      </c>
      <c r="C3461" s="1008">
        <v>7</v>
      </c>
      <c r="D3461" s="1009">
        <v>73119999</v>
      </c>
      <c r="E3461" s="1009">
        <v>72016000</v>
      </c>
      <c r="F3461" s="1007" t="s">
        <v>1462</v>
      </c>
      <c r="G3461" s="1007" t="s">
        <v>648</v>
      </c>
      <c r="H3461" s="1010">
        <v>99999999</v>
      </c>
      <c r="I3461" s="1009">
        <v>72016000</v>
      </c>
      <c r="J3461" s="1007" t="s">
        <v>1462</v>
      </c>
      <c r="O3461" s="1007" t="s">
        <v>648</v>
      </c>
      <c r="P3461" s="1007" t="s">
        <v>648</v>
      </c>
      <c r="S3461" s="1008" t="s">
        <v>650</v>
      </c>
      <c r="T3461" s="1008" t="s">
        <v>654</v>
      </c>
      <c r="U3461" s="1008" t="s">
        <v>653</v>
      </c>
      <c r="V3461" s="1008" t="s">
        <v>648</v>
      </c>
      <c r="W3461" s="1008" t="s">
        <v>546</v>
      </c>
      <c r="X3461" s="1008" t="s">
        <v>670</v>
      </c>
      <c r="Y3461" s="1008"/>
      <c r="Z3461" s="1008"/>
      <c r="AA3461" s="1008" t="s">
        <v>670</v>
      </c>
      <c r="AB3461" s="1008"/>
      <c r="AC3461" s="1008"/>
      <c r="AD3461" s="1008"/>
      <c r="AE3461" s="1008"/>
      <c r="AF3461" s="1008"/>
      <c r="AG3461" s="1008" t="s">
        <v>670</v>
      </c>
      <c r="AH3461" s="1008"/>
      <c r="AI3461" s="1008"/>
    </row>
    <row r="3462" spans="1:35">
      <c r="A3462" s="1008">
        <v>27898</v>
      </c>
      <c r="C3462" s="1008">
        <v>6</v>
      </c>
      <c r="D3462" s="1009">
        <v>72199999</v>
      </c>
      <c r="E3462" s="1009">
        <v>72019999</v>
      </c>
      <c r="F3462" s="1007" t="s">
        <v>1461</v>
      </c>
      <c r="O3462" s="1007" t="s">
        <v>648</v>
      </c>
      <c r="P3462" s="1007" t="s">
        <v>648</v>
      </c>
      <c r="S3462" s="1008" t="s">
        <v>650</v>
      </c>
      <c r="T3462" s="1008" t="s">
        <v>21</v>
      </c>
      <c r="U3462" s="1008" t="s">
        <v>653</v>
      </c>
      <c r="V3462" s="1008" t="s">
        <v>648</v>
      </c>
      <c r="W3462" s="1008" t="s">
        <v>546</v>
      </c>
      <c r="X3462" s="1008"/>
      <c r="Y3462" s="1008"/>
      <c r="Z3462" s="1008"/>
      <c r="AA3462" s="1008"/>
      <c r="AB3462" s="1008"/>
      <c r="AC3462" s="1008"/>
      <c r="AD3462" s="1008"/>
      <c r="AE3462" s="1008"/>
      <c r="AF3462" s="1008"/>
      <c r="AG3462" s="1008"/>
      <c r="AH3462" s="1008"/>
      <c r="AI3462" s="1008"/>
    </row>
    <row r="3463" spans="1:35">
      <c r="A3463" s="1008">
        <v>27899</v>
      </c>
      <c r="C3463" s="1008">
        <v>6</v>
      </c>
      <c r="D3463" s="1009">
        <v>72039999</v>
      </c>
      <c r="E3463" s="1009">
        <v>72030000</v>
      </c>
      <c r="F3463" s="1007" t="s">
        <v>1460</v>
      </c>
      <c r="O3463" s="1007" t="s">
        <v>648</v>
      </c>
      <c r="P3463" s="1007" t="s">
        <v>648</v>
      </c>
      <c r="S3463" s="1008" t="s">
        <v>650</v>
      </c>
      <c r="T3463" s="1008" t="s">
        <v>675</v>
      </c>
      <c r="U3463" s="1008" t="s">
        <v>653</v>
      </c>
      <c r="V3463" s="1008" t="s">
        <v>648</v>
      </c>
      <c r="W3463" s="1008" t="s">
        <v>546</v>
      </c>
      <c r="X3463" s="1008"/>
      <c r="Y3463" s="1008"/>
      <c r="Z3463" s="1008"/>
      <c r="AA3463" s="1008"/>
      <c r="AB3463" s="1008"/>
      <c r="AC3463" s="1008"/>
      <c r="AD3463" s="1008"/>
      <c r="AE3463" s="1008"/>
      <c r="AF3463" s="1008"/>
      <c r="AG3463" s="1008"/>
      <c r="AH3463" s="1008"/>
      <c r="AI3463" s="1008"/>
    </row>
    <row r="3464" spans="1:35">
      <c r="A3464" s="1008">
        <v>27900</v>
      </c>
      <c r="B3464" s="1008">
        <v>6670</v>
      </c>
      <c r="C3464" s="1008">
        <v>7</v>
      </c>
      <c r="D3464" s="1009">
        <v>72039999</v>
      </c>
      <c r="E3464" s="1009">
        <v>72031000</v>
      </c>
      <c r="F3464" s="1007" t="s">
        <v>1459</v>
      </c>
      <c r="G3464" s="1007" t="s">
        <v>648</v>
      </c>
      <c r="H3464" s="1010">
        <v>99999999</v>
      </c>
      <c r="I3464" s="1009">
        <v>72031000</v>
      </c>
      <c r="J3464" s="1007" t="s">
        <v>1459</v>
      </c>
      <c r="O3464" s="1007" t="s">
        <v>648</v>
      </c>
      <c r="P3464" s="1007" t="s">
        <v>648</v>
      </c>
      <c r="S3464" s="1008" t="s">
        <v>650</v>
      </c>
      <c r="T3464" s="1008" t="s">
        <v>654</v>
      </c>
      <c r="U3464" s="1008" t="s">
        <v>653</v>
      </c>
      <c r="V3464" s="1008" t="s">
        <v>648</v>
      </c>
      <c r="W3464" s="1008" t="s">
        <v>546</v>
      </c>
      <c r="X3464" s="1008" t="s">
        <v>670</v>
      </c>
      <c r="Y3464" s="1008"/>
      <c r="Z3464" s="1008"/>
      <c r="AA3464" s="1008" t="s">
        <v>670</v>
      </c>
      <c r="AB3464" s="1008"/>
      <c r="AC3464" s="1008"/>
      <c r="AD3464" s="1008"/>
      <c r="AE3464" s="1008"/>
      <c r="AF3464" s="1008"/>
      <c r="AG3464" s="1008" t="s">
        <v>670</v>
      </c>
      <c r="AH3464" s="1008"/>
      <c r="AI3464" s="1008"/>
    </row>
    <row r="3465" spans="1:35">
      <c r="A3465" s="1008">
        <v>27901</v>
      </c>
      <c r="B3465" s="1008">
        <v>6671</v>
      </c>
      <c r="C3465" s="1008">
        <v>7</v>
      </c>
      <c r="D3465" s="1009">
        <v>72039999</v>
      </c>
      <c r="E3465" s="1009">
        <v>72032000</v>
      </c>
      <c r="F3465" s="1007" t="s">
        <v>1458</v>
      </c>
      <c r="G3465" s="1007" t="s">
        <v>648</v>
      </c>
      <c r="H3465" s="1010">
        <v>99999999</v>
      </c>
      <c r="I3465" s="1009">
        <v>72032000</v>
      </c>
      <c r="J3465" s="1007" t="s">
        <v>1458</v>
      </c>
      <c r="O3465" s="1007" t="s">
        <v>648</v>
      </c>
      <c r="P3465" s="1007" t="s">
        <v>648</v>
      </c>
      <c r="S3465" s="1008" t="s">
        <v>650</v>
      </c>
      <c r="T3465" s="1008" t="s">
        <v>654</v>
      </c>
      <c r="U3465" s="1008" t="s">
        <v>653</v>
      </c>
      <c r="V3465" s="1008" t="s">
        <v>648</v>
      </c>
      <c r="W3465" s="1008" t="s">
        <v>546</v>
      </c>
      <c r="X3465" s="1008" t="s">
        <v>670</v>
      </c>
      <c r="Y3465" s="1008"/>
      <c r="Z3465" s="1008"/>
      <c r="AA3465" s="1008" t="s">
        <v>670</v>
      </c>
      <c r="AB3465" s="1008"/>
      <c r="AC3465" s="1008"/>
      <c r="AD3465" s="1008"/>
      <c r="AE3465" s="1008"/>
      <c r="AF3465" s="1008"/>
      <c r="AG3465" s="1008" t="s">
        <v>670</v>
      </c>
      <c r="AH3465" s="1008"/>
      <c r="AI3465" s="1008"/>
    </row>
    <row r="3466" spans="1:35">
      <c r="A3466" s="1008">
        <v>27902</v>
      </c>
      <c r="B3466" s="1008">
        <v>6672</v>
      </c>
      <c r="C3466" s="1008">
        <v>7</v>
      </c>
      <c r="D3466" s="1009">
        <v>72039999</v>
      </c>
      <c r="E3466" s="1009">
        <v>72033000</v>
      </c>
      <c r="F3466" s="1007" t="s">
        <v>1457</v>
      </c>
      <c r="G3466" s="1007" t="s">
        <v>648</v>
      </c>
      <c r="H3466" s="1010">
        <v>99999999</v>
      </c>
      <c r="I3466" s="1009">
        <v>72033000</v>
      </c>
      <c r="J3466" s="1007" t="s">
        <v>1457</v>
      </c>
      <c r="O3466" s="1007" t="s">
        <v>648</v>
      </c>
      <c r="P3466" s="1007" t="s">
        <v>648</v>
      </c>
      <c r="S3466" s="1008" t="s">
        <v>650</v>
      </c>
      <c r="T3466" s="1008" t="s">
        <v>654</v>
      </c>
      <c r="U3466" s="1008" t="s">
        <v>653</v>
      </c>
      <c r="V3466" s="1008" t="s">
        <v>648</v>
      </c>
      <c r="W3466" s="1008" t="s">
        <v>546</v>
      </c>
      <c r="X3466" s="1008" t="s">
        <v>670</v>
      </c>
      <c r="Y3466" s="1008"/>
      <c r="Z3466" s="1008"/>
      <c r="AA3466" s="1008" t="s">
        <v>670</v>
      </c>
      <c r="AB3466" s="1008"/>
      <c r="AC3466" s="1008"/>
      <c r="AD3466" s="1008"/>
      <c r="AE3466" s="1008"/>
      <c r="AF3466" s="1008"/>
      <c r="AG3466" s="1008" t="s">
        <v>670</v>
      </c>
      <c r="AH3466" s="1008"/>
      <c r="AI3466" s="1008"/>
    </row>
    <row r="3467" spans="1:35">
      <c r="A3467" s="1008">
        <v>27903</v>
      </c>
      <c r="C3467" s="1008">
        <v>6</v>
      </c>
      <c r="D3467" s="1009">
        <v>72199999</v>
      </c>
      <c r="E3467" s="1009">
        <v>72039999</v>
      </c>
      <c r="F3467" s="1007" t="s">
        <v>1456</v>
      </c>
      <c r="O3467" s="1007" t="s">
        <v>648</v>
      </c>
      <c r="P3467" s="1007" t="s">
        <v>648</v>
      </c>
      <c r="S3467" s="1008" t="s">
        <v>650</v>
      </c>
      <c r="T3467" s="1008" t="s">
        <v>21</v>
      </c>
      <c r="U3467" s="1008" t="s">
        <v>653</v>
      </c>
      <c r="V3467" s="1008" t="s">
        <v>648</v>
      </c>
      <c r="W3467" s="1008" t="s">
        <v>546</v>
      </c>
      <c r="X3467" s="1008"/>
      <c r="Y3467" s="1008"/>
      <c r="Z3467" s="1008"/>
      <c r="AA3467" s="1008"/>
      <c r="AB3467" s="1008"/>
      <c r="AC3467" s="1008"/>
      <c r="AD3467" s="1008"/>
      <c r="AE3467" s="1008"/>
      <c r="AF3467" s="1008"/>
      <c r="AG3467" s="1008"/>
      <c r="AH3467" s="1008"/>
      <c r="AI3467" s="1008"/>
    </row>
    <row r="3468" spans="1:35">
      <c r="A3468" s="1008">
        <v>27904</v>
      </c>
      <c r="C3468" s="1008">
        <v>6</v>
      </c>
      <c r="D3468" s="1009">
        <v>72049999</v>
      </c>
      <c r="E3468" s="1009">
        <v>72040000</v>
      </c>
      <c r="F3468" s="1007" t="s">
        <v>1455</v>
      </c>
      <c r="O3468" s="1007" t="s">
        <v>648</v>
      </c>
      <c r="P3468" s="1007" t="s">
        <v>648</v>
      </c>
      <c r="S3468" s="1008" t="s">
        <v>650</v>
      </c>
      <c r="T3468" s="1008" t="s">
        <v>675</v>
      </c>
      <c r="U3468" s="1008" t="s">
        <v>653</v>
      </c>
      <c r="V3468" s="1008" t="s">
        <v>648</v>
      </c>
      <c r="W3468" s="1008" t="s">
        <v>546</v>
      </c>
      <c r="X3468" s="1008"/>
      <c r="Y3468" s="1008"/>
      <c r="Z3468" s="1008"/>
      <c r="AA3468" s="1008"/>
      <c r="AB3468" s="1008"/>
      <c r="AC3468" s="1008"/>
      <c r="AD3468" s="1008"/>
      <c r="AE3468" s="1008"/>
      <c r="AF3468" s="1008"/>
      <c r="AG3468" s="1008"/>
      <c r="AH3468" s="1008"/>
      <c r="AI3468" s="1008"/>
    </row>
    <row r="3469" spans="1:35">
      <c r="A3469" s="1008">
        <v>27905</v>
      </c>
      <c r="B3469" s="1008">
        <v>6673</v>
      </c>
      <c r="C3469" s="1008">
        <v>7</v>
      </c>
      <c r="D3469" s="1009">
        <v>72049999</v>
      </c>
      <c r="E3469" s="1009">
        <v>72041000</v>
      </c>
      <c r="F3469" s="1007" t="s">
        <v>1455</v>
      </c>
      <c r="G3469" s="1007" t="s">
        <v>648</v>
      </c>
      <c r="H3469" s="1010">
        <v>99999999</v>
      </c>
      <c r="I3469" s="1009">
        <v>72041000</v>
      </c>
      <c r="J3469" s="1007" t="s">
        <v>1455</v>
      </c>
      <c r="O3469" s="1007" t="s">
        <v>648</v>
      </c>
      <c r="P3469" s="1007" t="s">
        <v>648</v>
      </c>
      <c r="S3469" s="1008" t="s">
        <v>650</v>
      </c>
      <c r="T3469" s="1008" t="s">
        <v>654</v>
      </c>
      <c r="U3469" s="1008" t="s">
        <v>653</v>
      </c>
      <c r="V3469" s="1008" t="s">
        <v>648</v>
      </c>
      <c r="W3469" s="1008" t="s">
        <v>546</v>
      </c>
      <c r="X3469" s="1008" t="s">
        <v>670</v>
      </c>
      <c r="Y3469" s="1008"/>
      <c r="Z3469" s="1008"/>
      <c r="AA3469" s="1008" t="s">
        <v>670</v>
      </c>
      <c r="AB3469" s="1008"/>
      <c r="AC3469" s="1008"/>
      <c r="AD3469" s="1008"/>
      <c r="AE3469" s="1008"/>
      <c r="AF3469" s="1008"/>
      <c r="AG3469" s="1008" t="s">
        <v>670</v>
      </c>
      <c r="AH3469" s="1008"/>
      <c r="AI3469" s="1008"/>
    </row>
    <row r="3470" spans="1:35">
      <c r="A3470" s="1008">
        <v>27906</v>
      </c>
      <c r="B3470" s="1008">
        <v>6674</v>
      </c>
      <c r="C3470" s="1008">
        <v>7</v>
      </c>
      <c r="D3470" s="1009">
        <v>72049999</v>
      </c>
      <c r="E3470" s="1009">
        <v>72042000</v>
      </c>
      <c r="F3470" s="1007" t="s">
        <v>1454</v>
      </c>
      <c r="G3470" s="1007" t="s">
        <v>648</v>
      </c>
      <c r="H3470" s="1010">
        <v>99999999</v>
      </c>
      <c r="I3470" s="1009">
        <v>72042000</v>
      </c>
      <c r="J3470" s="1007" t="s">
        <v>1454</v>
      </c>
      <c r="O3470" s="1007" t="s">
        <v>648</v>
      </c>
      <c r="P3470" s="1007" t="s">
        <v>648</v>
      </c>
      <c r="S3470" s="1008" t="s">
        <v>650</v>
      </c>
      <c r="T3470" s="1008" t="s">
        <v>654</v>
      </c>
      <c r="U3470" s="1008" t="s">
        <v>653</v>
      </c>
      <c r="V3470" s="1008" t="s">
        <v>648</v>
      </c>
      <c r="W3470" s="1008" t="s">
        <v>546</v>
      </c>
      <c r="X3470" s="1008" t="s">
        <v>670</v>
      </c>
      <c r="Y3470" s="1008"/>
      <c r="Z3470" s="1008"/>
      <c r="AA3470" s="1008" t="s">
        <v>670</v>
      </c>
      <c r="AB3470" s="1008"/>
      <c r="AC3470" s="1008"/>
      <c r="AD3470" s="1008"/>
      <c r="AE3470" s="1008"/>
      <c r="AF3470" s="1008"/>
      <c r="AG3470" s="1008" t="s">
        <v>670</v>
      </c>
      <c r="AH3470" s="1008"/>
      <c r="AI3470" s="1008"/>
    </row>
    <row r="3471" spans="1:35">
      <c r="A3471" s="1008">
        <v>27907</v>
      </c>
      <c r="B3471" s="1008">
        <v>6675</v>
      </c>
      <c r="C3471" s="1008">
        <v>7</v>
      </c>
      <c r="D3471" s="1009">
        <v>72049999</v>
      </c>
      <c r="E3471" s="1009">
        <v>72043000</v>
      </c>
      <c r="F3471" s="1007" t="s">
        <v>1453</v>
      </c>
      <c r="G3471" s="1007" t="s">
        <v>648</v>
      </c>
      <c r="H3471" s="1010">
        <v>99999999</v>
      </c>
      <c r="I3471" s="1009">
        <v>72043000</v>
      </c>
      <c r="J3471" s="1007" t="s">
        <v>1453</v>
      </c>
      <c r="O3471" s="1007" t="s">
        <v>648</v>
      </c>
      <c r="P3471" s="1007" t="s">
        <v>648</v>
      </c>
      <c r="S3471" s="1008" t="s">
        <v>650</v>
      </c>
      <c r="T3471" s="1008" t="s">
        <v>654</v>
      </c>
      <c r="U3471" s="1008" t="s">
        <v>653</v>
      </c>
      <c r="V3471" s="1008" t="s">
        <v>648</v>
      </c>
      <c r="W3471" s="1008" t="s">
        <v>546</v>
      </c>
      <c r="X3471" s="1008" t="s">
        <v>670</v>
      </c>
      <c r="Y3471" s="1008"/>
      <c r="Z3471" s="1008"/>
      <c r="AA3471" s="1008" t="s">
        <v>670</v>
      </c>
      <c r="AB3471" s="1008"/>
      <c r="AC3471" s="1008"/>
      <c r="AD3471" s="1008"/>
      <c r="AE3471" s="1008"/>
      <c r="AF3471" s="1008"/>
      <c r="AG3471" s="1008" t="s">
        <v>670</v>
      </c>
      <c r="AH3471" s="1008"/>
      <c r="AI3471" s="1008"/>
    </row>
    <row r="3472" spans="1:35">
      <c r="A3472" s="1008">
        <v>27908</v>
      </c>
      <c r="C3472" s="1008">
        <v>6</v>
      </c>
      <c r="D3472" s="1009">
        <v>72199999</v>
      </c>
      <c r="E3472" s="1009">
        <v>72049999</v>
      </c>
      <c r="F3472" s="1007" t="s">
        <v>1452</v>
      </c>
      <c r="O3472" s="1007" t="s">
        <v>648</v>
      </c>
      <c r="P3472" s="1007" t="s">
        <v>648</v>
      </c>
      <c r="S3472" s="1008" t="s">
        <v>650</v>
      </c>
      <c r="T3472" s="1008" t="s">
        <v>21</v>
      </c>
      <c r="U3472" s="1008" t="s">
        <v>653</v>
      </c>
      <c r="V3472" s="1008" t="s">
        <v>648</v>
      </c>
      <c r="W3472" s="1008" t="s">
        <v>546</v>
      </c>
      <c r="X3472" s="1008"/>
      <c r="Y3472" s="1008"/>
      <c r="Z3472" s="1008"/>
      <c r="AA3472" s="1008"/>
      <c r="AB3472" s="1008"/>
      <c r="AC3472" s="1008"/>
      <c r="AD3472" s="1008"/>
      <c r="AE3472" s="1008"/>
      <c r="AF3472" s="1008"/>
      <c r="AG3472" s="1008"/>
      <c r="AH3472" s="1008"/>
      <c r="AI3472" s="1008"/>
    </row>
    <row r="3473" spans="1:35">
      <c r="A3473" s="1008">
        <v>27909</v>
      </c>
      <c r="C3473" s="1008">
        <v>6</v>
      </c>
      <c r="D3473" s="1009">
        <v>72059999</v>
      </c>
      <c r="E3473" s="1009">
        <v>72050000</v>
      </c>
      <c r="F3473" s="1007" t="s">
        <v>1451</v>
      </c>
      <c r="O3473" s="1007" t="s">
        <v>648</v>
      </c>
      <c r="P3473" s="1007" t="s">
        <v>648</v>
      </c>
      <c r="S3473" s="1008" t="s">
        <v>650</v>
      </c>
      <c r="T3473" s="1008" t="s">
        <v>675</v>
      </c>
      <c r="U3473" s="1008" t="s">
        <v>653</v>
      </c>
      <c r="V3473" s="1008" t="s">
        <v>648</v>
      </c>
      <c r="W3473" s="1008" t="s">
        <v>546</v>
      </c>
      <c r="X3473" s="1008"/>
      <c r="Y3473" s="1008"/>
      <c r="Z3473" s="1008"/>
      <c r="AA3473" s="1008"/>
      <c r="AB3473" s="1008"/>
      <c r="AC3473" s="1008"/>
      <c r="AD3473" s="1008"/>
      <c r="AE3473" s="1008"/>
      <c r="AF3473" s="1008"/>
      <c r="AG3473" s="1008"/>
      <c r="AH3473" s="1008"/>
      <c r="AI3473" s="1008"/>
    </row>
    <row r="3474" spans="1:35">
      <c r="A3474" s="1008">
        <v>27910</v>
      </c>
      <c r="B3474" s="1008">
        <v>6676</v>
      </c>
      <c r="C3474" s="1008">
        <v>7</v>
      </c>
      <c r="D3474" s="1009">
        <v>72059999</v>
      </c>
      <c r="E3474" s="1009">
        <v>72051000</v>
      </c>
      <c r="F3474" s="1007" t="s">
        <v>1450</v>
      </c>
      <c r="G3474" s="1007" t="s">
        <v>648</v>
      </c>
      <c r="H3474" s="1010">
        <v>99999999</v>
      </c>
      <c r="I3474" s="1009">
        <v>72051000</v>
      </c>
      <c r="J3474" s="1007" t="s">
        <v>1450</v>
      </c>
      <c r="O3474" s="1007" t="s">
        <v>648</v>
      </c>
      <c r="P3474" s="1007" t="s">
        <v>648</v>
      </c>
      <c r="S3474" s="1008" t="s">
        <v>650</v>
      </c>
      <c r="T3474" s="1008" t="s">
        <v>654</v>
      </c>
      <c r="U3474" s="1008" t="s">
        <v>653</v>
      </c>
      <c r="V3474" s="1008" t="s">
        <v>648</v>
      </c>
      <c r="W3474" s="1008" t="s">
        <v>546</v>
      </c>
      <c r="X3474" s="1008" t="s">
        <v>670</v>
      </c>
      <c r="Y3474" s="1008"/>
      <c r="Z3474" s="1008"/>
      <c r="AA3474" s="1008" t="s">
        <v>670</v>
      </c>
      <c r="AB3474" s="1008"/>
      <c r="AC3474" s="1008"/>
      <c r="AD3474" s="1008"/>
      <c r="AE3474" s="1008"/>
      <c r="AF3474" s="1008"/>
      <c r="AG3474" s="1008" t="s">
        <v>670</v>
      </c>
      <c r="AH3474" s="1008"/>
      <c r="AI3474" s="1008"/>
    </row>
    <row r="3475" spans="1:35">
      <c r="A3475" s="1008">
        <v>27911</v>
      </c>
      <c r="B3475" s="1008">
        <v>6677</v>
      </c>
      <c r="C3475" s="1008">
        <v>7</v>
      </c>
      <c r="D3475" s="1009">
        <v>72059999</v>
      </c>
      <c r="E3475" s="1009">
        <v>72052000</v>
      </c>
      <c r="F3475" s="1007" t="s">
        <v>1449</v>
      </c>
      <c r="G3475" s="1007" t="s">
        <v>648</v>
      </c>
      <c r="H3475" s="1010">
        <v>99999999</v>
      </c>
      <c r="I3475" s="1009">
        <v>72052000</v>
      </c>
      <c r="J3475" s="1007" t="s">
        <v>1449</v>
      </c>
      <c r="O3475" s="1007" t="s">
        <v>648</v>
      </c>
      <c r="P3475" s="1007" t="s">
        <v>648</v>
      </c>
      <c r="S3475" s="1008" t="s">
        <v>650</v>
      </c>
      <c r="T3475" s="1008" t="s">
        <v>654</v>
      </c>
      <c r="U3475" s="1008" t="s">
        <v>653</v>
      </c>
      <c r="V3475" s="1008" t="s">
        <v>648</v>
      </c>
      <c r="W3475" s="1008" t="s">
        <v>546</v>
      </c>
      <c r="X3475" s="1008" t="s">
        <v>670</v>
      </c>
      <c r="Y3475" s="1008"/>
      <c r="Z3475" s="1008"/>
      <c r="AA3475" s="1008" t="s">
        <v>670</v>
      </c>
      <c r="AB3475" s="1008"/>
      <c r="AC3475" s="1008"/>
      <c r="AD3475" s="1008"/>
      <c r="AE3475" s="1008"/>
      <c r="AF3475" s="1008"/>
      <c r="AG3475" s="1008" t="s">
        <v>670</v>
      </c>
      <c r="AH3475" s="1008"/>
      <c r="AI3475" s="1008"/>
    </row>
    <row r="3476" spans="1:35">
      <c r="A3476" s="1008">
        <v>27912</v>
      </c>
      <c r="B3476" s="1008">
        <v>6678</v>
      </c>
      <c r="C3476" s="1008">
        <v>7</v>
      </c>
      <c r="D3476" s="1009">
        <v>72059999</v>
      </c>
      <c r="E3476" s="1009">
        <v>72056000</v>
      </c>
      <c r="F3476" s="1007" t="s">
        <v>1448</v>
      </c>
      <c r="G3476" s="1007" t="s">
        <v>648</v>
      </c>
      <c r="H3476" s="1010">
        <v>99999999</v>
      </c>
      <c r="I3476" s="1009">
        <v>72056000</v>
      </c>
      <c r="J3476" s="1007" t="s">
        <v>1448</v>
      </c>
      <c r="O3476" s="1007" t="s">
        <v>648</v>
      </c>
      <c r="P3476" s="1007" t="s">
        <v>648</v>
      </c>
      <c r="S3476" s="1008" t="s">
        <v>650</v>
      </c>
      <c r="T3476" s="1008" t="s">
        <v>654</v>
      </c>
      <c r="U3476" s="1008" t="s">
        <v>653</v>
      </c>
      <c r="V3476" s="1008" t="s">
        <v>648</v>
      </c>
      <c r="W3476" s="1008" t="s">
        <v>546</v>
      </c>
      <c r="X3476" s="1008" t="s">
        <v>670</v>
      </c>
      <c r="Y3476" s="1008"/>
      <c r="Z3476" s="1008"/>
      <c r="AA3476" s="1008" t="s">
        <v>670</v>
      </c>
      <c r="AB3476" s="1008"/>
      <c r="AC3476" s="1008"/>
      <c r="AD3476" s="1008"/>
      <c r="AE3476" s="1008"/>
      <c r="AF3476" s="1008"/>
      <c r="AG3476" s="1008" t="s">
        <v>670</v>
      </c>
      <c r="AH3476" s="1008"/>
      <c r="AI3476" s="1008"/>
    </row>
    <row r="3477" spans="1:35">
      <c r="A3477" s="1008">
        <v>27913</v>
      </c>
      <c r="B3477" s="1008">
        <v>6679</v>
      </c>
      <c r="C3477" s="1008">
        <v>7</v>
      </c>
      <c r="D3477" s="1009">
        <v>72059999</v>
      </c>
      <c r="E3477" s="1009">
        <v>72057000</v>
      </c>
      <c r="F3477" s="1007" t="s">
        <v>1447</v>
      </c>
      <c r="G3477" s="1007" t="s">
        <v>648</v>
      </c>
      <c r="H3477" s="1010">
        <v>99999999</v>
      </c>
      <c r="I3477" s="1009">
        <v>72057000</v>
      </c>
      <c r="J3477" s="1007" t="s">
        <v>1447</v>
      </c>
      <c r="O3477" s="1007" t="s">
        <v>648</v>
      </c>
      <c r="P3477" s="1007" t="s">
        <v>648</v>
      </c>
      <c r="S3477" s="1008" t="s">
        <v>650</v>
      </c>
      <c r="T3477" s="1008" t="s">
        <v>654</v>
      </c>
      <c r="U3477" s="1008" t="s">
        <v>653</v>
      </c>
      <c r="V3477" s="1008" t="s">
        <v>648</v>
      </c>
      <c r="W3477" s="1008" t="s">
        <v>546</v>
      </c>
      <c r="X3477" s="1008" t="s">
        <v>670</v>
      </c>
      <c r="Y3477" s="1008"/>
      <c r="Z3477" s="1008"/>
      <c r="AA3477" s="1008" t="s">
        <v>670</v>
      </c>
      <c r="AB3477" s="1008"/>
      <c r="AC3477" s="1008"/>
      <c r="AD3477" s="1008"/>
      <c r="AE3477" s="1008"/>
      <c r="AF3477" s="1008"/>
      <c r="AG3477" s="1008" t="s">
        <v>670</v>
      </c>
      <c r="AH3477" s="1008"/>
      <c r="AI3477" s="1008"/>
    </row>
    <row r="3478" spans="1:35">
      <c r="A3478" s="1008">
        <v>27914</v>
      </c>
      <c r="B3478" s="1008">
        <v>6680</v>
      </c>
      <c r="C3478" s="1008">
        <v>7</v>
      </c>
      <c r="D3478" s="1009">
        <v>72059999</v>
      </c>
      <c r="E3478" s="1009">
        <v>72058000</v>
      </c>
      <c r="F3478" s="1007" t="s">
        <v>1446</v>
      </c>
      <c r="G3478" s="1007" t="s">
        <v>648</v>
      </c>
      <c r="H3478" s="1010">
        <v>99999999</v>
      </c>
      <c r="I3478" s="1009">
        <v>72058000</v>
      </c>
      <c r="J3478" s="1007" t="s">
        <v>1446</v>
      </c>
      <c r="O3478" s="1007" t="s">
        <v>648</v>
      </c>
      <c r="P3478" s="1007" t="s">
        <v>648</v>
      </c>
      <c r="S3478" s="1008" t="s">
        <v>650</v>
      </c>
      <c r="T3478" s="1008" t="s">
        <v>654</v>
      </c>
      <c r="U3478" s="1008" t="s">
        <v>653</v>
      </c>
      <c r="V3478" s="1008" t="s">
        <v>648</v>
      </c>
      <c r="W3478" s="1008" t="s">
        <v>546</v>
      </c>
      <c r="X3478" s="1008" t="s">
        <v>670</v>
      </c>
      <c r="Y3478" s="1008"/>
      <c r="Z3478" s="1008"/>
      <c r="AA3478" s="1008" t="s">
        <v>670</v>
      </c>
      <c r="AB3478" s="1008"/>
      <c r="AC3478" s="1008"/>
      <c r="AD3478" s="1008"/>
      <c r="AE3478" s="1008"/>
      <c r="AF3478" s="1008"/>
      <c r="AG3478" s="1008" t="s">
        <v>670</v>
      </c>
      <c r="AH3478" s="1008"/>
      <c r="AI3478" s="1008"/>
    </row>
    <row r="3479" spans="1:35">
      <c r="A3479" s="1008">
        <v>27915</v>
      </c>
      <c r="B3479" s="1008">
        <v>6681</v>
      </c>
      <c r="C3479" s="1008">
        <v>7</v>
      </c>
      <c r="D3479" s="1009">
        <v>72059999</v>
      </c>
      <c r="E3479" s="1009">
        <v>72059000</v>
      </c>
      <c r="F3479" s="1007" t="s">
        <v>1445</v>
      </c>
      <c r="G3479" s="1007" t="s">
        <v>648</v>
      </c>
      <c r="H3479" s="1010">
        <v>99999999</v>
      </c>
      <c r="I3479" s="1009">
        <v>72059000</v>
      </c>
      <c r="J3479" s="1007" t="s">
        <v>1445</v>
      </c>
      <c r="O3479" s="1007" t="s">
        <v>648</v>
      </c>
      <c r="P3479" s="1007" t="s">
        <v>648</v>
      </c>
      <c r="S3479" s="1008" t="s">
        <v>650</v>
      </c>
      <c r="T3479" s="1008" t="s">
        <v>654</v>
      </c>
      <c r="U3479" s="1008" t="s">
        <v>653</v>
      </c>
      <c r="V3479" s="1008" t="s">
        <v>648</v>
      </c>
      <c r="W3479" s="1008" t="s">
        <v>546</v>
      </c>
      <c r="X3479" s="1008" t="s">
        <v>670</v>
      </c>
      <c r="Y3479" s="1008"/>
      <c r="Z3479" s="1008"/>
      <c r="AA3479" s="1008" t="s">
        <v>670</v>
      </c>
      <c r="AB3479" s="1008"/>
      <c r="AC3479" s="1008"/>
      <c r="AD3479" s="1008"/>
      <c r="AE3479" s="1008"/>
      <c r="AF3479" s="1008"/>
      <c r="AG3479" s="1008" t="s">
        <v>670</v>
      </c>
      <c r="AH3479" s="1008"/>
      <c r="AI3479" s="1008"/>
    </row>
    <row r="3480" spans="1:35">
      <c r="A3480" s="1008">
        <v>27916</v>
      </c>
      <c r="C3480" s="1008">
        <v>6</v>
      </c>
      <c r="D3480" s="1009">
        <v>72199999</v>
      </c>
      <c r="E3480" s="1009">
        <v>72059999</v>
      </c>
      <c r="F3480" s="1007" t="s">
        <v>1444</v>
      </c>
      <c r="O3480" s="1007" t="s">
        <v>648</v>
      </c>
      <c r="P3480" s="1007" t="s">
        <v>648</v>
      </c>
      <c r="S3480" s="1008" t="s">
        <v>650</v>
      </c>
      <c r="T3480" s="1008" t="s">
        <v>21</v>
      </c>
      <c r="U3480" s="1008" t="s">
        <v>653</v>
      </c>
      <c r="V3480" s="1008" t="s">
        <v>648</v>
      </c>
      <c r="W3480" s="1008" t="s">
        <v>546</v>
      </c>
      <c r="X3480" s="1008"/>
      <c r="Y3480" s="1008"/>
      <c r="Z3480" s="1008"/>
      <c r="AA3480" s="1008"/>
      <c r="AB3480" s="1008"/>
      <c r="AC3480" s="1008"/>
      <c r="AD3480" s="1008"/>
      <c r="AE3480" s="1008"/>
      <c r="AF3480" s="1008"/>
      <c r="AG3480" s="1008"/>
      <c r="AH3480" s="1008"/>
      <c r="AI3480" s="1008"/>
    </row>
    <row r="3481" spans="1:35">
      <c r="A3481" s="1008">
        <v>27917</v>
      </c>
      <c r="C3481" s="1008">
        <v>6</v>
      </c>
      <c r="D3481" s="1009">
        <v>72089999</v>
      </c>
      <c r="E3481" s="1009">
        <v>72080000</v>
      </c>
      <c r="F3481" s="1007" t="s">
        <v>1443</v>
      </c>
      <c r="O3481" s="1007" t="s">
        <v>648</v>
      </c>
      <c r="P3481" s="1007" t="s">
        <v>648</v>
      </c>
      <c r="S3481" s="1008" t="s">
        <v>650</v>
      </c>
      <c r="T3481" s="1008" t="s">
        <v>675</v>
      </c>
      <c r="U3481" s="1008" t="s">
        <v>653</v>
      </c>
      <c r="V3481" s="1008" t="s">
        <v>648</v>
      </c>
      <c r="W3481" s="1008" t="s">
        <v>546</v>
      </c>
      <c r="X3481" s="1008"/>
      <c r="Y3481" s="1008"/>
      <c r="Z3481" s="1008"/>
      <c r="AA3481" s="1008"/>
      <c r="AB3481" s="1008"/>
      <c r="AC3481" s="1008"/>
      <c r="AD3481" s="1008"/>
      <c r="AE3481" s="1008"/>
      <c r="AF3481" s="1008"/>
      <c r="AG3481" s="1008"/>
      <c r="AH3481" s="1008"/>
      <c r="AI3481" s="1008"/>
    </row>
    <row r="3482" spans="1:35">
      <c r="A3482" s="1008">
        <v>27918</v>
      </c>
      <c r="B3482" s="1008">
        <v>6682</v>
      </c>
      <c r="C3482" s="1008">
        <v>7</v>
      </c>
      <c r="D3482" s="1009">
        <v>72089999</v>
      </c>
      <c r="E3482" s="1009">
        <v>72081000</v>
      </c>
      <c r="F3482" s="1007" t="s">
        <v>1442</v>
      </c>
      <c r="G3482" s="1007" t="s">
        <v>648</v>
      </c>
      <c r="H3482" s="1010">
        <v>99999999</v>
      </c>
      <c r="I3482" s="1009">
        <v>72081000</v>
      </c>
      <c r="J3482" s="1007" t="s">
        <v>1442</v>
      </c>
      <c r="O3482" s="1007" t="s">
        <v>648</v>
      </c>
      <c r="P3482" s="1007" t="s">
        <v>648</v>
      </c>
      <c r="S3482" s="1008" t="s">
        <v>650</v>
      </c>
      <c r="T3482" s="1008" t="s">
        <v>654</v>
      </c>
      <c r="U3482" s="1008" t="s">
        <v>653</v>
      </c>
      <c r="V3482" s="1008" t="s">
        <v>648</v>
      </c>
      <c r="W3482" s="1008" t="s">
        <v>546</v>
      </c>
      <c r="X3482" s="1008" t="s">
        <v>670</v>
      </c>
      <c r="Y3482" s="1008"/>
      <c r="Z3482" s="1008"/>
      <c r="AA3482" s="1008" t="s">
        <v>670</v>
      </c>
      <c r="AB3482" s="1008"/>
      <c r="AC3482" s="1008"/>
      <c r="AD3482" s="1008"/>
      <c r="AE3482" s="1008"/>
      <c r="AF3482" s="1008"/>
      <c r="AG3482" s="1008" t="s">
        <v>670</v>
      </c>
      <c r="AH3482" s="1008"/>
      <c r="AI3482" s="1008"/>
    </row>
    <row r="3483" spans="1:35">
      <c r="A3483" s="1008">
        <v>27919</v>
      </c>
      <c r="B3483" s="1008">
        <v>6683</v>
      </c>
      <c r="C3483" s="1008">
        <v>7</v>
      </c>
      <c r="D3483" s="1009">
        <v>72089999</v>
      </c>
      <c r="E3483" s="1009">
        <v>72082000</v>
      </c>
      <c r="F3483" s="1007" t="s">
        <v>1441</v>
      </c>
      <c r="G3483" s="1007" t="s">
        <v>648</v>
      </c>
      <c r="H3483" s="1010">
        <v>99999999</v>
      </c>
      <c r="I3483" s="1009">
        <v>72082000</v>
      </c>
      <c r="J3483" s="1007" t="s">
        <v>1441</v>
      </c>
      <c r="O3483" s="1007" t="s">
        <v>648</v>
      </c>
      <c r="P3483" s="1007" t="s">
        <v>648</v>
      </c>
      <c r="S3483" s="1008" t="s">
        <v>650</v>
      </c>
      <c r="T3483" s="1008" t="s">
        <v>654</v>
      </c>
      <c r="U3483" s="1008" t="s">
        <v>653</v>
      </c>
      <c r="V3483" s="1008" t="s">
        <v>648</v>
      </c>
      <c r="W3483" s="1008" t="s">
        <v>546</v>
      </c>
      <c r="X3483" s="1008" t="s">
        <v>670</v>
      </c>
      <c r="Y3483" s="1008"/>
      <c r="Z3483" s="1008"/>
      <c r="AA3483" s="1008" t="s">
        <v>670</v>
      </c>
      <c r="AB3483" s="1008"/>
      <c r="AC3483" s="1008"/>
      <c r="AD3483" s="1008"/>
      <c r="AE3483" s="1008"/>
      <c r="AF3483" s="1008"/>
      <c r="AG3483" s="1008" t="s">
        <v>670</v>
      </c>
      <c r="AH3483" s="1008"/>
      <c r="AI3483" s="1008"/>
    </row>
    <row r="3484" spans="1:35">
      <c r="A3484" s="1008">
        <v>27920</v>
      </c>
      <c r="C3484" s="1008">
        <v>6</v>
      </c>
      <c r="D3484" s="1009">
        <v>72199999</v>
      </c>
      <c r="E3484" s="1009">
        <v>72089999</v>
      </c>
      <c r="F3484" s="1007" t="s">
        <v>1440</v>
      </c>
      <c r="O3484" s="1007" t="s">
        <v>648</v>
      </c>
      <c r="P3484" s="1007" t="s">
        <v>648</v>
      </c>
      <c r="S3484" s="1008" t="s">
        <v>650</v>
      </c>
      <c r="T3484" s="1008" t="s">
        <v>21</v>
      </c>
      <c r="U3484" s="1008" t="s">
        <v>653</v>
      </c>
      <c r="V3484" s="1008" t="s">
        <v>648</v>
      </c>
      <c r="W3484" s="1008" t="s">
        <v>546</v>
      </c>
      <c r="X3484" s="1008"/>
      <c r="Y3484" s="1008"/>
      <c r="Z3484" s="1008"/>
      <c r="AA3484" s="1008"/>
      <c r="AB3484" s="1008"/>
      <c r="AC3484" s="1008"/>
      <c r="AD3484" s="1008"/>
      <c r="AE3484" s="1008"/>
      <c r="AF3484" s="1008"/>
      <c r="AG3484" s="1008"/>
      <c r="AH3484" s="1008"/>
      <c r="AI3484" s="1008"/>
    </row>
    <row r="3485" spans="1:35">
      <c r="A3485" s="1008">
        <v>27921</v>
      </c>
      <c r="C3485" s="1008">
        <v>6</v>
      </c>
      <c r="D3485" s="1009">
        <v>72099900</v>
      </c>
      <c r="E3485" s="1009">
        <v>72090000</v>
      </c>
      <c r="F3485" s="1007" t="s">
        <v>1439</v>
      </c>
      <c r="O3485" s="1007" t="s">
        <v>648</v>
      </c>
      <c r="P3485" s="1007" t="s">
        <v>648</v>
      </c>
      <c r="S3485" s="1008" t="s">
        <v>650</v>
      </c>
      <c r="T3485" s="1008" t="s">
        <v>675</v>
      </c>
      <c r="U3485" s="1008" t="s">
        <v>653</v>
      </c>
      <c r="V3485" s="1008" t="s">
        <v>648</v>
      </c>
      <c r="W3485" s="1008" t="s">
        <v>546</v>
      </c>
      <c r="X3485" s="1008"/>
      <c r="Y3485" s="1008"/>
      <c r="Z3485" s="1008"/>
      <c r="AA3485" s="1008"/>
      <c r="AB3485" s="1008"/>
      <c r="AC3485" s="1008"/>
      <c r="AD3485" s="1008"/>
      <c r="AE3485" s="1008"/>
      <c r="AF3485" s="1008"/>
      <c r="AG3485" s="1008"/>
      <c r="AH3485" s="1008"/>
      <c r="AI3485" s="1008"/>
    </row>
    <row r="3486" spans="1:35">
      <c r="A3486" s="1008">
        <v>27922</v>
      </c>
      <c r="B3486" s="1008">
        <v>6684</v>
      </c>
      <c r="C3486" s="1008">
        <v>7</v>
      </c>
      <c r="D3486" s="1009">
        <v>72099900</v>
      </c>
      <c r="E3486" s="1009">
        <v>72091000</v>
      </c>
      <c r="F3486" s="1007" t="s">
        <v>1438</v>
      </c>
      <c r="G3486" s="1007" t="s">
        <v>648</v>
      </c>
      <c r="H3486" s="1010">
        <v>99999999</v>
      </c>
      <c r="I3486" s="1009">
        <v>72091000</v>
      </c>
      <c r="J3486" s="1007" t="s">
        <v>1438</v>
      </c>
      <c r="O3486" s="1007" t="s">
        <v>648</v>
      </c>
      <c r="P3486" s="1007" t="s">
        <v>648</v>
      </c>
      <c r="S3486" s="1008" t="s">
        <v>650</v>
      </c>
      <c r="T3486" s="1008" t="s">
        <v>654</v>
      </c>
      <c r="U3486" s="1008" t="s">
        <v>653</v>
      </c>
      <c r="V3486" s="1008" t="s">
        <v>648</v>
      </c>
      <c r="W3486" s="1008" t="s">
        <v>546</v>
      </c>
      <c r="X3486" s="1008" t="s">
        <v>670</v>
      </c>
      <c r="Y3486" s="1008"/>
      <c r="Z3486" s="1008"/>
      <c r="AA3486" s="1008" t="s">
        <v>670</v>
      </c>
      <c r="AB3486" s="1008"/>
      <c r="AC3486" s="1008"/>
      <c r="AD3486" s="1008"/>
      <c r="AE3486" s="1008"/>
      <c r="AF3486" s="1008"/>
      <c r="AG3486" s="1008" t="s">
        <v>670</v>
      </c>
      <c r="AH3486" s="1008"/>
      <c r="AI3486" s="1008"/>
    </row>
    <row r="3487" spans="1:35">
      <c r="A3487" s="1008">
        <v>27923</v>
      </c>
      <c r="B3487" s="1008">
        <v>6685</v>
      </c>
      <c r="C3487" s="1008">
        <v>7</v>
      </c>
      <c r="D3487" s="1009">
        <v>72099900</v>
      </c>
      <c r="E3487" s="1009">
        <v>72092000</v>
      </c>
      <c r="F3487" s="1007" t="s">
        <v>1437</v>
      </c>
      <c r="G3487" s="1007" t="s">
        <v>648</v>
      </c>
      <c r="H3487" s="1010">
        <v>99999999</v>
      </c>
      <c r="I3487" s="1009">
        <v>72092000</v>
      </c>
      <c r="J3487" s="1007" t="s">
        <v>1437</v>
      </c>
      <c r="O3487" s="1007" t="s">
        <v>648</v>
      </c>
      <c r="P3487" s="1007" t="s">
        <v>648</v>
      </c>
      <c r="S3487" s="1008" t="s">
        <v>650</v>
      </c>
      <c r="T3487" s="1008" t="s">
        <v>654</v>
      </c>
      <c r="U3487" s="1008" t="s">
        <v>653</v>
      </c>
      <c r="V3487" s="1008" t="s">
        <v>648</v>
      </c>
      <c r="W3487" s="1008" t="s">
        <v>546</v>
      </c>
      <c r="X3487" s="1008" t="s">
        <v>670</v>
      </c>
      <c r="Y3487" s="1008"/>
      <c r="Z3487" s="1008"/>
      <c r="AA3487" s="1008" t="s">
        <v>670</v>
      </c>
      <c r="AB3487" s="1008"/>
      <c r="AC3487" s="1008"/>
      <c r="AD3487" s="1008"/>
      <c r="AE3487" s="1008"/>
      <c r="AF3487" s="1008"/>
      <c r="AG3487" s="1008" t="s">
        <v>670</v>
      </c>
      <c r="AH3487" s="1008"/>
      <c r="AI3487" s="1008"/>
    </row>
    <row r="3488" spans="1:35">
      <c r="A3488" s="1008">
        <v>27924</v>
      </c>
      <c r="B3488" s="1008">
        <v>6686</v>
      </c>
      <c r="C3488" s="1008">
        <v>7</v>
      </c>
      <c r="D3488" s="1009">
        <v>72099900</v>
      </c>
      <c r="E3488" s="1009">
        <v>72093000</v>
      </c>
      <c r="F3488" s="1007" t="s">
        <v>1436</v>
      </c>
      <c r="G3488" s="1007" t="s">
        <v>648</v>
      </c>
      <c r="H3488" s="1010">
        <v>99999999</v>
      </c>
      <c r="I3488" s="1009">
        <v>72093000</v>
      </c>
      <c r="J3488" s="1007" t="s">
        <v>1436</v>
      </c>
      <c r="O3488" s="1007" t="s">
        <v>648</v>
      </c>
      <c r="P3488" s="1007" t="s">
        <v>648</v>
      </c>
      <c r="S3488" s="1008" t="s">
        <v>650</v>
      </c>
      <c r="T3488" s="1008" t="s">
        <v>654</v>
      </c>
      <c r="U3488" s="1008" t="s">
        <v>653</v>
      </c>
      <c r="V3488" s="1008" t="s">
        <v>648</v>
      </c>
      <c r="W3488" s="1008" t="s">
        <v>546</v>
      </c>
      <c r="X3488" s="1008" t="s">
        <v>670</v>
      </c>
      <c r="Y3488" s="1008"/>
      <c r="Z3488" s="1008"/>
      <c r="AA3488" s="1008" t="s">
        <v>670</v>
      </c>
      <c r="AB3488" s="1008"/>
      <c r="AC3488" s="1008"/>
      <c r="AD3488" s="1008"/>
      <c r="AE3488" s="1008"/>
      <c r="AF3488" s="1008"/>
      <c r="AG3488" s="1008" t="s">
        <v>670</v>
      </c>
      <c r="AH3488" s="1008"/>
      <c r="AI3488" s="1008"/>
    </row>
    <row r="3489" spans="1:35">
      <c r="A3489" s="1008">
        <v>27925</v>
      </c>
      <c r="C3489" s="1008">
        <v>6</v>
      </c>
      <c r="D3489" s="1009">
        <v>72199999</v>
      </c>
      <c r="E3489" s="1009">
        <v>72099900</v>
      </c>
      <c r="F3489" s="1007" t="s">
        <v>1435</v>
      </c>
      <c r="O3489" s="1007" t="s">
        <v>648</v>
      </c>
      <c r="P3489" s="1007" t="s">
        <v>648</v>
      </c>
      <c r="S3489" s="1008" t="s">
        <v>650</v>
      </c>
      <c r="T3489" s="1008" t="s">
        <v>21</v>
      </c>
      <c r="U3489" s="1008" t="s">
        <v>653</v>
      </c>
      <c r="V3489" s="1008" t="s">
        <v>648</v>
      </c>
      <c r="W3489" s="1008" t="s">
        <v>546</v>
      </c>
      <c r="X3489" s="1008"/>
      <c r="Y3489" s="1008"/>
      <c r="Z3489" s="1008"/>
      <c r="AA3489" s="1008"/>
      <c r="AB3489" s="1008"/>
      <c r="AC3489" s="1008"/>
      <c r="AD3489" s="1008"/>
      <c r="AE3489" s="1008"/>
      <c r="AF3489" s="1008"/>
      <c r="AG3489" s="1008"/>
      <c r="AH3489" s="1008"/>
      <c r="AI3489" s="1008"/>
    </row>
    <row r="3490" spans="1:35">
      <c r="A3490" s="1008">
        <v>27926</v>
      </c>
      <c r="C3490" s="1008">
        <v>6</v>
      </c>
      <c r="D3490" s="1009">
        <v>72109999</v>
      </c>
      <c r="E3490" s="1009">
        <v>72100000</v>
      </c>
      <c r="F3490" s="1007" t="s">
        <v>1434</v>
      </c>
      <c r="O3490" s="1007" t="s">
        <v>648</v>
      </c>
      <c r="P3490" s="1007" t="s">
        <v>648</v>
      </c>
      <c r="S3490" s="1008" t="s">
        <v>650</v>
      </c>
      <c r="T3490" s="1008" t="s">
        <v>675</v>
      </c>
      <c r="U3490" s="1008" t="s">
        <v>653</v>
      </c>
      <c r="V3490" s="1008" t="s">
        <v>648</v>
      </c>
      <c r="W3490" s="1008" t="s">
        <v>546</v>
      </c>
      <c r="X3490" s="1008"/>
      <c r="Y3490" s="1008"/>
      <c r="Z3490" s="1008"/>
      <c r="AA3490" s="1008"/>
      <c r="AB3490" s="1008"/>
      <c r="AC3490" s="1008"/>
      <c r="AD3490" s="1008"/>
      <c r="AE3490" s="1008"/>
      <c r="AF3490" s="1008"/>
      <c r="AG3490" s="1008"/>
      <c r="AH3490" s="1008"/>
      <c r="AI3490" s="1008"/>
    </row>
    <row r="3491" spans="1:35">
      <c r="A3491" s="1008">
        <v>27927</v>
      </c>
      <c r="B3491" s="1008">
        <v>6687</v>
      </c>
      <c r="C3491" s="1008">
        <v>7</v>
      </c>
      <c r="D3491" s="1009">
        <v>72109999</v>
      </c>
      <c r="E3491" s="1009">
        <v>72101000</v>
      </c>
      <c r="F3491" s="1007" t="s">
        <v>1433</v>
      </c>
      <c r="G3491" s="1007" t="s">
        <v>648</v>
      </c>
      <c r="H3491" s="1010">
        <v>99999999</v>
      </c>
      <c r="I3491" s="1009">
        <v>72101000</v>
      </c>
      <c r="J3491" s="1007" t="s">
        <v>1433</v>
      </c>
      <c r="O3491" s="1007" t="s">
        <v>648</v>
      </c>
      <c r="P3491" s="1007" t="s">
        <v>648</v>
      </c>
      <c r="S3491" s="1008" t="s">
        <v>650</v>
      </c>
      <c r="T3491" s="1008" t="s">
        <v>654</v>
      </c>
      <c r="U3491" s="1008" t="s">
        <v>653</v>
      </c>
      <c r="V3491" s="1008" t="s">
        <v>648</v>
      </c>
      <c r="W3491" s="1008" t="s">
        <v>546</v>
      </c>
      <c r="X3491" s="1008" t="s">
        <v>670</v>
      </c>
      <c r="Y3491" s="1008"/>
      <c r="Z3491" s="1008"/>
      <c r="AA3491" s="1008" t="s">
        <v>670</v>
      </c>
      <c r="AB3491" s="1008"/>
      <c r="AC3491" s="1008"/>
      <c r="AD3491" s="1008"/>
      <c r="AE3491" s="1008"/>
      <c r="AF3491" s="1008"/>
      <c r="AG3491" s="1008" t="s">
        <v>670</v>
      </c>
      <c r="AH3491" s="1008"/>
      <c r="AI3491" s="1008"/>
    </row>
    <row r="3492" spans="1:35">
      <c r="A3492" s="1008">
        <v>27928</v>
      </c>
      <c r="C3492" s="1008">
        <v>6</v>
      </c>
      <c r="D3492" s="1009">
        <v>72199999</v>
      </c>
      <c r="E3492" s="1009">
        <v>72109999</v>
      </c>
      <c r="F3492" s="1007" t="s">
        <v>1432</v>
      </c>
      <c r="O3492" s="1007" t="s">
        <v>648</v>
      </c>
      <c r="P3492" s="1007" t="s">
        <v>648</v>
      </c>
      <c r="S3492" s="1008" t="s">
        <v>650</v>
      </c>
      <c r="T3492" s="1008" t="s">
        <v>21</v>
      </c>
      <c r="U3492" s="1008" t="s">
        <v>653</v>
      </c>
      <c r="V3492" s="1008" t="s">
        <v>648</v>
      </c>
      <c r="W3492" s="1008" t="s">
        <v>546</v>
      </c>
      <c r="X3492" s="1008"/>
      <c r="Y3492" s="1008"/>
      <c r="Z3492" s="1008"/>
      <c r="AA3492" s="1008"/>
      <c r="AB3492" s="1008"/>
      <c r="AC3492" s="1008"/>
      <c r="AD3492" s="1008"/>
      <c r="AE3492" s="1008"/>
      <c r="AF3492" s="1008"/>
      <c r="AG3492" s="1008"/>
      <c r="AH3492" s="1008"/>
      <c r="AI3492" s="1008"/>
    </row>
    <row r="3493" spans="1:35">
      <c r="A3493" s="1008">
        <v>27929</v>
      </c>
      <c r="C3493" s="1008">
        <v>5</v>
      </c>
      <c r="D3493" s="1009">
        <v>79999990</v>
      </c>
      <c r="E3493" s="1009">
        <v>72199999</v>
      </c>
      <c r="F3493" s="1007" t="s">
        <v>1431</v>
      </c>
      <c r="O3493" s="1007" t="s">
        <v>648</v>
      </c>
      <c r="P3493" s="1007" t="s">
        <v>648</v>
      </c>
      <c r="S3493" s="1008" t="s">
        <v>650</v>
      </c>
      <c r="T3493" s="1008" t="s">
        <v>21</v>
      </c>
      <c r="U3493" s="1008" t="s">
        <v>653</v>
      </c>
      <c r="V3493" s="1008" t="s">
        <v>648</v>
      </c>
      <c r="W3493" s="1008" t="s">
        <v>546</v>
      </c>
      <c r="X3493" s="1008"/>
      <c r="Y3493" s="1008"/>
      <c r="Z3493" s="1008"/>
      <c r="AA3493" s="1008"/>
      <c r="AB3493" s="1008"/>
      <c r="AC3493" s="1008"/>
      <c r="AD3493" s="1008"/>
      <c r="AE3493" s="1008"/>
      <c r="AF3493" s="1008"/>
      <c r="AG3493" s="1008"/>
      <c r="AH3493" s="1008"/>
      <c r="AI3493" s="1008"/>
    </row>
    <row r="3494" spans="1:35">
      <c r="A3494" s="1008">
        <v>27930</v>
      </c>
      <c r="C3494" s="1008">
        <v>5</v>
      </c>
      <c r="D3494" s="1009">
        <v>73199999</v>
      </c>
      <c r="E3494" s="1009">
        <v>73000000</v>
      </c>
      <c r="F3494" s="1007" t="s">
        <v>1430</v>
      </c>
      <c r="O3494" s="1007" t="s">
        <v>648</v>
      </c>
      <c r="P3494" s="1007" t="s">
        <v>648</v>
      </c>
      <c r="S3494" s="1008" t="s">
        <v>650</v>
      </c>
      <c r="T3494" s="1008" t="s">
        <v>675</v>
      </c>
      <c r="U3494" s="1008" t="s">
        <v>653</v>
      </c>
      <c r="V3494" s="1008" t="s">
        <v>648</v>
      </c>
      <c r="W3494" s="1008" t="s">
        <v>546</v>
      </c>
      <c r="X3494" s="1008"/>
      <c r="Y3494" s="1008"/>
      <c r="Z3494" s="1008"/>
      <c r="AA3494" s="1008"/>
      <c r="AB3494" s="1008"/>
      <c r="AC3494" s="1008"/>
      <c r="AD3494" s="1008"/>
      <c r="AE3494" s="1008"/>
      <c r="AF3494" s="1008"/>
      <c r="AG3494" s="1008"/>
      <c r="AH3494" s="1008"/>
      <c r="AI3494" s="1008"/>
    </row>
    <row r="3495" spans="1:35">
      <c r="A3495" s="1008">
        <v>27931</v>
      </c>
      <c r="C3495" s="1008">
        <v>6</v>
      </c>
      <c r="D3495" s="1009">
        <v>73019999</v>
      </c>
      <c r="E3495" s="1009">
        <v>73010000</v>
      </c>
      <c r="F3495" s="1007" t="s">
        <v>1429</v>
      </c>
      <c r="O3495" s="1007" t="s">
        <v>648</v>
      </c>
      <c r="P3495" s="1007" t="s">
        <v>648</v>
      </c>
      <c r="S3495" s="1008" t="s">
        <v>650</v>
      </c>
      <c r="T3495" s="1008" t="s">
        <v>675</v>
      </c>
      <c r="U3495" s="1008" t="s">
        <v>653</v>
      </c>
      <c r="V3495" s="1008" t="s">
        <v>648</v>
      </c>
      <c r="W3495" s="1008" t="s">
        <v>546</v>
      </c>
      <c r="X3495" s="1008"/>
      <c r="Y3495" s="1008"/>
      <c r="Z3495" s="1008"/>
      <c r="AA3495" s="1008"/>
      <c r="AB3495" s="1008"/>
      <c r="AC3495" s="1008"/>
      <c r="AD3495" s="1008"/>
      <c r="AE3495" s="1008"/>
      <c r="AF3495" s="1008"/>
      <c r="AG3495" s="1008"/>
      <c r="AH3495" s="1008"/>
      <c r="AI3495" s="1008"/>
    </row>
    <row r="3496" spans="1:35">
      <c r="A3496" s="1008">
        <v>27932</v>
      </c>
      <c r="B3496" s="1008">
        <v>6688</v>
      </c>
      <c r="C3496" s="1008">
        <v>7</v>
      </c>
      <c r="D3496" s="1009">
        <v>73019999</v>
      </c>
      <c r="E3496" s="1009">
        <v>73011000</v>
      </c>
      <c r="F3496" s="1007" t="s">
        <v>1428</v>
      </c>
      <c r="G3496" s="1007" t="s">
        <v>648</v>
      </c>
      <c r="H3496" s="1010">
        <v>99999999</v>
      </c>
      <c r="I3496" s="1009">
        <v>73011000</v>
      </c>
      <c r="J3496" s="1007" t="s">
        <v>1428</v>
      </c>
      <c r="O3496" s="1007" t="s">
        <v>648</v>
      </c>
      <c r="P3496" s="1007" t="s">
        <v>648</v>
      </c>
      <c r="S3496" s="1008" t="s">
        <v>650</v>
      </c>
      <c r="T3496" s="1008" t="s">
        <v>654</v>
      </c>
      <c r="U3496" s="1008" t="s">
        <v>653</v>
      </c>
      <c r="V3496" s="1008" t="s">
        <v>648</v>
      </c>
      <c r="W3496" s="1008" t="s">
        <v>546</v>
      </c>
      <c r="X3496" s="1008" t="s">
        <v>670</v>
      </c>
      <c r="Y3496" s="1008"/>
      <c r="Z3496" s="1008"/>
      <c r="AA3496" s="1008" t="s">
        <v>670</v>
      </c>
      <c r="AB3496" s="1008"/>
      <c r="AC3496" s="1008"/>
      <c r="AD3496" s="1008"/>
      <c r="AE3496" s="1008"/>
      <c r="AF3496" s="1008"/>
      <c r="AG3496" s="1008" t="s">
        <v>670</v>
      </c>
      <c r="AH3496" s="1008"/>
      <c r="AI3496" s="1008"/>
    </row>
    <row r="3497" spans="1:35">
      <c r="A3497" s="1008">
        <v>27933</v>
      </c>
      <c r="B3497" s="1008">
        <v>6689</v>
      </c>
      <c r="C3497" s="1008">
        <v>7</v>
      </c>
      <c r="D3497" s="1009">
        <v>73019999</v>
      </c>
      <c r="E3497" s="1009">
        <v>73012000</v>
      </c>
      <c r="F3497" s="1007" t="s">
        <v>1427</v>
      </c>
      <c r="G3497" s="1007" t="s">
        <v>648</v>
      </c>
      <c r="H3497" s="1010">
        <v>99999999</v>
      </c>
      <c r="I3497" s="1009">
        <v>73012000</v>
      </c>
      <c r="J3497" s="1007" t="s">
        <v>1427</v>
      </c>
      <c r="O3497" s="1007" t="s">
        <v>648</v>
      </c>
      <c r="P3497" s="1007" t="s">
        <v>648</v>
      </c>
      <c r="S3497" s="1008" t="s">
        <v>650</v>
      </c>
      <c r="T3497" s="1008" t="s">
        <v>654</v>
      </c>
      <c r="U3497" s="1008" t="s">
        <v>653</v>
      </c>
      <c r="V3497" s="1008" t="s">
        <v>648</v>
      </c>
      <c r="W3497" s="1008" t="s">
        <v>546</v>
      </c>
      <c r="X3497" s="1008" t="s">
        <v>670</v>
      </c>
      <c r="Y3497" s="1008"/>
      <c r="Z3497" s="1008"/>
      <c r="AA3497" s="1008" t="s">
        <v>670</v>
      </c>
      <c r="AB3497" s="1008"/>
      <c r="AC3497" s="1008"/>
      <c r="AD3497" s="1008"/>
      <c r="AE3497" s="1008"/>
      <c r="AF3497" s="1008"/>
      <c r="AG3497" s="1008" t="s">
        <v>670</v>
      </c>
      <c r="AH3497" s="1008"/>
      <c r="AI3497" s="1008"/>
    </row>
    <row r="3498" spans="1:35">
      <c r="A3498" s="1008">
        <v>27934</v>
      </c>
      <c r="B3498" s="1008">
        <v>6690</v>
      </c>
      <c r="C3498" s="1008">
        <v>7</v>
      </c>
      <c r="D3498" s="1009">
        <v>73019999</v>
      </c>
      <c r="E3498" s="1009">
        <v>73013000</v>
      </c>
      <c r="F3498" s="1007" t="s">
        <v>1426</v>
      </c>
      <c r="G3498" s="1007" t="s">
        <v>648</v>
      </c>
      <c r="H3498" s="1010">
        <v>99999999</v>
      </c>
      <c r="I3498" s="1009">
        <v>73013000</v>
      </c>
      <c r="J3498" s="1007" t="s">
        <v>1426</v>
      </c>
      <c r="O3498" s="1007" t="s">
        <v>648</v>
      </c>
      <c r="P3498" s="1007" t="s">
        <v>648</v>
      </c>
      <c r="S3498" s="1008" t="s">
        <v>650</v>
      </c>
      <c r="T3498" s="1008" t="s">
        <v>654</v>
      </c>
      <c r="U3498" s="1008" t="s">
        <v>653</v>
      </c>
      <c r="V3498" s="1008" t="s">
        <v>648</v>
      </c>
      <c r="W3498" s="1008" t="s">
        <v>546</v>
      </c>
      <c r="X3498" s="1008" t="s">
        <v>670</v>
      </c>
      <c r="Y3498" s="1008"/>
      <c r="Z3498" s="1008"/>
      <c r="AA3498" s="1008" t="s">
        <v>670</v>
      </c>
      <c r="AB3498" s="1008"/>
      <c r="AC3498" s="1008"/>
      <c r="AD3498" s="1008"/>
      <c r="AE3498" s="1008"/>
      <c r="AF3498" s="1008"/>
      <c r="AG3498" s="1008" t="s">
        <v>670</v>
      </c>
      <c r="AH3498" s="1008"/>
      <c r="AI3498" s="1008"/>
    </row>
    <row r="3499" spans="1:35">
      <c r="A3499" s="1008">
        <v>27935</v>
      </c>
      <c r="B3499" s="1008">
        <v>6691</v>
      </c>
      <c r="C3499" s="1008">
        <v>7</v>
      </c>
      <c r="D3499" s="1009">
        <v>73019999</v>
      </c>
      <c r="E3499" s="1009">
        <v>73014000</v>
      </c>
      <c r="F3499" s="1007" t="s">
        <v>1425</v>
      </c>
      <c r="G3499" s="1007" t="s">
        <v>648</v>
      </c>
      <c r="H3499" s="1010">
        <v>99999999</v>
      </c>
      <c r="I3499" s="1009">
        <v>73014000</v>
      </c>
      <c r="J3499" s="1007" t="s">
        <v>1425</v>
      </c>
      <c r="O3499" s="1007" t="s">
        <v>648</v>
      </c>
      <c r="P3499" s="1007" t="s">
        <v>648</v>
      </c>
      <c r="S3499" s="1008" t="s">
        <v>650</v>
      </c>
      <c r="T3499" s="1008" t="s">
        <v>654</v>
      </c>
      <c r="U3499" s="1008" t="s">
        <v>653</v>
      </c>
      <c r="V3499" s="1008" t="s">
        <v>648</v>
      </c>
      <c r="W3499" s="1008" t="s">
        <v>546</v>
      </c>
      <c r="X3499" s="1008" t="s">
        <v>670</v>
      </c>
      <c r="Y3499" s="1008"/>
      <c r="Z3499" s="1008"/>
      <c r="AA3499" s="1008" t="s">
        <v>670</v>
      </c>
      <c r="AB3499" s="1008"/>
      <c r="AC3499" s="1008"/>
      <c r="AD3499" s="1008"/>
      <c r="AE3499" s="1008"/>
      <c r="AF3499" s="1008"/>
      <c r="AG3499" s="1008" t="s">
        <v>670</v>
      </c>
      <c r="AH3499" s="1008"/>
      <c r="AI3499" s="1008"/>
    </row>
    <row r="3500" spans="1:35">
      <c r="A3500" s="1008">
        <v>27936</v>
      </c>
      <c r="B3500" s="1008">
        <v>6692</v>
      </c>
      <c r="C3500" s="1008">
        <v>7</v>
      </c>
      <c r="D3500" s="1009">
        <v>73019999</v>
      </c>
      <c r="E3500" s="1009">
        <v>73015000</v>
      </c>
      <c r="F3500" s="1007" t="s">
        <v>1424</v>
      </c>
      <c r="G3500" s="1007" t="s">
        <v>648</v>
      </c>
      <c r="H3500" s="1010">
        <v>99999999</v>
      </c>
      <c r="I3500" s="1009">
        <v>73015000</v>
      </c>
      <c r="J3500" s="1007" t="s">
        <v>1424</v>
      </c>
      <c r="O3500" s="1007" t="s">
        <v>648</v>
      </c>
      <c r="P3500" s="1007" t="s">
        <v>648</v>
      </c>
      <c r="S3500" s="1008" t="s">
        <v>650</v>
      </c>
      <c r="T3500" s="1008" t="s">
        <v>654</v>
      </c>
      <c r="U3500" s="1008" t="s">
        <v>653</v>
      </c>
      <c r="V3500" s="1008" t="s">
        <v>648</v>
      </c>
      <c r="W3500" s="1008" t="s">
        <v>546</v>
      </c>
      <c r="X3500" s="1008" t="s">
        <v>670</v>
      </c>
      <c r="Y3500" s="1008"/>
      <c r="Z3500" s="1008"/>
      <c r="AA3500" s="1008" t="s">
        <v>670</v>
      </c>
      <c r="AB3500" s="1008"/>
      <c r="AC3500" s="1008"/>
      <c r="AD3500" s="1008"/>
      <c r="AE3500" s="1008"/>
      <c r="AF3500" s="1008"/>
      <c r="AG3500" s="1008" t="s">
        <v>670</v>
      </c>
      <c r="AH3500" s="1008"/>
      <c r="AI3500" s="1008"/>
    </row>
    <row r="3501" spans="1:35">
      <c r="A3501" s="1008">
        <v>27937</v>
      </c>
      <c r="C3501" s="1008">
        <v>6</v>
      </c>
      <c r="D3501" s="1009">
        <v>73199999</v>
      </c>
      <c r="E3501" s="1009">
        <v>73019999</v>
      </c>
      <c r="F3501" s="1007" t="s">
        <v>1423</v>
      </c>
      <c r="O3501" s="1007" t="s">
        <v>648</v>
      </c>
      <c r="P3501" s="1007" t="s">
        <v>648</v>
      </c>
      <c r="S3501" s="1008" t="s">
        <v>650</v>
      </c>
      <c r="T3501" s="1008" t="s">
        <v>21</v>
      </c>
      <c r="U3501" s="1008" t="s">
        <v>653</v>
      </c>
      <c r="V3501" s="1008" t="s">
        <v>648</v>
      </c>
      <c r="W3501" s="1008" t="s">
        <v>546</v>
      </c>
      <c r="X3501" s="1008"/>
      <c r="Y3501" s="1008"/>
      <c r="Z3501" s="1008"/>
      <c r="AA3501" s="1008"/>
      <c r="AB3501" s="1008"/>
      <c r="AC3501" s="1008"/>
      <c r="AD3501" s="1008"/>
      <c r="AE3501" s="1008"/>
      <c r="AF3501" s="1008"/>
      <c r="AG3501" s="1008"/>
      <c r="AH3501" s="1008"/>
      <c r="AI3501" s="1008"/>
    </row>
    <row r="3502" spans="1:35">
      <c r="A3502" s="1008">
        <v>27938</v>
      </c>
      <c r="C3502" s="1008">
        <v>6</v>
      </c>
      <c r="D3502" s="1009">
        <v>73029999</v>
      </c>
      <c r="E3502" s="1009">
        <v>73020000</v>
      </c>
      <c r="F3502" s="1007" t="s">
        <v>1422</v>
      </c>
      <c r="O3502" s="1007" t="s">
        <v>648</v>
      </c>
      <c r="P3502" s="1007" t="s">
        <v>648</v>
      </c>
      <c r="S3502" s="1008" t="s">
        <v>650</v>
      </c>
      <c r="T3502" s="1008" t="s">
        <v>675</v>
      </c>
      <c r="U3502" s="1008" t="s">
        <v>653</v>
      </c>
      <c r="V3502" s="1008" t="s">
        <v>648</v>
      </c>
      <c r="W3502" s="1008" t="s">
        <v>546</v>
      </c>
      <c r="X3502" s="1008"/>
      <c r="Y3502" s="1008"/>
      <c r="Z3502" s="1008"/>
      <c r="AA3502" s="1008"/>
      <c r="AB3502" s="1008"/>
      <c r="AC3502" s="1008"/>
      <c r="AD3502" s="1008"/>
      <c r="AE3502" s="1008"/>
      <c r="AF3502" s="1008"/>
      <c r="AG3502" s="1008"/>
      <c r="AH3502" s="1008"/>
      <c r="AI3502" s="1008"/>
    </row>
    <row r="3503" spans="1:35">
      <c r="A3503" s="1008">
        <v>27939</v>
      </c>
      <c r="B3503" s="1008">
        <v>6693</v>
      </c>
      <c r="C3503" s="1008">
        <v>7</v>
      </c>
      <c r="D3503" s="1009">
        <v>73029999</v>
      </c>
      <c r="E3503" s="1009">
        <v>73021000</v>
      </c>
      <c r="F3503" s="1007" t="s">
        <v>1421</v>
      </c>
      <c r="G3503" s="1007" t="s">
        <v>648</v>
      </c>
      <c r="H3503" s="1010">
        <v>99999999</v>
      </c>
      <c r="I3503" s="1009">
        <v>73021000</v>
      </c>
      <c r="J3503" s="1007" t="s">
        <v>1421</v>
      </c>
      <c r="O3503" s="1007" t="s">
        <v>648</v>
      </c>
      <c r="P3503" s="1007" t="s">
        <v>648</v>
      </c>
      <c r="S3503" s="1008" t="s">
        <v>650</v>
      </c>
      <c r="T3503" s="1008" t="s">
        <v>654</v>
      </c>
      <c r="U3503" s="1008" t="s">
        <v>653</v>
      </c>
      <c r="V3503" s="1008" t="s">
        <v>648</v>
      </c>
      <c r="W3503" s="1008" t="s">
        <v>546</v>
      </c>
      <c r="X3503" s="1008" t="s">
        <v>670</v>
      </c>
      <c r="Y3503" s="1008"/>
      <c r="Z3503" s="1008"/>
      <c r="AA3503" s="1008" t="s">
        <v>670</v>
      </c>
      <c r="AB3503" s="1008"/>
      <c r="AC3503" s="1008"/>
      <c r="AD3503" s="1008"/>
      <c r="AE3503" s="1008"/>
      <c r="AF3503" s="1008"/>
      <c r="AG3503" s="1008" t="s">
        <v>670</v>
      </c>
      <c r="AH3503" s="1008"/>
      <c r="AI3503" s="1008"/>
    </row>
    <row r="3504" spans="1:35">
      <c r="A3504" s="1008">
        <v>27940</v>
      </c>
      <c r="C3504" s="1008">
        <v>6</v>
      </c>
      <c r="D3504" s="1009">
        <v>73199999</v>
      </c>
      <c r="E3504" s="1009">
        <v>73029999</v>
      </c>
      <c r="F3504" s="1007" t="s">
        <v>1420</v>
      </c>
      <c r="O3504" s="1007" t="s">
        <v>648</v>
      </c>
      <c r="P3504" s="1007" t="s">
        <v>648</v>
      </c>
      <c r="S3504" s="1008" t="s">
        <v>650</v>
      </c>
      <c r="T3504" s="1008" t="s">
        <v>21</v>
      </c>
      <c r="U3504" s="1008" t="s">
        <v>653</v>
      </c>
      <c r="V3504" s="1008" t="s">
        <v>648</v>
      </c>
      <c r="W3504" s="1008" t="s">
        <v>546</v>
      </c>
      <c r="X3504" s="1008"/>
      <c r="Y3504" s="1008"/>
      <c r="Z3504" s="1008"/>
      <c r="AA3504" s="1008"/>
      <c r="AB3504" s="1008"/>
      <c r="AC3504" s="1008"/>
      <c r="AD3504" s="1008"/>
      <c r="AE3504" s="1008"/>
      <c r="AF3504" s="1008"/>
      <c r="AG3504" s="1008"/>
      <c r="AH3504" s="1008"/>
      <c r="AI3504" s="1008"/>
    </row>
    <row r="3505" spans="1:35">
      <c r="A3505" s="1008">
        <v>27941</v>
      </c>
      <c r="C3505" s="1008">
        <v>6</v>
      </c>
      <c r="D3505" s="1009">
        <v>73039000</v>
      </c>
      <c r="E3505" s="1009">
        <v>73030000</v>
      </c>
      <c r="F3505" s="1007" t="s">
        <v>1419</v>
      </c>
      <c r="O3505" s="1007" t="s">
        <v>648</v>
      </c>
      <c r="P3505" s="1007" t="s">
        <v>648</v>
      </c>
      <c r="S3505" s="1008" t="s">
        <v>650</v>
      </c>
      <c r="T3505" s="1008" t="s">
        <v>675</v>
      </c>
      <c r="U3505" s="1008" t="s">
        <v>653</v>
      </c>
      <c r="V3505" s="1008" t="s">
        <v>648</v>
      </c>
      <c r="W3505" s="1008" t="s">
        <v>546</v>
      </c>
      <c r="X3505" s="1008"/>
      <c r="Y3505" s="1008"/>
      <c r="Z3505" s="1008"/>
      <c r="AA3505" s="1008"/>
      <c r="AB3505" s="1008"/>
      <c r="AC3505" s="1008"/>
      <c r="AD3505" s="1008"/>
      <c r="AE3505" s="1008"/>
      <c r="AF3505" s="1008"/>
      <c r="AG3505" s="1008"/>
      <c r="AH3505" s="1008"/>
      <c r="AI3505" s="1008"/>
    </row>
    <row r="3506" spans="1:35">
      <c r="A3506" s="1008">
        <v>27942</v>
      </c>
      <c r="B3506" s="1008">
        <v>6694</v>
      </c>
      <c r="C3506" s="1008">
        <v>7</v>
      </c>
      <c r="D3506" s="1009">
        <v>73039000</v>
      </c>
      <c r="E3506" s="1009">
        <v>73031000</v>
      </c>
      <c r="F3506" s="1007" t="s">
        <v>1419</v>
      </c>
      <c r="G3506" s="1007" t="s">
        <v>648</v>
      </c>
      <c r="H3506" s="1010">
        <v>99999999</v>
      </c>
      <c r="I3506" s="1009">
        <v>73031000</v>
      </c>
      <c r="J3506" s="1007" t="s">
        <v>1419</v>
      </c>
      <c r="O3506" s="1007" t="s">
        <v>648</v>
      </c>
      <c r="P3506" s="1007" t="s">
        <v>648</v>
      </c>
      <c r="S3506" s="1008" t="s">
        <v>650</v>
      </c>
      <c r="T3506" s="1008" t="s">
        <v>654</v>
      </c>
      <c r="U3506" s="1008" t="s">
        <v>653</v>
      </c>
      <c r="V3506" s="1008" t="s">
        <v>648</v>
      </c>
      <c r="W3506" s="1008" t="s">
        <v>546</v>
      </c>
      <c r="X3506" s="1008" t="s">
        <v>670</v>
      </c>
      <c r="Y3506" s="1008"/>
      <c r="Z3506" s="1008"/>
      <c r="AA3506" s="1008" t="s">
        <v>670</v>
      </c>
      <c r="AB3506" s="1008"/>
      <c r="AC3506" s="1008"/>
      <c r="AD3506" s="1008"/>
      <c r="AE3506" s="1008"/>
      <c r="AF3506" s="1008"/>
      <c r="AG3506" s="1008" t="s">
        <v>670</v>
      </c>
      <c r="AH3506" s="1008"/>
      <c r="AI3506" s="1008"/>
    </row>
    <row r="3507" spans="1:35">
      <c r="A3507" s="1008">
        <v>27943</v>
      </c>
      <c r="C3507" s="1008">
        <v>6</v>
      </c>
      <c r="D3507" s="1009">
        <v>73199999</v>
      </c>
      <c r="E3507" s="1009">
        <v>73039000</v>
      </c>
      <c r="F3507" s="1007" t="s">
        <v>1418</v>
      </c>
      <c r="O3507" s="1007" t="s">
        <v>648</v>
      </c>
      <c r="P3507" s="1007" t="s">
        <v>648</v>
      </c>
      <c r="S3507" s="1008" t="s">
        <v>650</v>
      </c>
      <c r="T3507" s="1008" t="s">
        <v>21</v>
      </c>
      <c r="U3507" s="1008" t="s">
        <v>653</v>
      </c>
      <c r="V3507" s="1008" t="s">
        <v>648</v>
      </c>
      <c r="W3507" s="1008" t="s">
        <v>546</v>
      </c>
      <c r="X3507" s="1008"/>
      <c r="Y3507" s="1008"/>
      <c r="Z3507" s="1008"/>
      <c r="AA3507" s="1008"/>
      <c r="AB3507" s="1008"/>
      <c r="AC3507" s="1008"/>
      <c r="AD3507" s="1008"/>
      <c r="AE3507" s="1008"/>
      <c r="AF3507" s="1008"/>
      <c r="AG3507" s="1008"/>
      <c r="AH3507" s="1008"/>
      <c r="AI3507" s="1008"/>
    </row>
    <row r="3508" spans="1:35">
      <c r="A3508" s="1008">
        <v>27944</v>
      </c>
      <c r="C3508" s="1008">
        <v>6</v>
      </c>
      <c r="D3508" s="1009">
        <v>73049999</v>
      </c>
      <c r="E3508" s="1009">
        <v>73040000</v>
      </c>
      <c r="F3508" s="1007" t="s">
        <v>1417</v>
      </c>
      <c r="O3508" s="1007" t="s">
        <v>648</v>
      </c>
      <c r="P3508" s="1007" t="s">
        <v>648</v>
      </c>
      <c r="S3508" s="1008" t="s">
        <v>650</v>
      </c>
      <c r="T3508" s="1008" t="s">
        <v>675</v>
      </c>
      <c r="U3508" s="1008" t="s">
        <v>653</v>
      </c>
      <c r="V3508" s="1008" t="s">
        <v>648</v>
      </c>
      <c r="W3508" s="1008" t="s">
        <v>546</v>
      </c>
      <c r="X3508" s="1008"/>
      <c r="Y3508" s="1008"/>
      <c r="Z3508" s="1008"/>
      <c r="AA3508" s="1008"/>
      <c r="AB3508" s="1008"/>
      <c r="AC3508" s="1008"/>
      <c r="AD3508" s="1008"/>
      <c r="AE3508" s="1008"/>
      <c r="AF3508" s="1008"/>
      <c r="AG3508" s="1008"/>
      <c r="AH3508" s="1008"/>
      <c r="AI3508" s="1008"/>
    </row>
    <row r="3509" spans="1:35">
      <c r="A3509" s="1008">
        <v>27945</v>
      </c>
      <c r="B3509" s="1008">
        <v>6695</v>
      </c>
      <c r="C3509" s="1008">
        <v>7</v>
      </c>
      <c r="D3509" s="1009">
        <v>73049999</v>
      </c>
      <c r="E3509" s="1009">
        <v>73042000</v>
      </c>
      <c r="F3509" s="1007" t="s">
        <v>1416</v>
      </c>
      <c r="G3509" s="1007" t="s">
        <v>648</v>
      </c>
      <c r="H3509" s="1010">
        <v>99999999</v>
      </c>
      <c r="I3509" s="1009">
        <v>73042000</v>
      </c>
      <c r="J3509" s="1007" t="s">
        <v>1416</v>
      </c>
      <c r="O3509" s="1007" t="s">
        <v>648</v>
      </c>
      <c r="P3509" s="1007" t="s">
        <v>648</v>
      </c>
      <c r="S3509" s="1008" t="s">
        <v>650</v>
      </c>
      <c r="T3509" s="1008" t="s">
        <v>654</v>
      </c>
      <c r="U3509" s="1008" t="s">
        <v>653</v>
      </c>
      <c r="V3509" s="1008" t="s">
        <v>648</v>
      </c>
      <c r="W3509" s="1008" t="s">
        <v>546</v>
      </c>
      <c r="X3509" s="1008" t="s">
        <v>670</v>
      </c>
      <c r="Y3509" s="1008"/>
      <c r="Z3509" s="1008"/>
      <c r="AA3509" s="1008" t="s">
        <v>670</v>
      </c>
      <c r="AB3509" s="1008"/>
      <c r="AC3509" s="1008"/>
      <c r="AD3509" s="1008"/>
      <c r="AE3509" s="1008"/>
      <c r="AF3509" s="1008"/>
      <c r="AG3509" s="1008" t="s">
        <v>670</v>
      </c>
      <c r="AH3509" s="1008"/>
      <c r="AI3509" s="1008"/>
    </row>
    <row r="3510" spans="1:35">
      <c r="A3510" s="1008">
        <v>27946</v>
      </c>
      <c r="B3510" s="1008">
        <v>6696</v>
      </c>
      <c r="C3510" s="1008">
        <v>7</v>
      </c>
      <c r="D3510" s="1009">
        <v>73049999</v>
      </c>
      <c r="E3510" s="1009">
        <v>73043000</v>
      </c>
      <c r="F3510" s="1007" t="s">
        <v>1415</v>
      </c>
      <c r="G3510" s="1007" t="s">
        <v>648</v>
      </c>
      <c r="H3510" s="1010">
        <v>99999999</v>
      </c>
      <c r="I3510" s="1009">
        <v>73043000</v>
      </c>
      <c r="J3510" s="1007" t="s">
        <v>1415</v>
      </c>
      <c r="O3510" s="1007" t="s">
        <v>648</v>
      </c>
      <c r="P3510" s="1007" t="s">
        <v>648</v>
      </c>
      <c r="S3510" s="1008" t="s">
        <v>650</v>
      </c>
      <c r="T3510" s="1008" t="s">
        <v>654</v>
      </c>
      <c r="U3510" s="1008" t="s">
        <v>653</v>
      </c>
      <c r="V3510" s="1008" t="s">
        <v>648</v>
      </c>
      <c r="W3510" s="1008" t="s">
        <v>546</v>
      </c>
      <c r="X3510" s="1008" t="s">
        <v>670</v>
      </c>
      <c r="Y3510" s="1008"/>
      <c r="Z3510" s="1008"/>
      <c r="AA3510" s="1008" t="s">
        <v>670</v>
      </c>
      <c r="AB3510" s="1008"/>
      <c r="AC3510" s="1008"/>
      <c r="AD3510" s="1008"/>
      <c r="AE3510" s="1008"/>
      <c r="AF3510" s="1008"/>
      <c r="AG3510" s="1008" t="s">
        <v>670</v>
      </c>
      <c r="AH3510" s="1008"/>
      <c r="AI3510" s="1008"/>
    </row>
    <row r="3511" spans="1:35">
      <c r="A3511" s="1008">
        <v>27947</v>
      </c>
      <c r="B3511" s="1008">
        <v>6697</v>
      </c>
      <c r="C3511" s="1008">
        <v>7</v>
      </c>
      <c r="D3511" s="1009">
        <v>73049999</v>
      </c>
      <c r="E3511" s="1009">
        <v>73044000</v>
      </c>
      <c r="F3511" s="1007" t="s">
        <v>1414</v>
      </c>
      <c r="G3511" s="1007" t="s">
        <v>648</v>
      </c>
      <c r="H3511" s="1010">
        <v>99999999</v>
      </c>
      <c r="I3511" s="1009">
        <v>73044000</v>
      </c>
      <c r="J3511" s="1007" t="s">
        <v>1414</v>
      </c>
      <c r="O3511" s="1007" t="s">
        <v>648</v>
      </c>
      <c r="P3511" s="1007" t="s">
        <v>648</v>
      </c>
      <c r="S3511" s="1008" t="s">
        <v>650</v>
      </c>
      <c r="T3511" s="1008" t="s">
        <v>654</v>
      </c>
      <c r="U3511" s="1008" t="s">
        <v>653</v>
      </c>
      <c r="V3511" s="1008" t="s">
        <v>648</v>
      </c>
      <c r="W3511" s="1008" t="s">
        <v>546</v>
      </c>
      <c r="X3511" s="1008" t="s">
        <v>670</v>
      </c>
      <c r="Y3511" s="1008"/>
      <c r="Z3511" s="1008"/>
      <c r="AA3511" s="1008" t="s">
        <v>670</v>
      </c>
      <c r="AB3511" s="1008"/>
      <c r="AC3511" s="1008"/>
      <c r="AD3511" s="1008"/>
      <c r="AE3511" s="1008"/>
      <c r="AF3511" s="1008"/>
      <c r="AG3511" s="1008" t="s">
        <v>670</v>
      </c>
      <c r="AH3511" s="1008"/>
      <c r="AI3511" s="1008"/>
    </row>
    <row r="3512" spans="1:35">
      <c r="A3512" s="1008">
        <v>27948</v>
      </c>
      <c r="B3512" s="1008">
        <v>6698</v>
      </c>
      <c r="C3512" s="1008">
        <v>7</v>
      </c>
      <c r="D3512" s="1009">
        <v>73049999</v>
      </c>
      <c r="E3512" s="1009">
        <v>73046000</v>
      </c>
      <c r="F3512" s="1007" t="s">
        <v>1413</v>
      </c>
      <c r="G3512" s="1007" t="s">
        <v>648</v>
      </c>
      <c r="H3512" s="1010">
        <v>99999999</v>
      </c>
      <c r="I3512" s="1009">
        <v>73046000</v>
      </c>
      <c r="J3512" s="1007" t="s">
        <v>1413</v>
      </c>
      <c r="O3512" s="1007" t="s">
        <v>648</v>
      </c>
      <c r="P3512" s="1007" t="s">
        <v>648</v>
      </c>
      <c r="S3512" s="1008" t="s">
        <v>650</v>
      </c>
      <c r="T3512" s="1008" t="s">
        <v>654</v>
      </c>
      <c r="U3512" s="1008" t="s">
        <v>653</v>
      </c>
      <c r="V3512" s="1008" t="s">
        <v>648</v>
      </c>
      <c r="W3512" s="1008" t="s">
        <v>546</v>
      </c>
      <c r="X3512" s="1008" t="s">
        <v>670</v>
      </c>
      <c r="Y3512" s="1008"/>
      <c r="Z3512" s="1008"/>
      <c r="AA3512" s="1008" t="s">
        <v>670</v>
      </c>
      <c r="AB3512" s="1008"/>
      <c r="AC3512" s="1008"/>
      <c r="AD3512" s="1008"/>
      <c r="AE3512" s="1008"/>
      <c r="AF3512" s="1008"/>
      <c r="AG3512" s="1008" t="s">
        <v>670</v>
      </c>
      <c r="AH3512" s="1008"/>
      <c r="AI3512" s="1008"/>
    </row>
    <row r="3513" spans="1:35">
      <c r="A3513" s="1008">
        <v>27949</v>
      </c>
      <c r="B3513" s="1008">
        <v>6699</v>
      </c>
      <c r="C3513" s="1008">
        <v>7</v>
      </c>
      <c r="D3513" s="1009">
        <v>73049999</v>
      </c>
      <c r="E3513" s="1009">
        <v>73048000</v>
      </c>
      <c r="F3513" s="1007" t="s">
        <v>1412</v>
      </c>
      <c r="G3513" s="1007" t="s">
        <v>648</v>
      </c>
      <c r="H3513" s="1010">
        <v>99999999</v>
      </c>
      <c r="I3513" s="1009">
        <v>73048000</v>
      </c>
      <c r="J3513" s="1007" t="s">
        <v>1412</v>
      </c>
      <c r="O3513" s="1007" t="s">
        <v>648</v>
      </c>
      <c r="P3513" s="1007" t="s">
        <v>648</v>
      </c>
      <c r="S3513" s="1008" t="s">
        <v>650</v>
      </c>
      <c r="T3513" s="1008" t="s">
        <v>654</v>
      </c>
      <c r="U3513" s="1008" t="s">
        <v>653</v>
      </c>
      <c r="V3513" s="1008" t="s">
        <v>648</v>
      </c>
      <c r="W3513" s="1008" t="s">
        <v>546</v>
      </c>
      <c r="X3513" s="1008" t="s">
        <v>670</v>
      </c>
      <c r="Y3513" s="1008"/>
      <c r="Z3513" s="1008"/>
      <c r="AA3513" s="1008" t="s">
        <v>670</v>
      </c>
      <c r="AB3513" s="1008"/>
      <c r="AC3513" s="1008"/>
      <c r="AD3513" s="1008"/>
      <c r="AE3513" s="1008"/>
      <c r="AF3513" s="1008"/>
      <c r="AG3513" s="1008" t="s">
        <v>670</v>
      </c>
      <c r="AH3513" s="1008"/>
      <c r="AI3513" s="1008"/>
    </row>
    <row r="3514" spans="1:35">
      <c r="A3514" s="1008">
        <v>27950</v>
      </c>
      <c r="C3514" s="1008">
        <v>6</v>
      </c>
      <c r="D3514" s="1009">
        <v>73199999</v>
      </c>
      <c r="E3514" s="1009">
        <v>73049999</v>
      </c>
      <c r="F3514" s="1007" t="s">
        <v>1411</v>
      </c>
      <c r="O3514" s="1007" t="s">
        <v>648</v>
      </c>
      <c r="P3514" s="1007" t="s">
        <v>648</v>
      </c>
      <c r="S3514" s="1008" t="s">
        <v>650</v>
      </c>
      <c r="T3514" s="1008" t="s">
        <v>21</v>
      </c>
      <c r="U3514" s="1008" t="s">
        <v>653</v>
      </c>
      <c r="V3514" s="1008" t="s">
        <v>648</v>
      </c>
      <c r="W3514" s="1008" t="s">
        <v>546</v>
      </c>
      <c r="X3514" s="1008"/>
      <c r="Y3514" s="1008"/>
      <c r="Z3514" s="1008"/>
      <c r="AA3514" s="1008"/>
      <c r="AB3514" s="1008"/>
      <c r="AC3514" s="1008"/>
      <c r="AD3514" s="1008"/>
      <c r="AE3514" s="1008"/>
      <c r="AF3514" s="1008"/>
      <c r="AG3514" s="1008"/>
      <c r="AH3514" s="1008"/>
      <c r="AI3514" s="1008"/>
    </row>
    <row r="3515" spans="1:35">
      <c r="A3515" s="1008">
        <v>27951</v>
      </c>
      <c r="C3515" s="1008">
        <v>6</v>
      </c>
      <c r="D3515" s="1009">
        <v>73099999</v>
      </c>
      <c r="E3515" s="1009">
        <v>73050000</v>
      </c>
      <c r="F3515" s="1007" t="s">
        <v>1410</v>
      </c>
      <c r="O3515" s="1007" t="s">
        <v>648</v>
      </c>
      <c r="P3515" s="1007" t="s">
        <v>648</v>
      </c>
      <c r="S3515" s="1008" t="s">
        <v>650</v>
      </c>
      <c r="T3515" s="1008" t="s">
        <v>675</v>
      </c>
      <c r="U3515" s="1008" t="s">
        <v>653</v>
      </c>
      <c r="V3515" s="1008" t="s">
        <v>648</v>
      </c>
      <c r="W3515" s="1008" t="s">
        <v>546</v>
      </c>
      <c r="X3515" s="1008"/>
      <c r="Y3515" s="1008"/>
      <c r="Z3515" s="1008"/>
      <c r="AA3515" s="1008"/>
      <c r="AB3515" s="1008"/>
      <c r="AC3515" s="1008"/>
      <c r="AD3515" s="1008"/>
      <c r="AE3515" s="1008"/>
      <c r="AF3515" s="1008"/>
      <c r="AG3515" s="1008"/>
      <c r="AH3515" s="1008"/>
      <c r="AI3515" s="1008"/>
    </row>
    <row r="3516" spans="1:35">
      <c r="A3516" s="1008">
        <v>27952</v>
      </c>
      <c r="B3516" s="1008">
        <v>6700</v>
      </c>
      <c r="C3516" s="1008">
        <v>7</v>
      </c>
      <c r="D3516" s="1009">
        <v>73099999</v>
      </c>
      <c r="E3516" s="1009">
        <v>73051000</v>
      </c>
      <c r="F3516" s="1007" t="s">
        <v>1409</v>
      </c>
      <c r="G3516" s="1007" t="s">
        <v>648</v>
      </c>
      <c r="H3516" s="1010">
        <v>99999999</v>
      </c>
      <c r="I3516" s="1009">
        <v>73051000</v>
      </c>
      <c r="J3516" s="1007" t="s">
        <v>1409</v>
      </c>
      <c r="O3516" s="1007" t="s">
        <v>648</v>
      </c>
      <c r="P3516" s="1007" t="s">
        <v>648</v>
      </c>
      <c r="S3516" s="1008" t="s">
        <v>650</v>
      </c>
      <c r="T3516" s="1008" t="s">
        <v>654</v>
      </c>
      <c r="U3516" s="1008" t="s">
        <v>653</v>
      </c>
      <c r="V3516" s="1008" t="s">
        <v>648</v>
      </c>
      <c r="W3516" s="1008" t="s">
        <v>546</v>
      </c>
      <c r="X3516" s="1008" t="s">
        <v>670</v>
      </c>
      <c r="Y3516" s="1008"/>
      <c r="Z3516" s="1008"/>
      <c r="AA3516" s="1008" t="s">
        <v>670</v>
      </c>
      <c r="AB3516" s="1008"/>
      <c r="AC3516" s="1008"/>
      <c r="AD3516" s="1008"/>
      <c r="AE3516" s="1008"/>
      <c r="AF3516" s="1008"/>
      <c r="AG3516" s="1008" t="s">
        <v>670</v>
      </c>
      <c r="AH3516" s="1008"/>
      <c r="AI3516" s="1008"/>
    </row>
    <row r="3517" spans="1:35">
      <c r="A3517" s="1008">
        <v>27953</v>
      </c>
      <c r="B3517" s="1008">
        <v>6701</v>
      </c>
      <c r="C3517" s="1008">
        <v>7</v>
      </c>
      <c r="D3517" s="1009">
        <v>73099999</v>
      </c>
      <c r="E3517" s="1009">
        <v>73052000</v>
      </c>
      <c r="F3517" s="1007" t="s">
        <v>1408</v>
      </c>
      <c r="G3517" s="1007" t="s">
        <v>648</v>
      </c>
      <c r="H3517" s="1010">
        <v>99999999</v>
      </c>
      <c r="I3517" s="1009">
        <v>73052000</v>
      </c>
      <c r="J3517" s="1007" t="s">
        <v>1408</v>
      </c>
      <c r="O3517" s="1007" t="s">
        <v>648</v>
      </c>
      <c r="P3517" s="1007" t="s">
        <v>648</v>
      </c>
      <c r="S3517" s="1008" t="s">
        <v>650</v>
      </c>
      <c r="T3517" s="1008" t="s">
        <v>654</v>
      </c>
      <c r="U3517" s="1008" t="s">
        <v>653</v>
      </c>
      <c r="V3517" s="1008" t="s">
        <v>648</v>
      </c>
      <c r="W3517" s="1008" t="s">
        <v>546</v>
      </c>
      <c r="X3517" s="1008" t="s">
        <v>670</v>
      </c>
      <c r="Y3517" s="1008"/>
      <c r="Z3517" s="1008"/>
      <c r="AA3517" s="1008" t="s">
        <v>670</v>
      </c>
      <c r="AB3517" s="1008"/>
      <c r="AC3517" s="1008"/>
      <c r="AD3517" s="1008"/>
      <c r="AE3517" s="1008"/>
      <c r="AF3517" s="1008"/>
      <c r="AG3517" s="1008" t="s">
        <v>670</v>
      </c>
      <c r="AH3517" s="1008"/>
      <c r="AI3517" s="1008"/>
    </row>
    <row r="3518" spans="1:35">
      <c r="A3518" s="1008">
        <v>27954</v>
      </c>
      <c r="B3518" s="1008">
        <v>6702</v>
      </c>
      <c r="C3518" s="1008">
        <v>7</v>
      </c>
      <c r="D3518" s="1009">
        <v>73099999</v>
      </c>
      <c r="E3518" s="1009">
        <v>73053000</v>
      </c>
      <c r="F3518" s="1007" t="s">
        <v>1407</v>
      </c>
      <c r="G3518" s="1007" t="s">
        <v>648</v>
      </c>
      <c r="H3518" s="1010">
        <v>99999999</v>
      </c>
      <c r="I3518" s="1009">
        <v>73053000</v>
      </c>
      <c r="J3518" s="1007" t="s">
        <v>1407</v>
      </c>
      <c r="O3518" s="1007" t="s">
        <v>648</v>
      </c>
      <c r="P3518" s="1007" t="s">
        <v>648</v>
      </c>
      <c r="S3518" s="1008" t="s">
        <v>650</v>
      </c>
      <c r="T3518" s="1008" t="s">
        <v>654</v>
      </c>
      <c r="U3518" s="1008" t="s">
        <v>653</v>
      </c>
      <c r="V3518" s="1008" t="s">
        <v>648</v>
      </c>
      <c r="W3518" s="1008" t="s">
        <v>546</v>
      </c>
      <c r="X3518" s="1008" t="s">
        <v>670</v>
      </c>
      <c r="Y3518" s="1008"/>
      <c r="Z3518" s="1008"/>
      <c r="AA3518" s="1008" t="s">
        <v>670</v>
      </c>
      <c r="AB3518" s="1008"/>
      <c r="AC3518" s="1008"/>
      <c r="AD3518" s="1008"/>
      <c r="AE3518" s="1008"/>
      <c r="AF3518" s="1008"/>
      <c r="AG3518" s="1008" t="s">
        <v>670</v>
      </c>
      <c r="AH3518" s="1008"/>
      <c r="AI3518" s="1008"/>
    </row>
    <row r="3519" spans="1:35">
      <c r="A3519" s="1008">
        <v>27955</v>
      </c>
      <c r="B3519" s="1008">
        <v>6703</v>
      </c>
      <c r="C3519" s="1008">
        <v>7</v>
      </c>
      <c r="D3519" s="1009">
        <v>73099999</v>
      </c>
      <c r="E3519" s="1009">
        <v>73054000</v>
      </c>
      <c r="F3519" s="1007" t="s">
        <v>1406</v>
      </c>
      <c r="G3519" s="1007" t="s">
        <v>648</v>
      </c>
      <c r="H3519" s="1010">
        <v>99999999</v>
      </c>
      <c r="I3519" s="1009">
        <v>73054000</v>
      </c>
      <c r="J3519" s="1007" t="s">
        <v>1406</v>
      </c>
      <c r="O3519" s="1007" t="s">
        <v>648</v>
      </c>
      <c r="P3519" s="1007" t="s">
        <v>648</v>
      </c>
      <c r="S3519" s="1008" t="s">
        <v>650</v>
      </c>
      <c r="T3519" s="1008" t="s">
        <v>654</v>
      </c>
      <c r="U3519" s="1008" t="s">
        <v>653</v>
      </c>
      <c r="V3519" s="1008" t="s">
        <v>648</v>
      </c>
      <c r="W3519" s="1008" t="s">
        <v>546</v>
      </c>
      <c r="X3519" s="1008" t="s">
        <v>670</v>
      </c>
      <c r="Y3519" s="1008"/>
      <c r="Z3519" s="1008"/>
      <c r="AA3519" s="1008" t="s">
        <v>670</v>
      </c>
      <c r="AB3519" s="1008"/>
      <c r="AC3519" s="1008"/>
      <c r="AD3519" s="1008"/>
      <c r="AE3519" s="1008"/>
      <c r="AF3519" s="1008"/>
      <c r="AG3519" s="1008" t="s">
        <v>670</v>
      </c>
      <c r="AH3519" s="1008"/>
      <c r="AI3519" s="1008"/>
    </row>
    <row r="3520" spans="1:35">
      <c r="A3520" s="1008">
        <v>27956</v>
      </c>
      <c r="B3520" s="1008">
        <v>6704</v>
      </c>
      <c r="C3520" s="1008">
        <v>7</v>
      </c>
      <c r="D3520" s="1009">
        <v>73099999</v>
      </c>
      <c r="E3520" s="1009">
        <v>73055000</v>
      </c>
      <c r="F3520" s="1007" t="s">
        <v>1405</v>
      </c>
      <c r="G3520" s="1007" t="s">
        <v>648</v>
      </c>
      <c r="H3520" s="1010">
        <v>99999999</v>
      </c>
      <c r="I3520" s="1009">
        <v>73055000</v>
      </c>
      <c r="J3520" s="1007" t="s">
        <v>1404</v>
      </c>
      <c r="O3520" s="1007" t="s">
        <v>648</v>
      </c>
      <c r="P3520" s="1007" t="s">
        <v>648</v>
      </c>
      <c r="S3520" s="1008" t="s">
        <v>650</v>
      </c>
      <c r="T3520" s="1008" t="s">
        <v>654</v>
      </c>
      <c r="U3520" s="1008" t="s">
        <v>653</v>
      </c>
      <c r="V3520" s="1008" t="s">
        <v>648</v>
      </c>
      <c r="W3520" s="1008" t="s">
        <v>546</v>
      </c>
      <c r="X3520" s="1008" t="s">
        <v>670</v>
      </c>
      <c r="Y3520" s="1008"/>
      <c r="Z3520" s="1008"/>
      <c r="AA3520" s="1008" t="s">
        <v>670</v>
      </c>
      <c r="AB3520" s="1008"/>
      <c r="AC3520" s="1008"/>
      <c r="AD3520" s="1008"/>
      <c r="AE3520" s="1008"/>
      <c r="AF3520" s="1008"/>
      <c r="AG3520" s="1008" t="s">
        <v>670</v>
      </c>
      <c r="AH3520" s="1008"/>
      <c r="AI3520" s="1008"/>
    </row>
    <row r="3521" spans="1:35">
      <c r="A3521" s="1008">
        <v>27957</v>
      </c>
      <c r="B3521" s="1008">
        <v>6705</v>
      </c>
      <c r="C3521" s="1008">
        <v>7</v>
      </c>
      <c r="D3521" s="1009">
        <v>73099999</v>
      </c>
      <c r="E3521" s="1009">
        <v>73056000</v>
      </c>
      <c r="F3521" s="1007" t="s">
        <v>1403</v>
      </c>
      <c r="G3521" s="1007" t="s">
        <v>648</v>
      </c>
      <c r="H3521" s="1010">
        <v>99999999</v>
      </c>
      <c r="I3521" s="1009">
        <v>73056000</v>
      </c>
      <c r="J3521" s="1007" t="s">
        <v>1403</v>
      </c>
      <c r="O3521" s="1007" t="s">
        <v>648</v>
      </c>
      <c r="P3521" s="1007" t="s">
        <v>648</v>
      </c>
      <c r="S3521" s="1008" t="s">
        <v>650</v>
      </c>
      <c r="T3521" s="1008" t="s">
        <v>654</v>
      </c>
      <c r="U3521" s="1008" t="s">
        <v>653</v>
      </c>
      <c r="V3521" s="1008" t="s">
        <v>648</v>
      </c>
      <c r="W3521" s="1008" t="s">
        <v>546</v>
      </c>
      <c r="X3521" s="1008" t="s">
        <v>670</v>
      </c>
      <c r="Y3521" s="1008"/>
      <c r="Z3521" s="1008"/>
      <c r="AA3521" s="1008" t="s">
        <v>670</v>
      </c>
      <c r="AB3521" s="1008"/>
      <c r="AC3521" s="1008"/>
      <c r="AD3521" s="1008"/>
      <c r="AE3521" s="1008"/>
      <c r="AF3521" s="1008"/>
      <c r="AG3521" s="1008" t="s">
        <v>670</v>
      </c>
      <c r="AH3521" s="1008"/>
      <c r="AI3521" s="1008"/>
    </row>
    <row r="3522" spans="1:35">
      <c r="A3522" s="1008">
        <v>27958</v>
      </c>
      <c r="B3522" s="1008">
        <v>6706</v>
      </c>
      <c r="C3522" s="1008">
        <v>7</v>
      </c>
      <c r="D3522" s="1009">
        <v>73099999</v>
      </c>
      <c r="E3522" s="1009">
        <v>73057000</v>
      </c>
      <c r="F3522" s="1007" t="s">
        <v>1402</v>
      </c>
      <c r="G3522" s="1007" t="s">
        <v>648</v>
      </c>
      <c r="H3522" s="1010">
        <v>99999999</v>
      </c>
      <c r="I3522" s="1009">
        <v>73057000</v>
      </c>
      <c r="J3522" s="1007" t="s">
        <v>1402</v>
      </c>
      <c r="O3522" s="1007" t="s">
        <v>648</v>
      </c>
      <c r="P3522" s="1007" t="s">
        <v>648</v>
      </c>
      <c r="S3522" s="1008" t="s">
        <v>650</v>
      </c>
      <c r="T3522" s="1008" t="s">
        <v>654</v>
      </c>
      <c r="U3522" s="1008" t="s">
        <v>653</v>
      </c>
      <c r="V3522" s="1008" t="s">
        <v>648</v>
      </c>
      <c r="W3522" s="1008" t="s">
        <v>546</v>
      </c>
      <c r="X3522" s="1008" t="s">
        <v>670</v>
      </c>
      <c r="Y3522" s="1008"/>
      <c r="Z3522" s="1008"/>
      <c r="AA3522" s="1008" t="s">
        <v>670</v>
      </c>
      <c r="AB3522" s="1008"/>
      <c r="AC3522" s="1008"/>
      <c r="AD3522" s="1008"/>
      <c r="AE3522" s="1008"/>
      <c r="AF3522" s="1008"/>
      <c r="AG3522" s="1008" t="s">
        <v>670</v>
      </c>
      <c r="AH3522" s="1008"/>
      <c r="AI3522" s="1008"/>
    </row>
    <row r="3523" spans="1:35">
      <c r="A3523" s="1008">
        <v>27959</v>
      </c>
      <c r="B3523" s="1008">
        <v>6707</v>
      </c>
      <c r="C3523" s="1008">
        <v>7</v>
      </c>
      <c r="D3523" s="1009">
        <v>73099999</v>
      </c>
      <c r="E3523" s="1009">
        <v>73058000</v>
      </c>
      <c r="F3523" s="1007" t="s">
        <v>1401</v>
      </c>
      <c r="G3523" s="1007" t="s">
        <v>648</v>
      </c>
      <c r="H3523" s="1010">
        <v>99999999</v>
      </c>
      <c r="I3523" s="1009">
        <v>73058000</v>
      </c>
      <c r="J3523" s="1007" t="s">
        <v>1400</v>
      </c>
      <c r="O3523" s="1007" t="s">
        <v>648</v>
      </c>
      <c r="P3523" s="1007" t="s">
        <v>648</v>
      </c>
      <c r="S3523" s="1008" t="s">
        <v>650</v>
      </c>
      <c r="T3523" s="1008" t="s">
        <v>654</v>
      </c>
      <c r="U3523" s="1008" t="s">
        <v>653</v>
      </c>
      <c r="V3523" s="1008" t="s">
        <v>648</v>
      </c>
      <c r="W3523" s="1008" t="s">
        <v>546</v>
      </c>
      <c r="X3523" s="1008" t="s">
        <v>670</v>
      </c>
      <c r="Y3523" s="1008"/>
      <c r="Z3523" s="1008"/>
      <c r="AA3523" s="1008" t="s">
        <v>670</v>
      </c>
      <c r="AB3523" s="1008"/>
      <c r="AC3523" s="1008"/>
      <c r="AD3523" s="1008"/>
      <c r="AE3523" s="1008"/>
      <c r="AF3523" s="1008"/>
      <c r="AG3523" s="1008" t="s">
        <v>670</v>
      </c>
      <c r="AH3523" s="1008"/>
      <c r="AI3523" s="1008"/>
    </row>
    <row r="3524" spans="1:35">
      <c r="A3524" s="1008">
        <v>27960</v>
      </c>
      <c r="B3524" s="1008">
        <v>6708</v>
      </c>
      <c r="C3524" s="1008">
        <v>7</v>
      </c>
      <c r="D3524" s="1009">
        <v>73099999</v>
      </c>
      <c r="E3524" s="1009">
        <v>73059000</v>
      </c>
      <c r="F3524" s="1007" t="s">
        <v>1399</v>
      </c>
      <c r="G3524" s="1007" t="s">
        <v>648</v>
      </c>
      <c r="H3524" s="1010">
        <v>99999999</v>
      </c>
      <c r="I3524" s="1009">
        <v>73059000</v>
      </c>
      <c r="J3524" s="1007" t="s">
        <v>1399</v>
      </c>
      <c r="O3524" s="1007" t="s">
        <v>648</v>
      </c>
      <c r="P3524" s="1007" t="s">
        <v>648</v>
      </c>
      <c r="S3524" s="1008" t="s">
        <v>650</v>
      </c>
      <c r="T3524" s="1008" t="s">
        <v>654</v>
      </c>
      <c r="U3524" s="1008" t="s">
        <v>653</v>
      </c>
      <c r="V3524" s="1008" t="s">
        <v>648</v>
      </c>
      <c r="W3524" s="1008" t="s">
        <v>546</v>
      </c>
      <c r="X3524" s="1008" t="s">
        <v>670</v>
      </c>
      <c r="Y3524" s="1008"/>
      <c r="Z3524" s="1008"/>
      <c r="AA3524" s="1008" t="s">
        <v>670</v>
      </c>
      <c r="AB3524" s="1008"/>
      <c r="AC3524" s="1008"/>
      <c r="AD3524" s="1008"/>
      <c r="AE3524" s="1008"/>
      <c r="AF3524" s="1008"/>
      <c r="AG3524" s="1008" t="s">
        <v>670</v>
      </c>
      <c r="AH3524" s="1008"/>
      <c r="AI3524" s="1008"/>
    </row>
    <row r="3525" spans="1:35">
      <c r="A3525" s="1008">
        <v>27961</v>
      </c>
      <c r="B3525" s="1008">
        <v>6709</v>
      </c>
      <c r="C3525" s="1008">
        <v>7</v>
      </c>
      <c r="D3525" s="1009">
        <v>73099999</v>
      </c>
      <c r="E3525" s="1009">
        <v>73060000</v>
      </c>
      <c r="F3525" s="1007" t="s">
        <v>1398</v>
      </c>
      <c r="G3525" s="1007" t="s">
        <v>648</v>
      </c>
      <c r="H3525" s="1010">
        <v>99999999</v>
      </c>
      <c r="I3525" s="1009">
        <v>73060000</v>
      </c>
      <c r="J3525" s="1007" t="s">
        <v>1397</v>
      </c>
      <c r="O3525" s="1007" t="s">
        <v>648</v>
      </c>
      <c r="P3525" s="1007" t="s">
        <v>648</v>
      </c>
      <c r="S3525" s="1008" t="s">
        <v>650</v>
      </c>
      <c r="T3525" s="1008" t="s">
        <v>654</v>
      </c>
      <c r="U3525" s="1008" t="s">
        <v>653</v>
      </c>
      <c r="V3525" s="1008" t="s">
        <v>648</v>
      </c>
      <c r="W3525" s="1008" t="s">
        <v>546</v>
      </c>
      <c r="X3525" s="1008" t="s">
        <v>670</v>
      </c>
      <c r="Y3525" s="1008"/>
      <c r="Z3525" s="1008"/>
      <c r="AA3525" s="1008" t="s">
        <v>670</v>
      </c>
      <c r="AB3525" s="1008"/>
      <c r="AC3525" s="1008"/>
      <c r="AD3525" s="1008"/>
      <c r="AE3525" s="1008"/>
      <c r="AF3525" s="1008"/>
      <c r="AG3525" s="1008" t="s">
        <v>670</v>
      </c>
      <c r="AH3525" s="1008"/>
      <c r="AI3525" s="1008"/>
    </row>
    <row r="3526" spans="1:35">
      <c r="A3526" s="1008">
        <v>27962</v>
      </c>
      <c r="B3526" s="1008">
        <v>6710</v>
      </c>
      <c r="C3526" s="1008">
        <v>7</v>
      </c>
      <c r="D3526" s="1009">
        <v>73099999</v>
      </c>
      <c r="E3526" s="1009">
        <v>73061000</v>
      </c>
      <c r="F3526" s="1007" t="s">
        <v>1396</v>
      </c>
      <c r="G3526" s="1007" t="s">
        <v>648</v>
      </c>
      <c r="H3526" s="1010">
        <v>99999999</v>
      </c>
      <c r="I3526" s="1009">
        <v>73061000</v>
      </c>
      <c r="J3526" s="1007" t="s">
        <v>1396</v>
      </c>
      <c r="O3526" s="1007" t="s">
        <v>648</v>
      </c>
      <c r="P3526" s="1007" t="s">
        <v>648</v>
      </c>
      <c r="S3526" s="1008" t="s">
        <v>650</v>
      </c>
      <c r="T3526" s="1008" t="s">
        <v>654</v>
      </c>
      <c r="U3526" s="1008" t="s">
        <v>653</v>
      </c>
      <c r="V3526" s="1008" t="s">
        <v>648</v>
      </c>
      <c r="W3526" s="1008" t="s">
        <v>546</v>
      </c>
      <c r="X3526" s="1008" t="s">
        <v>670</v>
      </c>
      <c r="Y3526" s="1008"/>
      <c r="Z3526" s="1008"/>
      <c r="AA3526" s="1008" t="s">
        <v>670</v>
      </c>
      <c r="AB3526" s="1008"/>
      <c r="AC3526" s="1008"/>
      <c r="AD3526" s="1008"/>
      <c r="AE3526" s="1008"/>
      <c r="AF3526" s="1008"/>
      <c r="AG3526" s="1008" t="s">
        <v>670</v>
      </c>
      <c r="AH3526" s="1008"/>
      <c r="AI3526" s="1008"/>
    </row>
    <row r="3527" spans="1:35">
      <c r="A3527" s="1008">
        <v>27963</v>
      </c>
      <c r="B3527" s="1008">
        <v>6711</v>
      </c>
      <c r="C3527" s="1008">
        <v>7</v>
      </c>
      <c r="D3527" s="1009">
        <v>73099999</v>
      </c>
      <c r="E3527" s="1009">
        <v>73062000</v>
      </c>
      <c r="F3527" s="1007" t="s">
        <v>1395</v>
      </c>
      <c r="G3527" s="1007" t="s">
        <v>648</v>
      </c>
      <c r="H3527" s="1010">
        <v>99999999</v>
      </c>
      <c r="I3527" s="1009">
        <v>73062000</v>
      </c>
      <c r="J3527" s="1007" t="s">
        <v>1395</v>
      </c>
      <c r="O3527" s="1007" t="s">
        <v>648</v>
      </c>
      <c r="P3527" s="1007" t="s">
        <v>648</v>
      </c>
      <c r="S3527" s="1008" t="s">
        <v>650</v>
      </c>
      <c r="T3527" s="1008" t="s">
        <v>654</v>
      </c>
      <c r="U3527" s="1008" t="s">
        <v>653</v>
      </c>
      <c r="V3527" s="1008" t="s">
        <v>648</v>
      </c>
      <c r="W3527" s="1008" t="s">
        <v>546</v>
      </c>
      <c r="X3527" s="1008" t="s">
        <v>670</v>
      </c>
      <c r="Y3527" s="1008"/>
      <c r="Z3527" s="1008"/>
      <c r="AA3527" s="1008" t="s">
        <v>670</v>
      </c>
      <c r="AB3527" s="1008"/>
      <c r="AC3527" s="1008"/>
      <c r="AD3527" s="1008"/>
      <c r="AE3527" s="1008"/>
      <c r="AF3527" s="1008"/>
      <c r="AG3527" s="1008" t="s">
        <v>670</v>
      </c>
      <c r="AH3527" s="1008"/>
      <c r="AI3527" s="1008"/>
    </row>
    <row r="3528" spans="1:35">
      <c r="A3528" s="1008">
        <v>27964</v>
      </c>
      <c r="B3528" s="1008">
        <v>6712</v>
      </c>
      <c r="C3528" s="1008">
        <v>7</v>
      </c>
      <c r="D3528" s="1009">
        <v>73099999</v>
      </c>
      <c r="E3528" s="1009">
        <v>73063000</v>
      </c>
      <c r="F3528" s="1007" t="s">
        <v>1394</v>
      </c>
      <c r="G3528" s="1007" t="s">
        <v>648</v>
      </c>
      <c r="H3528" s="1010">
        <v>99999999</v>
      </c>
      <c r="I3528" s="1009">
        <v>73063000</v>
      </c>
      <c r="J3528" s="1007" t="s">
        <v>1394</v>
      </c>
      <c r="O3528" s="1007" t="s">
        <v>648</v>
      </c>
      <c r="P3528" s="1007" t="s">
        <v>648</v>
      </c>
      <c r="S3528" s="1008" t="s">
        <v>650</v>
      </c>
      <c r="T3528" s="1008" t="s">
        <v>654</v>
      </c>
      <c r="U3528" s="1008" t="s">
        <v>653</v>
      </c>
      <c r="V3528" s="1008" t="s">
        <v>648</v>
      </c>
      <c r="W3528" s="1008" t="s">
        <v>546</v>
      </c>
      <c r="X3528" s="1008" t="s">
        <v>670</v>
      </c>
      <c r="Y3528" s="1008"/>
      <c r="Z3528" s="1008"/>
      <c r="AA3528" s="1008" t="s">
        <v>670</v>
      </c>
      <c r="AB3528" s="1008"/>
      <c r="AC3528" s="1008"/>
      <c r="AD3528" s="1008"/>
      <c r="AE3528" s="1008"/>
      <c r="AF3528" s="1008"/>
      <c r="AG3528" s="1008" t="s">
        <v>670</v>
      </c>
      <c r="AH3528" s="1008"/>
      <c r="AI3528" s="1008"/>
    </row>
    <row r="3529" spans="1:35">
      <c r="A3529" s="1008">
        <v>27965</v>
      </c>
      <c r="B3529" s="1008">
        <v>6713</v>
      </c>
      <c r="C3529" s="1008">
        <v>7</v>
      </c>
      <c r="D3529" s="1009">
        <v>73099999</v>
      </c>
      <c r="E3529" s="1009">
        <v>73064000</v>
      </c>
      <c r="F3529" s="1007" t="s">
        <v>1393</v>
      </c>
      <c r="G3529" s="1007" t="s">
        <v>648</v>
      </c>
      <c r="H3529" s="1010">
        <v>99999999</v>
      </c>
      <c r="I3529" s="1009">
        <v>73064000</v>
      </c>
      <c r="J3529" s="1007" t="s">
        <v>1392</v>
      </c>
      <c r="O3529" s="1007" t="s">
        <v>648</v>
      </c>
      <c r="P3529" s="1007" t="s">
        <v>648</v>
      </c>
      <c r="S3529" s="1008" t="s">
        <v>650</v>
      </c>
      <c r="T3529" s="1008" t="s">
        <v>654</v>
      </c>
      <c r="U3529" s="1008" t="s">
        <v>653</v>
      </c>
      <c r="V3529" s="1008" t="s">
        <v>648</v>
      </c>
      <c r="W3529" s="1008" t="s">
        <v>546</v>
      </c>
      <c r="X3529" s="1008" t="s">
        <v>670</v>
      </c>
      <c r="Y3529" s="1008"/>
      <c r="Z3529" s="1008"/>
      <c r="AA3529" s="1008" t="s">
        <v>670</v>
      </c>
      <c r="AB3529" s="1008"/>
      <c r="AC3529" s="1008"/>
      <c r="AD3529" s="1008"/>
      <c r="AE3529" s="1008"/>
      <c r="AF3529" s="1008"/>
      <c r="AG3529" s="1008" t="s">
        <v>670</v>
      </c>
      <c r="AH3529" s="1008"/>
      <c r="AI3529" s="1008"/>
    </row>
    <row r="3530" spans="1:35">
      <c r="A3530" s="1008">
        <v>27966</v>
      </c>
      <c r="B3530" s="1008">
        <v>6714</v>
      </c>
      <c r="C3530" s="1008">
        <v>7</v>
      </c>
      <c r="D3530" s="1009">
        <v>73099999</v>
      </c>
      <c r="E3530" s="1009">
        <v>73065000</v>
      </c>
      <c r="F3530" s="1007" t="s">
        <v>1391</v>
      </c>
      <c r="G3530" s="1007" t="s">
        <v>648</v>
      </c>
      <c r="H3530" s="1010">
        <v>99999999</v>
      </c>
      <c r="I3530" s="1009">
        <v>73065000</v>
      </c>
      <c r="J3530" s="1007" t="s">
        <v>1391</v>
      </c>
      <c r="O3530" s="1007" t="s">
        <v>648</v>
      </c>
      <c r="P3530" s="1007" t="s">
        <v>648</v>
      </c>
      <c r="S3530" s="1008" t="s">
        <v>650</v>
      </c>
      <c r="T3530" s="1008" t="s">
        <v>654</v>
      </c>
      <c r="U3530" s="1008" t="s">
        <v>653</v>
      </c>
      <c r="V3530" s="1008" t="s">
        <v>648</v>
      </c>
      <c r="W3530" s="1008" t="s">
        <v>546</v>
      </c>
      <c r="X3530" s="1008" t="s">
        <v>670</v>
      </c>
      <c r="Y3530" s="1008"/>
      <c r="Z3530" s="1008"/>
      <c r="AA3530" s="1008" t="s">
        <v>670</v>
      </c>
      <c r="AB3530" s="1008"/>
      <c r="AC3530" s="1008"/>
      <c r="AD3530" s="1008"/>
      <c r="AE3530" s="1008"/>
      <c r="AF3530" s="1008"/>
      <c r="AG3530" s="1008" t="s">
        <v>670</v>
      </c>
      <c r="AH3530" s="1008"/>
      <c r="AI3530" s="1008"/>
    </row>
    <row r="3531" spans="1:35">
      <c r="A3531" s="1008">
        <v>27967</v>
      </c>
      <c r="B3531" s="1008">
        <v>6715</v>
      </c>
      <c r="C3531" s="1008">
        <v>7</v>
      </c>
      <c r="D3531" s="1009">
        <v>73099999</v>
      </c>
      <c r="E3531" s="1009">
        <v>73066000</v>
      </c>
      <c r="F3531" s="1007" t="s">
        <v>1390</v>
      </c>
      <c r="G3531" s="1007" t="s">
        <v>648</v>
      </c>
      <c r="H3531" s="1010">
        <v>99999999</v>
      </c>
      <c r="I3531" s="1009">
        <v>73066000</v>
      </c>
      <c r="J3531" s="1007" t="s">
        <v>1390</v>
      </c>
      <c r="O3531" s="1007" t="s">
        <v>648</v>
      </c>
      <c r="P3531" s="1007" t="s">
        <v>648</v>
      </c>
      <c r="S3531" s="1008" t="s">
        <v>650</v>
      </c>
      <c r="T3531" s="1008" t="s">
        <v>654</v>
      </c>
      <c r="U3531" s="1008" t="s">
        <v>653</v>
      </c>
      <c r="V3531" s="1008" t="s">
        <v>648</v>
      </c>
      <c r="W3531" s="1008" t="s">
        <v>546</v>
      </c>
      <c r="X3531" s="1008" t="s">
        <v>670</v>
      </c>
      <c r="Y3531" s="1008"/>
      <c r="Z3531" s="1008"/>
      <c r="AA3531" s="1008" t="s">
        <v>670</v>
      </c>
      <c r="AB3531" s="1008"/>
      <c r="AC3531" s="1008"/>
      <c r="AD3531" s="1008"/>
      <c r="AE3531" s="1008"/>
      <c r="AF3531" s="1008"/>
      <c r="AG3531" s="1008" t="s">
        <v>670</v>
      </c>
      <c r="AH3531" s="1008"/>
      <c r="AI3531" s="1008"/>
    </row>
    <row r="3532" spans="1:35">
      <c r="A3532" s="1008">
        <v>27968</v>
      </c>
      <c r="B3532" s="1008">
        <v>6716</v>
      </c>
      <c r="C3532" s="1008">
        <v>7</v>
      </c>
      <c r="D3532" s="1009">
        <v>73099999</v>
      </c>
      <c r="E3532" s="1009">
        <v>73067000</v>
      </c>
      <c r="F3532" s="1007" t="s">
        <v>1389</v>
      </c>
      <c r="G3532" s="1007" t="s">
        <v>648</v>
      </c>
      <c r="H3532" s="1010">
        <v>99999999</v>
      </c>
      <c r="I3532" s="1009">
        <v>73067000</v>
      </c>
      <c r="J3532" s="1007" t="s">
        <v>1389</v>
      </c>
      <c r="O3532" s="1007" t="s">
        <v>648</v>
      </c>
      <c r="P3532" s="1007" t="s">
        <v>648</v>
      </c>
      <c r="S3532" s="1008" t="s">
        <v>650</v>
      </c>
      <c r="T3532" s="1008" t="s">
        <v>654</v>
      </c>
      <c r="U3532" s="1008" t="s">
        <v>653</v>
      </c>
      <c r="V3532" s="1008" t="s">
        <v>648</v>
      </c>
      <c r="W3532" s="1008" t="s">
        <v>546</v>
      </c>
      <c r="X3532" s="1008" t="s">
        <v>670</v>
      </c>
      <c r="Y3532" s="1008"/>
      <c r="Z3532" s="1008"/>
      <c r="AA3532" s="1008" t="s">
        <v>670</v>
      </c>
      <c r="AB3532" s="1008"/>
      <c r="AC3532" s="1008"/>
      <c r="AD3532" s="1008"/>
      <c r="AE3532" s="1008"/>
      <c r="AF3532" s="1008"/>
      <c r="AG3532" s="1008" t="s">
        <v>670</v>
      </c>
      <c r="AH3532" s="1008"/>
      <c r="AI3532" s="1008"/>
    </row>
    <row r="3533" spans="1:35">
      <c r="A3533" s="1008">
        <v>27969</v>
      </c>
      <c r="B3533" s="1008">
        <v>6717</v>
      </c>
      <c r="C3533" s="1008">
        <v>7</v>
      </c>
      <c r="D3533" s="1009">
        <v>73099999</v>
      </c>
      <c r="E3533" s="1009">
        <v>73068000</v>
      </c>
      <c r="F3533" s="1007" t="s">
        <v>1388</v>
      </c>
      <c r="G3533" s="1007" t="s">
        <v>648</v>
      </c>
      <c r="H3533" s="1010">
        <v>99999999</v>
      </c>
      <c r="I3533" s="1009">
        <v>73068000</v>
      </c>
      <c r="J3533" s="1007" t="s">
        <v>1388</v>
      </c>
      <c r="O3533" s="1007" t="s">
        <v>648</v>
      </c>
      <c r="P3533" s="1007" t="s">
        <v>648</v>
      </c>
      <c r="S3533" s="1008" t="s">
        <v>650</v>
      </c>
      <c r="T3533" s="1008" t="s">
        <v>654</v>
      </c>
      <c r="U3533" s="1008" t="s">
        <v>653</v>
      </c>
      <c r="V3533" s="1008" t="s">
        <v>648</v>
      </c>
      <c r="W3533" s="1008" t="s">
        <v>546</v>
      </c>
      <c r="X3533" s="1008" t="s">
        <v>670</v>
      </c>
      <c r="Y3533" s="1008"/>
      <c r="Z3533" s="1008"/>
      <c r="AA3533" s="1008" t="s">
        <v>670</v>
      </c>
      <c r="AB3533" s="1008"/>
      <c r="AC3533" s="1008"/>
      <c r="AD3533" s="1008"/>
      <c r="AE3533" s="1008"/>
      <c r="AF3533" s="1008"/>
      <c r="AG3533" s="1008" t="s">
        <v>670</v>
      </c>
      <c r="AH3533" s="1008"/>
      <c r="AI3533" s="1008"/>
    </row>
    <row r="3534" spans="1:35">
      <c r="A3534" s="1008">
        <v>27970</v>
      </c>
      <c r="B3534" s="1008">
        <v>6718</v>
      </c>
      <c r="C3534" s="1008">
        <v>7</v>
      </c>
      <c r="D3534" s="1009">
        <v>73099999</v>
      </c>
      <c r="E3534" s="1009">
        <v>73069000</v>
      </c>
      <c r="F3534" s="1007" t="s">
        <v>1387</v>
      </c>
      <c r="G3534" s="1007" t="s">
        <v>648</v>
      </c>
      <c r="H3534" s="1010">
        <v>99999999</v>
      </c>
      <c r="I3534" s="1009">
        <v>73069000</v>
      </c>
      <c r="J3534" s="1007" t="s">
        <v>1387</v>
      </c>
      <c r="O3534" s="1007" t="s">
        <v>648</v>
      </c>
      <c r="P3534" s="1007" t="s">
        <v>648</v>
      </c>
      <c r="S3534" s="1008" t="s">
        <v>650</v>
      </c>
      <c r="T3534" s="1008" t="s">
        <v>654</v>
      </c>
      <c r="U3534" s="1008" t="s">
        <v>653</v>
      </c>
      <c r="V3534" s="1008" t="s">
        <v>648</v>
      </c>
      <c r="W3534" s="1008" t="s">
        <v>546</v>
      </c>
      <c r="X3534" s="1008" t="s">
        <v>670</v>
      </c>
      <c r="Y3534" s="1008"/>
      <c r="Z3534" s="1008"/>
      <c r="AA3534" s="1008" t="s">
        <v>670</v>
      </c>
      <c r="AB3534" s="1008"/>
      <c r="AC3534" s="1008"/>
      <c r="AD3534" s="1008"/>
      <c r="AE3534" s="1008"/>
      <c r="AF3534" s="1008"/>
      <c r="AG3534" s="1008" t="s">
        <v>670</v>
      </c>
      <c r="AH3534" s="1008"/>
      <c r="AI3534" s="1008"/>
    </row>
    <row r="3535" spans="1:35">
      <c r="A3535" s="1008">
        <v>27971</v>
      </c>
      <c r="B3535" s="1008">
        <v>6719</v>
      </c>
      <c r="C3535" s="1008">
        <v>7</v>
      </c>
      <c r="D3535" s="1009">
        <v>73099999</v>
      </c>
      <c r="E3535" s="1009">
        <v>73070000</v>
      </c>
      <c r="F3535" s="1007" t="s">
        <v>1386</v>
      </c>
      <c r="G3535" s="1007" t="s">
        <v>648</v>
      </c>
      <c r="H3535" s="1010">
        <v>99999999</v>
      </c>
      <c r="I3535" s="1009">
        <v>73070000</v>
      </c>
      <c r="J3535" s="1007" t="s">
        <v>1386</v>
      </c>
      <c r="O3535" s="1007" t="s">
        <v>648</v>
      </c>
      <c r="P3535" s="1007" t="s">
        <v>648</v>
      </c>
      <c r="S3535" s="1008" t="s">
        <v>650</v>
      </c>
      <c r="T3535" s="1008" t="s">
        <v>654</v>
      </c>
      <c r="U3535" s="1008" t="s">
        <v>653</v>
      </c>
      <c r="V3535" s="1008" t="s">
        <v>648</v>
      </c>
      <c r="W3535" s="1008" t="s">
        <v>546</v>
      </c>
      <c r="X3535" s="1008" t="s">
        <v>670</v>
      </c>
      <c r="Y3535" s="1008"/>
      <c r="Z3535" s="1008"/>
      <c r="AA3535" s="1008" t="s">
        <v>670</v>
      </c>
      <c r="AB3535" s="1008"/>
      <c r="AC3535" s="1008"/>
      <c r="AD3535" s="1008"/>
      <c r="AE3535" s="1008"/>
      <c r="AF3535" s="1008"/>
      <c r="AG3535" s="1008" t="s">
        <v>670</v>
      </c>
      <c r="AH3535" s="1008"/>
      <c r="AI3535" s="1008"/>
    </row>
    <row r="3536" spans="1:35">
      <c r="A3536" s="1008">
        <v>27972</v>
      </c>
      <c r="B3536" s="1008">
        <v>6720</v>
      </c>
      <c r="C3536" s="1008">
        <v>7</v>
      </c>
      <c r="D3536" s="1009">
        <v>73099999</v>
      </c>
      <c r="E3536" s="1009">
        <v>73071000</v>
      </c>
      <c r="F3536" s="1007" t="s">
        <v>1385</v>
      </c>
      <c r="G3536" s="1007" t="s">
        <v>648</v>
      </c>
      <c r="H3536" s="1010">
        <v>99999999</v>
      </c>
      <c r="I3536" s="1009">
        <v>73071000</v>
      </c>
      <c r="J3536" s="1007" t="s">
        <v>1385</v>
      </c>
      <c r="O3536" s="1007" t="s">
        <v>648</v>
      </c>
      <c r="P3536" s="1007" t="s">
        <v>648</v>
      </c>
      <c r="S3536" s="1008" t="s">
        <v>650</v>
      </c>
      <c r="T3536" s="1008" t="s">
        <v>654</v>
      </c>
      <c r="U3536" s="1008" t="s">
        <v>653</v>
      </c>
      <c r="V3536" s="1008" t="s">
        <v>648</v>
      </c>
      <c r="W3536" s="1008" t="s">
        <v>546</v>
      </c>
      <c r="X3536" s="1008" t="s">
        <v>670</v>
      </c>
      <c r="Y3536" s="1008"/>
      <c r="Z3536" s="1008"/>
      <c r="AA3536" s="1008" t="s">
        <v>670</v>
      </c>
      <c r="AB3536" s="1008"/>
      <c r="AC3536" s="1008"/>
      <c r="AD3536" s="1008"/>
      <c r="AE3536" s="1008"/>
      <c r="AF3536" s="1008"/>
      <c r="AG3536" s="1008" t="s">
        <v>670</v>
      </c>
      <c r="AH3536" s="1008"/>
      <c r="AI3536" s="1008"/>
    </row>
    <row r="3537" spans="1:35">
      <c r="A3537" s="1008">
        <v>27973</v>
      </c>
      <c r="B3537" s="1008">
        <v>6721</v>
      </c>
      <c r="C3537" s="1008">
        <v>7</v>
      </c>
      <c r="D3537" s="1009">
        <v>73099999</v>
      </c>
      <c r="E3537" s="1009">
        <v>73072000</v>
      </c>
      <c r="F3537" s="1007" t="s">
        <v>1384</v>
      </c>
      <c r="G3537" s="1007" t="s">
        <v>648</v>
      </c>
      <c r="H3537" s="1010">
        <v>99999999</v>
      </c>
      <c r="I3537" s="1009">
        <v>73072000</v>
      </c>
      <c r="J3537" s="1007" t="s">
        <v>1384</v>
      </c>
      <c r="O3537" s="1007" t="s">
        <v>648</v>
      </c>
      <c r="P3537" s="1007" t="s">
        <v>648</v>
      </c>
      <c r="S3537" s="1008" t="s">
        <v>650</v>
      </c>
      <c r="T3537" s="1008" t="s">
        <v>654</v>
      </c>
      <c r="U3537" s="1008" t="s">
        <v>653</v>
      </c>
      <c r="V3537" s="1008" t="s">
        <v>648</v>
      </c>
      <c r="W3537" s="1008" t="s">
        <v>546</v>
      </c>
      <c r="X3537" s="1008" t="s">
        <v>670</v>
      </c>
      <c r="Y3537" s="1008"/>
      <c r="Z3537" s="1008"/>
      <c r="AA3537" s="1008" t="s">
        <v>670</v>
      </c>
      <c r="AB3537" s="1008"/>
      <c r="AC3537" s="1008"/>
      <c r="AD3537" s="1008"/>
      <c r="AE3537" s="1008"/>
      <c r="AF3537" s="1008"/>
      <c r="AG3537" s="1008" t="s">
        <v>670</v>
      </c>
      <c r="AH3537" s="1008"/>
      <c r="AI3537" s="1008"/>
    </row>
    <row r="3538" spans="1:35">
      <c r="A3538" s="1008">
        <v>27974</v>
      </c>
      <c r="B3538" s="1008">
        <v>6722</v>
      </c>
      <c r="C3538" s="1008">
        <v>7</v>
      </c>
      <c r="D3538" s="1009">
        <v>73099999</v>
      </c>
      <c r="E3538" s="1009">
        <v>73073000</v>
      </c>
      <c r="F3538" s="1007" t="s">
        <v>1383</v>
      </c>
      <c r="G3538" s="1007" t="s">
        <v>648</v>
      </c>
      <c r="H3538" s="1010">
        <v>99999999</v>
      </c>
      <c r="I3538" s="1009">
        <v>73073000</v>
      </c>
      <c r="J3538" s="1007" t="s">
        <v>1383</v>
      </c>
      <c r="O3538" s="1007" t="s">
        <v>648</v>
      </c>
      <c r="P3538" s="1007" t="s">
        <v>648</v>
      </c>
      <c r="S3538" s="1008" t="s">
        <v>650</v>
      </c>
      <c r="T3538" s="1008" t="s">
        <v>654</v>
      </c>
      <c r="U3538" s="1008" t="s">
        <v>653</v>
      </c>
      <c r="V3538" s="1008" t="s">
        <v>648</v>
      </c>
      <c r="W3538" s="1008" t="s">
        <v>546</v>
      </c>
      <c r="X3538" s="1008" t="s">
        <v>670</v>
      </c>
      <c r="Y3538" s="1008"/>
      <c r="Z3538" s="1008"/>
      <c r="AA3538" s="1008" t="s">
        <v>670</v>
      </c>
      <c r="AB3538" s="1008"/>
      <c r="AC3538" s="1008"/>
      <c r="AD3538" s="1008"/>
      <c r="AE3538" s="1008"/>
      <c r="AF3538" s="1008"/>
      <c r="AG3538" s="1008" t="s">
        <v>670</v>
      </c>
      <c r="AH3538" s="1008"/>
      <c r="AI3538" s="1008"/>
    </row>
    <row r="3539" spans="1:35">
      <c r="A3539" s="1008">
        <v>27975</v>
      </c>
      <c r="B3539" s="1008">
        <v>6723</v>
      </c>
      <c r="C3539" s="1008">
        <v>7</v>
      </c>
      <c r="D3539" s="1009">
        <v>73099999</v>
      </c>
      <c r="E3539" s="1009">
        <v>73074000</v>
      </c>
      <c r="F3539" s="1007" t="s">
        <v>1382</v>
      </c>
      <c r="G3539" s="1007" t="s">
        <v>648</v>
      </c>
      <c r="H3539" s="1010">
        <v>99999999</v>
      </c>
      <c r="I3539" s="1009">
        <v>73074000</v>
      </c>
      <c r="J3539" s="1007" t="s">
        <v>1382</v>
      </c>
      <c r="O3539" s="1007" t="s">
        <v>648</v>
      </c>
      <c r="P3539" s="1007" t="s">
        <v>648</v>
      </c>
      <c r="S3539" s="1008" t="s">
        <v>650</v>
      </c>
      <c r="T3539" s="1008" t="s">
        <v>654</v>
      </c>
      <c r="U3539" s="1008" t="s">
        <v>653</v>
      </c>
      <c r="V3539" s="1008" t="s">
        <v>648</v>
      </c>
      <c r="W3539" s="1008" t="s">
        <v>546</v>
      </c>
      <c r="X3539" s="1008" t="s">
        <v>670</v>
      </c>
      <c r="Y3539" s="1008"/>
      <c r="Z3539" s="1008"/>
      <c r="AA3539" s="1008" t="s">
        <v>670</v>
      </c>
      <c r="AB3539" s="1008"/>
      <c r="AC3539" s="1008"/>
      <c r="AD3539" s="1008"/>
      <c r="AE3539" s="1008"/>
      <c r="AF3539" s="1008"/>
      <c r="AG3539" s="1008" t="s">
        <v>670</v>
      </c>
      <c r="AH3539" s="1008"/>
      <c r="AI3539" s="1008"/>
    </row>
    <row r="3540" spans="1:35">
      <c r="A3540" s="1008">
        <v>27976</v>
      </c>
      <c r="B3540" s="1008">
        <v>6724</v>
      </c>
      <c r="C3540" s="1008">
        <v>7</v>
      </c>
      <c r="D3540" s="1009">
        <v>73099999</v>
      </c>
      <c r="E3540" s="1009">
        <v>73075000</v>
      </c>
      <c r="F3540" s="1007" t="s">
        <v>1381</v>
      </c>
      <c r="G3540" s="1007" t="s">
        <v>648</v>
      </c>
      <c r="H3540" s="1010">
        <v>99999999</v>
      </c>
      <c r="I3540" s="1009">
        <v>73075000</v>
      </c>
      <c r="J3540" s="1007" t="s">
        <v>1381</v>
      </c>
      <c r="O3540" s="1007" t="s">
        <v>648</v>
      </c>
      <c r="P3540" s="1007" t="s">
        <v>648</v>
      </c>
      <c r="S3540" s="1008" t="s">
        <v>650</v>
      </c>
      <c r="T3540" s="1008" t="s">
        <v>654</v>
      </c>
      <c r="U3540" s="1008" t="s">
        <v>653</v>
      </c>
      <c r="V3540" s="1008" t="s">
        <v>648</v>
      </c>
      <c r="W3540" s="1008" t="s">
        <v>546</v>
      </c>
      <c r="X3540" s="1008" t="s">
        <v>670</v>
      </c>
      <c r="Y3540" s="1008"/>
      <c r="Z3540" s="1008"/>
      <c r="AA3540" s="1008" t="s">
        <v>670</v>
      </c>
      <c r="AB3540" s="1008"/>
      <c r="AC3540" s="1008"/>
      <c r="AD3540" s="1008"/>
      <c r="AE3540" s="1008"/>
      <c r="AF3540" s="1008"/>
      <c r="AG3540" s="1008" t="s">
        <v>670</v>
      </c>
      <c r="AH3540" s="1008"/>
      <c r="AI3540" s="1008"/>
    </row>
    <row r="3541" spans="1:35">
      <c r="A3541" s="1008">
        <v>27977</v>
      </c>
      <c r="B3541" s="1008">
        <v>6725</v>
      </c>
      <c r="C3541" s="1008">
        <v>7</v>
      </c>
      <c r="D3541" s="1009">
        <v>73099999</v>
      </c>
      <c r="E3541" s="1009">
        <v>73076000</v>
      </c>
      <c r="F3541" s="1007" t="s">
        <v>1380</v>
      </c>
      <c r="G3541" s="1007" t="s">
        <v>648</v>
      </c>
      <c r="H3541" s="1010">
        <v>99999999</v>
      </c>
      <c r="I3541" s="1009">
        <v>73076000</v>
      </c>
      <c r="J3541" s="1007" t="s">
        <v>1380</v>
      </c>
      <c r="O3541" s="1007" t="s">
        <v>648</v>
      </c>
      <c r="P3541" s="1007" t="s">
        <v>648</v>
      </c>
      <c r="S3541" s="1008" t="s">
        <v>650</v>
      </c>
      <c r="T3541" s="1008" t="s">
        <v>654</v>
      </c>
      <c r="U3541" s="1008" t="s">
        <v>653</v>
      </c>
      <c r="V3541" s="1008" t="s">
        <v>648</v>
      </c>
      <c r="W3541" s="1008" t="s">
        <v>546</v>
      </c>
      <c r="X3541" s="1008" t="s">
        <v>670</v>
      </c>
      <c r="Y3541" s="1008"/>
      <c r="Z3541" s="1008"/>
      <c r="AA3541" s="1008" t="s">
        <v>670</v>
      </c>
      <c r="AB3541" s="1008"/>
      <c r="AC3541" s="1008"/>
      <c r="AD3541" s="1008"/>
      <c r="AE3541" s="1008"/>
      <c r="AF3541" s="1008"/>
      <c r="AG3541" s="1008" t="s">
        <v>670</v>
      </c>
      <c r="AH3541" s="1008"/>
      <c r="AI3541" s="1008"/>
    </row>
    <row r="3542" spans="1:35">
      <c r="A3542" s="1008">
        <v>27978</v>
      </c>
      <c r="B3542" s="1008">
        <v>6726</v>
      </c>
      <c r="C3542" s="1008">
        <v>7</v>
      </c>
      <c r="D3542" s="1009">
        <v>73099999</v>
      </c>
      <c r="E3542" s="1009">
        <v>73077000</v>
      </c>
      <c r="F3542" s="1007" t="s">
        <v>1379</v>
      </c>
      <c r="G3542" s="1007" t="s">
        <v>648</v>
      </c>
      <c r="H3542" s="1010">
        <v>99999999</v>
      </c>
      <c r="I3542" s="1009">
        <v>73077000</v>
      </c>
      <c r="J3542" s="1007" t="s">
        <v>1379</v>
      </c>
      <c r="O3542" s="1007" t="s">
        <v>648</v>
      </c>
      <c r="P3542" s="1007" t="s">
        <v>648</v>
      </c>
      <c r="S3542" s="1008" t="s">
        <v>650</v>
      </c>
      <c r="T3542" s="1008" t="s">
        <v>654</v>
      </c>
      <c r="U3542" s="1008" t="s">
        <v>653</v>
      </c>
      <c r="V3542" s="1008" t="s">
        <v>648</v>
      </c>
      <c r="W3542" s="1008" t="s">
        <v>546</v>
      </c>
      <c r="X3542" s="1008" t="s">
        <v>670</v>
      </c>
      <c r="Y3542" s="1008"/>
      <c r="Z3542" s="1008"/>
      <c r="AA3542" s="1008" t="s">
        <v>670</v>
      </c>
      <c r="AB3542" s="1008"/>
      <c r="AC3542" s="1008"/>
      <c r="AD3542" s="1008"/>
      <c r="AE3542" s="1008"/>
      <c r="AF3542" s="1008"/>
      <c r="AG3542" s="1008" t="s">
        <v>670</v>
      </c>
      <c r="AH3542" s="1008"/>
      <c r="AI3542" s="1008"/>
    </row>
    <row r="3543" spans="1:35">
      <c r="A3543" s="1008">
        <v>27979</v>
      </c>
      <c r="B3543" s="1008">
        <v>6727</v>
      </c>
      <c r="C3543" s="1008">
        <v>7</v>
      </c>
      <c r="D3543" s="1009">
        <v>73099999</v>
      </c>
      <c r="E3543" s="1009">
        <v>73078000</v>
      </c>
      <c r="F3543" s="1007" t="s">
        <v>1378</v>
      </c>
      <c r="G3543" s="1007" t="s">
        <v>648</v>
      </c>
      <c r="H3543" s="1010">
        <v>99999999</v>
      </c>
      <c r="I3543" s="1009">
        <v>73078000</v>
      </c>
      <c r="J3543" s="1007" t="s">
        <v>1378</v>
      </c>
      <c r="O3543" s="1007" t="s">
        <v>648</v>
      </c>
      <c r="P3543" s="1007" t="s">
        <v>648</v>
      </c>
      <c r="S3543" s="1008" t="s">
        <v>650</v>
      </c>
      <c r="T3543" s="1008" t="s">
        <v>654</v>
      </c>
      <c r="U3543" s="1008" t="s">
        <v>653</v>
      </c>
      <c r="V3543" s="1008" t="s">
        <v>648</v>
      </c>
      <c r="W3543" s="1008" t="s">
        <v>546</v>
      </c>
      <c r="X3543" s="1008" t="s">
        <v>670</v>
      </c>
      <c r="Y3543" s="1008"/>
      <c r="Z3543" s="1008"/>
      <c r="AA3543" s="1008" t="s">
        <v>670</v>
      </c>
      <c r="AB3543" s="1008"/>
      <c r="AC3543" s="1008"/>
      <c r="AD3543" s="1008"/>
      <c r="AE3543" s="1008"/>
      <c r="AF3543" s="1008"/>
      <c r="AG3543" s="1008" t="s">
        <v>670</v>
      </c>
      <c r="AH3543" s="1008"/>
      <c r="AI3543" s="1008"/>
    </row>
    <row r="3544" spans="1:35">
      <c r="A3544" s="1008">
        <v>27980</v>
      </c>
      <c r="B3544" s="1008">
        <v>6728</v>
      </c>
      <c r="C3544" s="1008">
        <v>7</v>
      </c>
      <c r="D3544" s="1009">
        <v>73099999</v>
      </c>
      <c r="E3544" s="1009">
        <v>73079000</v>
      </c>
      <c r="F3544" s="1007" t="s">
        <v>1377</v>
      </c>
      <c r="G3544" s="1007" t="s">
        <v>648</v>
      </c>
      <c r="H3544" s="1010">
        <v>99999999</v>
      </c>
      <c r="I3544" s="1009">
        <v>73079000</v>
      </c>
      <c r="J3544" s="1007" t="s">
        <v>1377</v>
      </c>
      <c r="O3544" s="1007" t="s">
        <v>648</v>
      </c>
      <c r="P3544" s="1007" t="s">
        <v>648</v>
      </c>
      <c r="S3544" s="1008" t="s">
        <v>650</v>
      </c>
      <c r="T3544" s="1008" t="s">
        <v>654</v>
      </c>
      <c r="U3544" s="1008" t="s">
        <v>653</v>
      </c>
      <c r="V3544" s="1008" t="s">
        <v>648</v>
      </c>
      <c r="W3544" s="1008" t="s">
        <v>546</v>
      </c>
      <c r="X3544" s="1008" t="s">
        <v>670</v>
      </c>
      <c r="Y3544" s="1008"/>
      <c r="Z3544" s="1008"/>
      <c r="AA3544" s="1008" t="s">
        <v>670</v>
      </c>
      <c r="AB3544" s="1008"/>
      <c r="AC3544" s="1008"/>
      <c r="AD3544" s="1008"/>
      <c r="AE3544" s="1008"/>
      <c r="AF3544" s="1008"/>
      <c r="AG3544" s="1008" t="s">
        <v>670</v>
      </c>
      <c r="AH3544" s="1008"/>
      <c r="AI3544" s="1008"/>
    </row>
    <row r="3545" spans="1:35">
      <c r="A3545" s="1008">
        <v>27981</v>
      </c>
      <c r="B3545" s="1008">
        <v>6729</v>
      </c>
      <c r="C3545" s="1008">
        <v>7</v>
      </c>
      <c r="D3545" s="1009">
        <v>73099999</v>
      </c>
      <c r="E3545" s="1009">
        <v>73080000</v>
      </c>
      <c r="F3545" s="1007" t="s">
        <v>1376</v>
      </c>
      <c r="G3545" s="1007" t="s">
        <v>648</v>
      </c>
      <c r="H3545" s="1010">
        <v>99999999</v>
      </c>
      <c r="I3545" s="1009">
        <v>73080000</v>
      </c>
      <c r="J3545" s="1007" t="s">
        <v>1376</v>
      </c>
      <c r="O3545" s="1007" t="s">
        <v>648</v>
      </c>
      <c r="P3545" s="1007" t="s">
        <v>648</v>
      </c>
      <c r="S3545" s="1008" t="s">
        <v>650</v>
      </c>
      <c r="T3545" s="1008" t="s">
        <v>654</v>
      </c>
      <c r="U3545" s="1008" t="s">
        <v>653</v>
      </c>
      <c r="V3545" s="1008" t="s">
        <v>648</v>
      </c>
      <c r="W3545" s="1008" t="s">
        <v>546</v>
      </c>
      <c r="X3545" s="1008" t="s">
        <v>670</v>
      </c>
      <c r="Y3545" s="1008"/>
      <c r="Z3545" s="1008"/>
      <c r="AA3545" s="1008" t="s">
        <v>670</v>
      </c>
      <c r="AB3545" s="1008"/>
      <c r="AC3545" s="1008"/>
      <c r="AD3545" s="1008"/>
      <c r="AE3545" s="1008"/>
      <c r="AF3545" s="1008"/>
      <c r="AG3545" s="1008" t="s">
        <v>670</v>
      </c>
      <c r="AH3545" s="1008"/>
      <c r="AI3545" s="1008"/>
    </row>
    <row r="3546" spans="1:35">
      <c r="A3546" s="1008">
        <v>27982</v>
      </c>
      <c r="B3546" s="1008">
        <v>6730</v>
      </c>
      <c r="C3546" s="1008">
        <v>7</v>
      </c>
      <c r="D3546" s="1009">
        <v>73099999</v>
      </c>
      <c r="E3546" s="1009">
        <v>73081000</v>
      </c>
      <c r="F3546" s="1007" t="s">
        <v>1375</v>
      </c>
      <c r="G3546" s="1007" t="s">
        <v>648</v>
      </c>
      <c r="H3546" s="1010">
        <v>99999999</v>
      </c>
      <c r="I3546" s="1009">
        <v>73081000</v>
      </c>
      <c r="J3546" s="1007" t="s">
        <v>1375</v>
      </c>
      <c r="O3546" s="1007" t="s">
        <v>648</v>
      </c>
      <c r="P3546" s="1007" t="s">
        <v>648</v>
      </c>
      <c r="S3546" s="1008" t="s">
        <v>650</v>
      </c>
      <c r="T3546" s="1008" t="s">
        <v>654</v>
      </c>
      <c r="U3546" s="1008" t="s">
        <v>653</v>
      </c>
      <c r="V3546" s="1008" t="s">
        <v>648</v>
      </c>
      <c r="W3546" s="1008" t="s">
        <v>546</v>
      </c>
      <c r="X3546" s="1008" t="s">
        <v>670</v>
      </c>
      <c r="Y3546" s="1008"/>
      <c r="Z3546" s="1008"/>
      <c r="AA3546" s="1008" t="s">
        <v>670</v>
      </c>
      <c r="AB3546" s="1008"/>
      <c r="AC3546" s="1008"/>
      <c r="AD3546" s="1008"/>
      <c r="AE3546" s="1008"/>
      <c r="AF3546" s="1008"/>
      <c r="AG3546" s="1008" t="s">
        <v>670</v>
      </c>
      <c r="AH3546" s="1008"/>
      <c r="AI3546" s="1008"/>
    </row>
    <row r="3547" spans="1:35">
      <c r="A3547" s="1008">
        <v>27983</v>
      </c>
      <c r="B3547" s="1008">
        <v>6731</v>
      </c>
      <c r="C3547" s="1008">
        <v>7</v>
      </c>
      <c r="D3547" s="1009">
        <v>73099999</v>
      </c>
      <c r="E3547" s="1009">
        <v>73082000</v>
      </c>
      <c r="F3547" s="1007" t="s">
        <v>1374</v>
      </c>
      <c r="G3547" s="1007" t="s">
        <v>648</v>
      </c>
      <c r="H3547" s="1010">
        <v>99999999</v>
      </c>
      <c r="I3547" s="1009">
        <v>73082000</v>
      </c>
      <c r="J3547" s="1007" t="s">
        <v>1374</v>
      </c>
      <c r="O3547" s="1007" t="s">
        <v>648</v>
      </c>
      <c r="P3547" s="1007" t="s">
        <v>648</v>
      </c>
      <c r="S3547" s="1008" t="s">
        <v>650</v>
      </c>
      <c r="T3547" s="1008" t="s">
        <v>654</v>
      </c>
      <c r="U3547" s="1008" t="s">
        <v>653</v>
      </c>
      <c r="V3547" s="1008" t="s">
        <v>648</v>
      </c>
      <c r="W3547" s="1008" t="s">
        <v>546</v>
      </c>
      <c r="X3547" s="1008" t="s">
        <v>670</v>
      </c>
      <c r="Y3547" s="1008"/>
      <c r="Z3547" s="1008"/>
      <c r="AA3547" s="1008" t="s">
        <v>670</v>
      </c>
      <c r="AB3547" s="1008"/>
      <c r="AC3547" s="1008"/>
      <c r="AD3547" s="1008"/>
      <c r="AE3547" s="1008"/>
      <c r="AF3547" s="1008"/>
      <c r="AG3547" s="1008" t="s">
        <v>670</v>
      </c>
      <c r="AH3547" s="1008"/>
      <c r="AI3547" s="1008"/>
    </row>
    <row r="3548" spans="1:35">
      <c r="A3548" s="1008">
        <v>27984</v>
      </c>
      <c r="B3548" s="1008">
        <v>6732</v>
      </c>
      <c r="C3548" s="1008">
        <v>7</v>
      </c>
      <c r="D3548" s="1009">
        <v>73099999</v>
      </c>
      <c r="E3548" s="1009">
        <v>73083000</v>
      </c>
      <c r="F3548" s="1007" t="s">
        <v>1373</v>
      </c>
      <c r="G3548" s="1007" t="s">
        <v>648</v>
      </c>
      <c r="H3548" s="1010">
        <v>99999999</v>
      </c>
      <c r="I3548" s="1009">
        <v>73083000</v>
      </c>
      <c r="J3548" s="1007" t="s">
        <v>1372</v>
      </c>
      <c r="O3548" s="1007" t="s">
        <v>648</v>
      </c>
      <c r="P3548" s="1007" t="s">
        <v>648</v>
      </c>
      <c r="S3548" s="1008" t="s">
        <v>650</v>
      </c>
      <c r="T3548" s="1008" t="s">
        <v>654</v>
      </c>
      <c r="U3548" s="1008" t="s">
        <v>653</v>
      </c>
      <c r="V3548" s="1008" t="s">
        <v>648</v>
      </c>
      <c r="W3548" s="1008" t="s">
        <v>546</v>
      </c>
      <c r="X3548" s="1008" t="s">
        <v>670</v>
      </c>
      <c r="Y3548" s="1008"/>
      <c r="Z3548" s="1008"/>
      <c r="AA3548" s="1008" t="s">
        <v>670</v>
      </c>
      <c r="AB3548" s="1008"/>
      <c r="AC3548" s="1008"/>
      <c r="AD3548" s="1008"/>
      <c r="AE3548" s="1008"/>
      <c r="AF3548" s="1008"/>
      <c r="AG3548" s="1008" t="s">
        <v>670</v>
      </c>
      <c r="AH3548" s="1008"/>
      <c r="AI3548" s="1008"/>
    </row>
    <row r="3549" spans="1:35">
      <c r="A3549" s="1008">
        <v>27985</v>
      </c>
      <c r="B3549" s="1008">
        <v>6733</v>
      </c>
      <c r="C3549" s="1008">
        <v>7</v>
      </c>
      <c r="D3549" s="1009">
        <v>73099999</v>
      </c>
      <c r="E3549" s="1009">
        <v>73084000</v>
      </c>
      <c r="F3549" s="1007" t="s">
        <v>1371</v>
      </c>
      <c r="G3549" s="1007" t="s">
        <v>648</v>
      </c>
      <c r="H3549" s="1010">
        <v>99999999</v>
      </c>
      <c r="I3549" s="1009">
        <v>73084000</v>
      </c>
      <c r="J3549" s="1007" t="s">
        <v>1371</v>
      </c>
      <c r="O3549" s="1007" t="s">
        <v>648</v>
      </c>
      <c r="P3549" s="1007" t="s">
        <v>648</v>
      </c>
      <c r="S3549" s="1008" t="s">
        <v>650</v>
      </c>
      <c r="T3549" s="1008" t="s">
        <v>654</v>
      </c>
      <c r="U3549" s="1008" t="s">
        <v>653</v>
      </c>
      <c r="V3549" s="1008" t="s">
        <v>648</v>
      </c>
      <c r="W3549" s="1008" t="s">
        <v>546</v>
      </c>
      <c r="X3549" s="1008" t="s">
        <v>670</v>
      </c>
      <c r="Y3549" s="1008"/>
      <c r="Z3549" s="1008"/>
      <c r="AA3549" s="1008" t="s">
        <v>670</v>
      </c>
      <c r="AB3549" s="1008"/>
      <c r="AC3549" s="1008"/>
      <c r="AD3549" s="1008"/>
      <c r="AE3549" s="1008"/>
      <c r="AF3549" s="1008"/>
      <c r="AG3549" s="1008" t="s">
        <v>670</v>
      </c>
      <c r="AH3549" s="1008"/>
      <c r="AI3549" s="1008"/>
    </row>
    <row r="3550" spans="1:35">
      <c r="A3550" s="1008">
        <v>27986</v>
      </c>
      <c r="B3550" s="1008">
        <v>6734</v>
      </c>
      <c r="C3550" s="1008">
        <v>7</v>
      </c>
      <c r="D3550" s="1009">
        <v>73099999</v>
      </c>
      <c r="E3550" s="1009">
        <v>73099000</v>
      </c>
      <c r="F3550" s="1007" t="s">
        <v>1370</v>
      </c>
      <c r="G3550" s="1007" t="s">
        <v>648</v>
      </c>
      <c r="H3550" s="1010">
        <v>99999999</v>
      </c>
      <c r="I3550" s="1009">
        <v>73099000</v>
      </c>
      <c r="J3550" s="1007" t="s">
        <v>1370</v>
      </c>
      <c r="O3550" s="1007" t="s">
        <v>648</v>
      </c>
      <c r="P3550" s="1007" t="s">
        <v>648</v>
      </c>
      <c r="S3550" s="1008" t="s">
        <v>650</v>
      </c>
      <c r="T3550" s="1008" t="s">
        <v>654</v>
      </c>
      <c r="U3550" s="1008" t="s">
        <v>653</v>
      </c>
      <c r="V3550" s="1008" t="s">
        <v>648</v>
      </c>
      <c r="W3550" s="1008" t="s">
        <v>546</v>
      </c>
      <c r="X3550" s="1008" t="s">
        <v>670</v>
      </c>
      <c r="Y3550" s="1008"/>
      <c r="Z3550" s="1008"/>
      <c r="AA3550" s="1008" t="s">
        <v>670</v>
      </c>
      <c r="AB3550" s="1008"/>
      <c r="AC3550" s="1008"/>
      <c r="AD3550" s="1008"/>
      <c r="AE3550" s="1008"/>
      <c r="AF3550" s="1008"/>
      <c r="AG3550" s="1008" t="s">
        <v>670</v>
      </c>
      <c r="AH3550" s="1008"/>
      <c r="AI3550" s="1008"/>
    </row>
    <row r="3551" spans="1:35">
      <c r="A3551" s="1008">
        <v>27987</v>
      </c>
      <c r="C3551" s="1008">
        <v>6</v>
      </c>
      <c r="D3551" s="1009">
        <v>73199999</v>
      </c>
      <c r="E3551" s="1009">
        <v>73099999</v>
      </c>
      <c r="F3551" s="1007" t="s">
        <v>1369</v>
      </c>
      <c r="O3551" s="1007" t="s">
        <v>648</v>
      </c>
      <c r="P3551" s="1007" t="s">
        <v>648</v>
      </c>
      <c r="S3551" s="1008" t="s">
        <v>650</v>
      </c>
      <c r="T3551" s="1008" t="s">
        <v>21</v>
      </c>
      <c r="U3551" s="1008" t="s">
        <v>653</v>
      </c>
      <c r="V3551" s="1008" t="s">
        <v>648</v>
      </c>
      <c r="W3551" s="1008" t="s">
        <v>546</v>
      </c>
      <c r="X3551" s="1008"/>
      <c r="Y3551" s="1008"/>
      <c r="Z3551" s="1008"/>
      <c r="AA3551" s="1008"/>
      <c r="AB3551" s="1008"/>
      <c r="AC3551" s="1008"/>
      <c r="AD3551" s="1008"/>
      <c r="AE3551" s="1008"/>
      <c r="AF3551" s="1008"/>
      <c r="AG3551" s="1008"/>
      <c r="AH3551" s="1008"/>
      <c r="AI3551" s="1008"/>
    </row>
    <row r="3552" spans="1:35">
      <c r="A3552" s="1008">
        <v>27988</v>
      </c>
      <c r="C3552" s="1008">
        <v>6</v>
      </c>
      <c r="D3552" s="1009">
        <v>73109999</v>
      </c>
      <c r="E3552" s="1009">
        <v>73100000</v>
      </c>
      <c r="F3552" s="1007" t="s">
        <v>1364</v>
      </c>
      <c r="O3552" s="1007" t="s">
        <v>648</v>
      </c>
      <c r="P3552" s="1007" t="s">
        <v>648</v>
      </c>
      <c r="S3552" s="1008" t="s">
        <v>650</v>
      </c>
      <c r="T3552" s="1008" t="s">
        <v>675</v>
      </c>
      <c r="U3552" s="1008" t="s">
        <v>653</v>
      </c>
      <c r="V3552" s="1008" t="s">
        <v>648</v>
      </c>
      <c r="W3552" s="1008" t="s">
        <v>546</v>
      </c>
      <c r="X3552" s="1008"/>
      <c r="Y3552" s="1008"/>
      <c r="Z3552" s="1008"/>
      <c r="AA3552" s="1008"/>
      <c r="AB3552" s="1008"/>
      <c r="AC3552" s="1008"/>
      <c r="AD3552" s="1008"/>
      <c r="AE3552" s="1008"/>
      <c r="AF3552" s="1008"/>
      <c r="AG3552" s="1008"/>
      <c r="AH3552" s="1008"/>
      <c r="AI3552" s="1008"/>
    </row>
    <row r="3553" spans="1:35">
      <c r="A3553" s="1008">
        <v>27989</v>
      </c>
      <c r="B3553" s="1008">
        <v>6735</v>
      </c>
      <c r="C3553" s="1008">
        <v>7</v>
      </c>
      <c r="D3553" s="1009">
        <v>73109999</v>
      </c>
      <c r="E3553" s="1009">
        <v>73101000</v>
      </c>
      <c r="F3553" s="1007" t="s">
        <v>1368</v>
      </c>
      <c r="G3553" s="1007" t="s">
        <v>648</v>
      </c>
      <c r="H3553" s="1010">
        <v>99999999</v>
      </c>
      <c r="I3553" s="1009">
        <v>73101000</v>
      </c>
      <c r="J3553" s="1007" t="s">
        <v>1368</v>
      </c>
      <c r="O3553" s="1007" t="s">
        <v>648</v>
      </c>
      <c r="P3553" s="1007" t="s">
        <v>648</v>
      </c>
      <c r="S3553" s="1008" t="s">
        <v>650</v>
      </c>
      <c r="T3553" s="1008" t="s">
        <v>654</v>
      </c>
      <c r="U3553" s="1008" t="s">
        <v>653</v>
      </c>
      <c r="V3553" s="1008" t="s">
        <v>648</v>
      </c>
      <c r="W3553" s="1008" t="s">
        <v>546</v>
      </c>
      <c r="X3553" s="1008" t="s">
        <v>670</v>
      </c>
      <c r="Y3553" s="1008"/>
      <c r="Z3553" s="1008"/>
      <c r="AA3553" s="1008" t="s">
        <v>670</v>
      </c>
      <c r="AB3553" s="1008"/>
      <c r="AC3553" s="1008"/>
      <c r="AD3553" s="1008"/>
      <c r="AE3553" s="1008"/>
      <c r="AF3553" s="1008"/>
      <c r="AG3553" s="1008" t="s">
        <v>670</v>
      </c>
      <c r="AH3553" s="1008"/>
      <c r="AI3553" s="1008"/>
    </row>
    <row r="3554" spans="1:35">
      <c r="A3554" s="1008">
        <v>27990</v>
      </c>
      <c r="B3554" s="1008">
        <v>6736</v>
      </c>
      <c r="C3554" s="1008">
        <v>7</v>
      </c>
      <c r="D3554" s="1009">
        <v>73109999</v>
      </c>
      <c r="E3554" s="1009">
        <v>73102000</v>
      </c>
      <c r="F3554" s="1007" t="s">
        <v>1367</v>
      </c>
      <c r="G3554" s="1007" t="s">
        <v>648</v>
      </c>
      <c r="H3554" s="1010">
        <v>99999999</v>
      </c>
      <c r="I3554" s="1009">
        <v>73102000</v>
      </c>
      <c r="J3554" s="1007" t="s">
        <v>1367</v>
      </c>
      <c r="O3554" s="1007" t="s">
        <v>648</v>
      </c>
      <c r="P3554" s="1007" t="s">
        <v>648</v>
      </c>
      <c r="S3554" s="1008" t="s">
        <v>650</v>
      </c>
      <c r="T3554" s="1008" t="s">
        <v>654</v>
      </c>
      <c r="U3554" s="1008" t="s">
        <v>653</v>
      </c>
      <c r="V3554" s="1008" t="s">
        <v>648</v>
      </c>
      <c r="W3554" s="1008" t="s">
        <v>546</v>
      </c>
      <c r="X3554" s="1008" t="s">
        <v>670</v>
      </c>
      <c r="Y3554" s="1008"/>
      <c r="Z3554" s="1008"/>
      <c r="AA3554" s="1008" t="s">
        <v>670</v>
      </c>
      <c r="AB3554" s="1008"/>
      <c r="AC3554" s="1008"/>
      <c r="AD3554" s="1008"/>
      <c r="AE3554" s="1008"/>
      <c r="AF3554" s="1008"/>
      <c r="AG3554" s="1008" t="s">
        <v>670</v>
      </c>
      <c r="AH3554" s="1008"/>
      <c r="AI3554" s="1008"/>
    </row>
    <row r="3555" spans="1:35">
      <c r="A3555" s="1008">
        <v>27991</v>
      </c>
      <c r="B3555" s="1008">
        <v>6737</v>
      </c>
      <c r="C3555" s="1008">
        <v>7</v>
      </c>
      <c r="D3555" s="1009">
        <v>73109999</v>
      </c>
      <c r="E3555" s="1009">
        <v>73103000</v>
      </c>
      <c r="F3555" s="1007" t="s">
        <v>1366</v>
      </c>
      <c r="G3555" s="1007" t="s">
        <v>648</v>
      </c>
      <c r="H3555" s="1010">
        <v>99999999</v>
      </c>
      <c r="I3555" s="1009">
        <v>73103000</v>
      </c>
      <c r="J3555" s="1007" t="s">
        <v>1366</v>
      </c>
      <c r="O3555" s="1007" t="s">
        <v>648</v>
      </c>
      <c r="P3555" s="1007" t="s">
        <v>648</v>
      </c>
      <c r="S3555" s="1008" t="s">
        <v>650</v>
      </c>
      <c r="T3555" s="1008" t="s">
        <v>654</v>
      </c>
      <c r="U3555" s="1008" t="s">
        <v>653</v>
      </c>
      <c r="V3555" s="1008" t="s">
        <v>648</v>
      </c>
      <c r="W3555" s="1008" t="s">
        <v>546</v>
      </c>
      <c r="X3555" s="1008" t="s">
        <v>670</v>
      </c>
      <c r="Y3555" s="1008"/>
      <c r="Z3555" s="1008"/>
      <c r="AA3555" s="1008" t="s">
        <v>670</v>
      </c>
      <c r="AB3555" s="1008"/>
      <c r="AC3555" s="1008"/>
      <c r="AD3555" s="1008"/>
      <c r="AE3555" s="1008"/>
      <c r="AF3555" s="1008"/>
      <c r="AG3555" s="1008" t="s">
        <v>670</v>
      </c>
      <c r="AH3555" s="1008"/>
      <c r="AI3555" s="1008"/>
    </row>
    <row r="3556" spans="1:35">
      <c r="A3556" s="1008">
        <v>27992</v>
      </c>
      <c r="B3556" s="1008">
        <v>6738</v>
      </c>
      <c r="C3556" s="1008">
        <v>7</v>
      </c>
      <c r="D3556" s="1009">
        <v>73109999</v>
      </c>
      <c r="E3556" s="1009">
        <v>73104000</v>
      </c>
      <c r="F3556" s="1007" t="s">
        <v>1365</v>
      </c>
      <c r="G3556" s="1007" t="s">
        <v>648</v>
      </c>
      <c r="H3556" s="1010">
        <v>99999999</v>
      </c>
      <c r="I3556" s="1009">
        <v>73104000</v>
      </c>
      <c r="J3556" s="1007" t="s">
        <v>1365</v>
      </c>
      <c r="O3556" s="1007" t="s">
        <v>648</v>
      </c>
      <c r="P3556" s="1007" t="s">
        <v>648</v>
      </c>
      <c r="S3556" s="1008" t="s">
        <v>650</v>
      </c>
      <c r="T3556" s="1008" t="s">
        <v>654</v>
      </c>
      <c r="U3556" s="1008" t="s">
        <v>653</v>
      </c>
      <c r="V3556" s="1008" t="s">
        <v>648</v>
      </c>
      <c r="W3556" s="1008" t="s">
        <v>546</v>
      </c>
      <c r="X3556" s="1008" t="s">
        <v>670</v>
      </c>
      <c r="Y3556" s="1008"/>
      <c r="Z3556" s="1008"/>
      <c r="AA3556" s="1008" t="s">
        <v>670</v>
      </c>
      <c r="AB3556" s="1008"/>
      <c r="AC3556" s="1008"/>
      <c r="AD3556" s="1008"/>
      <c r="AE3556" s="1008"/>
      <c r="AF3556" s="1008"/>
      <c r="AG3556" s="1008" t="s">
        <v>670</v>
      </c>
      <c r="AH3556" s="1008"/>
      <c r="AI3556" s="1008"/>
    </row>
    <row r="3557" spans="1:35">
      <c r="A3557" s="1008">
        <v>27993</v>
      </c>
      <c r="C3557" s="1008">
        <v>6</v>
      </c>
      <c r="D3557" s="1009">
        <v>73199999</v>
      </c>
      <c r="E3557" s="1009">
        <v>73109999</v>
      </c>
      <c r="F3557" s="1007" t="s">
        <v>1364</v>
      </c>
      <c r="O3557" s="1007" t="s">
        <v>648</v>
      </c>
      <c r="P3557" s="1007" t="s">
        <v>648</v>
      </c>
      <c r="S3557" s="1008" t="s">
        <v>650</v>
      </c>
      <c r="T3557" s="1008" t="s">
        <v>21</v>
      </c>
      <c r="U3557" s="1008" t="s">
        <v>653</v>
      </c>
      <c r="V3557" s="1008" t="s">
        <v>648</v>
      </c>
      <c r="W3557" s="1008" t="s">
        <v>546</v>
      </c>
      <c r="X3557" s="1008"/>
      <c r="Y3557" s="1008"/>
      <c r="Z3557" s="1008"/>
      <c r="AA3557" s="1008"/>
      <c r="AB3557" s="1008"/>
      <c r="AC3557" s="1008"/>
      <c r="AD3557" s="1008"/>
      <c r="AE3557" s="1008"/>
      <c r="AF3557" s="1008"/>
      <c r="AG3557" s="1008"/>
      <c r="AH3557" s="1008"/>
      <c r="AI3557" s="1008"/>
    </row>
    <row r="3558" spans="1:35">
      <c r="A3558" s="1008">
        <v>27994</v>
      </c>
      <c r="C3558" s="1008">
        <v>6</v>
      </c>
      <c r="D3558" s="1009">
        <v>73119999</v>
      </c>
      <c r="E3558" s="1009">
        <v>73110000</v>
      </c>
      <c r="F3558" s="1007" t="s">
        <v>1363</v>
      </c>
      <c r="O3558" s="1007" t="s">
        <v>648</v>
      </c>
      <c r="P3558" s="1007" t="s">
        <v>648</v>
      </c>
      <c r="S3558" s="1008" t="s">
        <v>650</v>
      </c>
      <c r="T3558" s="1008" t="s">
        <v>675</v>
      </c>
      <c r="U3558" s="1008" t="s">
        <v>653</v>
      </c>
      <c r="V3558" s="1008" t="s">
        <v>648</v>
      </c>
      <c r="W3558" s="1008" t="s">
        <v>546</v>
      </c>
      <c r="X3558" s="1008"/>
      <c r="Y3558" s="1008"/>
      <c r="Z3558" s="1008"/>
      <c r="AA3558" s="1008"/>
      <c r="AB3558" s="1008"/>
      <c r="AC3558" s="1008"/>
      <c r="AD3558" s="1008"/>
      <c r="AE3558" s="1008"/>
      <c r="AF3558" s="1008"/>
      <c r="AG3558" s="1008"/>
      <c r="AH3558" s="1008"/>
      <c r="AI3558" s="1008"/>
    </row>
    <row r="3559" spans="1:35">
      <c r="A3559" s="1008">
        <v>27995</v>
      </c>
      <c r="B3559" s="1008">
        <v>6739</v>
      </c>
      <c r="C3559" s="1008">
        <v>7</v>
      </c>
      <c r="D3559" s="1009">
        <v>73119999</v>
      </c>
      <c r="E3559" s="1009">
        <v>73111000</v>
      </c>
      <c r="F3559" s="1007" t="s">
        <v>1362</v>
      </c>
      <c r="G3559" s="1007" t="s">
        <v>648</v>
      </c>
      <c r="H3559" s="1010">
        <v>99999999</v>
      </c>
      <c r="I3559" s="1009">
        <v>73111000</v>
      </c>
      <c r="J3559" s="1007" t="s">
        <v>1362</v>
      </c>
      <c r="O3559" s="1007" t="s">
        <v>648</v>
      </c>
      <c r="P3559" s="1007" t="s">
        <v>648</v>
      </c>
      <c r="S3559" s="1008" t="s">
        <v>650</v>
      </c>
      <c r="T3559" s="1008" t="s">
        <v>654</v>
      </c>
      <c r="U3559" s="1008" t="s">
        <v>653</v>
      </c>
      <c r="V3559" s="1008" t="s">
        <v>648</v>
      </c>
      <c r="W3559" s="1008" t="s">
        <v>546</v>
      </c>
      <c r="X3559" s="1008" t="s">
        <v>670</v>
      </c>
      <c r="Y3559" s="1008"/>
      <c r="Z3559" s="1008"/>
      <c r="AA3559" s="1008" t="s">
        <v>670</v>
      </c>
      <c r="AB3559" s="1008"/>
      <c r="AC3559" s="1008"/>
      <c r="AD3559" s="1008"/>
      <c r="AE3559" s="1008"/>
      <c r="AF3559" s="1008"/>
      <c r="AG3559" s="1008" t="s">
        <v>670</v>
      </c>
      <c r="AH3559" s="1008"/>
      <c r="AI3559" s="1008"/>
    </row>
    <row r="3560" spans="1:35">
      <c r="A3560" s="1008">
        <v>27996</v>
      </c>
      <c r="B3560" s="1008">
        <v>6740</v>
      </c>
      <c r="C3560" s="1008">
        <v>7</v>
      </c>
      <c r="D3560" s="1009">
        <v>73119999</v>
      </c>
      <c r="E3560" s="1009">
        <v>73112000</v>
      </c>
      <c r="F3560" s="1007" t="s">
        <v>1361</v>
      </c>
      <c r="G3560" s="1007" t="s">
        <v>648</v>
      </c>
      <c r="H3560" s="1010">
        <v>99999999</v>
      </c>
      <c r="I3560" s="1009">
        <v>73112000</v>
      </c>
      <c r="J3560" s="1007" t="s">
        <v>1361</v>
      </c>
      <c r="O3560" s="1007" t="s">
        <v>648</v>
      </c>
      <c r="P3560" s="1007" t="s">
        <v>648</v>
      </c>
      <c r="S3560" s="1008" t="s">
        <v>650</v>
      </c>
      <c r="T3560" s="1008" t="s">
        <v>654</v>
      </c>
      <c r="U3560" s="1008" t="s">
        <v>653</v>
      </c>
      <c r="V3560" s="1008" t="s">
        <v>648</v>
      </c>
      <c r="W3560" s="1008" t="s">
        <v>546</v>
      </c>
      <c r="X3560" s="1008" t="s">
        <v>670</v>
      </c>
      <c r="Y3560" s="1008"/>
      <c r="Z3560" s="1008"/>
      <c r="AA3560" s="1008" t="s">
        <v>670</v>
      </c>
      <c r="AB3560" s="1008"/>
      <c r="AC3560" s="1008"/>
      <c r="AD3560" s="1008"/>
      <c r="AE3560" s="1008"/>
      <c r="AF3560" s="1008"/>
      <c r="AG3560" s="1008" t="s">
        <v>670</v>
      </c>
      <c r="AH3560" s="1008"/>
      <c r="AI3560" s="1008"/>
    </row>
    <row r="3561" spans="1:35">
      <c r="A3561" s="1008">
        <v>27997</v>
      </c>
      <c r="B3561" s="1008">
        <v>6741</v>
      </c>
      <c r="C3561" s="1008">
        <v>7</v>
      </c>
      <c r="D3561" s="1009">
        <v>73119999</v>
      </c>
      <c r="E3561" s="1009">
        <v>73113000</v>
      </c>
      <c r="F3561" s="1007" t="s">
        <v>1360</v>
      </c>
      <c r="G3561" s="1007" t="s">
        <v>648</v>
      </c>
      <c r="H3561" s="1010">
        <v>99999999</v>
      </c>
      <c r="I3561" s="1009">
        <v>73113000</v>
      </c>
      <c r="J3561" s="1007" t="s">
        <v>1360</v>
      </c>
      <c r="O3561" s="1007" t="s">
        <v>648</v>
      </c>
      <c r="P3561" s="1007" t="s">
        <v>648</v>
      </c>
      <c r="S3561" s="1008" t="s">
        <v>650</v>
      </c>
      <c r="T3561" s="1008" t="s">
        <v>654</v>
      </c>
      <c r="U3561" s="1008" t="s">
        <v>653</v>
      </c>
      <c r="V3561" s="1008" t="s">
        <v>648</v>
      </c>
      <c r="W3561" s="1008" t="s">
        <v>546</v>
      </c>
      <c r="X3561" s="1008" t="s">
        <v>670</v>
      </c>
      <c r="Y3561" s="1008"/>
      <c r="Z3561" s="1008"/>
      <c r="AA3561" s="1008" t="s">
        <v>670</v>
      </c>
      <c r="AB3561" s="1008"/>
      <c r="AC3561" s="1008"/>
      <c r="AD3561" s="1008"/>
      <c r="AE3561" s="1008"/>
      <c r="AF3561" s="1008"/>
      <c r="AG3561" s="1008" t="s">
        <v>670</v>
      </c>
      <c r="AH3561" s="1008"/>
      <c r="AI3561" s="1008"/>
    </row>
    <row r="3562" spans="1:35">
      <c r="A3562" s="1008">
        <v>27998</v>
      </c>
      <c r="B3562" s="1008">
        <v>6742</v>
      </c>
      <c r="C3562" s="1008">
        <v>7</v>
      </c>
      <c r="D3562" s="1009">
        <v>73119999</v>
      </c>
      <c r="E3562" s="1009">
        <v>73114000</v>
      </c>
      <c r="F3562" s="1007" t="s">
        <v>1359</v>
      </c>
      <c r="G3562" s="1007" t="s">
        <v>648</v>
      </c>
      <c r="H3562" s="1010">
        <v>99999999</v>
      </c>
      <c r="I3562" s="1009">
        <v>73114000</v>
      </c>
      <c r="J3562" s="1007" t="s">
        <v>1359</v>
      </c>
      <c r="O3562" s="1007" t="s">
        <v>648</v>
      </c>
      <c r="P3562" s="1007" t="s">
        <v>648</v>
      </c>
      <c r="S3562" s="1008" t="s">
        <v>650</v>
      </c>
      <c r="T3562" s="1008" t="s">
        <v>654</v>
      </c>
      <c r="U3562" s="1008" t="s">
        <v>653</v>
      </c>
      <c r="V3562" s="1008" t="s">
        <v>648</v>
      </c>
      <c r="W3562" s="1008" t="s">
        <v>546</v>
      </c>
      <c r="X3562" s="1008" t="s">
        <v>670</v>
      </c>
      <c r="Y3562" s="1008"/>
      <c r="Z3562" s="1008"/>
      <c r="AA3562" s="1008" t="s">
        <v>670</v>
      </c>
      <c r="AB3562" s="1008"/>
      <c r="AC3562" s="1008"/>
      <c r="AD3562" s="1008"/>
      <c r="AE3562" s="1008"/>
      <c r="AF3562" s="1008"/>
      <c r="AG3562" s="1008" t="s">
        <v>670</v>
      </c>
      <c r="AH3562" s="1008"/>
      <c r="AI3562" s="1008"/>
    </row>
    <row r="3563" spans="1:35">
      <c r="A3563" s="1008">
        <v>27999</v>
      </c>
      <c r="B3563" s="1008">
        <v>6743</v>
      </c>
      <c r="C3563" s="1008">
        <v>7</v>
      </c>
      <c r="D3563" s="1009">
        <v>73119999</v>
      </c>
      <c r="E3563" s="1009">
        <v>73115000</v>
      </c>
      <c r="F3563" s="1007" t="s">
        <v>1358</v>
      </c>
      <c r="G3563" s="1007" t="s">
        <v>648</v>
      </c>
      <c r="H3563" s="1010">
        <v>99999999</v>
      </c>
      <c r="I3563" s="1009">
        <v>73115000</v>
      </c>
      <c r="J3563" s="1007" t="s">
        <v>1358</v>
      </c>
      <c r="O3563" s="1007" t="s">
        <v>648</v>
      </c>
      <c r="P3563" s="1007" t="s">
        <v>648</v>
      </c>
      <c r="S3563" s="1008" t="s">
        <v>650</v>
      </c>
      <c r="T3563" s="1008" t="s">
        <v>654</v>
      </c>
      <c r="U3563" s="1008" t="s">
        <v>653</v>
      </c>
      <c r="V3563" s="1008" t="s">
        <v>648</v>
      </c>
      <c r="W3563" s="1008" t="s">
        <v>546</v>
      </c>
      <c r="X3563" s="1008" t="s">
        <v>670</v>
      </c>
      <c r="Y3563" s="1008"/>
      <c r="Z3563" s="1008"/>
      <c r="AA3563" s="1008" t="s">
        <v>670</v>
      </c>
      <c r="AB3563" s="1008"/>
      <c r="AC3563" s="1008"/>
      <c r="AD3563" s="1008"/>
      <c r="AE3563" s="1008"/>
      <c r="AF3563" s="1008"/>
      <c r="AG3563" s="1008" t="s">
        <v>670</v>
      </c>
      <c r="AH3563" s="1008"/>
      <c r="AI3563" s="1008"/>
    </row>
    <row r="3564" spans="1:35">
      <c r="A3564" s="1008">
        <v>28000</v>
      </c>
      <c r="B3564" s="1008">
        <v>6744</v>
      </c>
      <c r="C3564" s="1008">
        <v>7</v>
      </c>
      <c r="D3564" s="1009">
        <v>73119999</v>
      </c>
      <c r="E3564" s="1009">
        <v>73116000</v>
      </c>
      <c r="F3564" s="1007" t="s">
        <v>1357</v>
      </c>
      <c r="G3564" s="1007" t="s">
        <v>648</v>
      </c>
      <c r="H3564" s="1010">
        <v>99999999</v>
      </c>
      <c r="I3564" s="1009">
        <v>73116000</v>
      </c>
      <c r="J3564" s="1007" t="s">
        <v>1357</v>
      </c>
      <c r="O3564" s="1007" t="s">
        <v>648</v>
      </c>
      <c r="P3564" s="1007" t="s">
        <v>648</v>
      </c>
      <c r="S3564" s="1008" t="s">
        <v>650</v>
      </c>
      <c r="T3564" s="1008" t="s">
        <v>654</v>
      </c>
      <c r="U3564" s="1008" t="s">
        <v>653</v>
      </c>
      <c r="V3564" s="1008" t="s">
        <v>648</v>
      </c>
      <c r="W3564" s="1008" t="s">
        <v>546</v>
      </c>
      <c r="X3564" s="1008" t="s">
        <v>670</v>
      </c>
      <c r="Y3564" s="1008"/>
      <c r="Z3564" s="1008"/>
      <c r="AA3564" s="1008" t="s">
        <v>670</v>
      </c>
      <c r="AB3564" s="1008"/>
      <c r="AC3564" s="1008"/>
      <c r="AD3564" s="1008"/>
      <c r="AE3564" s="1008"/>
      <c r="AF3564" s="1008"/>
      <c r="AG3564" s="1008" t="s">
        <v>670</v>
      </c>
      <c r="AH3564" s="1008"/>
      <c r="AI3564" s="1008"/>
    </row>
    <row r="3565" spans="1:35">
      <c r="A3565" s="1008">
        <v>28001</v>
      </c>
      <c r="B3565" s="1008">
        <v>6745</v>
      </c>
      <c r="C3565" s="1008">
        <v>7</v>
      </c>
      <c r="D3565" s="1009">
        <v>73119999</v>
      </c>
      <c r="E3565" s="1009">
        <v>73117000</v>
      </c>
      <c r="F3565" s="1007" t="s">
        <v>1356</v>
      </c>
      <c r="G3565" s="1007" t="s">
        <v>648</v>
      </c>
      <c r="H3565" s="1010">
        <v>99999999</v>
      </c>
      <c r="I3565" s="1009">
        <v>73117000</v>
      </c>
      <c r="J3565" s="1007" t="s">
        <v>1356</v>
      </c>
      <c r="O3565" s="1007" t="s">
        <v>648</v>
      </c>
      <c r="P3565" s="1007" t="s">
        <v>648</v>
      </c>
      <c r="S3565" s="1008" t="s">
        <v>650</v>
      </c>
      <c r="T3565" s="1008" t="s">
        <v>654</v>
      </c>
      <c r="U3565" s="1008" t="s">
        <v>653</v>
      </c>
      <c r="V3565" s="1008" t="s">
        <v>648</v>
      </c>
      <c r="W3565" s="1008" t="s">
        <v>546</v>
      </c>
      <c r="X3565" s="1008" t="s">
        <v>670</v>
      </c>
      <c r="Y3565" s="1008"/>
      <c r="Z3565" s="1008"/>
      <c r="AA3565" s="1008" t="s">
        <v>670</v>
      </c>
      <c r="AB3565" s="1008"/>
      <c r="AC3565" s="1008"/>
      <c r="AD3565" s="1008"/>
      <c r="AE3565" s="1008"/>
      <c r="AF3565" s="1008"/>
      <c r="AG3565" s="1008" t="s">
        <v>670</v>
      </c>
      <c r="AH3565" s="1008"/>
      <c r="AI3565" s="1008"/>
    </row>
    <row r="3566" spans="1:35">
      <c r="A3566" s="1008">
        <v>28002</v>
      </c>
      <c r="C3566" s="1008">
        <v>6</v>
      </c>
      <c r="D3566" s="1009">
        <v>73199999</v>
      </c>
      <c r="E3566" s="1009">
        <v>73119999</v>
      </c>
      <c r="F3566" s="1007" t="s">
        <v>1355</v>
      </c>
      <c r="O3566" s="1007" t="s">
        <v>648</v>
      </c>
      <c r="P3566" s="1007" t="s">
        <v>648</v>
      </c>
      <c r="S3566" s="1008" t="s">
        <v>650</v>
      </c>
      <c r="T3566" s="1008" t="s">
        <v>21</v>
      </c>
      <c r="U3566" s="1008" t="s">
        <v>653</v>
      </c>
      <c r="V3566" s="1008" t="s">
        <v>648</v>
      </c>
      <c r="W3566" s="1008" t="s">
        <v>546</v>
      </c>
      <c r="X3566" s="1008"/>
      <c r="Y3566" s="1008"/>
      <c r="Z3566" s="1008"/>
      <c r="AA3566" s="1008"/>
      <c r="AB3566" s="1008"/>
      <c r="AC3566" s="1008"/>
      <c r="AD3566" s="1008"/>
      <c r="AE3566" s="1008"/>
      <c r="AF3566" s="1008"/>
      <c r="AG3566" s="1008"/>
      <c r="AH3566" s="1008"/>
      <c r="AI3566" s="1008"/>
    </row>
    <row r="3567" spans="1:35">
      <c r="A3567" s="1008">
        <v>28003</v>
      </c>
      <c r="C3567" s="1008">
        <v>5</v>
      </c>
      <c r="D3567" s="1009">
        <v>79999990</v>
      </c>
      <c r="E3567" s="1009">
        <v>73199999</v>
      </c>
      <c r="F3567" s="1007" t="s">
        <v>1354</v>
      </c>
      <c r="O3567" s="1007" t="s">
        <v>648</v>
      </c>
      <c r="P3567" s="1007" t="s">
        <v>648</v>
      </c>
      <c r="S3567" s="1008" t="s">
        <v>650</v>
      </c>
      <c r="T3567" s="1008" t="s">
        <v>21</v>
      </c>
      <c r="U3567" s="1008" t="s">
        <v>653</v>
      </c>
      <c r="V3567" s="1008" t="s">
        <v>648</v>
      </c>
      <c r="W3567" s="1008" t="s">
        <v>546</v>
      </c>
      <c r="X3567" s="1008"/>
      <c r="Y3567" s="1008"/>
      <c r="Z3567" s="1008"/>
      <c r="AA3567" s="1008"/>
      <c r="AB3567" s="1008"/>
      <c r="AC3567" s="1008"/>
      <c r="AD3567" s="1008"/>
      <c r="AE3567" s="1008"/>
      <c r="AF3567" s="1008"/>
      <c r="AG3567" s="1008"/>
      <c r="AH3567" s="1008"/>
      <c r="AI3567" s="1008"/>
    </row>
    <row r="3568" spans="1:35">
      <c r="A3568" s="1008">
        <v>28004</v>
      </c>
      <c r="C3568" s="1008">
        <v>5</v>
      </c>
      <c r="D3568" s="1009">
        <v>75099999</v>
      </c>
      <c r="E3568" s="1009">
        <v>75000000</v>
      </c>
      <c r="F3568" s="1007" t="s">
        <v>1353</v>
      </c>
      <c r="O3568" s="1007" t="s">
        <v>648</v>
      </c>
      <c r="P3568" s="1007" t="s">
        <v>648</v>
      </c>
      <c r="S3568" s="1008" t="s">
        <v>650</v>
      </c>
      <c r="T3568" s="1008" t="s">
        <v>675</v>
      </c>
      <c r="U3568" s="1008" t="s">
        <v>653</v>
      </c>
      <c r="V3568" s="1008" t="s">
        <v>648</v>
      </c>
      <c r="W3568" s="1008" t="s">
        <v>546</v>
      </c>
      <c r="X3568" s="1008"/>
      <c r="Y3568" s="1008"/>
      <c r="Z3568" s="1008"/>
      <c r="AA3568" s="1008"/>
      <c r="AB3568" s="1008"/>
      <c r="AC3568" s="1008"/>
      <c r="AD3568" s="1008"/>
      <c r="AE3568" s="1008"/>
      <c r="AF3568" s="1008"/>
      <c r="AG3568" s="1008"/>
      <c r="AH3568" s="1008"/>
      <c r="AI3568" s="1008"/>
    </row>
    <row r="3569" spans="1:35">
      <c r="A3569" s="1008">
        <v>28005</v>
      </c>
      <c r="C3569" s="1008">
        <v>6</v>
      </c>
      <c r="D3569" s="1009">
        <v>75029999</v>
      </c>
      <c r="E3569" s="1009">
        <v>75010000</v>
      </c>
      <c r="F3569" s="1007" t="s">
        <v>1352</v>
      </c>
      <c r="O3569" s="1007" t="s">
        <v>648</v>
      </c>
      <c r="P3569" s="1007" t="s">
        <v>648</v>
      </c>
      <c r="S3569" s="1008" t="s">
        <v>650</v>
      </c>
      <c r="T3569" s="1008" t="s">
        <v>675</v>
      </c>
      <c r="U3569" s="1008" t="s">
        <v>653</v>
      </c>
      <c r="V3569" s="1008" t="s">
        <v>648</v>
      </c>
      <c r="W3569" s="1008" t="s">
        <v>546</v>
      </c>
      <c r="X3569" s="1008"/>
      <c r="Y3569" s="1008"/>
      <c r="Z3569" s="1008"/>
      <c r="AA3569" s="1008"/>
      <c r="AB3569" s="1008"/>
      <c r="AC3569" s="1008"/>
      <c r="AD3569" s="1008"/>
      <c r="AE3569" s="1008"/>
      <c r="AF3569" s="1008"/>
      <c r="AG3569" s="1008"/>
      <c r="AH3569" s="1008"/>
      <c r="AI3569" s="1008"/>
    </row>
    <row r="3570" spans="1:35">
      <c r="A3570" s="1008">
        <v>28006</v>
      </c>
      <c r="B3570" s="1008">
        <v>6746</v>
      </c>
      <c r="C3570" s="1008">
        <v>7</v>
      </c>
      <c r="D3570" s="1009">
        <v>75029999</v>
      </c>
      <c r="E3570" s="1009">
        <v>75020000</v>
      </c>
      <c r="F3570" s="1007" t="s">
        <v>1351</v>
      </c>
      <c r="G3570" s="1007" t="s">
        <v>648</v>
      </c>
      <c r="H3570" s="1010">
        <v>99999999</v>
      </c>
      <c r="I3570" s="1009">
        <v>75020000</v>
      </c>
      <c r="J3570" s="1007" t="s">
        <v>1351</v>
      </c>
      <c r="O3570" s="1007" t="s">
        <v>648</v>
      </c>
      <c r="P3570" s="1007" t="s">
        <v>648</v>
      </c>
      <c r="S3570" s="1008" t="s">
        <v>650</v>
      </c>
      <c r="T3570" s="1008" t="s">
        <v>654</v>
      </c>
      <c r="U3570" s="1008" t="s">
        <v>653</v>
      </c>
      <c r="V3570" s="1008" t="s">
        <v>648</v>
      </c>
      <c r="W3570" s="1008" t="s">
        <v>546</v>
      </c>
      <c r="X3570" s="1008" t="s">
        <v>670</v>
      </c>
      <c r="Y3570" s="1008"/>
      <c r="Z3570" s="1008"/>
      <c r="AA3570" s="1008" t="s">
        <v>670</v>
      </c>
      <c r="AB3570" s="1008"/>
      <c r="AC3570" s="1008"/>
      <c r="AD3570" s="1008"/>
      <c r="AE3570" s="1008"/>
      <c r="AF3570" s="1008"/>
      <c r="AG3570" s="1008" t="s">
        <v>670</v>
      </c>
      <c r="AH3570" s="1008"/>
      <c r="AI3570" s="1008"/>
    </row>
    <row r="3571" spans="1:35">
      <c r="A3571" s="1008">
        <v>28007</v>
      </c>
      <c r="C3571" s="1008">
        <v>6</v>
      </c>
      <c r="D3571" s="1009">
        <v>75099999</v>
      </c>
      <c r="E3571" s="1009">
        <v>75029999</v>
      </c>
      <c r="F3571" s="1007" t="s">
        <v>1350</v>
      </c>
      <c r="O3571" s="1007" t="s">
        <v>648</v>
      </c>
      <c r="P3571" s="1007" t="s">
        <v>648</v>
      </c>
      <c r="S3571" s="1008" t="s">
        <v>650</v>
      </c>
      <c r="T3571" s="1008" t="s">
        <v>21</v>
      </c>
      <c r="U3571" s="1008" t="s">
        <v>653</v>
      </c>
      <c r="V3571" s="1008" t="s">
        <v>648</v>
      </c>
      <c r="W3571" s="1008" t="s">
        <v>546</v>
      </c>
      <c r="X3571" s="1008"/>
      <c r="Y3571" s="1008"/>
      <c r="Z3571" s="1008"/>
      <c r="AA3571" s="1008"/>
      <c r="AB3571" s="1008"/>
      <c r="AC3571" s="1008"/>
      <c r="AD3571" s="1008"/>
      <c r="AE3571" s="1008"/>
      <c r="AF3571" s="1008"/>
      <c r="AG3571" s="1008"/>
      <c r="AH3571" s="1008"/>
      <c r="AI3571" s="1008"/>
    </row>
    <row r="3572" spans="1:35">
      <c r="A3572" s="1008">
        <v>28008</v>
      </c>
      <c r="C3572" s="1008">
        <v>6</v>
      </c>
      <c r="D3572" s="1009">
        <v>75039999</v>
      </c>
      <c r="E3572" s="1009">
        <v>75030000</v>
      </c>
      <c r="F3572" s="1007" t="s">
        <v>1349</v>
      </c>
      <c r="O3572" s="1007" t="s">
        <v>648</v>
      </c>
      <c r="P3572" s="1007" t="s">
        <v>648</v>
      </c>
      <c r="S3572" s="1008" t="s">
        <v>650</v>
      </c>
      <c r="T3572" s="1008" t="s">
        <v>675</v>
      </c>
      <c r="U3572" s="1008" t="s">
        <v>653</v>
      </c>
      <c r="V3572" s="1008" t="s">
        <v>648</v>
      </c>
      <c r="W3572" s="1008" t="s">
        <v>546</v>
      </c>
      <c r="X3572" s="1008"/>
      <c r="Y3572" s="1008"/>
      <c r="Z3572" s="1008"/>
      <c r="AA3572" s="1008"/>
      <c r="AB3572" s="1008"/>
      <c r="AC3572" s="1008"/>
      <c r="AD3572" s="1008"/>
      <c r="AE3572" s="1008"/>
      <c r="AF3572" s="1008"/>
      <c r="AG3572" s="1008"/>
      <c r="AH3572" s="1008"/>
      <c r="AI3572" s="1008"/>
    </row>
    <row r="3573" spans="1:35">
      <c r="A3573" s="1008">
        <v>28009</v>
      </c>
      <c r="B3573" s="1008">
        <v>6747</v>
      </c>
      <c r="C3573" s="1008">
        <v>7</v>
      </c>
      <c r="D3573" s="1009">
        <v>75039999</v>
      </c>
      <c r="E3573" s="1009">
        <v>75031000</v>
      </c>
      <c r="F3573" s="1007" t="s">
        <v>1348</v>
      </c>
      <c r="G3573" s="1007" t="s">
        <v>648</v>
      </c>
      <c r="H3573" s="1010">
        <v>99999999</v>
      </c>
      <c r="I3573" s="1009">
        <v>75031000</v>
      </c>
      <c r="J3573" s="1007" t="s">
        <v>1347</v>
      </c>
      <c r="O3573" s="1007" t="s">
        <v>648</v>
      </c>
      <c r="P3573" s="1007" t="s">
        <v>648</v>
      </c>
      <c r="S3573" s="1008" t="s">
        <v>650</v>
      </c>
      <c r="T3573" s="1008" t="s">
        <v>654</v>
      </c>
      <c r="U3573" s="1008" t="s">
        <v>653</v>
      </c>
      <c r="V3573" s="1008" t="s">
        <v>648</v>
      </c>
      <c r="W3573" s="1008" t="s">
        <v>546</v>
      </c>
      <c r="X3573" s="1008" t="s">
        <v>670</v>
      </c>
      <c r="Y3573" s="1008"/>
      <c r="Z3573" s="1008"/>
      <c r="AA3573" s="1008" t="s">
        <v>670</v>
      </c>
      <c r="AB3573" s="1008"/>
      <c r="AC3573" s="1008"/>
      <c r="AD3573" s="1008"/>
      <c r="AE3573" s="1008"/>
      <c r="AF3573" s="1008"/>
      <c r="AG3573" s="1008" t="s">
        <v>670</v>
      </c>
      <c r="AH3573" s="1008"/>
      <c r="AI3573" s="1008"/>
    </row>
    <row r="3574" spans="1:35">
      <c r="A3574" s="1008">
        <v>28010</v>
      </c>
      <c r="B3574" s="1008">
        <v>6748</v>
      </c>
      <c r="C3574" s="1008">
        <v>7</v>
      </c>
      <c r="D3574" s="1009">
        <v>75039999</v>
      </c>
      <c r="E3574" s="1009">
        <v>75032000</v>
      </c>
      <c r="F3574" s="1007" t="s">
        <v>1346</v>
      </c>
      <c r="G3574" s="1007" t="s">
        <v>648</v>
      </c>
      <c r="H3574" s="1010">
        <v>99999999</v>
      </c>
      <c r="I3574" s="1009">
        <v>75032000</v>
      </c>
      <c r="J3574" s="1007" t="s">
        <v>1346</v>
      </c>
      <c r="O3574" s="1007" t="s">
        <v>648</v>
      </c>
      <c r="P3574" s="1007" t="s">
        <v>648</v>
      </c>
      <c r="S3574" s="1008" t="s">
        <v>650</v>
      </c>
      <c r="T3574" s="1008" t="s">
        <v>654</v>
      </c>
      <c r="U3574" s="1008" t="s">
        <v>653</v>
      </c>
      <c r="V3574" s="1008" t="s">
        <v>648</v>
      </c>
      <c r="W3574" s="1008" t="s">
        <v>546</v>
      </c>
      <c r="X3574" s="1008" t="s">
        <v>670</v>
      </c>
      <c r="Y3574" s="1008"/>
      <c r="Z3574" s="1008"/>
      <c r="AA3574" s="1008" t="s">
        <v>670</v>
      </c>
      <c r="AB3574" s="1008"/>
      <c r="AC3574" s="1008"/>
      <c r="AD3574" s="1008"/>
      <c r="AE3574" s="1008"/>
      <c r="AF3574" s="1008"/>
      <c r="AG3574" s="1008" t="s">
        <v>670</v>
      </c>
      <c r="AH3574" s="1008"/>
      <c r="AI3574" s="1008"/>
    </row>
    <row r="3575" spans="1:35">
      <c r="A3575" s="1008">
        <v>28011</v>
      </c>
      <c r="B3575" s="1008">
        <v>6749</v>
      </c>
      <c r="C3575" s="1008">
        <v>7</v>
      </c>
      <c r="D3575" s="1009">
        <v>75039999</v>
      </c>
      <c r="E3575" s="1009">
        <v>75033000</v>
      </c>
      <c r="F3575" s="1007" t="s">
        <v>1345</v>
      </c>
      <c r="G3575" s="1007" t="s">
        <v>648</v>
      </c>
      <c r="H3575" s="1010">
        <v>99999999</v>
      </c>
      <c r="I3575" s="1009">
        <v>75033000</v>
      </c>
      <c r="J3575" s="1007" t="s">
        <v>1345</v>
      </c>
      <c r="O3575" s="1007" t="s">
        <v>648</v>
      </c>
      <c r="P3575" s="1007" t="s">
        <v>648</v>
      </c>
      <c r="S3575" s="1008" t="s">
        <v>650</v>
      </c>
      <c r="T3575" s="1008" t="s">
        <v>654</v>
      </c>
      <c r="U3575" s="1008" t="s">
        <v>653</v>
      </c>
      <c r="V3575" s="1008" t="s">
        <v>648</v>
      </c>
      <c r="W3575" s="1008" t="s">
        <v>546</v>
      </c>
      <c r="X3575" s="1008" t="s">
        <v>670</v>
      </c>
      <c r="Y3575" s="1008"/>
      <c r="Z3575" s="1008"/>
      <c r="AA3575" s="1008" t="s">
        <v>670</v>
      </c>
      <c r="AB3575" s="1008"/>
      <c r="AC3575" s="1008"/>
      <c r="AD3575" s="1008"/>
      <c r="AE3575" s="1008"/>
      <c r="AF3575" s="1008"/>
      <c r="AG3575" s="1008" t="s">
        <v>670</v>
      </c>
      <c r="AH3575" s="1008"/>
      <c r="AI3575" s="1008"/>
    </row>
    <row r="3576" spans="1:35">
      <c r="A3576" s="1008">
        <v>28012</v>
      </c>
      <c r="B3576" s="1008">
        <v>6750</v>
      </c>
      <c r="C3576" s="1008">
        <v>7</v>
      </c>
      <c r="D3576" s="1009">
        <v>75039999</v>
      </c>
      <c r="E3576" s="1009">
        <v>75034000</v>
      </c>
      <c r="F3576" s="1007" t="s">
        <v>1344</v>
      </c>
      <c r="G3576" s="1007" t="s">
        <v>648</v>
      </c>
      <c r="H3576" s="1010">
        <v>99999999</v>
      </c>
      <c r="I3576" s="1009">
        <v>75034000</v>
      </c>
      <c r="J3576" s="1007" t="s">
        <v>1344</v>
      </c>
      <c r="O3576" s="1007" t="s">
        <v>648</v>
      </c>
      <c r="P3576" s="1007" t="s">
        <v>648</v>
      </c>
      <c r="S3576" s="1008" t="s">
        <v>650</v>
      </c>
      <c r="T3576" s="1008" t="s">
        <v>654</v>
      </c>
      <c r="U3576" s="1008" t="s">
        <v>653</v>
      </c>
      <c r="V3576" s="1008" t="s">
        <v>648</v>
      </c>
      <c r="W3576" s="1008" t="s">
        <v>546</v>
      </c>
      <c r="X3576" s="1008" t="s">
        <v>670</v>
      </c>
      <c r="Y3576" s="1008"/>
      <c r="Z3576" s="1008"/>
      <c r="AA3576" s="1008" t="s">
        <v>670</v>
      </c>
      <c r="AB3576" s="1008"/>
      <c r="AC3576" s="1008"/>
      <c r="AD3576" s="1008"/>
      <c r="AE3576" s="1008"/>
      <c r="AF3576" s="1008"/>
      <c r="AG3576" s="1008" t="s">
        <v>670</v>
      </c>
      <c r="AH3576" s="1008"/>
      <c r="AI3576" s="1008"/>
    </row>
    <row r="3577" spans="1:35">
      <c r="A3577" s="1008">
        <v>28013</v>
      </c>
      <c r="B3577" s="1008">
        <v>6751</v>
      </c>
      <c r="C3577" s="1008">
        <v>7</v>
      </c>
      <c r="D3577" s="1009">
        <v>75039999</v>
      </c>
      <c r="E3577" s="1009">
        <v>75035000</v>
      </c>
      <c r="F3577" s="1007" t="s">
        <v>1343</v>
      </c>
      <c r="G3577" s="1007" t="s">
        <v>648</v>
      </c>
      <c r="H3577" s="1010">
        <v>99999999</v>
      </c>
      <c r="I3577" s="1009">
        <v>75035000</v>
      </c>
      <c r="J3577" s="1007" t="s">
        <v>1343</v>
      </c>
      <c r="O3577" s="1007" t="s">
        <v>648</v>
      </c>
      <c r="P3577" s="1007" t="s">
        <v>648</v>
      </c>
      <c r="S3577" s="1008" t="s">
        <v>650</v>
      </c>
      <c r="T3577" s="1008" t="s">
        <v>654</v>
      </c>
      <c r="U3577" s="1008" t="s">
        <v>653</v>
      </c>
      <c r="V3577" s="1008" t="s">
        <v>648</v>
      </c>
      <c r="W3577" s="1008" t="s">
        <v>546</v>
      </c>
      <c r="X3577" s="1008" t="s">
        <v>670</v>
      </c>
      <c r="Y3577" s="1008"/>
      <c r="Z3577" s="1008"/>
      <c r="AA3577" s="1008" t="s">
        <v>670</v>
      </c>
      <c r="AB3577" s="1008"/>
      <c r="AC3577" s="1008"/>
      <c r="AD3577" s="1008"/>
      <c r="AE3577" s="1008"/>
      <c r="AF3577" s="1008"/>
      <c r="AG3577" s="1008" t="s">
        <v>670</v>
      </c>
      <c r="AH3577" s="1008"/>
      <c r="AI3577" s="1008"/>
    </row>
    <row r="3578" spans="1:35">
      <c r="A3578" s="1008">
        <v>28014</v>
      </c>
      <c r="B3578" s="1008">
        <v>6752</v>
      </c>
      <c r="C3578" s="1008">
        <v>7</v>
      </c>
      <c r="D3578" s="1009">
        <v>75039999</v>
      </c>
      <c r="E3578" s="1009">
        <v>75036000</v>
      </c>
      <c r="F3578" s="1007" t="s">
        <v>1342</v>
      </c>
      <c r="G3578" s="1007" t="s">
        <v>648</v>
      </c>
      <c r="H3578" s="1010">
        <v>99999999</v>
      </c>
      <c r="I3578" s="1009">
        <v>75036000</v>
      </c>
      <c r="J3578" s="1007" t="s">
        <v>1342</v>
      </c>
      <c r="O3578" s="1007" t="s">
        <v>648</v>
      </c>
      <c r="P3578" s="1007" t="s">
        <v>648</v>
      </c>
      <c r="S3578" s="1008" t="s">
        <v>650</v>
      </c>
      <c r="T3578" s="1008" t="s">
        <v>654</v>
      </c>
      <c r="U3578" s="1008" t="s">
        <v>653</v>
      </c>
      <c r="V3578" s="1008" t="s">
        <v>648</v>
      </c>
      <c r="W3578" s="1008" t="s">
        <v>546</v>
      </c>
      <c r="X3578" s="1008" t="s">
        <v>670</v>
      </c>
      <c r="Y3578" s="1008"/>
      <c r="Z3578" s="1008"/>
      <c r="AA3578" s="1008" t="s">
        <v>670</v>
      </c>
      <c r="AB3578" s="1008"/>
      <c r="AC3578" s="1008"/>
      <c r="AD3578" s="1008"/>
      <c r="AE3578" s="1008"/>
      <c r="AF3578" s="1008"/>
      <c r="AG3578" s="1008" t="s">
        <v>670</v>
      </c>
      <c r="AH3578" s="1008"/>
      <c r="AI3578" s="1008"/>
    </row>
    <row r="3579" spans="1:35">
      <c r="A3579" s="1008">
        <v>28015</v>
      </c>
      <c r="B3579" s="1008">
        <v>6753</v>
      </c>
      <c r="C3579" s="1008">
        <v>7</v>
      </c>
      <c r="D3579" s="1009">
        <v>75039999</v>
      </c>
      <c r="E3579" s="1009">
        <v>75037000</v>
      </c>
      <c r="F3579" s="1007" t="s">
        <v>1341</v>
      </c>
      <c r="G3579" s="1007" t="s">
        <v>648</v>
      </c>
      <c r="H3579" s="1010">
        <v>99999999</v>
      </c>
      <c r="I3579" s="1009">
        <v>75037000</v>
      </c>
      <c r="J3579" s="1007" t="s">
        <v>1341</v>
      </c>
      <c r="O3579" s="1007" t="s">
        <v>648</v>
      </c>
      <c r="P3579" s="1007" t="s">
        <v>648</v>
      </c>
      <c r="S3579" s="1008" t="s">
        <v>650</v>
      </c>
      <c r="T3579" s="1008" t="s">
        <v>654</v>
      </c>
      <c r="U3579" s="1008" t="s">
        <v>653</v>
      </c>
      <c r="V3579" s="1008" t="s">
        <v>648</v>
      </c>
      <c r="W3579" s="1008" t="s">
        <v>546</v>
      </c>
      <c r="X3579" s="1008" t="s">
        <v>670</v>
      </c>
      <c r="Y3579" s="1008"/>
      <c r="Z3579" s="1008"/>
      <c r="AA3579" s="1008" t="s">
        <v>670</v>
      </c>
      <c r="AB3579" s="1008"/>
      <c r="AC3579" s="1008"/>
      <c r="AD3579" s="1008"/>
      <c r="AE3579" s="1008"/>
      <c r="AF3579" s="1008"/>
      <c r="AG3579" s="1008" t="s">
        <v>670</v>
      </c>
      <c r="AH3579" s="1008"/>
      <c r="AI3579" s="1008"/>
    </row>
    <row r="3580" spans="1:35">
      <c r="A3580" s="1008">
        <v>28016</v>
      </c>
      <c r="B3580" s="1008">
        <v>6754</v>
      </c>
      <c r="C3580" s="1008">
        <v>7</v>
      </c>
      <c r="D3580" s="1009">
        <v>75039999</v>
      </c>
      <c r="E3580" s="1009">
        <v>75038000</v>
      </c>
      <c r="F3580" s="1007" t="s">
        <v>1340</v>
      </c>
      <c r="G3580" s="1007" t="s">
        <v>648</v>
      </c>
      <c r="H3580" s="1010">
        <v>99999999</v>
      </c>
      <c r="I3580" s="1009">
        <v>75038000</v>
      </c>
      <c r="J3580" s="1007" t="s">
        <v>1340</v>
      </c>
      <c r="O3580" s="1007" t="s">
        <v>648</v>
      </c>
      <c r="P3580" s="1007" t="s">
        <v>648</v>
      </c>
      <c r="S3580" s="1008" t="s">
        <v>650</v>
      </c>
      <c r="T3580" s="1008" t="s">
        <v>654</v>
      </c>
      <c r="U3580" s="1008" t="s">
        <v>653</v>
      </c>
      <c r="V3580" s="1008" t="s">
        <v>648</v>
      </c>
      <c r="W3580" s="1008" t="s">
        <v>546</v>
      </c>
      <c r="X3580" s="1008" t="s">
        <v>670</v>
      </c>
      <c r="Y3580" s="1008"/>
      <c r="Z3580" s="1008"/>
      <c r="AA3580" s="1008" t="s">
        <v>670</v>
      </c>
      <c r="AB3580" s="1008"/>
      <c r="AC3580" s="1008"/>
      <c r="AD3580" s="1008"/>
      <c r="AE3580" s="1008"/>
      <c r="AF3580" s="1008"/>
      <c r="AG3580" s="1008" t="s">
        <v>670</v>
      </c>
      <c r="AH3580" s="1008"/>
      <c r="AI3580" s="1008"/>
    </row>
    <row r="3581" spans="1:35">
      <c r="A3581" s="1008">
        <v>28017</v>
      </c>
      <c r="C3581" s="1008">
        <v>6</v>
      </c>
      <c r="D3581" s="1009">
        <v>75099999</v>
      </c>
      <c r="E3581" s="1009">
        <v>75039999</v>
      </c>
      <c r="F3581" s="1007" t="s">
        <v>1339</v>
      </c>
      <c r="O3581" s="1007" t="s">
        <v>648</v>
      </c>
      <c r="P3581" s="1007" t="s">
        <v>648</v>
      </c>
      <c r="S3581" s="1008" t="s">
        <v>650</v>
      </c>
      <c r="T3581" s="1008" t="s">
        <v>21</v>
      </c>
      <c r="U3581" s="1008" t="s">
        <v>653</v>
      </c>
      <c r="V3581" s="1008" t="s">
        <v>648</v>
      </c>
      <c r="W3581" s="1008" t="s">
        <v>546</v>
      </c>
      <c r="X3581" s="1008"/>
      <c r="Y3581" s="1008"/>
      <c r="Z3581" s="1008"/>
      <c r="AA3581" s="1008"/>
      <c r="AB3581" s="1008"/>
      <c r="AC3581" s="1008"/>
      <c r="AD3581" s="1008"/>
      <c r="AE3581" s="1008"/>
      <c r="AF3581" s="1008"/>
      <c r="AG3581" s="1008"/>
      <c r="AH3581" s="1008"/>
      <c r="AI3581" s="1008"/>
    </row>
    <row r="3582" spans="1:35">
      <c r="A3582" s="1008">
        <v>28018</v>
      </c>
      <c r="C3582" s="1008">
        <v>5</v>
      </c>
      <c r="D3582" s="1009">
        <v>79999990</v>
      </c>
      <c r="E3582" s="1009">
        <v>75099999</v>
      </c>
      <c r="F3582" s="1007" t="s">
        <v>1338</v>
      </c>
      <c r="O3582" s="1007" t="s">
        <v>648</v>
      </c>
      <c r="P3582" s="1007" t="s">
        <v>648</v>
      </c>
      <c r="S3582" s="1008" t="s">
        <v>650</v>
      </c>
      <c r="T3582" s="1008" t="s">
        <v>21</v>
      </c>
      <c r="U3582" s="1008" t="s">
        <v>653</v>
      </c>
      <c r="V3582" s="1008" t="s">
        <v>648</v>
      </c>
      <c r="W3582" s="1008" t="s">
        <v>546</v>
      </c>
      <c r="X3582" s="1008"/>
      <c r="Y3582" s="1008"/>
      <c r="Z3582" s="1008"/>
      <c r="AA3582" s="1008"/>
      <c r="AB3582" s="1008"/>
      <c r="AC3582" s="1008"/>
      <c r="AD3582" s="1008"/>
      <c r="AE3582" s="1008"/>
      <c r="AF3582" s="1008"/>
      <c r="AG3582" s="1008"/>
      <c r="AH3582" s="1008"/>
      <c r="AI3582" s="1008"/>
    </row>
    <row r="3583" spans="1:35">
      <c r="A3583" s="1008">
        <v>28019</v>
      </c>
      <c r="C3583" s="1008">
        <v>5</v>
      </c>
      <c r="D3583" s="1009">
        <v>76099999</v>
      </c>
      <c r="E3583" s="1009">
        <v>76000000</v>
      </c>
      <c r="F3583" s="1007" t="s">
        <v>1337</v>
      </c>
      <c r="O3583" s="1007" t="s">
        <v>648</v>
      </c>
      <c r="P3583" s="1007" t="s">
        <v>648</v>
      </c>
      <c r="S3583" s="1008" t="s">
        <v>650</v>
      </c>
      <c r="T3583" s="1008" t="s">
        <v>675</v>
      </c>
      <c r="U3583" s="1008" t="s">
        <v>653</v>
      </c>
      <c r="V3583" s="1008" t="s">
        <v>648</v>
      </c>
      <c r="W3583" s="1008" t="s">
        <v>546</v>
      </c>
      <c r="X3583" s="1008"/>
      <c r="Y3583" s="1008"/>
      <c r="Z3583" s="1008"/>
      <c r="AA3583" s="1008"/>
      <c r="AB3583" s="1008"/>
      <c r="AC3583" s="1008"/>
      <c r="AD3583" s="1008"/>
      <c r="AE3583" s="1008"/>
      <c r="AF3583" s="1008"/>
      <c r="AG3583" s="1008"/>
      <c r="AH3583" s="1008"/>
      <c r="AI3583" s="1008"/>
    </row>
    <row r="3584" spans="1:35">
      <c r="A3584" s="1008">
        <v>28020</v>
      </c>
      <c r="C3584" s="1008">
        <v>6</v>
      </c>
      <c r="D3584" s="1009">
        <v>76019999</v>
      </c>
      <c r="E3584" s="1009">
        <v>76010000</v>
      </c>
      <c r="F3584" s="1007" t="s">
        <v>1336</v>
      </c>
      <c r="O3584" s="1007" t="s">
        <v>648</v>
      </c>
      <c r="P3584" s="1007" t="s">
        <v>648</v>
      </c>
      <c r="S3584" s="1008" t="s">
        <v>650</v>
      </c>
      <c r="T3584" s="1008" t="s">
        <v>675</v>
      </c>
      <c r="U3584" s="1008" t="s">
        <v>653</v>
      </c>
      <c r="V3584" s="1008" t="s">
        <v>648</v>
      </c>
      <c r="W3584" s="1008" t="s">
        <v>546</v>
      </c>
      <c r="X3584" s="1008"/>
      <c r="Y3584" s="1008"/>
      <c r="Z3584" s="1008"/>
      <c r="AA3584" s="1008"/>
      <c r="AB3584" s="1008"/>
      <c r="AC3584" s="1008"/>
      <c r="AD3584" s="1008"/>
      <c r="AE3584" s="1008"/>
      <c r="AF3584" s="1008"/>
      <c r="AG3584" s="1008"/>
      <c r="AH3584" s="1008"/>
      <c r="AI3584" s="1008"/>
    </row>
    <row r="3585" spans="1:35">
      <c r="A3585" s="1008">
        <v>28021</v>
      </c>
      <c r="B3585" s="1008">
        <v>6755</v>
      </c>
      <c r="C3585" s="1008">
        <v>7</v>
      </c>
      <c r="D3585" s="1009">
        <v>76019999</v>
      </c>
      <c r="E3585" s="1009">
        <v>76012000</v>
      </c>
      <c r="F3585" s="1007" t="s">
        <v>1335</v>
      </c>
      <c r="G3585" s="1007" t="s">
        <v>648</v>
      </c>
      <c r="H3585" s="1010">
        <v>99999999</v>
      </c>
      <c r="I3585" s="1009">
        <v>76012000</v>
      </c>
      <c r="J3585" s="1007" t="s">
        <v>1335</v>
      </c>
      <c r="O3585" s="1007" t="s">
        <v>648</v>
      </c>
      <c r="P3585" s="1007" t="s">
        <v>648</v>
      </c>
      <c r="S3585" s="1008" t="s">
        <v>650</v>
      </c>
      <c r="T3585" s="1008" t="s">
        <v>654</v>
      </c>
      <c r="U3585" s="1008" t="s">
        <v>653</v>
      </c>
      <c r="V3585" s="1008" t="s">
        <v>648</v>
      </c>
      <c r="W3585" s="1008" t="s">
        <v>546</v>
      </c>
      <c r="X3585" s="1008" t="s">
        <v>670</v>
      </c>
      <c r="Y3585" s="1008"/>
      <c r="Z3585" s="1008"/>
      <c r="AA3585" s="1008" t="s">
        <v>670</v>
      </c>
      <c r="AB3585" s="1008"/>
      <c r="AC3585" s="1008"/>
      <c r="AD3585" s="1008"/>
      <c r="AE3585" s="1008"/>
      <c r="AF3585" s="1008"/>
      <c r="AG3585" s="1008" t="s">
        <v>670</v>
      </c>
      <c r="AH3585" s="1008"/>
      <c r="AI3585" s="1008"/>
    </row>
    <row r="3586" spans="1:35">
      <c r="A3586" s="1008">
        <v>28022</v>
      </c>
      <c r="B3586" s="1008">
        <v>6756</v>
      </c>
      <c r="C3586" s="1008">
        <v>7</v>
      </c>
      <c r="D3586" s="1009">
        <v>76019999</v>
      </c>
      <c r="E3586" s="1009">
        <v>76012010</v>
      </c>
      <c r="F3586" s="1007" t="s">
        <v>1334</v>
      </c>
      <c r="G3586" s="1007" t="s">
        <v>648</v>
      </c>
      <c r="H3586" s="1010">
        <v>99999999</v>
      </c>
      <c r="I3586" s="1009">
        <v>76012010</v>
      </c>
      <c r="J3586" s="1007" t="s">
        <v>1334</v>
      </c>
      <c r="O3586" s="1007" t="s">
        <v>648</v>
      </c>
      <c r="P3586" s="1007" t="s">
        <v>648</v>
      </c>
      <c r="S3586" s="1008" t="s">
        <v>650</v>
      </c>
      <c r="T3586" s="1008" t="s">
        <v>654</v>
      </c>
      <c r="U3586" s="1008" t="s">
        <v>653</v>
      </c>
      <c r="V3586" s="1008" t="s">
        <v>648</v>
      </c>
      <c r="W3586" s="1008" t="s">
        <v>546</v>
      </c>
      <c r="X3586" s="1008" t="s">
        <v>670</v>
      </c>
      <c r="Y3586" s="1008"/>
      <c r="Z3586" s="1008"/>
      <c r="AA3586" s="1008" t="s">
        <v>670</v>
      </c>
      <c r="AB3586" s="1008"/>
      <c r="AC3586" s="1008"/>
      <c r="AD3586" s="1008"/>
      <c r="AE3586" s="1008"/>
      <c r="AF3586" s="1008"/>
      <c r="AG3586" s="1008" t="s">
        <v>670</v>
      </c>
      <c r="AH3586" s="1008"/>
      <c r="AI3586" s="1008"/>
    </row>
    <row r="3587" spans="1:35">
      <c r="A3587" s="1008">
        <v>28023</v>
      </c>
      <c r="B3587" s="1008">
        <v>6757</v>
      </c>
      <c r="C3587" s="1008">
        <v>7</v>
      </c>
      <c r="D3587" s="1009">
        <v>76019999</v>
      </c>
      <c r="E3587" s="1009">
        <v>76013000</v>
      </c>
      <c r="F3587" s="1007" t="s">
        <v>121</v>
      </c>
      <c r="G3587" s="1007" t="s">
        <v>648</v>
      </c>
      <c r="H3587" s="1010">
        <v>99999999</v>
      </c>
      <c r="I3587" s="1009">
        <v>76013000</v>
      </c>
      <c r="J3587" s="1007" t="s">
        <v>121</v>
      </c>
      <c r="O3587" s="1007" t="s">
        <v>648</v>
      </c>
      <c r="P3587" s="1007" t="s">
        <v>648</v>
      </c>
      <c r="S3587" s="1008" t="s">
        <v>650</v>
      </c>
      <c r="T3587" s="1008" t="s">
        <v>654</v>
      </c>
      <c r="U3587" s="1008" t="s">
        <v>653</v>
      </c>
      <c r="V3587" s="1008" t="s">
        <v>648</v>
      </c>
      <c r="W3587" s="1008" t="s">
        <v>546</v>
      </c>
      <c r="X3587" s="1008" t="s">
        <v>670</v>
      </c>
      <c r="Y3587" s="1008"/>
      <c r="Z3587" s="1008"/>
      <c r="AA3587" s="1008" t="s">
        <v>670</v>
      </c>
      <c r="AB3587" s="1008"/>
      <c r="AC3587" s="1008"/>
      <c r="AD3587" s="1008"/>
      <c r="AE3587" s="1008"/>
      <c r="AF3587" s="1008"/>
      <c r="AG3587" s="1008" t="s">
        <v>670</v>
      </c>
      <c r="AH3587" s="1008"/>
      <c r="AI3587" s="1008"/>
    </row>
    <row r="3588" spans="1:35">
      <c r="A3588" s="1008">
        <v>28024</v>
      </c>
      <c r="B3588" s="1008">
        <v>6758</v>
      </c>
      <c r="C3588" s="1008">
        <v>7</v>
      </c>
      <c r="D3588" s="1009">
        <v>76019999</v>
      </c>
      <c r="E3588" s="1009">
        <v>76014000</v>
      </c>
      <c r="F3588" s="1007" t="s">
        <v>1333</v>
      </c>
      <c r="G3588" s="1007" t="s">
        <v>648</v>
      </c>
      <c r="H3588" s="1010">
        <v>99999999</v>
      </c>
      <c r="I3588" s="1009">
        <v>76014000</v>
      </c>
      <c r="J3588" s="1007" t="s">
        <v>1333</v>
      </c>
      <c r="O3588" s="1007" t="s">
        <v>648</v>
      </c>
      <c r="P3588" s="1007" t="s">
        <v>648</v>
      </c>
      <c r="S3588" s="1008" t="s">
        <v>650</v>
      </c>
      <c r="T3588" s="1008" t="s">
        <v>654</v>
      </c>
      <c r="U3588" s="1008" t="s">
        <v>653</v>
      </c>
      <c r="V3588" s="1008" t="s">
        <v>648</v>
      </c>
      <c r="W3588" s="1008" t="s">
        <v>546</v>
      </c>
      <c r="X3588" s="1008" t="s">
        <v>670</v>
      </c>
      <c r="Y3588" s="1008"/>
      <c r="Z3588" s="1008"/>
      <c r="AA3588" s="1008" t="s">
        <v>670</v>
      </c>
      <c r="AB3588" s="1008"/>
      <c r="AC3588" s="1008"/>
      <c r="AD3588" s="1008"/>
      <c r="AE3588" s="1008"/>
      <c r="AF3588" s="1008"/>
      <c r="AG3588" s="1008" t="s">
        <v>670</v>
      </c>
      <c r="AH3588" s="1008"/>
      <c r="AI3588" s="1008"/>
    </row>
    <row r="3589" spans="1:35">
      <c r="A3589" s="1008">
        <v>28025</v>
      </c>
      <c r="B3589" s="1008">
        <v>6759</v>
      </c>
      <c r="C3589" s="1008">
        <v>7</v>
      </c>
      <c r="D3589" s="1009">
        <v>76019999</v>
      </c>
      <c r="E3589" s="1009">
        <v>76015000</v>
      </c>
      <c r="F3589" s="1007" t="s">
        <v>1332</v>
      </c>
      <c r="G3589" s="1007" t="s">
        <v>648</v>
      </c>
      <c r="H3589" s="1010">
        <v>99999999</v>
      </c>
      <c r="I3589" s="1009">
        <v>76015000</v>
      </c>
      <c r="J3589" s="1007" t="s">
        <v>1332</v>
      </c>
      <c r="O3589" s="1007" t="s">
        <v>648</v>
      </c>
      <c r="P3589" s="1007" t="s">
        <v>648</v>
      </c>
      <c r="S3589" s="1008" t="s">
        <v>650</v>
      </c>
      <c r="T3589" s="1008" t="s">
        <v>654</v>
      </c>
      <c r="U3589" s="1008" t="s">
        <v>653</v>
      </c>
      <c r="V3589" s="1008" t="s">
        <v>648</v>
      </c>
      <c r="W3589" s="1008" t="s">
        <v>546</v>
      </c>
      <c r="X3589" s="1008" t="s">
        <v>670</v>
      </c>
      <c r="Y3589" s="1008"/>
      <c r="Z3589" s="1008"/>
      <c r="AA3589" s="1008" t="s">
        <v>670</v>
      </c>
      <c r="AB3589" s="1008"/>
      <c r="AC3589" s="1008"/>
      <c r="AD3589" s="1008"/>
      <c r="AE3589" s="1008"/>
      <c r="AF3589" s="1008"/>
      <c r="AG3589" s="1008" t="s">
        <v>670</v>
      </c>
      <c r="AH3589" s="1008"/>
      <c r="AI3589" s="1008"/>
    </row>
    <row r="3590" spans="1:35">
      <c r="A3590" s="1008">
        <v>28026</v>
      </c>
      <c r="B3590" s="1008">
        <v>6760</v>
      </c>
      <c r="C3590" s="1008">
        <v>7</v>
      </c>
      <c r="D3590" s="1009">
        <v>76019999</v>
      </c>
      <c r="E3590" s="1009">
        <v>76019000</v>
      </c>
      <c r="F3590" s="1007" t="s">
        <v>1331</v>
      </c>
      <c r="G3590" s="1007" t="s">
        <v>648</v>
      </c>
      <c r="H3590" s="1010">
        <v>99999999</v>
      </c>
      <c r="I3590" s="1009">
        <v>76019000</v>
      </c>
      <c r="J3590" s="1007" t="s">
        <v>1330</v>
      </c>
      <c r="O3590" s="1007" t="s">
        <v>648</v>
      </c>
      <c r="P3590" s="1007" t="s">
        <v>648</v>
      </c>
      <c r="S3590" s="1008" t="s">
        <v>650</v>
      </c>
      <c r="T3590" s="1008" t="s">
        <v>654</v>
      </c>
      <c r="U3590" s="1008" t="s">
        <v>653</v>
      </c>
      <c r="V3590" s="1008" t="s">
        <v>648</v>
      </c>
      <c r="W3590" s="1008" t="s">
        <v>546</v>
      </c>
      <c r="X3590" s="1008" t="s">
        <v>670</v>
      </c>
      <c r="Y3590" s="1008"/>
      <c r="Z3590" s="1008"/>
      <c r="AA3590" s="1008" t="s">
        <v>670</v>
      </c>
      <c r="AB3590" s="1008"/>
      <c r="AC3590" s="1008"/>
      <c r="AD3590" s="1008"/>
      <c r="AE3590" s="1008"/>
      <c r="AF3590" s="1008"/>
      <c r="AG3590" s="1008" t="s">
        <v>670</v>
      </c>
      <c r="AH3590" s="1008"/>
      <c r="AI3590" s="1008"/>
    </row>
    <row r="3591" spans="1:35">
      <c r="A3591" s="1008">
        <v>28027</v>
      </c>
      <c r="C3591" s="1008">
        <v>6</v>
      </c>
      <c r="D3591" s="1009">
        <v>76099999</v>
      </c>
      <c r="E3591" s="1009">
        <v>76019999</v>
      </c>
      <c r="F3591" s="1007" t="s">
        <v>1329</v>
      </c>
      <c r="O3591" s="1007" t="s">
        <v>648</v>
      </c>
      <c r="P3591" s="1007" t="s">
        <v>648</v>
      </c>
      <c r="S3591" s="1008" t="s">
        <v>650</v>
      </c>
      <c r="T3591" s="1008" t="s">
        <v>21</v>
      </c>
      <c r="U3591" s="1008" t="s">
        <v>653</v>
      </c>
      <c r="V3591" s="1008" t="s">
        <v>648</v>
      </c>
      <c r="W3591" s="1008" t="s">
        <v>546</v>
      </c>
      <c r="X3591" s="1008"/>
      <c r="Y3591" s="1008"/>
      <c r="Z3591" s="1008"/>
      <c r="AA3591" s="1008"/>
      <c r="AB3591" s="1008"/>
      <c r="AC3591" s="1008"/>
      <c r="AD3591" s="1008"/>
      <c r="AE3591" s="1008"/>
      <c r="AF3591" s="1008"/>
      <c r="AG3591" s="1008"/>
      <c r="AH3591" s="1008"/>
      <c r="AI3591" s="1008"/>
    </row>
    <row r="3592" spans="1:35">
      <c r="A3592" s="1008">
        <v>28028</v>
      </c>
      <c r="C3592" s="1008">
        <v>5</v>
      </c>
      <c r="D3592" s="1009">
        <v>79999990</v>
      </c>
      <c r="E3592" s="1009">
        <v>76099999</v>
      </c>
      <c r="F3592" s="1007" t="s">
        <v>1328</v>
      </c>
      <c r="O3592" s="1007" t="s">
        <v>648</v>
      </c>
      <c r="P3592" s="1007" t="s">
        <v>648</v>
      </c>
      <c r="S3592" s="1008" t="s">
        <v>650</v>
      </c>
      <c r="T3592" s="1008" t="s">
        <v>21</v>
      </c>
      <c r="U3592" s="1008" t="s">
        <v>653</v>
      </c>
      <c r="V3592" s="1008" t="s">
        <v>648</v>
      </c>
      <c r="W3592" s="1008" t="s">
        <v>546</v>
      </c>
      <c r="X3592" s="1008"/>
      <c r="Y3592" s="1008"/>
      <c r="Z3592" s="1008"/>
      <c r="AA3592" s="1008"/>
      <c r="AB3592" s="1008"/>
      <c r="AC3592" s="1008"/>
      <c r="AD3592" s="1008"/>
      <c r="AE3592" s="1008"/>
      <c r="AF3592" s="1008"/>
      <c r="AG3592" s="1008"/>
      <c r="AH3592" s="1008"/>
      <c r="AI3592" s="1008"/>
    </row>
    <row r="3593" spans="1:35">
      <c r="A3593" s="1008">
        <v>28029</v>
      </c>
      <c r="C3593" s="1008">
        <v>5</v>
      </c>
      <c r="D3593" s="1009">
        <v>77099999</v>
      </c>
      <c r="E3593" s="1009">
        <v>77000000</v>
      </c>
      <c r="F3593" s="1007" t="s">
        <v>1327</v>
      </c>
      <c r="O3593" s="1007" t="s">
        <v>648</v>
      </c>
      <c r="P3593" s="1007" t="s">
        <v>648</v>
      </c>
      <c r="S3593" s="1008" t="s">
        <v>650</v>
      </c>
      <c r="T3593" s="1008" t="s">
        <v>675</v>
      </c>
      <c r="U3593" s="1008" t="s">
        <v>653</v>
      </c>
      <c r="V3593" s="1008" t="s">
        <v>648</v>
      </c>
      <c r="W3593" s="1008" t="s">
        <v>546</v>
      </c>
      <c r="X3593" s="1008"/>
      <c r="Y3593" s="1008"/>
      <c r="Z3593" s="1008"/>
      <c r="AA3593" s="1008"/>
      <c r="AB3593" s="1008"/>
      <c r="AC3593" s="1008"/>
      <c r="AD3593" s="1008"/>
      <c r="AE3593" s="1008"/>
      <c r="AF3593" s="1008"/>
      <c r="AG3593" s="1008"/>
      <c r="AH3593" s="1008"/>
      <c r="AI3593" s="1008"/>
    </row>
    <row r="3594" spans="1:35">
      <c r="A3594" s="1008">
        <v>28030</v>
      </c>
      <c r="C3594" s="1008">
        <v>6</v>
      </c>
      <c r="D3594" s="1009">
        <v>77019999</v>
      </c>
      <c r="E3594" s="1009">
        <v>77010000</v>
      </c>
      <c r="F3594" s="1007" t="s">
        <v>23</v>
      </c>
      <c r="O3594" s="1007" t="s">
        <v>648</v>
      </c>
      <c r="P3594" s="1007" t="s">
        <v>648</v>
      </c>
      <c r="S3594" s="1008" t="s">
        <v>650</v>
      </c>
      <c r="T3594" s="1008" t="s">
        <v>675</v>
      </c>
      <c r="U3594" s="1008" t="s">
        <v>653</v>
      </c>
      <c r="V3594" s="1008" t="s">
        <v>648</v>
      </c>
      <c r="W3594" s="1008" t="s">
        <v>546</v>
      </c>
      <c r="X3594" s="1008"/>
      <c r="Y3594" s="1008"/>
      <c r="Z3594" s="1008"/>
      <c r="AA3594" s="1008"/>
      <c r="AB3594" s="1008"/>
      <c r="AC3594" s="1008"/>
      <c r="AD3594" s="1008"/>
      <c r="AE3594" s="1008"/>
      <c r="AF3594" s="1008"/>
      <c r="AG3594" s="1008"/>
      <c r="AH3594" s="1008"/>
      <c r="AI3594" s="1008"/>
    </row>
    <row r="3595" spans="1:35">
      <c r="A3595" s="1008">
        <v>28031</v>
      </c>
      <c r="B3595" s="1008">
        <v>6761</v>
      </c>
      <c r="C3595" s="1008">
        <v>7</v>
      </c>
      <c r="D3595" s="1009">
        <v>77019999</v>
      </c>
      <c r="E3595" s="1009">
        <v>77011000</v>
      </c>
      <c r="F3595" s="1007" t="s">
        <v>1326</v>
      </c>
      <c r="G3595" s="1007" t="s">
        <v>648</v>
      </c>
      <c r="H3595" s="1010">
        <v>99999999</v>
      </c>
      <c r="I3595" s="1009">
        <v>77011000</v>
      </c>
      <c r="J3595" s="1007" t="s">
        <v>1326</v>
      </c>
      <c r="O3595" s="1007" t="s">
        <v>648</v>
      </c>
      <c r="P3595" s="1007" t="s">
        <v>648</v>
      </c>
      <c r="S3595" s="1008" t="s">
        <v>650</v>
      </c>
      <c r="T3595" s="1008" t="s">
        <v>654</v>
      </c>
      <c r="U3595" s="1008" t="s">
        <v>653</v>
      </c>
      <c r="V3595" s="1008" t="s">
        <v>648</v>
      </c>
      <c r="W3595" s="1008" t="s">
        <v>546</v>
      </c>
      <c r="X3595" s="1008" t="s">
        <v>670</v>
      </c>
      <c r="Y3595" s="1008"/>
      <c r="Z3595" s="1008"/>
      <c r="AA3595" s="1008" t="s">
        <v>670</v>
      </c>
      <c r="AB3595" s="1008"/>
      <c r="AC3595" s="1008"/>
      <c r="AD3595" s="1008"/>
      <c r="AE3595" s="1008"/>
      <c r="AF3595" s="1008"/>
      <c r="AG3595" s="1008" t="s">
        <v>670</v>
      </c>
      <c r="AH3595" s="1008"/>
      <c r="AI3595" s="1008"/>
    </row>
    <row r="3596" spans="1:35">
      <c r="A3596" s="1008">
        <v>28032</v>
      </c>
      <c r="B3596" s="1008">
        <v>6762</v>
      </c>
      <c r="C3596" s="1008">
        <v>7</v>
      </c>
      <c r="D3596" s="1009">
        <v>77019999</v>
      </c>
      <c r="E3596" s="1009">
        <v>77013000</v>
      </c>
      <c r="F3596" s="1007" t="s">
        <v>1325</v>
      </c>
      <c r="G3596" s="1007" t="s">
        <v>648</v>
      </c>
      <c r="H3596" s="1010">
        <v>99999999</v>
      </c>
      <c r="I3596" s="1009">
        <v>77013000</v>
      </c>
      <c r="J3596" s="1007" t="s">
        <v>1325</v>
      </c>
      <c r="O3596" s="1007" t="s">
        <v>648</v>
      </c>
      <c r="P3596" s="1007" t="s">
        <v>648</v>
      </c>
      <c r="S3596" s="1008" t="s">
        <v>650</v>
      </c>
      <c r="T3596" s="1008" t="s">
        <v>654</v>
      </c>
      <c r="U3596" s="1008" t="s">
        <v>653</v>
      </c>
      <c r="V3596" s="1008" t="s">
        <v>648</v>
      </c>
      <c r="W3596" s="1008" t="s">
        <v>546</v>
      </c>
      <c r="X3596" s="1008" t="s">
        <v>670</v>
      </c>
      <c r="Y3596" s="1008"/>
      <c r="Z3596" s="1008"/>
      <c r="AA3596" s="1008" t="s">
        <v>670</v>
      </c>
      <c r="AB3596" s="1008"/>
      <c r="AC3596" s="1008"/>
      <c r="AD3596" s="1008"/>
      <c r="AE3596" s="1008"/>
      <c r="AF3596" s="1008"/>
      <c r="AG3596" s="1008" t="s">
        <v>670</v>
      </c>
      <c r="AH3596" s="1008"/>
      <c r="AI3596" s="1008"/>
    </row>
    <row r="3597" spans="1:35">
      <c r="A3597" s="1008">
        <v>28033</v>
      </c>
      <c r="B3597" s="1008">
        <v>6763</v>
      </c>
      <c r="C3597" s="1008">
        <v>7</v>
      </c>
      <c r="D3597" s="1009">
        <v>77019999</v>
      </c>
      <c r="E3597" s="1009">
        <v>77016000</v>
      </c>
      <c r="F3597" s="1007" t="s">
        <v>1324</v>
      </c>
      <c r="G3597" s="1007" t="s">
        <v>648</v>
      </c>
      <c r="H3597" s="1010">
        <v>99999999</v>
      </c>
      <c r="I3597" s="1009">
        <v>77016000</v>
      </c>
      <c r="J3597" s="1007" t="s">
        <v>1324</v>
      </c>
      <c r="O3597" s="1007" t="s">
        <v>648</v>
      </c>
      <c r="P3597" s="1007" t="s">
        <v>648</v>
      </c>
      <c r="S3597" s="1008" t="s">
        <v>650</v>
      </c>
      <c r="T3597" s="1008" t="s">
        <v>654</v>
      </c>
      <c r="U3597" s="1008" t="s">
        <v>653</v>
      </c>
      <c r="V3597" s="1008" t="s">
        <v>648</v>
      </c>
      <c r="W3597" s="1008" t="s">
        <v>546</v>
      </c>
      <c r="X3597" s="1008" t="s">
        <v>670</v>
      </c>
      <c r="Y3597" s="1008"/>
      <c r="Z3597" s="1008"/>
      <c r="AA3597" s="1008" t="s">
        <v>670</v>
      </c>
      <c r="AB3597" s="1008"/>
      <c r="AC3597" s="1008"/>
      <c r="AD3597" s="1008"/>
      <c r="AE3597" s="1008"/>
      <c r="AF3597" s="1008"/>
      <c r="AG3597" s="1008" t="s">
        <v>670</v>
      </c>
      <c r="AH3597" s="1008"/>
      <c r="AI3597" s="1008"/>
    </row>
    <row r="3598" spans="1:35">
      <c r="A3598" s="1008">
        <v>28034</v>
      </c>
      <c r="C3598" s="1008">
        <v>6</v>
      </c>
      <c r="D3598" s="1009">
        <v>77099999</v>
      </c>
      <c r="E3598" s="1009">
        <v>77019999</v>
      </c>
      <c r="F3598" s="1007" t="s">
        <v>229</v>
      </c>
      <c r="O3598" s="1007" t="s">
        <v>648</v>
      </c>
      <c r="P3598" s="1007" t="s">
        <v>648</v>
      </c>
      <c r="S3598" s="1008" t="s">
        <v>650</v>
      </c>
      <c r="T3598" s="1008" t="s">
        <v>21</v>
      </c>
      <c r="U3598" s="1008" t="s">
        <v>653</v>
      </c>
      <c r="V3598" s="1008" t="s">
        <v>648</v>
      </c>
      <c r="W3598" s="1008" t="s">
        <v>546</v>
      </c>
      <c r="X3598" s="1008"/>
      <c r="Y3598" s="1008"/>
      <c r="Z3598" s="1008"/>
      <c r="AA3598" s="1008"/>
      <c r="AB3598" s="1008"/>
      <c r="AC3598" s="1008"/>
      <c r="AD3598" s="1008"/>
      <c r="AE3598" s="1008"/>
      <c r="AF3598" s="1008"/>
      <c r="AG3598" s="1008"/>
      <c r="AH3598" s="1008"/>
      <c r="AI3598" s="1008"/>
    </row>
    <row r="3599" spans="1:35">
      <c r="A3599" s="1008">
        <v>28035</v>
      </c>
      <c r="C3599" s="1008">
        <v>6</v>
      </c>
      <c r="D3599" s="1009">
        <v>77029999</v>
      </c>
      <c r="E3599" s="1009">
        <v>77020000</v>
      </c>
      <c r="F3599" s="1007" t="s">
        <v>1323</v>
      </c>
      <c r="O3599" s="1007" t="s">
        <v>648</v>
      </c>
      <c r="P3599" s="1007" t="s">
        <v>648</v>
      </c>
      <c r="S3599" s="1008" t="s">
        <v>650</v>
      </c>
      <c r="T3599" s="1008" t="s">
        <v>675</v>
      </c>
      <c r="U3599" s="1008" t="s">
        <v>653</v>
      </c>
      <c r="V3599" s="1008" t="s">
        <v>648</v>
      </c>
      <c r="W3599" s="1008" t="s">
        <v>546</v>
      </c>
      <c r="X3599" s="1008"/>
      <c r="Y3599" s="1008"/>
      <c r="Z3599" s="1008"/>
      <c r="AA3599" s="1008"/>
      <c r="AB3599" s="1008"/>
      <c r="AC3599" s="1008"/>
      <c r="AD3599" s="1008"/>
      <c r="AE3599" s="1008"/>
      <c r="AF3599" s="1008"/>
      <c r="AG3599" s="1008"/>
      <c r="AH3599" s="1008"/>
      <c r="AI3599" s="1008"/>
    </row>
    <row r="3600" spans="1:35">
      <c r="A3600" s="1008">
        <v>28036</v>
      </c>
      <c r="B3600" s="1008">
        <v>6764</v>
      </c>
      <c r="C3600" s="1008">
        <v>7</v>
      </c>
      <c r="D3600" s="1009">
        <v>77029999</v>
      </c>
      <c r="E3600" s="1009">
        <v>77021000</v>
      </c>
      <c r="F3600" s="1007" t="s">
        <v>1322</v>
      </c>
      <c r="G3600" s="1007" t="s">
        <v>648</v>
      </c>
      <c r="H3600" s="1010">
        <v>99999999</v>
      </c>
      <c r="I3600" s="1009">
        <v>77021000</v>
      </c>
      <c r="J3600" s="1007" t="s">
        <v>1322</v>
      </c>
      <c r="O3600" s="1007" t="s">
        <v>648</v>
      </c>
      <c r="P3600" s="1007" t="s">
        <v>648</v>
      </c>
      <c r="S3600" s="1008" t="s">
        <v>650</v>
      </c>
      <c r="T3600" s="1008" t="s">
        <v>654</v>
      </c>
      <c r="U3600" s="1008" t="s">
        <v>653</v>
      </c>
      <c r="V3600" s="1008" t="s">
        <v>648</v>
      </c>
      <c r="W3600" s="1008" t="s">
        <v>546</v>
      </c>
      <c r="X3600" s="1008" t="s">
        <v>670</v>
      </c>
      <c r="Y3600" s="1008"/>
      <c r="Z3600" s="1008"/>
      <c r="AA3600" s="1008" t="s">
        <v>670</v>
      </c>
      <c r="AB3600" s="1008"/>
      <c r="AC3600" s="1008"/>
      <c r="AD3600" s="1008"/>
      <c r="AE3600" s="1008"/>
      <c r="AF3600" s="1008"/>
      <c r="AG3600" s="1008" t="s">
        <v>670</v>
      </c>
      <c r="AH3600" s="1008"/>
      <c r="AI3600" s="1008"/>
    </row>
    <row r="3601" spans="1:35">
      <c r="A3601" s="1008">
        <v>28037</v>
      </c>
      <c r="B3601" s="1008">
        <v>6765</v>
      </c>
      <c r="C3601" s="1008">
        <v>7</v>
      </c>
      <c r="D3601" s="1009">
        <v>77029999</v>
      </c>
      <c r="E3601" s="1009">
        <v>77023000</v>
      </c>
      <c r="F3601" s="1007" t="s">
        <v>1321</v>
      </c>
      <c r="G3601" s="1007" t="s">
        <v>648</v>
      </c>
      <c r="H3601" s="1010">
        <v>99999999</v>
      </c>
      <c r="I3601" s="1009">
        <v>77023000</v>
      </c>
      <c r="J3601" s="1007" t="s">
        <v>1321</v>
      </c>
      <c r="O3601" s="1007" t="s">
        <v>648</v>
      </c>
      <c r="P3601" s="1007" t="s">
        <v>648</v>
      </c>
      <c r="S3601" s="1008" t="s">
        <v>650</v>
      </c>
      <c r="T3601" s="1008" t="s">
        <v>654</v>
      </c>
      <c r="U3601" s="1008" t="s">
        <v>653</v>
      </c>
      <c r="V3601" s="1008" t="s">
        <v>648</v>
      </c>
      <c r="W3601" s="1008" t="s">
        <v>546</v>
      </c>
      <c r="X3601" s="1008" t="s">
        <v>670</v>
      </c>
      <c r="Y3601" s="1008"/>
      <c r="Z3601" s="1008"/>
      <c r="AA3601" s="1008" t="s">
        <v>670</v>
      </c>
      <c r="AB3601" s="1008"/>
      <c r="AC3601" s="1008"/>
      <c r="AD3601" s="1008"/>
      <c r="AE3601" s="1008"/>
      <c r="AF3601" s="1008"/>
      <c r="AG3601" s="1008" t="s">
        <v>670</v>
      </c>
      <c r="AH3601" s="1008"/>
      <c r="AI3601" s="1008"/>
    </row>
    <row r="3602" spans="1:35">
      <c r="A3602" s="1008">
        <v>28038</v>
      </c>
      <c r="B3602" s="1008">
        <v>6766</v>
      </c>
      <c r="C3602" s="1008">
        <v>7</v>
      </c>
      <c r="D3602" s="1009">
        <v>77029999</v>
      </c>
      <c r="E3602" s="1009">
        <v>77024000</v>
      </c>
      <c r="F3602" s="1007" t="s">
        <v>1320</v>
      </c>
      <c r="G3602" s="1007" t="s">
        <v>648</v>
      </c>
      <c r="H3602" s="1010">
        <v>99999999</v>
      </c>
      <c r="I3602" s="1009">
        <v>77024000</v>
      </c>
      <c r="J3602" s="1007" t="s">
        <v>1320</v>
      </c>
      <c r="O3602" s="1007" t="s">
        <v>648</v>
      </c>
      <c r="P3602" s="1007" t="s">
        <v>648</v>
      </c>
      <c r="S3602" s="1008" t="s">
        <v>650</v>
      </c>
      <c r="T3602" s="1008" t="s">
        <v>654</v>
      </c>
      <c r="U3602" s="1008" t="s">
        <v>653</v>
      </c>
      <c r="V3602" s="1008" t="s">
        <v>648</v>
      </c>
      <c r="W3602" s="1008" t="s">
        <v>546</v>
      </c>
      <c r="X3602" s="1008" t="s">
        <v>670</v>
      </c>
      <c r="Y3602" s="1008"/>
      <c r="Z3602" s="1008"/>
      <c r="AA3602" s="1008" t="s">
        <v>670</v>
      </c>
      <c r="AB3602" s="1008"/>
      <c r="AC3602" s="1008"/>
      <c r="AD3602" s="1008"/>
      <c r="AE3602" s="1008"/>
      <c r="AF3602" s="1008"/>
      <c r="AG3602" s="1008" t="s">
        <v>670</v>
      </c>
      <c r="AH3602" s="1008"/>
      <c r="AI3602" s="1008"/>
    </row>
    <row r="3603" spans="1:35">
      <c r="A3603" s="1008">
        <v>28039</v>
      </c>
      <c r="B3603" s="1008">
        <v>6767</v>
      </c>
      <c r="C3603" s="1008">
        <v>7</v>
      </c>
      <c r="D3603" s="1009">
        <v>77029999</v>
      </c>
      <c r="E3603" s="1009">
        <v>77025000</v>
      </c>
      <c r="F3603" s="1007" t="s">
        <v>1319</v>
      </c>
      <c r="G3603" s="1007" t="s">
        <v>648</v>
      </c>
      <c r="H3603" s="1010">
        <v>99999999</v>
      </c>
      <c r="I3603" s="1009">
        <v>77025000</v>
      </c>
      <c r="J3603" s="1007" t="s">
        <v>1319</v>
      </c>
      <c r="O3603" s="1007" t="s">
        <v>648</v>
      </c>
      <c r="P3603" s="1007" t="s">
        <v>648</v>
      </c>
      <c r="S3603" s="1008" t="s">
        <v>650</v>
      </c>
      <c r="T3603" s="1008" t="s">
        <v>654</v>
      </c>
      <c r="U3603" s="1008" t="s">
        <v>653</v>
      </c>
      <c r="V3603" s="1008" t="s">
        <v>648</v>
      </c>
      <c r="W3603" s="1008" t="s">
        <v>546</v>
      </c>
      <c r="X3603" s="1008" t="s">
        <v>670</v>
      </c>
      <c r="Y3603" s="1008"/>
      <c r="Z3603" s="1008"/>
      <c r="AA3603" s="1008" t="s">
        <v>670</v>
      </c>
      <c r="AB3603" s="1008"/>
      <c r="AC3603" s="1008"/>
      <c r="AD3603" s="1008"/>
      <c r="AE3603" s="1008"/>
      <c r="AF3603" s="1008"/>
      <c r="AG3603" s="1008" t="s">
        <v>670</v>
      </c>
      <c r="AH3603" s="1008"/>
      <c r="AI3603" s="1008"/>
    </row>
    <row r="3604" spans="1:35">
      <c r="A3604" s="1008">
        <v>28040</v>
      </c>
      <c r="C3604" s="1008">
        <v>6</v>
      </c>
      <c r="D3604" s="1009">
        <v>77099999</v>
      </c>
      <c r="E3604" s="1009">
        <v>77029999</v>
      </c>
      <c r="F3604" s="1007" t="s">
        <v>1318</v>
      </c>
      <c r="O3604" s="1007" t="s">
        <v>648</v>
      </c>
      <c r="P3604" s="1007" t="s">
        <v>648</v>
      </c>
      <c r="S3604" s="1008" t="s">
        <v>650</v>
      </c>
      <c r="T3604" s="1008" t="s">
        <v>21</v>
      </c>
      <c r="U3604" s="1008" t="s">
        <v>653</v>
      </c>
      <c r="V3604" s="1008" t="s">
        <v>648</v>
      </c>
      <c r="W3604" s="1008" t="s">
        <v>546</v>
      </c>
      <c r="X3604" s="1008"/>
      <c r="Y3604" s="1008"/>
      <c r="Z3604" s="1008"/>
      <c r="AA3604" s="1008"/>
      <c r="AB3604" s="1008"/>
      <c r="AC3604" s="1008"/>
      <c r="AD3604" s="1008"/>
      <c r="AE3604" s="1008"/>
      <c r="AF3604" s="1008"/>
      <c r="AG3604" s="1008"/>
      <c r="AH3604" s="1008"/>
      <c r="AI3604" s="1008"/>
    </row>
    <row r="3605" spans="1:35">
      <c r="A3605" s="1008">
        <v>28041</v>
      </c>
      <c r="C3605" s="1008">
        <v>6</v>
      </c>
      <c r="D3605" s="1009">
        <v>77039999</v>
      </c>
      <c r="E3605" s="1009">
        <v>77030000</v>
      </c>
      <c r="F3605" s="1007" t="s">
        <v>1317</v>
      </c>
      <c r="O3605" s="1007" t="s">
        <v>648</v>
      </c>
      <c r="P3605" s="1007" t="s">
        <v>648</v>
      </c>
      <c r="S3605" s="1008" t="s">
        <v>650</v>
      </c>
      <c r="T3605" s="1008" t="s">
        <v>675</v>
      </c>
      <c r="U3605" s="1008" t="s">
        <v>653</v>
      </c>
      <c r="V3605" s="1008" t="s">
        <v>648</v>
      </c>
      <c r="W3605" s="1008" t="s">
        <v>546</v>
      </c>
      <c r="X3605" s="1008"/>
      <c r="Y3605" s="1008"/>
      <c r="Z3605" s="1008"/>
      <c r="AA3605" s="1008"/>
      <c r="AB3605" s="1008"/>
      <c r="AC3605" s="1008"/>
      <c r="AD3605" s="1008"/>
      <c r="AE3605" s="1008"/>
      <c r="AF3605" s="1008"/>
      <c r="AG3605" s="1008"/>
      <c r="AH3605" s="1008"/>
      <c r="AI3605" s="1008"/>
    </row>
    <row r="3606" spans="1:35">
      <c r="A3606" s="1008">
        <v>28042</v>
      </c>
      <c r="B3606" s="1008">
        <v>6768</v>
      </c>
      <c r="C3606" s="1008">
        <v>7</v>
      </c>
      <c r="D3606" s="1009">
        <v>77039999</v>
      </c>
      <c r="E3606" s="1009">
        <v>77031000</v>
      </c>
      <c r="F3606" s="1007" t="s">
        <v>1316</v>
      </c>
      <c r="G3606" s="1007" t="s">
        <v>648</v>
      </c>
      <c r="H3606" s="1010">
        <v>99999999</v>
      </c>
      <c r="I3606" s="1009">
        <v>77031000</v>
      </c>
      <c r="J3606" s="1007" t="s">
        <v>1316</v>
      </c>
      <c r="O3606" s="1007" t="s">
        <v>648</v>
      </c>
      <c r="P3606" s="1007" t="s">
        <v>648</v>
      </c>
      <c r="S3606" s="1008" t="s">
        <v>650</v>
      </c>
      <c r="T3606" s="1008" t="s">
        <v>654</v>
      </c>
      <c r="U3606" s="1008" t="s">
        <v>653</v>
      </c>
      <c r="V3606" s="1008" t="s">
        <v>648</v>
      </c>
      <c r="W3606" s="1008" t="s">
        <v>546</v>
      </c>
      <c r="X3606" s="1008" t="s">
        <v>670</v>
      </c>
      <c r="Y3606" s="1008"/>
      <c r="Z3606" s="1008"/>
      <c r="AA3606" s="1008" t="s">
        <v>670</v>
      </c>
      <c r="AB3606" s="1008"/>
      <c r="AC3606" s="1008"/>
      <c r="AD3606" s="1008"/>
      <c r="AE3606" s="1008"/>
      <c r="AF3606" s="1008"/>
      <c r="AG3606" s="1008" t="s">
        <v>670</v>
      </c>
      <c r="AH3606" s="1008"/>
      <c r="AI3606" s="1008"/>
    </row>
    <row r="3607" spans="1:35">
      <c r="A3607" s="1008">
        <v>28043</v>
      </c>
      <c r="B3607" s="1008">
        <v>6769</v>
      </c>
      <c r="C3607" s="1008">
        <v>7</v>
      </c>
      <c r="D3607" s="1009">
        <v>77039999</v>
      </c>
      <c r="E3607" s="1009">
        <v>77032000</v>
      </c>
      <c r="F3607" s="1007" t="s">
        <v>1315</v>
      </c>
      <c r="G3607" s="1007" t="s">
        <v>648</v>
      </c>
      <c r="H3607" s="1010">
        <v>99999999</v>
      </c>
      <c r="I3607" s="1009">
        <v>77032000</v>
      </c>
      <c r="J3607" s="1007" t="s">
        <v>1315</v>
      </c>
      <c r="O3607" s="1007" t="s">
        <v>648</v>
      </c>
      <c r="P3607" s="1007" t="s">
        <v>648</v>
      </c>
      <c r="S3607" s="1008" t="s">
        <v>650</v>
      </c>
      <c r="T3607" s="1008" t="s">
        <v>654</v>
      </c>
      <c r="U3607" s="1008" t="s">
        <v>653</v>
      </c>
      <c r="V3607" s="1008" t="s">
        <v>648</v>
      </c>
      <c r="W3607" s="1008" t="s">
        <v>546</v>
      </c>
      <c r="X3607" s="1008" t="s">
        <v>670</v>
      </c>
      <c r="Y3607" s="1008"/>
      <c r="Z3607" s="1008"/>
      <c r="AA3607" s="1008" t="s">
        <v>670</v>
      </c>
      <c r="AB3607" s="1008"/>
      <c r="AC3607" s="1008"/>
      <c r="AD3607" s="1008"/>
      <c r="AE3607" s="1008"/>
      <c r="AF3607" s="1008"/>
      <c r="AG3607" s="1008" t="s">
        <v>670</v>
      </c>
      <c r="AH3607" s="1008"/>
      <c r="AI3607" s="1008"/>
    </row>
    <row r="3608" spans="1:35">
      <c r="A3608" s="1008">
        <v>28044</v>
      </c>
      <c r="B3608" s="1008">
        <v>6770</v>
      </c>
      <c r="C3608" s="1008">
        <v>7</v>
      </c>
      <c r="D3608" s="1009">
        <v>77039999</v>
      </c>
      <c r="E3608" s="1009">
        <v>77033000</v>
      </c>
      <c r="F3608" s="1007" t="s">
        <v>1314</v>
      </c>
      <c r="G3608" s="1007" t="s">
        <v>648</v>
      </c>
      <c r="H3608" s="1010">
        <v>99999999</v>
      </c>
      <c r="I3608" s="1009">
        <v>77033000</v>
      </c>
      <c r="J3608" s="1007" t="s">
        <v>1314</v>
      </c>
      <c r="O3608" s="1007" t="s">
        <v>648</v>
      </c>
      <c r="P3608" s="1007" t="s">
        <v>648</v>
      </c>
      <c r="S3608" s="1008" t="s">
        <v>650</v>
      </c>
      <c r="T3608" s="1008" t="s">
        <v>654</v>
      </c>
      <c r="U3608" s="1008" t="s">
        <v>653</v>
      </c>
      <c r="V3608" s="1008" t="s">
        <v>648</v>
      </c>
      <c r="W3608" s="1008" t="s">
        <v>546</v>
      </c>
      <c r="X3608" s="1008" t="s">
        <v>670</v>
      </c>
      <c r="Y3608" s="1008"/>
      <c r="Z3608" s="1008"/>
      <c r="AA3608" s="1008" t="s">
        <v>670</v>
      </c>
      <c r="AB3608" s="1008"/>
      <c r="AC3608" s="1008"/>
      <c r="AD3608" s="1008"/>
      <c r="AE3608" s="1008"/>
      <c r="AF3608" s="1008"/>
      <c r="AG3608" s="1008" t="s">
        <v>670</v>
      </c>
      <c r="AH3608" s="1008"/>
      <c r="AI3608" s="1008"/>
    </row>
    <row r="3609" spans="1:35">
      <c r="A3609" s="1008">
        <v>28045</v>
      </c>
      <c r="C3609" s="1008">
        <v>6</v>
      </c>
      <c r="D3609" s="1009">
        <v>77099999</v>
      </c>
      <c r="E3609" s="1009">
        <v>77039999</v>
      </c>
      <c r="F3609" s="1007" t="s">
        <v>1313</v>
      </c>
      <c r="O3609" s="1007" t="s">
        <v>648</v>
      </c>
      <c r="P3609" s="1007" t="s">
        <v>648</v>
      </c>
      <c r="S3609" s="1008" t="s">
        <v>650</v>
      </c>
      <c r="T3609" s="1008" t="s">
        <v>21</v>
      </c>
      <c r="U3609" s="1008" t="s">
        <v>653</v>
      </c>
      <c r="V3609" s="1008" t="s">
        <v>648</v>
      </c>
      <c r="W3609" s="1008" t="s">
        <v>546</v>
      </c>
      <c r="X3609" s="1008"/>
      <c r="Y3609" s="1008"/>
      <c r="Z3609" s="1008"/>
      <c r="AA3609" s="1008"/>
      <c r="AB3609" s="1008"/>
      <c r="AC3609" s="1008"/>
      <c r="AD3609" s="1008"/>
      <c r="AE3609" s="1008"/>
      <c r="AF3609" s="1008"/>
      <c r="AG3609" s="1008"/>
      <c r="AH3609" s="1008"/>
      <c r="AI3609" s="1008"/>
    </row>
    <row r="3610" spans="1:35">
      <c r="A3610" s="1008">
        <v>28046</v>
      </c>
      <c r="C3610" s="1008">
        <v>5</v>
      </c>
      <c r="D3610" s="1009">
        <v>79999990</v>
      </c>
      <c r="E3610" s="1009">
        <v>77099999</v>
      </c>
      <c r="F3610" s="1007" t="s">
        <v>1312</v>
      </c>
      <c r="O3610" s="1007" t="s">
        <v>648</v>
      </c>
      <c r="P3610" s="1007" t="s">
        <v>648</v>
      </c>
      <c r="S3610" s="1008" t="s">
        <v>650</v>
      </c>
      <c r="T3610" s="1008" t="s">
        <v>21</v>
      </c>
      <c r="U3610" s="1008" t="s">
        <v>653</v>
      </c>
      <c r="V3610" s="1008" t="s">
        <v>648</v>
      </c>
      <c r="W3610" s="1008" t="s">
        <v>546</v>
      </c>
      <c r="X3610" s="1008"/>
      <c r="Y3610" s="1008"/>
      <c r="Z3610" s="1008"/>
      <c r="AA3610" s="1008"/>
      <c r="AB3610" s="1008"/>
      <c r="AC3610" s="1008"/>
      <c r="AD3610" s="1008"/>
      <c r="AE3610" s="1008"/>
      <c r="AF3610" s="1008"/>
      <c r="AG3610" s="1008"/>
      <c r="AH3610" s="1008"/>
      <c r="AI3610" s="1008"/>
    </row>
    <row r="3611" spans="1:35">
      <c r="A3611" s="1008">
        <v>28047</v>
      </c>
      <c r="C3611" s="1008">
        <v>5</v>
      </c>
      <c r="D3611" s="1009">
        <v>78099999</v>
      </c>
      <c r="E3611" s="1009">
        <v>78000000</v>
      </c>
      <c r="F3611" s="1007" t="s">
        <v>1311</v>
      </c>
      <c r="O3611" s="1007" t="s">
        <v>648</v>
      </c>
      <c r="P3611" s="1007" t="s">
        <v>648</v>
      </c>
      <c r="S3611" s="1008" t="s">
        <v>650</v>
      </c>
      <c r="T3611" s="1008" t="s">
        <v>675</v>
      </c>
      <c r="U3611" s="1008" t="s">
        <v>653</v>
      </c>
      <c r="V3611" s="1008" t="s">
        <v>648</v>
      </c>
      <c r="W3611" s="1008" t="s">
        <v>546</v>
      </c>
      <c r="X3611" s="1008"/>
      <c r="Y3611" s="1008"/>
      <c r="Z3611" s="1008"/>
      <c r="AA3611" s="1008"/>
      <c r="AB3611" s="1008"/>
      <c r="AC3611" s="1008"/>
      <c r="AD3611" s="1008"/>
      <c r="AE3611" s="1008"/>
      <c r="AF3611" s="1008"/>
      <c r="AG3611" s="1008"/>
      <c r="AH3611" s="1008"/>
      <c r="AI3611" s="1008"/>
    </row>
    <row r="3612" spans="1:35">
      <c r="A3612" s="1008">
        <v>28048</v>
      </c>
      <c r="C3612" s="1008">
        <v>6</v>
      </c>
      <c r="D3612" s="1009">
        <v>78019999</v>
      </c>
      <c r="E3612" s="1009">
        <v>78010000</v>
      </c>
      <c r="F3612" s="1007" t="s">
        <v>1310</v>
      </c>
      <c r="O3612" s="1007" t="s">
        <v>648</v>
      </c>
      <c r="P3612" s="1007" t="s">
        <v>648</v>
      </c>
      <c r="S3612" s="1008" t="s">
        <v>650</v>
      </c>
      <c r="T3612" s="1008" t="s">
        <v>675</v>
      </c>
      <c r="U3612" s="1008" t="s">
        <v>653</v>
      </c>
      <c r="V3612" s="1008" t="s">
        <v>648</v>
      </c>
      <c r="W3612" s="1008" t="s">
        <v>546</v>
      </c>
      <c r="X3612" s="1008"/>
      <c r="Y3612" s="1008"/>
      <c r="Z3612" s="1008"/>
      <c r="AA3612" s="1008"/>
      <c r="AB3612" s="1008"/>
      <c r="AC3612" s="1008"/>
      <c r="AD3612" s="1008"/>
      <c r="AE3612" s="1008"/>
      <c r="AF3612" s="1008"/>
      <c r="AG3612" s="1008"/>
      <c r="AH3612" s="1008"/>
      <c r="AI3612" s="1008"/>
    </row>
    <row r="3613" spans="1:35">
      <c r="A3613" s="1008">
        <v>28049</v>
      </c>
      <c r="B3613" s="1008">
        <v>6771</v>
      </c>
      <c r="C3613" s="1008">
        <v>7</v>
      </c>
      <c r="D3613" s="1009">
        <v>78019999</v>
      </c>
      <c r="E3613" s="1009">
        <v>78011000</v>
      </c>
      <c r="F3613" s="1007" t="s">
        <v>1309</v>
      </c>
      <c r="G3613" s="1007" t="s">
        <v>648</v>
      </c>
      <c r="H3613" s="1010">
        <v>99999999</v>
      </c>
      <c r="I3613" s="1009">
        <v>78011000</v>
      </c>
      <c r="J3613" s="1007" t="s">
        <v>1309</v>
      </c>
      <c r="O3613" s="1007" t="s">
        <v>648</v>
      </c>
      <c r="P3613" s="1007" t="s">
        <v>648</v>
      </c>
      <c r="S3613" s="1008" t="s">
        <v>650</v>
      </c>
      <c r="T3613" s="1008" t="s">
        <v>654</v>
      </c>
      <c r="U3613" s="1008" t="s">
        <v>653</v>
      </c>
      <c r="V3613" s="1008" t="s">
        <v>648</v>
      </c>
      <c r="W3613" s="1008" t="s">
        <v>546</v>
      </c>
      <c r="X3613" s="1008" t="s">
        <v>670</v>
      </c>
      <c r="Y3613" s="1008"/>
      <c r="Z3613" s="1008"/>
      <c r="AA3613" s="1008" t="s">
        <v>670</v>
      </c>
      <c r="AB3613" s="1008"/>
      <c r="AC3613" s="1008"/>
      <c r="AD3613" s="1008"/>
      <c r="AE3613" s="1008"/>
      <c r="AF3613" s="1008"/>
      <c r="AG3613" s="1008" t="s">
        <v>670</v>
      </c>
      <c r="AH3613" s="1008"/>
      <c r="AI3613" s="1008"/>
    </row>
    <row r="3614" spans="1:35">
      <c r="A3614" s="1008">
        <v>28050</v>
      </c>
      <c r="B3614" s="1008">
        <v>6772</v>
      </c>
      <c r="C3614" s="1008">
        <v>7</v>
      </c>
      <c r="D3614" s="1009">
        <v>78019999</v>
      </c>
      <c r="E3614" s="1009">
        <v>78012000</v>
      </c>
      <c r="F3614" s="1007" t="s">
        <v>1308</v>
      </c>
      <c r="G3614" s="1007" t="s">
        <v>648</v>
      </c>
      <c r="H3614" s="1010">
        <v>99999999</v>
      </c>
      <c r="I3614" s="1009">
        <v>78012000</v>
      </c>
      <c r="J3614" s="1007" t="s">
        <v>1308</v>
      </c>
      <c r="O3614" s="1007" t="s">
        <v>648</v>
      </c>
      <c r="P3614" s="1007" t="s">
        <v>648</v>
      </c>
      <c r="S3614" s="1008" t="s">
        <v>650</v>
      </c>
      <c r="T3614" s="1008" t="s">
        <v>654</v>
      </c>
      <c r="U3614" s="1008" t="s">
        <v>653</v>
      </c>
      <c r="V3614" s="1008" t="s">
        <v>648</v>
      </c>
      <c r="W3614" s="1008" t="s">
        <v>546</v>
      </c>
      <c r="X3614" s="1008" t="s">
        <v>670</v>
      </c>
      <c r="Y3614" s="1008"/>
      <c r="Z3614" s="1008"/>
      <c r="AA3614" s="1008" t="s">
        <v>670</v>
      </c>
      <c r="AB3614" s="1008"/>
      <c r="AC3614" s="1008"/>
      <c r="AD3614" s="1008"/>
      <c r="AE3614" s="1008"/>
      <c r="AF3614" s="1008"/>
      <c r="AG3614" s="1008" t="s">
        <v>670</v>
      </c>
      <c r="AH3614" s="1008"/>
      <c r="AI3614" s="1008"/>
    </row>
    <row r="3615" spans="1:35">
      <c r="A3615" s="1008">
        <v>28051</v>
      </c>
      <c r="B3615" s="1008">
        <v>6773</v>
      </c>
      <c r="C3615" s="1008">
        <v>7</v>
      </c>
      <c r="D3615" s="1009">
        <v>78019999</v>
      </c>
      <c r="E3615" s="1009">
        <v>78013000</v>
      </c>
      <c r="F3615" s="1007" t="s">
        <v>1307</v>
      </c>
      <c r="G3615" s="1007" t="s">
        <v>648</v>
      </c>
      <c r="H3615" s="1010">
        <v>99999999</v>
      </c>
      <c r="I3615" s="1009">
        <v>78013000</v>
      </c>
      <c r="J3615" s="1007" t="s">
        <v>1307</v>
      </c>
      <c r="O3615" s="1007" t="s">
        <v>648</v>
      </c>
      <c r="P3615" s="1007" t="s">
        <v>648</v>
      </c>
      <c r="S3615" s="1008" t="s">
        <v>650</v>
      </c>
      <c r="T3615" s="1008" t="s">
        <v>654</v>
      </c>
      <c r="U3615" s="1008" t="s">
        <v>653</v>
      </c>
      <c r="V3615" s="1008" t="s">
        <v>648</v>
      </c>
      <c r="W3615" s="1008" t="s">
        <v>546</v>
      </c>
      <c r="X3615" s="1008" t="s">
        <v>670</v>
      </c>
      <c r="Y3615" s="1008"/>
      <c r="Z3615" s="1008"/>
      <c r="AA3615" s="1008" t="s">
        <v>670</v>
      </c>
      <c r="AB3615" s="1008"/>
      <c r="AC3615" s="1008"/>
      <c r="AD3615" s="1008"/>
      <c r="AE3615" s="1008"/>
      <c r="AF3615" s="1008"/>
      <c r="AG3615" s="1008" t="s">
        <v>670</v>
      </c>
      <c r="AH3615" s="1008"/>
      <c r="AI3615" s="1008"/>
    </row>
    <row r="3616" spans="1:35">
      <c r="A3616" s="1008">
        <v>28052</v>
      </c>
      <c r="B3616" s="1008">
        <v>6774</v>
      </c>
      <c r="C3616" s="1008">
        <v>7</v>
      </c>
      <c r="D3616" s="1009">
        <v>78019999</v>
      </c>
      <c r="E3616" s="1009">
        <v>78014000</v>
      </c>
      <c r="F3616" s="1007" t="s">
        <v>1306</v>
      </c>
      <c r="G3616" s="1007" t="s">
        <v>648</v>
      </c>
      <c r="H3616" s="1010">
        <v>99999999</v>
      </c>
      <c r="I3616" s="1009">
        <v>78014000</v>
      </c>
      <c r="J3616" s="1007" t="s">
        <v>1306</v>
      </c>
      <c r="O3616" s="1007" t="s">
        <v>648</v>
      </c>
      <c r="P3616" s="1007" t="s">
        <v>648</v>
      </c>
      <c r="S3616" s="1008" t="s">
        <v>650</v>
      </c>
      <c r="T3616" s="1008" t="s">
        <v>654</v>
      </c>
      <c r="U3616" s="1008" t="s">
        <v>653</v>
      </c>
      <c r="V3616" s="1008" t="s">
        <v>648</v>
      </c>
      <c r="W3616" s="1008" t="s">
        <v>546</v>
      </c>
      <c r="X3616" s="1008" t="s">
        <v>670</v>
      </c>
      <c r="Y3616" s="1008"/>
      <c r="Z3616" s="1008"/>
      <c r="AA3616" s="1008" t="s">
        <v>670</v>
      </c>
      <c r="AB3616" s="1008"/>
      <c r="AC3616" s="1008"/>
      <c r="AD3616" s="1008"/>
      <c r="AE3616" s="1008"/>
      <c r="AF3616" s="1008"/>
      <c r="AG3616" s="1008" t="s">
        <v>670</v>
      </c>
      <c r="AH3616" s="1008"/>
      <c r="AI3616" s="1008"/>
    </row>
    <row r="3617" spans="1:35">
      <c r="A3617" s="1008">
        <v>28053</v>
      </c>
      <c r="B3617" s="1008">
        <v>6775</v>
      </c>
      <c r="C3617" s="1008">
        <v>7</v>
      </c>
      <c r="D3617" s="1009">
        <v>78019999</v>
      </c>
      <c r="E3617" s="1009">
        <v>78015000</v>
      </c>
      <c r="F3617" s="1007" t="s">
        <v>1305</v>
      </c>
      <c r="G3617" s="1007" t="s">
        <v>648</v>
      </c>
      <c r="H3617" s="1010">
        <v>99999999</v>
      </c>
      <c r="I3617" s="1009">
        <v>78015000</v>
      </c>
      <c r="J3617" s="1007" t="s">
        <v>1305</v>
      </c>
      <c r="O3617" s="1007" t="s">
        <v>648</v>
      </c>
      <c r="P3617" s="1007" t="s">
        <v>648</v>
      </c>
      <c r="S3617" s="1008" t="s">
        <v>650</v>
      </c>
      <c r="T3617" s="1008" t="s">
        <v>654</v>
      </c>
      <c r="U3617" s="1008" t="s">
        <v>653</v>
      </c>
      <c r="V3617" s="1008" t="s">
        <v>648</v>
      </c>
      <c r="W3617" s="1008" t="s">
        <v>546</v>
      </c>
      <c r="X3617" s="1008" t="s">
        <v>670</v>
      </c>
      <c r="Y3617" s="1008"/>
      <c r="Z3617" s="1008"/>
      <c r="AA3617" s="1008" t="s">
        <v>670</v>
      </c>
      <c r="AB3617" s="1008"/>
      <c r="AC3617" s="1008"/>
      <c r="AD3617" s="1008"/>
      <c r="AE3617" s="1008"/>
      <c r="AF3617" s="1008"/>
      <c r="AG3617" s="1008" t="s">
        <v>670</v>
      </c>
      <c r="AH3617" s="1008"/>
      <c r="AI3617" s="1008"/>
    </row>
    <row r="3618" spans="1:35">
      <c r="A3618" s="1008">
        <v>28054</v>
      </c>
      <c r="B3618" s="1008">
        <v>6776</v>
      </c>
      <c r="C3618" s="1008">
        <v>7</v>
      </c>
      <c r="D3618" s="1009">
        <v>78019999</v>
      </c>
      <c r="E3618" s="1009">
        <v>78016000</v>
      </c>
      <c r="F3618" s="1007" t="s">
        <v>1304</v>
      </c>
      <c r="G3618" s="1007" t="s">
        <v>648</v>
      </c>
      <c r="H3618" s="1010">
        <v>99999999</v>
      </c>
      <c r="I3618" s="1009">
        <v>78016000</v>
      </c>
      <c r="J3618" s="1007" t="s">
        <v>1304</v>
      </c>
      <c r="O3618" s="1007" t="s">
        <v>648</v>
      </c>
      <c r="P3618" s="1007" t="s">
        <v>648</v>
      </c>
      <c r="S3618" s="1008" t="s">
        <v>650</v>
      </c>
      <c r="T3618" s="1008" t="s">
        <v>654</v>
      </c>
      <c r="U3618" s="1008" t="s">
        <v>653</v>
      </c>
      <c r="V3618" s="1008" t="s">
        <v>648</v>
      </c>
      <c r="W3618" s="1008" t="s">
        <v>546</v>
      </c>
      <c r="X3618" s="1008" t="s">
        <v>670</v>
      </c>
      <c r="Y3618" s="1008"/>
      <c r="Z3618" s="1008"/>
      <c r="AA3618" s="1008" t="s">
        <v>670</v>
      </c>
      <c r="AB3618" s="1008"/>
      <c r="AC3618" s="1008"/>
      <c r="AD3618" s="1008"/>
      <c r="AE3618" s="1008"/>
      <c r="AF3618" s="1008"/>
      <c r="AG3618" s="1008" t="s">
        <v>670</v>
      </c>
      <c r="AH3618" s="1008"/>
      <c r="AI3618" s="1008"/>
    </row>
    <row r="3619" spans="1:35">
      <c r="A3619" s="1008">
        <v>28055</v>
      </c>
      <c r="B3619" s="1008">
        <v>6777</v>
      </c>
      <c r="C3619" s="1008">
        <v>7</v>
      </c>
      <c r="D3619" s="1009">
        <v>78019999</v>
      </c>
      <c r="E3619" s="1009">
        <v>78017000</v>
      </c>
      <c r="F3619" s="1007" t="s">
        <v>1303</v>
      </c>
      <c r="G3619" s="1007" t="s">
        <v>648</v>
      </c>
      <c r="H3619" s="1010">
        <v>99999999</v>
      </c>
      <c r="I3619" s="1009">
        <v>78017000</v>
      </c>
      <c r="J3619" s="1007" t="s">
        <v>1303</v>
      </c>
      <c r="O3619" s="1007" t="s">
        <v>648</v>
      </c>
      <c r="P3619" s="1007" t="s">
        <v>648</v>
      </c>
      <c r="S3619" s="1008" t="s">
        <v>650</v>
      </c>
      <c r="T3619" s="1008" t="s">
        <v>654</v>
      </c>
      <c r="U3619" s="1008" t="s">
        <v>653</v>
      </c>
      <c r="V3619" s="1008" t="s">
        <v>648</v>
      </c>
      <c r="W3619" s="1008" t="s">
        <v>546</v>
      </c>
      <c r="X3619" s="1008" t="s">
        <v>670</v>
      </c>
      <c r="Y3619" s="1008"/>
      <c r="Z3619" s="1008"/>
      <c r="AA3619" s="1008" t="s">
        <v>670</v>
      </c>
      <c r="AB3619" s="1008"/>
      <c r="AC3619" s="1008"/>
      <c r="AD3619" s="1008"/>
      <c r="AE3619" s="1008"/>
      <c r="AF3619" s="1008"/>
      <c r="AG3619" s="1008" t="s">
        <v>670</v>
      </c>
      <c r="AH3619" s="1008"/>
      <c r="AI3619" s="1008"/>
    </row>
    <row r="3620" spans="1:35">
      <c r="A3620" s="1008">
        <v>28056</v>
      </c>
      <c r="C3620" s="1008">
        <v>6</v>
      </c>
      <c r="D3620" s="1009">
        <v>78099999</v>
      </c>
      <c r="E3620" s="1009">
        <v>78019999</v>
      </c>
      <c r="F3620" s="1007" t="s">
        <v>1302</v>
      </c>
      <c r="O3620" s="1007" t="s">
        <v>648</v>
      </c>
      <c r="P3620" s="1007" t="s">
        <v>648</v>
      </c>
      <c r="S3620" s="1008" t="s">
        <v>650</v>
      </c>
      <c r="T3620" s="1008" t="s">
        <v>21</v>
      </c>
      <c r="U3620" s="1008" t="s">
        <v>653</v>
      </c>
      <c r="V3620" s="1008" t="s">
        <v>648</v>
      </c>
      <c r="W3620" s="1008" t="s">
        <v>546</v>
      </c>
      <c r="X3620" s="1008"/>
      <c r="Y3620" s="1008"/>
      <c r="Z3620" s="1008"/>
      <c r="AA3620" s="1008"/>
      <c r="AB3620" s="1008"/>
      <c r="AC3620" s="1008"/>
      <c r="AD3620" s="1008"/>
      <c r="AE3620" s="1008"/>
      <c r="AF3620" s="1008"/>
      <c r="AG3620" s="1008"/>
      <c r="AH3620" s="1008"/>
      <c r="AI3620" s="1008"/>
    </row>
    <row r="3621" spans="1:35">
      <c r="A3621" s="1008">
        <v>28057</v>
      </c>
      <c r="C3621" s="1008">
        <v>5</v>
      </c>
      <c r="D3621" s="1009">
        <v>79999990</v>
      </c>
      <c r="E3621" s="1009">
        <v>78099999</v>
      </c>
      <c r="F3621" s="1007" t="s">
        <v>1301</v>
      </c>
      <c r="O3621" s="1007" t="s">
        <v>648</v>
      </c>
      <c r="P3621" s="1007" t="s">
        <v>648</v>
      </c>
      <c r="S3621" s="1008" t="s">
        <v>650</v>
      </c>
      <c r="T3621" s="1008" t="s">
        <v>21</v>
      </c>
      <c r="U3621" s="1008" t="s">
        <v>653</v>
      </c>
      <c r="V3621" s="1008" t="s">
        <v>648</v>
      </c>
      <c r="W3621" s="1008" t="s">
        <v>546</v>
      </c>
      <c r="X3621" s="1008"/>
      <c r="Y3621" s="1008"/>
      <c r="Z3621" s="1008"/>
      <c r="AA3621" s="1008"/>
      <c r="AB3621" s="1008"/>
      <c r="AC3621" s="1008"/>
      <c r="AD3621" s="1008"/>
      <c r="AE3621" s="1008"/>
      <c r="AF3621" s="1008"/>
      <c r="AG3621" s="1008"/>
      <c r="AH3621" s="1008"/>
      <c r="AI3621" s="1008"/>
    </row>
    <row r="3622" spans="1:35">
      <c r="A3622" s="1008">
        <v>28058</v>
      </c>
      <c r="C3622" s="1008">
        <v>4</v>
      </c>
      <c r="D3622" s="1009">
        <v>79999998</v>
      </c>
      <c r="E3622" s="1009">
        <v>79999990</v>
      </c>
      <c r="F3622" s="1007" t="s">
        <v>1300</v>
      </c>
      <c r="O3622" s="1007" t="s">
        <v>648</v>
      </c>
      <c r="P3622" s="1007" t="s">
        <v>648</v>
      </c>
      <c r="S3622" s="1008" t="s">
        <v>650</v>
      </c>
      <c r="T3622" s="1008" t="s">
        <v>21</v>
      </c>
      <c r="U3622" s="1008" t="s">
        <v>653</v>
      </c>
      <c r="V3622" s="1008" t="s">
        <v>648</v>
      </c>
      <c r="W3622" s="1008" t="s">
        <v>546</v>
      </c>
      <c r="X3622" s="1008"/>
      <c r="Y3622" s="1008"/>
      <c r="Z3622" s="1008"/>
      <c r="AA3622" s="1008"/>
      <c r="AB3622" s="1008"/>
      <c r="AC3622" s="1008"/>
      <c r="AD3622" s="1008"/>
      <c r="AE3622" s="1008"/>
      <c r="AF3622" s="1008"/>
      <c r="AG3622" s="1008"/>
      <c r="AH3622" s="1008"/>
      <c r="AI3622" s="1008"/>
    </row>
    <row r="3623" spans="1:35">
      <c r="A3623" s="1008">
        <v>25455</v>
      </c>
      <c r="C3623" s="1008">
        <v>3</v>
      </c>
      <c r="D3623" s="1009">
        <v>79999999</v>
      </c>
      <c r="E3623" s="1009">
        <v>79999998</v>
      </c>
      <c r="F3623" s="1007" t="s">
        <v>1299</v>
      </c>
      <c r="O3623" s="1007" t="s">
        <v>648</v>
      </c>
      <c r="P3623" s="1007" t="s">
        <v>648</v>
      </c>
      <c r="S3623" s="1008" t="s">
        <v>650</v>
      </c>
      <c r="T3623" s="1008" t="s">
        <v>21</v>
      </c>
      <c r="U3623" s="1008" t="s">
        <v>653</v>
      </c>
      <c r="V3623" s="1008" t="s">
        <v>648</v>
      </c>
      <c r="W3623" s="1008" t="s">
        <v>546</v>
      </c>
      <c r="X3623" s="1008"/>
      <c r="Y3623" s="1008"/>
      <c r="Z3623" s="1008"/>
      <c r="AA3623" s="1008"/>
      <c r="AB3623" s="1008"/>
      <c r="AC3623" s="1008"/>
      <c r="AD3623" s="1008"/>
      <c r="AE3623" s="1008"/>
      <c r="AF3623" s="1008"/>
      <c r="AG3623" s="1008"/>
      <c r="AH3623" s="1008"/>
      <c r="AI3623" s="1008"/>
    </row>
    <row r="3624" spans="1:35">
      <c r="A3624" s="1008">
        <v>25456</v>
      </c>
      <c r="C3624" s="1008">
        <v>2</v>
      </c>
      <c r="D3624" s="1009">
        <v>89999999</v>
      </c>
      <c r="E3624" s="1009">
        <v>79999999</v>
      </c>
      <c r="F3624" s="1007" t="s">
        <v>1298</v>
      </c>
      <c r="O3624" s="1007" t="s">
        <v>648</v>
      </c>
      <c r="P3624" s="1007" t="s">
        <v>648</v>
      </c>
      <c r="S3624" s="1008" t="s">
        <v>657</v>
      </c>
      <c r="T3624" s="1008" t="s">
        <v>21</v>
      </c>
      <c r="U3624" s="1008" t="s">
        <v>653</v>
      </c>
      <c r="V3624" s="1008" t="s">
        <v>648</v>
      </c>
      <c r="W3624" s="1008" t="s">
        <v>546</v>
      </c>
      <c r="X3624" s="1008"/>
      <c r="Y3624" s="1008"/>
      <c r="Z3624" s="1008"/>
      <c r="AA3624" s="1008"/>
      <c r="AB3624" s="1008"/>
      <c r="AC3624" s="1008"/>
      <c r="AD3624" s="1008"/>
      <c r="AE3624" s="1008"/>
      <c r="AF3624" s="1008"/>
      <c r="AG3624" s="1008"/>
      <c r="AH3624" s="1008"/>
      <c r="AI3624" s="1008"/>
    </row>
    <row r="3625" spans="1:35">
      <c r="A3625" s="1008">
        <v>25457</v>
      </c>
      <c r="C3625" s="1008">
        <v>2</v>
      </c>
      <c r="D3625" s="1009">
        <v>89999990</v>
      </c>
      <c r="E3625" s="1009">
        <v>80000000</v>
      </c>
      <c r="F3625" s="1007" t="s">
        <v>1297</v>
      </c>
      <c r="O3625" s="1007" t="s">
        <v>648</v>
      </c>
      <c r="P3625" s="1007" t="s">
        <v>648</v>
      </c>
      <c r="S3625" s="1008" t="s">
        <v>657</v>
      </c>
      <c r="T3625" s="1008" t="s">
        <v>675</v>
      </c>
      <c r="U3625" s="1008" t="s">
        <v>653</v>
      </c>
      <c r="V3625" s="1008" t="s">
        <v>648</v>
      </c>
      <c r="W3625" s="1008" t="s">
        <v>546</v>
      </c>
      <c r="X3625" s="1008"/>
      <c r="Y3625" s="1008"/>
      <c r="Z3625" s="1008"/>
      <c r="AA3625" s="1008"/>
      <c r="AB3625" s="1008"/>
      <c r="AC3625" s="1008"/>
      <c r="AD3625" s="1008"/>
      <c r="AE3625" s="1008"/>
      <c r="AF3625" s="1008"/>
      <c r="AG3625" s="1008"/>
      <c r="AH3625" s="1008"/>
      <c r="AI3625" s="1008"/>
    </row>
    <row r="3626" spans="1:35">
      <c r="A3626" s="1008">
        <v>25458</v>
      </c>
      <c r="C3626" s="1008">
        <v>3</v>
      </c>
      <c r="D3626" s="1009">
        <v>81019999</v>
      </c>
      <c r="E3626" s="1009">
        <v>80000100</v>
      </c>
      <c r="F3626" s="1007" t="s">
        <v>1296</v>
      </c>
      <c r="O3626" s="1007" t="s">
        <v>648</v>
      </c>
      <c r="P3626" s="1007" t="s">
        <v>648</v>
      </c>
      <c r="S3626" s="1008" t="s">
        <v>657</v>
      </c>
      <c r="T3626" s="1008" t="s">
        <v>675</v>
      </c>
      <c r="U3626" s="1008" t="s">
        <v>653</v>
      </c>
      <c r="V3626" s="1008" t="s">
        <v>648</v>
      </c>
      <c r="W3626" s="1008" t="s">
        <v>546</v>
      </c>
      <c r="X3626" s="1008"/>
      <c r="Y3626" s="1008"/>
      <c r="Z3626" s="1008"/>
      <c r="AA3626" s="1008"/>
      <c r="AB3626" s="1008"/>
      <c r="AC3626" s="1008"/>
      <c r="AD3626" s="1008"/>
      <c r="AE3626" s="1008"/>
      <c r="AF3626" s="1008"/>
      <c r="AG3626" s="1008"/>
      <c r="AH3626" s="1008"/>
      <c r="AI3626" s="1008"/>
    </row>
    <row r="3627" spans="1:35">
      <c r="A3627" s="1008">
        <v>25459</v>
      </c>
      <c r="C3627" s="1008">
        <v>4</v>
      </c>
      <c r="D3627" s="1009">
        <v>80049999</v>
      </c>
      <c r="E3627" s="1009">
        <v>80001000</v>
      </c>
      <c r="F3627" s="1007" t="s">
        <v>1295</v>
      </c>
      <c r="O3627" s="1007" t="s">
        <v>648</v>
      </c>
      <c r="P3627" s="1007" t="s">
        <v>648</v>
      </c>
      <c r="S3627" s="1008" t="s">
        <v>657</v>
      </c>
      <c r="T3627" s="1008" t="s">
        <v>675</v>
      </c>
      <c r="U3627" s="1008" t="s">
        <v>653</v>
      </c>
      <c r="V3627" s="1008" t="s">
        <v>648</v>
      </c>
      <c r="W3627" s="1008" t="s">
        <v>546</v>
      </c>
      <c r="X3627" s="1008"/>
      <c r="Y3627" s="1008"/>
      <c r="Z3627" s="1008"/>
      <c r="AA3627" s="1008"/>
      <c r="AB3627" s="1008"/>
      <c r="AC3627" s="1008"/>
      <c r="AD3627" s="1008"/>
      <c r="AE3627" s="1008"/>
      <c r="AF3627" s="1008"/>
      <c r="AG3627" s="1008"/>
      <c r="AH3627" s="1008"/>
      <c r="AI3627" s="1008"/>
    </row>
    <row r="3628" spans="1:35">
      <c r="A3628" s="1008">
        <v>25460</v>
      </c>
      <c r="C3628" s="1008">
        <v>5</v>
      </c>
      <c r="D3628" s="1009">
        <v>80019999</v>
      </c>
      <c r="E3628" s="1009">
        <v>80010000</v>
      </c>
      <c r="F3628" s="1007" t="s">
        <v>1294</v>
      </c>
      <c r="O3628" s="1007" t="s">
        <v>648</v>
      </c>
      <c r="P3628" s="1007" t="s">
        <v>648</v>
      </c>
      <c r="S3628" s="1008" t="s">
        <v>657</v>
      </c>
      <c r="T3628" s="1008" t="s">
        <v>675</v>
      </c>
      <c r="U3628" s="1008" t="s">
        <v>653</v>
      </c>
      <c r="V3628" s="1008" t="s">
        <v>648</v>
      </c>
      <c r="W3628" s="1008" t="s">
        <v>546</v>
      </c>
      <c r="X3628" s="1008"/>
      <c r="Y3628" s="1008"/>
      <c r="Z3628" s="1008"/>
      <c r="AA3628" s="1008"/>
      <c r="AB3628" s="1008"/>
      <c r="AC3628" s="1008"/>
      <c r="AD3628" s="1008"/>
      <c r="AE3628" s="1008"/>
      <c r="AF3628" s="1008"/>
      <c r="AG3628" s="1008"/>
      <c r="AH3628" s="1008"/>
      <c r="AI3628" s="1008"/>
    </row>
    <row r="3629" spans="1:35">
      <c r="A3629" s="1008">
        <v>25461</v>
      </c>
      <c r="B3629" s="1008">
        <v>34</v>
      </c>
      <c r="C3629" s="1008">
        <v>6</v>
      </c>
      <c r="D3629" s="1009">
        <v>80019999</v>
      </c>
      <c r="E3629" s="1009">
        <v>80011000</v>
      </c>
      <c r="F3629" s="1007" t="s">
        <v>1293</v>
      </c>
      <c r="G3629" s="1007">
        <v>8</v>
      </c>
      <c r="H3629" s="1010">
        <v>99999999</v>
      </c>
      <c r="I3629" s="1009">
        <v>80011000</v>
      </c>
      <c r="J3629" s="1007" t="s">
        <v>1293</v>
      </c>
      <c r="O3629" s="1007" t="s">
        <v>648</v>
      </c>
      <c r="P3629" s="1007" t="s">
        <v>648</v>
      </c>
      <c r="S3629" s="1008" t="s">
        <v>657</v>
      </c>
      <c r="T3629" s="1008" t="s">
        <v>654</v>
      </c>
      <c r="U3629" s="1008" t="s">
        <v>653</v>
      </c>
      <c r="V3629" s="1008" t="s">
        <v>648</v>
      </c>
      <c r="W3629" s="1008" t="s">
        <v>546</v>
      </c>
      <c r="X3629" s="1008" t="s">
        <v>670</v>
      </c>
      <c r="Y3629" s="1008" t="s">
        <v>670</v>
      </c>
      <c r="Z3629" s="1008" t="s">
        <v>670</v>
      </c>
      <c r="AA3629" s="1008" t="s">
        <v>670</v>
      </c>
      <c r="AB3629" s="1008" t="s">
        <v>670</v>
      </c>
      <c r="AC3629" s="1008" t="s">
        <v>670</v>
      </c>
      <c r="AD3629" s="1008" t="s">
        <v>670</v>
      </c>
      <c r="AE3629" s="1008"/>
      <c r="AF3629" s="1008" t="s">
        <v>670</v>
      </c>
      <c r="AG3629" s="1008"/>
      <c r="AH3629" s="1008"/>
      <c r="AI3629" s="1008"/>
    </row>
    <row r="3630" spans="1:35">
      <c r="A3630" s="1008">
        <v>26293</v>
      </c>
      <c r="B3630" s="1008">
        <v>5561</v>
      </c>
      <c r="C3630" s="1008">
        <v>6</v>
      </c>
      <c r="D3630" s="1009">
        <v>80019999</v>
      </c>
      <c r="E3630" s="1009">
        <v>80012000</v>
      </c>
      <c r="F3630" s="1007" t="s">
        <v>1292</v>
      </c>
      <c r="G3630" s="1007">
        <v>6</v>
      </c>
      <c r="H3630" s="1010">
        <v>99999999</v>
      </c>
      <c r="I3630" s="1009">
        <v>80012000</v>
      </c>
      <c r="J3630" s="1007" t="s">
        <v>1292</v>
      </c>
      <c r="O3630" s="1007" t="s">
        <v>648</v>
      </c>
      <c r="P3630" s="1007" t="s">
        <v>648</v>
      </c>
      <c r="S3630" s="1008" t="s">
        <v>657</v>
      </c>
      <c r="T3630" s="1008" t="s">
        <v>654</v>
      </c>
      <c r="U3630" s="1008" t="s">
        <v>653</v>
      </c>
      <c r="V3630" s="1008" t="s">
        <v>648</v>
      </c>
      <c r="W3630" s="1008" t="s">
        <v>546</v>
      </c>
      <c r="X3630" s="1008" t="s">
        <v>670</v>
      </c>
      <c r="Y3630" s="1008" t="s">
        <v>670</v>
      </c>
      <c r="Z3630" s="1008" t="s">
        <v>670</v>
      </c>
      <c r="AA3630" s="1008" t="s">
        <v>670</v>
      </c>
      <c r="AB3630" s="1008" t="s">
        <v>670</v>
      </c>
      <c r="AC3630" s="1008" t="s">
        <v>670</v>
      </c>
      <c r="AD3630" s="1008" t="s">
        <v>670</v>
      </c>
      <c r="AE3630" s="1008"/>
      <c r="AF3630" s="1008" t="s">
        <v>670</v>
      </c>
      <c r="AG3630" s="1008"/>
      <c r="AH3630" s="1008"/>
      <c r="AI3630" s="1008"/>
    </row>
    <row r="3631" spans="1:35">
      <c r="A3631" s="1008">
        <v>27097</v>
      </c>
      <c r="B3631" s="1008">
        <v>5927</v>
      </c>
      <c r="C3631" s="1008">
        <v>6</v>
      </c>
      <c r="D3631" s="1009">
        <v>80019999</v>
      </c>
      <c r="E3631" s="1009">
        <v>80013000</v>
      </c>
      <c r="F3631" s="1007" t="s">
        <v>1291</v>
      </c>
      <c r="G3631" s="1007" t="s">
        <v>648</v>
      </c>
      <c r="H3631" s="1010">
        <v>99999999</v>
      </c>
      <c r="I3631" s="1009">
        <v>80013000</v>
      </c>
      <c r="J3631" s="1007" t="s">
        <v>1291</v>
      </c>
      <c r="O3631" s="1007" t="s">
        <v>648</v>
      </c>
      <c r="P3631" s="1007" t="s">
        <v>648</v>
      </c>
      <c r="S3631" s="1008" t="s">
        <v>650</v>
      </c>
      <c r="T3631" s="1008" t="s">
        <v>654</v>
      </c>
      <c r="U3631" s="1008" t="s">
        <v>653</v>
      </c>
      <c r="V3631" s="1008" t="s">
        <v>648</v>
      </c>
      <c r="W3631" s="1008" t="s">
        <v>546</v>
      </c>
      <c r="X3631" s="1008" t="s">
        <v>670</v>
      </c>
      <c r="Y3631" s="1008" t="s">
        <v>670</v>
      </c>
      <c r="Z3631" s="1008" t="s">
        <v>670</v>
      </c>
      <c r="AA3631" s="1008" t="s">
        <v>670</v>
      </c>
      <c r="AB3631" s="1008" t="s">
        <v>670</v>
      </c>
      <c r="AC3631" s="1008" t="s">
        <v>670</v>
      </c>
      <c r="AD3631" s="1008" t="s">
        <v>670</v>
      </c>
      <c r="AE3631" s="1008"/>
      <c r="AF3631" s="1008" t="s">
        <v>670</v>
      </c>
      <c r="AG3631" s="1008"/>
      <c r="AH3631" s="1008"/>
      <c r="AI3631" s="1008"/>
    </row>
    <row r="3632" spans="1:35">
      <c r="A3632" s="1008">
        <v>25462</v>
      </c>
      <c r="C3632" s="1008">
        <v>5</v>
      </c>
      <c r="D3632" s="1009">
        <v>80049999</v>
      </c>
      <c r="E3632" s="1009">
        <v>80019999</v>
      </c>
      <c r="F3632" s="1007" t="s">
        <v>1290</v>
      </c>
      <c r="O3632" s="1007" t="s">
        <v>648</v>
      </c>
      <c r="P3632" s="1007" t="s">
        <v>648</v>
      </c>
      <c r="S3632" s="1008" t="s">
        <v>657</v>
      </c>
      <c r="T3632" s="1008" t="s">
        <v>21</v>
      </c>
      <c r="U3632" s="1008" t="s">
        <v>653</v>
      </c>
      <c r="V3632" s="1008" t="s">
        <v>648</v>
      </c>
      <c r="W3632" s="1008" t="s">
        <v>546</v>
      </c>
      <c r="X3632" s="1008"/>
      <c r="Y3632" s="1008"/>
      <c r="Z3632" s="1008"/>
      <c r="AA3632" s="1008"/>
      <c r="AB3632" s="1008"/>
      <c r="AC3632" s="1008"/>
      <c r="AD3632" s="1008"/>
      <c r="AE3632" s="1008"/>
      <c r="AF3632" s="1008"/>
      <c r="AG3632" s="1008"/>
      <c r="AH3632" s="1008"/>
      <c r="AI3632" s="1008"/>
    </row>
    <row r="3633" spans="1:35">
      <c r="A3633" s="1008">
        <v>25463</v>
      </c>
      <c r="C3633" s="1008">
        <v>5</v>
      </c>
      <c r="D3633" s="1009">
        <v>80049900</v>
      </c>
      <c r="E3633" s="1009">
        <v>80020000</v>
      </c>
      <c r="F3633" s="1007" t="s">
        <v>1289</v>
      </c>
      <c r="O3633" s="1007" t="s">
        <v>648</v>
      </c>
      <c r="P3633" s="1007" t="s">
        <v>648</v>
      </c>
      <c r="S3633" s="1008" t="s">
        <v>657</v>
      </c>
      <c r="T3633" s="1008" t="s">
        <v>675</v>
      </c>
      <c r="U3633" s="1008" t="s">
        <v>653</v>
      </c>
      <c r="V3633" s="1008" t="s">
        <v>648</v>
      </c>
      <c r="W3633" s="1008" t="s">
        <v>546</v>
      </c>
      <c r="X3633" s="1008"/>
      <c r="Y3633" s="1008"/>
      <c r="Z3633" s="1008"/>
      <c r="AA3633" s="1008"/>
      <c r="AB3633" s="1008"/>
      <c r="AC3633" s="1008"/>
      <c r="AD3633" s="1008"/>
      <c r="AE3633" s="1008"/>
      <c r="AF3633" s="1008"/>
      <c r="AG3633" s="1008"/>
      <c r="AH3633" s="1008"/>
      <c r="AI3633" s="1008"/>
    </row>
    <row r="3634" spans="1:35">
      <c r="A3634" s="1008">
        <v>25464</v>
      </c>
      <c r="B3634" s="1008">
        <v>2414</v>
      </c>
      <c r="C3634" s="1008">
        <v>6</v>
      </c>
      <c r="D3634" s="1009">
        <v>80049900</v>
      </c>
      <c r="E3634" s="1009">
        <v>80021000</v>
      </c>
      <c r="F3634" s="1007" t="s">
        <v>1288</v>
      </c>
      <c r="G3634" s="1007">
        <v>6</v>
      </c>
      <c r="H3634" s="1010">
        <v>99999999</v>
      </c>
      <c r="I3634" s="1009">
        <v>80021000</v>
      </c>
      <c r="J3634" s="1007" t="s">
        <v>1288</v>
      </c>
      <c r="O3634" s="1007" t="s">
        <v>648</v>
      </c>
      <c r="P3634" s="1007" t="s">
        <v>648</v>
      </c>
      <c r="S3634" s="1008" t="s">
        <v>657</v>
      </c>
      <c r="T3634" s="1008" t="s">
        <v>654</v>
      </c>
      <c r="U3634" s="1008" t="s">
        <v>653</v>
      </c>
      <c r="V3634" s="1008" t="s">
        <v>648</v>
      </c>
      <c r="W3634" s="1008" t="s">
        <v>546</v>
      </c>
      <c r="X3634" s="1008" t="s">
        <v>670</v>
      </c>
      <c r="Y3634" s="1008"/>
      <c r="Z3634" s="1008"/>
      <c r="AA3634" s="1008"/>
      <c r="AB3634" s="1008"/>
      <c r="AC3634" s="1008"/>
      <c r="AD3634" s="1008" t="s">
        <v>670</v>
      </c>
      <c r="AE3634" s="1008"/>
      <c r="AF3634" s="1008"/>
      <c r="AG3634" s="1008"/>
      <c r="AH3634" s="1008"/>
      <c r="AI3634" s="1008"/>
    </row>
    <row r="3635" spans="1:35">
      <c r="A3635" s="1008">
        <v>25465</v>
      </c>
      <c r="B3635" s="1008">
        <v>2415</v>
      </c>
      <c r="C3635" s="1008">
        <v>6</v>
      </c>
      <c r="D3635" s="1009">
        <v>80049900</v>
      </c>
      <c r="E3635" s="1009">
        <v>80022000</v>
      </c>
      <c r="F3635" s="1007" t="s">
        <v>1287</v>
      </c>
      <c r="G3635" s="1007">
        <v>6</v>
      </c>
      <c r="H3635" s="1010">
        <v>99999999</v>
      </c>
      <c r="I3635" s="1009">
        <v>80022000</v>
      </c>
      <c r="J3635" s="1007" t="s">
        <v>1287</v>
      </c>
      <c r="O3635" s="1007" t="s">
        <v>648</v>
      </c>
      <c r="P3635" s="1007" t="s">
        <v>648</v>
      </c>
      <c r="S3635" s="1008" t="s">
        <v>657</v>
      </c>
      <c r="T3635" s="1008" t="s">
        <v>654</v>
      </c>
      <c r="U3635" s="1008" t="s">
        <v>653</v>
      </c>
      <c r="V3635" s="1008" t="s">
        <v>648</v>
      </c>
      <c r="W3635" s="1008" t="s">
        <v>546</v>
      </c>
      <c r="X3635" s="1008" t="s">
        <v>670</v>
      </c>
      <c r="Y3635" s="1008"/>
      <c r="Z3635" s="1008"/>
      <c r="AA3635" s="1008"/>
      <c r="AB3635" s="1008"/>
      <c r="AC3635" s="1008"/>
      <c r="AD3635" s="1008" t="s">
        <v>670</v>
      </c>
      <c r="AE3635" s="1008"/>
      <c r="AF3635" s="1008"/>
      <c r="AG3635" s="1008"/>
      <c r="AH3635" s="1008"/>
      <c r="AI3635" s="1008"/>
    </row>
    <row r="3636" spans="1:35">
      <c r="A3636" s="1008">
        <v>25466</v>
      </c>
      <c r="B3636" s="1008">
        <v>2416</v>
      </c>
      <c r="C3636" s="1008">
        <v>6</v>
      </c>
      <c r="D3636" s="1009">
        <v>80049900</v>
      </c>
      <c r="E3636" s="1009">
        <v>80023000</v>
      </c>
      <c r="F3636" s="1007" t="s">
        <v>1286</v>
      </c>
      <c r="G3636" s="1007">
        <v>6</v>
      </c>
      <c r="H3636" s="1010">
        <v>99999999</v>
      </c>
      <c r="I3636" s="1009">
        <v>80023000</v>
      </c>
      <c r="J3636" s="1007" t="s">
        <v>1286</v>
      </c>
      <c r="O3636" s="1007" t="s">
        <v>648</v>
      </c>
      <c r="P3636" s="1007" t="s">
        <v>648</v>
      </c>
      <c r="S3636" s="1008" t="s">
        <v>657</v>
      </c>
      <c r="T3636" s="1008" t="s">
        <v>654</v>
      </c>
      <c r="U3636" s="1008" t="s">
        <v>653</v>
      </c>
      <c r="V3636" s="1008" t="s">
        <v>648</v>
      </c>
      <c r="W3636" s="1008" t="s">
        <v>546</v>
      </c>
      <c r="X3636" s="1008" t="s">
        <v>670</v>
      </c>
      <c r="Y3636" s="1008"/>
      <c r="Z3636" s="1008"/>
      <c r="AA3636" s="1008"/>
      <c r="AB3636" s="1008"/>
      <c r="AC3636" s="1008"/>
      <c r="AD3636" s="1008" t="s">
        <v>670</v>
      </c>
      <c r="AE3636" s="1008"/>
      <c r="AF3636" s="1008"/>
      <c r="AG3636" s="1008"/>
      <c r="AH3636" s="1008"/>
      <c r="AI3636" s="1008"/>
    </row>
    <row r="3637" spans="1:35">
      <c r="A3637" s="1008">
        <v>25467</v>
      </c>
      <c r="B3637" s="1008">
        <v>2417</v>
      </c>
      <c r="C3637" s="1008">
        <v>6</v>
      </c>
      <c r="D3637" s="1009">
        <v>80049900</v>
      </c>
      <c r="E3637" s="1009">
        <v>80024000</v>
      </c>
      <c r="F3637" s="1007" t="s">
        <v>1285</v>
      </c>
      <c r="G3637" s="1007">
        <v>6</v>
      </c>
      <c r="H3637" s="1010">
        <v>99999999</v>
      </c>
      <c r="I3637" s="1009">
        <v>80024000</v>
      </c>
      <c r="J3637" s="1007" t="s">
        <v>1285</v>
      </c>
      <c r="O3637" s="1007" t="s">
        <v>648</v>
      </c>
      <c r="P3637" s="1007" t="s">
        <v>648</v>
      </c>
      <c r="S3637" s="1008" t="s">
        <v>657</v>
      </c>
      <c r="T3637" s="1008" t="s">
        <v>654</v>
      </c>
      <c r="U3637" s="1008" t="s">
        <v>653</v>
      </c>
      <c r="V3637" s="1008" t="s">
        <v>648</v>
      </c>
      <c r="W3637" s="1008" t="s">
        <v>546</v>
      </c>
      <c r="X3637" s="1008" t="s">
        <v>670</v>
      </c>
      <c r="Y3637" s="1008"/>
      <c r="Z3637" s="1008"/>
      <c r="AA3637" s="1008"/>
      <c r="AB3637" s="1008"/>
      <c r="AC3637" s="1008"/>
      <c r="AD3637" s="1008" t="s">
        <v>670</v>
      </c>
      <c r="AE3637" s="1008"/>
      <c r="AF3637" s="1008"/>
      <c r="AG3637" s="1008"/>
      <c r="AH3637" s="1008"/>
      <c r="AI3637" s="1008"/>
    </row>
    <row r="3638" spans="1:35">
      <c r="A3638" s="1008">
        <v>26682</v>
      </c>
      <c r="B3638" s="1008">
        <v>35</v>
      </c>
      <c r="C3638" s="1008">
        <v>8</v>
      </c>
      <c r="D3638" s="1009">
        <v>80049900</v>
      </c>
      <c r="E3638" s="1009">
        <v>80024010</v>
      </c>
      <c r="F3638" s="1007" t="s">
        <v>1284</v>
      </c>
      <c r="G3638" s="1007">
        <v>8</v>
      </c>
      <c r="H3638" s="1010">
        <v>99999999</v>
      </c>
      <c r="I3638" s="1009">
        <v>80024010</v>
      </c>
      <c r="J3638" s="1007" t="s">
        <v>1284</v>
      </c>
      <c r="O3638" s="1007" t="s">
        <v>648</v>
      </c>
      <c r="P3638" s="1007" t="s">
        <v>648</v>
      </c>
      <c r="S3638" s="1008" t="s">
        <v>650</v>
      </c>
      <c r="T3638" s="1008" t="s">
        <v>654</v>
      </c>
      <c r="U3638" s="1008" t="s">
        <v>653</v>
      </c>
      <c r="V3638" s="1008" t="s">
        <v>648</v>
      </c>
      <c r="W3638" s="1008" t="s">
        <v>546</v>
      </c>
      <c r="X3638" s="1008" t="s">
        <v>670</v>
      </c>
      <c r="Y3638" s="1008" t="s">
        <v>670</v>
      </c>
      <c r="Z3638" s="1008" t="s">
        <v>670</v>
      </c>
      <c r="AA3638" s="1008" t="s">
        <v>670</v>
      </c>
      <c r="AB3638" s="1008" t="s">
        <v>670</v>
      </c>
      <c r="AC3638" s="1008" t="s">
        <v>670</v>
      </c>
      <c r="AD3638" s="1008" t="s">
        <v>670</v>
      </c>
      <c r="AE3638" s="1008"/>
      <c r="AF3638" s="1008" t="s">
        <v>670</v>
      </c>
      <c r="AG3638" s="1008"/>
      <c r="AH3638" s="1008"/>
      <c r="AI3638" s="1008"/>
    </row>
    <row r="3639" spans="1:35">
      <c r="A3639" s="1008">
        <v>25468</v>
      </c>
      <c r="B3639" s="1008">
        <v>2418</v>
      </c>
      <c r="C3639" s="1008">
        <v>6</v>
      </c>
      <c r="D3639" s="1009">
        <v>80049900</v>
      </c>
      <c r="E3639" s="1009">
        <v>80025000</v>
      </c>
      <c r="F3639" s="1007" t="s">
        <v>1283</v>
      </c>
      <c r="G3639" s="1007">
        <v>6</v>
      </c>
      <c r="H3639" s="1010">
        <v>99999999</v>
      </c>
      <c r="I3639" s="1009">
        <v>80025000</v>
      </c>
      <c r="J3639" s="1007" t="s">
        <v>1283</v>
      </c>
      <c r="O3639" s="1007" t="s">
        <v>648</v>
      </c>
      <c r="P3639" s="1007" t="s">
        <v>648</v>
      </c>
      <c r="S3639" s="1008" t="s">
        <v>657</v>
      </c>
      <c r="T3639" s="1008" t="s">
        <v>654</v>
      </c>
      <c r="U3639" s="1008" t="s">
        <v>653</v>
      </c>
      <c r="V3639" s="1008" t="s">
        <v>648</v>
      </c>
      <c r="W3639" s="1008" t="s">
        <v>546</v>
      </c>
      <c r="X3639" s="1008" t="s">
        <v>670</v>
      </c>
      <c r="Y3639" s="1008"/>
      <c r="Z3639" s="1008"/>
      <c r="AA3639" s="1008"/>
      <c r="AB3639" s="1008"/>
      <c r="AC3639" s="1008"/>
      <c r="AD3639" s="1008" t="s">
        <v>670</v>
      </c>
      <c r="AE3639" s="1008"/>
      <c r="AF3639" s="1008"/>
      <c r="AG3639" s="1008"/>
      <c r="AH3639" s="1008"/>
      <c r="AI3639" s="1008"/>
    </row>
    <row r="3640" spans="1:35">
      <c r="A3640" s="1008">
        <v>25469</v>
      </c>
      <c r="B3640" s="1008">
        <v>2419</v>
      </c>
      <c r="C3640" s="1008">
        <v>6</v>
      </c>
      <c r="D3640" s="1009">
        <v>80049900</v>
      </c>
      <c r="E3640" s="1009">
        <v>80026000</v>
      </c>
      <c r="F3640" s="1007" t="s">
        <v>1282</v>
      </c>
      <c r="G3640" s="1007">
        <v>6</v>
      </c>
      <c r="H3640" s="1010">
        <v>99999999</v>
      </c>
      <c r="I3640" s="1009">
        <v>80026000</v>
      </c>
      <c r="J3640" s="1007" t="s">
        <v>1282</v>
      </c>
      <c r="O3640" s="1007" t="s">
        <v>648</v>
      </c>
      <c r="P3640" s="1007" t="s">
        <v>648</v>
      </c>
      <c r="S3640" s="1008" t="s">
        <v>657</v>
      </c>
      <c r="T3640" s="1008" t="s">
        <v>654</v>
      </c>
      <c r="U3640" s="1008" t="s">
        <v>653</v>
      </c>
      <c r="V3640" s="1008" t="s">
        <v>648</v>
      </c>
      <c r="W3640" s="1008" t="s">
        <v>546</v>
      </c>
      <c r="X3640" s="1008" t="s">
        <v>670</v>
      </c>
      <c r="Y3640" s="1008"/>
      <c r="Z3640" s="1008"/>
      <c r="AA3640" s="1008"/>
      <c r="AB3640" s="1008"/>
      <c r="AC3640" s="1008"/>
      <c r="AD3640" s="1008" t="s">
        <v>670</v>
      </c>
      <c r="AE3640" s="1008"/>
      <c r="AF3640" s="1008"/>
      <c r="AG3640" s="1008"/>
      <c r="AH3640" s="1008"/>
      <c r="AI3640" s="1008"/>
    </row>
    <row r="3641" spans="1:35">
      <c r="A3641" s="1008">
        <v>25470</v>
      </c>
      <c r="B3641" s="1008">
        <v>2420</v>
      </c>
      <c r="C3641" s="1008">
        <v>6</v>
      </c>
      <c r="D3641" s="1009">
        <v>80049900</v>
      </c>
      <c r="E3641" s="1009">
        <v>80027000</v>
      </c>
      <c r="F3641" s="1007" t="s">
        <v>1281</v>
      </c>
      <c r="G3641" s="1007">
        <v>6</v>
      </c>
      <c r="H3641" s="1010">
        <v>99999999</v>
      </c>
      <c r="I3641" s="1009">
        <v>80027000</v>
      </c>
      <c r="J3641" s="1007" t="s">
        <v>1281</v>
      </c>
      <c r="O3641" s="1007" t="s">
        <v>648</v>
      </c>
      <c r="P3641" s="1007" t="s">
        <v>648</v>
      </c>
      <c r="S3641" s="1008" t="s">
        <v>657</v>
      </c>
      <c r="T3641" s="1008" t="s">
        <v>654</v>
      </c>
      <c r="U3641" s="1008" t="s">
        <v>653</v>
      </c>
      <c r="V3641" s="1008" t="s">
        <v>648</v>
      </c>
      <c r="W3641" s="1008" t="s">
        <v>546</v>
      </c>
      <c r="X3641" s="1008" t="s">
        <v>670</v>
      </c>
      <c r="Y3641" s="1008"/>
      <c r="Z3641" s="1008"/>
      <c r="AA3641" s="1008"/>
      <c r="AB3641" s="1008"/>
      <c r="AC3641" s="1008"/>
      <c r="AD3641" s="1008" t="s">
        <v>670</v>
      </c>
      <c r="AE3641" s="1008"/>
      <c r="AF3641" s="1008"/>
      <c r="AG3641" s="1008"/>
      <c r="AH3641" s="1008"/>
      <c r="AI3641" s="1008"/>
    </row>
    <row r="3642" spans="1:35">
      <c r="A3642" s="1008">
        <v>25471</v>
      </c>
      <c r="B3642" s="1008">
        <v>2421</v>
      </c>
      <c r="C3642" s="1008">
        <v>6</v>
      </c>
      <c r="D3642" s="1009">
        <v>80049900</v>
      </c>
      <c r="E3642" s="1009">
        <v>80028000</v>
      </c>
      <c r="F3642" s="1007" t="s">
        <v>1280</v>
      </c>
      <c r="G3642" s="1007">
        <v>6</v>
      </c>
      <c r="H3642" s="1010">
        <v>99999999</v>
      </c>
      <c r="I3642" s="1009">
        <v>80028000</v>
      </c>
      <c r="J3642" s="1007" t="s">
        <v>1280</v>
      </c>
      <c r="O3642" s="1007" t="s">
        <v>648</v>
      </c>
      <c r="P3642" s="1007" t="s">
        <v>648</v>
      </c>
      <c r="S3642" s="1008" t="s">
        <v>657</v>
      </c>
      <c r="T3642" s="1008" t="s">
        <v>654</v>
      </c>
      <c r="U3642" s="1008" t="s">
        <v>653</v>
      </c>
      <c r="V3642" s="1008" t="s">
        <v>648</v>
      </c>
      <c r="W3642" s="1008" t="s">
        <v>546</v>
      </c>
      <c r="X3642" s="1008" t="s">
        <v>670</v>
      </c>
      <c r="Y3642" s="1008"/>
      <c r="Z3642" s="1008"/>
      <c r="AA3642" s="1008"/>
      <c r="AB3642" s="1008"/>
      <c r="AC3642" s="1008"/>
      <c r="AD3642" s="1008" t="s">
        <v>670</v>
      </c>
      <c r="AE3642" s="1008"/>
      <c r="AF3642" s="1008"/>
      <c r="AG3642" s="1008"/>
      <c r="AH3642" s="1008"/>
      <c r="AI3642" s="1008"/>
    </row>
    <row r="3643" spans="1:35">
      <c r="A3643" s="1008">
        <v>25472</v>
      </c>
      <c r="B3643" s="1008">
        <v>2422</v>
      </c>
      <c r="C3643" s="1008">
        <v>6</v>
      </c>
      <c r="D3643" s="1009">
        <v>80049900</v>
      </c>
      <c r="E3643" s="1009">
        <v>80029000</v>
      </c>
      <c r="F3643" s="1007" t="s">
        <v>1279</v>
      </c>
      <c r="G3643" s="1007">
        <v>6</v>
      </c>
      <c r="H3643" s="1010">
        <v>99999999</v>
      </c>
      <c r="I3643" s="1009">
        <v>80029000</v>
      </c>
      <c r="J3643" s="1007" t="s">
        <v>1279</v>
      </c>
      <c r="O3643" s="1007" t="s">
        <v>648</v>
      </c>
      <c r="P3643" s="1007" t="s">
        <v>648</v>
      </c>
      <c r="S3643" s="1008" t="s">
        <v>657</v>
      </c>
      <c r="T3643" s="1008" t="s">
        <v>654</v>
      </c>
      <c r="U3643" s="1008" t="s">
        <v>653</v>
      </c>
      <c r="V3643" s="1008" t="s">
        <v>648</v>
      </c>
      <c r="W3643" s="1008" t="s">
        <v>546</v>
      </c>
      <c r="X3643" s="1008" t="s">
        <v>670</v>
      </c>
      <c r="Y3643" s="1008"/>
      <c r="Z3643" s="1008"/>
      <c r="AA3643" s="1008"/>
      <c r="AB3643" s="1008"/>
      <c r="AC3643" s="1008"/>
      <c r="AD3643" s="1008" t="s">
        <v>670</v>
      </c>
      <c r="AE3643" s="1008"/>
      <c r="AF3643" s="1008"/>
      <c r="AG3643" s="1008"/>
      <c r="AH3643" s="1008"/>
      <c r="AI3643" s="1008"/>
    </row>
    <row r="3644" spans="1:35">
      <c r="A3644" s="1008">
        <v>25473</v>
      </c>
      <c r="B3644" s="1008">
        <v>2423</v>
      </c>
      <c r="C3644" s="1008">
        <v>6</v>
      </c>
      <c r="D3644" s="1009">
        <v>80049900</v>
      </c>
      <c r="E3644" s="1009">
        <v>80030000</v>
      </c>
      <c r="F3644" s="1007" t="s">
        <v>1278</v>
      </c>
      <c r="G3644" s="1007">
        <v>6</v>
      </c>
      <c r="H3644" s="1010">
        <v>99999999</v>
      </c>
      <c r="I3644" s="1009">
        <v>80030000</v>
      </c>
      <c r="J3644" s="1007" t="s">
        <v>1278</v>
      </c>
      <c r="O3644" s="1007" t="s">
        <v>648</v>
      </c>
      <c r="P3644" s="1007" t="s">
        <v>648</v>
      </c>
      <c r="S3644" s="1008" t="s">
        <v>657</v>
      </c>
      <c r="T3644" s="1008" t="s">
        <v>654</v>
      </c>
      <c r="U3644" s="1008" t="s">
        <v>653</v>
      </c>
      <c r="V3644" s="1008" t="s">
        <v>648</v>
      </c>
      <c r="W3644" s="1008" t="s">
        <v>546</v>
      </c>
      <c r="X3644" s="1008" t="s">
        <v>670</v>
      </c>
      <c r="Y3644" s="1008"/>
      <c r="Z3644" s="1008"/>
      <c r="AA3644" s="1008"/>
      <c r="AB3644" s="1008"/>
      <c r="AC3644" s="1008"/>
      <c r="AD3644" s="1008" t="s">
        <v>670</v>
      </c>
      <c r="AE3644" s="1008"/>
      <c r="AF3644" s="1008"/>
      <c r="AG3644" s="1008"/>
      <c r="AH3644" s="1008"/>
      <c r="AI3644" s="1008"/>
    </row>
    <row r="3645" spans="1:35">
      <c r="A3645" s="1008">
        <v>25474</v>
      </c>
      <c r="B3645" s="1008">
        <v>2424</v>
      </c>
      <c r="C3645" s="1008">
        <v>6</v>
      </c>
      <c r="D3645" s="1009">
        <v>80049900</v>
      </c>
      <c r="E3645" s="1009">
        <v>80031000</v>
      </c>
      <c r="F3645" s="1007" t="s">
        <v>1277</v>
      </c>
      <c r="G3645" s="1007">
        <v>6</v>
      </c>
      <c r="H3645" s="1010">
        <v>99999999</v>
      </c>
      <c r="I3645" s="1009">
        <v>80031000</v>
      </c>
      <c r="J3645" s="1007" t="s">
        <v>1277</v>
      </c>
      <c r="O3645" s="1007" t="s">
        <v>648</v>
      </c>
      <c r="P3645" s="1007" t="s">
        <v>648</v>
      </c>
      <c r="S3645" s="1008" t="s">
        <v>657</v>
      </c>
      <c r="T3645" s="1008" t="s">
        <v>654</v>
      </c>
      <c r="U3645" s="1008" t="s">
        <v>653</v>
      </c>
      <c r="V3645" s="1008" t="s">
        <v>648</v>
      </c>
      <c r="W3645" s="1008" t="s">
        <v>546</v>
      </c>
      <c r="X3645" s="1008" t="s">
        <v>670</v>
      </c>
      <c r="Y3645" s="1008"/>
      <c r="Z3645" s="1008"/>
      <c r="AA3645" s="1008"/>
      <c r="AB3645" s="1008"/>
      <c r="AC3645" s="1008"/>
      <c r="AD3645" s="1008" t="s">
        <v>670</v>
      </c>
      <c r="AE3645" s="1008"/>
      <c r="AF3645" s="1008"/>
      <c r="AG3645" s="1008"/>
      <c r="AH3645" s="1008"/>
      <c r="AI3645" s="1008"/>
    </row>
    <row r="3646" spans="1:35">
      <c r="A3646" s="1008">
        <v>25475</v>
      </c>
      <c r="B3646" s="1008">
        <v>2425</v>
      </c>
      <c r="C3646" s="1008">
        <v>6</v>
      </c>
      <c r="D3646" s="1009">
        <v>80049900</v>
      </c>
      <c r="E3646" s="1009">
        <v>80032000</v>
      </c>
      <c r="F3646" s="1007" t="s">
        <v>1276</v>
      </c>
      <c r="G3646" s="1007">
        <v>6</v>
      </c>
      <c r="H3646" s="1010">
        <v>99999999</v>
      </c>
      <c r="I3646" s="1009">
        <v>80032000</v>
      </c>
      <c r="J3646" s="1007" t="s">
        <v>1276</v>
      </c>
      <c r="O3646" s="1007" t="s">
        <v>648</v>
      </c>
      <c r="P3646" s="1007" t="s">
        <v>648</v>
      </c>
      <c r="S3646" s="1008" t="s">
        <v>657</v>
      </c>
      <c r="T3646" s="1008" t="s">
        <v>654</v>
      </c>
      <c r="U3646" s="1008" t="s">
        <v>653</v>
      </c>
      <c r="V3646" s="1008" t="s">
        <v>648</v>
      </c>
      <c r="W3646" s="1008" t="s">
        <v>546</v>
      </c>
      <c r="X3646" s="1008" t="s">
        <v>670</v>
      </c>
      <c r="Y3646" s="1008"/>
      <c r="Z3646" s="1008"/>
      <c r="AA3646" s="1008"/>
      <c r="AB3646" s="1008"/>
      <c r="AC3646" s="1008"/>
      <c r="AD3646" s="1008" t="s">
        <v>670</v>
      </c>
      <c r="AE3646" s="1008"/>
      <c r="AF3646" s="1008"/>
      <c r="AG3646" s="1008"/>
      <c r="AH3646" s="1008"/>
      <c r="AI3646" s="1008"/>
    </row>
    <row r="3647" spans="1:35">
      <c r="A3647" s="1008">
        <v>25476</v>
      </c>
      <c r="B3647" s="1008">
        <v>2426</v>
      </c>
      <c r="C3647" s="1008">
        <v>6</v>
      </c>
      <c r="D3647" s="1009">
        <v>80049900</v>
      </c>
      <c r="E3647" s="1009">
        <v>80033000</v>
      </c>
      <c r="F3647" s="1007" t="s">
        <v>1275</v>
      </c>
      <c r="G3647" s="1007">
        <v>6</v>
      </c>
      <c r="H3647" s="1010">
        <v>99999999</v>
      </c>
      <c r="I3647" s="1009">
        <v>80033000</v>
      </c>
      <c r="J3647" s="1007" t="s">
        <v>1275</v>
      </c>
      <c r="O3647" s="1007" t="s">
        <v>648</v>
      </c>
      <c r="P3647" s="1007" t="s">
        <v>648</v>
      </c>
      <c r="S3647" s="1008" t="s">
        <v>657</v>
      </c>
      <c r="T3647" s="1008" t="s">
        <v>654</v>
      </c>
      <c r="U3647" s="1008" t="s">
        <v>653</v>
      </c>
      <c r="V3647" s="1008" t="s">
        <v>648</v>
      </c>
      <c r="W3647" s="1008" t="s">
        <v>546</v>
      </c>
      <c r="X3647" s="1008" t="s">
        <v>670</v>
      </c>
      <c r="Y3647" s="1008" t="s">
        <v>670</v>
      </c>
      <c r="Z3647" s="1008"/>
      <c r="AA3647" s="1008"/>
      <c r="AB3647" s="1008"/>
      <c r="AC3647" s="1008"/>
      <c r="AD3647" s="1008"/>
      <c r="AE3647" s="1008"/>
      <c r="AF3647" s="1008" t="s">
        <v>670</v>
      </c>
      <c r="AG3647" s="1008"/>
      <c r="AH3647" s="1008"/>
      <c r="AI3647" s="1008"/>
    </row>
    <row r="3648" spans="1:35">
      <c r="A3648" s="1008">
        <v>25477</v>
      </c>
      <c r="B3648" s="1008">
        <v>2427</v>
      </c>
      <c r="C3648" s="1008">
        <v>6</v>
      </c>
      <c r="D3648" s="1009">
        <v>80049900</v>
      </c>
      <c r="E3648" s="1009">
        <v>80034000</v>
      </c>
      <c r="F3648" s="1007" t="s">
        <v>1274</v>
      </c>
      <c r="G3648" s="1007">
        <v>6</v>
      </c>
      <c r="H3648" s="1010">
        <v>99999999</v>
      </c>
      <c r="I3648" s="1009">
        <v>80034000</v>
      </c>
      <c r="J3648" s="1007" t="s">
        <v>1274</v>
      </c>
      <c r="O3648" s="1007" t="s">
        <v>648</v>
      </c>
      <c r="P3648" s="1007" t="s">
        <v>648</v>
      </c>
      <c r="S3648" s="1008" t="s">
        <v>657</v>
      </c>
      <c r="T3648" s="1008" t="s">
        <v>654</v>
      </c>
      <c r="U3648" s="1008" t="s">
        <v>653</v>
      </c>
      <c r="V3648" s="1008" t="s">
        <v>648</v>
      </c>
      <c r="W3648" s="1008" t="s">
        <v>546</v>
      </c>
      <c r="X3648" s="1008" t="s">
        <v>670</v>
      </c>
      <c r="Y3648" s="1008" t="s">
        <v>670</v>
      </c>
      <c r="Z3648" s="1008"/>
      <c r="AA3648" s="1008"/>
      <c r="AB3648" s="1008"/>
      <c r="AC3648" s="1008"/>
      <c r="AD3648" s="1008"/>
      <c r="AE3648" s="1008"/>
      <c r="AF3648" s="1008" t="s">
        <v>670</v>
      </c>
      <c r="AG3648" s="1008"/>
      <c r="AH3648" s="1008"/>
      <c r="AI3648" s="1008"/>
    </row>
    <row r="3649" spans="1:35">
      <c r="A3649" s="1008">
        <v>25478</v>
      </c>
      <c r="B3649" s="1008">
        <v>2428</v>
      </c>
      <c r="C3649" s="1008">
        <v>6</v>
      </c>
      <c r="D3649" s="1009">
        <v>80049900</v>
      </c>
      <c r="E3649" s="1009">
        <v>80035000</v>
      </c>
      <c r="F3649" s="1007" t="s">
        <v>1273</v>
      </c>
      <c r="G3649" s="1007">
        <v>6</v>
      </c>
      <c r="H3649" s="1010">
        <v>99999999</v>
      </c>
      <c r="I3649" s="1009">
        <v>80035000</v>
      </c>
      <c r="J3649" s="1007" t="s">
        <v>1273</v>
      </c>
      <c r="O3649" s="1007" t="s">
        <v>648</v>
      </c>
      <c r="P3649" s="1007" t="s">
        <v>648</v>
      </c>
      <c r="S3649" s="1008" t="s">
        <v>657</v>
      </c>
      <c r="T3649" s="1008" t="s">
        <v>654</v>
      </c>
      <c r="U3649" s="1008" t="s">
        <v>653</v>
      </c>
      <c r="V3649" s="1008" t="s">
        <v>648</v>
      </c>
      <c r="W3649" s="1008" t="s">
        <v>546</v>
      </c>
      <c r="X3649" s="1008" t="s">
        <v>670</v>
      </c>
      <c r="Y3649" s="1008" t="s">
        <v>670</v>
      </c>
      <c r="Z3649" s="1008"/>
      <c r="AA3649" s="1008"/>
      <c r="AB3649" s="1008"/>
      <c r="AC3649" s="1008"/>
      <c r="AD3649" s="1008"/>
      <c r="AE3649" s="1008"/>
      <c r="AF3649" s="1008" t="s">
        <v>670</v>
      </c>
      <c r="AG3649" s="1008"/>
      <c r="AH3649" s="1008"/>
      <c r="AI3649" s="1008"/>
    </row>
    <row r="3650" spans="1:35">
      <c r="A3650" s="1008">
        <v>25479</v>
      </c>
      <c r="B3650" s="1008">
        <v>2429</v>
      </c>
      <c r="C3650" s="1008">
        <v>6</v>
      </c>
      <c r="D3650" s="1009">
        <v>80049900</v>
      </c>
      <c r="E3650" s="1009">
        <v>80036000</v>
      </c>
      <c r="F3650" s="1007" t="s">
        <v>1272</v>
      </c>
      <c r="G3650" s="1007">
        <v>6</v>
      </c>
      <c r="H3650" s="1010">
        <v>99999999</v>
      </c>
      <c r="I3650" s="1009">
        <v>80036000</v>
      </c>
      <c r="J3650" s="1007" t="s">
        <v>1272</v>
      </c>
      <c r="O3650" s="1007" t="s">
        <v>648</v>
      </c>
      <c r="P3650" s="1007" t="s">
        <v>648</v>
      </c>
      <c r="S3650" s="1008" t="s">
        <v>657</v>
      </c>
      <c r="T3650" s="1008" t="s">
        <v>654</v>
      </c>
      <c r="U3650" s="1008" t="s">
        <v>653</v>
      </c>
      <c r="V3650" s="1008" t="s">
        <v>648</v>
      </c>
      <c r="W3650" s="1008" t="s">
        <v>546</v>
      </c>
      <c r="X3650" s="1008" t="s">
        <v>670</v>
      </c>
      <c r="Y3650" s="1008" t="s">
        <v>670</v>
      </c>
      <c r="Z3650" s="1008"/>
      <c r="AA3650" s="1008"/>
      <c r="AB3650" s="1008"/>
      <c r="AC3650" s="1008"/>
      <c r="AD3650" s="1008"/>
      <c r="AE3650" s="1008"/>
      <c r="AF3650" s="1008" t="s">
        <v>670</v>
      </c>
      <c r="AG3650" s="1008"/>
      <c r="AH3650" s="1008"/>
      <c r="AI3650" s="1008"/>
    </row>
    <row r="3651" spans="1:35">
      <c r="A3651" s="1008">
        <v>25480</v>
      </c>
      <c r="B3651" s="1008">
        <v>36</v>
      </c>
      <c r="C3651" s="1008">
        <v>6</v>
      </c>
      <c r="D3651" s="1009">
        <v>80049900</v>
      </c>
      <c r="E3651" s="1009">
        <v>80037000</v>
      </c>
      <c r="F3651" s="1007" t="s">
        <v>1271</v>
      </c>
      <c r="G3651" s="1007">
        <v>8</v>
      </c>
      <c r="H3651" s="1010">
        <v>99999999</v>
      </c>
      <c r="I3651" s="1009">
        <v>80037000</v>
      </c>
      <c r="J3651" s="1007" t="s">
        <v>1271</v>
      </c>
      <c r="O3651" s="1007" t="s">
        <v>648</v>
      </c>
      <c r="P3651" s="1007" t="s">
        <v>648</v>
      </c>
      <c r="S3651" s="1008" t="s">
        <v>657</v>
      </c>
      <c r="T3651" s="1008" t="s">
        <v>654</v>
      </c>
      <c r="U3651" s="1008" t="s">
        <v>653</v>
      </c>
      <c r="V3651" s="1008" t="s">
        <v>648</v>
      </c>
      <c r="W3651" s="1008" t="s">
        <v>546</v>
      </c>
      <c r="X3651" s="1008" t="s">
        <v>670</v>
      </c>
      <c r="Y3651" s="1008" t="s">
        <v>670</v>
      </c>
      <c r="Z3651" s="1008" t="s">
        <v>670</v>
      </c>
      <c r="AA3651" s="1008" t="s">
        <v>670</v>
      </c>
      <c r="AB3651" s="1008" t="s">
        <v>670</v>
      </c>
      <c r="AC3651" s="1008" t="s">
        <v>670</v>
      </c>
      <c r="AD3651" s="1008" t="s">
        <v>670</v>
      </c>
      <c r="AE3651" s="1008"/>
      <c r="AF3651" s="1008" t="s">
        <v>670</v>
      </c>
      <c r="AG3651" s="1008"/>
      <c r="AH3651" s="1008"/>
      <c r="AI3651" s="1008"/>
    </row>
    <row r="3652" spans="1:35">
      <c r="A3652" s="1008">
        <v>27114</v>
      </c>
      <c r="B3652" s="1008">
        <v>5947</v>
      </c>
      <c r="C3652" s="1008">
        <v>6</v>
      </c>
      <c r="D3652" s="1009">
        <v>80049900</v>
      </c>
      <c r="E3652" s="1009">
        <v>80037999</v>
      </c>
      <c r="F3652" s="1007" t="s">
        <v>1270</v>
      </c>
      <c r="G3652" s="1007">
        <v>8</v>
      </c>
      <c r="H3652" s="1010">
        <v>99999999</v>
      </c>
      <c r="I3652" s="1009">
        <v>80037999</v>
      </c>
      <c r="J3652" s="1007" t="s">
        <v>1270</v>
      </c>
      <c r="O3652" s="1007" t="s">
        <v>648</v>
      </c>
      <c r="P3652" s="1007" t="s">
        <v>648</v>
      </c>
      <c r="S3652" s="1008" t="s">
        <v>657</v>
      </c>
      <c r="T3652" s="1008" t="s">
        <v>654</v>
      </c>
      <c r="U3652" s="1008" t="s">
        <v>653</v>
      </c>
      <c r="V3652" s="1008" t="s">
        <v>648</v>
      </c>
      <c r="W3652" s="1008" t="s">
        <v>546</v>
      </c>
      <c r="X3652" s="1008" t="s">
        <v>670</v>
      </c>
      <c r="Y3652" s="1008" t="s">
        <v>670</v>
      </c>
      <c r="Z3652" s="1008" t="s">
        <v>670</v>
      </c>
      <c r="AA3652" s="1008"/>
      <c r="AB3652" s="1008" t="s">
        <v>670</v>
      </c>
      <c r="AC3652" s="1008"/>
      <c r="AD3652" s="1008"/>
      <c r="AE3652" s="1008"/>
      <c r="AF3652" s="1008" t="s">
        <v>670</v>
      </c>
      <c r="AG3652" s="1008"/>
      <c r="AH3652" s="1008"/>
      <c r="AI3652" s="1008"/>
    </row>
    <row r="3653" spans="1:35">
      <c r="A3653" s="1008">
        <v>25486</v>
      </c>
      <c r="C3653" s="1008">
        <v>5</v>
      </c>
      <c r="D3653" s="1009">
        <v>80049999</v>
      </c>
      <c r="E3653" s="1009">
        <v>80049900</v>
      </c>
      <c r="F3653" s="1007" t="s">
        <v>1269</v>
      </c>
      <c r="O3653" s="1007" t="s">
        <v>648</v>
      </c>
      <c r="P3653" s="1007" t="s">
        <v>648</v>
      </c>
      <c r="S3653" s="1008" t="s">
        <v>657</v>
      </c>
      <c r="T3653" s="1008" t="s">
        <v>21</v>
      </c>
      <c r="U3653" s="1008" t="s">
        <v>653</v>
      </c>
      <c r="V3653" s="1008" t="s">
        <v>648</v>
      </c>
      <c r="W3653" s="1008" t="s">
        <v>546</v>
      </c>
      <c r="X3653" s="1008"/>
      <c r="Y3653" s="1008"/>
      <c r="Z3653" s="1008"/>
      <c r="AA3653" s="1008"/>
      <c r="AB3653" s="1008"/>
      <c r="AC3653" s="1008"/>
      <c r="AD3653" s="1008"/>
      <c r="AE3653" s="1008"/>
      <c r="AF3653" s="1008"/>
      <c r="AG3653" s="1008"/>
      <c r="AH3653" s="1008"/>
      <c r="AI3653" s="1008"/>
    </row>
    <row r="3654" spans="1:35">
      <c r="A3654" s="1008">
        <v>25487</v>
      </c>
      <c r="C3654" s="1008">
        <v>4</v>
      </c>
      <c r="D3654" s="1009">
        <v>81019999</v>
      </c>
      <c r="E3654" s="1009">
        <v>80049999</v>
      </c>
      <c r="F3654" s="1007" t="s">
        <v>1268</v>
      </c>
      <c r="O3654" s="1007" t="s">
        <v>648</v>
      </c>
      <c r="P3654" s="1007" t="s">
        <v>648</v>
      </c>
      <c r="S3654" s="1008" t="s">
        <v>657</v>
      </c>
      <c r="T3654" s="1008" t="s">
        <v>21</v>
      </c>
      <c r="U3654" s="1008" t="s">
        <v>653</v>
      </c>
      <c r="V3654" s="1008" t="s">
        <v>648</v>
      </c>
      <c r="W3654" s="1008" t="s">
        <v>546</v>
      </c>
      <c r="X3654" s="1008"/>
      <c r="Y3654" s="1008"/>
      <c r="Z3654" s="1008"/>
      <c r="AA3654" s="1008"/>
      <c r="AB3654" s="1008"/>
      <c r="AC3654" s="1008"/>
      <c r="AD3654" s="1008"/>
      <c r="AE3654" s="1008"/>
      <c r="AF3654" s="1008"/>
      <c r="AG3654" s="1008"/>
      <c r="AH3654" s="1008"/>
      <c r="AI3654" s="1008"/>
    </row>
    <row r="3655" spans="1:35">
      <c r="A3655" s="1008">
        <v>25488</v>
      </c>
      <c r="C3655" s="1008">
        <v>4</v>
      </c>
      <c r="D3655" s="1009">
        <v>80519999</v>
      </c>
      <c r="E3655" s="1009">
        <v>80501000</v>
      </c>
      <c r="F3655" s="1007" t="s">
        <v>1267</v>
      </c>
      <c r="O3655" s="1007" t="s">
        <v>648</v>
      </c>
      <c r="P3655" s="1007" t="s">
        <v>648</v>
      </c>
      <c r="S3655" s="1008" t="s">
        <v>657</v>
      </c>
      <c r="T3655" s="1008" t="s">
        <v>675</v>
      </c>
      <c r="U3655" s="1008" t="s">
        <v>653</v>
      </c>
      <c r="V3655" s="1008" t="s">
        <v>648</v>
      </c>
      <c r="W3655" s="1008" t="s">
        <v>546</v>
      </c>
      <c r="X3655" s="1008"/>
      <c r="Y3655" s="1008"/>
      <c r="Z3655" s="1008"/>
      <c r="AA3655" s="1008"/>
      <c r="AB3655" s="1008"/>
      <c r="AC3655" s="1008"/>
      <c r="AD3655" s="1008"/>
      <c r="AE3655" s="1008"/>
      <c r="AF3655" s="1008"/>
      <c r="AG3655" s="1008"/>
      <c r="AH3655" s="1008"/>
      <c r="AI3655" s="1008"/>
    </row>
    <row r="3656" spans="1:35">
      <c r="A3656" s="1008">
        <v>25489</v>
      </c>
      <c r="C3656" s="1008">
        <v>5</v>
      </c>
      <c r="D3656" s="1009">
        <v>80519900</v>
      </c>
      <c r="E3656" s="1009">
        <v>80510000</v>
      </c>
      <c r="F3656" s="1007" t="s">
        <v>1266</v>
      </c>
      <c r="O3656" s="1007" t="s">
        <v>648</v>
      </c>
      <c r="P3656" s="1007" t="s">
        <v>648</v>
      </c>
      <c r="S3656" s="1008" t="s">
        <v>657</v>
      </c>
      <c r="T3656" s="1008" t="s">
        <v>675</v>
      </c>
      <c r="U3656" s="1008" t="s">
        <v>653</v>
      </c>
      <c r="V3656" s="1008" t="s">
        <v>648</v>
      </c>
      <c r="W3656" s="1008" t="s">
        <v>546</v>
      </c>
      <c r="X3656" s="1008"/>
      <c r="Y3656" s="1008"/>
      <c r="Z3656" s="1008"/>
      <c r="AA3656" s="1008"/>
      <c r="AB3656" s="1008"/>
      <c r="AC3656" s="1008"/>
      <c r="AD3656" s="1008"/>
      <c r="AE3656" s="1008"/>
      <c r="AF3656" s="1008"/>
      <c r="AG3656" s="1008"/>
      <c r="AH3656" s="1008"/>
      <c r="AI3656" s="1008"/>
    </row>
    <row r="3657" spans="1:35">
      <c r="A3657" s="1008">
        <v>25490</v>
      </c>
      <c r="B3657" s="1008">
        <v>2431</v>
      </c>
      <c r="C3657" s="1008">
        <v>6</v>
      </c>
      <c r="D3657" s="1009">
        <v>80519900</v>
      </c>
      <c r="E3657" s="1009">
        <v>80511000</v>
      </c>
      <c r="F3657" s="1007" t="s">
        <v>1265</v>
      </c>
      <c r="G3657" s="1007">
        <v>6</v>
      </c>
      <c r="H3657" s="1010">
        <v>99999999</v>
      </c>
      <c r="I3657" s="1009">
        <v>80511000</v>
      </c>
      <c r="J3657" s="1007" t="s">
        <v>1265</v>
      </c>
      <c r="O3657" s="1007" t="s">
        <v>648</v>
      </c>
      <c r="P3657" s="1007" t="s">
        <v>648</v>
      </c>
      <c r="S3657" s="1008" t="s">
        <v>657</v>
      </c>
      <c r="T3657" s="1008" t="s">
        <v>654</v>
      </c>
      <c r="U3657" s="1008" t="s">
        <v>653</v>
      </c>
      <c r="V3657" s="1008" t="s">
        <v>648</v>
      </c>
      <c r="W3657" s="1008" t="s">
        <v>546</v>
      </c>
      <c r="X3657" s="1008" t="s">
        <v>670</v>
      </c>
      <c r="Y3657" s="1008" t="s">
        <v>670</v>
      </c>
      <c r="Z3657" s="1008" t="s">
        <v>670</v>
      </c>
      <c r="AA3657" s="1008" t="s">
        <v>670</v>
      </c>
      <c r="AB3657" s="1008" t="s">
        <v>670</v>
      </c>
      <c r="AC3657" s="1008" t="s">
        <v>670</v>
      </c>
      <c r="AD3657" s="1008" t="s">
        <v>670</v>
      </c>
      <c r="AE3657" s="1008"/>
      <c r="AF3657" s="1008" t="s">
        <v>670</v>
      </c>
      <c r="AG3657" s="1008" t="s">
        <v>670</v>
      </c>
      <c r="AH3657" s="1008"/>
      <c r="AI3657" s="1008"/>
    </row>
    <row r="3658" spans="1:35">
      <c r="A3658" s="1008">
        <v>26292</v>
      </c>
      <c r="B3658" s="1008">
        <v>5567</v>
      </c>
      <c r="C3658" s="1008">
        <v>6</v>
      </c>
      <c r="D3658" s="1009">
        <v>80519900</v>
      </c>
      <c r="E3658" s="1009">
        <v>80512000</v>
      </c>
      <c r="F3658" s="1007" t="s">
        <v>1264</v>
      </c>
      <c r="G3658" s="1007">
        <v>6</v>
      </c>
      <c r="H3658" s="1010">
        <v>99999999</v>
      </c>
      <c r="I3658" s="1009">
        <v>80512000</v>
      </c>
      <c r="J3658" s="1007" t="s">
        <v>1264</v>
      </c>
      <c r="O3658" s="1007" t="s">
        <v>648</v>
      </c>
      <c r="P3658" s="1007" t="s">
        <v>648</v>
      </c>
      <c r="S3658" s="1008" t="s">
        <v>657</v>
      </c>
      <c r="T3658" s="1008" t="s">
        <v>654</v>
      </c>
      <c r="U3658" s="1008" t="s">
        <v>653</v>
      </c>
      <c r="V3658" s="1008" t="s">
        <v>648</v>
      </c>
      <c r="W3658" s="1008" t="s">
        <v>546</v>
      </c>
      <c r="X3658" s="1008" t="s">
        <v>670</v>
      </c>
      <c r="Y3658" s="1008" t="s">
        <v>670</v>
      </c>
      <c r="Z3658" s="1008" t="s">
        <v>670</v>
      </c>
      <c r="AA3658" s="1008" t="s">
        <v>670</v>
      </c>
      <c r="AB3658" s="1008" t="s">
        <v>670</v>
      </c>
      <c r="AC3658" s="1008" t="s">
        <v>670</v>
      </c>
      <c r="AD3658" s="1008" t="s">
        <v>670</v>
      </c>
      <c r="AE3658" s="1008"/>
      <c r="AF3658" s="1008" t="s">
        <v>670</v>
      </c>
      <c r="AG3658" s="1008"/>
      <c r="AH3658" s="1008"/>
      <c r="AI3658" s="1008"/>
    </row>
    <row r="3659" spans="1:35">
      <c r="A3659" s="1008">
        <v>25491</v>
      </c>
      <c r="C3659" s="1008">
        <v>5</v>
      </c>
      <c r="D3659" s="1009">
        <v>80519999</v>
      </c>
      <c r="E3659" s="1009">
        <v>80519900</v>
      </c>
      <c r="F3659" s="1007" t="s">
        <v>1263</v>
      </c>
      <c r="O3659" s="1007" t="s">
        <v>648</v>
      </c>
      <c r="P3659" s="1007" t="s">
        <v>648</v>
      </c>
      <c r="S3659" s="1008" t="s">
        <v>657</v>
      </c>
      <c r="T3659" s="1008" t="s">
        <v>21</v>
      </c>
      <c r="U3659" s="1008" t="s">
        <v>653</v>
      </c>
      <c r="V3659" s="1008" t="s">
        <v>648</v>
      </c>
      <c r="W3659" s="1008" t="s">
        <v>546</v>
      </c>
      <c r="X3659" s="1008"/>
      <c r="Y3659" s="1008"/>
      <c r="Z3659" s="1008"/>
      <c r="AA3659" s="1008"/>
      <c r="AB3659" s="1008"/>
      <c r="AC3659" s="1008"/>
      <c r="AD3659" s="1008"/>
      <c r="AE3659" s="1008"/>
      <c r="AF3659" s="1008"/>
      <c r="AG3659" s="1008"/>
      <c r="AH3659" s="1008"/>
      <c r="AI3659" s="1008"/>
    </row>
    <row r="3660" spans="1:35">
      <c r="A3660" s="1008">
        <v>25492</v>
      </c>
      <c r="C3660" s="1008">
        <v>4</v>
      </c>
      <c r="D3660" s="1009">
        <v>81019999</v>
      </c>
      <c r="E3660" s="1009">
        <v>80519999</v>
      </c>
      <c r="F3660" s="1007" t="s">
        <v>1262</v>
      </c>
      <c r="O3660" s="1007" t="s">
        <v>648</v>
      </c>
      <c r="P3660" s="1007" t="s">
        <v>648</v>
      </c>
      <c r="S3660" s="1008" t="s">
        <v>657</v>
      </c>
      <c r="T3660" s="1008" t="s">
        <v>21</v>
      </c>
      <c r="U3660" s="1008" t="s">
        <v>653</v>
      </c>
      <c r="V3660" s="1008" t="s">
        <v>648</v>
      </c>
      <c r="W3660" s="1008" t="s">
        <v>546</v>
      </c>
      <c r="X3660" s="1008"/>
      <c r="Y3660" s="1008"/>
      <c r="Z3660" s="1008"/>
      <c r="AA3660" s="1008"/>
      <c r="AB3660" s="1008"/>
      <c r="AC3660" s="1008"/>
      <c r="AD3660" s="1008"/>
      <c r="AE3660" s="1008"/>
      <c r="AF3660" s="1008"/>
      <c r="AG3660" s="1008"/>
      <c r="AH3660" s="1008"/>
      <c r="AI3660" s="1008"/>
    </row>
    <row r="3661" spans="1:35">
      <c r="A3661" s="1008">
        <v>25493</v>
      </c>
      <c r="C3661" s="1008">
        <v>4</v>
      </c>
      <c r="D3661" s="1009">
        <v>81019990</v>
      </c>
      <c r="E3661" s="1009">
        <v>81001000</v>
      </c>
      <c r="F3661" s="1007" t="s">
        <v>1261</v>
      </c>
      <c r="O3661" s="1007" t="s">
        <v>648</v>
      </c>
      <c r="P3661" s="1007" t="s">
        <v>648</v>
      </c>
      <c r="S3661" s="1008" t="s">
        <v>657</v>
      </c>
      <c r="T3661" s="1008" t="s">
        <v>675</v>
      </c>
      <c r="U3661" s="1008" t="s">
        <v>653</v>
      </c>
      <c r="V3661" s="1008" t="s">
        <v>648</v>
      </c>
      <c r="W3661" s="1008" t="s">
        <v>546</v>
      </c>
      <c r="X3661" s="1008"/>
      <c r="Y3661" s="1008"/>
      <c r="Z3661" s="1008"/>
      <c r="AA3661" s="1008"/>
      <c r="AB3661" s="1008"/>
      <c r="AC3661" s="1008"/>
      <c r="AD3661" s="1008"/>
      <c r="AE3661" s="1008"/>
      <c r="AF3661" s="1008"/>
      <c r="AG3661" s="1008"/>
      <c r="AH3661" s="1008"/>
      <c r="AI3661" s="1008"/>
    </row>
    <row r="3662" spans="1:35">
      <c r="A3662" s="1008">
        <v>25494</v>
      </c>
      <c r="C3662" s="1008">
        <v>5</v>
      </c>
      <c r="D3662" s="1009">
        <v>81019900</v>
      </c>
      <c r="E3662" s="1009">
        <v>81010000</v>
      </c>
      <c r="F3662" s="1007" t="s">
        <v>1260</v>
      </c>
      <c r="O3662" s="1007" t="s">
        <v>648</v>
      </c>
      <c r="P3662" s="1007" t="s">
        <v>648</v>
      </c>
      <c r="S3662" s="1008" t="s">
        <v>657</v>
      </c>
      <c r="T3662" s="1008" t="s">
        <v>675</v>
      </c>
      <c r="U3662" s="1008" t="s">
        <v>653</v>
      </c>
      <c r="V3662" s="1008" t="s">
        <v>648</v>
      </c>
      <c r="W3662" s="1008" t="s">
        <v>546</v>
      </c>
      <c r="X3662" s="1008"/>
      <c r="Y3662" s="1008"/>
      <c r="Z3662" s="1008"/>
      <c r="AA3662" s="1008"/>
      <c r="AB3662" s="1008"/>
      <c r="AC3662" s="1008"/>
      <c r="AD3662" s="1008"/>
      <c r="AE3662" s="1008"/>
      <c r="AF3662" s="1008"/>
      <c r="AG3662" s="1008"/>
      <c r="AH3662" s="1008"/>
      <c r="AI3662" s="1008"/>
    </row>
    <row r="3663" spans="1:35">
      <c r="A3663" s="1008">
        <v>25495</v>
      </c>
      <c r="B3663" s="1008">
        <v>782</v>
      </c>
      <c r="C3663" s="1008">
        <v>6</v>
      </c>
      <c r="D3663" s="1009">
        <v>81019900</v>
      </c>
      <c r="E3663" s="1009">
        <v>81011000</v>
      </c>
      <c r="F3663" s="1007" t="s">
        <v>1259</v>
      </c>
      <c r="G3663" s="1007">
        <v>8</v>
      </c>
      <c r="H3663" s="1010">
        <v>99999999</v>
      </c>
      <c r="I3663" s="1009">
        <v>81011000</v>
      </c>
      <c r="J3663" s="1007" t="s">
        <v>1259</v>
      </c>
      <c r="O3663" s="1007" t="s">
        <v>648</v>
      </c>
      <c r="P3663" s="1007" t="s">
        <v>648</v>
      </c>
      <c r="S3663" s="1008" t="s">
        <v>657</v>
      </c>
      <c r="T3663" s="1008" t="s">
        <v>654</v>
      </c>
      <c r="U3663" s="1008" t="s">
        <v>653</v>
      </c>
      <c r="V3663" s="1008" t="s">
        <v>648</v>
      </c>
      <c r="W3663" s="1008" t="s">
        <v>546</v>
      </c>
      <c r="X3663" s="1008" t="s">
        <v>670</v>
      </c>
      <c r="Y3663" s="1008" t="s">
        <v>670</v>
      </c>
      <c r="Z3663" s="1008" t="s">
        <v>670</v>
      </c>
      <c r="AA3663" s="1008" t="s">
        <v>670</v>
      </c>
      <c r="AB3663" s="1008" t="s">
        <v>670</v>
      </c>
      <c r="AC3663" s="1008" t="s">
        <v>670</v>
      </c>
      <c r="AD3663" s="1008" t="s">
        <v>670</v>
      </c>
      <c r="AE3663" s="1008"/>
      <c r="AF3663" s="1008" t="s">
        <v>670</v>
      </c>
      <c r="AG3663" s="1008" t="s">
        <v>670</v>
      </c>
      <c r="AH3663" s="1008"/>
      <c r="AI3663" s="1008"/>
    </row>
    <row r="3664" spans="1:35">
      <c r="A3664" s="1008">
        <v>25496</v>
      </c>
      <c r="B3664" s="1008">
        <v>5571</v>
      </c>
      <c r="C3664" s="1008">
        <v>6</v>
      </c>
      <c r="D3664" s="1009">
        <v>81019900</v>
      </c>
      <c r="E3664" s="1009">
        <v>81012000</v>
      </c>
      <c r="F3664" s="1007" t="s">
        <v>1258</v>
      </c>
      <c r="G3664" s="1007">
        <v>6</v>
      </c>
      <c r="H3664" s="1010">
        <v>99999999</v>
      </c>
      <c r="I3664" s="1009">
        <v>81012000</v>
      </c>
      <c r="J3664" s="1007" t="s">
        <v>1258</v>
      </c>
      <c r="O3664" s="1007" t="s">
        <v>648</v>
      </c>
      <c r="P3664" s="1007" t="s">
        <v>648</v>
      </c>
      <c r="S3664" s="1008" t="s">
        <v>657</v>
      </c>
      <c r="T3664" s="1008" t="s">
        <v>654</v>
      </c>
      <c r="U3664" s="1008" t="s">
        <v>653</v>
      </c>
      <c r="V3664" s="1008" t="s">
        <v>648</v>
      </c>
      <c r="W3664" s="1008" t="s">
        <v>546</v>
      </c>
      <c r="X3664" s="1008" t="s">
        <v>670</v>
      </c>
      <c r="Y3664" s="1008" t="s">
        <v>670</v>
      </c>
      <c r="Z3664" s="1008" t="s">
        <v>670</v>
      </c>
      <c r="AA3664" s="1008" t="s">
        <v>670</v>
      </c>
      <c r="AB3664" s="1008" t="s">
        <v>670</v>
      </c>
      <c r="AC3664" s="1008" t="s">
        <v>670</v>
      </c>
      <c r="AD3664" s="1008" t="s">
        <v>670</v>
      </c>
      <c r="AE3664" s="1008"/>
      <c r="AF3664" s="1008" t="s">
        <v>670</v>
      </c>
      <c r="AG3664" s="1008"/>
      <c r="AH3664" s="1008"/>
      <c r="AI3664" s="1008"/>
    </row>
    <row r="3665" spans="1:35">
      <c r="A3665" s="1008">
        <v>25497</v>
      </c>
      <c r="C3665" s="1008">
        <v>5</v>
      </c>
      <c r="D3665" s="1009">
        <v>81019990</v>
      </c>
      <c r="E3665" s="1009">
        <v>81019900</v>
      </c>
      <c r="F3665" s="1007" t="s">
        <v>1257</v>
      </c>
      <c r="O3665" s="1007" t="s">
        <v>648</v>
      </c>
      <c r="P3665" s="1007" t="s">
        <v>648</v>
      </c>
      <c r="S3665" s="1008" t="s">
        <v>657</v>
      </c>
      <c r="T3665" s="1008" t="s">
        <v>21</v>
      </c>
      <c r="U3665" s="1008" t="s">
        <v>653</v>
      </c>
      <c r="V3665" s="1008" t="s">
        <v>648</v>
      </c>
      <c r="W3665" s="1008" t="s">
        <v>546</v>
      </c>
      <c r="X3665" s="1008"/>
      <c r="Y3665" s="1008"/>
      <c r="Z3665" s="1008"/>
      <c r="AA3665" s="1008"/>
      <c r="AB3665" s="1008"/>
      <c r="AC3665" s="1008"/>
      <c r="AD3665" s="1008"/>
      <c r="AE3665" s="1008"/>
      <c r="AF3665" s="1008"/>
      <c r="AG3665" s="1008"/>
      <c r="AH3665" s="1008"/>
      <c r="AI3665" s="1008"/>
    </row>
    <row r="3666" spans="1:35">
      <c r="A3666" s="1008">
        <v>25498</v>
      </c>
      <c r="C3666" s="1008">
        <v>4</v>
      </c>
      <c r="D3666" s="1009">
        <v>81019999</v>
      </c>
      <c r="E3666" s="1009">
        <v>81019990</v>
      </c>
      <c r="F3666" s="1007" t="s">
        <v>1256</v>
      </c>
      <c r="O3666" s="1007" t="s">
        <v>648</v>
      </c>
      <c r="P3666" s="1007" t="s">
        <v>648</v>
      </c>
      <c r="S3666" s="1008" t="s">
        <v>657</v>
      </c>
      <c r="T3666" s="1008" t="s">
        <v>21</v>
      </c>
      <c r="U3666" s="1008" t="s">
        <v>653</v>
      </c>
      <c r="V3666" s="1008" t="s">
        <v>648</v>
      </c>
      <c r="W3666" s="1008" t="s">
        <v>546</v>
      </c>
      <c r="X3666" s="1008"/>
      <c r="Y3666" s="1008"/>
      <c r="Z3666" s="1008"/>
      <c r="AA3666" s="1008"/>
      <c r="AB3666" s="1008"/>
      <c r="AC3666" s="1008"/>
      <c r="AD3666" s="1008"/>
      <c r="AE3666" s="1008"/>
      <c r="AF3666" s="1008"/>
      <c r="AG3666" s="1008"/>
      <c r="AH3666" s="1008"/>
      <c r="AI3666" s="1008"/>
    </row>
    <row r="3667" spans="1:35">
      <c r="A3667" s="1008">
        <v>25499</v>
      </c>
      <c r="C3667" s="1008">
        <v>3</v>
      </c>
      <c r="D3667" s="1009">
        <v>89999990</v>
      </c>
      <c r="E3667" s="1009">
        <v>81019999</v>
      </c>
      <c r="F3667" s="1007" t="s">
        <v>1255</v>
      </c>
      <c r="O3667" s="1007" t="s">
        <v>648</v>
      </c>
      <c r="P3667" s="1007" t="s">
        <v>648</v>
      </c>
      <c r="S3667" s="1008" t="s">
        <v>657</v>
      </c>
      <c r="T3667" s="1008" t="s">
        <v>21</v>
      </c>
      <c r="U3667" s="1008" t="s">
        <v>653</v>
      </c>
      <c r="V3667" s="1008" t="s">
        <v>648</v>
      </c>
      <c r="W3667" s="1008" t="s">
        <v>546</v>
      </c>
      <c r="X3667" s="1008"/>
      <c r="Y3667" s="1008"/>
      <c r="Z3667" s="1008"/>
      <c r="AA3667" s="1008"/>
      <c r="AB3667" s="1008"/>
      <c r="AC3667" s="1008"/>
      <c r="AD3667" s="1008"/>
      <c r="AE3667" s="1008"/>
      <c r="AF3667" s="1008"/>
      <c r="AG3667" s="1008"/>
      <c r="AH3667" s="1008"/>
      <c r="AI3667" s="1008"/>
    </row>
    <row r="3668" spans="1:35">
      <c r="A3668" s="1008">
        <v>25500</v>
      </c>
      <c r="C3668" s="1008">
        <v>3</v>
      </c>
      <c r="D3668" s="1009">
        <v>83519999</v>
      </c>
      <c r="E3668" s="1009">
        <v>81500100</v>
      </c>
      <c r="F3668" s="1007" t="s">
        <v>1254</v>
      </c>
      <c r="O3668" s="1007" t="s">
        <v>648</v>
      </c>
      <c r="P3668" s="1007" t="s">
        <v>648</v>
      </c>
      <c r="S3668" s="1008" t="s">
        <v>650</v>
      </c>
      <c r="T3668" s="1008" t="s">
        <v>675</v>
      </c>
      <c r="U3668" s="1008" t="s">
        <v>653</v>
      </c>
      <c r="V3668" s="1008" t="s">
        <v>648</v>
      </c>
      <c r="W3668" s="1008" t="s">
        <v>546</v>
      </c>
      <c r="X3668" s="1008"/>
      <c r="Y3668" s="1008"/>
      <c r="Z3668" s="1008"/>
      <c r="AA3668" s="1008"/>
      <c r="AB3668" s="1008"/>
      <c r="AC3668" s="1008"/>
      <c r="AD3668" s="1008"/>
      <c r="AE3668" s="1008"/>
      <c r="AF3668" s="1008"/>
      <c r="AG3668" s="1008"/>
      <c r="AH3668" s="1008"/>
      <c r="AI3668" s="1008"/>
    </row>
    <row r="3669" spans="1:35">
      <c r="A3669" s="1008">
        <v>25501</v>
      </c>
      <c r="C3669" s="1008">
        <v>4</v>
      </c>
      <c r="D3669" s="1009">
        <v>81599999</v>
      </c>
      <c r="E3669" s="1009">
        <v>81501000</v>
      </c>
      <c r="F3669" s="1007" t="s">
        <v>1253</v>
      </c>
      <c r="O3669" s="1007" t="s">
        <v>648</v>
      </c>
      <c r="P3669" s="1007" t="s">
        <v>648</v>
      </c>
      <c r="S3669" s="1008" t="s">
        <v>650</v>
      </c>
      <c r="T3669" s="1008" t="s">
        <v>675</v>
      </c>
      <c r="U3669" s="1008" t="s">
        <v>653</v>
      </c>
      <c r="V3669" s="1008" t="s">
        <v>648</v>
      </c>
      <c r="W3669" s="1008" t="s">
        <v>546</v>
      </c>
      <c r="X3669" s="1008"/>
      <c r="Y3669" s="1008"/>
      <c r="Z3669" s="1008"/>
      <c r="AA3669" s="1008"/>
      <c r="AB3669" s="1008"/>
      <c r="AC3669" s="1008"/>
      <c r="AD3669" s="1008"/>
      <c r="AE3669" s="1008"/>
      <c r="AF3669" s="1008"/>
      <c r="AG3669" s="1008"/>
      <c r="AH3669" s="1008"/>
      <c r="AI3669" s="1008"/>
    </row>
    <row r="3670" spans="1:35">
      <c r="A3670" s="1008">
        <v>25502</v>
      </c>
      <c r="C3670" s="1008">
        <v>5</v>
      </c>
      <c r="D3670" s="1009">
        <v>81519999</v>
      </c>
      <c r="E3670" s="1009">
        <v>81510000</v>
      </c>
      <c r="F3670" s="1007" t="s">
        <v>1252</v>
      </c>
      <c r="O3670" s="1007" t="s">
        <v>648</v>
      </c>
      <c r="P3670" s="1007" t="s">
        <v>648</v>
      </c>
      <c r="S3670" s="1008" t="s">
        <v>650</v>
      </c>
      <c r="T3670" s="1008" t="s">
        <v>675</v>
      </c>
      <c r="U3670" s="1008" t="s">
        <v>653</v>
      </c>
      <c r="V3670" s="1008" t="s">
        <v>648</v>
      </c>
      <c r="W3670" s="1008" t="s">
        <v>546</v>
      </c>
      <c r="X3670" s="1008"/>
      <c r="Y3670" s="1008"/>
      <c r="Z3670" s="1008"/>
      <c r="AA3670" s="1008"/>
      <c r="AB3670" s="1008"/>
      <c r="AC3670" s="1008"/>
      <c r="AD3670" s="1008"/>
      <c r="AE3670" s="1008"/>
      <c r="AF3670" s="1008"/>
      <c r="AG3670" s="1008"/>
      <c r="AH3670" s="1008"/>
      <c r="AI3670" s="1008"/>
    </row>
    <row r="3671" spans="1:35">
      <c r="A3671" s="1008">
        <v>25503</v>
      </c>
      <c r="B3671" s="1008">
        <v>515</v>
      </c>
      <c r="C3671" s="1008">
        <v>6</v>
      </c>
      <c r="D3671" s="1009">
        <v>81519999</v>
      </c>
      <c r="E3671" s="1009">
        <v>81511000</v>
      </c>
      <c r="F3671" s="1007" t="s">
        <v>1251</v>
      </c>
      <c r="G3671" s="1007">
        <v>8</v>
      </c>
      <c r="H3671" s="1010">
        <v>99999999</v>
      </c>
      <c r="I3671" s="1009">
        <v>81511000</v>
      </c>
      <c r="J3671" s="1007" t="s">
        <v>1251</v>
      </c>
      <c r="O3671" s="1007" t="s">
        <v>648</v>
      </c>
      <c r="P3671" s="1007" t="s">
        <v>648</v>
      </c>
      <c r="S3671" s="1008" t="s">
        <v>650</v>
      </c>
      <c r="T3671" s="1008" t="s">
        <v>654</v>
      </c>
      <c r="U3671" s="1008" t="s">
        <v>653</v>
      </c>
      <c r="V3671" s="1008" t="s">
        <v>648</v>
      </c>
      <c r="W3671" s="1008" t="s">
        <v>546</v>
      </c>
      <c r="X3671" s="1008" t="s">
        <v>670</v>
      </c>
      <c r="Y3671" s="1008" t="s">
        <v>670</v>
      </c>
      <c r="Z3671" s="1008" t="s">
        <v>670</v>
      </c>
      <c r="AA3671" s="1008" t="s">
        <v>670</v>
      </c>
      <c r="AB3671" s="1008" t="s">
        <v>670</v>
      </c>
      <c r="AC3671" s="1008" t="s">
        <v>670</v>
      </c>
      <c r="AD3671" s="1008" t="s">
        <v>670</v>
      </c>
      <c r="AE3671" s="1008"/>
      <c r="AF3671" s="1008" t="s">
        <v>670</v>
      </c>
      <c r="AG3671" s="1008"/>
      <c r="AH3671" s="1008"/>
      <c r="AI3671" s="1008"/>
    </row>
    <row r="3672" spans="1:35">
      <c r="A3672" s="1008">
        <v>25504</v>
      </c>
      <c r="B3672" s="1008">
        <v>2436</v>
      </c>
      <c r="C3672" s="1008">
        <v>6</v>
      </c>
      <c r="D3672" s="1009">
        <v>81519999</v>
      </c>
      <c r="E3672" s="1009">
        <v>81512000</v>
      </c>
      <c r="F3672" s="1007" t="s">
        <v>1250</v>
      </c>
      <c r="G3672" s="1007">
        <v>6</v>
      </c>
      <c r="H3672" s="1010">
        <v>99999999</v>
      </c>
      <c r="I3672" s="1009">
        <v>81512000</v>
      </c>
      <c r="J3672" s="1007" t="s">
        <v>1250</v>
      </c>
      <c r="O3672" s="1007" t="s">
        <v>648</v>
      </c>
      <c r="P3672" s="1007" t="s">
        <v>648</v>
      </c>
      <c r="S3672" s="1008" t="s">
        <v>650</v>
      </c>
      <c r="T3672" s="1008" t="s">
        <v>654</v>
      </c>
      <c r="U3672" s="1008" t="s">
        <v>653</v>
      </c>
      <c r="V3672" s="1008" t="s">
        <v>648</v>
      </c>
      <c r="W3672" s="1008" t="s">
        <v>546</v>
      </c>
      <c r="X3672" s="1008" t="s">
        <v>670</v>
      </c>
      <c r="Y3672" s="1008" t="s">
        <v>670</v>
      </c>
      <c r="Z3672" s="1008" t="s">
        <v>670</v>
      </c>
      <c r="AA3672" s="1008" t="s">
        <v>670</v>
      </c>
      <c r="AB3672" s="1008" t="s">
        <v>670</v>
      </c>
      <c r="AC3672" s="1008" t="s">
        <v>670</v>
      </c>
      <c r="AD3672" s="1008" t="s">
        <v>670</v>
      </c>
      <c r="AE3672" s="1008"/>
      <c r="AF3672" s="1008" t="s">
        <v>670</v>
      </c>
      <c r="AG3672" s="1008"/>
      <c r="AH3672" s="1008"/>
      <c r="AI3672" s="1008"/>
    </row>
    <row r="3673" spans="1:35">
      <c r="A3673" s="1008">
        <v>25505</v>
      </c>
      <c r="B3673" s="1008">
        <v>2437</v>
      </c>
      <c r="C3673" s="1008">
        <v>6</v>
      </c>
      <c r="D3673" s="1009">
        <v>81519999</v>
      </c>
      <c r="E3673" s="1009">
        <v>81513000</v>
      </c>
      <c r="F3673" s="1007" t="s">
        <v>1249</v>
      </c>
      <c r="G3673" s="1007">
        <v>6</v>
      </c>
      <c r="H3673" s="1010">
        <v>99999999</v>
      </c>
      <c r="I3673" s="1009">
        <v>81513000</v>
      </c>
      <c r="J3673" s="1007" t="s">
        <v>1249</v>
      </c>
      <c r="O3673" s="1007" t="s">
        <v>648</v>
      </c>
      <c r="P3673" s="1007" t="s">
        <v>648</v>
      </c>
      <c r="S3673" s="1008" t="s">
        <v>650</v>
      </c>
      <c r="T3673" s="1008" t="s">
        <v>654</v>
      </c>
      <c r="U3673" s="1008" t="s">
        <v>653</v>
      </c>
      <c r="V3673" s="1008" t="s">
        <v>648</v>
      </c>
      <c r="W3673" s="1008" t="s">
        <v>546</v>
      </c>
      <c r="X3673" s="1008" t="s">
        <v>670</v>
      </c>
      <c r="Y3673" s="1008" t="s">
        <v>670</v>
      </c>
      <c r="Z3673" s="1008" t="s">
        <v>670</v>
      </c>
      <c r="AA3673" s="1008" t="s">
        <v>670</v>
      </c>
      <c r="AB3673" s="1008" t="s">
        <v>670</v>
      </c>
      <c r="AC3673" s="1008" t="s">
        <v>670</v>
      </c>
      <c r="AD3673" s="1008" t="s">
        <v>670</v>
      </c>
      <c r="AE3673" s="1008"/>
      <c r="AF3673" s="1008" t="s">
        <v>670</v>
      </c>
      <c r="AG3673" s="1008"/>
      <c r="AH3673" s="1008"/>
      <c r="AI3673" s="1008"/>
    </row>
    <row r="3674" spans="1:35">
      <c r="A3674" s="1008">
        <v>25506</v>
      </c>
      <c r="B3674" s="1008">
        <v>2438</v>
      </c>
      <c r="C3674" s="1008">
        <v>6</v>
      </c>
      <c r="D3674" s="1009">
        <v>81519999</v>
      </c>
      <c r="E3674" s="1009">
        <v>81514000</v>
      </c>
      <c r="F3674" s="1007" t="s">
        <v>1248</v>
      </c>
      <c r="G3674" s="1007">
        <v>6</v>
      </c>
      <c r="H3674" s="1010">
        <v>99999999</v>
      </c>
      <c r="I3674" s="1009">
        <v>81514000</v>
      </c>
      <c r="J3674" s="1007" t="s">
        <v>1248</v>
      </c>
      <c r="O3674" s="1007" t="s">
        <v>648</v>
      </c>
      <c r="P3674" s="1007" t="s">
        <v>648</v>
      </c>
      <c r="S3674" s="1008" t="s">
        <v>650</v>
      </c>
      <c r="T3674" s="1008" t="s">
        <v>654</v>
      </c>
      <c r="U3674" s="1008" t="s">
        <v>653</v>
      </c>
      <c r="V3674" s="1008" t="s">
        <v>648</v>
      </c>
      <c r="W3674" s="1008" t="s">
        <v>546</v>
      </c>
      <c r="X3674" s="1008" t="s">
        <v>670</v>
      </c>
      <c r="Y3674" s="1008" t="s">
        <v>670</v>
      </c>
      <c r="Z3674" s="1008" t="s">
        <v>670</v>
      </c>
      <c r="AA3674" s="1008" t="s">
        <v>670</v>
      </c>
      <c r="AB3674" s="1008" t="s">
        <v>670</v>
      </c>
      <c r="AC3674" s="1008" t="s">
        <v>670</v>
      </c>
      <c r="AD3674" s="1008" t="s">
        <v>670</v>
      </c>
      <c r="AE3674" s="1008"/>
      <c r="AF3674" s="1008" t="s">
        <v>670</v>
      </c>
      <c r="AG3674" s="1008"/>
      <c r="AH3674" s="1008"/>
      <c r="AI3674" s="1008"/>
    </row>
    <row r="3675" spans="1:35">
      <c r="A3675" s="1008">
        <v>25507</v>
      </c>
      <c r="B3675" s="1008">
        <v>5577</v>
      </c>
      <c r="C3675" s="1008">
        <v>6</v>
      </c>
      <c r="D3675" s="1009">
        <v>81519999</v>
      </c>
      <c r="E3675" s="1009">
        <v>81515000</v>
      </c>
      <c r="F3675" s="1007" t="s">
        <v>1247</v>
      </c>
      <c r="G3675" s="1007">
        <v>6</v>
      </c>
      <c r="H3675" s="1010">
        <v>99999999</v>
      </c>
      <c r="I3675" s="1009">
        <v>81515000</v>
      </c>
      <c r="J3675" s="1007" t="s">
        <v>1247</v>
      </c>
      <c r="O3675" s="1007" t="s">
        <v>648</v>
      </c>
      <c r="P3675" s="1007" t="s">
        <v>648</v>
      </c>
      <c r="S3675" s="1008" t="s">
        <v>650</v>
      </c>
      <c r="T3675" s="1008" t="s">
        <v>654</v>
      </c>
      <c r="U3675" s="1008" t="s">
        <v>653</v>
      </c>
      <c r="V3675" s="1008" t="s">
        <v>648</v>
      </c>
      <c r="W3675" s="1008" t="s">
        <v>546</v>
      </c>
      <c r="X3675" s="1008" t="s">
        <v>670</v>
      </c>
      <c r="Y3675" s="1008" t="s">
        <v>670</v>
      </c>
      <c r="Z3675" s="1008" t="s">
        <v>670</v>
      </c>
      <c r="AA3675" s="1008" t="s">
        <v>670</v>
      </c>
      <c r="AB3675" s="1008" t="s">
        <v>670</v>
      </c>
      <c r="AC3675" s="1008" t="s">
        <v>670</v>
      </c>
      <c r="AD3675" s="1008" t="s">
        <v>670</v>
      </c>
      <c r="AE3675" s="1008"/>
      <c r="AF3675" s="1008" t="s">
        <v>670</v>
      </c>
      <c r="AG3675" s="1008"/>
      <c r="AH3675" s="1008"/>
      <c r="AI3675" s="1008"/>
    </row>
    <row r="3676" spans="1:35">
      <c r="A3676" s="1008">
        <v>26614</v>
      </c>
      <c r="B3676" s="1008">
        <v>5874</v>
      </c>
      <c r="C3676" s="1008">
        <v>6</v>
      </c>
      <c r="D3676" s="1009">
        <v>81519999</v>
      </c>
      <c r="E3676" s="1009">
        <v>81516000</v>
      </c>
      <c r="F3676" s="1007" t="s">
        <v>1246</v>
      </c>
      <c r="G3676" s="1007" t="s">
        <v>648</v>
      </c>
      <c r="H3676" s="1010">
        <v>99999999</v>
      </c>
      <c r="I3676" s="1009">
        <v>81516000</v>
      </c>
      <c r="J3676" s="1007" t="s">
        <v>1246</v>
      </c>
      <c r="O3676" s="1007" t="s">
        <v>648</v>
      </c>
      <c r="P3676" s="1007" t="s">
        <v>648</v>
      </c>
      <c r="S3676" s="1008" t="s">
        <v>650</v>
      </c>
      <c r="T3676" s="1008" t="s">
        <v>654</v>
      </c>
      <c r="U3676" s="1008" t="s">
        <v>653</v>
      </c>
      <c r="V3676" s="1008" t="s">
        <v>648</v>
      </c>
      <c r="W3676" s="1008" t="s">
        <v>546</v>
      </c>
      <c r="X3676" s="1008" t="s">
        <v>670</v>
      </c>
      <c r="Y3676" s="1008" t="s">
        <v>670</v>
      </c>
      <c r="Z3676" s="1008" t="s">
        <v>670</v>
      </c>
      <c r="AA3676" s="1008" t="s">
        <v>670</v>
      </c>
      <c r="AB3676" s="1008" t="s">
        <v>670</v>
      </c>
      <c r="AC3676" s="1008" t="s">
        <v>670</v>
      </c>
      <c r="AD3676" s="1008" t="s">
        <v>670</v>
      </c>
      <c r="AE3676" s="1008"/>
      <c r="AF3676" s="1008" t="s">
        <v>670</v>
      </c>
      <c r="AG3676" s="1008"/>
      <c r="AH3676" s="1008"/>
      <c r="AI3676" s="1008"/>
    </row>
    <row r="3677" spans="1:35">
      <c r="A3677" s="1008">
        <v>26615</v>
      </c>
      <c r="B3677" s="1008">
        <v>5875</v>
      </c>
      <c r="C3677" s="1008">
        <v>6</v>
      </c>
      <c r="D3677" s="1009">
        <v>81519999</v>
      </c>
      <c r="E3677" s="1009">
        <v>81517000</v>
      </c>
      <c r="F3677" s="1007" t="s">
        <v>1245</v>
      </c>
      <c r="G3677" s="1007" t="s">
        <v>648</v>
      </c>
      <c r="H3677" s="1010">
        <v>99999999</v>
      </c>
      <c r="I3677" s="1009">
        <v>81517000</v>
      </c>
      <c r="J3677" s="1007" t="s">
        <v>1245</v>
      </c>
      <c r="O3677" s="1007" t="s">
        <v>648</v>
      </c>
      <c r="P3677" s="1007" t="s">
        <v>648</v>
      </c>
      <c r="S3677" s="1008" t="s">
        <v>650</v>
      </c>
      <c r="T3677" s="1008" t="s">
        <v>654</v>
      </c>
      <c r="U3677" s="1008" t="s">
        <v>653</v>
      </c>
      <c r="V3677" s="1008" t="s">
        <v>648</v>
      </c>
      <c r="W3677" s="1008" t="s">
        <v>546</v>
      </c>
      <c r="X3677" s="1008" t="s">
        <v>670</v>
      </c>
      <c r="Y3677" s="1008" t="s">
        <v>670</v>
      </c>
      <c r="Z3677" s="1008" t="s">
        <v>670</v>
      </c>
      <c r="AA3677" s="1008" t="s">
        <v>670</v>
      </c>
      <c r="AB3677" s="1008" t="s">
        <v>670</v>
      </c>
      <c r="AC3677" s="1008" t="s">
        <v>670</v>
      </c>
      <c r="AD3677" s="1008" t="s">
        <v>670</v>
      </c>
      <c r="AE3677" s="1008"/>
      <c r="AF3677" s="1008" t="s">
        <v>670</v>
      </c>
      <c r="AG3677" s="1008"/>
      <c r="AH3677" s="1008"/>
      <c r="AI3677" s="1008"/>
    </row>
    <row r="3678" spans="1:35">
      <c r="A3678" s="1008">
        <v>25508</v>
      </c>
      <c r="C3678" s="1008">
        <v>5</v>
      </c>
      <c r="D3678" s="1009">
        <v>81599999</v>
      </c>
      <c r="E3678" s="1009">
        <v>81519999</v>
      </c>
      <c r="F3678" s="1007" t="s">
        <v>1244</v>
      </c>
      <c r="O3678" s="1007" t="s">
        <v>648</v>
      </c>
      <c r="P3678" s="1007" t="s">
        <v>648</v>
      </c>
      <c r="S3678" s="1008" t="s">
        <v>650</v>
      </c>
      <c r="T3678" s="1008" t="s">
        <v>21</v>
      </c>
      <c r="U3678" s="1008" t="s">
        <v>653</v>
      </c>
      <c r="V3678" s="1008" t="s">
        <v>648</v>
      </c>
      <c r="W3678" s="1008" t="s">
        <v>546</v>
      </c>
      <c r="X3678" s="1008"/>
      <c r="Y3678" s="1008"/>
      <c r="Z3678" s="1008"/>
      <c r="AA3678" s="1008"/>
      <c r="AB3678" s="1008"/>
      <c r="AC3678" s="1008"/>
      <c r="AD3678" s="1008"/>
      <c r="AE3678" s="1008"/>
      <c r="AF3678" s="1008"/>
      <c r="AG3678" s="1008"/>
      <c r="AH3678" s="1008"/>
      <c r="AI3678" s="1008"/>
    </row>
    <row r="3679" spans="1:35">
      <c r="A3679" s="1008">
        <v>25509</v>
      </c>
      <c r="C3679" s="1008">
        <v>5</v>
      </c>
      <c r="D3679" s="1009">
        <v>81529999</v>
      </c>
      <c r="E3679" s="1009">
        <v>81520000</v>
      </c>
      <c r="F3679" s="1007" t="s">
        <v>1243</v>
      </c>
      <c r="O3679" s="1007" t="s">
        <v>648</v>
      </c>
      <c r="P3679" s="1007" t="s">
        <v>648</v>
      </c>
      <c r="S3679" s="1008" t="s">
        <v>650</v>
      </c>
      <c r="T3679" s="1008" t="s">
        <v>675</v>
      </c>
      <c r="U3679" s="1008" t="s">
        <v>653</v>
      </c>
      <c r="V3679" s="1008" t="s">
        <v>648</v>
      </c>
      <c r="W3679" s="1008" t="s">
        <v>546</v>
      </c>
      <c r="X3679" s="1008"/>
      <c r="Y3679" s="1008"/>
      <c r="Z3679" s="1008"/>
      <c r="AA3679" s="1008"/>
      <c r="AB3679" s="1008"/>
      <c r="AC3679" s="1008"/>
      <c r="AD3679" s="1008"/>
      <c r="AE3679" s="1008"/>
      <c r="AF3679" s="1008"/>
      <c r="AG3679" s="1008"/>
      <c r="AH3679" s="1008"/>
      <c r="AI3679" s="1008"/>
    </row>
    <row r="3680" spans="1:35">
      <c r="A3680" s="1008">
        <v>25510</v>
      </c>
      <c r="B3680" s="1008">
        <v>519</v>
      </c>
      <c r="C3680" s="1008">
        <v>6</v>
      </c>
      <c r="D3680" s="1009">
        <v>81529999</v>
      </c>
      <c r="E3680" s="1009">
        <v>81521000</v>
      </c>
      <c r="F3680" s="1007" t="s">
        <v>1242</v>
      </c>
      <c r="G3680" s="1007">
        <v>8</v>
      </c>
      <c r="H3680" s="1010">
        <v>99999999</v>
      </c>
      <c r="I3680" s="1009">
        <v>81521000</v>
      </c>
      <c r="J3680" s="1007" t="s">
        <v>1242</v>
      </c>
      <c r="O3680" s="1007" t="s">
        <v>648</v>
      </c>
      <c r="P3680" s="1007" t="s">
        <v>648</v>
      </c>
      <c r="S3680" s="1008" t="s">
        <v>650</v>
      </c>
      <c r="T3680" s="1008" t="s">
        <v>654</v>
      </c>
      <c r="U3680" s="1008" t="s">
        <v>653</v>
      </c>
      <c r="V3680" s="1008" t="s">
        <v>648</v>
      </c>
      <c r="W3680" s="1008" t="s">
        <v>546</v>
      </c>
      <c r="X3680" s="1008" t="s">
        <v>670</v>
      </c>
      <c r="Y3680" s="1008" t="s">
        <v>670</v>
      </c>
      <c r="Z3680" s="1008" t="s">
        <v>670</v>
      </c>
      <c r="AA3680" s="1008" t="s">
        <v>670</v>
      </c>
      <c r="AB3680" s="1008" t="s">
        <v>670</v>
      </c>
      <c r="AC3680" s="1008" t="s">
        <v>670</v>
      </c>
      <c r="AD3680" s="1008" t="s">
        <v>670</v>
      </c>
      <c r="AE3680" s="1008"/>
      <c r="AF3680" s="1008" t="s">
        <v>670</v>
      </c>
      <c r="AG3680" s="1008"/>
      <c r="AH3680" s="1008"/>
      <c r="AI3680" s="1008"/>
    </row>
    <row r="3681" spans="1:35">
      <c r="A3681" s="1008">
        <v>25511</v>
      </c>
      <c r="B3681" s="1008">
        <v>5579</v>
      </c>
      <c r="C3681" s="1008">
        <v>6</v>
      </c>
      <c r="D3681" s="1009">
        <v>81529999</v>
      </c>
      <c r="E3681" s="1009">
        <v>81522000</v>
      </c>
      <c r="F3681" s="1007" t="s">
        <v>1241</v>
      </c>
      <c r="G3681" s="1007">
        <v>6</v>
      </c>
      <c r="H3681" s="1010">
        <v>99999999</v>
      </c>
      <c r="I3681" s="1009">
        <v>81522000</v>
      </c>
      <c r="J3681" s="1007" t="s">
        <v>1241</v>
      </c>
      <c r="O3681" s="1007" t="s">
        <v>648</v>
      </c>
      <c r="P3681" s="1007" t="s">
        <v>648</v>
      </c>
      <c r="S3681" s="1008" t="s">
        <v>650</v>
      </c>
      <c r="T3681" s="1008" t="s">
        <v>654</v>
      </c>
      <c r="U3681" s="1008" t="s">
        <v>653</v>
      </c>
      <c r="V3681" s="1008" t="s">
        <v>648</v>
      </c>
      <c r="W3681" s="1008" t="s">
        <v>546</v>
      </c>
      <c r="X3681" s="1008" t="s">
        <v>670</v>
      </c>
      <c r="Y3681" s="1008" t="s">
        <v>670</v>
      </c>
      <c r="Z3681" s="1008" t="s">
        <v>670</v>
      </c>
      <c r="AA3681" s="1008" t="s">
        <v>670</v>
      </c>
      <c r="AB3681" s="1008" t="s">
        <v>670</v>
      </c>
      <c r="AC3681" s="1008" t="s">
        <v>670</v>
      </c>
      <c r="AD3681" s="1008" t="s">
        <v>670</v>
      </c>
      <c r="AE3681" s="1008"/>
      <c r="AF3681" s="1008" t="s">
        <v>670</v>
      </c>
      <c r="AG3681" s="1008"/>
      <c r="AH3681" s="1008"/>
      <c r="AI3681" s="1008"/>
    </row>
    <row r="3682" spans="1:35">
      <c r="A3682" s="1008">
        <v>25512</v>
      </c>
      <c r="C3682" s="1008">
        <v>5</v>
      </c>
      <c r="D3682" s="1009">
        <v>81599999</v>
      </c>
      <c r="E3682" s="1009">
        <v>81529999</v>
      </c>
      <c r="F3682" s="1007" t="s">
        <v>1240</v>
      </c>
      <c r="O3682" s="1007" t="s">
        <v>648</v>
      </c>
      <c r="P3682" s="1007" t="s">
        <v>648</v>
      </c>
      <c r="S3682" s="1008" t="s">
        <v>650</v>
      </c>
      <c r="T3682" s="1008" t="s">
        <v>21</v>
      </c>
      <c r="U3682" s="1008" t="s">
        <v>653</v>
      </c>
      <c r="V3682" s="1008" t="s">
        <v>648</v>
      </c>
      <c r="W3682" s="1008" t="s">
        <v>546</v>
      </c>
      <c r="X3682" s="1008"/>
      <c r="Y3682" s="1008"/>
      <c r="Z3682" s="1008"/>
      <c r="AA3682" s="1008"/>
      <c r="AB3682" s="1008"/>
      <c r="AC3682" s="1008"/>
      <c r="AD3682" s="1008"/>
      <c r="AE3682" s="1008"/>
      <c r="AF3682" s="1008"/>
      <c r="AG3682" s="1008"/>
      <c r="AH3682" s="1008"/>
      <c r="AI3682" s="1008"/>
    </row>
    <row r="3683" spans="1:35">
      <c r="A3683" s="1008">
        <v>25513</v>
      </c>
      <c r="C3683" s="1008">
        <v>5</v>
      </c>
      <c r="D3683" s="1009">
        <v>81539999</v>
      </c>
      <c r="E3683" s="1009">
        <v>81530000</v>
      </c>
      <c r="F3683" s="1007" t="s">
        <v>1239</v>
      </c>
      <c r="O3683" s="1007" t="s">
        <v>648</v>
      </c>
      <c r="P3683" s="1007" t="s">
        <v>648</v>
      </c>
      <c r="S3683" s="1008" t="s">
        <v>650</v>
      </c>
      <c r="T3683" s="1008" t="s">
        <v>675</v>
      </c>
      <c r="U3683" s="1008" t="s">
        <v>653</v>
      </c>
      <c r="V3683" s="1008" t="s">
        <v>648</v>
      </c>
      <c r="W3683" s="1008" t="s">
        <v>546</v>
      </c>
      <c r="X3683" s="1008"/>
      <c r="Y3683" s="1008"/>
      <c r="Z3683" s="1008"/>
      <c r="AA3683" s="1008"/>
      <c r="AB3683" s="1008"/>
      <c r="AC3683" s="1008"/>
      <c r="AD3683" s="1008"/>
      <c r="AE3683" s="1008"/>
      <c r="AF3683" s="1008"/>
      <c r="AG3683" s="1008"/>
      <c r="AH3683" s="1008"/>
      <c r="AI3683" s="1008"/>
    </row>
    <row r="3684" spans="1:35">
      <c r="A3684" s="1008">
        <v>25514</v>
      </c>
      <c r="B3684" s="1008">
        <v>516</v>
      </c>
      <c r="C3684" s="1008">
        <v>6</v>
      </c>
      <c r="D3684" s="1009">
        <v>81539999</v>
      </c>
      <c r="E3684" s="1009">
        <v>81531000</v>
      </c>
      <c r="F3684" s="1007" t="s">
        <v>1238</v>
      </c>
      <c r="G3684" s="1007">
        <v>8</v>
      </c>
      <c r="H3684" s="1010">
        <v>99999999</v>
      </c>
      <c r="I3684" s="1009">
        <v>81531000</v>
      </c>
      <c r="J3684" s="1007" t="s">
        <v>1238</v>
      </c>
      <c r="O3684" s="1007" t="s">
        <v>648</v>
      </c>
      <c r="P3684" s="1007" t="s">
        <v>648</v>
      </c>
      <c r="S3684" s="1008" t="s">
        <v>650</v>
      </c>
      <c r="T3684" s="1008" t="s">
        <v>654</v>
      </c>
      <c r="U3684" s="1008" t="s">
        <v>653</v>
      </c>
      <c r="V3684" s="1008" t="s">
        <v>648</v>
      </c>
      <c r="W3684" s="1008" t="s">
        <v>546</v>
      </c>
      <c r="X3684" s="1008" t="s">
        <v>670</v>
      </c>
      <c r="Y3684" s="1008" t="s">
        <v>670</v>
      </c>
      <c r="Z3684" s="1008" t="s">
        <v>670</v>
      </c>
      <c r="AA3684" s="1008" t="s">
        <v>670</v>
      </c>
      <c r="AB3684" s="1008" t="s">
        <v>670</v>
      </c>
      <c r="AC3684" s="1008" t="s">
        <v>670</v>
      </c>
      <c r="AD3684" s="1008" t="s">
        <v>670</v>
      </c>
      <c r="AE3684" s="1008"/>
      <c r="AF3684" s="1008" t="s">
        <v>670</v>
      </c>
      <c r="AG3684" s="1008"/>
      <c r="AH3684" s="1008"/>
      <c r="AI3684" s="1008"/>
    </row>
    <row r="3685" spans="1:35">
      <c r="A3685" s="1008">
        <v>25515</v>
      </c>
      <c r="B3685" s="1008">
        <v>2443</v>
      </c>
      <c r="C3685" s="1008">
        <v>6</v>
      </c>
      <c r="D3685" s="1009">
        <v>81539999</v>
      </c>
      <c r="E3685" s="1009">
        <v>81532000</v>
      </c>
      <c r="F3685" s="1007" t="s">
        <v>1237</v>
      </c>
      <c r="G3685" s="1007">
        <v>6</v>
      </c>
      <c r="H3685" s="1010">
        <v>99999999</v>
      </c>
      <c r="I3685" s="1009">
        <v>81532000</v>
      </c>
      <c r="J3685" s="1007" t="s">
        <v>1237</v>
      </c>
      <c r="O3685" s="1007" t="s">
        <v>648</v>
      </c>
      <c r="P3685" s="1007" t="s">
        <v>648</v>
      </c>
      <c r="S3685" s="1008" t="s">
        <v>650</v>
      </c>
      <c r="T3685" s="1008" t="s">
        <v>654</v>
      </c>
      <c r="U3685" s="1008" t="s">
        <v>653</v>
      </c>
      <c r="V3685" s="1008" t="s">
        <v>648</v>
      </c>
      <c r="W3685" s="1008" t="s">
        <v>546</v>
      </c>
      <c r="X3685" s="1008" t="s">
        <v>670</v>
      </c>
      <c r="Y3685" s="1008" t="s">
        <v>670</v>
      </c>
      <c r="Z3685" s="1008" t="s">
        <v>670</v>
      </c>
      <c r="AA3685" s="1008" t="s">
        <v>670</v>
      </c>
      <c r="AB3685" s="1008" t="s">
        <v>670</v>
      </c>
      <c r="AC3685" s="1008" t="s">
        <v>670</v>
      </c>
      <c r="AD3685" s="1008" t="s">
        <v>670</v>
      </c>
      <c r="AE3685" s="1008"/>
      <c r="AF3685" s="1008" t="s">
        <v>670</v>
      </c>
      <c r="AG3685" s="1008"/>
      <c r="AH3685" s="1008"/>
      <c r="AI3685" s="1008"/>
    </row>
    <row r="3686" spans="1:35">
      <c r="A3686" s="1008">
        <v>25516</v>
      </c>
      <c r="B3686" s="1008">
        <v>2444</v>
      </c>
      <c r="C3686" s="1008">
        <v>6</v>
      </c>
      <c r="D3686" s="1009">
        <v>81539999</v>
      </c>
      <c r="E3686" s="1009">
        <v>81533000</v>
      </c>
      <c r="F3686" s="1007" t="s">
        <v>1236</v>
      </c>
      <c r="G3686" s="1007">
        <v>6</v>
      </c>
      <c r="H3686" s="1010">
        <v>99999999</v>
      </c>
      <c r="I3686" s="1009">
        <v>81533000</v>
      </c>
      <c r="J3686" s="1007" t="s">
        <v>1236</v>
      </c>
      <c r="O3686" s="1007" t="s">
        <v>648</v>
      </c>
      <c r="P3686" s="1007" t="s">
        <v>648</v>
      </c>
      <c r="S3686" s="1008" t="s">
        <v>650</v>
      </c>
      <c r="T3686" s="1008" t="s">
        <v>654</v>
      </c>
      <c r="U3686" s="1008" t="s">
        <v>653</v>
      </c>
      <c r="V3686" s="1008" t="s">
        <v>648</v>
      </c>
      <c r="W3686" s="1008" t="s">
        <v>546</v>
      </c>
      <c r="X3686" s="1008" t="s">
        <v>670</v>
      </c>
      <c r="Y3686" s="1008" t="s">
        <v>670</v>
      </c>
      <c r="Z3686" s="1008" t="s">
        <v>670</v>
      </c>
      <c r="AA3686" s="1008" t="s">
        <v>670</v>
      </c>
      <c r="AB3686" s="1008" t="s">
        <v>670</v>
      </c>
      <c r="AC3686" s="1008" t="s">
        <v>670</v>
      </c>
      <c r="AD3686" s="1008" t="s">
        <v>670</v>
      </c>
      <c r="AE3686" s="1008"/>
      <c r="AF3686" s="1008" t="s">
        <v>670</v>
      </c>
      <c r="AG3686" s="1008"/>
      <c r="AH3686" s="1008"/>
      <c r="AI3686" s="1008"/>
    </row>
    <row r="3687" spans="1:35">
      <c r="A3687" s="1008">
        <v>25517</v>
      </c>
      <c r="B3687" s="1008">
        <v>2445</v>
      </c>
      <c r="C3687" s="1008">
        <v>6</v>
      </c>
      <c r="D3687" s="1009">
        <v>81539999</v>
      </c>
      <c r="E3687" s="1009">
        <v>81534000</v>
      </c>
      <c r="F3687" s="1007" t="s">
        <v>1235</v>
      </c>
      <c r="G3687" s="1007">
        <v>6</v>
      </c>
      <c r="H3687" s="1010">
        <v>99999999</v>
      </c>
      <c r="I3687" s="1009">
        <v>81534000</v>
      </c>
      <c r="J3687" s="1007" t="s">
        <v>1235</v>
      </c>
      <c r="O3687" s="1007" t="s">
        <v>648</v>
      </c>
      <c r="P3687" s="1007" t="s">
        <v>648</v>
      </c>
      <c r="S3687" s="1008" t="s">
        <v>650</v>
      </c>
      <c r="T3687" s="1008" t="s">
        <v>654</v>
      </c>
      <c r="U3687" s="1008" t="s">
        <v>653</v>
      </c>
      <c r="V3687" s="1008" t="s">
        <v>648</v>
      </c>
      <c r="W3687" s="1008" t="s">
        <v>546</v>
      </c>
      <c r="X3687" s="1008" t="s">
        <v>670</v>
      </c>
      <c r="Y3687" s="1008" t="s">
        <v>670</v>
      </c>
      <c r="Z3687" s="1008" t="s">
        <v>670</v>
      </c>
      <c r="AA3687" s="1008" t="s">
        <v>670</v>
      </c>
      <c r="AB3687" s="1008" t="s">
        <v>670</v>
      </c>
      <c r="AC3687" s="1008" t="s">
        <v>670</v>
      </c>
      <c r="AD3687" s="1008" t="s">
        <v>670</v>
      </c>
      <c r="AE3687" s="1008"/>
      <c r="AF3687" s="1008" t="s">
        <v>670</v>
      </c>
      <c r="AG3687" s="1008"/>
      <c r="AH3687" s="1008"/>
      <c r="AI3687" s="1008"/>
    </row>
    <row r="3688" spans="1:35">
      <c r="A3688" s="1008">
        <v>25518</v>
      </c>
      <c r="B3688" s="1008">
        <v>5581</v>
      </c>
      <c r="C3688" s="1008">
        <v>6</v>
      </c>
      <c r="D3688" s="1009">
        <v>81539999</v>
      </c>
      <c r="E3688" s="1009">
        <v>81535000</v>
      </c>
      <c r="F3688" s="1007" t="s">
        <v>1234</v>
      </c>
      <c r="G3688" s="1007">
        <v>6</v>
      </c>
      <c r="H3688" s="1010">
        <v>99999999</v>
      </c>
      <c r="I3688" s="1009">
        <v>81535000</v>
      </c>
      <c r="J3688" s="1007" t="s">
        <v>1234</v>
      </c>
      <c r="O3688" s="1007" t="s">
        <v>648</v>
      </c>
      <c r="P3688" s="1007" t="s">
        <v>648</v>
      </c>
      <c r="S3688" s="1008" t="s">
        <v>650</v>
      </c>
      <c r="T3688" s="1008" t="s">
        <v>654</v>
      </c>
      <c r="U3688" s="1008" t="s">
        <v>653</v>
      </c>
      <c r="V3688" s="1008" t="s">
        <v>648</v>
      </c>
      <c r="W3688" s="1008" t="s">
        <v>546</v>
      </c>
      <c r="X3688" s="1008" t="s">
        <v>670</v>
      </c>
      <c r="Y3688" s="1008" t="s">
        <v>670</v>
      </c>
      <c r="Z3688" s="1008" t="s">
        <v>670</v>
      </c>
      <c r="AA3688" s="1008" t="s">
        <v>670</v>
      </c>
      <c r="AB3688" s="1008" t="s">
        <v>670</v>
      </c>
      <c r="AC3688" s="1008" t="s">
        <v>670</v>
      </c>
      <c r="AD3688" s="1008" t="s">
        <v>670</v>
      </c>
      <c r="AE3688" s="1008"/>
      <c r="AF3688" s="1008" t="s">
        <v>670</v>
      </c>
      <c r="AG3688" s="1008"/>
      <c r="AH3688" s="1008"/>
      <c r="AI3688" s="1008"/>
    </row>
    <row r="3689" spans="1:35">
      <c r="A3689" s="1008">
        <v>25520</v>
      </c>
      <c r="C3689" s="1008">
        <v>5</v>
      </c>
      <c r="D3689" s="1009">
        <v>81599999</v>
      </c>
      <c r="E3689" s="1009">
        <v>81539999</v>
      </c>
      <c r="F3689" s="1007" t="s">
        <v>1233</v>
      </c>
      <c r="O3689" s="1007" t="s">
        <v>648</v>
      </c>
      <c r="P3689" s="1007" t="s">
        <v>648</v>
      </c>
      <c r="S3689" s="1008" t="s">
        <v>650</v>
      </c>
      <c r="T3689" s="1008" t="s">
        <v>21</v>
      </c>
      <c r="U3689" s="1008" t="s">
        <v>653</v>
      </c>
      <c r="V3689" s="1008" t="s">
        <v>648</v>
      </c>
      <c r="W3689" s="1008" t="s">
        <v>546</v>
      </c>
      <c r="X3689" s="1008"/>
      <c r="Y3689" s="1008"/>
      <c r="Z3689" s="1008"/>
      <c r="AA3689" s="1008"/>
      <c r="AB3689" s="1008"/>
      <c r="AC3689" s="1008"/>
      <c r="AD3689" s="1008"/>
      <c r="AE3689" s="1008"/>
      <c r="AF3689" s="1008"/>
      <c r="AG3689" s="1008"/>
      <c r="AH3689" s="1008"/>
      <c r="AI3689" s="1008"/>
    </row>
    <row r="3690" spans="1:35">
      <c r="A3690" s="1008">
        <v>25521</v>
      </c>
      <c r="C3690" s="1008">
        <v>5</v>
      </c>
      <c r="D3690" s="1009">
        <v>81549999</v>
      </c>
      <c r="E3690" s="1009">
        <v>81540000</v>
      </c>
      <c r="F3690" s="1007" t="s">
        <v>1232</v>
      </c>
      <c r="O3690" s="1007" t="s">
        <v>648</v>
      </c>
      <c r="P3690" s="1007" t="s">
        <v>648</v>
      </c>
      <c r="S3690" s="1008" t="s">
        <v>650</v>
      </c>
      <c r="T3690" s="1008" t="s">
        <v>675</v>
      </c>
      <c r="U3690" s="1008" t="s">
        <v>653</v>
      </c>
      <c r="V3690" s="1008" t="s">
        <v>648</v>
      </c>
      <c r="W3690" s="1008" t="s">
        <v>546</v>
      </c>
      <c r="X3690" s="1008"/>
      <c r="Y3690" s="1008"/>
      <c r="Z3690" s="1008"/>
      <c r="AA3690" s="1008"/>
      <c r="AB3690" s="1008"/>
      <c r="AC3690" s="1008"/>
      <c r="AD3690" s="1008"/>
      <c r="AE3690" s="1008"/>
      <c r="AF3690" s="1008"/>
      <c r="AG3690" s="1008"/>
      <c r="AH3690" s="1008"/>
      <c r="AI3690" s="1008"/>
    </row>
    <row r="3691" spans="1:35">
      <c r="A3691" s="1008">
        <v>25522</v>
      </c>
      <c r="B3691" s="1008">
        <v>2447</v>
      </c>
      <c r="C3691" s="1008">
        <v>6</v>
      </c>
      <c r="D3691" s="1009">
        <v>81549999</v>
      </c>
      <c r="E3691" s="1009">
        <v>81541000</v>
      </c>
      <c r="F3691" s="1007" t="s">
        <v>1231</v>
      </c>
      <c r="G3691" s="1007">
        <v>6</v>
      </c>
      <c r="H3691" s="1010">
        <v>99999999</v>
      </c>
      <c r="I3691" s="1009">
        <v>81541000</v>
      </c>
      <c r="J3691" s="1007" t="s">
        <v>1231</v>
      </c>
      <c r="O3691" s="1007" t="s">
        <v>648</v>
      </c>
      <c r="P3691" s="1007" t="s">
        <v>648</v>
      </c>
      <c r="S3691" s="1008" t="s">
        <v>650</v>
      </c>
      <c r="T3691" s="1008" t="s">
        <v>654</v>
      </c>
      <c r="U3691" s="1008" t="s">
        <v>653</v>
      </c>
      <c r="V3691" s="1008" t="s">
        <v>648</v>
      </c>
      <c r="W3691" s="1008" t="s">
        <v>546</v>
      </c>
      <c r="X3691" s="1008" t="s">
        <v>670</v>
      </c>
      <c r="Y3691" s="1008" t="s">
        <v>670</v>
      </c>
      <c r="Z3691" s="1008" t="s">
        <v>670</v>
      </c>
      <c r="AA3691" s="1008" t="s">
        <v>670</v>
      </c>
      <c r="AB3691" s="1008" t="s">
        <v>670</v>
      </c>
      <c r="AC3691" s="1008" t="s">
        <v>670</v>
      </c>
      <c r="AD3691" s="1008" t="s">
        <v>670</v>
      </c>
      <c r="AE3691" s="1008"/>
      <c r="AF3691" s="1008" t="s">
        <v>670</v>
      </c>
      <c r="AG3691" s="1008"/>
      <c r="AH3691" s="1008"/>
      <c r="AI3691" s="1008"/>
    </row>
    <row r="3692" spans="1:35">
      <c r="A3692" s="1008">
        <v>25523</v>
      </c>
      <c r="B3692" s="1008">
        <v>2448</v>
      </c>
      <c r="C3692" s="1008">
        <v>6</v>
      </c>
      <c r="D3692" s="1009">
        <v>81549999</v>
      </c>
      <c r="E3692" s="1009">
        <v>81542000</v>
      </c>
      <c r="F3692" s="1007" t="s">
        <v>1230</v>
      </c>
      <c r="G3692" s="1007">
        <v>6</v>
      </c>
      <c r="H3692" s="1010">
        <v>99999999</v>
      </c>
      <c r="I3692" s="1009">
        <v>81542000</v>
      </c>
      <c r="J3692" s="1007" t="s">
        <v>1230</v>
      </c>
      <c r="O3692" s="1007" t="s">
        <v>648</v>
      </c>
      <c r="P3692" s="1007" t="s">
        <v>648</v>
      </c>
      <c r="S3692" s="1008" t="s">
        <v>650</v>
      </c>
      <c r="T3692" s="1008" t="s">
        <v>654</v>
      </c>
      <c r="U3692" s="1008" t="s">
        <v>653</v>
      </c>
      <c r="V3692" s="1008" t="s">
        <v>648</v>
      </c>
      <c r="W3692" s="1008" t="s">
        <v>546</v>
      </c>
      <c r="X3692" s="1008" t="s">
        <v>670</v>
      </c>
      <c r="Y3692" s="1008" t="s">
        <v>670</v>
      </c>
      <c r="Z3692" s="1008" t="s">
        <v>670</v>
      </c>
      <c r="AA3692" s="1008" t="s">
        <v>670</v>
      </c>
      <c r="AB3692" s="1008" t="s">
        <v>670</v>
      </c>
      <c r="AC3692" s="1008" t="s">
        <v>670</v>
      </c>
      <c r="AD3692" s="1008" t="s">
        <v>670</v>
      </c>
      <c r="AE3692" s="1008"/>
      <c r="AF3692" s="1008" t="s">
        <v>670</v>
      </c>
      <c r="AG3692" s="1008"/>
      <c r="AH3692" s="1008"/>
      <c r="AI3692" s="1008"/>
    </row>
    <row r="3693" spans="1:35">
      <c r="A3693" s="1008">
        <v>25524</v>
      </c>
      <c r="B3693" s="1008">
        <v>2449</v>
      </c>
      <c r="C3693" s="1008">
        <v>6</v>
      </c>
      <c r="D3693" s="1009">
        <v>81549999</v>
      </c>
      <c r="E3693" s="1009">
        <v>81543000</v>
      </c>
      <c r="F3693" s="1007" t="s">
        <v>1229</v>
      </c>
      <c r="G3693" s="1007">
        <v>6</v>
      </c>
      <c r="H3693" s="1010">
        <v>99999999</v>
      </c>
      <c r="I3693" s="1009">
        <v>81543000</v>
      </c>
      <c r="J3693" s="1007" t="s">
        <v>1229</v>
      </c>
      <c r="O3693" s="1007" t="s">
        <v>648</v>
      </c>
      <c r="P3693" s="1007" t="s">
        <v>648</v>
      </c>
      <c r="S3693" s="1008" t="s">
        <v>650</v>
      </c>
      <c r="T3693" s="1008" t="s">
        <v>654</v>
      </c>
      <c r="U3693" s="1008" t="s">
        <v>653</v>
      </c>
      <c r="V3693" s="1008" t="s">
        <v>648</v>
      </c>
      <c r="W3693" s="1008" t="s">
        <v>546</v>
      </c>
      <c r="X3693" s="1008" t="s">
        <v>670</v>
      </c>
      <c r="Y3693" s="1008" t="s">
        <v>670</v>
      </c>
      <c r="Z3693" s="1008" t="s">
        <v>670</v>
      </c>
      <c r="AA3693" s="1008" t="s">
        <v>670</v>
      </c>
      <c r="AB3693" s="1008" t="s">
        <v>670</v>
      </c>
      <c r="AC3693" s="1008" t="s">
        <v>670</v>
      </c>
      <c r="AD3693" s="1008" t="s">
        <v>670</v>
      </c>
      <c r="AE3693" s="1008"/>
      <c r="AF3693" s="1008" t="s">
        <v>670</v>
      </c>
      <c r="AG3693" s="1008"/>
      <c r="AH3693" s="1008"/>
      <c r="AI3693" s="1008"/>
    </row>
    <row r="3694" spans="1:35">
      <c r="A3694" s="1008">
        <v>25525</v>
      </c>
      <c r="B3694" s="1008">
        <v>527</v>
      </c>
      <c r="C3694" s="1008">
        <v>6</v>
      </c>
      <c r="D3694" s="1009">
        <v>81549999</v>
      </c>
      <c r="E3694" s="1009">
        <v>81544000</v>
      </c>
      <c r="F3694" s="1007" t="s">
        <v>1228</v>
      </c>
      <c r="G3694" s="1007">
        <v>8</v>
      </c>
      <c r="H3694" s="1010">
        <v>99999999</v>
      </c>
      <c r="I3694" s="1009">
        <v>81544000</v>
      </c>
      <c r="J3694" s="1007" t="s">
        <v>1228</v>
      </c>
      <c r="O3694" s="1007" t="s">
        <v>648</v>
      </c>
      <c r="P3694" s="1007" t="s">
        <v>648</v>
      </c>
      <c r="S3694" s="1008" t="s">
        <v>650</v>
      </c>
      <c r="T3694" s="1008" t="s">
        <v>654</v>
      </c>
      <c r="U3694" s="1008" t="s">
        <v>653</v>
      </c>
      <c r="V3694" s="1008" t="s">
        <v>648</v>
      </c>
      <c r="W3694" s="1008" t="s">
        <v>546</v>
      </c>
      <c r="X3694" s="1008" t="s">
        <v>670</v>
      </c>
      <c r="Y3694" s="1008" t="s">
        <v>670</v>
      </c>
      <c r="Z3694" s="1008" t="s">
        <v>670</v>
      </c>
      <c r="AA3694" s="1008" t="s">
        <v>670</v>
      </c>
      <c r="AB3694" s="1008" t="s">
        <v>670</v>
      </c>
      <c r="AC3694" s="1008" t="s">
        <v>670</v>
      </c>
      <c r="AD3694" s="1008" t="s">
        <v>670</v>
      </c>
      <c r="AE3694" s="1008"/>
      <c r="AF3694" s="1008" t="s">
        <v>670</v>
      </c>
      <c r="AG3694" s="1008"/>
      <c r="AH3694" s="1008"/>
      <c r="AI3694" s="1008"/>
    </row>
    <row r="3695" spans="1:35">
      <c r="A3695" s="1008">
        <v>25526</v>
      </c>
      <c r="C3695" s="1008">
        <v>5</v>
      </c>
      <c r="D3695" s="1009">
        <v>81599999</v>
      </c>
      <c r="E3695" s="1009">
        <v>81549999</v>
      </c>
      <c r="F3695" s="1007" t="s">
        <v>1227</v>
      </c>
      <c r="O3695" s="1007" t="s">
        <v>648</v>
      </c>
      <c r="P3695" s="1007" t="s">
        <v>648</v>
      </c>
      <c r="S3695" s="1008" t="s">
        <v>650</v>
      </c>
      <c r="T3695" s="1008" t="s">
        <v>21</v>
      </c>
      <c r="U3695" s="1008" t="s">
        <v>653</v>
      </c>
      <c r="V3695" s="1008" t="s">
        <v>648</v>
      </c>
      <c r="W3695" s="1008" t="s">
        <v>546</v>
      </c>
      <c r="X3695" s="1008"/>
      <c r="Y3695" s="1008"/>
      <c r="Z3695" s="1008"/>
      <c r="AA3695" s="1008"/>
      <c r="AB3695" s="1008"/>
      <c r="AC3695" s="1008"/>
      <c r="AD3695" s="1008"/>
      <c r="AE3695" s="1008"/>
      <c r="AF3695" s="1008"/>
      <c r="AG3695" s="1008"/>
      <c r="AH3695" s="1008"/>
      <c r="AI3695" s="1008"/>
    </row>
    <row r="3696" spans="1:35">
      <c r="A3696" s="1008">
        <v>26291</v>
      </c>
      <c r="C3696" s="1008">
        <v>5</v>
      </c>
      <c r="D3696" s="1009">
        <v>81559999</v>
      </c>
      <c r="E3696" s="1009">
        <v>81550000</v>
      </c>
      <c r="F3696" s="1007" t="s">
        <v>1226</v>
      </c>
      <c r="O3696" s="1007" t="s">
        <v>648</v>
      </c>
      <c r="P3696" s="1007" t="s">
        <v>648</v>
      </c>
      <c r="S3696" s="1008" t="s">
        <v>650</v>
      </c>
      <c r="T3696" s="1008" t="s">
        <v>675</v>
      </c>
      <c r="U3696" s="1008" t="s">
        <v>653</v>
      </c>
      <c r="V3696" s="1008" t="s">
        <v>648</v>
      </c>
      <c r="W3696" s="1008" t="s">
        <v>546</v>
      </c>
      <c r="X3696" s="1008"/>
      <c r="Y3696" s="1008"/>
      <c r="Z3696" s="1008"/>
      <c r="AA3696" s="1008"/>
      <c r="AB3696" s="1008"/>
      <c r="AC3696" s="1008"/>
      <c r="AD3696" s="1008"/>
      <c r="AE3696" s="1008"/>
      <c r="AF3696" s="1008"/>
      <c r="AG3696" s="1008"/>
      <c r="AH3696" s="1008"/>
      <c r="AI3696" s="1008"/>
    </row>
    <row r="3697" spans="1:35">
      <c r="A3697" s="1008">
        <v>26290</v>
      </c>
      <c r="B3697" s="1008">
        <v>2451</v>
      </c>
      <c r="C3697" s="1008">
        <v>6</v>
      </c>
      <c r="D3697" s="1009">
        <v>81559999</v>
      </c>
      <c r="E3697" s="1009">
        <v>81551000</v>
      </c>
      <c r="F3697" s="1007" t="s">
        <v>1225</v>
      </c>
      <c r="G3697" s="1007">
        <v>6</v>
      </c>
      <c r="H3697" s="1010">
        <v>99999999</v>
      </c>
      <c r="I3697" s="1009">
        <v>81551000</v>
      </c>
      <c r="J3697" s="1007" t="s">
        <v>1225</v>
      </c>
      <c r="O3697" s="1007" t="s">
        <v>648</v>
      </c>
      <c r="P3697" s="1007" t="s">
        <v>648</v>
      </c>
      <c r="S3697" s="1008" t="s">
        <v>650</v>
      </c>
      <c r="T3697" s="1008" t="s">
        <v>654</v>
      </c>
      <c r="U3697" s="1008" t="s">
        <v>653</v>
      </c>
      <c r="V3697" s="1008" t="s">
        <v>648</v>
      </c>
      <c r="W3697" s="1008" t="s">
        <v>546</v>
      </c>
      <c r="X3697" s="1008" t="s">
        <v>670</v>
      </c>
      <c r="Y3697" s="1008" t="s">
        <v>670</v>
      </c>
      <c r="Z3697" s="1008" t="s">
        <v>670</v>
      </c>
      <c r="AA3697" s="1008" t="s">
        <v>670</v>
      </c>
      <c r="AB3697" s="1008" t="s">
        <v>670</v>
      </c>
      <c r="AC3697" s="1008" t="s">
        <v>670</v>
      </c>
      <c r="AD3697" s="1008" t="s">
        <v>670</v>
      </c>
      <c r="AE3697" s="1008"/>
      <c r="AF3697" s="1008" t="s">
        <v>670</v>
      </c>
      <c r="AG3697" s="1008"/>
      <c r="AH3697" s="1008"/>
      <c r="AI3697" s="1008"/>
    </row>
    <row r="3698" spans="1:35">
      <c r="A3698" s="1008">
        <v>26289</v>
      </c>
      <c r="B3698" s="1008">
        <v>526</v>
      </c>
      <c r="C3698" s="1008">
        <v>6</v>
      </c>
      <c r="D3698" s="1009">
        <v>81559999</v>
      </c>
      <c r="E3698" s="1009">
        <v>81552000</v>
      </c>
      <c r="F3698" s="1007" t="s">
        <v>1224</v>
      </c>
      <c r="G3698" s="1007">
        <v>8</v>
      </c>
      <c r="H3698" s="1010">
        <v>99999999</v>
      </c>
      <c r="I3698" s="1009">
        <v>81552000</v>
      </c>
      <c r="J3698" s="1007" t="s">
        <v>1224</v>
      </c>
      <c r="O3698" s="1007" t="s">
        <v>648</v>
      </c>
      <c r="P3698" s="1007" t="s">
        <v>648</v>
      </c>
      <c r="S3698" s="1008" t="s">
        <v>650</v>
      </c>
      <c r="T3698" s="1008" t="s">
        <v>654</v>
      </c>
      <c r="U3698" s="1008" t="s">
        <v>653</v>
      </c>
      <c r="V3698" s="1008" t="s">
        <v>648</v>
      </c>
      <c r="W3698" s="1008" t="s">
        <v>546</v>
      </c>
      <c r="X3698" s="1008" t="s">
        <v>670</v>
      </c>
      <c r="Y3698" s="1008" t="s">
        <v>670</v>
      </c>
      <c r="Z3698" s="1008" t="s">
        <v>670</v>
      </c>
      <c r="AA3698" s="1008" t="s">
        <v>670</v>
      </c>
      <c r="AB3698" s="1008" t="s">
        <v>670</v>
      </c>
      <c r="AC3698" s="1008" t="s">
        <v>670</v>
      </c>
      <c r="AD3698" s="1008" t="s">
        <v>670</v>
      </c>
      <c r="AE3698" s="1008"/>
      <c r="AF3698" s="1008" t="s">
        <v>670</v>
      </c>
      <c r="AG3698" s="1008"/>
      <c r="AH3698" s="1008"/>
      <c r="AI3698" s="1008"/>
    </row>
    <row r="3699" spans="1:35">
      <c r="A3699" s="1008">
        <v>26288</v>
      </c>
      <c r="C3699" s="1008">
        <v>5</v>
      </c>
      <c r="D3699" s="1009">
        <v>81599999</v>
      </c>
      <c r="E3699" s="1009">
        <v>81559999</v>
      </c>
      <c r="F3699" s="1007" t="s">
        <v>1223</v>
      </c>
      <c r="O3699" s="1007" t="s">
        <v>648</v>
      </c>
      <c r="P3699" s="1007" t="s">
        <v>648</v>
      </c>
      <c r="S3699" s="1008" t="s">
        <v>650</v>
      </c>
      <c r="T3699" s="1008" t="s">
        <v>21</v>
      </c>
      <c r="U3699" s="1008" t="s">
        <v>653</v>
      </c>
      <c r="V3699" s="1008" t="s">
        <v>648</v>
      </c>
      <c r="W3699" s="1008" t="s">
        <v>546</v>
      </c>
      <c r="X3699" s="1008"/>
      <c r="Y3699" s="1008"/>
      <c r="Z3699" s="1008"/>
      <c r="AA3699" s="1008"/>
      <c r="AB3699" s="1008"/>
      <c r="AC3699" s="1008"/>
      <c r="AD3699" s="1008"/>
      <c r="AE3699" s="1008"/>
      <c r="AF3699" s="1008"/>
      <c r="AG3699" s="1008"/>
      <c r="AH3699" s="1008"/>
      <c r="AI3699" s="1008"/>
    </row>
    <row r="3700" spans="1:35">
      <c r="A3700" s="1008">
        <v>25527</v>
      </c>
      <c r="C3700" s="1008">
        <v>5</v>
      </c>
      <c r="D3700" s="1009">
        <v>81599900</v>
      </c>
      <c r="E3700" s="1009">
        <v>81590000</v>
      </c>
      <c r="F3700" s="1007" t="s">
        <v>1222</v>
      </c>
      <c r="O3700" s="1007" t="s">
        <v>648</v>
      </c>
      <c r="P3700" s="1007" t="s">
        <v>648</v>
      </c>
      <c r="S3700" s="1008" t="s">
        <v>650</v>
      </c>
      <c r="T3700" s="1008" t="s">
        <v>675</v>
      </c>
      <c r="U3700" s="1008" t="s">
        <v>653</v>
      </c>
      <c r="V3700" s="1008" t="s">
        <v>648</v>
      </c>
      <c r="W3700" s="1008" t="s">
        <v>546</v>
      </c>
      <c r="X3700" s="1008"/>
      <c r="Y3700" s="1008"/>
      <c r="Z3700" s="1008"/>
      <c r="AA3700" s="1008"/>
      <c r="AB3700" s="1008"/>
      <c r="AC3700" s="1008"/>
      <c r="AD3700" s="1008"/>
      <c r="AE3700" s="1008"/>
      <c r="AF3700" s="1008"/>
      <c r="AG3700" s="1008"/>
      <c r="AH3700" s="1008"/>
      <c r="AI3700" s="1008"/>
    </row>
    <row r="3701" spans="1:35">
      <c r="A3701" s="1008">
        <v>26287</v>
      </c>
      <c r="B3701" s="1008">
        <v>2453</v>
      </c>
      <c r="C3701" s="1008">
        <v>6</v>
      </c>
      <c r="D3701" s="1009">
        <v>81599900</v>
      </c>
      <c r="E3701" s="1009">
        <v>81591000</v>
      </c>
      <c r="F3701" s="1007" t="s">
        <v>1221</v>
      </c>
      <c r="G3701" s="1007">
        <v>6</v>
      </c>
      <c r="H3701" s="1010">
        <v>99999999</v>
      </c>
      <c r="I3701" s="1009">
        <v>81591000</v>
      </c>
      <c r="J3701" s="1007" t="s">
        <v>1221</v>
      </c>
      <c r="O3701" s="1007" t="s">
        <v>648</v>
      </c>
      <c r="P3701" s="1007" t="s">
        <v>648</v>
      </c>
      <c r="S3701" s="1008" t="s">
        <v>650</v>
      </c>
      <c r="T3701" s="1008" t="s">
        <v>654</v>
      </c>
      <c r="U3701" s="1008" t="s">
        <v>653</v>
      </c>
      <c r="V3701" s="1008" t="s">
        <v>648</v>
      </c>
      <c r="W3701" s="1008" t="s">
        <v>546</v>
      </c>
      <c r="X3701" s="1008" t="s">
        <v>670</v>
      </c>
      <c r="Y3701" s="1008" t="s">
        <v>670</v>
      </c>
      <c r="Z3701" s="1008" t="s">
        <v>670</v>
      </c>
      <c r="AA3701" s="1008" t="s">
        <v>670</v>
      </c>
      <c r="AB3701" s="1008" t="s">
        <v>670</v>
      </c>
      <c r="AC3701" s="1008" t="s">
        <v>670</v>
      </c>
      <c r="AD3701" s="1008" t="s">
        <v>670</v>
      </c>
      <c r="AE3701" s="1008"/>
      <c r="AF3701" s="1008" t="s">
        <v>670</v>
      </c>
      <c r="AG3701" s="1008"/>
      <c r="AH3701" s="1008"/>
      <c r="AI3701" s="1008"/>
    </row>
    <row r="3702" spans="1:35">
      <c r="A3702" s="1008">
        <v>26286</v>
      </c>
      <c r="B3702" s="1008">
        <v>2454</v>
      </c>
      <c r="C3702" s="1008">
        <v>6</v>
      </c>
      <c r="D3702" s="1009">
        <v>81599900</v>
      </c>
      <c r="E3702" s="1009">
        <v>81592000</v>
      </c>
      <c r="F3702" s="1007" t="s">
        <v>1220</v>
      </c>
      <c r="G3702" s="1007">
        <v>6</v>
      </c>
      <c r="H3702" s="1010">
        <v>99999999</v>
      </c>
      <c r="I3702" s="1009">
        <v>81592000</v>
      </c>
      <c r="J3702" s="1007" t="s">
        <v>1220</v>
      </c>
      <c r="O3702" s="1007" t="s">
        <v>648</v>
      </c>
      <c r="P3702" s="1007" t="s">
        <v>648</v>
      </c>
      <c r="S3702" s="1008" t="s">
        <v>650</v>
      </c>
      <c r="T3702" s="1008" t="s">
        <v>654</v>
      </c>
      <c r="U3702" s="1008" t="s">
        <v>653</v>
      </c>
      <c r="V3702" s="1008" t="s">
        <v>648</v>
      </c>
      <c r="W3702" s="1008" t="s">
        <v>546</v>
      </c>
      <c r="X3702" s="1008" t="s">
        <v>670</v>
      </c>
      <c r="Y3702" s="1008" t="s">
        <v>670</v>
      </c>
      <c r="Z3702" s="1008" t="s">
        <v>670</v>
      </c>
      <c r="AA3702" s="1008" t="s">
        <v>670</v>
      </c>
      <c r="AB3702" s="1008" t="s">
        <v>670</v>
      </c>
      <c r="AC3702" s="1008" t="s">
        <v>670</v>
      </c>
      <c r="AD3702" s="1008" t="s">
        <v>670</v>
      </c>
      <c r="AE3702" s="1008"/>
      <c r="AF3702" s="1008" t="s">
        <v>670</v>
      </c>
      <c r="AG3702" s="1008"/>
      <c r="AH3702" s="1008"/>
      <c r="AI3702" s="1008"/>
    </row>
    <row r="3703" spans="1:35">
      <c r="A3703" s="1008">
        <v>26285</v>
      </c>
      <c r="B3703" s="1008">
        <v>2455</v>
      </c>
      <c r="C3703" s="1008">
        <v>6</v>
      </c>
      <c r="D3703" s="1009">
        <v>81599900</v>
      </c>
      <c r="E3703" s="1009">
        <v>81593000</v>
      </c>
      <c r="F3703" s="1007" t="s">
        <v>1219</v>
      </c>
      <c r="G3703" s="1007">
        <v>6</v>
      </c>
      <c r="H3703" s="1010">
        <v>99999999</v>
      </c>
      <c r="I3703" s="1009">
        <v>81593000</v>
      </c>
      <c r="J3703" s="1007" t="s">
        <v>1219</v>
      </c>
      <c r="O3703" s="1007" t="s">
        <v>648</v>
      </c>
      <c r="P3703" s="1007" t="s">
        <v>648</v>
      </c>
      <c r="S3703" s="1008" t="s">
        <v>650</v>
      </c>
      <c r="T3703" s="1008" t="s">
        <v>654</v>
      </c>
      <c r="U3703" s="1008" t="s">
        <v>653</v>
      </c>
      <c r="V3703" s="1008" t="s">
        <v>648</v>
      </c>
      <c r="W3703" s="1008" t="s">
        <v>546</v>
      </c>
      <c r="X3703" s="1008" t="s">
        <v>670</v>
      </c>
      <c r="Y3703" s="1008" t="s">
        <v>670</v>
      </c>
      <c r="Z3703" s="1008" t="s">
        <v>670</v>
      </c>
      <c r="AA3703" s="1008" t="s">
        <v>670</v>
      </c>
      <c r="AB3703" s="1008" t="s">
        <v>670</v>
      </c>
      <c r="AC3703" s="1008" t="s">
        <v>670</v>
      </c>
      <c r="AD3703" s="1008" t="s">
        <v>670</v>
      </c>
      <c r="AE3703" s="1008"/>
      <c r="AF3703" s="1008" t="s">
        <v>670</v>
      </c>
      <c r="AG3703" s="1008"/>
      <c r="AH3703" s="1008"/>
      <c r="AI3703" s="1008"/>
    </row>
    <row r="3704" spans="1:35">
      <c r="A3704" s="1008">
        <v>26284</v>
      </c>
      <c r="B3704" s="1008">
        <v>2456</v>
      </c>
      <c r="C3704" s="1008">
        <v>6</v>
      </c>
      <c r="D3704" s="1009">
        <v>81599900</v>
      </c>
      <c r="E3704" s="1009">
        <v>81594000</v>
      </c>
      <c r="F3704" s="1007" t="s">
        <v>1218</v>
      </c>
      <c r="G3704" s="1007">
        <v>6</v>
      </c>
      <c r="H3704" s="1010">
        <v>99999999</v>
      </c>
      <c r="I3704" s="1009">
        <v>81594000</v>
      </c>
      <c r="J3704" s="1007" t="s">
        <v>1218</v>
      </c>
      <c r="O3704" s="1007" t="s">
        <v>648</v>
      </c>
      <c r="P3704" s="1007" t="s">
        <v>648</v>
      </c>
      <c r="S3704" s="1008" t="s">
        <v>650</v>
      </c>
      <c r="T3704" s="1008" t="s">
        <v>654</v>
      </c>
      <c r="U3704" s="1008" t="s">
        <v>653</v>
      </c>
      <c r="V3704" s="1008" t="s">
        <v>648</v>
      </c>
      <c r="W3704" s="1008" t="s">
        <v>546</v>
      </c>
      <c r="X3704" s="1008" t="s">
        <v>670</v>
      </c>
      <c r="Y3704" s="1008" t="s">
        <v>670</v>
      </c>
      <c r="Z3704" s="1008" t="s">
        <v>670</v>
      </c>
      <c r="AA3704" s="1008" t="s">
        <v>670</v>
      </c>
      <c r="AB3704" s="1008" t="s">
        <v>670</v>
      </c>
      <c r="AC3704" s="1008" t="s">
        <v>670</v>
      </c>
      <c r="AD3704" s="1008" t="s">
        <v>670</v>
      </c>
      <c r="AE3704" s="1008"/>
      <c r="AF3704" s="1008" t="s">
        <v>670</v>
      </c>
      <c r="AG3704" s="1008"/>
      <c r="AH3704" s="1008"/>
      <c r="AI3704" s="1008"/>
    </row>
    <row r="3705" spans="1:35">
      <c r="A3705" s="1008">
        <v>26283</v>
      </c>
      <c r="B3705" s="1008">
        <v>5587</v>
      </c>
      <c r="C3705" s="1008">
        <v>6</v>
      </c>
      <c r="D3705" s="1009">
        <v>81599900</v>
      </c>
      <c r="E3705" s="1009">
        <v>81595000</v>
      </c>
      <c r="F3705" s="1007" t="s">
        <v>1217</v>
      </c>
      <c r="G3705" s="1007">
        <v>6</v>
      </c>
      <c r="H3705" s="1010">
        <v>99999999</v>
      </c>
      <c r="I3705" s="1009">
        <v>81595000</v>
      </c>
      <c r="J3705" s="1007" t="s">
        <v>1217</v>
      </c>
      <c r="O3705" s="1007" t="s">
        <v>648</v>
      </c>
      <c r="P3705" s="1007" t="s">
        <v>648</v>
      </c>
      <c r="S3705" s="1008" t="s">
        <v>650</v>
      </c>
      <c r="T3705" s="1008" t="s">
        <v>654</v>
      </c>
      <c r="U3705" s="1008" t="s">
        <v>653</v>
      </c>
      <c r="V3705" s="1008" t="s">
        <v>648</v>
      </c>
      <c r="W3705" s="1008" t="s">
        <v>546</v>
      </c>
      <c r="X3705" s="1008" t="s">
        <v>670</v>
      </c>
      <c r="Y3705" s="1008" t="s">
        <v>670</v>
      </c>
      <c r="Z3705" s="1008" t="s">
        <v>670</v>
      </c>
      <c r="AA3705" s="1008" t="s">
        <v>670</v>
      </c>
      <c r="AB3705" s="1008" t="s">
        <v>670</v>
      </c>
      <c r="AC3705" s="1008" t="s">
        <v>670</v>
      </c>
      <c r="AD3705" s="1008" t="s">
        <v>670</v>
      </c>
      <c r="AE3705" s="1008"/>
      <c r="AF3705" s="1008" t="s">
        <v>670</v>
      </c>
      <c r="AG3705" s="1008"/>
      <c r="AH3705" s="1008"/>
      <c r="AI3705" s="1008"/>
    </row>
    <row r="3706" spans="1:35">
      <c r="A3706" s="1008">
        <v>25533</v>
      </c>
      <c r="C3706" s="1008">
        <v>5</v>
      </c>
      <c r="D3706" s="1009">
        <v>81599999</v>
      </c>
      <c r="E3706" s="1009">
        <v>81599900</v>
      </c>
      <c r="F3706" s="1007" t="s">
        <v>1216</v>
      </c>
      <c r="O3706" s="1007" t="s">
        <v>648</v>
      </c>
      <c r="P3706" s="1007" t="s">
        <v>648</v>
      </c>
      <c r="S3706" s="1008" t="s">
        <v>650</v>
      </c>
      <c r="T3706" s="1008" t="s">
        <v>21</v>
      </c>
      <c r="U3706" s="1008" t="s">
        <v>653</v>
      </c>
      <c r="V3706" s="1008" t="s">
        <v>648</v>
      </c>
      <c r="W3706" s="1008" t="s">
        <v>546</v>
      </c>
      <c r="X3706" s="1008"/>
      <c r="Y3706" s="1008"/>
      <c r="Z3706" s="1008"/>
      <c r="AA3706" s="1008"/>
      <c r="AB3706" s="1008"/>
      <c r="AC3706" s="1008"/>
      <c r="AD3706" s="1008"/>
      <c r="AE3706" s="1008"/>
      <c r="AF3706" s="1008"/>
      <c r="AG3706" s="1008"/>
      <c r="AH3706" s="1008"/>
      <c r="AI3706" s="1008"/>
    </row>
    <row r="3707" spans="1:35">
      <c r="A3707" s="1008">
        <v>25534</v>
      </c>
      <c r="C3707" s="1008">
        <v>4</v>
      </c>
      <c r="D3707" s="1009">
        <v>83519999</v>
      </c>
      <c r="E3707" s="1009">
        <v>81599999</v>
      </c>
      <c r="F3707" s="1007" t="s">
        <v>1215</v>
      </c>
      <c r="O3707" s="1007" t="s">
        <v>648</v>
      </c>
      <c r="P3707" s="1007" t="s">
        <v>648</v>
      </c>
      <c r="S3707" s="1008" t="s">
        <v>650</v>
      </c>
      <c r="T3707" s="1008" t="s">
        <v>21</v>
      </c>
      <c r="U3707" s="1008" t="s">
        <v>653</v>
      </c>
      <c r="V3707" s="1008" t="s">
        <v>648</v>
      </c>
      <c r="W3707" s="1008" t="s">
        <v>546</v>
      </c>
      <c r="X3707" s="1008"/>
      <c r="Y3707" s="1008"/>
      <c r="Z3707" s="1008"/>
      <c r="AA3707" s="1008"/>
      <c r="AB3707" s="1008"/>
      <c r="AC3707" s="1008"/>
      <c r="AD3707" s="1008"/>
      <c r="AE3707" s="1008"/>
      <c r="AF3707" s="1008"/>
      <c r="AG3707" s="1008"/>
      <c r="AH3707" s="1008"/>
      <c r="AI3707" s="1008"/>
    </row>
    <row r="3708" spans="1:35">
      <c r="A3708" s="1008">
        <v>26282</v>
      </c>
      <c r="C3708" s="1008">
        <v>4</v>
      </c>
      <c r="D3708" s="1009">
        <v>81699999</v>
      </c>
      <c r="E3708" s="1009">
        <v>81600000</v>
      </c>
      <c r="F3708" s="1007" t="s">
        <v>1214</v>
      </c>
      <c r="O3708" s="1007" t="s">
        <v>648</v>
      </c>
      <c r="P3708" s="1007" t="s">
        <v>648</v>
      </c>
      <c r="S3708" s="1008" t="s">
        <v>650</v>
      </c>
      <c r="T3708" s="1008" t="s">
        <v>675</v>
      </c>
      <c r="U3708" s="1008" t="s">
        <v>653</v>
      </c>
      <c r="V3708" s="1008" t="s">
        <v>648</v>
      </c>
      <c r="W3708" s="1008" t="s">
        <v>546</v>
      </c>
      <c r="X3708" s="1008"/>
      <c r="Y3708" s="1008"/>
      <c r="Z3708" s="1008"/>
      <c r="AA3708" s="1008"/>
      <c r="AB3708" s="1008"/>
      <c r="AC3708" s="1008"/>
      <c r="AD3708" s="1008"/>
      <c r="AE3708" s="1008"/>
      <c r="AF3708" s="1008"/>
      <c r="AG3708" s="1008"/>
      <c r="AH3708" s="1008"/>
      <c r="AI3708" s="1008"/>
    </row>
    <row r="3709" spans="1:35">
      <c r="A3709" s="1008">
        <v>26281</v>
      </c>
      <c r="C3709" s="1008">
        <v>5</v>
      </c>
      <c r="D3709" s="1009">
        <v>81619999</v>
      </c>
      <c r="E3709" s="1009">
        <v>81610000</v>
      </c>
      <c r="F3709" s="1007" t="s">
        <v>1213</v>
      </c>
      <c r="O3709" s="1007" t="s">
        <v>648</v>
      </c>
      <c r="P3709" s="1007" t="s">
        <v>648</v>
      </c>
      <c r="S3709" s="1008" t="s">
        <v>650</v>
      </c>
      <c r="T3709" s="1008" t="s">
        <v>675</v>
      </c>
      <c r="U3709" s="1008" t="s">
        <v>653</v>
      </c>
      <c r="V3709" s="1008" t="s">
        <v>648</v>
      </c>
      <c r="W3709" s="1008" t="s">
        <v>546</v>
      </c>
      <c r="X3709" s="1008"/>
      <c r="Y3709" s="1008"/>
      <c r="Z3709" s="1008"/>
      <c r="AA3709" s="1008"/>
      <c r="AB3709" s="1008"/>
      <c r="AC3709" s="1008"/>
      <c r="AD3709" s="1008"/>
      <c r="AE3709" s="1008"/>
      <c r="AF3709" s="1008"/>
      <c r="AG3709" s="1008"/>
      <c r="AH3709" s="1008"/>
      <c r="AI3709" s="1008"/>
    </row>
    <row r="3710" spans="1:35">
      <c r="A3710" s="1008">
        <v>26280</v>
      </c>
      <c r="B3710" s="1008">
        <v>1207</v>
      </c>
      <c r="C3710" s="1008">
        <v>6</v>
      </c>
      <c r="D3710" s="1009">
        <v>81619999</v>
      </c>
      <c r="E3710" s="1009">
        <v>81611000</v>
      </c>
      <c r="F3710" s="1007" t="s">
        <v>1212</v>
      </c>
      <c r="G3710" s="1007">
        <v>8</v>
      </c>
      <c r="H3710" s="1010">
        <v>99999999</v>
      </c>
      <c r="I3710" s="1009">
        <v>81611000</v>
      </c>
      <c r="J3710" s="1007" t="s">
        <v>1212</v>
      </c>
      <c r="O3710" s="1007" t="s">
        <v>648</v>
      </c>
      <c r="P3710" s="1007" t="s">
        <v>648</v>
      </c>
      <c r="S3710" s="1008" t="s">
        <v>650</v>
      </c>
      <c r="T3710" s="1008" t="s">
        <v>654</v>
      </c>
      <c r="U3710" s="1008" t="s">
        <v>653</v>
      </c>
      <c r="V3710" s="1008" t="s">
        <v>648</v>
      </c>
      <c r="W3710" s="1008" t="s">
        <v>546</v>
      </c>
      <c r="X3710" s="1008" t="s">
        <v>670</v>
      </c>
      <c r="Y3710" s="1008" t="s">
        <v>670</v>
      </c>
      <c r="Z3710" s="1008" t="s">
        <v>670</v>
      </c>
      <c r="AA3710" s="1008" t="s">
        <v>670</v>
      </c>
      <c r="AB3710" s="1008" t="s">
        <v>670</v>
      </c>
      <c r="AC3710" s="1008" t="s">
        <v>670</v>
      </c>
      <c r="AD3710" s="1008" t="s">
        <v>670</v>
      </c>
      <c r="AE3710" s="1008"/>
      <c r="AF3710" s="1008" t="s">
        <v>670</v>
      </c>
      <c r="AG3710" s="1008"/>
      <c r="AH3710" s="1008"/>
      <c r="AI3710" s="1008"/>
    </row>
    <row r="3711" spans="1:35">
      <c r="A3711" s="1008">
        <v>26279</v>
      </c>
      <c r="B3711" s="1008">
        <v>1136</v>
      </c>
      <c r="C3711" s="1008">
        <v>6</v>
      </c>
      <c r="D3711" s="1009">
        <v>81619999</v>
      </c>
      <c r="E3711" s="1009">
        <v>81612000</v>
      </c>
      <c r="F3711" s="1007" t="s">
        <v>1211</v>
      </c>
      <c r="G3711" s="1007">
        <v>8</v>
      </c>
      <c r="H3711" s="1010">
        <v>99999999</v>
      </c>
      <c r="I3711" s="1009">
        <v>81612000</v>
      </c>
      <c r="J3711" s="1007" t="s">
        <v>1211</v>
      </c>
      <c r="O3711" s="1007" t="s">
        <v>648</v>
      </c>
      <c r="P3711" s="1007" t="s">
        <v>648</v>
      </c>
      <c r="S3711" s="1008" t="s">
        <v>650</v>
      </c>
      <c r="T3711" s="1008" t="s">
        <v>654</v>
      </c>
      <c r="U3711" s="1008" t="s">
        <v>653</v>
      </c>
      <c r="V3711" s="1008" t="s">
        <v>648</v>
      </c>
      <c r="W3711" s="1008" t="s">
        <v>546</v>
      </c>
      <c r="X3711" s="1008" t="s">
        <v>670</v>
      </c>
      <c r="Y3711" s="1008" t="s">
        <v>670</v>
      </c>
      <c r="Z3711" s="1008" t="s">
        <v>670</v>
      </c>
      <c r="AA3711" s="1008" t="s">
        <v>670</v>
      </c>
      <c r="AB3711" s="1008" t="s">
        <v>670</v>
      </c>
      <c r="AC3711" s="1008" t="s">
        <v>670</v>
      </c>
      <c r="AD3711" s="1008" t="s">
        <v>670</v>
      </c>
      <c r="AE3711" s="1008" t="s">
        <v>670</v>
      </c>
      <c r="AF3711" s="1008" t="s">
        <v>670</v>
      </c>
      <c r="AG3711" s="1008"/>
      <c r="AH3711" s="1008"/>
      <c r="AI3711" s="1008"/>
    </row>
    <row r="3712" spans="1:35">
      <c r="A3712" s="1008">
        <v>26278</v>
      </c>
      <c r="B3712" s="1008">
        <v>2460</v>
      </c>
      <c r="C3712" s="1008">
        <v>6</v>
      </c>
      <c r="D3712" s="1009">
        <v>81619999</v>
      </c>
      <c r="E3712" s="1009">
        <v>81613000</v>
      </c>
      <c r="F3712" s="1007" t="s">
        <v>1210</v>
      </c>
      <c r="G3712" s="1007">
        <v>6</v>
      </c>
      <c r="H3712" s="1010">
        <v>99999999</v>
      </c>
      <c r="I3712" s="1009">
        <v>81613000</v>
      </c>
      <c r="J3712" s="1007" t="s">
        <v>1210</v>
      </c>
      <c r="O3712" s="1007" t="s">
        <v>648</v>
      </c>
      <c r="P3712" s="1007" t="s">
        <v>648</v>
      </c>
      <c r="S3712" s="1008" t="s">
        <v>650</v>
      </c>
      <c r="T3712" s="1008" t="s">
        <v>654</v>
      </c>
      <c r="U3712" s="1008" t="s">
        <v>653</v>
      </c>
      <c r="V3712" s="1008" t="s">
        <v>648</v>
      </c>
      <c r="W3712" s="1008" t="s">
        <v>546</v>
      </c>
      <c r="X3712" s="1008" t="s">
        <v>670</v>
      </c>
      <c r="Y3712" s="1008" t="s">
        <v>670</v>
      </c>
      <c r="Z3712" s="1008" t="s">
        <v>670</v>
      </c>
      <c r="AA3712" s="1008" t="s">
        <v>670</v>
      </c>
      <c r="AB3712" s="1008" t="s">
        <v>670</v>
      </c>
      <c r="AC3712" s="1008" t="s">
        <v>670</v>
      </c>
      <c r="AD3712" s="1008" t="s">
        <v>670</v>
      </c>
      <c r="AE3712" s="1008"/>
      <c r="AF3712" s="1008" t="s">
        <v>670</v>
      </c>
      <c r="AG3712" s="1008"/>
      <c r="AH3712" s="1008"/>
      <c r="AI3712" s="1008"/>
    </row>
    <row r="3713" spans="1:35">
      <c r="A3713" s="1008">
        <v>26277</v>
      </c>
      <c r="B3713" s="1008">
        <v>5591</v>
      </c>
      <c r="C3713" s="1008">
        <v>6</v>
      </c>
      <c r="D3713" s="1009">
        <v>81619999</v>
      </c>
      <c r="E3713" s="1009">
        <v>81614000</v>
      </c>
      <c r="F3713" s="1007" t="s">
        <v>1209</v>
      </c>
      <c r="G3713" s="1007">
        <v>6</v>
      </c>
      <c r="H3713" s="1010">
        <v>99999999</v>
      </c>
      <c r="I3713" s="1009">
        <v>81614000</v>
      </c>
      <c r="J3713" s="1007" t="s">
        <v>1209</v>
      </c>
      <c r="O3713" s="1007" t="s">
        <v>648</v>
      </c>
      <c r="P3713" s="1007" t="s">
        <v>648</v>
      </c>
      <c r="S3713" s="1008" t="s">
        <v>650</v>
      </c>
      <c r="T3713" s="1008" t="s">
        <v>654</v>
      </c>
      <c r="U3713" s="1008" t="s">
        <v>653</v>
      </c>
      <c r="V3713" s="1008" t="s">
        <v>648</v>
      </c>
      <c r="W3713" s="1008" t="s">
        <v>546</v>
      </c>
      <c r="X3713" s="1008" t="s">
        <v>670</v>
      </c>
      <c r="Y3713" s="1008" t="s">
        <v>670</v>
      </c>
      <c r="Z3713" s="1008" t="s">
        <v>670</v>
      </c>
      <c r="AA3713" s="1008" t="s">
        <v>670</v>
      </c>
      <c r="AB3713" s="1008" t="s">
        <v>670</v>
      </c>
      <c r="AC3713" s="1008" t="s">
        <v>670</v>
      </c>
      <c r="AD3713" s="1008" t="s">
        <v>670</v>
      </c>
      <c r="AE3713" s="1008"/>
      <c r="AF3713" s="1008" t="s">
        <v>670</v>
      </c>
      <c r="AG3713" s="1008"/>
      <c r="AH3713" s="1008"/>
      <c r="AI3713" s="1008"/>
    </row>
    <row r="3714" spans="1:35">
      <c r="A3714" s="1008">
        <v>26276</v>
      </c>
      <c r="C3714" s="1008">
        <v>5</v>
      </c>
      <c r="D3714" s="1009">
        <v>81699999</v>
      </c>
      <c r="E3714" s="1009">
        <v>81619999</v>
      </c>
      <c r="F3714" s="1007" t="s">
        <v>1208</v>
      </c>
      <c r="O3714" s="1007" t="s">
        <v>648</v>
      </c>
      <c r="P3714" s="1007" t="s">
        <v>648</v>
      </c>
      <c r="S3714" s="1008" t="s">
        <v>650</v>
      </c>
      <c r="T3714" s="1008" t="s">
        <v>21</v>
      </c>
      <c r="U3714" s="1008" t="s">
        <v>653</v>
      </c>
      <c r="V3714" s="1008" t="s">
        <v>648</v>
      </c>
      <c r="W3714" s="1008" t="s">
        <v>546</v>
      </c>
      <c r="X3714" s="1008"/>
      <c r="Y3714" s="1008"/>
      <c r="Z3714" s="1008"/>
      <c r="AA3714" s="1008"/>
      <c r="AB3714" s="1008"/>
      <c r="AC3714" s="1008"/>
      <c r="AD3714" s="1008"/>
      <c r="AE3714" s="1008"/>
      <c r="AF3714" s="1008"/>
      <c r="AG3714" s="1008"/>
      <c r="AH3714" s="1008"/>
      <c r="AI3714" s="1008"/>
    </row>
    <row r="3715" spans="1:35">
      <c r="A3715" s="1008">
        <v>26275</v>
      </c>
      <c r="C3715" s="1008">
        <v>5</v>
      </c>
      <c r="D3715" s="1009">
        <v>81629999</v>
      </c>
      <c r="E3715" s="1009">
        <v>81620000</v>
      </c>
      <c r="F3715" s="1007" t="s">
        <v>1207</v>
      </c>
      <c r="O3715" s="1007" t="s">
        <v>648</v>
      </c>
      <c r="P3715" s="1007" t="s">
        <v>648</v>
      </c>
      <c r="S3715" s="1008" t="s">
        <v>650</v>
      </c>
      <c r="T3715" s="1008" t="s">
        <v>675</v>
      </c>
      <c r="U3715" s="1008" t="s">
        <v>653</v>
      </c>
      <c r="V3715" s="1008" t="s">
        <v>648</v>
      </c>
      <c r="W3715" s="1008" t="s">
        <v>546</v>
      </c>
      <c r="X3715" s="1008"/>
      <c r="Y3715" s="1008"/>
      <c r="Z3715" s="1008"/>
      <c r="AA3715" s="1008"/>
      <c r="AB3715" s="1008"/>
      <c r="AC3715" s="1008"/>
      <c r="AD3715" s="1008"/>
      <c r="AE3715" s="1008"/>
      <c r="AF3715" s="1008"/>
      <c r="AG3715" s="1008"/>
      <c r="AH3715" s="1008"/>
      <c r="AI3715" s="1008"/>
    </row>
    <row r="3716" spans="1:35">
      <c r="A3716" s="1008">
        <v>26274</v>
      </c>
      <c r="B3716" s="1008">
        <v>2462</v>
      </c>
      <c r="C3716" s="1008">
        <v>6</v>
      </c>
      <c r="D3716" s="1009">
        <v>81629999</v>
      </c>
      <c r="E3716" s="1009">
        <v>81621000</v>
      </c>
      <c r="F3716" s="1007" t="s">
        <v>1206</v>
      </c>
      <c r="G3716" s="1007">
        <v>6</v>
      </c>
      <c r="H3716" s="1010">
        <v>99999999</v>
      </c>
      <c r="I3716" s="1009">
        <v>81621000</v>
      </c>
      <c r="J3716" s="1007" t="s">
        <v>1206</v>
      </c>
      <c r="O3716" s="1007" t="s">
        <v>648</v>
      </c>
      <c r="P3716" s="1007" t="s">
        <v>648</v>
      </c>
      <c r="S3716" s="1008" t="s">
        <v>650</v>
      </c>
      <c r="T3716" s="1008" t="s">
        <v>654</v>
      </c>
      <c r="U3716" s="1008" t="s">
        <v>653</v>
      </c>
      <c r="V3716" s="1008" t="s">
        <v>648</v>
      </c>
      <c r="W3716" s="1008" t="s">
        <v>546</v>
      </c>
      <c r="X3716" s="1008" t="s">
        <v>670</v>
      </c>
      <c r="Y3716" s="1008" t="s">
        <v>670</v>
      </c>
      <c r="Z3716" s="1008" t="s">
        <v>670</v>
      </c>
      <c r="AA3716" s="1008" t="s">
        <v>670</v>
      </c>
      <c r="AB3716" s="1008" t="s">
        <v>670</v>
      </c>
      <c r="AC3716" s="1008" t="s">
        <v>670</v>
      </c>
      <c r="AD3716" s="1008" t="s">
        <v>670</v>
      </c>
      <c r="AE3716" s="1008"/>
      <c r="AF3716" s="1008" t="s">
        <v>670</v>
      </c>
      <c r="AG3716" s="1008"/>
      <c r="AH3716" s="1008"/>
      <c r="AI3716" s="1008"/>
    </row>
    <row r="3717" spans="1:35">
      <c r="A3717" s="1008">
        <v>26273</v>
      </c>
      <c r="B3717" s="1008">
        <v>710</v>
      </c>
      <c r="C3717" s="1008">
        <v>6</v>
      </c>
      <c r="D3717" s="1009">
        <v>81629999</v>
      </c>
      <c r="E3717" s="1009">
        <v>81622000</v>
      </c>
      <c r="F3717" s="1007" t="s">
        <v>1205</v>
      </c>
      <c r="G3717" s="1007">
        <v>8</v>
      </c>
      <c r="H3717" s="1010">
        <v>99999999</v>
      </c>
      <c r="I3717" s="1009">
        <v>81622000</v>
      </c>
      <c r="J3717" s="1007" t="s">
        <v>1205</v>
      </c>
      <c r="O3717" s="1007" t="s">
        <v>648</v>
      </c>
      <c r="P3717" s="1007" t="s">
        <v>648</v>
      </c>
      <c r="S3717" s="1008" t="s">
        <v>650</v>
      </c>
      <c r="T3717" s="1008" t="s">
        <v>654</v>
      </c>
      <c r="U3717" s="1008" t="s">
        <v>653</v>
      </c>
      <c r="V3717" s="1008" t="s">
        <v>648</v>
      </c>
      <c r="W3717" s="1008" t="s">
        <v>546</v>
      </c>
      <c r="X3717" s="1008" t="s">
        <v>670</v>
      </c>
      <c r="Y3717" s="1008" t="s">
        <v>670</v>
      </c>
      <c r="Z3717" s="1008" t="s">
        <v>670</v>
      </c>
      <c r="AA3717" s="1008" t="s">
        <v>670</v>
      </c>
      <c r="AB3717" s="1008" t="s">
        <v>670</v>
      </c>
      <c r="AC3717" s="1008" t="s">
        <v>670</v>
      </c>
      <c r="AD3717" s="1008" t="s">
        <v>670</v>
      </c>
      <c r="AE3717" s="1008"/>
      <c r="AF3717" s="1008" t="s">
        <v>670</v>
      </c>
      <c r="AG3717" s="1008"/>
      <c r="AH3717" s="1008"/>
      <c r="AI3717" s="1008"/>
    </row>
    <row r="3718" spans="1:35">
      <c r="A3718" s="1008">
        <v>26272</v>
      </c>
      <c r="B3718" s="1008">
        <v>2464</v>
      </c>
      <c r="C3718" s="1008">
        <v>6</v>
      </c>
      <c r="D3718" s="1009">
        <v>81629999</v>
      </c>
      <c r="E3718" s="1009">
        <v>81623000</v>
      </c>
      <c r="F3718" s="1007" t="s">
        <v>1204</v>
      </c>
      <c r="G3718" s="1007">
        <v>6</v>
      </c>
      <c r="H3718" s="1010">
        <v>99999999</v>
      </c>
      <c r="I3718" s="1009">
        <v>81623000</v>
      </c>
      <c r="J3718" s="1007" t="s">
        <v>1204</v>
      </c>
      <c r="O3718" s="1007" t="s">
        <v>648</v>
      </c>
      <c r="P3718" s="1007" t="s">
        <v>648</v>
      </c>
      <c r="S3718" s="1008" t="s">
        <v>650</v>
      </c>
      <c r="T3718" s="1008" t="s">
        <v>654</v>
      </c>
      <c r="U3718" s="1008" t="s">
        <v>653</v>
      </c>
      <c r="V3718" s="1008" t="s">
        <v>648</v>
      </c>
      <c r="W3718" s="1008" t="s">
        <v>546</v>
      </c>
      <c r="X3718" s="1008" t="s">
        <v>670</v>
      </c>
      <c r="Y3718" s="1008" t="s">
        <v>670</v>
      </c>
      <c r="Z3718" s="1008" t="s">
        <v>670</v>
      </c>
      <c r="AA3718" s="1008" t="s">
        <v>670</v>
      </c>
      <c r="AB3718" s="1008" t="s">
        <v>670</v>
      </c>
      <c r="AC3718" s="1008" t="s">
        <v>670</v>
      </c>
      <c r="AD3718" s="1008" t="s">
        <v>670</v>
      </c>
      <c r="AE3718" s="1008"/>
      <c r="AF3718" s="1008" t="s">
        <v>670</v>
      </c>
      <c r="AG3718" s="1008"/>
      <c r="AH3718" s="1008"/>
      <c r="AI3718" s="1008"/>
    </row>
    <row r="3719" spans="1:35">
      <c r="A3719" s="1008">
        <v>26271</v>
      </c>
      <c r="B3719" s="1008">
        <v>2465</v>
      </c>
      <c r="C3719" s="1008">
        <v>6</v>
      </c>
      <c r="D3719" s="1009">
        <v>81629999</v>
      </c>
      <c r="E3719" s="1009">
        <v>81624000</v>
      </c>
      <c r="F3719" s="1007" t="s">
        <v>1203</v>
      </c>
      <c r="G3719" s="1007">
        <v>6</v>
      </c>
      <c r="H3719" s="1010">
        <v>99999999</v>
      </c>
      <c r="I3719" s="1009">
        <v>81624000</v>
      </c>
      <c r="J3719" s="1007" t="s">
        <v>1203</v>
      </c>
      <c r="O3719" s="1007" t="s">
        <v>648</v>
      </c>
      <c r="P3719" s="1007" t="s">
        <v>648</v>
      </c>
      <c r="S3719" s="1008" t="s">
        <v>650</v>
      </c>
      <c r="T3719" s="1008" t="s">
        <v>654</v>
      </c>
      <c r="U3719" s="1008" t="s">
        <v>653</v>
      </c>
      <c r="V3719" s="1008" t="s">
        <v>648</v>
      </c>
      <c r="W3719" s="1008" t="s">
        <v>546</v>
      </c>
      <c r="X3719" s="1008" t="s">
        <v>670</v>
      </c>
      <c r="Y3719" s="1008" t="s">
        <v>670</v>
      </c>
      <c r="Z3719" s="1008" t="s">
        <v>670</v>
      </c>
      <c r="AA3719" s="1008" t="s">
        <v>670</v>
      </c>
      <c r="AB3719" s="1008" t="s">
        <v>670</v>
      </c>
      <c r="AC3719" s="1008" t="s">
        <v>670</v>
      </c>
      <c r="AD3719" s="1008" t="s">
        <v>670</v>
      </c>
      <c r="AE3719" s="1008"/>
      <c r="AF3719" s="1008" t="s">
        <v>670</v>
      </c>
      <c r="AG3719" s="1008"/>
      <c r="AH3719" s="1008"/>
      <c r="AI3719" s="1008"/>
    </row>
    <row r="3720" spans="1:35">
      <c r="A3720" s="1008">
        <v>26270</v>
      </c>
      <c r="B3720" s="1008">
        <v>2466</v>
      </c>
      <c r="C3720" s="1008">
        <v>6</v>
      </c>
      <c r="D3720" s="1009">
        <v>81629999</v>
      </c>
      <c r="E3720" s="1009">
        <v>81625000</v>
      </c>
      <c r="F3720" s="1007" t="s">
        <v>1202</v>
      </c>
      <c r="G3720" s="1007">
        <v>6</v>
      </c>
      <c r="H3720" s="1010">
        <v>99999999</v>
      </c>
      <c r="I3720" s="1009">
        <v>81625000</v>
      </c>
      <c r="J3720" s="1007" t="s">
        <v>1202</v>
      </c>
      <c r="O3720" s="1007" t="s">
        <v>648</v>
      </c>
      <c r="P3720" s="1007" t="s">
        <v>648</v>
      </c>
      <c r="S3720" s="1008" t="s">
        <v>650</v>
      </c>
      <c r="T3720" s="1008" t="s">
        <v>654</v>
      </c>
      <c r="U3720" s="1008" t="s">
        <v>653</v>
      </c>
      <c r="V3720" s="1008" t="s">
        <v>648</v>
      </c>
      <c r="W3720" s="1008" t="s">
        <v>546</v>
      </c>
      <c r="X3720" s="1008" t="s">
        <v>670</v>
      </c>
      <c r="Y3720" s="1008" t="s">
        <v>670</v>
      </c>
      <c r="Z3720" s="1008" t="s">
        <v>670</v>
      </c>
      <c r="AA3720" s="1008" t="s">
        <v>670</v>
      </c>
      <c r="AB3720" s="1008" t="s">
        <v>670</v>
      </c>
      <c r="AC3720" s="1008" t="s">
        <v>670</v>
      </c>
      <c r="AD3720" s="1008" t="s">
        <v>670</v>
      </c>
      <c r="AE3720" s="1008"/>
      <c r="AF3720" s="1008" t="s">
        <v>670</v>
      </c>
      <c r="AG3720" s="1008"/>
      <c r="AH3720" s="1008"/>
      <c r="AI3720" s="1008"/>
    </row>
    <row r="3721" spans="1:35">
      <c r="A3721" s="1008">
        <v>26269</v>
      </c>
      <c r="B3721" s="1008">
        <v>5593</v>
      </c>
      <c r="C3721" s="1008">
        <v>6</v>
      </c>
      <c r="D3721" s="1009">
        <v>81629999</v>
      </c>
      <c r="E3721" s="1009">
        <v>81626000</v>
      </c>
      <c r="F3721" s="1007" t="s">
        <v>1201</v>
      </c>
      <c r="G3721" s="1007">
        <v>6</v>
      </c>
      <c r="H3721" s="1010">
        <v>99999999</v>
      </c>
      <c r="I3721" s="1009">
        <v>81626000</v>
      </c>
      <c r="J3721" s="1007" t="s">
        <v>1201</v>
      </c>
      <c r="O3721" s="1007" t="s">
        <v>648</v>
      </c>
      <c r="P3721" s="1007" t="s">
        <v>648</v>
      </c>
      <c r="S3721" s="1008" t="s">
        <v>650</v>
      </c>
      <c r="T3721" s="1008" t="s">
        <v>654</v>
      </c>
      <c r="U3721" s="1008" t="s">
        <v>653</v>
      </c>
      <c r="V3721" s="1008" t="s">
        <v>648</v>
      </c>
      <c r="W3721" s="1008" t="s">
        <v>546</v>
      </c>
      <c r="X3721" s="1008" t="s">
        <v>670</v>
      </c>
      <c r="Y3721" s="1008" t="s">
        <v>670</v>
      </c>
      <c r="Z3721" s="1008" t="s">
        <v>670</v>
      </c>
      <c r="AA3721" s="1008" t="s">
        <v>670</v>
      </c>
      <c r="AB3721" s="1008" t="s">
        <v>670</v>
      </c>
      <c r="AC3721" s="1008" t="s">
        <v>670</v>
      </c>
      <c r="AD3721" s="1008" t="s">
        <v>670</v>
      </c>
      <c r="AE3721" s="1008"/>
      <c r="AF3721" s="1008" t="s">
        <v>670</v>
      </c>
      <c r="AG3721" s="1008"/>
      <c r="AH3721" s="1008"/>
      <c r="AI3721" s="1008"/>
    </row>
    <row r="3722" spans="1:35">
      <c r="A3722" s="1008">
        <v>27098</v>
      </c>
      <c r="B3722" s="1008">
        <v>5928</v>
      </c>
      <c r="C3722" s="1008">
        <v>6</v>
      </c>
      <c r="D3722" s="1009">
        <v>81629999</v>
      </c>
      <c r="E3722" s="1009">
        <v>81629000</v>
      </c>
      <c r="F3722" s="1007" t="s">
        <v>1200</v>
      </c>
      <c r="G3722" s="1007" t="s">
        <v>648</v>
      </c>
      <c r="H3722" s="1010">
        <v>99999999</v>
      </c>
      <c r="I3722" s="1009">
        <v>81629000</v>
      </c>
      <c r="J3722" s="1007" t="s">
        <v>1200</v>
      </c>
      <c r="O3722" s="1007" t="s">
        <v>648</v>
      </c>
      <c r="P3722" s="1007" t="s">
        <v>648</v>
      </c>
      <c r="S3722" s="1008" t="s">
        <v>650</v>
      </c>
      <c r="T3722" s="1008" t="s">
        <v>654</v>
      </c>
      <c r="U3722" s="1008" t="s">
        <v>653</v>
      </c>
      <c r="V3722" s="1008" t="s">
        <v>648</v>
      </c>
      <c r="W3722" s="1008" t="s">
        <v>546</v>
      </c>
      <c r="X3722" s="1008" t="s">
        <v>670</v>
      </c>
      <c r="Y3722" s="1008" t="s">
        <v>670</v>
      </c>
      <c r="Z3722" s="1008" t="s">
        <v>670</v>
      </c>
      <c r="AA3722" s="1008" t="s">
        <v>670</v>
      </c>
      <c r="AB3722" s="1008" t="s">
        <v>670</v>
      </c>
      <c r="AC3722" s="1008" t="s">
        <v>670</v>
      </c>
      <c r="AD3722" s="1008" t="s">
        <v>670</v>
      </c>
      <c r="AE3722" s="1008"/>
      <c r="AF3722" s="1008" t="s">
        <v>670</v>
      </c>
      <c r="AG3722" s="1008"/>
      <c r="AH3722" s="1008"/>
      <c r="AI3722" s="1008"/>
    </row>
    <row r="3723" spans="1:35">
      <c r="A3723" s="1008">
        <v>26268</v>
      </c>
      <c r="C3723" s="1008">
        <v>5</v>
      </c>
      <c r="D3723" s="1009">
        <v>81699999</v>
      </c>
      <c r="E3723" s="1009">
        <v>81629999</v>
      </c>
      <c r="F3723" s="1007" t="s">
        <v>1199</v>
      </c>
      <c r="O3723" s="1007" t="s">
        <v>648</v>
      </c>
      <c r="P3723" s="1007" t="s">
        <v>648</v>
      </c>
      <c r="S3723" s="1008" t="s">
        <v>650</v>
      </c>
      <c r="T3723" s="1008" t="s">
        <v>21</v>
      </c>
      <c r="U3723" s="1008" t="s">
        <v>653</v>
      </c>
      <c r="V3723" s="1008" t="s">
        <v>648</v>
      </c>
      <c r="W3723" s="1008" t="s">
        <v>546</v>
      </c>
      <c r="X3723" s="1008"/>
      <c r="Y3723" s="1008"/>
      <c r="Z3723" s="1008"/>
      <c r="AA3723" s="1008"/>
      <c r="AB3723" s="1008"/>
      <c r="AC3723" s="1008"/>
      <c r="AD3723" s="1008"/>
      <c r="AE3723" s="1008"/>
      <c r="AF3723" s="1008"/>
      <c r="AG3723" s="1008"/>
      <c r="AH3723" s="1008"/>
      <c r="AI3723" s="1008"/>
    </row>
    <row r="3724" spans="1:35">
      <c r="A3724" s="1008">
        <v>26267</v>
      </c>
      <c r="C3724" s="1008">
        <v>5</v>
      </c>
      <c r="D3724" s="1009">
        <v>81639999</v>
      </c>
      <c r="E3724" s="1009">
        <v>81630000</v>
      </c>
      <c r="F3724" s="1007" t="s">
        <v>1198</v>
      </c>
      <c r="O3724" s="1007" t="s">
        <v>648</v>
      </c>
      <c r="P3724" s="1007" t="s">
        <v>648</v>
      </c>
      <c r="S3724" s="1008" t="s">
        <v>650</v>
      </c>
      <c r="T3724" s="1008" t="s">
        <v>675</v>
      </c>
      <c r="U3724" s="1008" t="s">
        <v>653</v>
      </c>
      <c r="V3724" s="1008" t="s">
        <v>648</v>
      </c>
      <c r="W3724" s="1008" t="s">
        <v>546</v>
      </c>
      <c r="X3724" s="1008"/>
      <c r="Y3724" s="1008"/>
      <c r="Z3724" s="1008"/>
      <c r="AA3724" s="1008"/>
      <c r="AB3724" s="1008"/>
      <c r="AC3724" s="1008"/>
      <c r="AD3724" s="1008"/>
      <c r="AE3724" s="1008"/>
      <c r="AF3724" s="1008"/>
      <c r="AG3724" s="1008"/>
      <c r="AH3724" s="1008"/>
      <c r="AI3724" s="1008"/>
    </row>
    <row r="3725" spans="1:35">
      <c r="A3725" s="1008">
        <v>26266</v>
      </c>
      <c r="B3725" s="1008">
        <v>2468</v>
      </c>
      <c r="C3725" s="1008">
        <v>6</v>
      </c>
      <c r="D3725" s="1009">
        <v>81639999</v>
      </c>
      <c r="E3725" s="1009">
        <v>81631000</v>
      </c>
      <c r="F3725" s="1007" t="s">
        <v>1197</v>
      </c>
      <c r="G3725" s="1007">
        <v>6</v>
      </c>
      <c r="H3725" s="1010">
        <v>99999999</v>
      </c>
      <c r="I3725" s="1009">
        <v>81631000</v>
      </c>
      <c r="J3725" s="1007" t="s">
        <v>1197</v>
      </c>
      <c r="O3725" s="1007" t="s">
        <v>648</v>
      </c>
      <c r="P3725" s="1007" t="s">
        <v>648</v>
      </c>
      <c r="S3725" s="1008" t="s">
        <v>650</v>
      </c>
      <c r="T3725" s="1008" t="s">
        <v>654</v>
      </c>
      <c r="U3725" s="1008" t="s">
        <v>653</v>
      </c>
      <c r="V3725" s="1008" t="s">
        <v>648</v>
      </c>
      <c r="W3725" s="1008" t="s">
        <v>546</v>
      </c>
      <c r="X3725" s="1008" t="s">
        <v>670</v>
      </c>
      <c r="Y3725" s="1008" t="s">
        <v>670</v>
      </c>
      <c r="Z3725" s="1008" t="s">
        <v>670</v>
      </c>
      <c r="AA3725" s="1008" t="s">
        <v>670</v>
      </c>
      <c r="AB3725" s="1008" t="s">
        <v>670</v>
      </c>
      <c r="AC3725" s="1008" t="s">
        <v>670</v>
      </c>
      <c r="AD3725" s="1008" t="s">
        <v>670</v>
      </c>
      <c r="AE3725" s="1008"/>
      <c r="AF3725" s="1008" t="s">
        <v>670</v>
      </c>
      <c r="AG3725" s="1008"/>
      <c r="AH3725" s="1008"/>
      <c r="AI3725" s="1008"/>
    </row>
    <row r="3726" spans="1:35">
      <c r="A3726" s="1008">
        <v>26265</v>
      </c>
      <c r="B3726" s="1008">
        <v>2469</v>
      </c>
      <c r="C3726" s="1008">
        <v>6</v>
      </c>
      <c r="D3726" s="1009">
        <v>81639999</v>
      </c>
      <c r="E3726" s="1009">
        <v>81632000</v>
      </c>
      <c r="F3726" s="1007" t="s">
        <v>1196</v>
      </c>
      <c r="G3726" s="1007">
        <v>6</v>
      </c>
      <c r="H3726" s="1010">
        <v>99999999</v>
      </c>
      <c r="I3726" s="1009">
        <v>81632000</v>
      </c>
      <c r="J3726" s="1007" t="s">
        <v>1196</v>
      </c>
      <c r="O3726" s="1007" t="s">
        <v>648</v>
      </c>
      <c r="P3726" s="1007" t="s">
        <v>648</v>
      </c>
      <c r="S3726" s="1008" t="s">
        <v>650</v>
      </c>
      <c r="T3726" s="1008" t="s">
        <v>654</v>
      </c>
      <c r="U3726" s="1008" t="s">
        <v>653</v>
      </c>
      <c r="V3726" s="1008" t="s">
        <v>648</v>
      </c>
      <c r="W3726" s="1008" t="s">
        <v>546</v>
      </c>
      <c r="X3726" s="1008" t="s">
        <v>670</v>
      </c>
      <c r="Y3726" s="1008" t="s">
        <v>670</v>
      </c>
      <c r="Z3726" s="1008" t="s">
        <v>670</v>
      </c>
      <c r="AA3726" s="1008" t="s">
        <v>670</v>
      </c>
      <c r="AB3726" s="1008" t="s">
        <v>670</v>
      </c>
      <c r="AC3726" s="1008" t="s">
        <v>670</v>
      </c>
      <c r="AD3726" s="1008" t="s">
        <v>670</v>
      </c>
      <c r="AE3726" s="1008"/>
      <c r="AF3726" s="1008" t="s">
        <v>670</v>
      </c>
      <c r="AG3726" s="1008"/>
      <c r="AH3726" s="1008"/>
      <c r="AI3726" s="1008"/>
    </row>
    <row r="3727" spans="1:35">
      <c r="A3727" s="1008">
        <v>26264</v>
      </c>
      <c r="B3727" s="1008">
        <v>2470</v>
      </c>
      <c r="C3727" s="1008">
        <v>6</v>
      </c>
      <c r="D3727" s="1009">
        <v>81639999</v>
      </c>
      <c r="E3727" s="1009">
        <v>81633000</v>
      </c>
      <c r="F3727" s="1007" t="s">
        <v>1195</v>
      </c>
      <c r="G3727" s="1007">
        <v>6</v>
      </c>
      <c r="H3727" s="1010">
        <v>99999999</v>
      </c>
      <c r="I3727" s="1009">
        <v>81633000</v>
      </c>
      <c r="J3727" s="1007" t="s">
        <v>1195</v>
      </c>
      <c r="O3727" s="1007" t="s">
        <v>648</v>
      </c>
      <c r="P3727" s="1007" t="s">
        <v>648</v>
      </c>
      <c r="S3727" s="1008" t="s">
        <v>650</v>
      </c>
      <c r="T3727" s="1008" t="s">
        <v>654</v>
      </c>
      <c r="U3727" s="1008" t="s">
        <v>653</v>
      </c>
      <c r="V3727" s="1008" t="s">
        <v>648</v>
      </c>
      <c r="W3727" s="1008" t="s">
        <v>546</v>
      </c>
      <c r="X3727" s="1008" t="s">
        <v>670</v>
      </c>
      <c r="Y3727" s="1008" t="s">
        <v>670</v>
      </c>
      <c r="Z3727" s="1008" t="s">
        <v>670</v>
      </c>
      <c r="AA3727" s="1008" t="s">
        <v>670</v>
      </c>
      <c r="AB3727" s="1008" t="s">
        <v>670</v>
      </c>
      <c r="AC3727" s="1008" t="s">
        <v>670</v>
      </c>
      <c r="AD3727" s="1008" t="s">
        <v>670</v>
      </c>
      <c r="AE3727" s="1008"/>
      <c r="AF3727" s="1008" t="s">
        <v>670</v>
      </c>
      <c r="AG3727" s="1008"/>
      <c r="AH3727" s="1008"/>
      <c r="AI3727" s="1008"/>
    </row>
    <row r="3728" spans="1:35">
      <c r="A3728" s="1008">
        <v>26263</v>
      </c>
      <c r="B3728" s="1008">
        <v>2471</v>
      </c>
      <c r="C3728" s="1008">
        <v>6</v>
      </c>
      <c r="D3728" s="1009">
        <v>81639999</v>
      </c>
      <c r="E3728" s="1009">
        <v>81634000</v>
      </c>
      <c r="F3728" s="1007" t="s">
        <v>1194</v>
      </c>
      <c r="G3728" s="1007">
        <v>6</v>
      </c>
      <c r="H3728" s="1010">
        <v>99999999</v>
      </c>
      <c r="I3728" s="1009">
        <v>81634000</v>
      </c>
      <c r="J3728" s="1007" t="s">
        <v>1194</v>
      </c>
      <c r="O3728" s="1007" t="s">
        <v>648</v>
      </c>
      <c r="P3728" s="1007" t="s">
        <v>648</v>
      </c>
      <c r="S3728" s="1008" t="s">
        <v>650</v>
      </c>
      <c r="T3728" s="1008" t="s">
        <v>654</v>
      </c>
      <c r="U3728" s="1008" t="s">
        <v>653</v>
      </c>
      <c r="V3728" s="1008" t="s">
        <v>648</v>
      </c>
      <c r="W3728" s="1008" t="s">
        <v>546</v>
      </c>
      <c r="X3728" s="1008" t="s">
        <v>670</v>
      </c>
      <c r="Y3728" s="1008" t="s">
        <v>670</v>
      </c>
      <c r="Z3728" s="1008" t="s">
        <v>670</v>
      </c>
      <c r="AA3728" s="1008" t="s">
        <v>670</v>
      </c>
      <c r="AB3728" s="1008" t="s">
        <v>670</v>
      </c>
      <c r="AC3728" s="1008" t="s">
        <v>670</v>
      </c>
      <c r="AD3728" s="1008" t="s">
        <v>670</v>
      </c>
      <c r="AE3728" s="1008"/>
      <c r="AF3728" s="1008" t="s">
        <v>670</v>
      </c>
      <c r="AG3728" s="1008"/>
      <c r="AH3728" s="1008"/>
      <c r="AI3728" s="1008"/>
    </row>
    <row r="3729" spans="1:35">
      <c r="A3729" s="1008">
        <v>26262</v>
      </c>
      <c r="B3729" s="1008">
        <v>5595</v>
      </c>
      <c r="C3729" s="1008">
        <v>6</v>
      </c>
      <c r="D3729" s="1009">
        <v>81639999</v>
      </c>
      <c r="E3729" s="1009">
        <v>81635000</v>
      </c>
      <c r="F3729" s="1007" t="s">
        <v>1193</v>
      </c>
      <c r="G3729" s="1007">
        <v>6</v>
      </c>
      <c r="H3729" s="1010">
        <v>99999999</v>
      </c>
      <c r="I3729" s="1009">
        <v>81635000</v>
      </c>
      <c r="J3729" s="1007" t="s">
        <v>1193</v>
      </c>
      <c r="O3729" s="1007" t="s">
        <v>648</v>
      </c>
      <c r="P3729" s="1007" t="s">
        <v>648</v>
      </c>
      <c r="S3729" s="1008" t="s">
        <v>650</v>
      </c>
      <c r="T3729" s="1008" t="s">
        <v>654</v>
      </c>
      <c r="U3729" s="1008" t="s">
        <v>653</v>
      </c>
      <c r="V3729" s="1008" t="s">
        <v>648</v>
      </c>
      <c r="W3729" s="1008" t="s">
        <v>546</v>
      </c>
      <c r="X3729" s="1008" t="s">
        <v>670</v>
      </c>
      <c r="Y3729" s="1008" t="s">
        <v>670</v>
      </c>
      <c r="Z3729" s="1008" t="s">
        <v>670</v>
      </c>
      <c r="AA3729" s="1008" t="s">
        <v>670</v>
      </c>
      <c r="AB3729" s="1008" t="s">
        <v>670</v>
      </c>
      <c r="AC3729" s="1008" t="s">
        <v>670</v>
      </c>
      <c r="AD3729" s="1008" t="s">
        <v>670</v>
      </c>
      <c r="AE3729" s="1008"/>
      <c r="AF3729" s="1008" t="s">
        <v>670</v>
      </c>
      <c r="AG3729" s="1008"/>
      <c r="AH3729" s="1008"/>
      <c r="AI3729" s="1008"/>
    </row>
    <row r="3730" spans="1:35">
      <c r="A3730" s="1008">
        <v>26261</v>
      </c>
      <c r="C3730" s="1008">
        <v>5</v>
      </c>
      <c r="D3730" s="1009">
        <v>81699999</v>
      </c>
      <c r="E3730" s="1009">
        <v>81639999</v>
      </c>
      <c r="F3730" s="1007" t="s">
        <v>1192</v>
      </c>
      <c r="O3730" s="1007" t="s">
        <v>648</v>
      </c>
      <c r="P3730" s="1007" t="s">
        <v>648</v>
      </c>
      <c r="S3730" s="1008" t="s">
        <v>650</v>
      </c>
      <c r="T3730" s="1008" t="s">
        <v>21</v>
      </c>
      <c r="U3730" s="1008" t="s">
        <v>653</v>
      </c>
      <c r="V3730" s="1008" t="s">
        <v>648</v>
      </c>
      <c r="W3730" s="1008" t="s">
        <v>546</v>
      </c>
      <c r="X3730" s="1008"/>
      <c r="Y3730" s="1008"/>
      <c r="Z3730" s="1008"/>
      <c r="AA3730" s="1008"/>
      <c r="AB3730" s="1008"/>
      <c r="AC3730" s="1008"/>
      <c r="AD3730" s="1008"/>
      <c r="AE3730" s="1008"/>
      <c r="AF3730" s="1008"/>
      <c r="AG3730" s="1008"/>
      <c r="AH3730" s="1008"/>
      <c r="AI3730" s="1008"/>
    </row>
    <row r="3731" spans="1:35">
      <c r="A3731" s="1008">
        <v>26260</v>
      </c>
      <c r="C3731" s="1008">
        <v>5</v>
      </c>
      <c r="D3731" s="1009">
        <v>81649999</v>
      </c>
      <c r="E3731" s="1009">
        <v>81640000</v>
      </c>
      <c r="F3731" s="1007" t="s">
        <v>1191</v>
      </c>
      <c r="O3731" s="1007" t="s">
        <v>648</v>
      </c>
      <c r="P3731" s="1007" t="s">
        <v>648</v>
      </c>
      <c r="S3731" s="1008" t="s">
        <v>650</v>
      </c>
      <c r="T3731" s="1008" t="s">
        <v>675</v>
      </c>
      <c r="U3731" s="1008" t="s">
        <v>653</v>
      </c>
      <c r="V3731" s="1008" t="s">
        <v>648</v>
      </c>
      <c r="W3731" s="1008" t="s">
        <v>546</v>
      </c>
      <c r="X3731" s="1008"/>
      <c r="Y3731" s="1008"/>
      <c r="Z3731" s="1008"/>
      <c r="AA3731" s="1008"/>
      <c r="AB3731" s="1008"/>
      <c r="AC3731" s="1008"/>
      <c r="AD3731" s="1008"/>
      <c r="AE3731" s="1008"/>
      <c r="AF3731" s="1008"/>
      <c r="AG3731" s="1008"/>
      <c r="AH3731" s="1008"/>
      <c r="AI3731" s="1008"/>
    </row>
    <row r="3732" spans="1:35">
      <c r="A3732" s="1008">
        <v>26259</v>
      </c>
      <c r="B3732" s="1008">
        <v>2473</v>
      </c>
      <c r="C3732" s="1008">
        <v>6</v>
      </c>
      <c r="D3732" s="1009">
        <v>81649999</v>
      </c>
      <c r="E3732" s="1009">
        <v>81641000</v>
      </c>
      <c r="F3732" s="1007" t="s">
        <v>1190</v>
      </c>
      <c r="G3732" s="1007">
        <v>6</v>
      </c>
      <c r="H3732" s="1010">
        <v>99999999</v>
      </c>
      <c r="I3732" s="1009">
        <v>81641000</v>
      </c>
      <c r="J3732" s="1007" t="s">
        <v>1190</v>
      </c>
      <c r="O3732" s="1007" t="s">
        <v>648</v>
      </c>
      <c r="P3732" s="1007" t="s">
        <v>648</v>
      </c>
      <c r="S3732" s="1008" t="s">
        <v>650</v>
      </c>
      <c r="T3732" s="1008" t="s">
        <v>654</v>
      </c>
      <c r="U3732" s="1008" t="s">
        <v>653</v>
      </c>
      <c r="V3732" s="1008" t="s">
        <v>648</v>
      </c>
      <c r="W3732" s="1008" t="s">
        <v>546</v>
      </c>
      <c r="X3732" s="1008" t="s">
        <v>670</v>
      </c>
      <c r="Y3732" s="1008" t="s">
        <v>670</v>
      </c>
      <c r="Z3732" s="1008" t="s">
        <v>670</v>
      </c>
      <c r="AA3732" s="1008" t="s">
        <v>670</v>
      </c>
      <c r="AB3732" s="1008" t="s">
        <v>670</v>
      </c>
      <c r="AC3732" s="1008" t="s">
        <v>670</v>
      </c>
      <c r="AD3732" s="1008" t="s">
        <v>670</v>
      </c>
      <c r="AE3732" s="1008"/>
      <c r="AF3732" s="1008" t="s">
        <v>670</v>
      </c>
      <c r="AG3732" s="1008"/>
      <c r="AH3732" s="1008"/>
      <c r="AI3732" s="1008"/>
    </row>
    <row r="3733" spans="1:35">
      <c r="A3733" s="1008">
        <v>26258</v>
      </c>
      <c r="B3733" s="1008">
        <v>2474</v>
      </c>
      <c r="C3733" s="1008">
        <v>6</v>
      </c>
      <c r="D3733" s="1009">
        <v>81649999</v>
      </c>
      <c r="E3733" s="1009">
        <v>81642000</v>
      </c>
      <c r="F3733" s="1007" t="s">
        <v>1189</v>
      </c>
      <c r="G3733" s="1007">
        <v>6</v>
      </c>
      <c r="H3733" s="1010">
        <v>99999999</v>
      </c>
      <c r="I3733" s="1009">
        <v>81642000</v>
      </c>
      <c r="J3733" s="1007" t="s">
        <v>1189</v>
      </c>
      <c r="O3733" s="1007" t="s">
        <v>648</v>
      </c>
      <c r="P3733" s="1007" t="s">
        <v>648</v>
      </c>
      <c r="S3733" s="1008" t="s">
        <v>650</v>
      </c>
      <c r="T3733" s="1008" t="s">
        <v>654</v>
      </c>
      <c r="U3733" s="1008" t="s">
        <v>653</v>
      </c>
      <c r="V3733" s="1008" t="s">
        <v>648</v>
      </c>
      <c r="W3733" s="1008" t="s">
        <v>546</v>
      </c>
      <c r="X3733" s="1008" t="s">
        <v>670</v>
      </c>
      <c r="Y3733" s="1008" t="s">
        <v>670</v>
      </c>
      <c r="Z3733" s="1008" t="s">
        <v>670</v>
      </c>
      <c r="AA3733" s="1008" t="s">
        <v>670</v>
      </c>
      <c r="AB3733" s="1008" t="s">
        <v>670</v>
      </c>
      <c r="AC3733" s="1008" t="s">
        <v>670</v>
      </c>
      <c r="AD3733" s="1008" t="s">
        <v>670</v>
      </c>
      <c r="AE3733" s="1008"/>
      <c r="AF3733" s="1008" t="s">
        <v>670</v>
      </c>
      <c r="AG3733" s="1008"/>
      <c r="AH3733" s="1008"/>
      <c r="AI3733" s="1008"/>
    </row>
    <row r="3734" spans="1:35">
      <c r="A3734" s="1008">
        <v>26257</v>
      </c>
      <c r="B3734" s="1008">
        <v>2475</v>
      </c>
      <c r="C3734" s="1008">
        <v>6</v>
      </c>
      <c r="D3734" s="1009">
        <v>81649999</v>
      </c>
      <c r="E3734" s="1009">
        <v>81643000</v>
      </c>
      <c r="F3734" s="1007" t="s">
        <v>1188</v>
      </c>
      <c r="G3734" s="1007">
        <v>6</v>
      </c>
      <c r="H3734" s="1010">
        <v>99999999</v>
      </c>
      <c r="I3734" s="1009">
        <v>81643000</v>
      </c>
      <c r="J3734" s="1007" t="s">
        <v>1188</v>
      </c>
      <c r="O3734" s="1007" t="s">
        <v>648</v>
      </c>
      <c r="P3734" s="1007" t="s">
        <v>648</v>
      </c>
      <c r="S3734" s="1008" t="s">
        <v>650</v>
      </c>
      <c r="T3734" s="1008" t="s">
        <v>654</v>
      </c>
      <c r="U3734" s="1008" t="s">
        <v>653</v>
      </c>
      <c r="V3734" s="1008" t="s">
        <v>648</v>
      </c>
      <c r="W3734" s="1008" t="s">
        <v>546</v>
      </c>
      <c r="X3734" s="1008" t="s">
        <v>670</v>
      </c>
      <c r="Y3734" s="1008" t="s">
        <v>670</v>
      </c>
      <c r="Z3734" s="1008" t="s">
        <v>670</v>
      </c>
      <c r="AA3734" s="1008" t="s">
        <v>670</v>
      </c>
      <c r="AB3734" s="1008" t="s">
        <v>670</v>
      </c>
      <c r="AC3734" s="1008" t="s">
        <v>670</v>
      </c>
      <c r="AD3734" s="1008" t="s">
        <v>670</v>
      </c>
      <c r="AE3734" s="1008"/>
      <c r="AF3734" s="1008" t="s">
        <v>670</v>
      </c>
      <c r="AG3734" s="1008"/>
      <c r="AH3734" s="1008"/>
      <c r="AI3734" s="1008"/>
    </row>
    <row r="3735" spans="1:35">
      <c r="A3735" s="1008">
        <v>26513</v>
      </c>
      <c r="B3735" s="1008">
        <v>5597</v>
      </c>
      <c r="C3735" s="1008">
        <v>6</v>
      </c>
      <c r="D3735" s="1009">
        <v>81649999</v>
      </c>
      <c r="E3735" s="1009">
        <v>81644000</v>
      </c>
      <c r="F3735" s="1007" t="s">
        <v>1187</v>
      </c>
      <c r="G3735" s="1007">
        <v>6</v>
      </c>
      <c r="H3735" s="1010">
        <v>99999999</v>
      </c>
      <c r="I3735" s="1009">
        <v>81644000</v>
      </c>
      <c r="J3735" s="1007" t="s">
        <v>1187</v>
      </c>
      <c r="O3735" s="1007" t="s">
        <v>648</v>
      </c>
      <c r="P3735" s="1007" t="s">
        <v>648</v>
      </c>
      <c r="S3735" s="1008" t="s">
        <v>650</v>
      </c>
      <c r="T3735" s="1008" t="s">
        <v>654</v>
      </c>
      <c r="U3735" s="1008" t="s">
        <v>653</v>
      </c>
      <c r="V3735" s="1008" t="s">
        <v>648</v>
      </c>
      <c r="W3735" s="1008" t="s">
        <v>546</v>
      </c>
      <c r="X3735" s="1008" t="s">
        <v>670</v>
      </c>
      <c r="Y3735" s="1008" t="s">
        <v>670</v>
      </c>
      <c r="Z3735" s="1008" t="s">
        <v>670</v>
      </c>
      <c r="AA3735" s="1008" t="s">
        <v>670</v>
      </c>
      <c r="AB3735" s="1008" t="s">
        <v>670</v>
      </c>
      <c r="AC3735" s="1008" t="s">
        <v>670</v>
      </c>
      <c r="AD3735" s="1008" t="s">
        <v>670</v>
      </c>
      <c r="AE3735" s="1008"/>
      <c r="AF3735" s="1008" t="s">
        <v>670</v>
      </c>
      <c r="AG3735" s="1008"/>
      <c r="AH3735" s="1008"/>
      <c r="AI3735" s="1008"/>
    </row>
    <row r="3736" spans="1:35">
      <c r="A3736" s="1008">
        <v>26256</v>
      </c>
      <c r="C3736" s="1008">
        <v>5</v>
      </c>
      <c r="D3736" s="1009">
        <v>81699999</v>
      </c>
      <c r="E3736" s="1009">
        <v>81649999</v>
      </c>
      <c r="F3736" s="1007" t="s">
        <v>1186</v>
      </c>
      <c r="O3736" s="1007" t="s">
        <v>648</v>
      </c>
      <c r="P3736" s="1007" t="s">
        <v>648</v>
      </c>
      <c r="S3736" s="1008" t="s">
        <v>650</v>
      </c>
      <c r="T3736" s="1008" t="s">
        <v>21</v>
      </c>
      <c r="U3736" s="1008" t="s">
        <v>653</v>
      </c>
      <c r="V3736" s="1008" t="s">
        <v>648</v>
      </c>
      <c r="W3736" s="1008" t="s">
        <v>546</v>
      </c>
      <c r="X3736" s="1008"/>
      <c r="Y3736" s="1008"/>
      <c r="Z3736" s="1008"/>
      <c r="AA3736" s="1008"/>
      <c r="AB3736" s="1008"/>
      <c r="AC3736" s="1008"/>
      <c r="AD3736" s="1008"/>
      <c r="AE3736" s="1008"/>
      <c r="AF3736" s="1008"/>
      <c r="AG3736" s="1008"/>
      <c r="AH3736" s="1008"/>
      <c r="AI3736" s="1008"/>
    </row>
    <row r="3737" spans="1:35">
      <c r="A3737" s="1008">
        <v>26255</v>
      </c>
      <c r="C3737" s="1008">
        <v>4</v>
      </c>
      <c r="D3737" s="1009">
        <v>83519999</v>
      </c>
      <c r="E3737" s="1009">
        <v>81699999</v>
      </c>
      <c r="F3737" s="1007" t="s">
        <v>1185</v>
      </c>
      <c r="O3737" s="1007" t="s">
        <v>648</v>
      </c>
      <c r="P3737" s="1007" t="s">
        <v>648</v>
      </c>
      <c r="S3737" s="1008" t="s">
        <v>650</v>
      </c>
      <c r="T3737" s="1008" t="s">
        <v>21</v>
      </c>
      <c r="U3737" s="1008" t="s">
        <v>653</v>
      </c>
      <c r="V3737" s="1008" t="s">
        <v>648</v>
      </c>
      <c r="W3737" s="1008" t="s">
        <v>546</v>
      </c>
      <c r="X3737" s="1008"/>
      <c r="Y3737" s="1008"/>
      <c r="Z3737" s="1008"/>
      <c r="AA3737" s="1008"/>
      <c r="AB3737" s="1008"/>
      <c r="AC3737" s="1008"/>
      <c r="AD3737" s="1008"/>
      <c r="AE3737" s="1008"/>
      <c r="AF3737" s="1008"/>
      <c r="AG3737" s="1008"/>
      <c r="AH3737" s="1008"/>
      <c r="AI3737" s="1008"/>
    </row>
    <row r="3738" spans="1:35">
      <c r="A3738" s="1008">
        <v>26254</v>
      </c>
      <c r="C3738" s="1008">
        <v>4</v>
      </c>
      <c r="D3738" s="1009">
        <v>81799999</v>
      </c>
      <c r="E3738" s="1009">
        <v>81700000</v>
      </c>
      <c r="F3738" s="1007" t="s">
        <v>1184</v>
      </c>
      <c r="O3738" s="1007" t="s">
        <v>648</v>
      </c>
      <c r="P3738" s="1007" t="s">
        <v>648</v>
      </c>
      <c r="S3738" s="1008" t="s">
        <v>650</v>
      </c>
      <c r="T3738" s="1008" t="s">
        <v>675</v>
      </c>
      <c r="U3738" s="1008" t="s">
        <v>653</v>
      </c>
      <c r="V3738" s="1008" t="s">
        <v>648</v>
      </c>
      <c r="W3738" s="1008" t="s">
        <v>546</v>
      </c>
      <c r="X3738" s="1008"/>
      <c r="Y3738" s="1008"/>
      <c r="Z3738" s="1008"/>
      <c r="AA3738" s="1008"/>
      <c r="AB3738" s="1008"/>
      <c r="AC3738" s="1008"/>
      <c r="AD3738" s="1008"/>
      <c r="AE3738" s="1008"/>
      <c r="AF3738" s="1008"/>
      <c r="AG3738" s="1008"/>
      <c r="AH3738" s="1008"/>
      <c r="AI3738" s="1008"/>
    </row>
    <row r="3739" spans="1:35">
      <c r="A3739" s="1008">
        <v>26253</v>
      </c>
      <c r="C3739" s="1008">
        <v>5</v>
      </c>
      <c r="D3739" s="1009">
        <v>81719999</v>
      </c>
      <c r="E3739" s="1009">
        <v>81710000</v>
      </c>
      <c r="F3739" s="1007" t="s">
        <v>1184</v>
      </c>
      <c r="O3739" s="1007" t="s">
        <v>648</v>
      </c>
      <c r="P3739" s="1007" t="s">
        <v>648</v>
      </c>
      <c r="S3739" s="1008" t="s">
        <v>650</v>
      </c>
      <c r="T3739" s="1008" t="s">
        <v>675</v>
      </c>
      <c r="U3739" s="1008" t="s">
        <v>653</v>
      </c>
      <c r="V3739" s="1008" t="s">
        <v>648</v>
      </c>
      <c r="W3739" s="1008" t="s">
        <v>546</v>
      </c>
      <c r="X3739" s="1008"/>
      <c r="Y3739" s="1008"/>
      <c r="Z3739" s="1008"/>
      <c r="AA3739" s="1008"/>
      <c r="AB3739" s="1008"/>
      <c r="AC3739" s="1008"/>
      <c r="AD3739" s="1008"/>
      <c r="AE3739" s="1008"/>
      <c r="AF3739" s="1008"/>
      <c r="AG3739" s="1008"/>
      <c r="AH3739" s="1008"/>
      <c r="AI3739" s="1008"/>
    </row>
    <row r="3740" spans="1:35">
      <c r="A3740" s="1008">
        <v>26252</v>
      </c>
      <c r="B3740" s="1008">
        <v>2477</v>
      </c>
      <c r="C3740" s="1008">
        <v>6</v>
      </c>
      <c r="D3740" s="1009">
        <v>81719999</v>
      </c>
      <c r="E3740" s="1009">
        <v>81711000</v>
      </c>
      <c r="F3740" s="1007" t="s">
        <v>1183</v>
      </c>
      <c r="G3740" s="1007">
        <v>6</v>
      </c>
      <c r="H3740" s="1010">
        <v>99999999</v>
      </c>
      <c r="I3740" s="1009">
        <v>81711000</v>
      </c>
      <c r="J3740" s="1007" t="s">
        <v>1183</v>
      </c>
      <c r="O3740" s="1007" t="s">
        <v>648</v>
      </c>
      <c r="P3740" s="1007" t="s">
        <v>648</v>
      </c>
      <c r="S3740" s="1008" t="s">
        <v>650</v>
      </c>
      <c r="T3740" s="1008" t="s">
        <v>654</v>
      </c>
      <c r="U3740" s="1008" t="s">
        <v>653</v>
      </c>
      <c r="V3740" s="1008" t="s">
        <v>648</v>
      </c>
      <c r="W3740" s="1008" t="s">
        <v>546</v>
      </c>
      <c r="X3740" s="1008" t="s">
        <v>670</v>
      </c>
      <c r="Y3740" s="1008" t="s">
        <v>670</v>
      </c>
      <c r="Z3740" s="1008" t="s">
        <v>670</v>
      </c>
      <c r="AA3740" s="1008" t="s">
        <v>670</v>
      </c>
      <c r="AB3740" s="1008" t="s">
        <v>670</v>
      </c>
      <c r="AC3740" s="1008" t="s">
        <v>670</v>
      </c>
      <c r="AD3740" s="1008" t="s">
        <v>670</v>
      </c>
      <c r="AE3740" s="1008"/>
      <c r="AF3740" s="1008" t="s">
        <v>670</v>
      </c>
      <c r="AG3740" s="1008"/>
      <c r="AH3740" s="1008"/>
      <c r="AI3740" s="1008"/>
    </row>
    <row r="3741" spans="1:35">
      <c r="A3741" s="1008">
        <v>26251</v>
      </c>
      <c r="B3741" s="1008">
        <v>2478</v>
      </c>
      <c r="C3741" s="1008">
        <v>6</v>
      </c>
      <c r="D3741" s="1009">
        <v>81719999</v>
      </c>
      <c r="E3741" s="1009">
        <v>81712000</v>
      </c>
      <c r="F3741" s="1007" t="s">
        <v>1182</v>
      </c>
      <c r="G3741" s="1007">
        <v>6</v>
      </c>
      <c r="H3741" s="1010">
        <v>99999999</v>
      </c>
      <c r="I3741" s="1009">
        <v>81712000</v>
      </c>
      <c r="J3741" s="1007" t="s">
        <v>1182</v>
      </c>
      <c r="O3741" s="1007" t="s">
        <v>648</v>
      </c>
      <c r="P3741" s="1007" t="s">
        <v>648</v>
      </c>
      <c r="S3741" s="1008" t="s">
        <v>650</v>
      </c>
      <c r="T3741" s="1008" t="s">
        <v>654</v>
      </c>
      <c r="U3741" s="1008" t="s">
        <v>653</v>
      </c>
      <c r="V3741" s="1008" t="s">
        <v>648</v>
      </c>
      <c r="W3741" s="1008" t="s">
        <v>546</v>
      </c>
      <c r="X3741" s="1008" t="s">
        <v>670</v>
      </c>
      <c r="Y3741" s="1008" t="s">
        <v>670</v>
      </c>
      <c r="Z3741" s="1008" t="s">
        <v>670</v>
      </c>
      <c r="AA3741" s="1008" t="s">
        <v>670</v>
      </c>
      <c r="AB3741" s="1008" t="s">
        <v>670</v>
      </c>
      <c r="AC3741" s="1008" t="s">
        <v>670</v>
      </c>
      <c r="AD3741" s="1008" t="s">
        <v>670</v>
      </c>
      <c r="AE3741" s="1008"/>
      <c r="AF3741" s="1008" t="s">
        <v>670</v>
      </c>
      <c r="AG3741" s="1008"/>
      <c r="AH3741" s="1008"/>
      <c r="AI3741" s="1008"/>
    </row>
    <row r="3742" spans="1:35">
      <c r="A3742" s="1008">
        <v>26250</v>
      </c>
      <c r="B3742" s="1008">
        <v>5601</v>
      </c>
      <c r="C3742" s="1008">
        <v>6</v>
      </c>
      <c r="D3742" s="1009">
        <v>81719999</v>
      </c>
      <c r="E3742" s="1009">
        <v>81713000</v>
      </c>
      <c r="F3742" s="1007" t="s">
        <v>1181</v>
      </c>
      <c r="G3742" s="1007">
        <v>6</v>
      </c>
      <c r="H3742" s="1010">
        <v>99999999</v>
      </c>
      <c r="I3742" s="1009">
        <v>81713000</v>
      </c>
      <c r="J3742" s="1007" t="s">
        <v>1181</v>
      </c>
      <c r="O3742" s="1007" t="s">
        <v>648</v>
      </c>
      <c r="P3742" s="1007" t="s">
        <v>648</v>
      </c>
      <c r="S3742" s="1008" t="s">
        <v>650</v>
      </c>
      <c r="T3742" s="1008" t="s">
        <v>654</v>
      </c>
      <c r="U3742" s="1008" t="s">
        <v>653</v>
      </c>
      <c r="V3742" s="1008" t="s">
        <v>648</v>
      </c>
      <c r="W3742" s="1008" t="s">
        <v>546</v>
      </c>
      <c r="X3742" s="1008" t="s">
        <v>670</v>
      </c>
      <c r="Y3742" s="1008" t="s">
        <v>670</v>
      </c>
      <c r="Z3742" s="1008" t="s">
        <v>670</v>
      </c>
      <c r="AA3742" s="1008" t="s">
        <v>670</v>
      </c>
      <c r="AB3742" s="1008" t="s">
        <v>670</v>
      </c>
      <c r="AC3742" s="1008" t="s">
        <v>670</v>
      </c>
      <c r="AD3742" s="1008" t="s">
        <v>670</v>
      </c>
      <c r="AE3742" s="1008"/>
      <c r="AF3742" s="1008" t="s">
        <v>670</v>
      </c>
      <c r="AG3742" s="1008"/>
      <c r="AH3742" s="1008"/>
      <c r="AI3742" s="1008"/>
    </row>
    <row r="3743" spans="1:35">
      <c r="A3743" s="1008">
        <v>26249</v>
      </c>
      <c r="C3743" s="1008">
        <v>5</v>
      </c>
      <c r="D3743" s="1009">
        <v>81799999</v>
      </c>
      <c r="E3743" s="1009">
        <v>81719999</v>
      </c>
      <c r="F3743" s="1007" t="s">
        <v>1180</v>
      </c>
      <c r="O3743" s="1007" t="s">
        <v>648</v>
      </c>
      <c r="P3743" s="1007" t="s">
        <v>648</v>
      </c>
      <c r="S3743" s="1008" t="s">
        <v>650</v>
      </c>
      <c r="T3743" s="1008" t="s">
        <v>21</v>
      </c>
      <c r="U3743" s="1008" t="s">
        <v>653</v>
      </c>
      <c r="V3743" s="1008" t="s">
        <v>648</v>
      </c>
      <c r="W3743" s="1008" t="s">
        <v>546</v>
      </c>
      <c r="X3743" s="1008"/>
      <c r="Y3743" s="1008"/>
      <c r="Z3743" s="1008"/>
      <c r="AA3743" s="1008"/>
      <c r="AB3743" s="1008"/>
      <c r="AC3743" s="1008"/>
      <c r="AD3743" s="1008"/>
      <c r="AE3743" s="1008"/>
      <c r="AF3743" s="1008"/>
      <c r="AG3743" s="1008"/>
      <c r="AH3743" s="1008"/>
      <c r="AI3743" s="1008"/>
    </row>
    <row r="3744" spans="1:35">
      <c r="A3744" s="1008">
        <v>26248</v>
      </c>
      <c r="C3744" s="1008">
        <v>4</v>
      </c>
      <c r="D3744" s="1009">
        <v>83519999</v>
      </c>
      <c r="E3744" s="1009">
        <v>81799999</v>
      </c>
      <c r="F3744" s="1007" t="s">
        <v>1179</v>
      </c>
      <c r="O3744" s="1007" t="s">
        <v>648</v>
      </c>
      <c r="P3744" s="1007" t="s">
        <v>648</v>
      </c>
      <c r="S3744" s="1008" t="s">
        <v>650</v>
      </c>
      <c r="T3744" s="1008" t="s">
        <v>21</v>
      </c>
      <c r="U3744" s="1008" t="s">
        <v>653</v>
      </c>
      <c r="V3744" s="1008" t="s">
        <v>648</v>
      </c>
      <c r="W3744" s="1008" t="s">
        <v>546</v>
      </c>
      <c r="X3744" s="1008"/>
      <c r="Y3744" s="1008"/>
      <c r="Z3744" s="1008"/>
      <c r="AA3744" s="1008"/>
      <c r="AB3744" s="1008"/>
      <c r="AC3744" s="1008"/>
      <c r="AD3744" s="1008"/>
      <c r="AE3744" s="1008"/>
      <c r="AF3744" s="1008"/>
      <c r="AG3744" s="1008"/>
      <c r="AH3744" s="1008"/>
      <c r="AI3744" s="1008"/>
    </row>
    <row r="3745" spans="1:35">
      <c r="A3745" s="1008">
        <v>25541</v>
      </c>
      <c r="C3745" s="1008">
        <v>4</v>
      </c>
      <c r="D3745" s="1009">
        <v>82019999</v>
      </c>
      <c r="E3745" s="1009">
        <v>82001000</v>
      </c>
      <c r="F3745" s="1007" t="s">
        <v>1178</v>
      </c>
      <c r="O3745" s="1007" t="s">
        <v>648</v>
      </c>
      <c r="P3745" s="1007" t="s">
        <v>648</v>
      </c>
      <c r="S3745" s="1008" t="s">
        <v>650</v>
      </c>
      <c r="T3745" s="1008" t="s">
        <v>675</v>
      </c>
      <c r="U3745" s="1008" t="s">
        <v>653</v>
      </c>
      <c r="V3745" s="1008" t="s">
        <v>648</v>
      </c>
      <c r="W3745" s="1008" t="s">
        <v>546</v>
      </c>
      <c r="X3745" s="1008"/>
      <c r="Y3745" s="1008"/>
      <c r="Z3745" s="1008"/>
      <c r="AA3745" s="1008"/>
      <c r="AB3745" s="1008"/>
      <c r="AC3745" s="1008"/>
      <c r="AD3745" s="1008"/>
      <c r="AE3745" s="1008"/>
      <c r="AF3745" s="1008"/>
      <c r="AG3745" s="1008"/>
      <c r="AH3745" s="1008"/>
      <c r="AI3745" s="1008"/>
    </row>
    <row r="3746" spans="1:35">
      <c r="A3746" s="1008">
        <v>25542</v>
      </c>
      <c r="C3746" s="1008">
        <v>5</v>
      </c>
      <c r="D3746" s="1009">
        <v>82019900</v>
      </c>
      <c r="E3746" s="1009">
        <v>82010000</v>
      </c>
      <c r="F3746" s="1007" t="s">
        <v>1178</v>
      </c>
      <c r="O3746" s="1007" t="s">
        <v>648</v>
      </c>
      <c r="P3746" s="1007" t="s">
        <v>648</v>
      </c>
      <c r="S3746" s="1008" t="s">
        <v>650</v>
      </c>
      <c r="T3746" s="1008" t="s">
        <v>675</v>
      </c>
      <c r="U3746" s="1008" t="s">
        <v>653</v>
      </c>
      <c r="V3746" s="1008" t="s">
        <v>648</v>
      </c>
      <c r="W3746" s="1008" t="s">
        <v>546</v>
      </c>
      <c r="X3746" s="1008"/>
      <c r="Y3746" s="1008"/>
      <c r="Z3746" s="1008"/>
      <c r="AA3746" s="1008"/>
      <c r="AB3746" s="1008"/>
      <c r="AC3746" s="1008"/>
      <c r="AD3746" s="1008"/>
      <c r="AE3746" s="1008"/>
      <c r="AF3746" s="1008"/>
      <c r="AG3746" s="1008"/>
      <c r="AH3746" s="1008"/>
      <c r="AI3746" s="1008"/>
    </row>
    <row r="3747" spans="1:35">
      <c r="A3747" s="1008">
        <v>25543</v>
      </c>
      <c r="B3747" s="1008">
        <v>581</v>
      </c>
      <c r="C3747" s="1008">
        <v>6</v>
      </c>
      <c r="D3747" s="1009">
        <v>82019900</v>
      </c>
      <c r="E3747" s="1009">
        <v>82011000</v>
      </c>
      <c r="F3747" s="1007" t="s">
        <v>1178</v>
      </c>
      <c r="G3747" s="1007">
        <v>8</v>
      </c>
      <c r="H3747" s="1010">
        <v>99999999</v>
      </c>
      <c r="I3747" s="1009">
        <v>82011000</v>
      </c>
      <c r="J3747" s="1007" t="s">
        <v>1178</v>
      </c>
      <c r="O3747" s="1007" t="s">
        <v>648</v>
      </c>
      <c r="P3747" s="1007" t="s">
        <v>648</v>
      </c>
      <c r="S3747" s="1008" t="s">
        <v>650</v>
      </c>
      <c r="T3747" s="1008" t="s">
        <v>654</v>
      </c>
      <c r="U3747" s="1008" t="s">
        <v>653</v>
      </c>
      <c r="V3747" s="1008" t="s">
        <v>648</v>
      </c>
      <c r="W3747" s="1008" t="s">
        <v>546</v>
      </c>
      <c r="X3747" s="1008" t="s">
        <v>670</v>
      </c>
      <c r="Y3747" s="1008" t="s">
        <v>670</v>
      </c>
      <c r="Z3747" s="1008" t="s">
        <v>670</v>
      </c>
      <c r="AA3747" s="1008" t="s">
        <v>670</v>
      </c>
      <c r="AB3747" s="1008" t="s">
        <v>670</v>
      </c>
      <c r="AC3747" s="1008" t="s">
        <v>670</v>
      </c>
      <c r="AD3747" s="1008" t="s">
        <v>670</v>
      </c>
      <c r="AE3747" s="1008"/>
      <c r="AF3747" s="1008" t="s">
        <v>670</v>
      </c>
      <c r="AG3747" s="1008"/>
      <c r="AH3747" s="1008"/>
      <c r="AI3747" s="1008"/>
    </row>
    <row r="3748" spans="1:35">
      <c r="A3748" s="1008">
        <v>25544</v>
      </c>
      <c r="B3748" s="1008">
        <v>2481</v>
      </c>
      <c r="C3748" s="1008">
        <v>6</v>
      </c>
      <c r="D3748" s="1009">
        <v>82019900</v>
      </c>
      <c r="E3748" s="1009">
        <v>82012000</v>
      </c>
      <c r="F3748" s="1007" t="s">
        <v>1177</v>
      </c>
      <c r="G3748" s="1007">
        <v>6</v>
      </c>
      <c r="H3748" s="1010">
        <v>99999999</v>
      </c>
      <c r="I3748" s="1009">
        <v>82012000</v>
      </c>
      <c r="J3748" s="1007" t="s">
        <v>1177</v>
      </c>
      <c r="O3748" s="1007" t="s">
        <v>648</v>
      </c>
      <c r="P3748" s="1007" t="s">
        <v>648</v>
      </c>
      <c r="S3748" s="1008" t="s">
        <v>650</v>
      </c>
      <c r="T3748" s="1008" t="s">
        <v>654</v>
      </c>
      <c r="U3748" s="1008" t="s">
        <v>653</v>
      </c>
      <c r="V3748" s="1008" t="s">
        <v>648</v>
      </c>
      <c r="W3748" s="1008" t="s">
        <v>546</v>
      </c>
      <c r="X3748" s="1008" t="s">
        <v>670</v>
      </c>
      <c r="Y3748" s="1008" t="s">
        <v>670</v>
      </c>
      <c r="Z3748" s="1008" t="s">
        <v>670</v>
      </c>
      <c r="AA3748" s="1008" t="s">
        <v>670</v>
      </c>
      <c r="AB3748" s="1008" t="s">
        <v>670</v>
      </c>
      <c r="AC3748" s="1008" t="s">
        <v>670</v>
      </c>
      <c r="AD3748" s="1008" t="s">
        <v>670</v>
      </c>
      <c r="AE3748" s="1008"/>
      <c r="AF3748" s="1008" t="s">
        <v>670</v>
      </c>
      <c r="AG3748" s="1008"/>
      <c r="AH3748" s="1008"/>
      <c r="AI3748" s="1008"/>
    </row>
    <row r="3749" spans="1:35">
      <c r="A3749" s="1008">
        <v>25545</v>
      </c>
      <c r="B3749" s="1008">
        <v>590</v>
      </c>
      <c r="C3749" s="1008">
        <v>6</v>
      </c>
      <c r="D3749" s="1009">
        <v>82019900</v>
      </c>
      <c r="E3749" s="1009">
        <v>82013000</v>
      </c>
      <c r="F3749" s="1007" t="s">
        <v>1176</v>
      </c>
      <c r="G3749" s="1007">
        <v>8</v>
      </c>
      <c r="H3749" s="1010">
        <v>99999999</v>
      </c>
      <c r="I3749" s="1009">
        <v>82013000</v>
      </c>
      <c r="J3749" s="1007" t="s">
        <v>1176</v>
      </c>
      <c r="O3749" s="1007" t="s">
        <v>648</v>
      </c>
      <c r="P3749" s="1007" t="s">
        <v>648</v>
      </c>
      <c r="S3749" s="1008" t="s">
        <v>650</v>
      </c>
      <c r="T3749" s="1008" t="s">
        <v>654</v>
      </c>
      <c r="U3749" s="1008" t="s">
        <v>653</v>
      </c>
      <c r="V3749" s="1008" t="s">
        <v>648</v>
      </c>
      <c r="W3749" s="1008" t="s">
        <v>546</v>
      </c>
      <c r="X3749" s="1008" t="s">
        <v>670</v>
      </c>
      <c r="Y3749" s="1008" t="s">
        <v>670</v>
      </c>
      <c r="Z3749" s="1008" t="s">
        <v>670</v>
      </c>
      <c r="AA3749" s="1008" t="s">
        <v>670</v>
      </c>
      <c r="AB3749" s="1008" t="s">
        <v>670</v>
      </c>
      <c r="AC3749" s="1008" t="s">
        <v>670</v>
      </c>
      <c r="AD3749" s="1008" t="s">
        <v>670</v>
      </c>
      <c r="AE3749" s="1008"/>
      <c r="AF3749" s="1008" t="s">
        <v>670</v>
      </c>
      <c r="AG3749" s="1008"/>
      <c r="AH3749" s="1008"/>
      <c r="AI3749" s="1008"/>
    </row>
    <row r="3750" spans="1:35">
      <c r="A3750" s="1008">
        <v>25546</v>
      </c>
      <c r="C3750" s="1008">
        <v>5</v>
      </c>
      <c r="D3750" s="1009">
        <v>82019999</v>
      </c>
      <c r="E3750" s="1009">
        <v>82019900</v>
      </c>
      <c r="F3750" s="1007" t="s">
        <v>1175</v>
      </c>
      <c r="O3750" s="1007" t="s">
        <v>648</v>
      </c>
      <c r="P3750" s="1007" t="s">
        <v>648</v>
      </c>
      <c r="S3750" s="1008" t="s">
        <v>650</v>
      </c>
      <c r="T3750" s="1008" t="s">
        <v>21</v>
      </c>
      <c r="U3750" s="1008" t="s">
        <v>653</v>
      </c>
      <c r="V3750" s="1008" t="s">
        <v>648</v>
      </c>
      <c r="W3750" s="1008" t="s">
        <v>546</v>
      </c>
      <c r="X3750" s="1008"/>
      <c r="Y3750" s="1008"/>
      <c r="Z3750" s="1008"/>
      <c r="AA3750" s="1008"/>
      <c r="AB3750" s="1008"/>
      <c r="AC3750" s="1008"/>
      <c r="AD3750" s="1008"/>
      <c r="AE3750" s="1008"/>
      <c r="AF3750" s="1008"/>
      <c r="AG3750" s="1008"/>
      <c r="AH3750" s="1008"/>
      <c r="AI3750" s="1008"/>
    </row>
    <row r="3751" spans="1:35">
      <c r="A3751" s="1008">
        <v>25547</v>
      </c>
      <c r="C3751" s="1008">
        <v>4</v>
      </c>
      <c r="D3751" s="1009">
        <v>83519999</v>
      </c>
      <c r="E3751" s="1009">
        <v>82019999</v>
      </c>
      <c r="F3751" s="1007" t="s">
        <v>1175</v>
      </c>
      <c r="O3751" s="1007" t="s">
        <v>648</v>
      </c>
      <c r="P3751" s="1007" t="s">
        <v>648</v>
      </c>
      <c r="S3751" s="1008" t="s">
        <v>650</v>
      </c>
      <c r="T3751" s="1008" t="s">
        <v>21</v>
      </c>
      <c r="U3751" s="1008" t="s">
        <v>653</v>
      </c>
      <c r="V3751" s="1008" t="s">
        <v>648</v>
      </c>
      <c r="W3751" s="1008" t="s">
        <v>546</v>
      </c>
      <c r="X3751" s="1008"/>
      <c r="Y3751" s="1008"/>
      <c r="Z3751" s="1008"/>
      <c r="AA3751" s="1008"/>
      <c r="AB3751" s="1008"/>
      <c r="AC3751" s="1008"/>
      <c r="AD3751" s="1008"/>
      <c r="AE3751" s="1008"/>
      <c r="AF3751" s="1008"/>
      <c r="AG3751" s="1008"/>
      <c r="AH3751" s="1008"/>
      <c r="AI3751" s="1008"/>
    </row>
    <row r="3752" spans="1:35">
      <c r="A3752" s="1008">
        <v>25548</v>
      </c>
      <c r="C3752" s="1008">
        <v>4</v>
      </c>
      <c r="D3752" s="1009">
        <v>82539999</v>
      </c>
      <c r="E3752" s="1009">
        <v>82501000</v>
      </c>
      <c r="F3752" s="1007" t="s">
        <v>1174</v>
      </c>
      <c r="O3752" s="1007" t="s">
        <v>648</v>
      </c>
      <c r="P3752" s="1007" t="s">
        <v>648</v>
      </c>
      <c r="S3752" s="1008" t="s">
        <v>650</v>
      </c>
      <c r="T3752" s="1008" t="s">
        <v>675</v>
      </c>
      <c r="U3752" s="1008" t="s">
        <v>653</v>
      </c>
      <c r="V3752" s="1008" t="s">
        <v>648</v>
      </c>
      <c r="W3752" s="1008" t="s">
        <v>546</v>
      </c>
      <c r="X3752" s="1008"/>
      <c r="Y3752" s="1008"/>
      <c r="Z3752" s="1008"/>
      <c r="AA3752" s="1008"/>
      <c r="AB3752" s="1008"/>
      <c r="AC3752" s="1008"/>
      <c r="AD3752" s="1008"/>
      <c r="AE3752" s="1008"/>
      <c r="AF3752" s="1008"/>
      <c r="AG3752" s="1008"/>
      <c r="AH3752" s="1008"/>
      <c r="AI3752" s="1008"/>
    </row>
    <row r="3753" spans="1:35">
      <c r="A3753" s="1008">
        <v>25549</v>
      </c>
      <c r="C3753" s="1008">
        <v>5</v>
      </c>
      <c r="D3753" s="1009">
        <v>82519999</v>
      </c>
      <c r="E3753" s="1009">
        <v>82510000</v>
      </c>
      <c r="F3753" s="1007" t="s">
        <v>1173</v>
      </c>
      <c r="O3753" s="1007" t="s">
        <v>648</v>
      </c>
      <c r="P3753" s="1007" t="s">
        <v>648</v>
      </c>
      <c r="S3753" s="1008" t="s">
        <v>650</v>
      </c>
      <c r="T3753" s="1008" t="s">
        <v>675</v>
      </c>
      <c r="U3753" s="1008" t="s">
        <v>653</v>
      </c>
      <c r="V3753" s="1008" t="s">
        <v>648</v>
      </c>
      <c r="W3753" s="1008" t="s">
        <v>546</v>
      </c>
      <c r="X3753" s="1008"/>
      <c r="Y3753" s="1008"/>
      <c r="Z3753" s="1008"/>
      <c r="AA3753" s="1008"/>
      <c r="AB3753" s="1008"/>
      <c r="AC3753" s="1008"/>
      <c r="AD3753" s="1008"/>
      <c r="AE3753" s="1008"/>
      <c r="AF3753" s="1008"/>
      <c r="AG3753" s="1008"/>
      <c r="AH3753" s="1008"/>
      <c r="AI3753" s="1008"/>
    </row>
    <row r="3754" spans="1:35">
      <c r="A3754" s="1008">
        <v>25550</v>
      </c>
      <c r="B3754" s="1008">
        <v>2483</v>
      </c>
      <c r="C3754" s="1008">
        <v>6</v>
      </c>
      <c r="D3754" s="1009">
        <v>82519999</v>
      </c>
      <c r="E3754" s="1009">
        <v>82511000</v>
      </c>
      <c r="F3754" s="1007" t="s">
        <v>1172</v>
      </c>
      <c r="G3754" s="1007">
        <v>6</v>
      </c>
      <c r="H3754" s="1010">
        <v>99999999</v>
      </c>
      <c r="I3754" s="1009">
        <v>82511000</v>
      </c>
      <c r="J3754" s="1007" t="s">
        <v>1172</v>
      </c>
      <c r="O3754" s="1007" t="s">
        <v>648</v>
      </c>
      <c r="P3754" s="1007" t="s">
        <v>648</v>
      </c>
      <c r="S3754" s="1008" t="s">
        <v>650</v>
      </c>
      <c r="T3754" s="1008" t="s">
        <v>654</v>
      </c>
      <c r="U3754" s="1008" t="s">
        <v>653</v>
      </c>
      <c r="V3754" s="1008" t="s">
        <v>648</v>
      </c>
      <c r="W3754" s="1008" t="s">
        <v>546</v>
      </c>
      <c r="X3754" s="1008" t="s">
        <v>670</v>
      </c>
      <c r="Y3754" s="1008" t="s">
        <v>670</v>
      </c>
      <c r="Z3754" s="1008" t="s">
        <v>670</v>
      </c>
      <c r="AA3754" s="1008" t="s">
        <v>670</v>
      </c>
      <c r="AB3754" s="1008" t="s">
        <v>670</v>
      </c>
      <c r="AC3754" s="1008" t="s">
        <v>670</v>
      </c>
      <c r="AD3754" s="1008" t="s">
        <v>670</v>
      </c>
      <c r="AE3754" s="1008"/>
      <c r="AF3754" s="1008" t="s">
        <v>670</v>
      </c>
      <c r="AG3754" s="1008"/>
      <c r="AH3754" s="1008"/>
      <c r="AI3754" s="1008"/>
    </row>
    <row r="3755" spans="1:35">
      <c r="A3755" s="1008">
        <v>25551</v>
      </c>
      <c r="B3755" s="1008">
        <v>2484</v>
      </c>
      <c r="C3755" s="1008">
        <v>6</v>
      </c>
      <c r="D3755" s="1009">
        <v>82519999</v>
      </c>
      <c r="E3755" s="1009">
        <v>82512000</v>
      </c>
      <c r="F3755" s="1007" t="s">
        <v>1171</v>
      </c>
      <c r="G3755" s="1007">
        <v>6</v>
      </c>
      <c r="H3755" s="1010">
        <v>99999999</v>
      </c>
      <c r="I3755" s="1009">
        <v>82512000</v>
      </c>
      <c r="J3755" s="1007" t="s">
        <v>1171</v>
      </c>
      <c r="O3755" s="1007" t="s">
        <v>648</v>
      </c>
      <c r="P3755" s="1007" t="s">
        <v>648</v>
      </c>
      <c r="S3755" s="1008" t="s">
        <v>650</v>
      </c>
      <c r="T3755" s="1008" t="s">
        <v>654</v>
      </c>
      <c r="U3755" s="1008" t="s">
        <v>653</v>
      </c>
      <c r="V3755" s="1008" t="s">
        <v>648</v>
      </c>
      <c r="W3755" s="1008" t="s">
        <v>546</v>
      </c>
      <c r="X3755" s="1008" t="s">
        <v>670</v>
      </c>
      <c r="Y3755" s="1008" t="s">
        <v>670</v>
      </c>
      <c r="Z3755" s="1008" t="s">
        <v>670</v>
      </c>
      <c r="AA3755" s="1008" t="s">
        <v>670</v>
      </c>
      <c r="AB3755" s="1008" t="s">
        <v>670</v>
      </c>
      <c r="AC3755" s="1008" t="s">
        <v>670</v>
      </c>
      <c r="AD3755" s="1008" t="s">
        <v>670</v>
      </c>
      <c r="AE3755" s="1008"/>
      <c r="AF3755" s="1008" t="s">
        <v>670</v>
      </c>
      <c r="AG3755" s="1008"/>
      <c r="AH3755" s="1008"/>
      <c r="AI3755" s="1008"/>
    </row>
    <row r="3756" spans="1:35">
      <c r="A3756" s="1008">
        <v>25552</v>
      </c>
      <c r="B3756" s="1008">
        <v>2485</v>
      </c>
      <c r="C3756" s="1008">
        <v>6</v>
      </c>
      <c r="D3756" s="1009">
        <v>82519999</v>
      </c>
      <c r="E3756" s="1009">
        <v>82513000</v>
      </c>
      <c r="F3756" s="1007" t="s">
        <v>1170</v>
      </c>
      <c r="G3756" s="1007">
        <v>6</v>
      </c>
      <c r="H3756" s="1010">
        <v>99999999</v>
      </c>
      <c r="I3756" s="1009">
        <v>82513000</v>
      </c>
      <c r="J3756" s="1007" t="s">
        <v>1170</v>
      </c>
      <c r="O3756" s="1007" t="s">
        <v>648</v>
      </c>
      <c r="P3756" s="1007" t="s">
        <v>648</v>
      </c>
      <c r="S3756" s="1008" t="s">
        <v>650</v>
      </c>
      <c r="T3756" s="1008" t="s">
        <v>654</v>
      </c>
      <c r="U3756" s="1008" t="s">
        <v>653</v>
      </c>
      <c r="V3756" s="1008" t="s">
        <v>648</v>
      </c>
      <c r="W3756" s="1008" t="s">
        <v>546</v>
      </c>
      <c r="X3756" s="1008" t="s">
        <v>670</v>
      </c>
      <c r="Y3756" s="1008" t="s">
        <v>670</v>
      </c>
      <c r="Z3756" s="1008" t="s">
        <v>670</v>
      </c>
      <c r="AA3756" s="1008" t="s">
        <v>670</v>
      </c>
      <c r="AB3756" s="1008" t="s">
        <v>670</v>
      </c>
      <c r="AC3756" s="1008" t="s">
        <v>670</v>
      </c>
      <c r="AD3756" s="1008" t="s">
        <v>670</v>
      </c>
      <c r="AE3756" s="1008"/>
      <c r="AF3756" s="1008" t="s">
        <v>670</v>
      </c>
      <c r="AG3756" s="1008"/>
      <c r="AH3756" s="1008"/>
      <c r="AI3756" s="1008"/>
    </row>
    <row r="3757" spans="1:35">
      <c r="A3757" s="1008">
        <v>25553</v>
      </c>
      <c r="B3757" s="1008">
        <v>5609</v>
      </c>
      <c r="C3757" s="1008">
        <v>6</v>
      </c>
      <c r="D3757" s="1009">
        <v>82519999</v>
      </c>
      <c r="E3757" s="1009">
        <v>82514000</v>
      </c>
      <c r="F3757" s="1007" t="s">
        <v>1169</v>
      </c>
      <c r="G3757" s="1007">
        <v>6</v>
      </c>
      <c r="H3757" s="1010">
        <v>99999999</v>
      </c>
      <c r="I3757" s="1009">
        <v>82514000</v>
      </c>
      <c r="J3757" s="1007" t="s">
        <v>1169</v>
      </c>
      <c r="O3757" s="1007" t="s">
        <v>648</v>
      </c>
      <c r="P3757" s="1007" t="s">
        <v>648</v>
      </c>
      <c r="S3757" s="1008" t="s">
        <v>650</v>
      </c>
      <c r="T3757" s="1008" t="s">
        <v>654</v>
      </c>
      <c r="U3757" s="1008" t="s">
        <v>653</v>
      </c>
      <c r="V3757" s="1008" t="s">
        <v>648</v>
      </c>
      <c r="W3757" s="1008" t="s">
        <v>546</v>
      </c>
      <c r="X3757" s="1008" t="s">
        <v>670</v>
      </c>
      <c r="Y3757" s="1008" t="s">
        <v>670</v>
      </c>
      <c r="Z3757" s="1008" t="s">
        <v>670</v>
      </c>
      <c r="AA3757" s="1008" t="s">
        <v>670</v>
      </c>
      <c r="AB3757" s="1008" t="s">
        <v>670</v>
      </c>
      <c r="AC3757" s="1008" t="s">
        <v>670</v>
      </c>
      <c r="AD3757" s="1008" t="s">
        <v>670</v>
      </c>
      <c r="AE3757" s="1008"/>
      <c r="AF3757" s="1008" t="s">
        <v>670</v>
      </c>
      <c r="AG3757" s="1008"/>
      <c r="AH3757" s="1008"/>
      <c r="AI3757" s="1008"/>
    </row>
    <row r="3758" spans="1:35">
      <c r="A3758" s="1008">
        <v>25554</v>
      </c>
      <c r="C3758" s="1008">
        <v>5</v>
      </c>
      <c r="D3758" s="1009">
        <v>82539999</v>
      </c>
      <c r="E3758" s="1009">
        <v>82519999</v>
      </c>
      <c r="F3758" s="1007" t="s">
        <v>1168</v>
      </c>
      <c r="O3758" s="1007" t="s">
        <v>648</v>
      </c>
      <c r="P3758" s="1007" t="s">
        <v>648</v>
      </c>
      <c r="S3758" s="1008" t="s">
        <v>650</v>
      </c>
      <c r="T3758" s="1008" t="s">
        <v>21</v>
      </c>
      <c r="U3758" s="1008" t="s">
        <v>653</v>
      </c>
      <c r="V3758" s="1008" t="s">
        <v>648</v>
      </c>
      <c r="W3758" s="1008" t="s">
        <v>546</v>
      </c>
      <c r="X3758" s="1008"/>
      <c r="Y3758" s="1008"/>
      <c r="Z3758" s="1008"/>
      <c r="AA3758" s="1008"/>
      <c r="AB3758" s="1008"/>
      <c r="AC3758" s="1008"/>
      <c r="AD3758" s="1008"/>
      <c r="AE3758" s="1008"/>
      <c r="AF3758" s="1008"/>
      <c r="AG3758" s="1008"/>
      <c r="AH3758" s="1008"/>
      <c r="AI3758" s="1008"/>
    </row>
    <row r="3759" spans="1:35">
      <c r="A3759" s="1008">
        <v>25555</v>
      </c>
      <c r="C3759" s="1008">
        <v>5</v>
      </c>
      <c r="D3759" s="1009">
        <v>82529999</v>
      </c>
      <c r="E3759" s="1009">
        <v>82520000</v>
      </c>
      <c r="F3759" s="1007" t="s">
        <v>1167</v>
      </c>
      <c r="O3759" s="1007" t="s">
        <v>648</v>
      </c>
      <c r="P3759" s="1007" t="s">
        <v>648</v>
      </c>
      <c r="S3759" s="1008" t="s">
        <v>650</v>
      </c>
      <c r="T3759" s="1008" t="s">
        <v>675</v>
      </c>
      <c r="U3759" s="1008" t="s">
        <v>653</v>
      </c>
      <c r="V3759" s="1008" t="s">
        <v>648</v>
      </c>
      <c r="W3759" s="1008" t="s">
        <v>546</v>
      </c>
      <c r="X3759" s="1008"/>
      <c r="Y3759" s="1008"/>
      <c r="Z3759" s="1008"/>
      <c r="AA3759" s="1008"/>
      <c r="AB3759" s="1008"/>
      <c r="AC3759" s="1008"/>
      <c r="AD3759" s="1008"/>
      <c r="AE3759" s="1008"/>
      <c r="AF3759" s="1008"/>
      <c r="AG3759" s="1008"/>
      <c r="AH3759" s="1008"/>
      <c r="AI3759" s="1008"/>
    </row>
    <row r="3760" spans="1:35">
      <c r="A3760" s="1008">
        <v>25556</v>
      </c>
      <c r="B3760" s="1008">
        <v>2487</v>
      </c>
      <c r="C3760" s="1008">
        <v>6</v>
      </c>
      <c r="D3760" s="1009">
        <v>82529999</v>
      </c>
      <c r="E3760" s="1009">
        <v>82521000</v>
      </c>
      <c r="F3760" s="1007" t="s">
        <v>1166</v>
      </c>
      <c r="G3760" s="1007">
        <v>6</v>
      </c>
      <c r="H3760" s="1010">
        <v>99999999</v>
      </c>
      <c r="I3760" s="1009">
        <v>82521000</v>
      </c>
      <c r="J3760" s="1007" t="s">
        <v>1166</v>
      </c>
      <c r="O3760" s="1007" t="s">
        <v>648</v>
      </c>
      <c r="P3760" s="1007" t="s">
        <v>648</v>
      </c>
      <c r="S3760" s="1008" t="s">
        <v>650</v>
      </c>
      <c r="T3760" s="1008" t="s">
        <v>654</v>
      </c>
      <c r="U3760" s="1008" t="s">
        <v>653</v>
      </c>
      <c r="V3760" s="1008" t="s">
        <v>648</v>
      </c>
      <c r="W3760" s="1008" t="s">
        <v>546</v>
      </c>
      <c r="X3760" s="1008" t="s">
        <v>670</v>
      </c>
      <c r="Y3760" s="1008" t="s">
        <v>670</v>
      </c>
      <c r="Z3760" s="1008" t="s">
        <v>670</v>
      </c>
      <c r="AA3760" s="1008" t="s">
        <v>670</v>
      </c>
      <c r="AB3760" s="1008" t="s">
        <v>670</v>
      </c>
      <c r="AC3760" s="1008" t="s">
        <v>670</v>
      </c>
      <c r="AD3760" s="1008" t="s">
        <v>670</v>
      </c>
      <c r="AE3760" s="1008"/>
      <c r="AF3760" s="1008" t="s">
        <v>670</v>
      </c>
      <c r="AG3760" s="1008"/>
      <c r="AH3760" s="1008"/>
      <c r="AI3760" s="1008"/>
    </row>
    <row r="3761" spans="1:35">
      <c r="A3761" s="1008">
        <v>25557</v>
      </c>
      <c r="B3761" s="1008">
        <v>745</v>
      </c>
      <c r="C3761" s="1008">
        <v>6</v>
      </c>
      <c r="D3761" s="1009">
        <v>82529999</v>
      </c>
      <c r="E3761" s="1009">
        <v>82523000</v>
      </c>
      <c r="F3761" s="1007" t="s">
        <v>1165</v>
      </c>
      <c r="G3761" s="1007">
        <v>8</v>
      </c>
      <c r="H3761" s="1010">
        <v>99999999</v>
      </c>
      <c r="I3761" s="1009">
        <v>82523000</v>
      </c>
      <c r="J3761" s="1007" t="s">
        <v>1165</v>
      </c>
      <c r="O3761" s="1007" t="s">
        <v>648</v>
      </c>
      <c r="P3761" s="1007" t="s">
        <v>648</v>
      </c>
      <c r="S3761" s="1008" t="s">
        <v>650</v>
      </c>
      <c r="T3761" s="1008" t="s">
        <v>654</v>
      </c>
      <c r="U3761" s="1008" t="s">
        <v>653</v>
      </c>
      <c r="V3761" s="1008" t="s">
        <v>648</v>
      </c>
      <c r="W3761" s="1008" t="s">
        <v>546</v>
      </c>
      <c r="X3761" s="1008" t="s">
        <v>670</v>
      </c>
      <c r="Y3761" s="1008" t="s">
        <v>670</v>
      </c>
      <c r="Z3761" s="1008" t="s">
        <v>670</v>
      </c>
      <c r="AA3761" s="1008" t="s">
        <v>670</v>
      </c>
      <c r="AB3761" s="1008" t="s">
        <v>670</v>
      </c>
      <c r="AC3761" s="1008" t="s">
        <v>670</v>
      </c>
      <c r="AD3761" s="1008" t="s">
        <v>670</v>
      </c>
      <c r="AE3761" s="1008"/>
      <c r="AF3761" s="1008" t="s">
        <v>670</v>
      </c>
      <c r="AG3761" s="1008"/>
      <c r="AH3761" s="1008"/>
      <c r="AI3761" s="1008"/>
    </row>
    <row r="3762" spans="1:35">
      <c r="A3762" s="1008">
        <v>25558</v>
      </c>
      <c r="B3762" s="1008">
        <v>2489</v>
      </c>
      <c r="C3762" s="1008">
        <v>6</v>
      </c>
      <c r="D3762" s="1009">
        <v>82529999</v>
      </c>
      <c r="E3762" s="1009">
        <v>82524000</v>
      </c>
      <c r="F3762" s="1007" t="s">
        <v>1164</v>
      </c>
      <c r="G3762" s="1007">
        <v>6</v>
      </c>
      <c r="H3762" s="1010">
        <v>99999999</v>
      </c>
      <c r="I3762" s="1009">
        <v>82524000</v>
      </c>
      <c r="J3762" s="1007" t="s">
        <v>1164</v>
      </c>
      <c r="O3762" s="1007" t="s">
        <v>648</v>
      </c>
      <c r="P3762" s="1007" t="s">
        <v>648</v>
      </c>
      <c r="S3762" s="1008" t="s">
        <v>650</v>
      </c>
      <c r="T3762" s="1008" t="s">
        <v>654</v>
      </c>
      <c r="U3762" s="1008" t="s">
        <v>653</v>
      </c>
      <c r="V3762" s="1008" t="s">
        <v>648</v>
      </c>
      <c r="W3762" s="1008" t="s">
        <v>546</v>
      </c>
      <c r="X3762" s="1008" t="s">
        <v>670</v>
      </c>
      <c r="Y3762" s="1008" t="s">
        <v>670</v>
      </c>
      <c r="Z3762" s="1008" t="s">
        <v>670</v>
      </c>
      <c r="AA3762" s="1008" t="s">
        <v>670</v>
      </c>
      <c r="AB3762" s="1008" t="s">
        <v>670</v>
      </c>
      <c r="AC3762" s="1008" t="s">
        <v>670</v>
      </c>
      <c r="AD3762" s="1008" t="s">
        <v>670</v>
      </c>
      <c r="AE3762" s="1008"/>
      <c r="AF3762" s="1008" t="s">
        <v>670</v>
      </c>
      <c r="AG3762" s="1008"/>
      <c r="AH3762" s="1008"/>
      <c r="AI3762" s="1008"/>
    </row>
    <row r="3763" spans="1:35">
      <c r="A3763" s="1008">
        <v>25559</v>
      </c>
      <c r="B3763" s="1008">
        <v>5611</v>
      </c>
      <c r="C3763" s="1008">
        <v>6</v>
      </c>
      <c r="D3763" s="1009">
        <v>82529999</v>
      </c>
      <c r="E3763" s="1009">
        <v>82525000</v>
      </c>
      <c r="F3763" s="1007" t="s">
        <v>1163</v>
      </c>
      <c r="G3763" s="1007">
        <v>6</v>
      </c>
      <c r="H3763" s="1010">
        <v>99999999</v>
      </c>
      <c r="I3763" s="1009">
        <v>82525000</v>
      </c>
      <c r="J3763" s="1007" t="s">
        <v>1163</v>
      </c>
      <c r="O3763" s="1007" t="s">
        <v>648</v>
      </c>
      <c r="P3763" s="1007" t="s">
        <v>648</v>
      </c>
      <c r="S3763" s="1008" t="s">
        <v>650</v>
      </c>
      <c r="T3763" s="1008" t="s">
        <v>654</v>
      </c>
      <c r="U3763" s="1008" t="s">
        <v>653</v>
      </c>
      <c r="V3763" s="1008" t="s">
        <v>648</v>
      </c>
      <c r="W3763" s="1008" t="s">
        <v>546</v>
      </c>
      <c r="X3763" s="1008" t="s">
        <v>670</v>
      </c>
      <c r="Y3763" s="1008" t="s">
        <v>670</v>
      </c>
      <c r="Z3763" s="1008" t="s">
        <v>670</v>
      </c>
      <c r="AA3763" s="1008" t="s">
        <v>670</v>
      </c>
      <c r="AB3763" s="1008" t="s">
        <v>670</v>
      </c>
      <c r="AC3763" s="1008" t="s">
        <v>670</v>
      </c>
      <c r="AD3763" s="1008" t="s">
        <v>670</v>
      </c>
      <c r="AE3763" s="1008"/>
      <c r="AF3763" s="1008" t="s">
        <v>670</v>
      </c>
      <c r="AG3763" s="1008"/>
      <c r="AH3763" s="1008"/>
      <c r="AI3763" s="1008"/>
    </row>
    <row r="3764" spans="1:35">
      <c r="A3764" s="1008">
        <v>25560</v>
      </c>
      <c r="C3764" s="1008">
        <v>5</v>
      </c>
      <c r="D3764" s="1009">
        <v>82539999</v>
      </c>
      <c r="E3764" s="1009">
        <v>82529999</v>
      </c>
      <c r="F3764" s="1007" t="s">
        <v>1162</v>
      </c>
      <c r="O3764" s="1007" t="s">
        <v>648</v>
      </c>
      <c r="P3764" s="1007" t="s">
        <v>648</v>
      </c>
      <c r="S3764" s="1008" t="s">
        <v>650</v>
      </c>
      <c r="T3764" s="1008" t="s">
        <v>21</v>
      </c>
      <c r="U3764" s="1008" t="s">
        <v>653</v>
      </c>
      <c r="V3764" s="1008" t="s">
        <v>648</v>
      </c>
      <c r="W3764" s="1008" t="s">
        <v>546</v>
      </c>
      <c r="X3764" s="1008"/>
      <c r="Y3764" s="1008"/>
      <c r="Z3764" s="1008"/>
      <c r="AA3764" s="1008"/>
      <c r="AB3764" s="1008"/>
      <c r="AC3764" s="1008"/>
      <c r="AD3764" s="1008"/>
      <c r="AE3764" s="1008"/>
      <c r="AF3764" s="1008"/>
      <c r="AG3764" s="1008"/>
      <c r="AH3764" s="1008"/>
      <c r="AI3764" s="1008"/>
    </row>
    <row r="3765" spans="1:35">
      <c r="A3765" s="1008">
        <v>25561</v>
      </c>
      <c r="C3765" s="1008">
        <v>5</v>
      </c>
      <c r="D3765" s="1009">
        <v>82539900</v>
      </c>
      <c r="E3765" s="1009">
        <v>82530000</v>
      </c>
      <c r="F3765" s="1007" t="s">
        <v>1161</v>
      </c>
      <c r="O3765" s="1007" t="s">
        <v>648</v>
      </c>
      <c r="P3765" s="1007" t="s">
        <v>648</v>
      </c>
      <c r="S3765" s="1008" t="s">
        <v>650</v>
      </c>
      <c r="T3765" s="1008" t="s">
        <v>675</v>
      </c>
      <c r="U3765" s="1008" t="s">
        <v>653</v>
      </c>
      <c r="V3765" s="1008" t="s">
        <v>648</v>
      </c>
      <c r="W3765" s="1008" t="s">
        <v>546</v>
      </c>
      <c r="X3765" s="1008"/>
      <c r="Y3765" s="1008"/>
      <c r="Z3765" s="1008"/>
      <c r="AA3765" s="1008"/>
      <c r="AB3765" s="1008"/>
      <c r="AC3765" s="1008"/>
      <c r="AD3765" s="1008"/>
      <c r="AE3765" s="1008"/>
      <c r="AF3765" s="1008"/>
      <c r="AG3765" s="1008"/>
      <c r="AH3765" s="1008"/>
      <c r="AI3765" s="1008"/>
    </row>
    <row r="3766" spans="1:35">
      <c r="A3766" s="1008">
        <v>25562</v>
      </c>
      <c r="B3766" s="1008">
        <v>5613</v>
      </c>
      <c r="C3766" s="1008">
        <v>6</v>
      </c>
      <c r="D3766" s="1009">
        <v>82539900</v>
      </c>
      <c r="E3766" s="1009">
        <v>82531000</v>
      </c>
      <c r="F3766" s="1007" t="s">
        <v>1160</v>
      </c>
      <c r="G3766" s="1007">
        <v>6</v>
      </c>
      <c r="H3766" s="1010">
        <v>99999999</v>
      </c>
      <c r="I3766" s="1009">
        <v>82531000</v>
      </c>
      <c r="J3766" s="1007" t="s">
        <v>1160</v>
      </c>
      <c r="O3766" s="1007" t="s">
        <v>648</v>
      </c>
      <c r="P3766" s="1007" t="s">
        <v>648</v>
      </c>
      <c r="S3766" s="1008" t="s">
        <v>650</v>
      </c>
      <c r="T3766" s="1008" t="s">
        <v>654</v>
      </c>
      <c r="U3766" s="1008" t="s">
        <v>653</v>
      </c>
      <c r="V3766" s="1008" t="s">
        <v>648</v>
      </c>
      <c r="W3766" s="1008" t="s">
        <v>546</v>
      </c>
      <c r="X3766" s="1008" t="s">
        <v>670</v>
      </c>
      <c r="Y3766" s="1008" t="s">
        <v>670</v>
      </c>
      <c r="Z3766" s="1008" t="s">
        <v>670</v>
      </c>
      <c r="AA3766" s="1008" t="s">
        <v>670</v>
      </c>
      <c r="AB3766" s="1008" t="s">
        <v>670</v>
      </c>
      <c r="AC3766" s="1008" t="s">
        <v>670</v>
      </c>
      <c r="AD3766" s="1008" t="s">
        <v>670</v>
      </c>
      <c r="AE3766" s="1008"/>
      <c r="AF3766" s="1008" t="s">
        <v>670</v>
      </c>
      <c r="AG3766" s="1008"/>
      <c r="AH3766" s="1008"/>
      <c r="AI3766" s="1008"/>
    </row>
    <row r="3767" spans="1:35">
      <c r="A3767" s="1008">
        <v>25563</v>
      </c>
      <c r="C3767" s="1008">
        <v>5</v>
      </c>
      <c r="D3767" s="1009">
        <v>82539999</v>
      </c>
      <c r="E3767" s="1009">
        <v>82539900</v>
      </c>
      <c r="F3767" s="1007" t="s">
        <v>1159</v>
      </c>
      <c r="O3767" s="1007" t="s">
        <v>648</v>
      </c>
      <c r="P3767" s="1007" t="s">
        <v>648</v>
      </c>
      <c r="S3767" s="1008" t="s">
        <v>650</v>
      </c>
      <c r="T3767" s="1008" t="s">
        <v>21</v>
      </c>
      <c r="U3767" s="1008" t="s">
        <v>653</v>
      </c>
      <c r="V3767" s="1008" t="s">
        <v>648</v>
      </c>
      <c r="W3767" s="1008" t="s">
        <v>546</v>
      </c>
      <c r="X3767" s="1008"/>
      <c r="Y3767" s="1008"/>
      <c r="Z3767" s="1008"/>
      <c r="AA3767" s="1008"/>
      <c r="AB3767" s="1008"/>
      <c r="AC3767" s="1008"/>
      <c r="AD3767" s="1008"/>
      <c r="AE3767" s="1008"/>
      <c r="AF3767" s="1008"/>
      <c r="AG3767" s="1008"/>
      <c r="AH3767" s="1008"/>
      <c r="AI3767" s="1008"/>
    </row>
    <row r="3768" spans="1:35">
      <c r="A3768" s="1008">
        <v>25564</v>
      </c>
      <c r="C3768" s="1008">
        <v>4</v>
      </c>
      <c r="D3768" s="1009">
        <v>83519999</v>
      </c>
      <c r="E3768" s="1009">
        <v>82539999</v>
      </c>
      <c r="F3768" s="1007" t="s">
        <v>1158</v>
      </c>
      <c r="O3768" s="1007" t="s">
        <v>648</v>
      </c>
      <c r="P3768" s="1007" t="s">
        <v>648</v>
      </c>
      <c r="S3768" s="1008" t="s">
        <v>650</v>
      </c>
      <c r="T3768" s="1008" t="s">
        <v>21</v>
      </c>
      <c r="U3768" s="1008" t="s">
        <v>653</v>
      </c>
      <c r="V3768" s="1008" t="s">
        <v>648</v>
      </c>
      <c r="W3768" s="1008" t="s">
        <v>546</v>
      </c>
      <c r="X3768" s="1008"/>
      <c r="Y3768" s="1008"/>
      <c r="Z3768" s="1008"/>
      <c r="AA3768" s="1008"/>
      <c r="AB3768" s="1008"/>
      <c r="AC3768" s="1008"/>
      <c r="AD3768" s="1008"/>
      <c r="AE3768" s="1008"/>
      <c r="AF3768" s="1008"/>
      <c r="AG3768" s="1008"/>
      <c r="AH3768" s="1008"/>
      <c r="AI3768" s="1008"/>
    </row>
    <row r="3769" spans="1:35">
      <c r="A3769" s="1008">
        <v>25565</v>
      </c>
      <c r="C3769" s="1008">
        <v>4</v>
      </c>
      <c r="D3769" s="1009">
        <v>83019999</v>
      </c>
      <c r="E3769" s="1009">
        <v>83001000</v>
      </c>
      <c r="F3769" s="1007" t="s">
        <v>1157</v>
      </c>
      <c r="O3769" s="1007" t="s">
        <v>648</v>
      </c>
      <c r="P3769" s="1007" t="s">
        <v>648</v>
      </c>
      <c r="S3769" s="1008" t="s">
        <v>650</v>
      </c>
      <c r="T3769" s="1008" t="s">
        <v>675</v>
      </c>
      <c r="U3769" s="1008" t="s">
        <v>653</v>
      </c>
      <c r="V3769" s="1008" t="s">
        <v>648</v>
      </c>
      <c r="W3769" s="1008" t="s">
        <v>546</v>
      </c>
      <c r="X3769" s="1008"/>
      <c r="Y3769" s="1008"/>
      <c r="Z3769" s="1008"/>
      <c r="AA3769" s="1008"/>
      <c r="AB3769" s="1008"/>
      <c r="AC3769" s="1008"/>
      <c r="AD3769" s="1008"/>
      <c r="AE3769" s="1008"/>
      <c r="AF3769" s="1008"/>
      <c r="AG3769" s="1008"/>
      <c r="AH3769" s="1008"/>
      <c r="AI3769" s="1008"/>
    </row>
    <row r="3770" spans="1:35">
      <c r="A3770" s="1008">
        <v>25566</v>
      </c>
      <c r="C3770" s="1008">
        <v>5</v>
      </c>
      <c r="D3770" s="1009">
        <v>83019900</v>
      </c>
      <c r="E3770" s="1009">
        <v>83010000</v>
      </c>
      <c r="F3770" s="1007" t="s">
        <v>1157</v>
      </c>
      <c r="O3770" s="1007" t="s">
        <v>648</v>
      </c>
      <c r="P3770" s="1007" t="s">
        <v>648</v>
      </c>
      <c r="S3770" s="1008" t="s">
        <v>650</v>
      </c>
      <c r="T3770" s="1008" t="s">
        <v>675</v>
      </c>
      <c r="U3770" s="1008" t="s">
        <v>653</v>
      </c>
      <c r="V3770" s="1008" t="s">
        <v>648</v>
      </c>
      <c r="W3770" s="1008" t="s">
        <v>546</v>
      </c>
      <c r="X3770" s="1008"/>
      <c r="Y3770" s="1008"/>
      <c r="Z3770" s="1008"/>
      <c r="AA3770" s="1008"/>
      <c r="AB3770" s="1008"/>
      <c r="AC3770" s="1008"/>
      <c r="AD3770" s="1008"/>
      <c r="AE3770" s="1008"/>
      <c r="AF3770" s="1008"/>
      <c r="AG3770" s="1008"/>
      <c r="AH3770" s="1008"/>
      <c r="AI3770" s="1008"/>
    </row>
    <row r="3771" spans="1:35">
      <c r="A3771" s="1008">
        <v>25567</v>
      </c>
      <c r="B3771" s="1008">
        <v>640</v>
      </c>
      <c r="C3771" s="1008">
        <v>6</v>
      </c>
      <c r="D3771" s="1009">
        <v>83019900</v>
      </c>
      <c r="E3771" s="1009">
        <v>83011000</v>
      </c>
      <c r="F3771" s="1007" t="s">
        <v>1157</v>
      </c>
      <c r="G3771" s="1007">
        <v>8</v>
      </c>
      <c r="H3771" s="1010">
        <v>99999999</v>
      </c>
      <c r="I3771" s="1009">
        <v>83011000</v>
      </c>
      <c r="J3771" s="1007" t="s">
        <v>1157</v>
      </c>
      <c r="O3771" s="1007" t="s">
        <v>648</v>
      </c>
      <c r="P3771" s="1007" t="s">
        <v>648</v>
      </c>
      <c r="S3771" s="1008" t="s">
        <v>650</v>
      </c>
      <c r="T3771" s="1008" t="s">
        <v>654</v>
      </c>
      <c r="U3771" s="1008" t="s">
        <v>653</v>
      </c>
      <c r="V3771" s="1008" t="s">
        <v>648</v>
      </c>
      <c r="W3771" s="1008" t="s">
        <v>546</v>
      </c>
      <c r="X3771" s="1008" t="s">
        <v>670</v>
      </c>
      <c r="Y3771" s="1008" t="s">
        <v>670</v>
      </c>
      <c r="Z3771" s="1008" t="s">
        <v>670</v>
      </c>
      <c r="AA3771" s="1008" t="s">
        <v>670</v>
      </c>
      <c r="AB3771" s="1008" t="s">
        <v>670</v>
      </c>
      <c r="AC3771" s="1008" t="s">
        <v>670</v>
      </c>
      <c r="AD3771" s="1008" t="s">
        <v>670</v>
      </c>
      <c r="AE3771" s="1008"/>
      <c r="AF3771" s="1008" t="s">
        <v>670</v>
      </c>
      <c r="AG3771" s="1008"/>
      <c r="AH3771" s="1008"/>
      <c r="AI3771" s="1008"/>
    </row>
    <row r="3772" spans="1:35">
      <c r="A3772" s="1008">
        <v>25568</v>
      </c>
      <c r="C3772" s="1008">
        <v>5</v>
      </c>
      <c r="D3772" s="1009">
        <v>83019999</v>
      </c>
      <c r="E3772" s="1009">
        <v>83019900</v>
      </c>
      <c r="F3772" s="1007" t="s">
        <v>1156</v>
      </c>
      <c r="O3772" s="1007" t="s">
        <v>648</v>
      </c>
      <c r="P3772" s="1007" t="s">
        <v>648</v>
      </c>
      <c r="S3772" s="1008" t="s">
        <v>650</v>
      </c>
      <c r="T3772" s="1008" t="s">
        <v>21</v>
      </c>
      <c r="U3772" s="1008" t="s">
        <v>653</v>
      </c>
      <c r="V3772" s="1008" t="s">
        <v>648</v>
      </c>
      <c r="W3772" s="1008" t="s">
        <v>546</v>
      </c>
      <c r="X3772" s="1008"/>
      <c r="Y3772" s="1008"/>
      <c r="Z3772" s="1008"/>
      <c r="AA3772" s="1008"/>
      <c r="AB3772" s="1008"/>
      <c r="AC3772" s="1008"/>
      <c r="AD3772" s="1008"/>
      <c r="AE3772" s="1008"/>
      <c r="AF3772" s="1008"/>
      <c r="AG3772" s="1008"/>
      <c r="AH3772" s="1008"/>
      <c r="AI3772" s="1008"/>
    </row>
    <row r="3773" spans="1:35">
      <c r="A3773" s="1008">
        <v>25569</v>
      </c>
      <c r="C3773" s="1008">
        <v>4</v>
      </c>
      <c r="D3773" s="1009">
        <v>83519999</v>
      </c>
      <c r="E3773" s="1009">
        <v>83019999</v>
      </c>
      <c r="F3773" s="1007" t="s">
        <v>1156</v>
      </c>
      <c r="O3773" s="1007" t="s">
        <v>648</v>
      </c>
      <c r="P3773" s="1007" t="s">
        <v>648</v>
      </c>
      <c r="S3773" s="1008" t="s">
        <v>650</v>
      </c>
      <c r="T3773" s="1008" t="s">
        <v>21</v>
      </c>
      <c r="U3773" s="1008" t="s">
        <v>653</v>
      </c>
      <c r="V3773" s="1008" t="s">
        <v>648</v>
      </c>
      <c r="W3773" s="1008" t="s">
        <v>546</v>
      </c>
      <c r="X3773" s="1008"/>
      <c r="Y3773" s="1008"/>
      <c r="Z3773" s="1008"/>
      <c r="AA3773" s="1008"/>
      <c r="AB3773" s="1008"/>
      <c r="AC3773" s="1008"/>
      <c r="AD3773" s="1008"/>
      <c r="AE3773" s="1008"/>
      <c r="AF3773" s="1008"/>
      <c r="AG3773" s="1008"/>
      <c r="AH3773" s="1008"/>
      <c r="AI3773" s="1008"/>
    </row>
    <row r="3774" spans="1:35">
      <c r="A3774" s="1008">
        <v>25570</v>
      </c>
      <c r="C3774" s="1008">
        <v>4</v>
      </c>
      <c r="D3774" s="1009">
        <v>83519990</v>
      </c>
      <c r="E3774" s="1009">
        <v>83501000</v>
      </c>
      <c r="F3774" s="1007" t="s">
        <v>1155</v>
      </c>
      <c r="O3774" s="1007" t="s">
        <v>648</v>
      </c>
      <c r="P3774" s="1007" t="s">
        <v>648</v>
      </c>
      <c r="S3774" s="1008" t="s">
        <v>650</v>
      </c>
      <c r="T3774" s="1008" t="s">
        <v>675</v>
      </c>
      <c r="U3774" s="1008" t="s">
        <v>653</v>
      </c>
      <c r="V3774" s="1008" t="s">
        <v>648</v>
      </c>
      <c r="W3774" s="1008" t="s">
        <v>546</v>
      </c>
      <c r="X3774" s="1008"/>
      <c r="Y3774" s="1008"/>
      <c r="Z3774" s="1008"/>
      <c r="AA3774" s="1008"/>
      <c r="AB3774" s="1008"/>
      <c r="AC3774" s="1008"/>
      <c r="AD3774" s="1008"/>
      <c r="AE3774" s="1008"/>
      <c r="AF3774" s="1008"/>
      <c r="AG3774" s="1008"/>
      <c r="AH3774" s="1008"/>
      <c r="AI3774" s="1008"/>
    </row>
    <row r="3775" spans="1:35">
      <c r="A3775" s="1008">
        <v>25571</v>
      </c>
      <c r="C3775" s="1008">
        <v>5</v>
      </c>
      <c r="D3775" s="1009">
        <v>83519900</v>
      </c>
      <c r="E3775" s="1009">
        <v>83510000</v>
      </c>
      <c r="F3775" s="1007" t="s">
        <v>1154</v>
      </c>
      <c r="O3775" s="1007" t="s">
        <v>648</v>
      </c>
      <c r="P3775" s="1007" t="s">
        <v>648</v>
      </c>
      <c r="S3775" s="1008" t="s">
        <v>650</v>
      </c>
      <c r="T3775" s="1008" t="s">
        <v>675</v>
      </c>
      <c r="U3775" s="1008" t="s">
        <v>653</v>
      </c>
      <c r="V3775" s="1008" t="s">
        <v>648</v>
      </c>
      <c r="W3775" s="1008" t="s">
        <v>546</v>
      </c>
      <c r="X3775" s="1008"/>
      <c r="Y3775" s="1008"/>
      <c r="Z3775" s="1008"/>
      <c r="AA3775" s="1008"/>
      <c r="AB3775" s="1008"/>
      <c r="AC3775" s="1008"/>
      <c r="AD3775" s="1008"/>
      <c r="AE3775" s="1008"/>
      <c r="AF3775" s="1008"/>
      <c r="AG3775" s="1008"/>
      <c r="AH3775" s="1008"/>
      <c r="AI3775" s="1008"/>
    </row>
    <row r="3776" spans="1:35">
      <c r="A3776" s="1008">
        <v>25572</v>
      </c>
      <c r="B3776" s="1008">
        <v>604</v>
      </c>
      <c r="C3776" s="1008">
        <v>6</v>
      </c>
      <c r="D3776" s="1009">
        <v>83519900</v>
      </c>
      <c r="E3776" s="1009">
        <v>83511000</v>
      </c>
      <c r="F3776" s="1007" t="s">
        <v>1153</v>
      </c>
      <c r="G3776" s="1007">
        <v>8</v>
      </c>
      <c r="H3776" s="1010">
        <v>99999999</v>
      </c>
      <c r="I3776" s="1009">
        <v>83511000</v>
      </c>
      <c r="J3776" s="1007" t="s">
        <v>1153</v>
      </c>
      <c r="O3776" s="1007" t="s">
        <v>648</v>
      </c>
      <c r="P3776" s="1007" t="s">
        <v>648</v>
      </c>
      <c r="S3776" s="1008" t="s">
        <v>650</v>
      </c>
      <c r="T3776" s="1008" t="s">
        <v>654</v>
      </c>
      <c r="U3776" s="1008" t="s">
        <v>653</v>
      </c>
      <c r="V3776" s="1008" t="s">
        <v>648</v>
      </c>
      <c r="W3776" s="1008" t="s">
        <v>546</v>
      </c>
      <c r="X3776" s="1008" t="s">
        <v>670</v>
      </c>
      <c r="Y3776" s="1008" t="s">
        <v>670</v>
      </c>
      <c r="Z3776" s="1008" t="s">
        <v>670</v>
      </c>
      <c r="AA3776" s="1008" t="s">
        <v>670</v>
      </c>
      <c r="AB3776" s="1008" t="s">
        <v>670</v>
      </c>
      <c r="AC3776" s="1008" t="s">
        <v>670</v>
      </c>
      <c r="AD3776" s="1008" t="s">
        <v>670</v>
      </c>
      <c r="AE3776" s="1008"/>
      <c r="AF3776" s="1008" t="s">
        <v>670</v>
      </c>
      <c r="AG3776" s="1008"/>
      <c r="AH3776" s="1008"/>
      <c r="AI3776" s="1008"/>
    </row>
    <row r="3777" spans="1:35">
      <c r="A3777" s="1008">
        <v>25573</v>
      </c>
      <c r="B3777" s="1008">
        <v>591</v>
      </c>
      <c r="C3777" s="1008">
        <v>6</v>
      </c>
      <c r="D3777" s="1009">
        <v>83519900</v>
      </c>
      <c r="E3777" s="1009">
        <v>83512000</v>
      </c>
      <c r="F3777" s="1007" t="s">
        <v>1152</v>
      </c>
      <c r="G3777" s="1007">
        <v>8</v>
      </c>
      <c r="H3777" s="1010">
        <v>99999999</v>
      </c>
      <c r="I3777" s="1009">
        <v>83512000</v>
      </c>
      <c r="J3777" s="1007" t="s">
        <v>1152</v>
      </c>
      <c r="O3777" s="1007" t="s">
        <v>648</v>
      </c>
      <c r="P3777" s="1007" t="s">
        <v>648</v>
      </c>
      <c r="S3777" s="1008" t="s">
        <v>650</v>
      </c>
      <c r="T3777" s="1008" t="s">
        <v>654</v>
      </c>
      <c r="U3777" s="1008" t="s">
        <v>653</v>
      </c>
      <c r="V3777" s="1008" t="s">
        <v>648</v>
      </c>
      <c r="W3777" s="1008" t="s">
        <v>546</v>
      </c>
      <c r="X3777" s="1008" t="s">
        <v>670</v>
      </c>
      <c r="Y3777" s="1008" t="s">
        <v>670</v>
      </c>
      <c r="Z3777" s="1008" t="s">
        <v>670</v>
      </c>
      <c r="AA3777" s="1008" t="s">
        <v>670</v>
      </c>
      <c r="AB3777" s="1008" t="s">
        <v>670</v>
      </c>
      <c r="AC3777" s="1008" t="s">
        <v>670</v>
      </c>
      <c r="AD3777" s="1008" t="s">
        <v>670</v>
      </c>
      <c r="AE3777" s="1008"/>
      <c r="AF3777" s="1008" t="s">
        <v>670</v>
      </c>
      <c r="AG3777" s="1008"/>
      <c r="AH3777" s="1008"/>
      <c r="AI3777" s="1008"/>
    </row>
    <row r="3778" spans="1:35">
      <c r="A3778" s="1008">
        <v>25574</v>
      </c>
      <c r="B3778" s="1008">
        <v>2495</v>
      </c>
      <c r="C3778" s="1008">
        <v>6</v>
      </c>
      <c r="D3778" s="1009">
        <v>83519900</v>
      </c>
      <c r="E3778" s="1009">
        <v>83513000</v>
      </c>
      <c r="F3778" s="1007" t="s">
        <v>1151</v>
      </c>
      <c r="G3778" s="1007">
        <v>6</v>
      </c>
      <c r="H3778" s="1010">
        <v>99999999</v>
      </c>
      <c r="I3778" s="1009">
        <v>83513000</v>
      </c>
      <c r="J3778" s="1007" t="s">
        <v>1151</v>
      </c>
      <c r="O3778" s="1007" t="s">
        <v>648</v>
      </c>
      <c r="P3778" s="1007" t="s">
        <v>648</v>
      </c>
      <c r="S3778" s="1008" t="s">
        <v>650</v>
      </c>
      <c r="T3778" s="1008" t="s">
        <v>654</v>
      </c>
      <c r="U3778" s="1008" t="s">
        <v>653</v>
      </c>
      <c r="V3778" s="1008" t="s">
        <v>648</v>
      </c>
      <c r="W3778" s="1008" t="s">
        <v>546</v>
      </c>
      <c r="X3778" s="1008" t="s">
        <v>670</v>
      </c>
      <c r="Y3778" s="1008" t="s">
        <v>670</v>
      </c>
      <c r="Z3778" s="1008" t="s">
        <v>670</v>
      </c>
      <c r="AA3778" s="1008" t="s">
        <v>670</v>
      </c>
      <c r="AB3778" s="1008" t="s">
        <v>670</v>
      </c>
      <c r="AC3778" s="1008" t="s">
        <v>670</v>
      </c>
      <c r="AD3778" s="1008" t="s">
        <v>670</v>
      </c>
      <c r="AE3778" s="1008"/>
      <c r="AF3778" s="1008" t="s">
        <v>670</v>
      </c>
      <c r="AG3778" s="1008"/>
      <c r="AH3778" s="1008"/>
      <c r="AI3778" s="1008"/>
    </row>
    <row r="3779" spans="1:35">
      <c r="A3779" s="1008">
        <v>25575</v>
      </c>
      <c r="B3779" s="1008">
        <v>605</v>
      </c>
      <c r="C3779" s="1008">
        <v>6</v>
      </c>
      <c r="D3779" s="1009">
        <v>83519900</v>
      </c>
      <c r="E3779" s="1009">
        <v>83514000</v>
      </c>
      <c r="F3779" s="1007" t="s">
        <v>1150</v>
      </c>
      <c r="G3779" s="1007">
        <v>8</v>
      </c>
      <c r="H3779" s="1010">
        <v>99999999</v>
      </c>
      <c r="I3779" s="1009">
        <v>83514000</v>
      </c>
      <c r="J3779" s="1007" t="s">
        <v>1150</v>
      </c>
      <c r="O3779" s="1007" t="s">
        <v>648</v>
      </c>
      <c r="P3779" s="1007" t="s">
        <v>648</v>
      </c>
      <c r="S3779" s="1008" t="s">
        <v>650</v>
      </c>
      <c r="T3779" s="1008" t="s">
        <v>654</v>
      </c>
      <c r="U3779" s="1008" t="s">
        <v>653</v>
      </c>
      <c r="V3779" s="1008" t="s">
        <v>648</v>
      </c>
      <c r="W3779" s="1008" t="s">
        <v>546</v>
      </c>
      <c r="X3779" s="1008" t="s">
        <v>670</v>
      </c>
      <c r="Y3779" s="1008" t="s">
        <v>670</v>
      </c>
      <c r="Z3779" s="1008" t="s">
        <v>670</v>
      </c>
      <c r="AA3779" s="1008" t="s">
        <v>670</v>
      </c>
      <c r="AB3779" s="1008" t="s">
        <v>670</v>
      </c>
      <c r="AC3779" s="1008" t="s">
        <v>670</v>
      </c>
      <c r="AD3779" s="1008" t="s">
        <v>670</v>
      </c>
      <c r="AE3779" s="1008"/>
      <c r="AF3779" s="1008" t="s">
        <v>670</v>
      </c>
      <c r="AG3779" s="1008"/>
      <c r="AH3779" s="1008"/>
      <c r="AI3779" s="1008"/>
    </row>
    <row r="3780" spans="1:35">
      <c r="A3780" s="1008">
        <v>25576</v>
      </c>
      <c r="C3780" s="1008">
        <v>5</v>
      </c>
      <c r="D3780" s="1009">
        <v>83519990</v>
      </c>
      <c r="E3780" s="1009">
        <v>83519900</v>
      </c>
      <c r="F3780" s="1007" t="s">
        <v>1149</v>
      </c>
      <c r="O3780" s="1007" t="s">
        <v>648</v>
      </c>
      <c r="P3780" s="1007" t="s">
        <v>648</v>
      </c>
      <c r="S3780" s="1008" t="s">
        <v>650</v>
      </c>
      <c r="T3780" s="1008" t="s">
        <v>21</v>
      </c>
      <c r="U3780" s="1008" t="s">
        <v>653</v>
      </c>
      <c r="V3780" s="1008" t="s">
        <v>648</v>
      </c>
      <c r="W3780" s="1008" t="s">
        <v>546</v>
      </c>
      <c r="X3780" s="1008"/>
      <c r="Y3780" s="1008"/>
      <c r="Z3780" s="1008"/>
      <c r="AA3780" s="1008"/>
      <c r="AB3780" s="1008"/>
      <c r="AC3780" s="1008"/>
      <c r="AD3780" s="1008"/>
      <c r="AE3780" s="1008"/>
      <c r="AF3780" s="1008"/>
      <c r="AG3780" s="1008"/>
      <c r="AH3780" s="1008"/>
      <c r="AI3780" s="1008"/>
    </row>
    <row r="3781" spans="1:35">
      <c r="A3781" s="1008">
        <v>25577</v>
      </c>
      <c r="C3781" s="1008">
        <v>4</v>
      </c>
      <c r="D3781" s="1009">
        <v>83519999</v>
      </c>
      <c r="E3781" s="1009">
        <v>83519990</v>
      </c>
      <c r="F3781" s="1007" t="s">
        <v>1148</v>
      </c>
      <c r="O3781" s="1007" t="s">
        <v>648</v>
      </c>
      <c r="P3781" s="1007" t="s">
        <v>648</v>
      </c>
      <c r="S3781" s="1008" t="s">
        <v>650</v>
      </c>
      <c r="T3781" s="1008" t="s">
        <v>21</v>
      </c>
      <c r="U3781" s="1008" t="s">
        <v>653</v>
      </c>
      <c r="V3781" s="1008" t="s">
        <v>648</v>
      </c>
      <c r="W3781" s="1008" t="s">
        <v>546</v>
      </c>
      <c r="X3781" s="1008"/>
      <c r="Y3781" s="1008"/>
      <c r="Z3781" s="1008"/>
      <c r="AA3781" s="1008"/>
      <c r="AB3781" s="1008"/>
      <c r="AC3781" s="1008"/>
      <c r="AD3781" s="1008"/>
      <c r="AE3781" s="1008"/>
      <c r="AF3781" s="1008"/>
      <c r="AG3781" s="1008"/>
      <c r="AH3781" s="1008"/>
      <c r="AI3781" s="1008"/>
    </row>
    <row r="3782" spans="1:35">
      <c r="A3782" s="1008">
        <v>25578</v>
      </c>
      <c r="C3782" s="1008">
        <v>3</v>
      </c>
      <c r="D3782" s="1009">
        <v>89999990</v>
      </c>
      <c r="E3782" s="1009">
        <v>83519999</v>
      </c>
      <c r="F3782" s="1007" t="s">
        <v>1147</v>
      </c>
      <c r="O3782" s="1007" t="s">
        <v>648</v>
      </c>
      <c r="P3782" s="1007" t="s">
        <v>648</v>
      </c>
      <c r="S3782" s="1008" t="s">
        <v>650</v>
      </c>
      <c r="T3782" s="1008" t="s">
        <v>21</v>
      </c>
      <c r="U3782" s="1008" t="s">
        <v>653</v>
      </c>
      <c r="V3782" s="1008" t="s">
        <v>648</v>
      </c>
      <c r="W3782" s="1008" t="s">
        <v>546</v>
      </c>
      <c r="X3782" s="1008"/>
      <c r="Y3782" s="1008"/>
      <c r="Z3782" s="1008"/>
      <c r="AA3782" s="1008"/>
      <c r="AB3782" s="1008"/>
      <c r="AC3782" s="1008"/>
      <c r="AD3782" s="1008"/>
      <c r="AE3782" s="1008"/>
      <c r="AF3782" s="1008"/>
      <c r="AG3782" s="1008"/>
      <c r="AH3782" s="1008"/>
      <c r="AI3782" s="1008"/>
    </row>
    <row r="3783" spans="1:35">
      <c r="A3783" s="1008">
        <v>25579</v>
      </c>
      <c r="C3783" s="1008">
        <v>3</v>
      </c>
      <c r="D3783" s="1009">
        <v>89999900</v>
      </c>
      <c r="E3783" s="1009">
        <v>84000100</v>
      </c>
      <c r="F3783" s="1007" t="s">
        <v>1146</v>
      </c>
      <c r="O3783" s="1007" t="s">
        <v>648</v>
      </c>
      <c r="P3783" s="1007" t="s">
        <v>648</v>
      </c>
      <c r="S3783" s="1008" t="s">
        <v>657</v>
      </c>
      <c r="T3783" s="1008" t="s">
        <v>675</v>
      </c>
      <c r="U3783" s="1008" t="s">
        <v>653</v>
      </c>
      <c r="V3783" s="1008" t="s">
        <v>648</v>
      </c>
      <c r="W3783" s="1008" t="s">
        <v>546</v>
      </c>
      <c r="X3783" s="1008"/>
      <c r="Y3783" s="1008"/>
      <c r="Z3783" s="1008"/>
      <c r="AA3783" s="1008"/>
      <c r="AB3783" s="1008"/>
      <c r="AC3783" s="1008"/>
      <c r="AD3783" s="1008"/>
      <c r="AE3783" s="1008"/>
      <c r="AF3783" s="1008"/>
      <c r="AG3783" s="1008"/>
      <c r="AH3783" s="1008"/>
      <c r="AI3783" s="1008"/>
    </row>
    <row r="3784" spans="1:35">
      <c r="A3784" s="1008">
        <v>25580</v>
      </c>
      <c r="C3784" s="1008">
        <v>4</v>
      </c>
      <c r="D3784" s="1009">
        <v>84059999</v>
      </c>
      <c r="E3784" s="1009">
        <v>84001000</v>
      </c>
      <c r="F3784" s="1007" t="s">
        <v>1145</v>
      </c>
      <c r="O3784" s="1007" t="s">
        <v>648</v>
      </c>
      <c r="P3784" s="1007" t="s">
        <v>648</v>
      </c>
      <c r="S3784" s="1008" t="s">
        <v>657</v>
      </c>
      <c r="T3784" s="1008" t="s">
        <v>675</v>
      </c>
      <c r="U3784" s="1008" t="s">
        <v>653</v>
      </c>
      <c r="V3784" s="1008" t="s">
        <v>648</v>
      </c>
      <c r="W3784" s="1008" t="s">
        <v>546</v>
      </c>
      <c r="X3784" s="1008"/>
      <c r="Y3784" s="1008"/>
      <c r="Z3784" s="1008"/>
      <c r="AA3784" s="1008"/>
      <c r="AB3784" s="1008"/>
      <c r="AC3784" s="1008"/>
      <c r="AD3784" s="1008"/>
      <c r="AE3784" s="1008"/>
      <c r="AF3784" s="1008"/>
      <c r="AG3784" s="1008"/>
      <c r="AH3784" s="1008"/>
      <c r="AI3784" s="1008"/>
    </row>
    <row r="3785" spans="1:35">
      <c r="A3785" s="1008">
        <v>25581</v>
      </c>
      <c r="C3785" s="1008">
        <v>5</v>
      </c>
      <c r="D3785" s="1009">
        <v>84019999</v>
      </c>
      <c r="E3785" s="1009">
        <v>84010000</v>
      </c>
      <c r="F3785" s="1007" t="s">
        <v>1068</v>
      </c>
      <c r="O3785" s="1007" t="s">
        <v>648</v>
      </c>
      <c r="P3785" s="1007" t="s">
        <v>648</v>
      </c>
      <c r="S3785" s="1008" t="s">
        <v>657</v>
      </c>
      <c r="T3785" s="1008" t="s">
        <v>675</v>
      </c>
      <c r="U3785" s="1008" t="s">
        <v>653</v>
      </c>
      <c r="V3785" s="1008" t="s">
        <v>648</v>
      </c>
      <c r="W3785" s="1008" t="s">
        <v>546</v>
      </c>
      <c r="X3785" s="1008"/>
      <c r="Y3785" s="1008"/>
      <c r="Z3785" s="1008"/>
      <c r="AA3785" s="1008"/>
      <c r="AB3785" s="1008"/>
      <c r="AC3785" s="1008"/>
      <c r="AD3785" s="1008"/>
      <c r="AE3785" s="1008"/>
      <c r="AF3785" s="1008"/>
      <c r="AG3785" s="1008"/>
      <c r="AH3785" s="1008"/>
      <c r="AI3785" s="1008"/>
    </row>
    <row r="3786" spans="1:35">
      <c r="A3786" s="1008">
        <v>25582</v>
      </c>
      <c r="B3786" s="1008">
        <v>5627</v>
      </c>
      <c r="C3786" s="1008">
        <v>6</v>
      </c>
      <c r="D3786" s="1009">
        <v>84019999</v>
      </c>
      <c r="E3786" s="1009">
        <v>84011000</v>
      </c>
      <c r="F3786" s="1007" t="s">
        <v>1144</v>
      </c>
      <c r="G3786" s="1007">
        <v>6</v>
      </c>
      <c r="H3786" s="1010">
        <v>99999999</v>
      </c>
      <c r="I3786" s="1009">
        <v>84011000</v>
      </c>
      <c r="J3786" s="1007" t="s">
        <v>1144</v>
      </c>
      <c r="O3786" s="1007" t="s">
        <v>648</v>
      </c>
      <c r="P3786" s="1007" t="s">
        <v>648</v>
      </c>
      <c r="S3786" s="1008" t="s">
        <v>657</v>
      </c>
      <c r="T3786" s="1008" t="s">
        <v>654</v>
      </c>
      <c r="U3786" s="1008" t="s">
        <v>653</v>
      </c>
      <c r="V3786" s="1008" t="s">
        <v>648</v>
      </c>
      <c r="W3786" s="1008" t="s">
        <v>546</v>
      </c>
      <c r="X3786" s="1008" t="s">
        <v>670</v>
      </c>
      <c r="Y3786" s="1008" t="s">
        <v>670</v>
      </c>
      <c r="Z3786" s="1008" t="s">
        <v>670</v>
      </c>
      <c r="AA3786" s="1008" t="s">
        <v>670</v>
      </c>
      <c r="AB3786" s="1008" t="s">
        <v>670</v>
      </c>
      <c r="AC3786" s="1008" t="s">
        <v>670</v>
      </c>
      <c r="AD3786" s="1008" t="s">
        <v>670</v>
      </c>
      <c r="AE3786" s="1008"/>
      <c r="AF3786" s="1008" t="s">
        <v>670</v>
      </c>
      <c r="AG3786" s="1008"/>
      <c r="AH3786" s="1008"/>
      <c r="AI3786" s="1008"/>
    </row>
    <row r="3787" spans="1:35">
      <c r="A3787" s="1008">
        <v>25583</v>
      </c>
      <c r="C3787" s="1008">
        <v>5</v>
      </c>
      <c r="D3787" s="1009">
        <v>84059999</v>
      </c>
      <c r="E3787" s="1009">
        <v>84019999</v>
      </c>
      <c r="F3787" s="1007" t="s">
        <v>1066</v>
      </c>
      <c r="O3787" s="1007" t="s">
        <v>648</v>
      </c>
      <c r="P3787" s="1007" t="s">
        <v>648</v>
      </c>
      <c r="S3787" s="1008" t="s">
        <v>657</v>
      </c>
      <c r="T3787" s="1008" t="s">
        <v>21</v>
      </c>
      <c r="U3787" s="1008" t="s">
        <v>653</v>
      </c>
      <c r="V3787" s="1008" t="s">
        <v>648</v>
      </c>
      <c r="W3787" s="1008" t="s">
        <v>546</v>
      </c>
      <c r="X3787" s="1008"/>
      <c r="Y3787" s="1008"/>
      <c r="Z3787" s="1008"/>
      <c r="AA3787" s="1008"/>
      <c r="AB3787" s="1008"/>
      <c r="AC3787" s="1008"/>
      <c r="AD3787" s="1008"/>
      <c r="AE3787" s="1008"/>
      <c r="AF3787" s="1008"/>
      <c r="AG3787" s="1008"/>
      <c r="AH3787" s="1008"/>
      <c r="AI3787" s="1008"/>
    </row>
    <row r="3788" spans="1:35">
      <c r="A3788" s="1008">
        <v>25584</v>
      </c>
      <c r="C3788" s="1008">
        <v>5</v>
      </c>
      <c r="D3788" s="1009">
        <v>84029999</v>
      </c>
      <c r="E3788" s="1009">
        <v>84020000</v>
      </c>
      <c r="F3788" s="1007" t="s">
        <v>1065</v>
      </c>
      <c r="O3788" s="1007" t="s">
        <v>648</v>
      </c>
      <c r="P3788" s="1007" t="s">
        <v>648</v>
      </c>
      <c r="S3788" s="1008" t="s">
        <v>650</v>
      </c>
      <c r="T3788" s="1008" t="s">
        <v>675</v>
      </c>
      <c r="U3788" s="1008" t="s">
        <v>653</v>
      </c>
      <c r="V3788" s="1008" t="s">
        <v>648</v>
      </c>
      <c r="W3788" s="1008" t="s">
        <v>546</v>
      </c>
      <c r="X3788" s="1008"/>
      <c r="Y3788" s="1008"/>
      <c r="Z3788" s="1008"/>
      <c r="AA3788" s="1008"/>
      <c r="AB3788" s="1008"/>
      <c r="AC3788" s="1008"/>
      <c r="AD3788" s="1008"/>
      <c r="AE3788" s="1008"/>
      <c r="AF3788" s="1008"/>
      <c r="AG3788" s="1008"/>
      <c r="AH3788" s="1008"/>
      <c r="AI3788" s="1008"/>
    </row>
    <row r="3789" spans="1:35">
      <c r="A3789" s="1008">
        <v>25585</v>
      </c>
      <c r="B3789" s="1008">
        <v>2498</v>
      </c>
      <c r="C3789" s="1008">
        <v>6</v>
      </c>
      <c r="D3789" s="1009">
        <v>84029999</v>
      </c>
      <c r="E3789" s="1009">
        <v>84021000</v>
      </c>
      <c r="F3789" s="1007" t="s">
        <v>1143</v>
      </c>
      <c r="G3789" s="1007">
        <v>6</v>
      </c>
      <c r="H3789" s="1010">
        <v>99999999</v>
      </c>
      <c r="I3789" s="1009">
        <v>84021000</v>
      </c>
      <c r="J3789" s="1007" t="s">
        <v>1143</v>
      </c>
      <c r="O3789" s="1007" t="s">
        <v>648</v>
      </c>
      <c r="P3789" s="1007" t="s">
        <v>648</v>
      </c>
      <c r="S3789" s="1008" t="s">
        <v>650</v>
      </c>
      <c r="T3789" s="1008" t="s">
        <v>654</v>
      </c>
      <c r="U3789" s="1008" t="s">
        <v>653</v>
      </c>
      <c r="V3789" s="1008" t="s">
        <v>648</v>
      </c>
      <c r="W3789" s="1008" t="s">
        <v>546</v>
      </c>
      <c r="X3789" s="1008" t="s">
        <v>670</v>
      </c>
      <c r="Y3789" s="1008" t="s">
        <v>670</v>
      </c>
      <c r="Z3789" s="1008" t="s">
        <v>670</v>
      </c>
      <c r="AA3789" s="1008" t="s">
        <v>670</v>
      </c>
      <c r="AB3789" s="1008" t="s">
        <v>670</v>
      </c>
      <c r="AC3789" s="1008" t="s">
        <v>670</v>
      </c>
      <c r="AD3789" s="1008" t="s">
        <v>670</v>
      </c>
      <c r="AE3789" s="1008"/>
      <c r="AF3789" s="1008" t="s">
        <v>670</v>
      </c>
      <c r="AG3789" s="1008"/>
      <c r="AH3789" s="1008"/>
      <c r="AI3789" s="1008"/>
    </row>
    <row r="3790" spans="1:35">
      <c r="A3790" s="1008">
        <v>25586</v>
      </c>
      <c r="B3790" s="1008">
        <v>2499</v>
      </c>
      <c r="C3790" s="1008">
        <v>6</v>
      </c>
      <c r="D3790" s="1009">
        <v>84029999</v>
      </c>
      <c r="E3790" s="1009">
        <v>84022000</v>
      </c>
      <c r="F3790" s="1007" t="s">
        <v>1142</v>
      </c>
      <c r="G3790" s="1007">
        <v>6</v>
      </c>
      <c r="H3790" s="1010">
        <v>99999999</v>
      </c>
      <c r="I3790" s="1009">
        <v>84022000</v>
      </c>
      <c r="J3790" s="1007" t="s">
        <v>1142</v>
      </c>
      <c r="O3790" s="1007" t="s">
        <v>648</v>
      </c>
      <c r="P3790" s="1007" t="s">
        <v>648</v>
      </c>
      <c r="S3790" s="1008" t="s">
        <v>650</v>
      </c>
      <c r="T3790" s="1008" t="s">
        <v>654</v>
      </c>
      <c r="U3790" s="1008" t="s">
        <v>653</v>
      </c>
      <c r="V3790" s="1008" t="s">
        <v>648</v>
      </c>
      <c r="W3790" s="1008" t="s">
        <v>546</v>
      </c>
      <c r="X3790" s="1008" t="s">
        <v>670</v>
      </c>
      <c r="Y3790" s="1008" t="s">
        <v>670</v>
      </c>
      <c r="Z3790" s="1008" t="s">
        <v>670</v>
      </c>
      <c r="AA3790" s="1008" t="s">
        <v>670</v>
      </c>
      <c r="AB3790" s="1008" t="s">
        <v>670</v>
      </c>
      <c r="AC3790" s="1008" t="s">
        <v>670</v>
      </c>
      <c r="AD3790" s="1008" t="s">
        <v>670</v>
      </c>
      <c r="AE3790" s="1008"/>
      <c r="AF3790" s="1008" t="s">
        <v>670</v>
      </c>
      <c r="AG3790" s="1008"/>
      <c r="AH3790" s="1008"/>
      <c r="AI3790" s="1008"/>
    </row>
    <row r="3791" spans="1:35">
      <c r="A3791" s="1008">
        <v>25587</v>
      </c>
      <c r="B3791" s="1008">
        <v>2500</v>
      </c>
      <c r="C3791" s="1008">
        <v>6</v>
      </c>
      <c r="D3791" s="1009">
        <v>84029999</v>
      </c>
      <c r="E3791" s="1009">
        <v>84023000</v>
      </c>
      <c r="F3791" s="1007" t="s">
        <v>1141</v>
      </c>
      <c r="G3791" s="1007">
        <v>6</v>
      </c>
      <c r="H3791" s="1010">
        <v>99999999</v>
      </c>
      <c r="I3791" s="1009">
        <v>84023000</v>
      </c>
      <c r="J3791" s="1007" t="s">
        <v>1141</v>
      </c>
      <c r="O3791" s="1007" t="s">
        <v>648</v>
      </c>
      <c r="P3791" s="1007" t="s">
        <v>648</v>
      </c>
      <c r="S3791" s="1008" t="s">
        <v>650</v>
      </c>
      <c r="T3791" s="1008" t="s">
        <v>654</v>
      </c>
      <c r="U3791" s="1008" t="s">
        <v>653</v>
      </c>
      <c r="V3791" s="1008" t="s">
        <v>648</v>
      </c>
      <c r="W3791" s="1008" t="s">
        <v>546</v>
      </c>
      <c r="X3791" s="1008" t="s">
        <v>670</v>
      </c>
      <c r="Y3791" s="1008" t="s">
        <v>670</v>
      </c>
      <c r="Z3791" s="1008" t="s">
        <v>670</v>
      </c>
      <c r="AA3791" s="1008" t="s">
        <v>670</v>
      </c>
      <c r="AB3791" s="1008" t="s">
        <v>670</v>
      </c>
      <c r="AC3791" s="1008" t="s">
        <v>670</v>
      </c>
      <c r="AD3791" s="1008" t="s">
        <v>670</v>
      </c>
      <c r="AE3791" s="1008"/>
      <c r="AF3791" s="1008" t="s">
        <v>670</v>
      </c>
      <c r="AG3791" s="1008"/>
      <c r="AH3791" s="1008"/>
      <c r="AI3791" s="1008"/>
    </row>
    <row r="3792" spans="1:35">
      <c r="A3792" s="1008">
        <v>25588</v>
      </c>
      <c r="B3792" s="1008">
        <v>2501</v>
      </c>
      <c r="C3792" s="1008">
        <v>6</v>
      </c>
      <c r="D3792" s="1009">
        <v>84029999</v>
      </c>
      <c r="E3792" s="1009">
        <v>84024000</v>
      </c>
      <c r="F3792" s="1007" t="s">
        <v>1140</v>
      </c>
      <c r="G3792" s="1007">
        <v>6</v>
      </c>
      <c r="H3792" s="1010">
        <v>99999999</v>
      </c>
      <c r="I3792" s="1009">
        <v>84024000</v>
      </c>
      <c r="J3792" s="1007" t="s">
        <v>1140</v>
      </c>
      <c r="O3792" s="1007" t="s">
        <v>648</v>
      </c>
      <c r="P3792" s="1007" t="s">
        <v>648</v>
      </c>
      <c r="S3792" s="1008" t="s">
        <v>650</v>
      </c>
      <c r="T3792" s="1008" t="s">
        <v>654</v>
      </c>
      <c r="U3792" s="1008" t="s">
        <v>653</v>
      </c>
      <c r="V3792" s="1008" t="s">
        <v>648</v>
      </c>
      <c r="W3792" s="1008" t="s">
        <v>546</v>
      </c>
      <c r="X3792" s="1008" t="s">
        <v>670</v>
      </c>
      <c r="Y3792" s="1008" t="s">
        <v>670</v>
      </c>
      <c r="Z3792" s="1008" t="s">
        <v>670</v>
      </c>
      <c r="AA3792" s="1008" t="s">
        <v>670</v>
      </c>
      <c r="AB3792" s="1008" t="s">
        <v>670</v>
      </c>
      <c r="AC3792" s="1008" t="s">
        <v>670</v>
      </c>
      <c r="AD3792" s="1008" t="s">
        <v>670</v>
      </c>
      <c r="AE3792" s="1008"/>
      <c r="AF3792" s="1008" t="s">
        <v>670</v>
      </c>
      <c r="AG3792" s="1008"/>
      <c r="AH3792" s="1008"/>
      <c r="AI3792" s="1008"/>
    </row>
    <row r="3793" spans="1:35">
      <c r="A3793" s="1008">
        <v>25589</v>
      </c>
      <c r="B3793" s="1008">
        <v>5629</v>
      </c>
      <c r="C3793" s="1008">
        <v>6</v>
      </c>
      <c r="D3793" s="1009">
        <v>84029999</v>
      </c>
      <c r="E3793" s="1009">
        <v>84025000</v>
      </c>
      <c r="F3793" s="1007" t="s">
        <v>1139</v>
      </c>
      <c r="G3793" s="1007">
        <v>6</v>
      </c>
      <c r="H3793" s="1010">
        <v>99999999</v>
      </c>
      <c r="I3793" s="1009">
        <v>84025000</v>
      </c>
      <c r="J3793" s="1007" t="s">
        <v>1139</v>
      </c>
      <c r="O3793" s="1007" t="s">
        <v>648</v>
      </c>
      <c r="P3793" s="1007" t="s">
        <v>648</v>
      </c>
      <c r="S3793" s="1008" t="s">
        <v>650</v>
      </c>
      <c r="T3793" s="1008" t="s">
        <v>654</v>
      </c>
      <c r="U3793" s="1008" t="s">
        <v>653</v>
      </c>
      <c r="V3793" s="1008" t="s">
        <v>648</v>
      </c>
      <c r="W3793" s="1008" t="s">
        <v>546</v>
      </c>
      <c r="X3793" s="1008" t="s">
        <v>670</v>
      </c>
      <c r="Y3793" s="1008" t="s">
        <v>670</v>
      </c>
      <c r="Z3793" s="1008" t="s">
        <v>670</v>
      </c>
      <c r="AA3793" s="1008" t="s">
        <v>670</v>
      </c>
      <c r="AB3793" s="1008" t="s">
        <v>670</v>
      </c>
      <c r="AC3793" s="1008" t="s">
        <v>670</v>
      </c>
      <c r="AD3793" s="1008" t="s">
        <v>670</v>
      </c>
      <c r="AE3793" s="1008"/>
      <c r="AF3793" s="1008" t="s">
        <v>670</v>
      </c>
      <c r="AG3793" s="1008"/>
      <c r="AH3793" s="1008"/>
      <c r="AI3793" s="1008"/>
    </row>
    <row r="3794" spans="1:35">
      <c r="A3794" s="1008">
        <v>25590</v>
      </c>
      <c r="C3794" s="1008">
        <v>5</v>
      </c>
      <c r="D3794" s="1009">
        <v>84059999</v>
      </c>
      <c r="E3794" s="1009">
        <v>84029999</v>
      </c>
      <c r="F3794" s="1007" t="s">
        <v>1051</v>
      </c>
      <c r="O3794" s="1007" t="s">
        <v>648</v>
      </c>
      <c r="P3794" s="1007" t="s">
        <v>648</v>
      </c>
      <c r="S3794" s="1008" t="s">
        <v>650</v>
      </c>
      <c r="T3794" s="1008" t="s">
        <v>21</v>
      </c>
      <c r="U3794" s="1008" t="s">
        <v>653</v>
      </c>
      <c r="V3794" s="1008" t="s">
        <v>648</v>
      </c>
      <c r="W3794" s="1008" t="s">
        <v>546</v>
      </c>
      <c r="X3794" s="1008"/>
      <c r="Y3794" s="1008"/>
      <c r="Z3794" s="1008"/>
      <c r="AA3794" s="1008"/>
      <c r="AB3794" s="1008"/>
      <c r="AC3794" s="1008"/>
      <c r="AD3794" s="1008"/>
      <c r="AE3794" s="1008"/>
      <c r="AF3794" s="1008"/>
      <c r="AG3794" s="1008"/>
      <c r="AH3794" s="1008"/>
      <c r="AI3794" s="1008"/>
    </row>
    <row r="3795" spans="1:35">
      <c r="A3795" s="1008">
        <v>25591</v>
      </c>
      <c r="C3795" s="1008">
        <v>5</v>
      </c>
      <c r="D3795" s="1009">
        <v>84039999</v>
      </c>
      <c r="E3795" s="1009">
        <v>84030000</v>
      </c>
      <c r="F3795" s="1007" t="s">
        <v>1091</v>
      </c>
      <c r="O3795" s="1007" t="s">
        <v>648</v>
      </c>
      <c r="P3795" s="1007" t="s">
        <v>648</v>
      </c>
      <c r="S3795" s="1008" t="s">
        <v>657</v>
      </c>
      <c r="T3795" s="1008" t="s">
        <v>675</v>
      </c>
      <c r="U3795" s="1008" t="s">
        <v>653</v>
      </c>
      <c r="V3795" s="1008" t="s">
        <v>648</v>
      </c>
      <c r="W3795" s="1008" t="s">
        <v>546</v>
      </c>
      <c r="X3795" s="1008"/>
      <c r="Y3795" s="1008"/>
      <c r="Z3795" s="1008"/>
      <c r="AA3795" s="1008"/>
      <c r="AB3795" s="1008"/>
      <c r="AC3795" s="1008"/>
      <c r="AD3795" s="1008"/>
      <c r="AE3795" s="1008"/>
      <c r="AF3795" s="1008"/>
      <c r="AG3795" s="1008"/>
      <c r="AH3795" s="1008"/>
      <c r="AI3795" s="1008"/>
    </row>
    <row r="3796" spans="1:35">
      <c r="A3796" s="1008">
        <v>25592</v>
      </c>
      <c r="B3796" s="1008">
        <v>2503</v>
      </c>
      <c r="C3796" s="1008">
        <v>6</v>
      </c>
      <c r="D3796" s="1009">
        <v>84039999</v>
      </c>
      <c r="E3796" s="1009">
        <v>84031000</v>
      </c>
      <c r="F3796" s="1007" t="s">
        <v>1138</v>
      </c>
      <c r="G3796" s="1007">
        <v>6</v>
      </c>
      <c r="H3796" s="1010">
        <v>99999999</v>
      </c>
      <c r="I3796" s="1009">
        <v>84031000</v>
      </c>
      <c r="J3796" s="1007" t="s">
        <v>1138</v>
      </c>
      <c r="O3796" s="1007" t="s">
        <v>648</v>
      </c>
      <c r="P3796" s="1007" t="s">
        <v>648</v>
      </c>
      <c r="S3796" s="1008" t="s">
        <v>657</v>
      </c>
      <c r="T3796" s="1008" t="s">
        <v>654</v>
      </c>
      <c r="U3796" s="1008" t="s">
        <v>653</v>
      </c>
      <c r="V3796" s="1008" t="s">
        <v>648</v>
      </c>
      <c r="W3796" s="1008" t="s">
        <v>546</v>
      </c>
      <c r="X3796" s="1008" t="s">
        <v>670</v>
      </c>
      <c r="Y3796" s="1008" t="s">
        <v>670</v>
      </c>
      <c r="Z3796" s="1008" t="s">
        <v>670</v>
      </c>
      <c r="AA3796" s="1008" t="s">
        <v>670</v>
      </c>
      <c r="AB3796" s="1008" t="s">
        <v>670</v>
      </c>
      <c r="AC3796" s="1008" t="s">
        <v>670</v>
      </c>
      <c r="AD3796" s="1008" t="s">
        <v>670</v>
      </c>
      <c r="AE3796" s="1008"/>
      <c r="AF3796" s="1008" t="s">
        <v>670</v>
      </c>
      <c r="AG3796" s="1008"/>
      <c r="AH3796" s="1008"/>
      <c r="AI3796" s="1008"/>
    </row>
    <row r="3797" spans="1:35">
      <c r="A3797" s="1008">
        <v>25593</v>
      </c>
      <c r="B3797" s="1008">
        <v>2504</v>
      </c>
      <c r="C3797" s="1008">
        <v>6</v>
      </c>
      <c r="D3797" s="1009">
        <v>84039999</v>
      </c>
      <c r="E3797" s="1009">
        <v>84032000</v>
      </c>
      <c r="F3797" s="1007" t="s">
        <v>1137</v>
      </c>
      <c r="G3797" s="1007">
        <v>6</v>
      </c>
      <c r="H3797" s="1010">
        <v>99999999</v>
      </c>
      <c r="I3797" s="1009">
        <v>84032000</v>
      </c>
      <c r="J3797" s="1007" t="s">
        <v>1137</v>
      </c>
      <c r="O3797" s="1007" t="s">
        <v>648</v>
      </c>
      <c r="P3797" s="1007" t="s">
        <v>648</v>
      </c>
      <c r="S3797" s="1008" t="s">
        <v>657</v>
      </c>
      <c r="T3797" s="1008" t="s">
        <v>654</v>
      </c>
      <c r="U3797" s="1008" t="s">
        <v>653</v>
      </c>
      <c r="V3797" s="1008" t="s">
        <v>648</v>
      </c>
      <c r="W3797" s="1008" t="s">
        <v>546</v>
      </c>
      <c r="X3797" s="1008" t="s">
        <v>670</v>
      </c>
      <c r="Y3797" s="1008" t="s">
        <v>670</v>
      </c>
      <c r="Z3797" s="1008" t="s">
        <v>670</v>
      </c>
      <c r="AA3797" s="1008" t="s">
        <v>670</v>
      </c>
      <c r="AB3797" s="1008" t="s">
        <v>670</v>
      </c>
      <c r="AC3797" s="1008" t="s">
        <v>670</v>
      </c>
      <c r="AD3797" s="1008" t="s">
        <v>670</v>
      </c>
      <c r="AE3797" s="1008"/>
      <c r="AF3797" s="1008" t="s">
        <v>670</v>
      </c>
      <c r="AG3797" s="1008"/>
      <c r="AH3797" s="1008"/>
      <c r="AI3797" s="1008"/>
    </row>
    <row r="3798" spans="1:35">
      <c r="A3798" s="1008">
        <v>25595</v>
      </c>
      <c r="B3798" s="1008">
        <v>2505</v>
      </c>
      <c r="C3798" s="1008">
        <v>6</v>
      </c>
      <c r="D3798" s="1009">
        <v>84039999</v>
      </c>
      <c r="E3798" s="1009">
        <v>84034000</v>
      </c>
      <c r="F3798" s="1007" t="s">
        <v>1136</v>
      </c>
      <c r="G3798" s="1007">
        <v>6</v>
      </c>
      <c r="H3798" s="1010">
        <v>99999999</v>
      </c>
      <c r="I3798" s="1009">
        <v>84034000</v>
      </c>
      <c r="J3798" s="1007" t="s">
        <v>1136</v>
      </c>
      <c r="O3798" s="1007" t="s">
        <v>648</v>
      </c>
      <c r="P3798" s="1007" t="s">
        <v>648</v>
      </c>
      <c r="S3798" s="1008" t="s">
        <v>657</v>
      </c>
      <c r="T3798" s="1008" t="s">
        <v>654</v>
      </c>
      <c r="U3798" s="1008" t="s">
        <v>653</v>
      </c>
      <c r="V3798" s="1008" t="s">
        <v>648</v>
      </c>
      <c r="W3798" s="1008" t="s">
        <v>546</v>
      </c>
      <c r="X3798" s="1008" t="s">
        <v>670</v>
      </c>
      <c r="Y3798" s="1008" t="s">
        <v>670</v>
      </c>
      <c r="Z3798" s="1008" t="s">
        <v>670</v>
      </c>
      <c r="AA3798" s="1008" t="s">
        <v>670</v>
      </c>
      <c r="AB3798" s="1008" t="s">
        <v>670</v>
      </c>
      <c r="AC3798" s="1008" t="s">
        <v>670</v>
      </c>
      <c r="AD3798" s="1008" t="s">
        <v>670</v>
      </c>
      <c r="AE3798" s="1008"/>
      <c r="AF3798" s="1008" t="s">
        <v>670</v>
      </c>
      <c r="AG3798" s="1008"/>
      <c r="AH3798" s="1008"/>
      <c r="AI3798" s="1008"/>
    </row>
    <row r="3799" spans="1:35">
      <c r="A3799" s="1008">
        <v>25596</v>
      </c>
      <c r="B3799" s="1008">
        <v>5631</v>
      </c>
      <c r="C3799" s="1008">
        <v>6</v>
      </c>
      <c r="D3799" s="1009">
        <v>84039999</v>
      </c>
      <c r="E3799" s="1009">
        <v>84035000</v>
      </c>
      <c r="F3799" s="1007" t="s">
        <v>1135</v>
      </c>
      <c r="G3799" s="1007">
        <v>6</v>
      </c>
      <c r="H3799" s="1010">
        <v>99999999</v>
      </c>
      <c r="I3799" s="1009">
        <v>84035000</v>
      </c>
      <c r="J3799" s="1007" t="s">
        <v>1135</v>
      </c>
      <c r="O3799" s="1007" t="s">
        <v>648</v>
      </c>
      <c r="P3799" s="1007" t="s">
        <v>648</v>
      </c>
      <c r="S3799" s="1008" t="s">
        <v>657</v>
      </c>
      <c r="T3799" s="1008" t="s">
        <v>654</v>
      </c>
      <c r="U3799" s="1008" t="s">
        <v>653</v>
      </c>
      <c r="V3799" s="1008" t="s">
        <v>648</v>
      </c>
      <c r="W3799" s="1008" t="s">
        <v>546</v>
      </c>
      <c r="X3799" s="1008" t="s">
        <v>670</v>
      </c>
      <c r="Y3799" s="1008" t="s">
        <v>670</v>
      </c>
      <c r="Z3799" s="1008" t="s">
        <v>670</v>
      </c>
      <c r="AA3799" s="1008" t="s">
        <v>670</v>
      </c>
      <c r="AB3799" s="1008" t="s">
        <v>670</v>
      </c>
      <c r="AC3799" s="1008" t="s">
        <v>670</v>
      </c>
      <c r="AD3799" s="1008" t="s">
        <v>670</v>
      </c>
      <c r="AE3799" s="1008"/>
      <c r="AF3799" s="1008" t="s">
        <v>670</v>
      </c>
      <c r="AG3799" s="1008"/>
      <c r="AH3799" s="1008"/>
      <c r="AI3799" s="1008"/>
    </row>
    <row r="3800" spans="1:35">
      <c r="A3800" s="1008">
        <v>25598</v>
      </c>
      <c r="C3800" s="1008">
        <v>5</v>
      </c>
      <c r="D3800" s="1009">
        <v>84059999</v>
      </c>
      <c r="E3800" s="1009">
        <v>84039999</v>
      </c>
      <c r="F3800" s="1007" t="s">
        <v>1080</v>
      </c>
      <c r="O3800" s="1007" t="s">
        <v>648</v>
      </c>
      <c r="P3800" s="1007" t="s">
        <v>648</v>
      </c>
      <c r="S3800" s="1008" t="s">
        <v>657</v>
      </c>
      <c r="T3800" s="1008" t="s">
        <v>21</v>
      </c>
      <c r="U3800" s="1008" t="s">
        <v>653</v>
      </c>
      <c r="V3800" s="1008" t="s">
        <v>648</v>
      </c>
      <c r="W3800" s="1008" t="s">
        <v>546</v>
      </c>
      <c r="X3800" s="1008"/>
      <c r="Y3800" s="1008"/>
      <c r="Z3800" s="1008"/>
      <c r="AA3800" s="1008"/>
      <c r="AB3800" s="1008"/>
      <c r="AC3800" s="1008"/>
      <c r="AD3800" s="1008"/>
      <c r="AE3800" s="1008"/>
      <c r="AF3800" s="1008"/>
      <c r="AG3800" s="1008"/>
      <c r="AH3800" s="1008"/>
      <c r="AI3800" s="1008"/>
    </row>
    <row r="3801" spans="1:35">
      <c r="A3801" s="1008">
        <v>25599</v>
      </c>
      <c r="C3801" s="1008">
        <v>5</v>
      </c>
      <c r="D3801" s="1009">
        <v>84049999</v>
      </c>
      <c r="E3801" s="1009">
        <v>84040000</v>
      </c>
      <c r="F3801" s="1007" t="s">
        <v>1050</v>
      </c>
      <c r="O3801" s="1007" t="s">
        <v>648</v>
      </c>
      <c r="P3801" s="1007" t="s">
        <v>648</v>
      </c>
      <c r="S3801" s="1008" t="s">
        <v>650</v>
      </c>
      <c r="T3801" s="1008" t="s">
        <v>675</v>
      </c>
      <c r="U3801" s="1008" t="s">
        <v>653</v>
      </c>
      <c r="V3801" s="1008" t="s">
        <v>648</v>
      </c>
      <c r="W3801" s="1008" t="s">
        <v>546</v>
      </c>
      <c r="X3801" s="1008"/>
      <c r="Y3801" s="1008"/>
      <c r="Z3801" s="1008"/>
      <c r="AA3801" s="1008"/>
      <c r="AB3801" s="1008"/>
      <c r="AC3801" s="1008"/>
      <c r="AD3801" s="1008"/>
      <c r="AE3801" s="1008"/>
      <c r="AF3801" s="1008"/>
      <c r="AG3801" s="1008"/>
      <c r="AH3801" s="1008"/>
      <c r="AI3801" s="1008"/>
    </row>
    <row r="3802" spans="1:35">
      <c r="A3802" s="1008">
        <v>25600</v>
      </c>
      <c r="B3802" s="1008">
        <v>2507</v>
      </c>
      <c r="C3802" s="1008">
        <v>6</v>
      </c>
      <c r="D3802" s="1009">
        <v>84049999</v>
      </c>
      <c r="E3802" s="1009">
        <v>84041000</v>
      </c>
      <c r="F3802" s="1007" t="s">
        <v>1134</v>
      </c>
      <c r="G3802" s="1007">
        <v>6</v>
      </c>
      <c r="H3802" s="1010">
        <v>99999999</v>
      </c>
      <c r="I3802" s="1009">
        <v>84041000</v>
      </c>
      <c r="J3802" s="1007" t="s">
        <v>1134</v>
      </c>
      <c r="O3802" s="1007" t="s">
        <v>648</v>
      </c>
      <c r="P3802" s="1007" t="s">
        <v>648</v>
      </c>
      <c r="S3802" s="1008" t="s">
        <v>650</v>
      </c>
      <c r="T3802" s="1008" t="s">
        <v>654</v>
      </c>
      <c r="U3802" s="1008" t="s">
        <v>653</v>
      </c>
      <c r="V3802" s="1008" t="s">
        <v>648</v>
      </c>
      <c r="W3802" s="1008" t="s">
        <v>546</v>
      </c>
      <c r="X3802" s="1008" t="s">
        <v>670</v>
      </c>
      <c r="Y3802" s="1008" t="s">
        <v>670</v>
      </c>
      <c r="Z3802" s="1008" t="s">
        <v>670</v>
      </c>
      <c r="AA3802" s="1008" t="s">
        <v>670</v>
      </c>
      <c r="AB3802" s="1008" t="s">
        <v>670</v>
      </c>
      <c r="AC3802" s="1008" t="s">
        <v>670</v>
      </c>
      <c r="AD3802" s="1008" t="s">
        <v>670</v>
      </c>
      <c r="AE3802" s="1008"/>
      <c r="AF3802" s="1008" t="s">
        <v>670</v>
      </c>
      <c r="AG3802" s="1008"/>
      <c r="AH3802" s="1008"/>
      <c r="AI3802" s="1008"/>
    </row>
    <row r="3803" spans="1:35">
      <c r="A3803" s="1008">
        <v>25601</v>
      </c>
      <c r="B3803" s="1008">
        <v>5633</v>
      </c>
      <c r="C3803" s="1008">
        <v>6</v>
      </c>
      <c r="D3803" s="1009">
        <v>84049999</v>
      </c>
      <c r="E3803" s="1009">
        <v>84042000</v>
      </c>
      <c r="F3803" s="1007" t="s">
        <v>1133</v>
      </c>
      <c r="G3803" s="1007">
        <v>6</v>
      </c>
      <c r="H3803" s="1010">
        <v>99999999</v>
      </c>
      <c r="I3803" s="1009">
        <v>84042000</v>
      </c>
      <c r="J3803" s="1007" t="s">
        <v>1133</v>
      </c>
      <c r="O3803" s="1007" t="s">
        <v>648</v>
      </c>
      <c r="P3803" s="1007" t="s">
        <v>648</v>
      </c>
      <c r="S3803" s="1008" t="s">
        <v>650</v>
      </c>
      <c r="T3803" s="1008" t="s">
        <v>654</v>
      </c>
      <c r="U3803" s="1008" t="s">
        <v>653</v>
      </c>
      <c r="V3803" s="1008" t="s">
        <v>648</v>
      </c>
      <c r="W3803" s="1008" t="s">
        <v>546</v>
      </c>
      <c r="X3803" s="1008" t="s">
        <v>670</v>
      </c>
      <c r="Y3803" s="1008" t="s">
        <v>670</v>
      </c>
      <c r="Z3803" s="1008" t="s">
        <v>670</v>
      </c>
      <c r="AA3803" s="1008" t="s">
        <v>670</v>
      </c>
      <c r="AB3803" s="1008" t="s">
        <v>670</v>
      </c>
      <c r="AC3803" s="1008" t="s">
        <v>670</v>
      </c>
      <c r="AD3803" s="1008" t="s">
        <v>670</v>
      </c>
      <c r="AE3803" s="1008"/>
      <c r="AF3803" s="1008" t="s">
        <v>670</v>
      </c>
      <c r="AG3803" s="1008"/>
      <c r="AH3803" s="1008"/>
      <c r="AI3803" s="1008"/>
    </row>
    <row r="3804" spans="1:35">
      <c r="A3804" s="1008">
        <v>25602</v>
      </c>
      <c r="C3804" s="1008">
        <v>5</v>
      </c>
      <c r="D3804" s="1009">
        <v>84059999</v>
      </c>
      <c r="E3804" s="1009">
        <v>84049999</v>
      </c>
      <c r="F3804" s="1007" t="s">
        <v>1047</v>
      </c>
      <c r="O3804" s="1007" t="s">
        <v>648</v>
      </c>
      <c r="P3804" s="1007" t="s">
        <v>648</v>
      </c>
      <c r="S3804" s="1008" t="s">
        <v>650</v>
      </c>
      <c r="T3804" s="1008" t="s">
        <v>21</v>
      </c>
      <c r="U3804" s="1008" t="s">
        <v>653</v>
      </c>
      <c r="V3804" s="1008" t="s">
        <v>648</v>
      </c>
      <c r="W3804" s="1008" t="s">
        <v>546</v>
      </c>
      <c r="X3804" s="1008"/>
      <c r="Y3804" s="1008"/>
      <c r="Z3804" s="1008"/>
      <c r="AA3804" s="1008"/>
      <c r="AB3804" s="1008"/>
      <c r="AC3804" s="1008"/>
      <c r="AD3804" s="1008"/>
      <c r="AE3804" s="1008"/>
      <c r="AF3804" s="1008"/>
      <c r="AG3804" s="1008"/>
      <c r="AH3804" s="1008"/>
      <c r="AI3804" s="1008"/>
    </row>
    <row r="3805" spans="1:35">
      <c r="A3805" s="1008">
        <v>25603</v>
      </c>
      <c r="C3805" s="1008">
        <v>5</v>
      </c>
      <c r="D3805" s="1009">
        <v>84059900</v>
      </c>
      <c r="E3805" s="1009">
        <v>84050000</v>
      </c>
      <c r="F3805" s="1007" t="s">
        <v>1046</v>
      </c>
      <c r="O3805" s="1007" t="s">
        <v>648</v>
      </c>
      <c r="P3805" s="1007" t="s">
        <v>648</v>
      </c>
      <c r="S3805" s="1008" t="s">
        <v>650</v>
      </c>
      <c r="T3805" s="1008" t="s">
        <v>675</v>
      </c>
      <c r="U3805" s="1008" t="s">
        <v>653</v>
      </c>
      <c r="V3805" s="1008" t="s">
        <v>648</v>
      </c>
      <c r="W3805" s="1008" t="s">
        <v>546</v>
      </c>
      <c r="X3805" s="1008"/>
      <c r="Y3805" s="1008"/>
      <c r="Z3805" s="1008"/>
      <c r="AA3805" s="1008"/>
      <c r="AB3805" s="1008"/>
      <c r="AC3805" s="1008"/>
      <c r="AD3805" s="1008"/>
      <c r="AE3805" s="1008"/>
      <c r="AF3805" s="1008"/>
      <c r="AG3805" s="1008"/>
      <c r="AH3805" s="1008"/>
      <c r="AI3805" s="1008"/>
    </row>
    <row r="3806" spans="1:35">
      <c r="A3806" s="1008">
        <v>25604</v>
      </c>
      <c r="B3806" s="1008">
        <v>5635</v>
      </c>
      <c r="C3806" s="1008">
        <v>6</v>
      </c>
      <c r="D3806" s="1009">
        <v>84059900</v>
      </c>
      <c r="E3806" s="1009">
        <v>84051000</v>
      </c>
      <c r="F3806" s="1007" t="s">
        <v>1132</v>
      </c>
      <c r="G3806" s="1007">
        <v>6</v>
      </c>
      <c r="H3806" s="1010">
        <v>99999999</v>
      </c>
      <c r="I3806" s="1009">
        <v>84051000</v>
      </c>
      <c r="J3806" s="1007" t="s">
        <v>1132</v>
      </c>
      <c r="O3806" s="1007" t="s">
        <v>648</v>
      </c>
      <c r="P3806" s="1007" t="s">
        <v>648</v>
      </c>
      <c r="S3806" s="1008" t="s">
        <v>650</v>
      </c>
      <c r="T3806" s="1008" t="s">
        <v>654</v>
      </c>
      <c r="U3806" s="1008" t="s">
        <v>653</v>
      </c>
      <c r="V3806" s="1008" t="s">
        <v>648</v>
      </c>
      <c r="W3806" s="1008" t="s">
        <v>546</v>
      </c>
      <c r="X3806" s="1008" t="s">
        <v>670</v>
      </c>
      <c r="Y3806" s="1008" t="s">
        <v>670</v>
      </c>
      <c r="Z3806" s="1008" t="s">
        <v>670</v>
      </c>
      <c r="AA3806" s="1008" t="s">
        <v>670</v>
      </c>
      <c r="AB3806" s="1008" t="s">
        <v>670</v>
      </c>
      <c r="AC3806" s="1008" t="s">
        <v>670</v>
      </c>
      <c r="AD3806" s="1008" t="s">
        <v>670</v>
      </c>
      <c r="AE3806" s="1008"/>
      <c r="AF3806" s="1008" t="s">
        <v>670</v>
      </c>
      <c r="AG3806" s="1008"/>
      <c r="AH3806" s="1008"/>
      <c r="AI3806" s="1008"/>
    </row>
    <row r="3807" spans="1:35">
      <c r="A3807" s="1008">
        <v>25605</v>
      </c>
      <c r="C3807" s="1008">
        <v>5</v>
      </c>
      <c r="D3807" s="1009">
        <v>84059999</v>
      </c>
      <c r="E3807" s="1009">
        <v>84059900</v>
      </c>
      <c r="F3807" s="1007" t="s">
        <v>1044</v>
      </c>
      <c r="O3807" s="1007" t="s">
        <v>648</v>
      </c>
      <c r="P3807" s="1007" t="s">
        <v>648</v>
      </c>
      <c r="S3807" s="1008" t="s">
        <v>650</v>
      </c>
      <c r="T3807" s="1008" t="s">
        <v>21</v>
      </c>
      <c r="U3807" s="1008" t="s">
        <v>653</v>
      </c>
      <c r="V3807" s="1008" t="s">
        <v>648</v>
      </c>
      <c r="W3807" s="1008" t="s">
        <v>546</v>
      </c>
      <c r="X3807" s="1008"/>
      <c r="Y3807" s="1008"/>
      <c r="Z3807" s="1008"/>
      <c r="AA3807" s="1008"/>
      <c r="AB3807" s="1008"/>
      <c r="AC3807" s="1008"/>
      <c r="AD3807" s="1008"/>
      <c r="AE3807" s="1008"/>
      <c r="AF3807" s="1008"/>
      <c r="AG3807" s="1008"/>
      <c r="AH3807" s="1008"/>
      <c r="AI3807" s="1008"/>
    </row>
    <row r="3808" spans="1:35">
      <c r="A3808" s="1008">
        <v>25606</v>
      </c>
      <c r="C3808" s="1008">
        <v>4</v>
      </c>
      <c r="D3808" s="1009">
        <v>89999900</v>
      </c>
      <c r="E3808" s="1009">
        <v>84059999</v>
      </c>
      <c r="F3808" s="1007" t="s">
        <v>1131</v>
      </c>
      <c r="O3808" s="1007" t="s">
        <v>648</v>
      </c>
      <c r="P3808" s="1007" t="s">
        <v>648</v>
      </c>
      <c r="S3808" s="1008" t="s">
        <v>657</v>
      </c>
      <c r="T3808" s="1008" t="s">
        <v>21</v>
      </c>
      <c r="U3808" s="1008" t="s">
        <v>653</v>
      </c>
      <c r="V3808" s="1008" t="s">
        <v>648</v>
      </c>
      <c r="W3808" s="1008" t="s">
        <v>546</v>
      </c>
      <c r="X3808" s="1008"/>
      <c r="Y3808" s="1008"/>
      <c r="Z3808" s="1008"/>
      <c r="AA3808" s="1008"/>
      <c r="AB3808" s="1008"/>
      <c r="AC3808" s="1008"/>
      <c r="AD3808" s="1008"/>
      <c r="AE3808" s="1008"/>
      <c r="AF3808" s="1008"/>
      <c r="AG3808" s="1008"/>
      <c r="AH3808" s="1008"/>
      <c r="AI3808" s="1008"/>
    </row>
    <row r="3809" spans="1:35">
      <c r="A3809" s="1008">
        <v>25607</v>
      </c>
      <c r="C3809" s="1008">
        <v>4</v>
      </c>
      <c r="D3809" s="1009">
        <v>84549999</v>
      </c>
      <c r="E3809" s="1009">
        <v>84501000</v>
      </c>
      <c r="F3809" s="1007" t="s">
        <v>1130</v>
      </c>
      <c r="O3809" s="1007" t="s">
        <v>648</v>
      </c>
      <c r="P3809" s="1007" t="s">
        <v>648</v>
      </c>
      <c r="S3809" s="1008" t="s">
        <v>657</v>
      </c>
      <c r="T3809" s="1008" t="s">
        <v>675</v>
      </c>
      <c r="U3809" s="1008" t="s">
        <v>653</v>
      </c>
      <c r="V3809" s="1008" t="s">
        <v>648</v>
      </c>
      <c r="W3809" s="1008" t="s">
        <v>546</v>
      </c>
      <c r="X3809" s="1008"/>
      <c r="Y3809" s="1008"/>
      <c r="Z3809" s="1008"/>
      <c r="AA3809" s="1008"/>
      <c r="AB3809" s="1008"/>
      <c r="AC3809" s="1008"/>
      <c r="AD3809" s="1008"/>
      <c r="AE3809" s="1008"/>
      <c r="AF3809" s="1008"/>
      <c r="AG3809" s="1008"/>
      <c r="AH3809" s="1008"/>
      <c r="AI3809" s="1008"/>
    </row>
    <row r="3810" spans="1:35">
      <c r="A3810" s="1008">
        <v>25608</v>
      </c>
      <c r="C3810" s="1008">
        <v>5</v>
      </c>
      <c r="D3810" s="1009">
        <v>84519999</v>
      </c>
      <c r="E3810" s="1009">
        <v>84510000</v>
      </c>
      <c r="F3810" s="1007" t="s">
        <v>1068</v>
      </c>
      <c r="O3810" s="1007" t="s">
        <v>648</v>
      </c>
      <c r="P3810" s="1007" t="s">
        <v>648</v>
      </c>
      <c r="S3810" s="1008" t="s">
        <v>657</v>
      </c>
      <c r="T3810" s="1008" t="s">
        <v>675</v>
      </c>
      <c r="U3810" s="1008" t="s">
        <v>653</v>
      </c>
      <c r="V3810" s="1008" t="s">
        <v>648</v>
      </c>
      <c r="W3810" s="1008" t="s">
        <v>546</v>
      </c>
      <c r="X3810" s="1008"/>
      <c r="Y3810" s="1008"/>
      <c r="Z3810" s="1008"/>
      <c r="AA3810" s="1008"/>
      <c r="AB3810" s="1008"/>
      <c r="AC3810" s="1008"/>
      <c r="AD3810" s="1008"/>
      <c r="AE3810" s="1008"/>
      <c r="AF3810" s="1008"/>
      <c r="AG3810" s="1008"/>
      <c r="AH3810" s="1008"/>
      <c r="AI3810" s="1008"/>
    </row>
    <row r="3811" spans="1:35">
      <c r="A3811" s="1008">
        <v>25609</v>
      </c>
      <c r="B3811" s="1008">
        <v>5639</v>
      </c>
      <c r="C3811" s="1008">
        <v>6</v>
      </c>
      <c r="D3811" s="1009">
        <v>84519999</v>
      </c>
      <c r="E3811" s="1009">
        <v>84511000</v>
      </c>
      <c r="F3811" s="1007" t="s">
        <v>1129</v>
      </c>
      <c r="G3811" s="1007">
        <v>6</v>
      </c>
      <c r="H3811" s="1010">
        <v>99999999</v>
      </c>
      <c r="I3811" s="1009">
        <v>84511000</v>
      </c>
      <c r="J3811" s="1007" t="s">
        <v>1129</v>
      </c>
      <c r="O3811" s="1007" t="s">
        <v>648</v>
      </c>
      <c r="P3811" s="1007" t="s">
        <v>648</v>
      </c>
      <c r="S3811" s="1008" t="s">
        <v>657</v>
      </c>
      <c r="T3811" s="1008" t="s">
        <v>654</v>
      </c>
      <c r="U3811" s="1008" t="s">
        <v>653</v>
      </c>
      <c r="V3811" s="1008" t="s">
        <v>648</v>
      </c>
      <c r="W3811" s="1008" t="s">
        <v>546</v>
      </c>
      <c r="X3811" s="1008" t="s">
        <v>670</v>
      </c>
      <c r="Y3811" s="1008" t="s">
        <v>670</v>
      </c>
      <c r="Z3811" s="1008" t="s">
        <v>670</v>
      </c>
      <c r="AA3811" s="1008" t="s">
        <v>670</v>
      </c>
      <c r="AB3811" s="1008" t="s">
        <v>670</v>
      </c>
      <c r="AC3811" s="1008" t="s">
        <v>670</v>
      </c>
      <c r="AD3811" s="1008" t="s">
        <v>670</v>
      </c>
      <c r="AE3811" s="1008"/>
      <c r="AF3811" s="1008" t="s">
        <v>670</v>
      </c>
      <c r="AG3811" s="1008"/>
      <c r="AH3811" s="1008"/>
      <c r="AI3811" s="1008"/>
    </row>
    <row r="3812" spans="1:35">
      <c r="A3812" s="1008">
        <v>25610</v>
      </c>
      <c r="C3812" s="1008">
        <v>5</v>
      </c>
      <c r="D3812" s="1009">
        <v>84549999</v>
      </c>
      <c r="E3812" s="1009">
        <v>84519999</v>
      </c>
      <c r="F3812" s="1007" t="s">
        <v>1066</v>
      </c>
      <c r="O3812" s="1007" t="s">
        <v>648</v>
      </c>
      <c r="P3812" s="1007" t="s">
        <v>648</v>
      </c>
      <c r="S3812" s="1008" t="s">
        <v>657</v>
      </c>
      <c r="T3812" s="1008" t="s">
        <v>21</v>
      </c>
      <c r="U3812" s="1008" t="s">
        <v>653</v>
      </c>
      <c r="V3812" s="1008" t="s">
        <v>648</v>
      </c>
      <c r="W3812" s="1008" t="s">
        <v>546</v>
      </c>
      <c r="X3812" s="1008"/>
      <c r="Y3812" s="1008"/>
      <c r="Z3812" s="1008"/>
      <c r="AA3812" s="1008"/>
      <c r="AB3812" s="1008"/>
      <c r="AC3812" s="1008"/>
      <c r="AD3812" s="1008"/>
      <c r="AE3812" s="1008"/>
      <c r="AF3812" s="1008"/>
      <c r="AG3812" s="1008"/>
      <c r="AH3812" s="1008"/>
      <c r="AI3812" s="1008"/>
    </row>
    <row r="3813" spans="1:35">
      <c r="A3813" s="1008">
        <v>25611</v>
      </c>
      <c r="C3813" s="1008">
        <v>5</v>
      </c>
      <c r="D3813" s="1009">
        <v>84529999</v>
      </c>
      <c r="E3813" s="1009">
        <v>84520000</v>
      </c>
      <c r="F3813" s="1007" t="s">
        <v>1065</v>
      </c>
      <c r="O3813" s="1007" t="s">
        <v>648</v>
      </c>
      <c r="P3813" s="1007" t="s">
        <v>648</v>
      </c>
      <c r="S3813" s="1008" t="s">
        <v>650</v>
      </c>
      <c r="T3813" s="1008" t="s">
        <v>675</v>
      </c>
      <c r="U3813" s="1008" t="s">
        <v>653</v>
      </c>
      <c r="V3813" s="1008" t="s">
        <v>648</v>
      </c>
      <c r="W3813" s="1008" t="s">
        <v>546</v>
      </c>
      <c r="X3813" s="1008"/>
      <c r="Y3813" s="1008"/>
      <c r="Z3813" s="1008"/>
      <c r="AA3813" s="1008"/>
      <c r="AB3813" s="1008"/>
      <c r="AC3813" s="1008"/>
      <c r="AD3813" s="1008"/>
      <c r="AE3813" s="1008"/>
      <c r="AF3813" s="1008"/>
      <c r="AG3813" s="1008"/>
      <c r="AH3813" s="1008"/>
      <c r="AI3813" s="1008"/>
    </row>
    <row r="3814" spans="1:35">
      <c r="A3814" s="1008">
        <v>25612</v>
      </c>
      <c r="B3814" s="1008">
        <v>5641</v>
      </c>
      <c r="C3814" s="1008">
        <v>6</v>
      </c>
      <c r="D3814" s="1009">
        <v>84529999</v>
      </c>
      <c r="E3814" s="1009">
        <v>84521000</v>
      </c>
      <c r="F3814" s="1007" t="s">
        <v>1128</v>
      </c>
      <c r="G3814" s="1007">
        <v>6</v>
      </c>
      <c r="H3814" s="1010">
        <v>99999999</v>
      </c>
      <c r="I3814" s="1009">
        <v>84521000</v>
      </c>
      <c r="J3814" s="1007" t="s">
        <v>1128</v>
      </c>
      <c r="O3814" s="1007" t="s">
        <v>648</v>
      </c>
      <c r="P3814" s="1007" t="s">
        <v>648</v>
      </c>
      <c r="S3814" s="1008" t="s">
        <v>650</v>
      </c>
      <c r="T3814" s="1008" t="s">
        <v>654</v>
      </c>
      <c r="U3814" s="1008" t="s">
        <v>653</v>
      </c>
      <c r="V3814" s="1008" t="s">
        <v>648</v>
      </c>
      <c r="W3814" s="1008" t="s">
        <v>546</v>
      </c>
      <c r="X3814" s="1008" t="s">
        <v>670</v>
      </c>
      <c r="Y3814" s="1008" t="s">
        <v>670</v>
      </c>
      <c r="Z3814" s="1008" t="s">
        <v>670</v>
      </c>
      <c r="AA3814" s="1008" t="s">
        <v>670</v>
      </c>
      <c r="AB3814" s="1008" t="s">
        <v>670</v>
      </c>
      <c r="AC3814" s="1008" t="s">
        <v>670</v>
      </c>
      <c r="AD3814" s="1008" t="s">
        <v>670</v>
      </c>
      <c r="AE3814" s="1008"/>
      <c r="AF3814" s="1008" t="s">
        <v>670</v>
      </c>
      <c r="AG3814" s="1008"/>
      <c r="AH3814" s="1008"/>
      <c r="AI3814" s="1008"/>
    </row>
    <row r="3815" spans="1:35">
      <c r="A3815" s="1008">
        <v>25613</v>
      </c>
      <c r="C3815" s="1008">
        <v>5</v>
      </c>
      <c r="D3815" s="1009">
        <v>84549999</v>
      </c>
      <c r="E3815" s="1009">
        <v>84529999</v>
      </c>
      <c r="F3815" s="1007" t="s">
        <v>1051</v>
      </c>
      <c r="O3815" s="1007" t="s">
        <v>648</v>
      </c>
      <c r="P3815" s="1007" t="s">
        <v>648</v>
      </c>
      <c r="S3815" s="1008" t="s">
        <v>650</v>
      </c>
      <c r="T3815" s="1008" t="s">
        <v>21</v>
      </c>
      <c r="U3815" s="1008" t="s">
        <v>653</v>
      </c>
      <c r="V3815" s="1008" t="s">
        <v>648</v>
      </c>
      <c r="W3815" s="1008" t="s">
        <v>546</v>
      </c>
      <c r="X3815" s="1008"/>
      <c r="Y3815" s="1008"/>
      <c r="Z3815" s="1008"/>
      <c r="AA3815" s="1008"/>
      <c r="AB3815" s="1008"/>
      <c r="AC3815" s="1008"/>
      <c r="AD3815" s="1008"/>
      <c r="AE3815" s="1008"/>
      <c r="AF3815" s="1008"/>
      <c r="AG3815" s="1008"/>
      <c r="AH3815" s="1008"/>
      <c r="AI3815" s="1008"/>
    </row>
    <row r="3816" spans="1:35">
      <c r="A3816" s="1008">
        <v>25614</v>
      </c>
      <c r="C3816" s="1008">
        <v>5</v>
      </c>
      <c r="D3816" s="1009">
        <v>84539999</v>
      </c>
      <c r="E3816" s="1009">
        <v>84530000</v>
      </c>
      <c r="F3816" s="1007" t="s">
        <v>1050</v>
      </c>
      <c r="O3816" s="1007" t="s">
        <v>648</v>
      </c>
      <c r="P3816" s="1007" t="s">
        <v>648</v>
      </c>
      <c r="S3816" s="1008" t="s">
        <v>650</v>
      </c>
      <c r="T3816" s="1008" t="s">
        <v>675</v>
      </c>
      <c r="U3816" s="1008" t="s">
        <v>653</v>
      </c>
      <c r="V3816" s="1008" t="s">
        <v>648</v>
      </c>
      <c r="W3816" s="1008" t="s">
        <v>546</v>
      </c>
      <c r="X3816" s="1008"/>
      <c r="Y3816" s="1008"/>
      <c r="Z3816" s="1008"/>
      <c r="AA3816" s="1008"/>
      <c r="AB3816" s="1008"/>
      <c r="AC3816" s="1008"/>
      <c r="AD3816" s="1008"/>
      <c r="AE3816" s="1008"/>
      <c r="AF3816" s="1008"/>
      <c r="AG3816" s="1008"/>
      <c r="AH3816" s="1008"/>
      <c r="AI3816" s="1008"/>
    </row>
    <row r="3817" spans="1:35">
      <c r="A3817" s="1008">
        <v>25615</v>
      </c>
      <c r="B3817" s="1008">
        <v>2512</v>
      </c>
      <c r="C3817" s="1008">
        <v>6</v>
      </c>
      <c r="D3817" s="1009">
        <v>84539999</v>
      </c>
      <c r="E3817" s="1009">
        <v>84531000</v>
      </c>
      <c r="F3817" s="1007" t="s">
        <v>1127</v>
      </c>
      <c r="G3817" s="1007">
        <v>6</v>
      </c>
      <c r="H3817" s="1010">
        <v>99999999</v>
      </c>
      <c r="I3817" s="1009">
        <v>84531000</v>
      </c>
      <c r="J3817" s="1007" t="s">
        <v>1127</v>
      </c>
      <c r="O3817" s="1007" t="s">
        <v>648</v>
      </c>
      <c r="P3817" s="1007" t="s">
        <v>648</v>
      </c>
      <c r="S3817" s="1008" t="s">
        <v>650</v>
      </c>
      <c r="T3817" s="1008" t="s">
        <v>654</v>
      </c>
      <c r="U3817" s="1008" t="s">
        <v>653</v>
      </c>
      <c r="V3817" s="1008" t="s">
        <v>648</v>
      </c>
      <c r="W3817" s="1008" t="s">
        <v>546</v>
      </c>
      <c r="X3817" s="1008" t="s">
        <v>670</v>
      </c>
      <c r="Y3817" s="1008" t="s">
        <v>670</v>
      </c>
      <c r="Z3817" s="1008" t="s">
        <v>670</v>
      </c>
      <c r="AA3817" s="1008" t="s">
        <v>670</v>
      </c>
      <c r="AB3817" s="1008" t="s">
        <v>670</v>
      </c>
      <c r="AC3817" s="1008" t="s">
        <v>670</v>
      </c>
      <c r="AD3817" s="1008" t="s">
        <v>670</v>
      </c>
      <c r="AE3817" s="1008"/>
      <c r="AF3817" s="1008" t="s">
        <v>670</v>
      </c>
      <c r="AG3817" s="1008"/>
      <c r="AH3817" s="1008"/>
      <c r="AI3817" s="1008"/>
    </row>
    <row r="3818" spans="1:35">
      <c r="A3818" s="1008">
        <v>25616</v>
      </c>
      <c r="B3818" s="1008">
        <v>5643</v>
      </c>
      <c r="C3818" s="1008">
        <v>6</v>
      </c>
      <c r="D3818" s="1009">
        <v>84539999</v>
      </c>
      <c r="E3818" s="1009">
        <v>84532000</v>
      </c>
      <c r="F3818" s="1007" t="s">
        <v>1126</v>
      </c>
      <c r="G3818" s="1007">
        <v>6</v>
      </c>
      <c r="H3818" s="1010">
        <v>99999999</v>
      </c>
      <c r="I3818" s="1009">
        <v>84532000</v>
      </c>
      <c r="J3818" s="1007" t="s">
        <v>1126</v>
      </c>
      <c r="O3818" s="1007" t="s">
        <v>648</v>
      </c>
      <c r="P3818" s="1007" t="s">
        <v>648</v>
      </c>
      <c r="S3818" s="1008" t="s">
        <v>650</v>
      </c>
      <c r="T3818" s="1008" t="s">
        <v>654</v>
      </c>
      <c r="U3818" s="1008" t="s">
        <v>653</v>
      </c>
      <c r="V3818" s="1008" t="s">
        <v>648</v>
      </c>
      <c r="W3818" s="1008" t="s">
        <v>546</v>
      </c>
      <c r="X3818" s="1008" t="s">
        <v>670</v>
      </c>
      <c r="Y3818" s="1008" t="s">
        <v>670</v>
      </c>
      <c r="Z3818" s="1008" t="s">
        <v>670</v>
      </c>
      <c r="AA3818" s="1008" t="s">
        <v>670</v>
      </c>
      <c r="AB3818" s="1008" t="s">
        <v>670</v>
      </c>
      <c r="AC3818" s="1008" t="s">
        <v>670</v>
      </c>
      <c r="AD3818" s="1008" t="s">
        <v>670</v>
      </c>
      <c r="AE3818" s="1008"/>
      <c r="AF3818" s="1008" t="s">
        <v>670</v>
      </c>
      <c r="AG3818" s="1008"/>
      <c r="AH3818" s="1008"/>
      <c r="AI3818" s="1008"/>
    </row>
    <row r="3819" spans="1:35">
      <c r="A3819" s="1008">
        <v>25617</v>
      </c>
      <c r="C3819" s="1008">
        <v>5</v>
      </c>
      <c r="D3819" s="1009">
        <v>84549999</v>
      </c>
      <c r="E3819" s="1009">
        <v>84539999</v>
      </c>
      <c r="F3819" s="1007" t="s">
        <v>1047</v>
      </c>
      <c r="O3819" s="1007" t="s">
        <v>648</v>
      </c>
      <c r="P3819" s="1007" t="s">
        <v>648</v>
      </c>
      <c r="S3819" s="1008" t="s">
        <v>650</v>
      </c>
      <c r="T3819" s="1008" t="s">
        <v>21</v>
      </c>
      <c r="U3819" s="1008" t="s">
        <v>653</v>
      </c>
      <c r="V3819" s="1008" t="s">
        <v>648</v>
      </c>
      <c r="W3819" s="1008" t="s">
        <v>546</v>
      </c>
      <c r="X3819" s="1008"/>
      <c r="Y3819" s="1008"/>
      <c r="Z3819" s="1008"/>
      <c r="AA3819" s="1008"/>
      <c r="AB3819" s="1008"/>
      <c r="AC3819" s="1008"/>
      <c r="AD3819" s="1008"/>
      <c r="AE3819" s="1008"/>
      <c r="AF3819" s="1008"/>
      <c r="AG3819" s="1008"/>
      <c r="AH3819" s="1008"/>
      <c r="AI3819" s="1008"/>
    </row>
    <row r="3820" spans="1:35">
      <c r="A3820" s="1008">
        <v>25618</v>
      </c>
      <c r="C3820" s="1008">
        <v>5</v>
      </c>
      <c r="D3820" s="1009">
        <v>84549900</v>
      </c>
      <c r="E3820" s="1009">
        <v>84540000</v>
      </c>
      <c r="F3820" s="1007" t="s">
        <v>1046</v>
      </c>
      <c r="O3820" s="1007" t="s">
        <v>648</v>
      </c>
      <c r="P3820" s="1007" t="s">
        <v>648</v>
      </c>
      <c r="S3820" s="1008" t="s">
        <v>650</v>
      </c>
      <c r="T3820" s="1008" t="s">
        <v>675</v>
      </c>
      <c r="U3820" s="1008" t="s">
        <v>653</v>
      </c>
      <c r="V3820" s="1008" t="s">
        <v>648</v>
      </c>
      <c r="W3820" s="1008" t="s">
        <v>546</v>
      </c>
      <c r="X3820" s="1008"/>
      <c r="Y3820" s="1008"/>
      <c r="Z3820" s="1008"/>
      <c r="AA3820" s="1008"/>
      <c r="AB3820" s="1008"/>
      <c r="AC3820" s="1008"/>
      <c r="AD3820" s="1008"/>
      <c r="AE3820" s="1008"/>
      <c r="AF3820" s="1008"/>
      <c r="AG3820" s="1008"/>
      <c r="AH3820" s="1008"/>
      <c r="AI3820" s="1008"/>
    </row>
    <row r="3821" spans="1:35">
      <c r="A3821" s="1008">
        <v>25619</v>
      </c>
      <c r="B3821" s="1008">
        <v>5645</v>
      </c>
      <c r="C3821" s="1008">
        <v>6</v>
      </c>
      <c r="D3821" s="1009">
        <v>84549900</v>
      </c>
      <c r="E3821" s="1009">
        <v>84541000</v>
      </c>
      <c r="F3821" s="1007" t="s">
        <v>1125</v>
      </c>
      <c r="G3821" s="1007">
        <v>6</v>
      </c>
      <c r="H3821" s="1010">
        <v>99999999</v>
      </c>
      <c r="I3821" s="1009">
        <v>84541000</v>
      </c>
      <c r="J3821" s="1007" t="s">
        <v>1125</v>
      </c>
      <c r="O3821" s="1007" t="s">
        <v>648</v>
      </c>
      <c r="P3821" s="1007" t="s">
        <v>648</v>
      </c>
      <c r="S3821" s="1008" t="s">
        <v>650</v>
      </c>
      <c r="T3821" s="1008" t="s">
        <v>654</v>
      </c>
      <c r="U3821" s="1008" t="s">
        <v>653</v>
      </c>
      <c r="V3821" s="1008" t="s">
        <v>648</v>
      </c>
      <c r="W3821" s="1008" t="s">
        <v>546</v>
      </c>
      <c r="X3821" s="1008" t="s">
        <v>670</v>
      </c>
      <c r="Y3821" s="1008" t="s">
        <v>670</v>
      </c>
      <c r="Z3821" s="1008" t="s">
        <v>670</v>
      </c>
      <c r="AA3821" s="1008" t="s">
        <v>670</v>
      </c>
      <c r="AB3821" s="1008" t="s">
        <v>670</v>
      </c>
      <c r="AC3821" s="1008" t="s">
        <v>670</v>
      </c>
      <c r="AD3821" s="1008" t="s">
        <v>670</v>
      </c>
      <c r="AE3821" s="1008"/>
      <c r="AF3821" s="1008" t="s">
        <v>670</v>
      </c>
      <c r="AG3821" s="1008"/>
      <c r="AH3821" s="1008"/>
      <c r="AI3821" s="1008"/>
    </row>
    <row r="3822" spans="1:35">
      <c r="A3822" s="1008">
        <v>25620</v>
      </c>
      <c r="C3822" s="1008">
        <v>5</v>
      </c>
      <c r="D3822" s="1009">
        <v>84549999</v>
      </c>
      <c r="E3822" s="1009">
        <v>84549900</v>
      </c>
      <c r="F3822" s="1007" t="s">
        <v>1044</v>
      </c>
      <c r="O3822" s="1007" t="s">
        <v>648</v>
      </c>
      <c r="P3822" s="1007" t="s">
        <v>648</v>
      </c>
      <c r="S3822" s="1008" t="s">
        <v>650</v>
      </c>
      <c r="T3822" s="1008" t="s">
        <v>21</v>
      </c>
      <c r="U3822" s="1008" t="s">
        <v>653</v>
      </c>
      <c r="V3822" s="1008" t="s">
        <v>648</v>
      </c>
      <c r="W3822" s="1008" t="s">
        <v>546</v>
      </c>
      <c r="X3822" s="1008"/>
      <c r="Y3822" s="1008"/>
      <c r="Z3822" s="1008"/>
      <c r="AA3822" s="1008"/>
      <c r="AB3822" s="1008"/>
      <c r="AC3822" s="1008"/>
      <c r="AD3822" s="1008"/>
      <c r="AE3822" s="1008"/>
      <c r="AF3822" s="1008"/>
      <c r="AG3822" s="1008"/>
      <c r="AH3822" s="1008"/>
      <c r="AI3822" s="1008"/>
    </row>
    <row r="3823" spans="1:35">
      <c r="A3823" s="1008">
        <v>25621</v>
      </c>
      <c r="C3823" s="1008">
        <v>4</v>
      </c>
      <c r="D3823" s="1009">
        <v>89999900</v>
      </c>
      <c r="E3823" s="1009">
        <v>84549999</v>
      </c>
      <c r="F3823" s="1007" t="s">
        <v>1124</v>
      </c>
      <c r="O3823" s="1007" t="s">
        <v>648</v>
      </c>
      <c r="P3823" s="1007" t="s">
        <v>648</v>
      </c>
      <c r="S3823" s="1008" t="s">
        <v>657</v>
      </c>
      <c r="T3823" s="1008" t="s">
        <v>21</v>
      </c>
      <c r="U3823" s="1008" t="s">
        <v>653</v>
      </c>
      <c r="V3823" s="1008" t="s">
        <v>648</v>
      </c>
      <c r="W3823" s="1008" t="s">
        <v>546</v>
      </c>
      <c r="X3823" s="1008"/>
      <c r="Y3823" s="1008"/>
      <c r="Z3823" s="1008"/>
      <c r="AA3823" s="1008"/>
      <c r="AB3823" s="1008"/>
      <c r="AC3823" s="1008"/>
      <c r="AD3823" s="1008"/>
      <c r="AE3823" s="1008"/>
      <c r="AF3823" s="1008"/>
      <c r="AG3823" s="1008"/>
      <c r="AH3823" s="1008"/>
      <c r="AI3823" s="1008"/>
    </row>
    <row r="3824" spans="1:35">
      <c r="A3824" s="1008">
        <v>25622</v>
      </c>
      <c r="C3824" s="1008">
        <v>4</v>
      </c>
      <c r="D3824" s="1009">
        <v>85049999</v>
      </c>
      <c r="E3824" s="1009">
        <v>85001000</v>
      </c>
      <c r="F3824" s="1007" t="s">
        <v>1123</v>
      </c>
      <c r="O3824" s="1007" t="s">
        <v>648</v>
      </c>
      <c r="P3824" s="1007" t="s">
        <v>648</v>
      </c>
      <c r="S3824" s="1008" t="s">
        <v>657</v>
      </c>
      <c r="T3824" s="1008" t="s">
        <v>675</v>
      </c>
      <c r="U3824" s="1008" t="s">
        <v>653</v>
      </c>
      <c r="V3824" s="1008" t="s">
        <v>648</v>
      </c>
      <c r="W3824" s="1008" t="s">
        <v>546</v>
      </c>
      <c r="X3824" s="1008"/>
      <c r="Y3824" s="1008"/>
      <c r="Z3824" s="1008"/>
      <c r="AA3824" s="1008"/>
      <c r="AB3824" s="1008"/>
      <c r="AC3824" s="1008"/>
      <c r="AD3824" s="1008"/>
      <c r="AE3824" s="1008"/>
      <c r="AF3824" s="1008"/>
      <c r="AG3824" s="1008"/>
      <c r="AH3824" s="1008"/>
      <c r="AI3824" s="1008"/>
    </row>
    <row r="3825" spans="1:35">
      <c r="A3825" s="1008">
        <v>25623</v>
      </c>
      <c r="C3825" s="1008">
        <v>5</v>
      </c>
      <c r="D3825" s="1009">
        <v>85019999</v>
      </c>
      <c r="E3825" s="1009">
        <v>85010000</v>
      </c>
      <c r="F3825" s="1007" t="s">
        <v>1068</v>
      </c>
      <c r="O3825" s="1007" t="s">
        <v>648</v>
      </c>
      <c r="P3825" s="1007" t="s">
        <v>648</v>
      </c>
      <c r="S3825" s="1008" t="s">
        <v>657</v>
      </c>
      <c r="T3825" s="1008" t="s">
        <v>675</v>
      </c>
      <c r="U3825" s="1008" t="s">
        <v>653</v>
      </c>
      <c r="V3825" s="1008" t="s">
        <v>648</v>
      </c>
      <c r="W3825" s="1008" t="s">
        <v>546</v>
      </c>
      <c r="X3825" s="1008"/>
      <c r="Y3825" s="1008"/>
      <c r="Z3825" s="1008"/>
      <c r="AA3825" s="1008"/>
      <c r="AB3825" s="1008"/>
      <c r="AC3825" s="1008"/>
      <c r="AD3825" s="1008"/>
      <c r="AE3825" s="1008"/>
      <c r="AF3825" s="1008"/>
      <c r="AG3825" s="1008"/>
      <c r="AH3825" s="1008"/>
      <c r="AI3825" s="1008"/>
    </row>
    <row r="3826" spans="1:35">
      <c r="A3826" s="1008">
        <v>25624</v>
      </c>
      <c r="B3826" s="1008">
        <v>5649</v>
      </c>
      <c r="C3826" s="1008">
        <v>6</v>
      </c>
      <c r="D3826" s="1009">
        <v>85019999</v>
      </c>
      <c r="E3826" s="1009">
        <v>85011000</v>
      </c>
      <c r="F3826" s="1007" t="s">
        <v>1122</v>
      </c>
      <c r="G3826" s="1007">
        <v>6</v>
      </c>
      <c r="H3826" s="1010">
        <v>99999999</v>
      </c>
      <c r="I3826" s="1009">
        <v>85011000</v>
      </c>
      <c r="J3826" s="1007" t="s">
        <v>1122</v>
      </c>
      <c r="O3826" s="1007" t="s">
        <v>648</v>
      </c>
      <c r="P3826" s="1007" t="s">
        <v>648</v>
      </c>
      <c r="S3826" s="1008" t="s">
        <v>657</v>
      </c>
      <c r="T3826" s="1008" t="s">
        <v>654</v>
      </c>
      <c r="U3826" s="1008" t="s">
        <v>653</v>
      </c>
      <c r="V3826" s="1008" t="s">
        <v>648</v>
      </c>
      <c r="W3826" s="1008" t="s">
        <v>546</v>
      </c>
      <c r="X3826" s="1008" t="s">
        <v>670</v>
      </c>
      <c r="Y3826" s="1008" t="s">
        <v>670</v>
      </c>
      <c r="Z3826" s="1008" t="s">
        <v>670</v>
      </c>
      <c r="AA3826" s="1008" t="s">
        <v>670</v>
      </c>
      <c r="AB3826" s="1008" t="s">
        <v>670</v>
      </c>
      <c r="AC3826" s="1008" t="s">
        <v>670</v>
      </c>
      <c r="AD3826" s="1008" t="s">
        <v>670</v>
      </c>
      <c r="AE3826" s="1008"/>
      <c r="AF3826" s="1008" t="s">
        <v>670</v>
      </c>
      <c r="AG3826" s="1008"/>
      <c r="AH3826" s="1008"/>
      <c r="AI3826" s="1008"/>
    </row>
    <row r="3827" spans="1:35">
      <c r="A3827" s="1008">
        <v>25625</v>
      </c>
      <c r="C3827" s="1008">
        <v>5</v>
      </c>
      <c r="D3827" s="1009">
        <v>85049999</v>
      </c>
      <c r="E3827" s="1009">
        <v>85019999</v>
      </c>
      <c r="F3827" s="1007" t="s">
        <v>1066</v>
      </c>
      <c r="O3827" s="1007" t="s">
        <v>648</v>
      </c>
      <c r="P3827" s="1007" t="s">
        <v>648</v>
      </c>
      <c r="S3827" s="1008" t="s">
        <v>657</v>
      </c>
      <c r="T3827" s="1008" t="s">
        <v>21</v>
      </c>
      <c r="U3827" s="1008" t="s">
        <v>653</v>
      </c>
      <c r="V3827" s="1008" t="s">
        <v>648</v>
      </c>
      <c r="W3827" s="1008" t="s">
        <v>546</v>
      </c>
      <c r="X3827" s="1008"/>
      <c r="Y3827" s="1008"/>
      <c r="Z3827" s="1008"/>
      <c r="AA3827" s="1008"/>
      <c r="AB3827" s="1008"/>
      <c r="AC3827" s="1008"/>
      <c r="AD3827" s="1008"/>
      <c r="AE3827" s="1008"/>
      <c r="AF3827" s="1008"/>
      <c r="AG3827" s="1008"/>
      <c r="AH3827" s="1008"/>
      <c r="AI3827" s="1008"/>
    </row>
    <row r="3828" spans="1:35">
      <c r="A3828" s="1008">
        <v>25626</v>
      </c>
      <c r="C3828" s="1008">
        <v>5</v>
      </c>
      <c r="D3828" s="1009">
        <v>85029999</v>
      </c>
      <c r="E3828" s="1009">
        <v>85020000</v>
      </c>
      <c r="F3828" s="1007" t="s">
        <v>1065</v>
      </c>
      <c r="O3828" s="1007" t="s">
        <v>648</v>
      </c>
      <c r="P3828" s="1007" t="s">
        <v>648</v>
      </c>
      <c r="S3828" s="1008" t="s">
        <v>650</v>
      </c>
      <c r="T3828" s="1008" t="s">
        <v>675</v>
      </c>
      <c r="U3828" s="1008" t="s">
        <v>653</v>
      </c>
      <c r="V3828" s="1008" t="s">
        <v>648</v>
      </c>
      <c r="W3828" s="1008" t="s">
        <v>546</v>
      </c>
      <c r="X3828" s="1008"/>
      <c r="Y3828" s="1008"/>
      <c r="Z3828" s="1008"/>
      <c r="AA3828" s="1008"/>
      <c r="AB3828" s="1008"/>
      <c r="AC3828" s="1008"/>
      <c r="AD3828" s="1008"/>
      <c r="AE3828" s="1008"/>
      <c r="AF3828" s="1008"/>
      <c r="AG3828" s="1008"/>
      <c r="AH3828" s="1008"/>
      <c r="AI3828" s="1008"/>
    </row>
    <row r="3829" spans="1:35">
      <c r="A3829" s="1008">
        <v>25627</v>
      </c>
      <c r="B3829" s="1008">
        <v>2516</v>
      </c>
      <c r="C3829" s="1008">
        <v>6</v>
      </c>
      <c r="D3829" s="1009">
        <v>85029999</v>
      </c>
      <c r="E3829" s="1009">
        <v>85021000</v>
      </c>
      <c r="F3829" s="1007" t="s">
        <v>1121</v>
      </c>
      <c r="G3829" s="1007">
        <v>6</v>
      </c>
      <c r="H3829" s="1010">
        <v>99999999</v>
      </c>
      <c r="I3829" s="1009">
        <v>85021000</v>
      </c>
      <c r="J3829" s="1007" t="s">
        <v>1121</v>
      </c>
      <c r="O3829" s="1007" t="s">
        <v>648</v>
      </c>
      <c r="P3829" s="1007" t="s">
        <v>648</v>
      </c>
      <c r="S3829" s="1008" t="s">
        <v>650</v>
      </c>
      <c r="T3829" s="1008" t="s">
        <v>654</v>
      </c>
      <c r="U3829" s="1008" t="s">
        <v>653</v>
      </c>
      <c r="V3829" s="1008" t="s">
        <v>648</v>
      </c>
      <c r="W3829" s="1008" t="s">
        <v>546</v>
      </c>
      <c r="X3829" s="1008" t="s">
        <v>670</v>
      </c>
      <c r="Y3829" s="1008" t="s">
        <v>670</v>
      </c>
      <c r="Z3829" s="1008" t="s">
        <v>670</v>
      </c>
      <c r="AA3829" s="1008" t="s">
        <v>670</v>
      </c>
      <c r="AB3829" s="1008" t="s">
        <v>670</v>
      </c>
      <c r="AC3829" s="1008" t="s">
        <v>670</v>
      </c>
      <c r="AD3829" s="1008" t="s">
        <v>670</v>
      </c>
      <c r="AE3829" s="1008"/>
      <c r="AF3829" s="1008" t="s">
        <v>670</v>
      </c>
      <c r="AG3829" s="1008"/>
      <c r="AH3829" s="1008"/>
      <c r="AI3829" s="1008"/>
    </row>
    <row r="3830" spans="1:35">
      <c r="A3830" s="1008">
        <v>25628</v>
      </c>
      <c r="B3830" s="1008">
        <v>2517</v>
      </c>
      <c r="C3830" s="1008">
        <v>6</v>
      </c>
      <c r="D3830" s="1009">
        <v>85029999</v>
      </c>
      <c r="E3830" s="1009">
        <v>85022000</v>
      </c>
      <c r="F3830" s="1007" t="s">
        <v>1120</v>
      </c>
      <c r="G3830" s="1007">
        <v>6</v>
      </c>
      <c r="H3830" s="1010">
        <v>99999999</v>
      </c>
      <c r="I3830" s="1009">
        <v>85022000</v>
      </c>
      <c r="J3830" s="1007" t="s">
        <v>1120</v>
      </c>
      <c r="O3830" s="1007" t="s">
        <v>648</v>
      </c>
      <c r="P3830" s="1007" t="s">
        <v>648</v>
      </c>
      <c r="S3830" s="1008" t="s">
        <v>650</v>
      </c>
      <c r="T3830" s="1008" t="s">
        <v>654</v>
      </c>
      <c r="U3830" s="1008" t="s">
        <v>653</v>
      </c>
      <c r="V3830" s="1008" t="s">
        <v>648</v>
      </c>
      <c r="W3830" s="1008" t="s">
        <v>546</v>
      </c>
      <c r="X3830" s="1008" t="s">
        <v>670</v>
      </c>
      <c r="Y3830" s="1008" t="s">
        <v>670</v>
      </c>
      <c r="Z3830" s="1008" t="s">
        <v>670</v>
      </c>
      <c r="AA3830" s="1008" t="s">
        <v>670</v>
      </c>
      <c r="AB3830" s="1008" t="s">
        <v>670</v>
      </c>
      <c r="AC3830" s="1008" t="s">
        <v>670</v>
      </c>
      <c r="AD3830" s="1008" t="s">
        <v>670</v>
      </c>
      <c r="AE3830" s="1008"/>
      <c r="AF3830" s="1008" t="s">
        <v>670</v>
      </c>
      <c r="AG3830" s="1008"/>
      <c r="AH3830" s="1008"/>
      <c r="AI3830" s="1008"/>
    </row>
    <row r="3831" spans="1:35">
      <c r="A3831" s="1008">
        <v>25629</v>
      </c>
      <c r="B3831" s="1008">
        <v>5651</v>
      </c>
      <c r="C3831" s="1008">
        <v>6</v>
      </c>
      <c r="D3831" s="1009">
        <v>85029999</v>
      </c>
      <c r="E3831" s="1009">
        <v>85023000</v>
      </c>
      <c r="F3831" s="1007" t="s">
        <v>1119</v>
      </c>
      <c r="G3831" s="1007">
        <v>6</v>
      </c>
      <c r="H3831" s="1010">
        <v>99999999</v>
      </c>
      <c r="I3831" s="1009">
        <v>85023000</v>
      </c>
      <c r="J3831" s="1007" t="s">
        <v>1119</v>
      </c>
      <c r="O3831" s="1007" t="s">
        <v>648</v>
      </c>
      <c r="P3831" s="1007" t="s">
        <v>648</v>
      </c>
      <c r="S3831" s="1008" t="s">
        <v>650</v>
      </c>
      <c r="T3831" s="1008" t="s">
        <v>654</v>
      </c>
      <c r="U3831" s="1008" t="s">
        <v>653</v>
      </c>
      <c r="V3831" s="1008" t="s">
        <v>648</v>
      </c>
      <c r="W3831" s="1008" t="s">
        <v>546</v>
      </c>
      <c r="X3831" s="1008" t="s">
        <v>670</v>
      </c>
      <c r="Y3831" s="1008" t="s">
        <v>670</v>
      </c>
      <c r="Z3831" s="1008" t="s">
        <v>670</v>
      </c>
      <c r="AA3831" s="1008" t="s">
        <v>670</v>
      </c>
      <c r="AB3831" s="1008" t="s">
        <v>670</v>
      </c>
      <c r="AC3831" s="1008" t="s">
        <v>670</v>
      </c>
      <c r="AD3831" s="1008" t="s">
        <v>670</v>
      </c>
      <c r="AE3831" s="1008"/>
      <c r="AF3831" s="1008" t="s">
        <v>670</v>
      </c>
      <c r="AG3831" s="1008"/>
      <c r="AH3831" s="1008"/>
      <c r="AI3831" s="1008"/>
    </row>
    <row r="3832" spans="1:35">
      <c r="A3832" s="1008">
        <v>25630</v>
      </c>
      <c r="C3832" s="1008">
        <v>5</v>
      </c>
      <c r="D3832" s="1009">
        <v>85049999</v>
      </c>
      <c r="E3832" s="1009">
        <v>85029999</v>
      </c>
      <c r="F3832" s="1007" t="s">
        <v>1051</v>
      </c>
      <c r="O3832" s="1007" t="s">
        <v>648</v>
      </c>
      <c r="P3832" s="1007" t="s">
        <v>648</v>
      </c>
      <c r="S3832" s="1008" t="s">
        <v>650</v>
      </c>
      <c r="T3832" s="1008" t="s">
        <v>21</v>
      </c>
      <c r="U3832" s="1008" t="s">
        <v>653</v>
      </c>
      <c r="V3832" s="1008" t="s">
        <v>648</v>
      </c>
      <c r="W3832" s="1008" t="s">
        <v>546</v>
      </c>
      <c r="X3832" s="1008"/>
      <c r="Y3832" s="1008"/>
      <c r="Z3832" s="1008"/>
      <c r="AA3832" s="1008"/>
      <c r="AB3832" s="1008"/>
      <c r="AC3832" s="1008"/>
      <c r="AD3832" s="1008"/>
      <c r="AE3832" s="1008"/>
      <c r="AF3832" s="1008"/>
      <c r="AG3832" s="1008"/>
      <c r="AH3832" s="1008"/>
      <c r="AI3832" s="1008"/>
    </row>
    <row r="3833" spans="1:35">
      <c r="A3833" s="1008">
        <v>25631</v>
      </c>
      <c r="C3833" s="1008">
        <v>5</v>
      </c>
      <c r="D3833" s="1009">
        <v>85039999</v>
      </c>
      <c r="E3833" s="1009">
        <v>85030000</v>
      </c>
      <c r="F3833" s="1007" t="s">
        <v>1050</v>
      </c>
      <c r="O3833" s="1007" t="s">
        <v>648</v>
      </c>
      <c r="P3833" s="1007" t="s">
        <v>648</v>
      </c>
      <c r="S3833" s="1008" t="s">
        <v>650</v>
      </c>
      <c r="T3833" s="1008" t="s">
        <v>675</v>
      </c>
      <c r="U3833" s="1008" t="s">
        <v>653</v>
      </c>
      <c r="V3833" s="1008" t="s">
        <v>648</v>
      </c>
      <c r="W3833" s="1008" t="s">
        <v>546</v>
      </c>
      <c r="X3833" s="1008"/>
      <c r="Y3833" s="1008"/>
      <c r="Z3833" s="1008"/>
      <c r="AA3833" s="1008"/>
      <c r="AB3833" s="1008"/>
      <c r="AC3833" s="1008"/>
      <c r="AD3833" s="1008"/>
      <c r="AE3833" s="1008"/>
      <c r="AF3833" s="1008"/>
      <c r="AG3833" s="1008"/>
      <c r="AH3833" s="1008"/>
      <c r="AI3833" s="1008"/>
    </row>
    <row r="3834" spans="1:35">
      <c r="A3834" s="1008">
        <v>25632</v>
      </c>
      <c r="B3834" s="1008">
        <v>2519</v>
      </c>
      <c r="C3834" s="1008">
        <v>6</v>
      </c>
      <c r="D3834" s="1009">
        <v>85039999</v>
      </c>
      <c r="E3834" s="1009">
        <v>85031000</v>
      </c>
      <c r="F3834" s="1007" t="s">
        <v>1118</v>
      </c>
      <c r="G3834" s="1007">
        <v>6</v>
      </c>
      <c r="H3834" s="1010">
        <v>99999999</v>
      </c>
      <c r="I3834" s="1009">
        <v>85031000</v>
      </c>
      <c r="J3834" s="1007" t="s">
        <v>1118</v>
      </c>
      <c r="O3834" s="1007" t="s">
        <v>648</v>
      </c>
      <c r="P3834" s="1007" t="s">
        <v>648</v>
      </c>
      <c r="S3834" s="1008" t="s">
        <v>650</v>
      </c>
      <c r="T3834" s="1008" t="s">
        <v>654</v>
      </c>
      <c r="U3834" s="1008" t="s">
        <v>653</v>
      </c>
      <c r="V3834" s="1008" t="s">
        <v>648</v>
      </c>
      <c r="W3834" s="1008" t="s">
        <v>546</v>
      </c>
      <c r="X3834" s="1008" t="s">
        <v>670</v>
      </c>
      <c r="Y3834" s="1008" t="s">
        <v>670</v>
      </c>
      <c r="Z3834" s="1008" t="s">
        <v>670</v>
      </c>
      <c r="AA3834" s="1008" t="s">
        <v>670</v>
      </c>
      <c r="AB3834" s="1008" t="s">
        <v>670</v>
      </c>
      <c r="AC3834" s="1008" t="s">
        <v>670</v>
      </c>
      <c r="AD3834" s="1008" t="s">
        <v>670</v>
      </c>
      <c r="AE3834" s="1008"/>
      <c r="AF3834" s="1008" t="s">
        <v>670</v>
      </c>
      <c r="AG3834" s="1008"/>
      <c r="AH3834" s="1008"/>
      <c r="AI3834" s="1008"/>
    </row>
    <row r="3835" spans="1:35">
      <c r="A3835" s="1008">
        <v>25633</v>
      </c>
      <c r="B3835" s="1008">
        <v>5653</v>
      </c>
      <c r="C3835" s="1008">
        <v>6</v>
      </c>
      <c r="D3835" s="1009">
        <v>85039999</v>
      </c>
      <c r="E3835" s="1009">
        <v>85032000</v>
      </c>
      <c r="F3835" s="1007" t="s">
        <v>1117</v>
      </c>
      <c r="G3835" s="1007">
        <v>6</v>
      </c>
      <c r="H3835" s="1010">
        <v>99999999</v>
      </c>
      <c r="I3835" s="1009">
        <v>85032000</v>
      </c>
      <c r="J3835" s="1007" t="s">
        <v>1117</v>
      </c>
      <c r="O3835" s="1007" t="s">
        <v>648</v>
      </c>
      <c r="P3835" s="1007" t="s">
        <v>648</v>
      </c>
      <c r="S3835" s="1008" t="s">
        <v>650</v>
      </c>
      <c r="T3835" s="1008" t="s">
        <v>654</v>
      </c>
      <c r="U3835" s="1008" t="s">
        <v>653</v>
      </c>
      <c r="V3835" s="1008" t="s">
        <v>648</v>
      </c>
      <c r="W3835" s="1008" t="s">
        <v>546</v>
      </c>
      <c r="X3835" s="1008" t="s">
        <v>670</v>
      </c>
      <c r="Y3835" s="1008" t="s">
        <v>670</v>
      </c>
      <c r="Z3835" s="1008" t="s">
        <v>670</v>
      </c>
      <c r="AA3835" s="1008" t="s">
        <v>670</v>
      </c>
      <c r="AB3835" s="1008" t="s">
        <v>670</v>
      </c>
      <c r="AC3835" s="1008" t="s">
        <v>670</v>
      </c>
      <c r="AD3835" s="1008" t="s">
        <v>670</v>
      </c>
      <c r="AE3835" s="1008"/>
      <c r="AF3835" s="1008" t="s">
        <v>670</v>
      </c>
      <c r="AG3835" s="1008"/>
      <c r="AH3835" s="1008"/>
      <c r="AI3835" s="1008"/>
    </row>
    <row r="3836" spans="1:35">
      <c r="A3836" s="1008">
        <v>25634</v>
      </c>
      <c r="C3836" s="1008">
        <v>5</v>
      </c>
      <c r="D3836" s="1009">
        <v>85049999</v>
      </c>
      <c r="E3836" s="1009">
        <v>85039999</v>
      </c>
      <c r="F3836" s="1007" t="s">
        <v>1047</v>
      </c>
      <c r="O3836" s="1007" t="s">
        <v>648</v>
      </c>
      <c r="P3836" s="1007" t="s">
        <v>648</v>
      </c>
      <c r="S3836" s="1008" t="s">
        <v>650</v>
      </c>
      <c r="T3836" s="1008" t="s">
        <v>21</v>
      </c>
      <c r="U3836" s="1008" t="s">
        <v>653</v>
      </c>
      <c r="V3836" s="1008" t="s">
        <v>648</v>
      </c>
      <c r="W3836" s="1008" t="s">
        <v>546</v>
      </c>
      <c r="X3836" s="1008"/>
      <c r="Y3836" s="1008"/>
      <c r="Z3836" s="1008"/>
      <c r="AA3836" s="1008"/>
      <c r="AB3836" s="1008"/>
      <c r="AC3836" s="1008"/>
      <c r="AD3836" s="1008"/>
      <c r="AE3836" s="1008"/>
      <c r="AF3836" s="1008"/>
      <c r="AG3836" s="1008"/>
      <c r="AH3836" s="1008"/>
      <c r="AI3836" s="1008"/>
    </row>
    <row r="3837" spans="1:35">
      <c r="A3837" s="1008">
        <v>25635</v>
      </c>
      <c r="C3837" s="1008">
        <v>5</v>
      </c>
      <c r="D3837" s="1009">
        <v>85049900</v>
      </c>
      <c r="E3837" s="1009">
        <v>85040000</v>
      </c>
      <c r="F3837" s="1007" t="s">
        <v>1046</v>
      </c>
      <c r="O3837" s="1007" t="s">
        <v>648</v>
      </c>
      <c r="P3837" s="1007" t="s">
        <v>648</v>
      </c>
      <c r="S3837" s="1008" t="s">
        <v>650</v>
      </c>
      <c r="T3837" s="1008" t="s">
        <v>675</v>
      </c>
      <c r="U3837" s="1008" t="s">
        <v>653</v>
      </c>
      <c r="V3837" s="1008" t="s">
        <v>648</v>
      </c>
      <c r="W3837" s="1008" t="s">
        <v>546</v>
      </c>
      <c r="X3837" s="1008"/>
      <c r="Y3837" s="1008"/>
      <c r="Z3837" s="1008"/>
      <c r="AA3837" s="1008"/>
      <c r="AB3837" s="1008"/>
      <c r="AC3837" s="1008"/>
      <c r="AD3837" s="1008"/>
      <c r="AE3837" s="1008"/>
      <c r="AF3837" s="1008"/>
      <c r="AG3837" s="1008"/>
      <c r="AH3837" s="1008"/>
      <c r="AI3837" s="1008"/>
    </row>
    <row r="3838" spans="1:35">
      <c r="A3838" s="1008">
        <v>25636</v>
      </c>
      <c r="B3838" s="1008">
        <v>5655</v>
      </c>
      <c r="C3838" s="1008">
        <v>6</v>
      </c>
      <c r="D3838" s="1009">
        <v>85049900</v>
      </c>
      <c r="E3838" s="1009">
        <v>85041000</v>
      </c>
      <c r="F3838" s="1007" t="s">
        <v>1116</v>
      </c>
      <c r="G3838" s="1007">
        <v>6</v>
      </c>
      <c r="H3838" s="1010">
        <v>99999999</v>
      </c>
      <c r="I3838" s="1009">
        <v>85041000</v>
      </c>
      <c r="J3838" s="1007" t="s">
        <v>1116</v>
      </c>
      <c r="O3838" s="1007" t="s">
        <v>648</v>
      </c>
      <c r="P3838" s="1007" t="s">
        <v>648</v>
      </c>
      <c r="S3838" s="1008" t="s">
        <v>650</v>
      </c>
      <c r="T3838" s="1008" t="s">
        <v>654</v>
      </c>
      <c r="U3838" s="1008" t="s">
        <v>653</v>
      </c>
      <c r="V3838" s="1008" t="s">
        <v>648</v>
      </c>
      <c r="W3838" s="1008" t="s">
        <v>546</v>
      </c>
      <c r="X3838" s="1008" t="s">
        <v>670</v>
      </c>
      <c r="Y3838" s="1008" t="s">
        <v>670</v>
      </c>
      <c r="Z3838" s="1008" t="s">
        <v>670</v>
      </c>
      <c r="AA3838" s="1008" t="s">
        <v>670</v>
      </c>
      <c r="AB3838" s="1008" t="s">
        <v>670</v>
      </c>
      <c r="AC3838" s="1008" t="s">
        <v>670</v>
      </c>
      <c r="AD3838" s="1008" t="s">
        <v>670</v>
      </c>
      <c r="AE3838" s="1008"/>
      <c r="AF3838" s="1008" t="s">
        <v>670</v>
      </c>
      <c r="AG3838" s="1008"/>
      <c r="AH3838" s="1008"/>
      <c r="AI3838" s="1008"/>
    </row>
    <row r="3839" spans="1:35">
      <c r="A3839" s="1008">
        <v>25637</v>
      </c>
      <c r="C3839" s="1008">
        <v>5</v>
      </c>
      <c r="D3839" s="1009">
        <v>85049999</v>
      </c>
      <c r="E3839" s="1009">
        <v>85049900</v>
      </c>
      <c r="F3839" s="1007" t="s">
        <v>1044</v>
      </c>
      <c r="O3839" s="1007" t="s">
        <v>648</v>
      </c>
      <c r="P3839" s="1007" t="s">
        <v>648</v>
      </c>
      <c r="S3839" s="1008" t="s">
        <v>650</v>
      </c>
      <c r="T3839" s="1008" t="s">
        <v>21</v>
      </c>
      <c r="U3839" s="1008" t="s">
        <v>653</v>
      </c>
      <c r="V3839" s="1008" t="s">
        <v>648</v>
      </c>
      <c r="W3839" s="1008" t="s">
        <v>546</v>
      </c>
      <c r="X3839" s="1008"/>
      <c r="Y3839" s="1008"/>
      <c r="Z3839" s="1008"/>
      <c r="AA3839" s="1008"/>
      <c r="AB3839" s="1008"/>
      <c r="AC3839" s="1008"/>
      <c r="AD3839" s="1008"/>
      <c r="AE3839" s="1008"/>
      <c r="AF3839" s="1008"/>
      <c r="AG3839" s="1008"/>
      <c r="AH3839" s="1008"/>
      <c r="AI3839" s="1008"/>
    </row>
    <row r="3840" spans="1:35">
      <c r="A3840" s="1008">
        <v>25638</v>
      </c>
      <c r="C3840" s="1008">
        <v>4</v>
      </c>
      <c r="D3840" s="1009">
        <v>89999900</v>
      </c>
      <c r="E3840" s="1009">
        <v>85049999</v>
      </c>
      <c r="F3840" s="1007" t="s">
        <v>1115</v>
      </c>
      <c r="O3840" s="1007" t="s">
        <v>648</v>
      </c>
      <c r="P3840" s="1007" t="s">
        <v>648</v>
      </c>
      <c r="S3840" s="1008" t="s">
        <v>657</v>
      </c>
      <c r="T3840" s="1008" t="s">
        <v>21</v>
      </c>
      <c r="U3840" s="1008" t="s">
        <v>653</v>
      </c>
      <c r="V3840" s="1008" t="s">
        <v>648</v>
      </c>
      <c r="W3840" s="1008" t="s">
        <v>546</v>
      </c>
      <c r="X3840" s="1008"/>
      <c r="Y3840" s="1008"/>
      <c r="Z3840" s="1008"/>
      <c r="AA3840" s="1008"/>
      <c r="AB3840" s="1008"/>
      <c r="AC3840" s="1008"/>
      <c r="AD3840" s="1008"/>
      <c r="AE3840" s="1008"/>
      <c r="AF3840" s="1008"/>
      <c r="AG3840" s="1008"/>
      <c r="AH3840" s="1008"/>
      <c r="AI3840" s="1008"/>
    </row>
    <row r="3841" spans="1:35">
      <c r="A3841" s="1008">
        <v>26247</v>
      </c>
      <c r="C3841" s="1008">
        <v>4</v>
      </c>
      <c r="D3841" s="1009">
        <v>85299999</v>
      </c>
      <c r="E3841" s="1009">
        <v>85200000</v>
      </c>
      <c r="F3841" s="1007" t="s">
        <v>1114</v>
      </c>
      <c r="O3841" s="1007" t="s">
        <v>648</v>
      </c>
      <c r="P3841" s="1007" t="s">
        <v>648</v>
      </c>
      <c r="S3841" s="1008" t="s">
        <v>657</v>
      </c>
      <c r="T3841" s="1008" t="s">
        <v>675</v>
      </c>
      <c r="U3841" s="1008" t="s">
        <v>653</v>
      </c>
      <c r="V3841" s="1008" t="s">
        <v>648</v>
      </c>
      <c r="W3841" s="1008" t="s">
        <v>546</v>
      </c>
      <c r="X3841" s="1008"/>
      <c r="Y3841" s="1008"/>
      <c r="Z3841" s="1008"/>
      <c r="AA3841" s="1008"/>
      <c r="AB3841" s="1008"/>
      <c r="AC3841" s="1008"/>
      <c r="AD3841" s="1008"/>
      <c r="AE3841" s="1008"/>
      <c r="AF3841" s="1008"/>
      <c r="AG3841" s="1008"/>
      <c r="AH3841" s="1008"/>
      <c r="AI3841" s="1008"/>
    </row>
    <row r="3842" spans="1:35">
      <c r="A3842" s="1008">
        <v>26246</v>
      </c>
      <c r="C3842" s="1008">
        <v>5</v>
      </c>
      <c r="D3842" s="1009">
        <v>85219999</v>
      </c>
      <c r="E3842" s="1009">
        <v>85210000</v>
      </c>
      <c r="F3842" s="1007" t="s">
        <v>1068</v>
      </c>
      <c r="O3842" s="1007" t="s">
        <v>648</v>
      </c>
      <c r="P3842" s="1007" t="s">
        <v>648</v>
      </c>
      <c r="S3842" s="1008" t="s">
        <v>657</v>
      </c>
      <c r="T3842" s="1008" t="s">
        <v>675</v>
      </c>
      <c r="U3842" s="1008" t="s">
        <v>653</v>
      </c>
      <c r="V3842" s="1008" t="s">
        <v>648</v>
      </c>
      <c r="W3842" s="1008" t="s">
        <v>546</v>
      </c>
      <c r="X3842" s="1008"/>
      <c r="Y3842" s="1008"/>
      <c r="Z3842" s="1008"/>
      <c r="AA3842" s="1008"/>
      <c r="AB3842" s="1008"/>
      <c r="AC3842" s="1008"/>
      <c r="AD3842" s="1008"/>
      <c r="AE3842" s="1008"/>
      <c r="AF3842" s="1008"/>
      <c r="AG3842" s="1008"/>
      <c r="AH3842" s="1008"/>
      <c r="AI3842" s="1008"/>
    </row>
    <row r="3843" spans="1:35">
      <c r="A3843" s="1008">
        <v>26245</v>
      </c>
      <c r="B3843" s="1008">
        <v>5659</v>
      </c>
      <c r="C3843" s="1008">
        <v>6</v>
      </c>
      <c r="D3843" s="1009">
        <v>85219999</v>
      </c>
      <c r="E3843" s="1009">
        <v>85211000</v>
      </c>
      <c r="F3843" s="1007" t="s">
        <v>1113</v>
      </c>
      <c r="G3843" s="1007">
        <v>6</v>
      </c>
      <c r="H3843" s="1010">
        <v>99999999</v>
      </c>
      <c r="I3843" s="1009">
        <v>85211000</v>
      </c>
      <c r="J3843" s="1007" t="s">
        <v>1113</v>
      </c>
      <c r="O3843" s="1007" t="s">
        <v>648</v>
      </c>
      <c r="P3843" s="1007" t="s">
        <v>648</v>
      </c>
      <c r="S3843" s="1008" t="s">
        <v>657</v>
      </c>
      <c r="T3843" s="1008" t="s">
        <v>654</v>
      </c>
      <c r="U3843" s="1008" t="s">
        <v>653</v>
      </c>
      <c r="V3843" s="1008" t="s">
        <v>648</v>
      </c>
      <c r="W3843" s="1008" t="s">
        <v>546</v>
      </c>
      <c r="X3843" s="1008" t="s">
        <v>670</v>
      </c>
      <c r="Y3843" s="1008" t="s">
        <v>670</v>
      </c>
      <c r="Z3843" s="1008" t="s">
        <v>670</v>
      </c>
      <c r="AA3843" s="1008" t="s">
        <v>670</v>
      </c>
      <c r="AB3843" s="1008" t="s">
        <v>670</v>
      </c>
      <c r="AC3843" s="1008" t="s">
        <v>670</v>
      </c>
      <c r="AD3843" s="1008" t="s">
        <v>670</v>
      </c>
      <c r="AE3843" s="1008"/>
      <c r="AF3843" s="1008" t="s">
        <v>670</v>
      </c>
      <c r="AG3843" s="1008"/>
      <c r="AH3843" s="1008"/>
      <c r="AI3843" s="1008"/>
    </row>
    <row r="3844" spans="1:35">
      <c r="A3844" s="1008">
        <v>26244</v>
      </c>
      <c r="C3844" s="1008">
        <v>5</v>
      </c>
      <c r="D3844" s="1009">
        <v>85299999</v>
      </c>
      <c r="E3844" s="1009">
        <v>85219999</v>
      </c>
      <c r="F3844" s="1007" t="s">
        <v>1112</v>
      </c>
      <c r="O3844" s="1007" t="s">
        <v>648</v>
      </c>
      <c r="P3844" s="1007" t="s">
        <v>648</v>
      </c>
      <c r="S3844" s="1008" t="s">
        <v>657</v>
      </c>
      <c r="T3844" s="1008" t="s">
        <v>21</v>
      </c>
      <c r="U3844" s="1008" t="s">
        <v>653</v>
      </c>
      <c r="V3844" s="1008" t="s">
        <v>648</v>
      </c>
      <c r="W3844" s="1008" t="s">
        <v>546</v>
      </c>
      <c r="X3844" s="1008"/>
      <c r="Y3844" s="1008"/>
      <c r="Z3844" s="1008"/>
      <c r="AA3844" s="1008"/>
      <c r="AB3844" s="1008"/>
      <c r="AC3844" s="1008"/>
      <c r="AD3844" s="1008"/>
      <c r="AE3844" s="1008"/>
      <c r="AF3844" s="1008"/>
      <c r="AG3844" s="1008"/>
      <c r="AH3844" s="1008"/>
      <c r="AI3844" s="1008"/>
    </row>
    <row r="3845" spans="1:35">
      <c r="A3845" s="1008">
        <v>26243</v>
      </c>
      <c r="C3845" s="1008">
        <v>5</v>
      </c>
      <c r="D3845" s="1009">
        <v>85229999</v>
      </c>
      <c r="E3845" s="1009">
        <v>85220000</v>
      </c>
      <c r="F3845" s="1007" t="s">
        <v>1065</v>
      </c>
      <c r="O3845" s="1007" t="s">
        <v>648</v>
      </c>
      <c r="P3845" s="1007" t="s">
        <v>648</v>
      </c>
      <c r="S3845" s="1008" t="s">
        <v>650</v>
      </c>
      <c r="T3845" s="1008" t="s">
        <v>675</v>
      </c>
      <c r="U3845" s="1008" t="s">
        <v>653</v>
      </c>
      <c r="V3845" s="1008" t="s">
        <v>648</v>
      </c>
      <c r="W3845" s="1008" t="s">
        <v>546</v>
      </c>
      <c r="X3845" s="1008"/>
      <c r="Y3845" s="1008"/>
      <c r="Z3845" s="1008"/>
      <c r="AA3845" s="1008"/>
      <c r="AB3845" s="1008"/>
      <c r="AC3845" s="1008"/>
      <c r="AD3845" s="1008"/>
      <c r="AE3845" s="1008"/>
      <c r="AF3845" s="1008"/>
      <c r="AG3845" s="1008"/>
      <c r="AH3845" s="1008"/>
      <c r="AI3845" s="1008"/>
    </row>
    <row r="3846" spans="1:35">
      <c r="A3846" s="1008">
        <v>26242</v>
      </c>
      <c r="B3846" s="1008">
        <v>5661</v>
      </c>
      <c r="C3846" s="1008">
        <v>6</v>
      </c>
      <c r="D3846" s="1009">
        <v>85229999</v>
      </c>
      <c r="E3846" s="1009">
        <v>85221000</v>
      </c>
      <c r="F3846" s="1007" t="s">
        <v>1111</v>
      </c>
      <c r="G3846" s="1007">
        <v>6</v>
      </c>
      <c r="H3846" s="1010">
        <v>99999999</v>
      </c>
      <c r="I3846" s="1009">
        <v>85221000</v>
      </c>
      <c r="J3846" s="1007" t="s">
        <v>1111</v>
      </c>
      <c r="O3846" s="1007" t="s">
        <v>648</v>
      </c>
      <c r="P3846" s="1007" t="s">
        <v>648</v>
      </c>
      <c r="S3846" s="1008" t="s">
        <v>650</v>
      </c>
      <c r="T3846" s="1008" t="s">
        <v>654</v>
      </c>
      <c r="U3846" s="1008" t="s">
        <v>653</v>
      </c>
      <c r="V3846" s="1008" t="s">
        <v>648</v>
      </c>
      <c r="W3846" s="1008" t="s">
        <v>546</v>
      </c>
      <c r="X3846" s="1008" t="s">
        <v>670</v>
      </c>
      <c r="Y3846" s="1008" t="s">
        <v>670</v>
      </c>
      <c r="Z3846" s="1008" t="s">
        <v>670</v>
      </c>
      <c r="AA3846" s="1008" t="s">
        <v>670</v>
      </c>
      <c r="AB3846" s="1008" t="s">
        <v>670</v>
      </c>
      <c r="AC3846" s="1008" t="s">
        <v>670</v>
      </c>
      <c r="AD3846" s="1008" t="s">
        <v>670</v>
      </c>
      <c r="AE3846" s="1008"/>
      <c r="AF3846" s="1008" t="s">
        <v>670</v>
      </c>
      <c r="AG3846" s="1008"/>
      <c r="AH3846" s="1008"/>
      <c r="AI3846" s="1008"/>
    </row>
    <row r="3847" spans="1:35">
      <c r="A3847" s="1008">
        <v>26241</v>
      </c>
      <c r="C3847" s="1008">
        <v>5</v>
      </c>
      <c r="D3847" s="1009">
        <v>85299999</v>
      </c>
      <c r="E3847" s="1009">
        <v>85229999</v>
      </c>
      <c r="F3847" s="1007" t="s">
        <v>1051</v>
      </c>
      <c r="O3847" s="1007" t="s">
        <v>648</v>
      </c>
      <c r="P3847" s="1007" t="s">
        <v>648</v>
      </c>
      <c r="S3847" s="1008" t="s">
        <v>650</v>
      </c>
      <c r="T3847" s="1008" t="s">
        <v>21</v>
      </c>
      <c r="U3847" s="1008" t="s">
        <v>653</v>
      </c>
      <c r="V3847" s="1008" t="s">
        <v>648</v>
      </c>
      <c r="W3847" s="1008" t="s">
        <v>546</v>
      </c>
      <c r="X3847" s="1008"/>
      <c r="Y3847" s="1008"/>
      <c r="Z3847" s="1008"/>
      <c r="AA3847" s="1008"/>
      <c r="AB3847" s="1008"/>
      <c r="AC3847" s="1008"/>
      <c r="AD3847" s="1008"/>
      <c r="AE3847" s="1008"/>
      <c r="AF3847" s="1008"/>
      <c r="AG3847" s="1008"/>
      <c r="AH3847" s="1008"/>
      <c r="AI3847" s="1008"/>
    </row>
    <row r="3848" spans="1:35">
      <c r="A3848" s="1008">
        <v>26240</v>
      </c>
      <c r="C3848" s="1008">
        <v>5</v>
      </c>
      <c r="D3848" s="1009">
        <v>85239999</v>
      </c>
      <c r="E3848" s="1009">
        <v>85230000</v>
      </c>
      <c r="F3848" s="1007" t="s">
        <v>1050</v>
      </c>
      <c r="O3848" s="1007" t="s">
        <v>648</v>
      </c>
      <c r="P3848" s="1007" t="s">
        <v>648</v>
      </c>
      <c r="S3848" s="1008" t="s">
        <v>650</v>
      </c>
      <c r="T3848" s="1008" t="s">
        <v>675</v>
      </c>
      <c r="U3848" s="1008" t="s">
        <v>653</v>
      </c>
      <c r="V3848" s="1008" t="s">
        <v>648</v>
      </c>
      <c r="W3848" s="1008" t="s">
        <v>546</v>
      </c>
      <c r="X3848" s="1008"/>
      <c r="Y3848" s="1008"/>
      <c r="Z3848" s="1008"/>
      <c r="AA3848" s="1008"/>
      <c r="AB3848" s="1008"/>
      <c r="AC3848" s="1008"/>
      <c r="AD3848" s="1008"/>
      <c r="AE3848" s="1008"/>
      <c r="AF3848" s="1008"/>
      <c r="AG3848" s="1008"/>
      <c r="AH3848" s="1008"/>
      <c r="AI3848" s="1008"/>
    </row>
    <row r="3849" spans="1:35">
      <c r="A3849" s="1008">
        <v>26239</v>
      </c>
      <c r="B3849" s="1008">
        <v>2524</v>
      </c>
      <c r="C3849" s="1008">
        <v>6</v>
      </c>
      <c r="D3849" s="1009">
        <v>85239999</v>
      </c>
      <c r="E3849" s="1009">
        <v>85231000</v>
      </c>
      <c r="F3849" s="1007" t="s">
        <v>1110</v>
      </c>
      <c r="G3849" s="1007">
        <v>6</v>
      </c>
      <c r="H3849" s="1010">
        <v>99999999</v>
      </c>
      <c r="I3849" s="1009">
        <v>85231000</v>
      </c>
      <c r="J3849" s="1007" t="s">
        <v>1110</v>
      </c>
      <c r="O3849" s="1007" t="s">
        <v>648</v>
      </c>
      <c r="P3849" s="1007" t="s">
        <v>648</v>
      </c>
      <c r="S3849" s="1008" t="s">
        <v>650</v>
      </c>
      <c r="T3849" s="1008" t="s">
        <v>654</v>
      </c>
      <c r="U3849" s="1008" t="s">
        <v>653</v>
      </c>
      <c r="V3849" s="1008" t="s">
        <v>648</v>
      </c>
      <c r="W3849" s="1008" t="s">
        <v>546</v>
      </c>
      <c r="X3849" s="1008" t="s">
        <v>670</v>
      </c>
      <c r="Y3849" s="1008" t="s">
        <v>670</v>
      </c>
      <c r="Z3849" s="1008" t="s">
        <v>670</v>
      </c>
      <c r="AA3849" s="1008" t="s">
        <v>670</v>
      </c>
      <c r="AB3849" s="1008" t="s">
        <v>670</v>
      </c>
      <c r="AC3849" s="1008" t="s">
        <v>670</v>
      </c>
      <c r="AD3849" s="1008" t="s">
        <v>670</v>
      </c>
      <c r="AE3849" s="1008"/>
      <c r="AF3849" s="1008" t="s">
        <v>670</v>
      </c>
      <c r="AG3849" s="1008"/>
      <c r="AH3849" s="1008"/>
      <c r="AI3849" s="1008"/>
    </row>
    <row r="3850" spans="1:35">
      <c r="A3850" s="1008">
        <v>26238</v>
      </c>
      <c r="B3850" s="1008">
        <v>5663</v>
      </c>
      <c r="C3850" s="1008">
        <v>6</v>
      </c>
      <c r="D3850" s="1009">
        <v>85239999</v>
      </c>
      <c r="E3850" s="1009">
        <v>85232000</v>
      </c>
      <c r="F3850" s="1007" t="s">
        <v>1109</v>
      </c>
      <c r="G3850" s="1007">
        <v>6</v>
      </c>
      <c r="H3850" s="1010">
        <v>99999999</v>
      </c>
      <c r="I3850" s="1009">
        <v>85232000</v>
      </c>
      <c r="J3850" s="1007" t="s">
        <v>1109</v>
      </c>
      <c r="O3850" s="1007" t="s">
        <v>648</v>
      </c>
      <c r="P3850" s="1007" t="s">
        <v>648</v>
      </c>
      <c r="S3850" s="1008" t="s">
        <v>650</v>
      </c>
      <c r="T3850" s="1008" t="s">
        <v>654</v>
      </c>
      <c r="U3850" s="1008" t="s">
        <v>653</v>
      </c>
      <c r="V3850" s="1008" t="s">
        <v>648</v>
      </c>
      <c r="W3850" s="1008" t="s">
        <v>546</v>
      </c>
      <c r="X3850" s="1008" t="s">
        <v>670</v>
      </c>
      <c r="Y3850" s="1008" t="s">
        <v>670</v>
      </c>
      <c r="Z3850" s="1008" t="s">
        <v>670</v>
      </c>
      <c r="AA3850" s="1008" t="s">
        <v>670</v>
      </c>
      <c r="AB3850" s="1008" t="s">
        <v>670</v>
      </c>
      <c r="AC3850" s="1008" t="s">
        <v>670</v>
      </c>
      <c r="AD3850" s="1008" t="s">
        <v>670</v>
      </c>
      <c r="AE3850" s="1008"/>
      <c r="AF3850" s="1008" t="s">
        <v>670</v>
      </c>
      <c r="AG3850" s="1008"/>
      <c r="AH3850" s="1008"/>
      <c r="AI3850" s="1008"/>
    </row>
    <row r="3851" spans="1:35">
      <c r="A3851" s="1008">
        <v>26237</v>
      </c>
      <c r="C3851" s="1008">
        <v>5</v>
      </c>
      <c r="D3851" s="1009">
        <v>85299999</v>
      </c>
      <c r="E3851" s="1009">
        <v>85239999</v>
      </c>
      <c r="F3851" s="1007" t="s">
        <v>1047</v>
      </c>
      <c r="O3851" s="1007" t="s">
        <v>648</v>
      </c>
      <c r="P3851" s="1007" t="s">
        <v>648</v>
      </c>
      <c r="S3851" s="1008" t="s">
        <v>650</v>
      </c>
      <c r="T3851" s="1008" t="s">
        <v>21</v>
      </c>
      <c r="U3851" s="1008" t="s">
        <v>653</v>
      </c>
      <c r="V3851" s="1008" t="s">
        <v>648</v>
      </c>
      <c r="W3851" s="1008" t="s">
        <v>546</v>
      </c>
      <c r="X3851" s="1008"/>
      <c r="Y3851" s="1008"/>
      <c r="Z3851" s="1008"/>
      <c r="AA3851" s="1008"/>
      <c r="AB3851" s="1008"/>
      <c r="AC3851" s="1008"/>
      <c r="AD3851" s="1008"/>
      <c r="AE3851" s="1008"/>
      <c r="AF3851" s="1008"/>
      <c r="AG3851" s="1008"/>
      <c r="AH3851" s="1008"/>
      <c r="AI3851" s="1008"/>
    </row>
    <row r="3852" spans="1:35">
      <c r="A3852" s="1008">
        <v>26236</v>
      </c>
      <c r="C3852" s="1008">
        <v>4</v>
      </c>
      <c r="D3852" s="1009">
        <v>89999900</v>
      </c>
      <c r="E3852" s="1009">
        <v>85299999</v>
      </c>
      <c r="F3852" s="1007" t="s">
        <v>1108</v>
      </c>
      <c r="O3852" s="1007" t="s">
        <v>648</v>
      </c>
      <c r="P3852" s="1007" t="s">
        <v>648</v>
      </c>
      <c r="S3852" s="1008" t="s">
        <v>657</v>
      </c>
      <c r="T3852" s="1008" t="s">
        <v>21</v>
      </c>
      <c r="U3852" s="1008" t="s">
        <v>653</v>
      </c>
      <c r="V3852" s="1008" t="s">
        <v>648</v>
      </c>
      <c r="W3852" s="1008" t="s">
        <v>546</v>
      </c>
      <c r="X3852" s="1008"/>
      <c r="Y3852" s="1008"/>
      <c r="Z3852" s="1008"/>
      <c r="AA3852" s="1008"/>
      <c r="AB3852" s="1008"/>
      <c r="AC3852" s="1008"/>
      <c r="AD3852" s="1008"/>
      <c r="AE3852" s="1008"/>
      <c r="AF3852" s="1008"/>
      <c r="AG3852" s="1008"/>
      <c r="AH3852" s="1008"/>
      <c r="AI3852" s="1008"/>
    </row>
    <row r="3853" spans="1:35">
      <c r="A3853" s="1008">
        <v>25639</v>
      </c>
      <c r="C3853" s="1008">
        <v>4</v>
      </c>
      <c r="D3853" s="1009">
        <v>85619999</v>
      </c>
      <c r="E3853" s="1009">
        <v>85501000</v>
      </c>
      <c r="F3853" s="1007" t="s">
        <v>1107</v>
      </c>
      <c r="O3853" s="1007" t="s">
        <v>648</v>
      </c>
      <c r="P3853" s="1007" t="s">
        <v>648</v>
      </c>
      <c r="S3853" s="1008" t="s">
        <v>657</v>
      </c>
      <c r="T3853" s="1008" t="s">
        <v>675</v>
      </c>
      <c r="U3853" s="1008" t="s">
        <v>653</v>
      </c>
      <c r="V3853" s="1008" t="s">
        <v>648</v>
      </c>
      <c r="W3853" s="1008" t="s">
        <v>546</v>
      </c>
      <c r="X3853" s="1008"/>
      <c r="Y3853" s="1008"/>
      <c r="Z3853" s="1008"/>
      <c r="AA3853" s="1008"/>
      <c r="AB3853" s="1008"/>
      <c r="AC3853" s="1008"/>
      <c r="AD3853" s="1008"/>
      <c r="AE3853" s="1008"/>
      <c r="AF3853" s="1008"/>
      <c r="AG3853" s="1008"/>
      <c r="AH3853" s="1008"/>
      <c r="AI3853" s="1008"/>
    </row>
    <row r="3854" spans="1:35">
      <c r="A3854" s="1008">
        <v>25640</v>
      </c>
      <c r="C3854" s="1008">
        <v>5</v>
      </c>
      <c r="D3854" s="1009">
        <v>85519999</v>
      </c>
      <c r="E3854" s="1009">
        <v>85510000</v>
      </c>
      <c r="F3854" s="1007" t="s">
        <v>1068</v>
      </c>
      <c r="O3854" s="1007" t="s">
        <v>648</v>
      </c>
      <c r="P3854" s="1007" t="s">
        <v>648</v>
      </c>
      <c r="S3854" s="1008" t="s">
        <v>657</v>
      </c>
      <c r="T3854" s="1008" t="s">
        <v>675</v>
      </c>
      <c r="U3854" s="1008" t="s">
        <v>653</v>
      </c>
      <c r="V3854" s="1008" t="s">
        <v>648</v>
      </c>
      <c r="W3854" s="1008" t="s">
        <v>546</v>
      </c>
      <c r="X3854" s="1008"/>
      <c r="Y3854" s="1008"/>
      <c r="Z3854" s="1008"/>
      <c r="AA3854" s="1008"/>
      <c r="AB3854" s="1008"/>
      <c r="AC3854" s="1008"/>
      <c r="AD3854" s="1008"/>
      <c r="AE3854" s="1008"/>
      <c r="AF3854" s="1008"/>
      <c r="AG3854" s="1008"/>
      <c r="AH3854" s="1008"/>
      <c r="AI3854" s="1008"/>
    </row>
    <row r="3855" spans="1:35">
      <c r="A3855" s="1008">
        <v>25641</v>
      </c>
      <c r="B3855" s="1008">
        <v>15</v>
      </c>
      <c r="C3855" s="1008">
        <v>6</v>
      </c>
      <c r="D3855" s="1009">
        <v>85519999</v>
      </c>
      <c r="E3855" s="1009">
        <v>85511000</v>
      </c>
      <c r="F3855" s="1007" t="s">
        <v>1106</v>
      </c>
      <c r="G3855" s="1007">
        <v>8</v>
      </c>
      <c r="H3855" s="1010">
        <v>99999999</v>
      </c>
      <c r="I3855" s="1009">
        <v>85511000</v>
      </c>
      <c r="J3855" s="1007" t="s">
        <v>1106</v>
      </c>
      <c r="O3855" s="1007" t="s">
        <v>648</v>
      </c>
      <c r="P3855" s="1007" t="s">
        <v>648</v>
      </c>
      <c r="S3855" s="1008" t="s">
        <v>657</v>
      </c>
      <c r="T3855" s="1008" t="s">
        <v>654</v>
      </c>
      <c r="U3855" s="1008" t="s">
        <v>653</v>
      </c>
      <c r="V3855" s="1008" t="s">
        <v>648</v>
      </c>
      <c r="W3855" s="1008" t="s">
        <v>546</v>
      </c>
      <c r="X3855" s="1008" t="s">
        <v>670</v>
      </c>
      <c r="Y3855" s="1008" t="s">
        <v>670</v>
      </c>
      <c r="Z3855" s="1008" t="s">
        <v>670</v>
      </c>
      <c r="AA3855" s="1008" t="s">
        <v>670</v>
      </c>
      <c r="AB3855" s="1008" t="s">
        <v>670</v>
      </c>
      <c r="AC3855" s="1008" t="s">
        <v>670</v>
      </c>
      <c r="AD3855" s="1008" t="s">
        <v>670</v>
      </c>
      <c r="AE3855" s="1008"/>
      <c r="AF3855" s="1008" t="s">
        <v>670</v>
      </c>
      <c r="AG3855" s="1008"/>
      <c r="AH3855" s="1008"/>
      <c r="AI3855" s="1008"/>
    </row>
    <row r="3856" spans="1:35">
      <c r="A3856" s="1008">
        <v>25642</v>
      </c>
      <c r="C3856" s="1008">
        <v>5</v>
      </c>
      <c r="D3856" s="1009">
        <v>85619999</v>
      </c>
      <c r="E3856" s="1009">
        <v>85519999</v>
      </c>
      <c r="F3856" s="1007" t="s">
        <v>1066</v>
      </c>
      <c r="O3856" s="1007" t="s">
        <v>648</v>
      </c>
      <c r="P3856" s="1007" t="s">
        <v>648</v>
      </c>
      <c r="S3856" s="1008" t="s">
        <v>657</v>
      </c>
      <c r="T3856" s="1008" t="s">
        <v>21</v>
      </c>
      <c r="U3856" s="1008" t="s">
        <v>653</v>
      </c>
      <c r="V3856" s="1008" t="s">
        <v>648</v>
      </c>
      <c r="W3856" s="1008" t="s">
        <v>546</v>
      </c>
      <c r="X3856" s="1008"/>
      <c r="Y3856" s="1008"/>
      <c r="Z3856" s="1008"/>
      <c r="AA3856" s="1008"/>
      <c r="AB3856" s="1008"/>
      <c r="AC3856" s="1008"/>
      <c r="AD3856" s="1008"/>
      <c r="AE3856" s="1008"/>
      <c r="AF3856" s="1008"/>
      <c r="AG3856" s="1008"/>
      <c r="AH3856" s="1008"/>
      <c r="AI3856" s="1008"/>
    </row>
    <row r="3857" spans="1:35">
      <c r="A3857" s="1008">
        <v>25643</v>
      </c>
      <c r="C3857" s="1008">
        <v>5</v>
      </c>
      <c r="D3857" s="1009">
        <v>85599999</v>
      </c>
      <c r="E3857" s="1009">
        <v>85520000</v>
      </c>
      <c r="F3857" s="1007" t="s">
        <v>1065</v>
      </c>
      <c r="O3857" s="1007" t="s">
        <v>648</v>
      </c>
      <c r="P3857" s="1007" t="s">
        <v>648</v>
      </c>
      <c r="S3857" s="1008" t="s">
        <v>650</v>
      </c>
      <c r="T3857" s="1008" t="s">
        <v>675</v>
      </c>
      <c r="U3857" s="1008" t="s">
        <v>653</v>
      </c>
      <c r="V3857" s="1008" t="s">
        <v>648</v>
      </c>
      <c r="W3857" s="1008" t="s">
        <v>546</v>
      </c>
      <c r="X3857" s="1008"/>
      <c r="Y3857" s="1008"/>
      <c r="Z3857" s="1008"/>
      <c r="AA3857" s="1008"/>
      <c r="AB3857" s="1008"/>
      <c r="AC3857" s="1008"/>
      <c r="AD3857" s="1008"/>
      <c r="AE3857" s="1008"/>
      <c r="AF3857" s="1008"/>
      <c r="AG3857" s="1008"/>
      <c r="AH3857" s="1008"/>
      <c r="AI3857" s="1008"/>
    </row>
    <row r="3858" spans="1:35">
      <c r="A3858" s="1008">
        <v>25644</v>
      </c>
      <c r="C3858" s="1008">
        <v>6</v>
      </c>
      <c r="D3858" s="1009">
        <v>85539999</v>
      </c>
      <c r="E3858" s="1009">
        <v>85530000</v>
      </c>
      <c r="F3858" s="1007" t="s">
        <v>1105</v>
      </c>
      <c r="O3858" s="1007" t="s">
        <v>648</v>
      </c>
      <c r="P3858" s="1007" t="s">
        <v>648</v>
      </c>
      <c r="S3858" s="1008" t="s">
        <v>650</v>
      </c>
      <c r="T3858" s="1008" t="s">
        <v>675</v>
      </c>
      <c r="U3858" s="1008" t="s">
        <v>653</v>
      </c>
      <c r="V3858" s="1008" t="s">
        <v>648</v>
      </c>
      <c r="W3858" s="1008" t="s">
        <v>546</v>
      </c>
      <c r="X3858" s="1008"/>
      <c r="Y3858" s="1008"/>
      <c r="Z3858" s="1008"/>
      <c r="AA3858" s="1008"/>
      <c r="AB3858" s="1008"/>
      <c r="AC3858" s="1008"/>
      <c r="AD3858" s="1008"/>
      <c r="AE3858" s="1008"/>
      <c r="AF3858" s="1008"/>
      <c r="AG3858" s="1008"/>
      <c r="AH3858" s="1008"/>
      <c r="AI3858" s="1008"/>
    </row>
    <row r="3859" spans="1:35">
      <c r="A3859" s="1008">
        <v>25645</v>
      </c>
      <c r="B3859" s="1008">
        <v>2527</v>
      </c>
      <c r="C3859" s="1008">
        <v>7</v>
      </c>
      <c r="D3859" s="1009">
        <v>85539999</v>
      </c>
      <c r="E3859" s="1009">
        <v>85531000</v>
      </c>
      <c r="F3859" s="1007" t="s">
        <v>1104</v>
      </c>
      <c r="G3859" s="1007">
        <v>7</v>
      </c>
      <c r="H3859" s="1010">
        <v>99999999</v>
      </c>
      <c r="I3859" s="1009">
        <v>85531000</v>
      </c>
      <c r="J3859" s="1007" t="s">
        <v>1104</v>
      </c>
      <c r="O3859" s="1007" t="s">
        <v>648</v>
      </c>
      <c r="P3859" s="1007" t="s">
        <v>648</v>
      </c>
      <c r="S3859" s="1008" t="s">
        <v>650</v>
      </c>
      <c r="T3859" s="1008" t="s">
        <v>654</v>
      </c>
      <c r="U3859" s="1008" t="s">
        <v>653</v>
      </c>
      <c r="V3859" s="1008" t="s">
        <v>648</v>
      </c>
      <c r="W3859" s="1008" t="s">
        <v>546</v>
      </c>
      <c r="X3859" s="1008" t="s">
        <v>670</v>
      </c>
      <c r="Y3859" s="1008" t="s">
        <v>670</v>
      </c>
      <c r="Z3859" s="1008" t="s">
        <v>670</v>
      </c>
      <c r="AA3859" s="1008" t="s">
        <v>670</v>
      </c>
      <c r="AB3859" s="1008" t="s">
        <v>670</v>
      </c>
      <c r="AC3859" s="1008" t="s">
        <v>670</v>
      </c>
      <c r="AD3859" s="1008" t="s">
        <v>670</v>
      </c>
      <c r="AE3859" s="1008"/>
      <c r="AF3859" s="1008" t="s">
        <v>670</v>
      </c>
      <c r="AG3859" s="1008"/>
      <c r="AH3859" s="1008"/>
      <c r="AI3859" s="1008"/>
    </row>
    <row r="3860" spans="1:35">
      <c r="A3860" s="1008">
        <v>25646</v>
      </c>
      <c r="B3860" s="1008">
        <v>5670</v>
      </c>
      <c r="C3860" s="1008">
        <v>7</v>
      </c>
      <c r="D3860" s="1009">
        <v>85539999</v>
      </c>
      <c r="E3860" s="1009">
        <v>85532000</v>
      </c>
      <c r="F3860" s="1007" t="s">
        <v>1103</v>
      </c>
      <c r="G3860" s="1007">
        <v>7</v>
      </c>
      <c r="H3860" s="1010">
        <v>99999999</v>
      </c>
      <c r="I3860" s="1009">
        <v>85532000</v>
      </c>
      <c r="J3860" s="1007" t="s">
        <v>1103</v>
      </c>
      <c r="O3860" s="1007" t="s">
        <v>648</v>
      </c>
      <c r="P3860" s="1007" t="s">
        <v>648</v>
      </c>
      <c r="S3860" s="1008" t="s">
        <v>650</v>
      </c>
      <c r="T3860" s="1008" t="s">
        <v>654</v>
      </c>
      <c r="U3860" s="1008" t="s">
        <v>653</v>
      </c>
      <c r="V3860" s="1008" t="s">
        <v>648</v>
      </c>
      <c r="W3860" s="1008" t="s">
        <v>546</v>
      </c>
      <c r="X3860" s="1008" t="s">
        <v>670</v>
      </c>
      <c r="Y3860" s="1008" t="s">
        <v>670</v>
      </c>
      <c r="Z3860" s="1008" t="s">
        <v>670</v>
      </c>
      <c r="AA3860" s="1008" t="s">
        <v>670</v>
      </c>
      <c r="AB3860" s="1008" t="s">
        <v>670</v>
      </c>
      <c r="AC3860" s="1008" t="s">
        <v>670</v>
      </c>
      <c r="AD3860" s="1008" t="s">
        <v>670</v>
      </c>
      <c r="AE3860" s="1008"/>
      <c r="AF3860" s="1008" t="s">
        <v>670</v>
      </c>
      <c r="AG3860" s="1008"/>
      <c r="AH3860" s="1008"/>
      <c r="AI3860" s="1008"/>
    </row>
    <row r="3861" spans="1:35">
      <c r="A3861" s="1008">
        <v>25647</v>
      </c>
      <c r="C3861" s="1008">
        <v>6</v>
      </c>
      <c r="D3861" s="1009">
        <v>85599999</v>
      </c>
      <c r="E3861" s="1009">
        <v>85539999</v>
      </c>
      <c r="F3861" s="1007" t="s">
        <v>1102</v>
      </c>
      <c r="O3861" s="1007" t="s">
        <v>648</v>
      </c>
      <c r="P3861" s="1007" t="s">
        <v>648</v>
      </c>
      <c r="S3861" s="1008" t="s">
        <v>650</v>
      </c>
      <c r="T3861" s="1008" t="s">
        <v>21</v>
      </c>
      <c r="U3861" s="1008" t="s">
        <v>653</v>
      </c>
      <c r="V3861" s="1008" t="s">
        <v>648</v>
      </c>
      <c r="W3861" s="1008" t="s">
        <v>546</v>
      </c>
      <c r="X3861" s="1008"/>
      <c r="Y3861" s="1008"/>
      <c r="Z3861" s="1008"/>
      <c r="AA3861" s="1008"/>
      <c r="AB3861" s="1008"/>
      <c r="AC3861" s="1008"/>
      <c r="AD3861" s="1008"/>
      <c r="AE3861" s="1008"/>
      <c r="AF3861" s="1008"/>
      <c r="AG3861" s="1008"/>
      <c r="AH3861" s="1008"/>
      <c r="AI3861" s="1008"/>
    </row>
    <row r="3862" spans="1:35">
      <c r="A3862" s="1008">
        <v>25648</v>
      </c>
      <c r="C3862" s="1008">
        <v>6</v>
      </c>
      <c r="D3862" s="1009">
        <v>85549999</v>
      </c>
      <c r="E3862" s="1009">
        <v>85540000</v>
      </c>
      <c r="F3862" s="1007" t="s">
        <v>1101</v>
      </c>
      <c r="O3862" s="1007" t="s">
        <v>648</v>
      </c>
      <c r="P3862" s="1007" t="s">
        <v>648</v>
      </c>
      <c r="S3862" s="1008" t="s">
        <v>650</v>
      </c>
      <c r="T3862" s="1008" t="s">
        <v>675</v>
      </c>
      <c r="U3862" s="1008" t="s">
        <v>653</v>
      </c>
      <c r="V3862" s="1008" t="s">
        <v>648</v>
      </c>
      <c r="W3862" s="1008" t="s">
        <v>546</v>
      </c>
      <c r="X3862" s="1008"/>
      <c r="Y3862" s="1008"/>
      <c r="Z3862" s="1008"/>
      <c r="AA3862" s="1008"/>
      <c r="AB3862" s="1008"/>
      <c r="AC3862" s="1008"/>
      <c r="AD3862" s="1008"/>
      <c r="AE3862" s="1008"/>
      <c r="AF3862" s="1008"/>
      <c r="AG3862" s="1008"/>
      <c r="AH3862" s="1008"/>
      <c r="AI3862" s="1008"/>
    </row>
    <row r="3863" spans="1:35">
      <c r="A3863" s="1008">
        <v>25649</v>
      </c>
      <c r="B3863" s="1008">
        <v>2529</v>
      </c>
      <c r="C3863" s="1008">
        <v>7</v>
      </c>
      <c r="D3863" s="1009">
        <v>85549999</v>
      </c>
      <c r="E3863" s="1009">
        <v>85541000</v>
      </c>
      <c r="F3863" s="1007" t="s">
        <v>1100</v>
      </c>
      <c r="G3863" s="1007">
        <v>7</v>
      </c>
      <c r="H3863" s="1010">
        <v>99999999</v>
      </c>
      <c r="I3863" s="1009">
        <v>85541000</v>
      </c>
      <c r="J3863" s="1007" t="s">
        <v>1100</v>
      </c>
      <c r="O3863" s="1007" t="s">
        <v>648</v>
      </c>
      <c r="P3863" s="1007" t="s">
        <v>648</v>
      </c>
      <c r="S3863" s="1008" t="s">
        <v>650</v>
      </c>
      <c r="T3863" s="1008" t="s">
        <v>654</v>
      </c>
      <c r="U3863" s="1008" t="s">
        <v>653</v>
      </c>
      <c r="V3863" s="1008" t="s">
        <v>648</v>
      </c>
      <c r="W3863" s="1008" t="s">
        <v>546</v>
      </c>
      <c r="X3863" s="1008" t="s">
        <v>670</v>
      </c>
      <c r="Y3863" s="1008" t="s">
        <v>670</v>
      </c>
      <c r="Z3863" s="1008" t="s">
        <v>670</v>
      </c>
      <c r="AA3863" s="1008" t="s">
        <v>670</v>
      </c>
      <c r="AB3863" s="1008" t="s">
        <v>670</v>
      </c>
      <c r="AC3863" s="1008" t="s">
        <v>670</v>
      </c>
      <c r="AD3863" s="1008" t="s">
        <v>670</v>
      </c>
      <c r="AE3863" s="1008"/>
      <c r="AF3863" s="1008" t="s">
        <v>670</v>
      </c>
      <c r="AG3863" s="1008"/>
      <c r="AH3863" s="1008"/>
      <c r="AI3863" s="1008"/>
    </row>
    <row r="3864" spans="1:35">
      <c r="A3864" s="1008">
        <v>25650</v>
      </c>
      <c r="B3864" s="1008">
        <v>2530</v>
      </c>
      <c r="C3864" s="1008">
        <v>7</v>
      </c>
      <c r="D3864" s="1009">
        <v>85549999</v>
      </c>
      <c r="E3864" s="1009">
        <v>85542000</v>
      </c>
      <c r="F3864" s="1007" t="s">
        <v>1099</v>
      </c>
      <c r="G3864" s="1007">
        <v>7</v>
      </c>
      <c r="H3864" s="1010">
        <v>99999999</v>
      </c>
      <c r="I3864" s="1009">
        <v>85542000</v>
      </c>
      <c r="J3864" s="1007" t="s">
        <v>1099</v>
      </c>
      <c r="O3864" s="1007" t="s">
        <v>648</v>
      </c>
      <c r="P3864" s="1007" t="s">
        <v>648</v>
      </c>
      <c r="S3864" s="1008" t="s">
        <v>650</v>
      </c>
      <c r="T3864" s="1008" t="s">
        <v>654</v>
      </c>
      <c r="U3864" s="1008" t="s">
        <v>653</v>
      </c>
      <c r="V3864" s="1008" t="s">
        <v>648</v>
      </c>
      <c r="W3864" s="1008" t="s">
        <v>546</v>
      </c>
      <c r="X3864" s="1008" t="s">
        <v>670</v>
      </c>
      <c r="Y3864" s="1008" t="s">
        <v>670</v>
      </c>
      <c r="Z3864" s="1008" t="s">
        <v>670</v>
      </c>
      <c r="AA3864" s="1008" t="s">
        <v>670</v>
      </c>
      <c r="AB3864" s="1008" t="s">
        <v>670</v>
      </c>
      <c r="AC3864" s="1008" t="s">
        <v>670</v>
      </c>
      <c r="AD3864" s="1008" t="s">
        <v>670</v>
      </c>
      <c r="AE3864" s="1008"/>
      <c r="AF3864" s="1008" t="s">
        <v>670</v>
      </c>
      <c r="AG3864" s="1008"/>
      <c r="AH3864" s="1008"/>
      <c r="AI3864" s="1008"/>
    </row>
    <row r="3865" spans="1:35">
      <c r="A3865" s="1008">
        <v>25651</v>
      </c>
      <c r="B3865" s="1008">
        <v>2531</v>
      </c>
      <c r="C3865" s="1008">
        <v>7</v>
      </c>
      <c r="D3865" s="1009">
        <v>85549999</v>
      </c>
      <c r="E3865" s="1009">
        <v>85543000</v>
      </c>
      <c r="F3865" s="1007" t="s">
        <v>1098</v>
      </c>
      <c r="G3865" s="1007">
        <v>7</v>
      </c>
      <c r="H3865" s="1010">
        <v>99999999</v>
      </c>
      <c r="I3865" s="1009">
        <v>85543000</v>
      </c>
      <c r="J3865" s="1007" t="s">
        <v>1098</v>
      </c>
      <c r="O3865" s="1007" t="s">
        <v>648</v>
      </c>
      <c r="P3865" s="1007" t="s">
        <v>648</v>
      </c>
      <c r="S3865" s="1008" t="s">
        <v>650</v>
      </c>
      <c r="T3865" s="1008" t="s">
        <v>654</v>
      </c>
      <c r="U3865" s="1008" t="s">
        <v>653</v>
      </c>
      <c r="V3865" s="1008" t="s">
        <v>648</v>
      </c>
      <c r="W3865" s="1008" t="s">
        <v>546</v>
      </c>
      <c r="X3865" s="1008" t="s">
        <v>670</v>
      </c>
      <c r="Y3865" s="1008" t="s">
        <v>670</v>
      </c>
      <c r="Z3865" s="1008" t="s">
        <v>670</v>
      </c>
      <c r="AA3865" s="1008" t="s">
        <v>670</v>
      </c>
      <c r="AB3865" s="1008" t="s">
        <v>670</v>
      </c>
      <c r="AC3865" s="1008" t="s">
        <v>670</v>
      </c>
      <c r="AD3865" s="1008" t="s">
        <v>670</v>
      </c>
      <c r="AE3865" s="1008"/>
      <c r="AF3865" s="1008" t="s">
        <v>670</v>
      </c>
      <c r="AG3865" s="1008"/>
      <c r="AH3865" s="1008"/>
      <c r="AI3865" s="1008"/>
    </row>
    <row r="3866" spans="1:35">
      <c r="A3866" s="1008">
        <v>25652</v>
      </c>
      <c r="B3866" s="1008">
        <v>2532</v>
      </c>
      <c r="C3866" s="1008">
        <v>7</v>
      </c>
      <c r="D3866" s="1009">
        <v>85549999</v>
      </c>
      <c r="E3866" s="1009">
        <v>85544000</v>
      </c>
      <c r="F3866" s="1007" t="s">
        <v>1097</v>
      </c>
      <c r="G3866" s="1007">
        <v>7</v>
      </c>
      <c r="H3866" s="1010">
        <v>99999999</v>
      </c>
      <c r="I3866" s="1009">
        <v>85544000</v>
      </c>
      <c r="J3866" s="1007" t="s">
        <v>1097</v>
      </c>
      <c r="O3866" s="1007" t="s">
        <v>648</v>
      </c>
      <c r="P3866" s="1007" t="s">
        <v>648</v>
      </c>
      <c r="S3866" s="1008" t="s">
        <v>650</v>
      </c>
      <c r="T3866" s="1008" t="s">
        <v>654</v>
      </c>
      <c r="U3866" s="1008" t="s">
        <v>653</v>
      </c>
      <c r="V3866" s="1008" t="s">
        <v>648</v>
      </c>
      <c r="W3866" s="1008" t="s">
        <v>546</v>
      </c>
      <c r="X3866" s="1008" t="s">
        <v>670</v>
      </c>
      <c r="Y3866" s="1008" t="s">
        <v>670</v>
      </c>
      <c r="Z3866" s="1008" t="s">
        <v>670</v>
      </c>
      <c r="AA3866" s="1008" t="s">
        <v>670</v>
      </c>
      <c r="AB3866" s="1008" t="s">
        <v>670</v>
      </c>
      <c r="AC3866" s="1008" t="s">
        <v>670</v>
      </c>
      <c r="AD3866" s="1008" t="s">
        <v>670</v>
      </c>
      <c r="AE3866" s="1008"/>
      <c r="AF3866" s="1008" t="s">
        <v>670</v>
      </c>
      <c r="AG3866" s="1008"/>
      <c r="AH3866" s="1008"/>
      <c r="AI3866" s="1008"/>
    </row>
    <row r="3867" spans="1:35">
      <c r="A3867" s="1008">
        <v>25653</v>
      </c>
      <c r="B3867" s="1008">
        <v>2533</v>
      </c>
      <c r="C3867" s="1008">
        <v>7</v>
      </c>
      <c r="D3867" s="1009">
        <v>85549999</v>
      </c>
      <c r="E3867" s="1009">
        <v>85545000</v>
      </c>
      <c r="F3867" s="1007" t="s">
        <v>1096</v>
      </c>
      <c r="G3867" s="1007">
        <v>7</v>
      </c>
      <c r="H3867" s="1010">
        <v>99999999</v>
      </c>
      <c r="I3867" s="1009">
        <v>85545000</v>
      </c>
      <c r="J3867" s="1007" t="s">
        <v>1096</v>
      </c>
      <c r="O3867" s="1007" t="s">
        <v>648</v>
      </c>
      <c r="P3867" s="1007" t="s">
        <v>648</v>
      </c>
      <c r="S3867" s="1008" t="s">
        <v>650</v>
      </c>
      <c r="T3867" s="1008" t="s">
        <v>654</v>
      </c>
      <c r="U3867" s="1008" t="s">
        <v>653</v>
      </c>
      <c r="V3867" s="1008" t="s">
        <v>648</v>
      </c>
      <c r="W3867" s="1008" t="s">
        <v>546</v>
      </c>
      <c r="X3867" s="1008" t="s">
        <v>670</v>
      </c>
      <c r="Y3867" s="1008" t="s">
        <v>670</v>
      </c>
      <c r="Z3867" s="1008" t="s">
        <v>670</v>
      </c>
      <c r="AA3867" s="1008" t="s">
        <v>670</v>
      </c>
      <c r="AB3867" s="1008" t="s">
        <v>670</v>
      </c>
      <c r="AC3867" s="1008" t="s">
        <v>670</v>
      </c>
      <c r="AD3867" s="1008" t="s">
        <v>670</v>
      </c>
      <c r="AE3867" s="1008"/>
      <c r="AF3867" s="1008" t="s">
        <v>670</v>
      </c>
      <c r="AG3867" s="1008"/>
      <c r="AH3867" s="1008"/>
      <c r="AI3867" s="1008"/>
    </row>
    <row r="3868" spans="1:35">
      <c r="A3868" s="1008">
        <v>25654</v>
      </c>
      <c r="B3868" s="1008">
        <v>2534</v>
      </c>
      <c r="C3868" s="1008">
        <v>7</v>
      </c>
      <c r="D3868" s="1009">
        <v>85549999</v>
      </c>
      <c r="E3868" s="1009">
        <v>85546000</v>
      </c>
      <c r="F3868" s="1007" t="s">
        <v>1095</v>
      </c>
      <c r="G3868" s="1007">
        <v>7</v>
      </c>
      <c r="H3868" s="1010">
        <v>99999999</v>
      </c>
      <c r="I3868" s="1009">
        <v>85546000</v>
      </c>
      <c r="J3868" s="1007" t="s">
        <v>1095</v>
      </c>
      <c r="O3868" s="1007" t="s">
        <v>648</v>
      </c>
      <c r="P3868" s="1007" t="s">
        <v>648</v>
      </c>
      <c r="S3868" s="1008" t="s">
        <v>650</v>
      </c>
      <c r="T3868" s="1008" t="s">
        <v>654</v>
      </c>
      <c r="U3868" s="1008" t="s">
        <v>653</v>
      </c>
      <c r="V3868" s="1008" t="s">
        <v>648</v>
      </c>
      <c r="W3868" s="1008" t="s">
        <v>546</v>
      </c>
      <c r="X3868" s="1008" t="s">
        <v>670</v>
      </c>
      <c r="Y3868" s="1008" t="s">
        <v>670</v>
      </c>
      <c r="Z3868" s="1008" t="s">
        <v>670</v>
      </c>
      <c r="AA3868" s="1008" t="s">
        <v>670</v>
      </c>
      <c r="AB3868" s="1008" t="s">
        <v>670</v>
      </c>
      <c r="AC3868" s="1008" t="s">
        <v>670</v>
      </c>
      <c r="AD3868" s="1008" t="s">
        <v>670</v>
      </c>
      <c r="AE3868" s="1008"/>
      <c r="AF3868" s="1008" t="s">
        <v>670</v>
      </c>
      <c r="AG3868" s="1008"/>
      <c r="AH3868" s="1008"/>
      <c r="AI3868" s="1008"/>
    </row>
    <row r="3869" spans="1:35">
      <c r="A3869" s="1008">
        <v>25655</v>
      </c>
      <c r="B3869" s="1008">
        <v>2535</v>
      </c>
      <c r="C3869" s="1008">
        <v>7</v>
      </c>
      <c r="D3869" s="1009">
        <v>85549999</v>
      </c>
      <c r="E3869" s="1009">
        <v>85547000</v>
      </c>
      <c r="F3869" s="1007" t="s">
        <v>1094</v>
      </c>
      <c r="G3869" s="1007">
        <v>7</v>
      </c>
      <c r="H3869" s="1010">
        <v>99999999</v>
      </c>
      <c r="I3869" s="1009">
        <v>85547000</v>
      </c>
      <c r="J3869" s="1007" t="s">
        <v>1094</v>
      </c>
      <c r="O3869" s="1007" t="s">
        <v>648</v>
      </c>
      <c r="P3869" s="1007" t="s">
        <v>648</v>
      </c>
      <c r="S3869" s="1008" t="s">
        <v>650</v>
      </c>
      <c r="T3869" s="1008" t="s">
        <v>654</v>
      </c>
      <c r="U3869" s="1008" t="s">
        <v>653</v>
      </c>
      <c r="V3869" s="1008" t="s">
        <v>648</v>
      </c>
      <c r="W3869" s="1008" t="s">
        <v>546</v>
      </c>
      <c r="X3869" s="1008" t="s">
        <v>670</v>
      </c>
      <c r="Y3869" s="1008" t="s">
        <v>670</v>
      </c>
      <c r="Z3869" s="1008" t="s">
        <v>670</v>
      </c>
      <c r="AA3869" s="1008" t="s">
        <v>670</v>
      </c>
      <c r="AB3869" s="1008" t="s">
        <v>670</v>
      </c>
      <c r="AC3869" s="1008" t="s">
        <v>670</v>
      </c>
      <c r="AD3869" s="1008" t="s">
        <v>670</v>
      </c>
      <c r="AE3869" s="1008"/>
      <c r="AF3869" s="1008" t="s">
        <v>670</v>
      </c>
      <c r="AG3869" s="1008"/>
      <c r="AH3869" s="1008"/>
      <c r="AI3869" s="1008"/>
    </row>
    <row r="3870" spans="1:35">
      <c r="A3870" s="1008">
        <v>25656</v>
      </c>
      <c r="B3870" s="1008">
        <v>5672</v>
      </c>
      <c r="C3870" s="1008">
        <v>7</v>
      </c>
      <c r="D3870" s="1009">
        <v>85549999</v>
      </c>
      <c r="E3870" s="1009">
        <v>85548000</v>
      </c>
      <c r="F3870" s="1007" t="s">
        <v>1093</v>
      </c>
      <c r="G3870" s="1007">
        <v>7</v>
      </c>
      <c r="H3870" s="1010">
        <v>99999999</v>
      </c>
      <c r="I3870" s="1009">
        <v>85548000</v>
      </c>
      <c r="J3870" s="1007" t="s">
        <v>1093</v>
      </c>
      <c r="O3870" s="1007" t="s">
        <v>648</v>
      </c>
      <c r="P3870" s="1007" t="s">
        <v>648</v>
      </c>
      <c r="S3870" s="1008" t="s">
        <v>650</v>
      </c>
      <c r="T3870" s="1008" t="s">
        <v>654</v>
      </c>
      <c r="U3870" s="1008" t="s">
        <v>653</v>
      </c>
      <c r="V3870" s="1008" t="s">
        <v>648</v>
      </c>
      <c r="W3870" s="1008" t="s">
        <v>546</v>
      </c>
      <c r="X3870" s="1008" t="s">
        <v>670</v>
      </c>
      <c r="Y3870" s="1008" t="s">
        <v>670</v>
      </c>
      <c r="Z3870" s="1008" t="s">
        <v>670</v>
      </c>
      <c r="AA3870" s="1008" t="s">
        <v>670</v>
      </c>
      <c r="AB3870" s="1008" t="s">
        <v>670</v>
      </c>
      <c r="AC3870" s="1008" t="s">
        <v>670</v>
      </c>
      <c r="AD3870" s="1008" t="s">
        <v>670</v>
      </c>
      <c r="AE3870" s="1008"/>
      <c r="AF3870" s="1008" t="s">
        <v>670</v>
      </c>
      <c r="AG3870" s="1008"/>
      <c r="AH3870" s="1008"/>
      <c r="AI3870" s="1008"/>
    </row>
    <row r="3871" spans="1:35">
      <c r="A3871" s="1008">
        <v>25657</v>
      </c>
      <c r="C3871" s="1008">
        <v>6</v>
      </c>
      <c r="D3871" s="1009">
        <v>85599999</v>
      </c>
      <c r="E3871" s="1009">
        <v>85549999</v>
      </c>
      <c r="F3871" s="1007" t="s">
        <v>1092</v>
      </c>
      <c r="O3871" s="1007" t="s">
        <v>648</v>
      </c>
      <c r="P3871" s="1007" t="s">
        <v>648</v>
      </c>
      <c r="S3871" s="1008" t="s">
        <v>650</v>
      </c>
      <c r="T3871" s="1008" t="s">
        <v>21</v>
      </c>
      <c r="U3871" s="1008" t="s">
        <v>653</v>
      </c>
      <c r="V3871" s="1008" t="s">
        <v>648</v>
      </c>
      <c r="W3871" s="1008" t="s">
        <v>546</v>
      </c>
      <c r="X3871" s="1008"/>
      <c r="Y3871" s="1008"/>
      <c r="Z3871" s="1008"/>
      <c r="AA3871" s="1008"/>
      <c r="AB3871" s="1008"/>
      <c r="AC3871" s="1008"/>
      <c r="AD3871" s="1008"/>
      <c r="AE3871" s="1008"/>
      <c r="AF3871" s="1008"/>
      <c r="AG3871" s="1008"/>
      <c r="AH3871" s="1008"/>
      <c r="AI3871" s="1008"/>
    </row>
    <row r="3872" spans="1:35">
      <c r="A3872" s="1008">
        <v>25658</v>
      </c>
      <c r="C3872" s="1008">
        <v>6</v>
      </c>
      <c r="D3872" s="1009">
        <v>85579999</v>
      </c>
      <c r="E3872" s="1009">
        <v>85560000</v>
      </c>
      <c r="F3872" s="1007" t="s">
        <v>1091</v>
      </c>
      <c r="O3872" s="1007" t="s">
        <v>648</v>
      </c>
      <c r="P3872" s="1007" t="s">
        <v>648</v>
      </c>
      <c r="S3872" s="1008" t="s">
        <v>650</v>
      </c>
      <c r="T3872" s="1008" t="s">
        <v>675</v>
      </c>
      <c r="U3872" s="1008" t="s">
        <v>653</v>
      </c>
      <c r="V3872" s="1008" t="s">
        <v>648</v>
      </c>
      <c r="W3872" s="1008" t="s">
        <v>546</v>
      </c>
      <c r="X3872" s="1008"/>
      <c r="Y3872" s="1008"/>
      <c r="Z3872" s="1008"/>
      <c r="AA3872" s="1008"/>
      <c r="AB3872" s="1008"/>
      <c r="AC3872" s="1008"/>
      <c r="AD3872" s="1008"/>
      <c r="AE3872" s="1008"/>
      <c r="AF3872" s="1008"/>
      <c r="AG3872" s="1008"/>
      <c r="AH3872" s="1008"/>
      <c r="AI3872" s="1008"/>
    </row>
    <row r="3873" spans="1:35">
      <c r="A3873" s="1008">
        <v>25659</v>
      </c>
      <c r="B3873" s="1008">
        <v>2537</v>
      </c>
      <c r="C3873" s="1008">
        <v>7</v>
      </c>
      <c r="D3873" s="1009">
        <v>85579999</v>
      </c>
      <c r="E3873" s="1009">
        <v>85561000</v>
      </c>
      <c r="F3873" s="1007" t="s">
        <v>1090</v>
      </c>
      <c r="G3873" s="1007">
        <v>7</v>
      </c>
      <c r="H3873" s="1010">
        <v>99999999</v>
      </c>
      <c r="I3873" s="1009">
        <v>85561000</v>
      </c>
      <c r="J3873" s="1007" t="s">
        <v>1090</v>
      </c>
      <c r="O3873" s="1007" t="s">
        <v>648</v>
      </c>
      <c r="P3873" s="1007" t="s">
        <v>648</v>
      </c>
      <c r="S3873" s="1008" t="s">
        <v>650</v>
      </c>
      <c r="T3873" s="1008" t="s">
        <v>654</v>
      </c>
      <c r="U3873" s="1008" t="s">
        <v>653</v>
      </c>
      <c r="V3873" s="1008" t="s">
        <v>648</v>
      </c>
      <c r="W3873" s="1008" t="s">
        <v>546</v>
      </c>
      <c r="X3873" s="1008" t="s">
        <v>670</v>
      </c>
      <c r="Y3873" s="1008" t="s">
        <v>670</v>
      </c>
      <c r="Z3873" s="1008" t="s">
        <v>670</v>
      </c>
      <c r="AA3873" s="1008" t="s">
        <v>670</v>
      </c>
      <c r="AB3873" s="1008" t="s">
        <v>670</v>
      </c>
      <c r="AC3873" s="1008" t="s">
        <v>670</v>
      </c>
      <c r="AD3873" s="1008" t="s">
        <v>670</v>
      </c>
      <c r="AE3873" s="1008"/>
      <c r="AF3873" s="1008" t="s">
        <v>670</v>
      </c>
      <c r="AG3873" s="1008"/>
      <c r="AH3873" s="1008"/>
      <c r="AI3873" s="1008"/>
    </row>
    <row r="3874" spans="1:35">
      <c r="A3874" s="1008">
        <v>25660</v>
      </c>
      <c r="B3874" s="1008">
        <v>2538</v>
      </c>
      <c r="C3874" s="1008">
        <v>7</v>
      </c>
      <c r="D3874" s="1009">
        <v>85579999</v>
      </c>
      <c r="E3874" s="1009">
        <v>85562000</v>
      </c>
      <c r="F3874" s="1007" t="s">
        <v>1089</v>
      </c>
      <c r="G3874" s="1007">
        <v>7</v>
      </c>
      <c r="H3874" s="1010">
        <v>99999999</v>
      </c>
      <c r="I3874" s="1009">
        <v>85562000</v>
      </c>
      <c r="J3874" s="1007" t="s">
        <v>1089</v>
      </c>
      <c r="O3874" s="1007" t="s">
        <v>648</v>
      </c>
      <c r="P3874" s="1007" t="s">
        <v>648</v>
      </c>
      <c r="S3874" s="1008" t="s">
        <v>650</v>
      </c>
      <c r="T3874" s="1008" t="s">
        <v>654</v>
      </c>
      <c r="U3874" s="1008" t="s">
        <v>653</v>
      </c>
      <c r="V3874" s="1008" t="s">
        <v>648</v>
      </c>
      <c r="W3874" s="1008" t="s">
        <v>546</v>
      </c>
      <c r="X3874" s="1008" t="s">
        <v>670</v>
      </c>
      <c r="Y3874" s="1008" t="s">
        <v>670</v>
      </c>
      <c r="Z3874" s="1008" t="s">
        <v>670</v>
      </c>
      <c r="AA3874" s="1008" t="s">
        <v>670</v>
      </c>
      <c r="AB3874" s="1008" t="s">
        <v>670</v>
      </c>
      <c r="AC3874" s="1008" t="s">
        <v>670</v>
      </c>
      <c r="AD3874" s="1008" t="s">
        <v>670</v>
      </c>
      <c r="AE3874" s="1008"/>
      <c r="AF3874" s="1008" t="s">
        <v>670</v>
      </c>
      <c r="AG3874" s="1008"/>
      <c r="AH3874" s="1008"/>
      <c r="AI3874" s="1008"/>
    </row>
    <row r="3875" spans="1:35">
      <c r="A3875" s="1008">
        <v>25661</v>
      </c>
      <c r="B3875" s="1008">
        <v>2539</v>
      </c>
      <c r="C3875" s="1008">
        <v>7</v>
      </c>
      <c r="D3875" s="1009">
        <v>85579999</v>
      </c>
      <c r="E3875" s="1009">
        <v>85563000</v>
      </c>
      <c r="F3875" s="1007" t="s">
        <v>1088</v>
      </c>
      <c r="G3875" s="1007">
        <v>7</v>
      </c>
      <c r="H3875" s="1010">
        <v>99999999</v>
      </c>
      <c r="I3875" s="1009">
        <v>85563000</v>
      </c>
      <c r="J3875" s="1007" t="s">
        <v>1088</v>
      </c>
      <c r="O3875" s="1007" t="s">
        <v>648</v>
      </c>
      <c r="P3875" s="1007" t="s">
        <v>648</v>
      </c>
      <c r="S3875" s="1008" t="s">
        <v>650</v>
      </c>
      <c r="T3875" s="1008" t="s">
        <v>654</v>
      </c>
      <c r="U3875" s="1008" t="s">
        <v>653</v>
      </c>
      <c r="V3875" s="1008" t="s">
        <v>648</v>
      </c>
      <c r="W3875" s="1008" t="s">
        <v>546</v>
      </c>
      <c r="X3875" s="1008" t="s">
        <v>670</v>
      </c>
      <c r="Y3875" s="1008" t="s">
        <v>670</v>
      </c>
      <c r="Z3875" s="1008" t="s">
        <v>670</v>
      </c>
      <c r="AA3875" s="1008" t="s">
        <v>670</v>
      </c>
      <c r="AB3875" s="1008" t="s">
        <v>670</v>
      </c>
      <c r="AC3875" s="1008" t="s">
        <v>670</v>
      </c>
      <c r="AD3875" s="1008" t="s">
        <v>670</v>
      </c>
      <c r="AE3875" s="1008"/>
      <c r="AF3875" s="1008" t="s">
        <v>670</v>
      </c>
      <c r="AG3875" s="1008"/>
      <c r="AH3875" s="1008"/>
      <c r="AI3875" s="1008"/>
    </row>
    <row r="3876" spans="1:35">
      <c r="A3876" s="1008">
        <v>25662</v>
      </c>
      <c r="B3876" s="1008">
        <v>2540</v>
      </c>
      <c r="C3876" s="1008">
        <v>7</v>
      </c>
      <c r="D3876" s="1009">
        <v>85579999</v>
      </c>
      <c r="E3876" s="1009">
        <v>85564000</v>
      </c>
      <c r="F3876" s="1007" t="s">
        <v>1087</v>
      </c>
      <c r="G3876" s="1007">
        <v>7</v>
      </c>
      <c r="H3876" s="1010">
        <v>99999999</v>
      </c>
      <c r="I3876" s="1009">
        <v>85564000</v>
      </c>
      <c r="J3876" s="1007" t="s">
        <v>1087</v>
      </c>
      <c r="O3876" s="1007" t="s">
        <v>648</v>
      </c>
      <c r="P3876" s="1007" t="s">
        <v>648</v>
      </c>
      <c r="S3876" s="1008" t="s">
        <v>650</v>
      </c>
      <c r="T3876" s="1008" t="s">
        <v>654</v>
      </c>
      <c r="U3876" s="1008" t="s">
        <v>653</v>
      </c>
      <c r="V3876" s="1008" t="s">
        <v>648</v>
      </c>
      <c r="W3876" s="1008" t="s">
        <v>546</v>
      </c>
      <c r="X3876" s="1008" t="s">
        <v>670</v>
      </c>
      <c r="Y3876" s="1008" t="s">
        <v>670</v>
      </c>
      <c r="Z3876" s="1008" t="s">
        <v>670</v>
      </c>
      <c r="AA3876" s="1008" t="s">
        <v>670</v>
      </c>
      <c r="AB3876" s="1008" t="s">
        <v>670</v>
      </c>
      <c r="AC3876" s="1008" t="s">
        <v>670</v>
      </c>
      <c r="AD3876" s="1008" t="s">
        <v>670</v>
      </c>
      <c r="AE3876" s="1008"/>
      <c r="AF3876" s="1008" t="s">
        <v>670</v>
      </c>
      <c r="AG3876" s="1008"/>
      <c r="AH3876" s="1008"/>
      <c r="AI3876" s="1008"/>
    </row>
    <row r="3877" spans="1:35">
      <c r="A3877" s="1008">
        <v>25663</v>
      </c>
      <c r="B3877" s="1008">
        <v>2541</v>
      </c>
      <c r="C3877" s="1008">
        <v>7</v>
      </c>
      <c r="D3877" s="1009">
        <v>85579999</v>
      </c>
      <c r="E3877" s="1009">
        <v>85565000</v>
      </c>
      <c r="F3877" s="1007" t="s">
        <v>1086</v>
      </c>
      <c r="G3877" s="1007">
        <v>7</v>
      </c>
      <c r="H3877" s="1010">
        <v>99999999</v>
      </c>
      <c r="I3877" s="1009">
        <v>85565000</v>
      </c>
      <c r="J3877" s="1007" t="s">
        <v>1086</v>
      </c>
      <c r="O3877" s="1007" t="s">
        <v>648</v>
      </c>
      <c r="P3877" s="1007" t="s">
        <v>648</v>
      </c>
      <c r="S3877" s="1008" t="s">
        <v>650</v>
      </c>
      <c r="T3877" s="1008" t="s">
        <v>654</v>
      </c>
      <c r="U3877" s="1008" t="s">
        <v>653</v>
      </c>
      <c r="V3877" s="1008" t="s">
        <v>648</v>
      </c>
      <c r="W3877" s="1008" t="s">
        <v>546</v>
      </c>
      <c r="X3877" s="1008" t="s">
        <v>670</v>
      </c>
      <c r="Y3877" s="1008" t="s">
        <v>670</v>
      </c>
      <c r="Z3877" s="1008" t="s">
        <v>670</v>
      </c>
      <c r="AA3877" s="1008" t="s">
        <v>670</v>
      </c>
      <c r="AB3877" s="1008" t="s">
        <v>670</v>
      </c>
      <c r="AC3877" s="1008" t="s">
        <v>670</v>
      </c>
      <c r="AD3877" s="1008" t="s">
        <v>670</v>
      </c>
      <c r="AE3877" s="1008"/>
      <c r="AF3877" s="1008" t="s">
        <v>670</v>
      </c>
      <c r="AG3877" s="1008"/>
      <c r="AH3877" s="1008"/>
      <c r="AI3877" s="1008"/>
    </row>
    <row r="3878" spans="1:35">
      <c r="A3878" s="1008">
        <v>25665</v>
      </c>
      <c r="B3878" s="1008">
        <v>2542</v>
      </c>
      <c r="C3878" s="1008">
        <v>7</v>
      </c>
      <c r="D3878" s="1009">
        <v>85579999</v>
      </c>
      <c r="E3878" s="1009">
        <v>85567000</v>
      </c>
      <c r="F3878" s="1007" t="s">
        <v>1085</v>
      </c>
      <c r="G3878" s="1007">
        <v>7</v>
      </c>
      <c r="H3878" s="1010">
        <v>99999999</v>
      </c>
      <c r="I3878" s="1009">
        <v>85567000</v>
      </c>
      <c r="J3878" s="1007" t="s">
        <v>1085</v>
      </c>
      <c r="O3878" s="1007" t="s">
        <v>648</v>
      </c>
      <c r="P3878" s="1007" t="s">
        <v>648</v>
      </c>
      <c r="S3878" s="1008" t="s">
        <v>650</v>
      </c>
      <c r="T3878" s="1008" t="s">
        <v>654</v>
      </c>
      <c r="U3878" s="1008" t="s">
        <v>653</v>
      </c>
      <c r="V3878" s="1008" t="s">
        <v>648</v>
      </c>
      <c r="W3878" s="1008" t="s">
        <v>546</v>
      </c>
      <c r="X3878" s="1008" t="s">
        <v>670</v>
      </c>
      <c r="Y3878" s="1008" t="s">
        <v>670</v>
      </c>
      <c r="Z3878" s="1008" t="s">
        <v>670</v>
      </c>
      <c r="AA3878" s="1008" t="s">
        <v>670</v>
      </c>
      <c r="AB3878" s="1008" t="s">
        <v>670</v>
      </c>
      <c r="AC3878" s="1008" t="s">
        <v>670</v>
      </c>
      <c r="AD3878" s="1008" t="s">
        <v>670</v>
      </c>
      <c r="AE3878" s="1008"/>
      <c r="AF3878" s="1008" t="s">
        <v>670</v>
      </c>
      <c r="AG3878" s="1008"/>
      <c r="AH3878" s="1008"/>
      <c r="AI3878" s="1008"/>
    </row>
    <row r="3879" spans="1:35">
      <c r="A3879" s="1008">
        <v>25666</v>
      </c>
      <c r="B3879" s="1008">
        <v>2543</v>
      </c>
      <c r="C3879" s="1008">
        <v>7</v>
      </c>
      <c r="D3879" s="1009">
        <v>85579999</v>
      </c>
      <c r="E3879" s="1009">
        <v>85568000</v>
      </c>
      <c r="F3879" s="1007" t="s">
        <v>1084</v>
      </c>
      <c r="G3879" s="1007">
        <v>7</v>
      </c>
      <c r="H3879" s="1010">
        <v>99999999</v>
      </c>
      <c r="I3879" s="1009">
        <v>85568000</v>
      </c>
      <c r="J3879" s="1007" t="s">
        <v>1084</v>
      </c>
      <c r="O3879" s="1007" t="s">
        <v>648</v>
      </c>
      <c r="P3879" s="1007" t="s">
        <v>648</v>
      </c>
      <c r="S3879" s="1008" t="s">
        <v>650</v>
      </c>
      <c r="T3879" s="1008" t="s">
        <v>654</v>
      </c>
      <c r="U3879" s="1008" t="s">
        <v>653</v>
      </c>
      <c r="V3879" s="1008" t="s">
        <v>648</v>
      </c>
      <c r="W3879" s="1008" t="s">
        <v>546</v>
      </c>
      <c r="X3879" s="1008" t="s">
        <v>670</v>
      </c>
      <c r="Y3879" s="1008" t="s">
        <v>670</v>
      </c>
      <c r="Z3879" s="1008" t="s">
        <v>670</v>
      </c>
      <c r="AA3879" s="1008" t="s">
        <v>670</v>
      </c>
      <c r="AB3879" s="1008" t="s">
        <v>670</v>
      </c>
      <c r="AC3879" s="1008" t="s">
        <v>670</v>
      </c>
      <c r="AD3879" s="1008" t="s">
        <v>670</v>
      </c>
      <c r="AE3879" s="1008"/>
      <c r="AF3879" s="1008" t="s">
        <v>670</v>
      </c>
      <c r="AG3879" s="1008"/>
      <c r="AH3879" s="1008"/>
      <c r="AI3879" s="1008"/>
    </row>
    <row r="3880" spans="1:35">
      <c r="A3880" s="1008">
        <v>25667</v>
      </c>
      <c r="B3880" s="1008">
        <v>2544</v>
      </c>
      <c r="C3880" s="1008">
        <v>7</v>
      </c>
      <c r="D3880" s="1009">
        <v>85579999</v>
      </c>
      <c r="E3880" s="1009">
        <v>85569000</v>
      </c>
      <c r="F3880" s="1007" t="s">
        <v>1083</v>
      </c>
      <c r="G3880" s="1007">
        <v>7</v>
      </c>
      <c r="H3880" s="1010">
        <v>99999999</v>
      </c>
      <c r="I3880" s="1009">
        <v>85569000</v>
      </c>
      <c r="J3880" s="1007" t="s">
        <v>1083</v>
      </c>
      <c r="O3880" s="1007" t="s">
        <v>648</v>
      </c>
      <c r="P3880" s="1007" t="s">
        <v>648</v>
      </c>
      <c r="S3880" s="1008" t="s">
        <v>650</v>
      </c>
      <c r="T3880" s="1008" t="s">
        <v>654</v>
      </c>
      <c r="U3880" s="1008" t="s">
        <v>653</v>
      </c>
      <c r="V3880" s="1008" t="s">
        <v>648</v>
      </c>
      <c r="W3880" s="1008" t="s">
        <v>546</v>
      </c>
      <c r="X3880" s="1008" t="s">
        <v>670</v>
      </c>
      <c r="Y3880" s="1008" t="s">
        <v>670</v>
      </c>
      <c r="Z3880" s="1008" t="s">
        <v>670</v>
      </c>
      <c r="AA3880" s="1008" t="s">
        <v>670</v>
      </c>
      <c r="AB3880" s="1008" t="s">
        <v>670</v>
      </c>
      <c r="AC3880" s="1008" t="s">
        <v>670</v>
      </c>
      <c r="AD3880" s="1008" t="s">
        <v>670</v>
      </c>
      <c r="AE3880" s="1008"/>
      <c r="AF3880" s="1008" t="s">
        <v>670</v>
      </c>
      <c r="AG3880" s="1008"/>
      <c r="AH3880" s="1008"/>
      <c r="AI3880" s="1008"/>
    </row>
    <row r="3881" spans="1:35">
      <c r="A3881" s="1008">
        <v>25668</v>
      </c>
      <c r="B3881" s="1008">
        <v>2545</v>
      </c>
      <c r="C3881" s="1008">
        <v>7</v>
      </c>
      <c r="D3881" s="1009">
        <v>85579999</v>
      </c>
      <c r="E3881" s="1009">
        <v>85570000</v>
      </c>
      <c r="F3881" s="1007" t="s">
        <v>1082</v>
      </c>
      <c r="G3881" s="1007">
        <v>7</v>
      </c>
      <c r="H3881" s="1010">
        <v>99999999</v>
      </c>
      <c r="I3881" s="1009">
        <v>85570000</v>
      </c>
      <c r="J3881" s="1007" t="s">
        <v>1082</v>
      </c>
      <c r="O3881" s="1007" t="s">
        <v>648</v>
      </c>
      <c r="P3881" s="1007" t="s">
        <v>648</v>
      </c>
      <c r="S3881" s="1008" t="s">
        <v>650</v>
      </c>
      <c r="T3881" s="1008" t="s">
        <v>654</v>
      </c>
      <c r="U3881" s="1008" t="s">
        <v>653</v>
      </c>
      <c r="V3881" s="1008" t="s">
        <v>648</v>
      </c>
      <c r="W3881" s="1008" t="s">
        <v>546</v>
      </c>
      <c r="X3881" s="1008" t="s">
        <v>670</v>
      </c>
      <c r="Y3881" s="1008" t="s">
        <v>670</v>
      </c>
      <c r="Z3881" s="1008" t="s">
        <v>670</v>
      </c>
      <c r="AA3881" s="1008" t="s">
        <v>670</v>
      </c>
      <c r="AB3881" s="1008" t="s">
        <v>670</v>
      </c>
      <c r="AC3881" s="1008" t="s">
        <v>670</v>
      </c>
      <c r="AD3881" s="1008" t="s">
        <v>670</v>
      </c>
      <c r="AE3881" s="1008"/>
      <c r="AF3881" s="1008" t="s">
        <v>670</v>
      </c>
      <c r="AG3881" s="1008"/>
      <c r="AH3881" s="1008"/>
      <c r="AI3881" s="1008"/>
    </row>
    <row r="3882" spans="1:35">
      <c r="A3882" s="1008">
        <v>25669</v>
      </c>
      <c r="B3882" s="1008">
        <v>5674</v>
      </c>
      <c r="C3882" s="1008">
        <v>7</v>
      </c>
      <c r="D3882" s="1009">
        <v>85579999</v>
      </c>
      <c r="E3882" s="1009">
        <v>85571000</v>
      </c>
      <c r="F3882" s="1007" t="s">
        <v>1081</v>
      </c>
      <c r="G3882" s="1007">
        <v>7</v>
      </c>
      <c r="H3882" s="1010">
        <v>99999999</v>
      </c>
      <c r="I3882" s="1009">
        <v>85571000</v>
      </c>
      <c r="J3882" s="1007" t="s">
        <v>1081</v>
      </c>
      <c r="O3882" s="1007" t="s">
        <v>648</v>
      </c>
      <c r="P3882" s="1007" t="s">
        <v>648</v>
      </c>
      <c r="S3882" s="1008" t="s">
        <v>650</v>
      </c>
      <c r="T3882" s="1008" t="s">
        <v>654</v>
      </c>
      <c r="U3882" s="1008" t="s">
        <v>653</v>
      </c>
      <c r="V3882" s="1008" t="s">
        <v>648</v>
      </c>
      <c r="W3882" s="1008" t="s">
        <v>546</v>
      </c>
      <c r="X3882" s="1008" t="s">
        <v>670</v>
      </c>
      <c r="Y3882" s="1008" t="s">
        <v>670</v>
      </c>
      <c r="Z3882" s="1008" t="s">
        <v>670</v>
      </c>
      <c r="AA3882" s="1008" t="s">
        <v>670</v>
      </c>
      <c r="AB3882" s="1008" t="s">
        <v>670</v>
      </c>
      <c r="AC3882" s="1008" t="s">
        <v>670</v>
      </c>
      <c r="AD3882" s="1008" t="s">
        <v>670</v>
      </c>
      <c r="AE3882" s="1008"/>
      <c r="AF3882" s="1008" t="s">
        <v>670</v>
      </c>
      <c r="AG3882" s="1008"/>
      <c r="AH3882" s="1008"/>
      <c r="AI3882" s="1008"/>
    </row>
    <row r="3883" spans="1:35">
      <c r="A3883" s="1008">
        <v>25671</v>
      </c>
      <c r="C3883" s="1008">
        <v>6</v>
      </c>
      <c r="D3883" s="1009">
        <v>85599999</v>
      </c>
      <c r="E3883" s="1009">
        <v>85579999</v>
      </c>
      <c r="F3883" s="1007" t="s">
        <v>1080</v>
      </c>
      <c r="O3883" s="1007" t="s">
        <v>648</v>
      </c>
      <c r="P3883" s="1007" t="s">
        <v>648</v>
      </c>
      <c r="S3883" s="1008" t="s">
        <v>650</v>
      </c>
      <c r="T3883" s="1008" t="s">
        <v>21</v>
      </c>
      <c r="U3883" s="1008" t="s">
        <v>653</v>
      </c>
      <c r="V3883" s="1008" t="s">
        <v>648</v>
      </c>
      <c r="W3883" s="1008" t="s">
        <v>546</v>
      </c>
      <c r="X3883" s="1008"/>
      <c r="Y3883" s="1008"/>
      <c r="Z3883" s="1008"/>
      <c r="AA3883" s="1008"/>
      <c r="AB3883" s="1008"/>
      <c r="AC3883" s="1008"/>
      <c r="AD3883" s="1008"/>
      <c r="AE3883" s="1008"/>
      <c r="AF3883" s="1008"/>
      <c r="AG3883" s="1008"/>
      <c r="AH3883" s="1008"/>
      <c r="AI3883" s="1008"/>
    </row>
    <row r="3884" spans="1:35">
      <c r="A3884" s="1008">
        <v>25672</v>
      </c>
      <c r="C3884" s="1008">
        <v>6</v>
      </c>
      <c r="D3884" s="1009">
        <v>85589999</v>
      </c>
      <c r="E3884" s="1009">
        <v>85580000</v>
      </c>
      <c r="F3884" s="1007" t="s">
        <v>1079</v>
      </c>
      <c r="O3884" s="1007" t="s">
        <v>648</v>
      </c>
      <c r="P3884" s="1007" t="s">
        <v>648</v>
      </c>
      <c r="S3884" s="1008" t="s">
        <v>650</v>
      </c>
      <c r="T3884" s="1008" t="s">
        <v>675</v>
      </c>
      <c r="U3884" s="1008" t="s">
        <v>653</v>
      </c>
      <c r="V3884" s="1008" t="s">
        <v>648</v>
      </c>
      <c r="W3884" s="1008" t="s">
        <v>546</v>
      </c>
      <c r="X3884" s="1008"/>
      <c r="Y3884" s="1008"/>
      <c r="Z3884" s="1008"/>
      <c r="AA3884" s="1008"/>
      <c r="AB3884" s="1008"/>
      <c r="AC3884" s="1008"/>
      <c r="AD3884" s="1008"/>
      <c r="AE3884" s="1008"/>
      <c r="AF3884" s="1008"/>
      <c r="AG3884" s="1008"/>
      <c r="AH3884" s="1008"/>
      <c r="AI3884" s="1008"/>
    </row>
    <row r="3885" spans="1:35">
      <c r="A3885" s="1008">
        <v>25673</v>
      </c>
      <c r="B3885" s="1008">
        <v>2547</v>
      </c>
      <c r="C3885" s="1008">
        <v>7</v>
      </c>
      <c r="D3885" s="1009">
        <v>85589999</v>
      </c>
      <c r="E3885" s="1009">
        <v>85581000</v>
      </c>
      <c r="F3885" s="1007" t="s">
        <v>1078</v>
      </c>
      <c r="G3885" s="1007">
        <v>7</v>
      </c>
      <c r="H3885" s="1010">
        <v>99999999</v>
      </c>
      <c r="I3885" s="1009">
        <v>85581000</v>
      </c>
      <c r="J3885" s="1007" t="s">
        <v>1078</v>
      </c>
      <c r="O3885" s="1007" t="s">
        <v>648</v>
      </c>
      <c r="P3885" s="1007" t="s">
        <v>648</v>
      </c>
      <c r="S3885" s="1008" t="s">
        <v>650</v>
      </c>
      <c r="T3885" s="1008" t="s">
        <v>654</v>
      </c>
      <c r="U3885" s="1008" t="s">
        <v>653</v>
      </c>
      <c r="V3885" s="1008" t="s">
        <v>648</v>
      </c>
      <c r="W3885" s="1008" t="s">
        <v>546</v>
      </c>
      <c r="X3885" s="1008" t="s">
        <v>670</v>
      </c>
      <c r="Y3885" s="1008" t="s">
        <v>670</v>
      </c>
      <c r="Z3885" s="1008" t="s">
        <v>670</v>
      </c>
      <c r="AA3885" s="1008" t="s">
        <v>670</v>
      </c>
      <c r="AB3885" s="1008" t="s">
        <v>670</v>
      </c>
      <c r="AC3885" s="1008" t="s">
        <v>670</v>
      </c>
      <c r="AD3885" s="1008" t="s">
        <v>670</v>
      </c>
      <c r="AE3885" s="1008"/>
      <c r="AF3885" s="1008" t="s">
        <v>670</v>
      </c>
      <c r="AG3885" s="1008"/>
      <c r="AH3885" s="1008"/>
      <c r="AI3885" s="1008"/>
    </row>
    <row r="3886" spans="1:35">
      <c r="A3886" s="1008">
        <v>25674</v>
      </c>
      <c r="B3886" s="1008">
        <v>2548</v>
      </c>
      <c r="C3886" s="1008">
        <v>7</v>
      </c>
      <c r="D3886" s="1009">
        <v>85589999</v>
      </c>
      <c r="E3886" s="1009">
        <v>85582000</v>
      </c>
      <c r="F3886" s="1007" t="s">
        <v>1077</v>
      </c>
      <c r="G3886" s="1007">
        <v>7</v>
      </c>
      <c r="H3886" s="1010">
        <v>99999999</v>
      </c>
      <c r="I3886" s="1009">
        <v>85582000</v>
      </c>
      <c r="J3886" s="1007" t="s">
        <v>1077</v>
      </c>
      <c r="O3886" s="1007" t="s">
        <v>648</v>
      </c>
      <c r="P3886" s="1007" t="s">
        <v>648</v>
      </c>
      <c r="S3886" s="1008" t="s">
        <v>650</v>
      </c>
      <c r="T3886" s="1008" t="s">
        <v>654</v>
      </c>
      <c r="U3886" s="1008" t="s">
        <v>653</v>
      </c>
      <c r="V3886" s="1008" t="s">
        <v>648</v>
      </c>
      <c r="W3886" s="1008" t="s">
        <v>546</v>
      </c>
      <c r="X3886" s="1008" t="s">
        <v>670</v>
      </c>
      <c r="Y3886" s="1008" t="s">
        <v>670</v>
      </c>
      <c r="Z3886" s="1008" t="s">
        <v>670</v>
      </c>
      <c r="AA3886" s="1008" t="s">
        <v>670</v>
      </c>
      <c r="AB3886" s="1008" t="s">
        <v>670</v>
      </c>
      <c r="AC3886" s="1008" t="s">
        <v>670</v>
      </c>
      <c r="AD3886" s="1008" t="s">
        <v>670</v>
      </c>
      <c r="AE3886" s="1008"/>
      <c r="AF3886" s="1008" t="s">
        <v>670</v>
      </c>
      <c r="AG3886" s="1008"/>
      <c r="AH3886" s="1008"/>
      <c r="AI3886" s="1008"/>
    </row>
    <row r="3887" spans="1:35">
      <c r="A3887" s="1008">
        <v>26514</v>
      </c>
      <c r="B3887" s="1008">
        <v>2549</v>
      </c>
      <c r="C3887" s="1008">
        <v>7</v>
      </c>
      <c r="D3887" s="1009">
        <v>85589999</v>
      </c>
      <c r="E3887" s="1009">
        <v>85583000</v>
      </c>
      <c r="F3887" s="1007" t="s">
        <v>1076</v>
      </c>
      <c r="G3887" s="1007">
        <v>7</v>
      </c>
      <c r="H3887" s="1010">
        <v>99999999</v>
      </c>
      <c r="I3887" s="1009">
        <v>85583000</v>
      </c>
      <c r="J3887" s="1007" t="s">
        <v>1076</v>
      </c>
      <c r="O3887" s="1007" t="s">
        <v>648</v>
      </c>
      <c r="P3887" s="1007" t="s">
        <v>648</v>
      </c>
      <c r="S3887" s="1008" t="s">
        <v>650</v>
      </c>
      <c r="T3887" s="1008" t="s">
        <v>654</v>
      </c>
      <c r="U3887" s="1008" t="s">
        <v>653</v>
      </c>
      <c r="V3887" s="1008" t="s">
        <v>648</v>
      </c>
      <c r="W3887" s="1008" t="s">
        <v>546</v>
      </c>
      <c r="X3887" s="1008" t="s">
        <v>670</v>
      </c>
      <c r="Y3887" s="1008" t="s">
        <v>670</v>
      </c>
      <c r="Z3887" s="1008" t="s">
        <v>670</v>
      </c>
      <c r="AA3887" s="1008" t="s">
        <v>670</v>
      </c>
      <c r="AB3887" s="1008" t="s">
        <v>670</v>
      </c>
      <c r="AC3887" s="1008" t="s">
        <v>670</v>
      </c>
      <c r="AD3887" s="1008" t="s">
        <v>670</v>
      </c>
      <c r="AE3887" s="1008"/>
      <c r="AF3887" s="1008" t="s">
        <v>670</v>
      </c>
      <c r="AG3887" s="1008"/>
      <c r="AH3887" s="1008"/>
      <c r="AI3887" s="1008"/>
    </row>
    <row r="3888" spans="1:35">
      <c r="A3888" s="1008">
        <v>26515</v>
      </c>
      <c r="B3888" s="1008">
        <v>5676</v>
      </c>
      <c r="C3888" s="1008">
        <v>7</v>
      </c>
      <c r="D3888" s="1009">
        <v>85589999</v>
      </c>
      <c r="E3888" s="1009">
        <v>85584000</v>
      </c>
      <c r="F3888" s="1007" t="s">
        <v>1075</v>
      </c>
      <c r="G3888" s="1007">
        <v>7</v>
      </c>
      <c r="H3888" s="1010">
        <v>99999999</v>
      </c>
      <c r="I3888" s="1009">
        <v>85584000</v>
      </c>
      <c r="J3888" s="1007" t="s">
        <v>1075</v>
      </c>
      <c r="O3888" s="1007" t="s">
        <v>648</v>
      </c>
      <c r="P3888" s="1007" t="s">
        <v>648</v>
      </c>
      <c r="S3888" s="1008" t="s">
        <v>650</v>
      </c>
      <c r="T3888" s="1008" t="s">
        <v>654</v>
      </c>
      <c r="U3888" s="1008" t="s">
        <v>653</v>
      </c>
      <c r="V3888" s="1008" t="s">
        <v>648</v>
      </c>
      <c r="W3888" s="1008" t="s">
        <v>546</v>
      </c>
      <c r="X3888" s="1008" t="s">
        <v>670</v>
      </c>
      <c r="Y3888" s="1008" t="s">
        <v>670</v>
      </c>
      <c r="Z3888" s="1008" t="s">
        <v>670</v>
      </c>
      <c r="AA3888" s="1008" t="s">
        <v>670</v>
      </c>
      <c r="AB3888" s="1008" t="s">
        <v>670</v>
      </c>
      <c r="AC3888" s="1008" t="s">
        <v>670</v>
      </c>
      <c r="AD3888" s="1008" t="s">
        <v>670</v>
      </c>
      <c r="AE3888" s="1008"/>
      <c r="AF3888" s="1008" t="s">
        <v>670</v>
      </c>
      <c r="AG3888" s="1008"/>
      <c r="AH3888" s="1008"/>
      <c r="AI3888" s="1008"/>
    </row>
    <row r="3889" spans="1:35">
      <c r="A3889" s="1008">
        <v>25675</v>
      </c>
      <c r="C3889" s="1008">
        <v>6</v>
      </c>
      <c r="D3889" s="1009">
        <v>85599999</v>
      </c>
      <c r="E3889" s="1009">
        <v>85589999</v>
      </c>
      <c r="F3889" s="1007" t="s">
        <v>1074</v>
      </c>
      <c r="O3889" s="1007" t="s">
        <v>648</v>
      </c>
      <c r="P3889" s="1007" t="s">
        <v>648</v>
      </c>
      <c r="S3889" s="1008" t="s">
        <v>650</v>
      </c>
      <c r="T3889" s="1008" t="s">
        <v>21</v>
      </c>
      <c r="U3889" s="1008" t="s">
        <v>653</v>
      </c>
      <c r="V3889" s="1008" t="s">
        <v>648</v>
      </c>
      <c r="W3889" s="1008" t="s">
        <v>546</v>
      </c>
      <c r="X3889" s="1008"/>
      <c r="Y3889" s="1008"/>
      <c r="Z3889" s="1008"/>
      <c r="AA3889" s="1008"/>
      <c r="AB3889" s="1008"/>
      <c r="AC3889" s="1008"/>
      <c r="AD3889" s="1008"/>
      <c r="AE3889" s="1008"/>
      <c r="AF3889" s="1008"/>
      <c r="AG3889" s="1008"/>
      <c r="AH3889" s="1008"/>
      <c r="AI3889" s="1008"/>
    </row>
    <row r="3890" spans="1:35">
      <c r="A3890" s="1008">
        <v>25676</v>
      </c>
      <c r="C3890" s="1008">
        <v>5</v>
      </c>
      <c r="D3890" s="1009">
        <v>85619999</v>
      </c>
      <c r="E3890" s="1009">
        <v>85599999</v>
      </c>
      <c r="F3890" s="1007" t="s">
        <v>1051</v>
      </c>
      <c r="O3890" s="1007" t="s">
        <v>648</v>
      </c>
      <c r="P3890" s="1007" t="s">
        <v>648</v>
      </c>
      <c r="S3890" s="1008" t="s">
        <v>650</v>
      </c>
      <c r="T3890" s="1008" t="s">
        <v>21</v>
      </c>
      <c r="U3890" s="1008" t="s">
        <v>653</v>
      </c>
      <c r="V3890" s="1008" t="s">
        <v>648</v>
      </c>
      <c r="W3890" s="1008" t="s">
        <v>546</v>
      </c>
      <c r="X3890" s="1008"/>
      <c r="Y3890" s="1008"/>
      <c r="Z3890" s="1008"/>
      <c r="AA3890" s="1008"/>
      <c r="AB3890" s="1008"/>
      <c r="AC3890" s="1008"/>
      <c r="AD3890" s="1008"/>
      <c r="AE3890" s="1008"/>
      <c r="AF3890" s="1008"/>
      <c r="AG3890" s="1008"/>
      <c r="AH3890" s="1008"/>
      <c r="AI3890" s="1008"/>
    </row>
    <row r="3891" spans="1:35">
      <c r="A3891" s="1008">
        <v>25677</v>
      </c>
      <c r="C3891" s="1008">
        <v>5</v>
      </c>
      <c r="D3891" s="1009">
        <v>85609999</v>
      </c>
      <c r="E3891" s="1009">
        <v>85600000</v>
      </c>
      <c r="F3891" s="1007" t="s">
        <v>1050</v>
      </c>
      <c r="O3891" s="1007" t="s">
        <v>648</v>
      </c>
      <c r="P3891" s="1007" t="s">
        <v>648</v>
      </c>
      <c r="S3891" s="1008" t="s">
        <v>650</v>
      </c>
      <c r="T3891" s="1008" t="s">
        <v>675</v>
      </c>
      <c r="U3891" s="1008" t="s">
        <v>653</v>
      </c>
      <c r="V3891" s="1008" t="s">
        <v>648</v>
      </c>
      <c r="W3891" s="1008" t="s">
        <v>546</v>
      </c>
      <c r="X3891" s="1008"/>
      <c r="Y3891" s="1008"/>
      <c r="Z3891" s="1008"/>
      <c r="AA3891" s="1008"/>
      <c r="AB3891" s="1008"/>
      <c r="AC3891" s="1008"/>
      <c r="AD3891" s="1008"/>
      <c r="AE3891" s="1008"/>
      <c r="AF3891" s="1008"/>
      <c r="AG3891" s="1008"/>
      <c r="AH3891" s="1008"/>
      <c r="AI3891" s="1008"/>
    </row>
    <row r="3892" spans="1:35">
      <c r="A3892" s="1008">
        <v>25678</v>
      </c>
      <c r="B3892" s="1008">
        <v>2551</v>
      </c>
      <c r="C3892" s="1008">
        <v>6</v>
      </c>
      <c r="D3892" s="1009">
        <v>85609999</v>
      </c>
      <c r="E3892" s="1009">
        <v>85601000</v>
      </c>
      <c r="F3892" s="1007" t="s">
        <v>1073</v>
      </c>
      <c r="G3892" s="1007">
        <v>6</v>
      </c>
      <c r="H3892" s="1010">
        <v>99999999</v>
      </c>
      <c r="I3892" s="1009">
        <v>85601000</v>
      </c>
      <c r="J3892" s="1007" t="s">
        <v>1073</v>
      </c>
      <c r="O3892" s="1007" t="s">
        <v>648</v>
      </c>
      <c r="P3892" s="1007" t="s">
        <v>648</v>
      </c>
      <c r="S3892" s="1008" t="s">
        <v>650</v>
      </c>
      <c r="T3892" s="1008" t="s">
        <v>654</v>
      </c>
      <c r="U3892" s="1008" t="s">
        <v>653</v>
      </c>
      <c r="V3892" s="1008" t="s">
        <v>648</v>
      </c>
      <c r="W3892" s="1008" t="s">
        <v>546</v>
      </c>
      <c r="X3892" s="1008" t="s">
        <v>670</v>
      </c>
      <c r="Y3892" s="1008" t="s">
        <v>670</v>
      </c>
      <c r="Z3892" s="1008" t="s">
        <v>670</v>
      </c>
      <c r="AA3892" s="1008" t="s">
        <v>670</v>
      </c>
      <c r="AB3892" s="1008" t="s">
        <v>670</v>
      </c>
      <c r="AC3892" s="1008" t="s">
        <v>670</v>
      </c>
      <c r="AD3892" s="1008" t="s">
        <v>670</v>
      </c>
      <c r="AE3892" s="1008"/>
      <c r="AF3892" s="1008" t="s">
        <v>670</v>
      </c>
      <c r="AG3892" s="1008"/>
      <c r="AH3892" s="1008"/>
      <c r="AI3892" s="1008"/>
    </row>
    <row r="3893" spans="1:35">
      <c r="A3893" s="1008">
        <v>25679</v>
      </c>
      <c r="B3893" s="1008">
        <v>5679</v>
      </c>
      <c r="C3893" s="1008">
        <v>6</v>
      </c>
      <c r="D3893" s="1009">
        <v>85609999</v>
      </c>
      <c r="E3893" s="1009">
        <v>85602000</v>
      </c>
      <c r="F3893" s="1007" t="s">
        <v>1072</v>
      </c>
      <c r="G3893" s="1007">
        <v>6</v>
      </c>
      <c r="H3893" s="1010">
        <v>99999999</v>
      </c>
      <c r="I3893" s="1009">
        <v>85602000</v>
      </c>
      <c r="J3893" s="1007" t="s">
        <v>1072</v>
      </c>
      <c r="O3893" s="1007" t="s">
        <v>648</v>
      </c>
      <c r="P3893" s="1007" t="s">
        <v>648</v>
      </c>
      <c r="S3893" s="1008" t="s">
        <v>650</v>
      </c>
      <c r="T3893" s="1008" t="s">
        <v>654</v>
      </c>
      <c r="U3893" s="1008" t="s">
        <v>653</v>
      </c>
      <c r="V3893" s="1008" t="s">
        <v>648</v>
      </c>
      <c r="W3893" s="1008" t="s">
        <v>546</v>
      </c>
      <c r="X3893" s="1008" t="s">
        <v>670</v>
      </c>
      <c r="Y3893" s="1008" t="s">
        <v>670</v>
      </c>
      <c r="Z3893" s="1008" t="s">
        <v>670</v>
      </c>
      <c r="AA3893" s="1008" t="s">
        <v>670</v>
      </c>
      <c r="AB3893" s="1008" t="s">
        <v>670</v>
      </c>
      <c r="AC3893" s="1008" t="s">
        <v>670</v>
      </c>
      <c r="AD3893" s="1008" t="s">
        <v>670</v>
      </c>
      <c r="AE3893" s="1008"/>
      <c r="AF3893" s="1008" t="s">
        <v>670</v>
      </c>
      <c r="AG3893" s="1008"/>
      <c r="AH3893" s="1008"/>
      <c r="AI3893" s="1008"/>
    </row>
    <row r="3894" spans="1:35">
      <c r="A3894" s="1008">
        <v>25680</v>
      </c>
      <c r="C3894" s="1008">
        <v>5</v>
      </c>
      <c r="D3894" s="1009">
        <v>85619999</v>
      </c>
      <c r="E3894" s="1009">
        <v>85609999</v>
      </c>
      <c r="F3894" s="1007" t="s">
        <v>1047</v>
      </c>
      <c r="O3894" s="1007" t="s">
        <v>648</v>
      </c>
      <c r="P3894" s="1007" t="s">
        <v>648</v>
      </c>
      <c r="S3894" s="1008" t="s">
        <v>650</v>
      </c>
      <c r="T3894" s="1008" t="s">
        <v>21</v>
      </c>
      <c r="U3894" s="1008" t="s">
        <v>653</v>
      </c>
      <c r="V3894" s="1008" t="s">
        <v>648</v>
      </c>
      <c r="W3894" s="1008" t="s">
        <v>546</v>
      </c>
      <c r="X3894" s="1008"/>
      <c r="Y3894" s="1008"/>
      <c r="Z3894" s="1008"/>
      <c r="AA3894" s="1008"/>
      <c r="AB3894" s="1008"/>
      <c r="AC3894" s="1008"/>
      <c r="AD3894" s="1008"/>
      <c r="AE3894" s="1008"/>
      <c r="AF3894" s="1008"/>
      <c r="AG3894" s="1008"/>
      <c r="AH3894" s="1008"/>
      <c r="AI3894" s="1008"/>
    </row>
    <row r="3895" spans="1:35">
      <c r="A3895" s="1008">
        <v>25681</v>
      </c>
      <c r="C3895" s="1008">
        <v>5</v>
      </c>
      <c r="D3895" s="1009">
        <v>85619900</v>
      </c>
      <c r="E3895" s="1009">
        <v>85610000</v>
      </c>
      <c r="F3895" s="1007" t="s">
        <v>1046</v>
      </c>
      <c r="O3895" s="1007" t="s">
        <v>648</v>
      </c>
      <c r="P3895" s="1007" t="s">
        <v>648</v>
      </c>
      <c r="S3895" s="1008" t="s">
        <v>650</v>
      </c>
      <c r="T3895" s="1008" t="s">
        <v>675</v>
      </c>
      <c r="U3895" s="1008" t="s">
        <v>653</v>
      </c>
      <c r="V3895" s="1008" t="s">
        <v>648</v>
      </c>
      <c r="W3895" s="1008" t="s">
        <v>546</v>
      </c>
      <c r="X3895" s="1008"/>
      <c r="Y3895" s="1008"/>
      <c r="Z3895" s="1008"/>
      <c r="AA3895" s="1008"/>
      <c r="AB3895" s="1008"/>
      <c r="AC3895" s="1008"/>
      <c r="AD3895" s="1008"/>
      <c r="AE3895" s="1008"/>
      <c r="AF3895" s="1008"/>
      <c r="AG3895" s="1008"/>
      <c r="AH3895" s="1008"/>
      <c r="AI3895" s="1008"/>
    </row>
    <row r="3896" spans="1:35">
      <c r="A3896" s="1008">
        <v>25682</v>
      </c>
      <c r="B3896" s="1008">
        <v>5681</v>
      </c>
      <c r="C3896" s="1008">
        <v>6</v>
      </c>
      <c r="D3896" s="1009">
        <v>85619900</v>
      </c>
      <c r="E3896" s="1009">
        <v>85611000</v>
      </c>
      <c r="F3896" s="1007" t="s">
        <v>1071</v>
      </c>
      <c r="G3896" s="1007">
        <v>6</v>
      </c>
      <c r="H3896" s="1010">
        <v>99999999</v>
      </c>
      <c r="I3896" s="1009">
        <v>85611000</v>
      </c>
      <c r="J3896" s="1007" t="s">
        <v>1071</v>
      </c>
      <c r="O3896" s="1007" t="s">
        <v>648</v>
      </c>
      <c r="P3896" s="1007" t="s">
        <v>648</v>
      </c>
      <c r="S3896" s="1008" t="s">
        <v>650</v>
      </c>
      <c r="T3896" s="1008" t="s">
        <v>654</v>
      </c>
      <c r="U3896" s="1008" t="s">
        <v>653</v>
      </c>
      <c r="V3896" s="1008" t="s">
        <v>648</v>
      </c>
      <c r="W3896" s="1008" t="s">
        <v>546</v>
      </c>
      <c r="X3896" s="1008" t="s">
        <v>670</v>
      </c>
      <c r="Y3896" s="1008" t="s">
        <v>670</v>
      </c>
      <c r="Z3896" s="1008" t="s">
        <v>670</v>
      </c>
      <c r="AA3896" s="1008" t="s">
        <v>670</v>
      </c>
      <c r="AB3896" s="1008" t="s">
        <v>670</v>
      </c>
      <c r="AC3896" s="1008" t="s">
        <v>670</v>
      </c>
      <c r="AD3896" s="1008" t="s">
        <v>670</v>
      </c>
      <c r="AE3896" s="1008"/>
      <c r="AF3896" s="1008" t="s">
        <v>670</v>
      </c>
      <c r="AG3896" s="1008"/>
      <c r="AH3896" s="1008"/>
      <c r="AI3896" s="1008"/>
    </row>
    <row r="3897" spans="1:35">
      <c r="A3897" s="1008">
        <v>25683</v>
      </c>
      <c r="C3897" s="1008">
        <v>5</v>
      </c>
      <c r="D3897" s="1009">
        <v>85619999</v>
      </c>
      <c r="E3897" s="1009">
        <v>85619900</v>
      </c>
      <c r="F3897" s="1007" t="s">
        <v>1044</v>
      </c>
      <c r="O3897" s="1007" t="s">
        <v>648</v>
      </c>
      <c r="P3897" s="1007" t="s">
        <v>648</v>
      </c>
      <c r="S3897" s="1008" t="s">
        <v>650</v>
      </c>
      <c r="T3897" s="1008" t="s">
        <v>21</v>
      </c>
      <c r="U3897" s="1008" t="s">
        <v>653</v>
      </c>
      <c r="V3897" s="1008" t="s">
        <v>648</v>
      </c>
      <c r="W3897" s="1008" t="s">
        <v>546</v>
      </c>
      <c r="X3897" s="1008"/>
      <c r="Y3897" s="1008"/>
      <c r="Z3897" s="1008"/>
      <c r="AA3897" s="1008"/>
      <c r="AB3897" s="1008"/>
      <c r="AC3897" s="1008"/>
      <c r="AD3897" s="1008"/>
      <c r="AE3897" s="1008"/>
      <c r="AF3897" s="1008"/>
      <c r="AG3897" s="1008"/>
      <c r="AH3897" s="1008"/>
      <c r="AI3897" s="1008"/>
    </row>
    <row r="3898" spans="1:35">
      <c r="A3898" s="1008">
        <v>25684</v>
      </c>
      <c r="C3898" s="1008">
        <v>4</v>
      </c>
      <c r="D3898" s="1009">
        <v>89999900</v>
      </c>
      <c r="E3898" s="1009">
        <v>85619999</v>
      </c>
      <c r="F3898" s="1007" t="s">
        <v>1070</v>
      </c>
      <c r="O3898" s="1007" t="s">
        <v>648</v>
      </c>
      <c r="P3898" s="1007" t="s">
        <v>648</v>
      </c>
      <c r="S3898" s="1008" t="s">
        <v>657</v>
      </c>
      <c r="T3898" s="1008" t="s">
        <v>21</v>
      </c>
      <c r="U3898" s="1008" t="s">
        <v>653</v>
      </c>
      <c r="V3898" s="1008" t="s">
        <v>648</v>
      </c>
      <c r="W3898" s="1008" t="s">
        <v>546</v>
      </c>
      <c r="X3898" s="1008"/>
      <c r="Y3898" s="1008"/>
      <c r="Z3898" s="1008"/>
      <c r="AA3898" s="1008"/>
      <c r="AB3898" s="1008"/>
      <c r="AC3898" s="1008"/>
      <c r="AD3898" s="1008"/>
      <c r="AE3898" s="1008"/>
      <c r="AF3898" s="1008"/>
      <c r="AG3898" s="1008"/>
      <c r="AH3898" s="1008"/>
      <c r="AI3898" s="1008"/>
    </row>
    <row r="3899" spans="1:35">
      <c r="A3899" s="1008">
        <v>25685</v>
      </c>
      <c r="C3899" s="1008">
        <v>4</v>
      </c>
      <c r="D3899" s="1009">
        <v>87559999</v>
      </c>
      <c r="E3899" s="1009">
        <v>87501000</v>
      </c>
      <c r="F3899" s="1007" t="s">
        <v>1069</v>
      </c>
      <c r="O3899" s="1007" t="s">
        <v>648</v>
      </c>
      <c r="P3899" s="1007" t="s">
        <v>648</v>
      </c>
      <c r="S3899" s="1008" t="s">
        <v>657</v>
      </c>
      <c r="T3899" s="1008" t="s">
        <v>675</v>
      </c>
      <c r="U3899" s="1008" t="s">
        <v>653</v>
      </c>
      <c r="V3899" s="1008" t="s">
        <v>648</v>
      </c>
      <c r="W3899" s="1008" t="s">
        <v>546</v>
      </c>
      <c r="X3899" s="1008"/>
      <c r="Y3899" s="1008"/>
      <c r="Z3899" s="1008"/>
      <c r="AA3899" s="1008"/>
      <c r="AB3899" s="1008"/>
      <c r="AC3899" s="1008"/>
      <c r="AD3899" s="1008"/>
      <c r="AE3899" s="1008"/>
      <c r="AF3899" s="1008"/>
      <c r="AG3899" s="1008"/>
      <c r="AH3899" s="1008"/>
      <c r="AI3899" s="1008"/>
    </row>
    <row r="3900" spans="1:35">
      <c r="A3900" s="1008">
        <v>25686</v>
      </c>
      <c r="C3900" s="1008">
        <v>5</v>
      </c>
      <c r="D3900" s="1009">
        <v>87519999</v>
      </c>
      <c r="E3900" s="1009">
        <v>87510000</v>
      </c>
      <c r="F3900" s="1007" t="s">
        <v>1068</v>
      </c>
      <c r="O3900" s="1007" t="s">
        <v>648</v>
      </c>
      <c r="P3900" s="1007" t="s">
        <v>648</v>
      </c>
      <c r="S3900" s="1008" t="s">
        <v>657</v>
      </c>
      <c r="T3900" s="1008" t="s">
        <v>675</v>
      </c>
      <c r="U3900" s="1008" t="s">
        <v>653</v>
      </c>
      <c r="V3900" s="1008" t="s">
        <v>648</v>
      </c>
      <c r="W3900" s="1008" t="s">
        <v>546</v>
      </c>
      <c r="X3900" s="1008"/>
      <c r="Y3900" s="1008"/>
      <c r="Z3900" s="1008"/>
      <c r="AA3900" s="1008"/>
      <c r="AB3900" s="1008"/>
      <c r="AC3900" s="1008"/>
      <c r="AD3900" s="1008"/>
      <c r="AE3900" s="1008"/>
      <c r="AF3900" s="1008"/>
      <c r="AG3900" s="1008"/>
      <c r="AH3900" s="1008"/>
      <c r="AI3900" s="1008"/>
    </row>
    <row r="3901" spans="1:35">
      <c r="A3901" s="1008">
        <v>25687</v>
      </c>
      <c r="B3901" s="1008">
        <v>5685</v>
      </c>
      <c r="C3901" s="1008">
        <v>6</v>
      </c>
      <c r="D3901" s="1009">
        <v>87519999</v>
      </c>
      <c r="E3901" s="1009">
        <v>87511000</v>
      </c>
      <c r="F3901" s="1007" t="s">
        <v>1067</v>
      </c>
      <c r="G3901" s="1007">
        <v>6</v>
      </c>
      <c r="H3901" s="1010">
        <v>99999999</v>
      </c>
      <c r="I3901" s="1009">
        <v>87511000</v>
      </c>
      <c r="J3901" s="1007" t="s">
        <v>1067</v>
      </c>
      <c r="O3901" s="1007" t="s">
        <v>648</v>
      </c>
      <c r="P3901" s="1007" t="s">
        <v>648</v>
      </c>
      <c r="S3901" s="1008" t="s">
        <v>657</v>
      </c>
      <c r="T3901" s="1008" t="s">
        <v>654</v>
      </c>
      <c r="U3901" s="1008" t="s">
        <v>653</v>
      </c>
      <c r="V3901" s="1008" t="s">
        <v>648</v>
      </c>
      <c r="W3901" s="1008" t="s">
        <v>546</v>
      </c>
      <c r="X3901" s="1008" t="s">
        <v>670</v>
      </c>
      <c r="Y3901" s="1008" t="s">
        <v>670</v>
      </c>
      <c r="Z3901" s="1008" t="s">
        <v>670</v>
      </c>
      <c r="AA3901" s="1008" t="s">
        <v>670</v>
      </c>
      <c r="AB3901" s="1008" t="s">
        <v>670</v>
      </c>
      <c r="AC3901" s="1008" t="s">
        <v>670</v>
      </c>
      <c r="AD3901" s="1008" t="s">
        <v>670</v>
      </c>
      <c r="AE3901" s="1008"/>
      <c r="AF3901" s="1008" t="s">
        <v>670</v>
      </c>
      <c r="AG3901" s="1008"/>
      <c r="AH3901" s="1008"/>
      <c r="AI3901" s="1008"/>
    </row>
    <row r="3902" spans="1:35">
      <c r="A3902" s="1008">
        <v>25688</v>
      </c>
      <c r="C3902" s="1008">
        <v>5</v>
      </c>
      <c r="D3902" s="1009">
        <v>87559999</v>
      </c>
      <c r="E3902" s="1009">
        <v>87519999</v>
      </c>
      <c r="F3902" s="1007" t="s">
        <v>1066</v>
      </c>
      <c r="O3902" s="1007" t="s">
        <v>648</v>
      </c>
      <c r="P3902" s="1007" t="s">
        <v>648</v>
      </c>
      <c r="S3902" s="1008" t="s">
        <v>657</v>
      </c>
      <c r="T3902" s="1008" t="s">
        <v>21</v>
      </c>
      <c r="U3902" s="1008" t="s">
        <v>653</v>
      </c>
      <c r="V3902" s="1008" t="s">
        <v>648</v>
      </c>
      <c r="W3902" s="1008" t="s">
        <v>546</v>
      </c>
      <c r="X3902" s="1008"/>
      <c r="Y3902" s="1008"/>
      <c r="Z3902" s="1008"/>
      <c r="AA3902" s="1008"/>
      <c r="AB3902" s="1008"/>
      <c r="AC3902" s="1008"/>
      <c r="AD3902" s="1008"/>
      <c r="AE3902" s="1008"/>
      <c r="AF3902" s="1008"/>
      <c r="AG3902" s="1008"/>
      <c r="AH3902" s="1008"/>
      <c r="AI3902" s="1008"/>
    </row>
    <row r="3903" spans="1:35">
      <c r="A3903" s="1008">
        <v>25689</v>
      </c>
      <c r="C3903" s="1008">
        <v>5</v>
      </c>
      <c r="D3903" s="1009">
        <v>87539999</v>
      </c>
      <c r="E3903" s="1009">
        <v>87520000</v>
      </c>
      <c r="F3903" s="1007" t="s">
        <v>1065</v>
      </c>
      <c r="O3903" s="1007" t="s">
        <v>648</v>
      </c>
      <c r="P3903" s="1007" t="s">
        <v>648</v>
      </c>
      <c r="S3903" s="1008" t="s">
        <v>650</v>
      </c>
      <c r="T3903" s="1008" t="s">
        <v>675</v>
      </c>
      <c r="U3903" s="1008" t="s">
        <v>653</v>
      </c>
      <c r="V3903" s="1008" t="s">
        <v>648</v>
      </c>
      <c r="W3903" s="1008" t="s">
        <v>546</v>
      </c>
      <c r="X3903" s="1008"/>
      <c r="Y3903" s="1008"/>
      <c r="Z3903" s="1008"/>
      <c r="AA3903" s="1008"/>
      <c r="AB3903" s="1008"/>
      <c r="AC3903" s="1008"/>
      <c r="AD3903" s="1008"/>
      <c r="AE3903" s="1008"/>
      <c r="AF3903" s="1008"/>
      <c r="AG3903" s="1008"/>
      <c r="AH3903" s="1008"/>
      <c r="AI3903" s="1008"/>
    </row>
    <row r="3904" spans="1:35">
      <c r="A3904" s="1008">
        <v>25690</v>
      </c>
      <c r="B3904" s="1008">
        <v>2555</v>
      </c>
      <c r="C3904" s="1008">
        <v>6</v>
      </c>
      <c r="D3904" s="1009">
        <v>87539999</v>
      </c>
      <c r="E3904" s="1009">
        <v>87521000</v>
      </c>
      <c r="F3904" s="1007" t="s">
        <v>1064</v>
      </c>
      <c r="G3904" s="1007">
        <v>6</v>
      </c>
      <c r="H3904" s="1010">
        <v>99999999</v>
      </c>
      <c r="I3904" s="1009">
        <v>87521000</v>
      </c>
      <c r="J3904" s="1007" t="s">
        <v>1064</v>
      </c>
      <c r="O3904" s="1007" t="s">
        <v>648</v>
      </c>
      <c r="P3904" s="1007" t="s">
        <v>648</v>
      </c>
      <c r="S3904" s="1008" t="s">
        <v>650</v>
      </c>
      <c r="T3904" s="1008" t="s">
        <v>654</v>
      </c>
      <c r="U3904" s="1008" t="s">
        <v>653</v>
      </c>
      <c r="V3904" s="1008" t="s">
        <v>648</v>
      </c>
      <c r="W3904" s="1008" t="s">
        <v>546</v>
      </c>
      <c r="X3904" s="1008" t="s">
        <v>670</v>
      </c>
      <c r="Y3904" s="1008" t="s">
        <v>670</v>
      </c>
      <c r="Z3904" s="1008" t="s">
        <v>670</v>
      </c>
      <c r="AA3904" s="1008" t="s">
        <v>670</v>
      </c>
      <c r="AB3904" s="1008" t="s">
        <v>670</v>
      </c>
      <c r="AC3904" s="1008" t="s">
        <v>670</v>
      </c>
      <c r="AD3904" s="1008" t="s">
        <v>670</v>
      </c>
      <c r="AE3904" s="1008"/>
      <c r="AF3904" s="1008" t="s">
        <v>670</v>
      </c>
      <c r="AG3904" s="1008"/>
      <c r="AH3904" s="1008"/>
      <c r="AI3904" s="1008"/>
    </row>
    <row r="3905" spans="1:35">
      <c r="A3905" s="1008">
        <v>25691</v>
      </c>
      <c r="B3905" s="1008">
        <v>2556</v>
      </c>
      <c r="C3905" s="1008">
        <v>6</v>
      </c>
      <c r="D3905" s="1009">
        <v>87539999</v>
      </c>
      <c r="E3905" s="1009">
        <v>87522000</v>
      </c>
      <c r="F3905" s="1007" t="s">
        <v>1063</v>
      </c>
      <c r="G3905" s="1007">
        <v>6</v>
      </c>
      <c r="H3905" s="1010">
        <v>99999999</v>
      </c>
      <c r="I3905" s="1009">
        <v>87522000</v>
      </c>
      <c r="J3905" s="1007" t="s">
        <v>1063</v>
      </c>
      <c r="O3905" s="1007" t="s">
        <v>648</v>
      </c>
      <c r="P3905" s="1007" t="s">
        <v>648</v>
      </c>
      <c r="S3905" s="1008" t="s">
        <v>650</v>
      </c>
      <c r="T3905" s="1008" t="s">
        <v>654</v>
      </c>
      <c r="U3905" s="1008" t="s">
        <v>653</v>
      </c>
      <c r="V3905" s="1008" t="s">
        <v>648</v>
      </c>
      <c r="W3905" s="1008" t="s">
        <v>546</v>
      </c>
      <c r="X3905" s="1008" t="s">
        <v>670</v>
      </c>
      <c r="Y3905" s="1008" t="s">
        <v>670</v>
      </c>
      <c r="Z3905" s="1008" t="s">
        <v>670</v>
      </c>
      <c r="AA3905" s="1008" t="s">
        <v>670</v>
      </c>
      <c r="AB3905" s="1008" t="s">
        <v>670</v>
      </c>
      <c r="AC3905" s="1008" t="s">
        <v>670</v>
      </c>
      <c r="AD3905" s="1008" t="s">
        <v>670</v>
      </c>
      <c r="AE3905" s="1008"/>
      <c r="AF3905" s="1008" t="s">
        <v>670</v>
      </c>
      <c r="AG3905" s="1008"/>
      <c r="AH3905" s="1008"/>
      <c r="AI3905" s="1008"/>
    </row>
    <row r="3906" spans="1:35">
      <c r="A3906" s="1008">
        <v>25692</v>
      </c>
      <c r="B3906" s="1008">
        <v>2557</v>
      </c>
      <c r="C3906" s="1008">
        <v>6</v>
      </c>
      <c r="D3906" s="1009">
        <v>87539999</v>
      </c>
      <c r="E3906" s="1009">
        <v>87523000</v>
      </c>
      <c r="F3906" s="1007" t="s">
        <v>1062</v>
      </c>
      <c r="G3906" s="1007">
        <v>6</v>
      </c>
      <c r="H3906" s="1010">
        <v>99999999</v>
      </c>
      <c r="I3906" s="1009">
        <v>87523000</v>
      </c>
      <c r="J3906" s="1007" t="s">
        <v>1062</v>
      </c>
      <c r="O3906" s="1007" t="s">
        <v>648</v>
      </c>
      <c r="P3906" s="1007" t="s">
        <v>648</v>
      </c>
      <c r="S3906" s="1008" t="s">
        <v>650</v>
      </c>
      <c r="T3906" s="1008" t="s">
        <v>654</v>
      </c>
      <c r="U3906" s="1008" t="s">
        <v>653</v>
      </c>
      <c r="V3906" s="1008" t="s">
        <v>648</v>
      </c>
      <c r="W3906" s="1008" t="s">
        <v>546</v>
      </c>
      <c r="X3906" s="1008" t="s">
        <v>670</v>
      </c>
      <c r="Y3906" s="1008" t="s">
        <v>670</v>
      </c>
      <c r="Z3906" s="1008" t="s">
        <v>670</v>
      </c>
      <c r="AA3906" s="1008" t="s">
        <v>670</v>
      </c>
      <c r="AB3906" s="1008" t="s">
        <v>670</v>
      </c>
      <c r="AC3906" s="1008" t="s">
        <v>670</v>
      </c>
      <c r="AD3906" s="1008" t="s">
        <v>670</v>
      </c>
      <c r="AE3906" s="1008"/>
      <c r="AF3906" s="1008" t="s">
        <v>670</v>
      </c>
      <c r="AG3906" s="1008"/>
      <c r="AH3906" s="1008"/>
      <c r="AI3906" s="1008"/>
    </row>
    <row r="3907" spans="1:35">
      <c r="A3907" s="1008">
        <v>25693</v>
      </c>
      <c r="B3907" s="1008">
        <v>2558</v>
      </c>
      <c r="C3907" s="1008">
        <v>6</v>
      </c>
      <c r="D3907" s="1009">
        <v>87539999</v>
      </c>
      <c r="E3907" s="1009">
        <v>87524000</v>
      </c>
      <c r="F3907" s="1007" t="s">
        <v>1061</v>
      </c>
      <c r="G3907" s="1007">
        <v>6</v>
      </c>
      <c r="H3907" s="1010">
        <v>99999999</v>
      </c>
      <c r="I3907" s="1009">
        <v>87524000</v>
      </c>
      <c r="J3907" s="1007" t="s">
        <v>1061</v>
      </c>
      <c r="O3907" s="1007" t="s">
        <v>648</v>
      </c>
      <c r="P3907" s="1007" t="s">
        <v>648</v>
      </c>
      <c r="S3907" s="1008" t="s">
        <v>650</v>
      </c>
      <c r="T3907" s="1008" t="s">
        <v>654</v>
      </c>
      <c r="U3907" s="1008" t="s">
        <v>653</v>
      </c>
      <c r="V3907" s="1008" t="s">
        <v>648</v>
      </c>
      <c r="W3907" s="1008" t="s">
        <v>546</v>
      </c>
      <c r="X3907" s="1008" t="s">
        <v>670</v>
      </c>
      <c r="Y3907" s="1008" t="s">
        <v>670</v>
      </c>
      <c r="Z3907" s="1008" t="s">
        <v>670</v>
      </c>
      <c r="AA3907" s="1008" t="s">
        <v>670</v>
      </c>
      <c r="AB3907" s="1008" t="s">
        <v>670</v>
      </c>
      <c r="AC3907" s="1008" t="s">
        <v>670</v>
      </c>
      <c r="AD3907" s="1008" t="s">
        <v>670</v>
      </c>
      <c r="AE3907" s="1008"/>
      <c r="AF3907" s="1008" t="s">
        <v>670</v>
      </c>
      <c r="AG3907" s="1008"/>
      <c r="AH3907" s="1008"/>
      <c r="AI3907" s="1008"/>
    </row>
    <row r="3908" spans="1:35">
      <c r="A3908" s="1008">
        <v>25694</v>
      </c>
      <c r="B3908" s="1008">
        <v>2559</v>
      </c>
      <c r="C3908" s="1008">
        <v>6</v>
      </c>
      <c r="D3908" s="1009">
        <v>87539999</v>
      </c>
      <c r="E3908" s="1009">
        <v>87525000</v>
      </c>
      <c r="F3908" s="1007" t="s">
        <v>1060</v>
      </c>
      <c r="G3908" s="1007">
        <v>6</v>
      </c>
      <c r="H3908" s="1010">
        <v>99999999</v>
      </c>
      <c r="I3908" s="1009">
        <v>87525000</v>
      </c>
      <c r="J3908" s="1007" t="s">
        <v>1060</v>
      </c>
      <c r="O3908" s="1007" t="s">
        <v>648</v>
      </c>
      <c r="P3908" s="1007" t="s">
        <v>648</v>
      </c>
      <c r="S3908" s="1008" t="s">
        <v>650</v>
      </c>
      <c r="T3908" s="1008" t="s">
        <v>654</v>
      </c>
      <c r="U3908" s="1008" t="s">
        <v>653</v>
      </c>
      <c r="V3908" s="1008" t="s">
        <v>648</v>
      </c>
      <c r="W3908" s="1008" t="s">
        <v>546</v>
      </c>
      <c r="X3908" s="1008" t="s">
        <v>670</v>
      </c>
      <c r="Y3908" s="1008" t="s">
        <v>670</v>
      </c>
      <c r="Z3908" s="1008" t="s">
        <v>670</v>
      </c>
      <c r="AA3908" s="1008" t="s">
        <v>670</v>
      </c>
      <c r="AB3908" s="1008" t="s">
        <v>670</v>
      </c>
      <c r="AC3908" s="1008" t="s">
        <v>670</v>
      </c>
      <c r="AD3908" s="1008" t="s">
        <v>670</v>
      </c>
      <c r="AE3908" s="1008"/>
      <c r="AF3908" s="1008" t="s">
        <v>670</v>
      </c>
      <c r="AG3908" s="1008"/>
      <c r="AH3908" s="1008"/>
      <c r="AI3908" s="1008"/>
    </row>
    <row r="3909" spans="1:35">
      <c r="A3909" s="1008">
        <v>26235</v>
      </c>
      <c r="B3909" s="1008">
        <v>2560</v>
      </c>
      <c r="C3909" s="1008">
        <v>6</v>
      </c>
      <c r="D3909" s="1009">
        <v>87539999</v>
      </c>
      <c r="E3909" s="1009">
        <v>87525500</v>
      </c>
      <c r="F3909" s="1007" t="s">
        <v>1059</v>
      </c>
      <c r="G3909" s="1007">
        <v>6</v>
      </c>
      <c r="H3909" s="1010">
        <v>99999999</v>
      </c>
      <c r="I3909" s="1009">
        <v>87525500</v>
      </c>
      <c r="J3909" s="1007" t="s">
        <v>1059</v>
      </c>
      <c r="O3909" s="1007" t="s">
        <v>648</v>
      </c>
      <c r="P3909" s="1007" t="s">
        <v>648</v>
      </c>
      <c r="S3909" s="1008" t="s">
        <v>650</v>
      </c>
      <c r="T3909" s="1008" t="s">
        <v>654</v>
      </c>
      <c r="U3909" s="1008" t="s">
        <v>653</v>
      </c>
      <c r="V3909" s="1008" t="s">
        <v>648</v>
      </c>
      <c r="W3909" s="1008" t="s">
        <v>546</v>
      </c>
      <c r="X3909" s="1008" t="s">
        <v>670</v>
      </c>
      <c r="Y3909" s="1008" t="s">
        <v>670</v>
      </c>
      <c r="Z3909" s="1008" t="s">
        <v>670</v>
      </c>
      <c r="AA3909" s="1008" t="s">
        <v>670</v>
      </c>
      <c r="AB3909" s="1008" t="s">
        <v>670</v>
      </c>
      <c r="AC3909" s="1008" t="s">
        <v>670</v>
      </c>
      <c r="AD3909" s="1008" t="s">
        <v>670</v>
      </c>
      <c r="AE3909" s="1008"/>
      <c r="AF3909" s="1008" t="s">
        <v>670</v>
      </c>
      <c r="AG3909" s="1008"/>
      <c r="AH3909" s="1008"/>
      <c r="AI3909" s="1008"/>
    </row>
    <row r="3910" spans="1:35">
      <c r="A3910" s="1008">
        <v>25695</v>
      </c>
      <c r="B3910" s="1008">
        <v>2561</v>
      </c>
      <c r="C3910" s="1008">
        <v>6</v>
      </c>
      <c r="D3910" s="1009">
        <v>87539999</v>
      </c>
      <c r="E3910" s="1009">
        <v>87526000</v>
      </c>
      <c r="F3910" s="1007" t="s">
        <v>1058</v>
      </c>
      <c r="G3910" s="1007">
        <v>6</v>
      </c>
      <c r="H3910" s="1010">
        <v>99999999</v>
      </c>
      <c r="I3910" s="1009">
        <v>87526000</v>
      </c>
      <c r="J3910" s="1007" t="s">
        <v>1058</v>
      </c>
      <c r="O3910" s="1007" t="s">
        <v>648</v>
      </c>
      <c r="P3910" s="1007" t="s">
        <v>648</v>
      </c>
      <c r="S3910" s="1008" t="s">
        <v>650</v>
      </c>
      <c r="T3910" s="1008" t="s">
        <v>654</v>
      </c>
      <c r="U3910" s="1008" t="s">
        <v>653</v>
      </c>
      <c r="V3910" s="1008" t="s">
        <v>648</v>
      </c>
      <c r="W3910" s="1008" t="s">
        <v>546</v>
      </c>
      <c r="X3910" s="1008" t="s">
        <v>670</v>
      </c>
      <c r="Y3910" s="1008" t="s">
        <v>670</v>
      </c>
      <c r="Z3910" s="1008" t="s">
        <v>670</v>
      </c>
      <c r="AA3910" s="1008" t="s">
        <v>670</v>
      </c>
      <c r="AB3910" s="1008" t="s">
        <v>670</v>
      </c>
      <c r="AC3910" s="1008" t="s">
        <v>670</v>
      </c>
      <c r="AD3910" s="1008" t="s">
        <v>670</v>
      </c>
      <c r="AE3910" s="1008"/>
      <c r="AF3910" s="1008" t="s">
        <v>670</v>
      </c>
      <c r="AG3910" s="1008"/>
      <c r="AH3910" s="1008"/>
      <c r="AI3910" s="1008"/>
    </row>
    <row r="3911" spans="1:35">
      <c r="A3911" s="1008">
        <v>25696</v>
      </c>
      <c r="B3911" s="1008">
        <v>2562</v>
      </c>
      <c r="C3911" s="1008">
        <v>6</v>
      </c>
      <c r="D3911" s="1009">
        <v>87539999</v>
      </c>
      <c r="E3911" s="1009">
        <v>87527000</v>
      </c>
      <c r="F3911" s="1007" t="s">
        <v>1057</v>
      </c>
      <c r="G3911" s="1007">
        <v>6</v>
      </c>
      <c r="H3911" s="1010">
        <v>99999999</v>
      </c>
      <c r="I3911" s="1009">
        <v>87527000</v>
      </c>
      <c r="J3911" s="1007" t="s">
        <v>1057</v>
      </c>
      <c r="O3911" s="1007" t="s">
        <v>648</v>
      </c>
      <c r="P3911" s="1007" t="s">
        <v>648</v>
      </c>
      <c r="S3911" s="1008" t="s">
        <v>650</v>
      </c>
      <c r="T3911" s="1008" t="s">
        <v>654</v>
      </c>
      <c r="U3911" s="1008" t="s">
        <v>653</v>
      </c>
      <c r="V3911" s="1008" t="s">
        <v>648</v>
      </c>
      <c r="W3911" s="1008" t="s">
        <v>546</v>
      </c>
      <c r="X3911" s="1008" t="s">
        <v>670</v>
      </c>
      <c r="Y3911" s="1008" t="s">
        <v>670</v>
      </c>
      <c r="Z3911" s="1008" t="s">
        <v>670</v>
      </c>
      <c r="AA3911" s="1008" t="s">
        <v>670</v>
      </c>
      <c r="AB3911" s="1008" t="s">
        <v>670</v>
      </c>
      <c r="AC3911" s="1008" t="s">
        <v>670</v>
      </c>
      <c r="AD3911" s="1008" t="s">
        <v>670</v>
      </c>
      <c r="AE3911" s="1008"/>
      <c r="AF3911" s="1008" t="s">
        <v>670</v>
      </c>
      <c r="AG3911" s="1008"/>
      <c r="AH3911" s="1008"/>
      <c r="AI3911" s="1008"/>
    </row>
    <row r="3912" spans="1:35">
      <c r="A3912" s="1008">
        <v>25697</v>
      </c>
      <c r="B3912" s="1008">
        <v>2563</v>
      </c>
      <c r="C3912" s="1008">
        <v>6</v>
      </c>
      <c r="D3912" s="1009">
        <v>87539999</v>
      </c>
      <c r="E3912" s="1009">
        <v>87528000</v>
      </c>
      <c r="F3912" s="1007" t="s">
        <v>1056</v>
      </c>
      <c r="G3912" s="1007">
        <v>6</v>
      </c>
      <c r="H3912" s="1010">
        <v>99999999</v>
      </c>
      <c r="I3912" s="1009">
        <v>87528000</v>
      </c>
      <c r="J3912" s="1007" t="s">
        <v>1056</v>
      </c>
      <c r="O3912" s="1007" t="s">
        <v>648</v>
      </c>
      <c r="P3912" s="1007" t="s">
        <v>648</v>
      </c>
      <c r="S3912" s="1008" t="s">
        <v>650</v>
      </c>
      <c r="T3912" s="1008" t="s">
        <v>654</v>
      </c>
      <c r="U3912" s="1008" t="s">
        <v>653</v>
      </c>
      <c r="V3912" s="1008" t="s">
        <v>648</v>
      </c>
      <c r="W3912" s="1008" t="s">
        <v>546</v>
      </c>
      <c r="X3912" s="1008" t="s">
        <v>670</v>
      </c>
      <c r="Y3912" s="1008" t="s">
        <v>670</v>
      </c>
      <c r="Z3912" s="1008" t="s">
        <v>670</v>
      </c>
      <c r="AA3912" s="1008" t="s">
        <v>670</v>
      </c>
      <c r="AB3912" s="1008" t="s">
        <v>670</v>
      </c>
      <c r="AC3912" s="1008" t="s">
        <v>670</v>
      </c>
      <c r="AD3912" s="1008" t="s">
        <v>670</v>
      </c>
      <c r="AE3912" s="1008"/>
      <c r="AF3912" s="1008" t="s">
        <v>670</v>
      </c>
      <c r="AG3912" s="1008"/>
      <c r="AH3912" s="1008"/>
      <c r="AI3912" s="1008"/>
    </row>
    <row r="3913" spans="1:35">
      <c r="A3913" s="1008">
        <v>25698</v>
      </c>
      <c r="B3913" s="1008">
        <v>2564</v>
      </c>
      <c r="C3913" s="1008">
        <v>6</v>
      </c>
      <c r="D3913" s="1009">
        <v>87539999</v>
      </c>
      <c r="E3913" s="1009">
        <v>87529000</v>
      </c>
      <c r="F3913" s="1007" t="s">
        <v>1055</v>
      </c>
      <c r="G3913" s="1007">
        <v>6</v>
      </c>
      <c r="H3913" s="1010">
        <v>99999999</v>
      </c>
      <c r="I3913" s="1009">
        <v>87529000</v>
      </c>
      <c r="J3913" s="1007" t="s">
        <v>1055</v>
      </c>
      <c r="O3913" s="1007" t="s">
        <v>648</v>
      </c>
      <c r="P3913" s="1007" t="s">
        <v>648</v>
      </c>
      <c r="S3913" s="1008" t="s">
        <v>650</v>
      </c>
      <c r="T3913" s="1008" t="s">
        <v>654</v>
      </c>
      <c r="U3913" s="1008" t="s">
        <v>653</v>
      </c>
      <c r="V3913" s="1008" t="s">
        <v>648</v>
      </c>
      <c r="W3913" s="1008" t="s">
        <v>546</v>
      </c>
      <c r="X3913" s="1008" t="s">
        <v>670</v>
      </c>
      <c r="Y3913" s="1008" t="s">
        <v>670</v>
      </c>
      <c r="Z3913" s="1008" t="s">
        <v>670</v>
      </c>
      <c r="AA3913" s="1008" t="s">
        <v>670</v>
      </c>
      <c r="AB3913" s="1008" t="s">
        <v>670</v>
      </c>
      <c r="AC3913" s="1008" t="s">
        <v>670</v>
      </c>
      <c r="AD3913" s="1008" t="s">
        <v>670</v>
      </c>
      <c r="AE3913" s="1008"/>
      <c r="AF3913" s="1008" t="s">
        <v>670</v>
      </c>
      <c r="AG3913" s="1008"/>
      <c r="AH3913" s="1008"/>
      <c r="AI3913" s="1008"/>
    </row>
    <row r="3914" spans="1:35">
      <c r="A3914" s="1008">
        <v>25699</v>
      </c>
      <c r="B3914" s="1008">
        <v>2565</v>
      </c>
      <c r="C3914" s="1008">
        <v>6</v>
      </c>
      <c r="D3914" s="1009">
        <v>87539999</v>
      </c>
      <c r="E3914" s="1009">
        <v>87530000</v>
      </c>
      <c r="F3914" s="1007" t="s">
        <v>1054</v>
      </c>
      <c r="G3914" s="1007">
        <v>6</v>
      </c>
      <c r="H3914" s="1010">
        <v>99999999</v>
      </c>
      <c r="I3914" s="1009">
        <v>87530000</v>
      </c>
      <c r="J3914" s="1007" t="s">
        <v>1054</v>
      </c>
      <c r="O3914" s="1007" t="s">
        <v>648</v>
      </c>
      <c r="P3914" s="1007" t="s">
        <v>648</v>
      </c>
      <c r="S3914" s="1008" t="s">
        <v>650</v>
      </c>
      <c r="T3914" s="1008" t="s">
        <v>654</v>
      </c>
      <c r="U3914" s="1008" t="s">
        <v>653</v>
      </c>
      <c r="V3914" s="1008" t="s">
        <v>648</v>
      </c>
      <c r="W3914" s="1008" t="s">
        <v>546</v>
      </c>
      <c r="X3914" s="1008" t="s">
        <v>670</v>
      </c>
      <c r="Y3914" s="1008" t="s">
        <v>670</v>
      </c>
      <c r="Z3914" s="1008" t="s">
        <v>670</v>
      </c>
      <c r="AA3914" s="1008" t="s">
        <v>670</v>
      </c>
      <c r="AB3914" s="1008" t="s">
        <v>670</v>
      </c>
      <c r="AC3914" s="1008" t="s">
        <v>670</v>
      </c>
      <c r="AD3914" s="1008" t="s">
        <v>670</v>
      </c>
      <c r="AE3914" s="1008"/>
      <c r="AF3914" s="1008" t="s">
        <v>670</v>
      </c>
      <c r="AG3914" s="1008"/>
      <c r="AH3914" s="1008"/>
      <c r="AI3914" s="1008"/>
    </row>
    <row r="3915" spans="1:35">
      <c r="A3915" s="1008">
        <v>26234</v>
      </c>
      <c r="B3915" s="1008">
        <v>2566</v>
      </c>
      <c r="C3915" s="1008">
        <v>6</v>
      </c>
      <c r="D3915" s="1009">
        <v>87539999</v>
      </c>
      <c r="E3915" s="1009">
        <v>87530500</v>
      </c>
      <c r="F3915" s="1007" t="s">
        <v>1053</v>
      </c>
      <c r="G3915" s="1007">
        <v>6</v>
      </c>
      <c r="H3915" s="1010">
        <v>99999999</v>
      </c>
      <c r="I3915" s="1009">
        <v>87530500</v>
      </c>
      <c r="J3915" s="1007" t="s">
        <v>1053</v>
      </c>
      <c r="O3915" s="1007" t="s">
        <v>648</v>
      </c>
      <c r="P3915" s="1007" t="s">
        <v>648</v>
      </c>
      <c r="S3915" s="1008" t="s">
        <v>650</v>
      </c>
      <c r="T3915" s="1008" t="s">
        <v>654</v>
      </c>
      <c r="U3915" s="1008" t="s">
        <v>653</v>
      </c>
      <c r="V3915" s="1008" t="s">
        <v>648</v>
      </c>
      <c r="W3915" s="1008" t="s">
        <v>546</v>
      </c>
      <c r="X3915" s="1008" t="s">
        <v>670</v>
      </c>
      <c r="Y3915" s="1008" t="s">
        <v>670</v>
      </c>
      <c r="Z3915" s="1008" t="s">
        <v>670</v>
      </c>
      <c r="AA3915" s="1008" t="s">
        <v>670</v>
      </c>
      <c r="AB3915" s="1008" t="s">
        <v>670</v>
      </c>
      <c r="AC3915" s="1008" t="s">
        <v>670</v>
      </c>
      <c r="AD3915" s="1008" t="s">
        <v>670</v>
      </c>
      <c r="AE3915" s="1008"/>
      <c r="AF3915" s="1008" t="s">
        <v>670</v>
      </c>
      <c r="AG3915" s="1008"/>
      <c r="AH3915" s="1008"/>
      <c r="AI3915" s="1008"/>
    </row>
    <row r="3916" spans="1:35">
      <c r="A3916" s="1008">
        <v>25700</v>
      </c>
      <c r="B3916" s="1008">
        <v>5687</v>
      </c>
      <c r="C3916" s="1008">
        <v>6</v>
      </c>
      <c r="D3916" s="1009">
        <v>87539999</v>
      </c>
      <c r="E3916" s="1009">
        <v>87531000</v>
      </c>
      <c r="F3916" s="1007" t="s">
        <v>1052</v>
      </c>
      <c r="G3916" s="1007">
        <v>6</v>
      </c>
      <c r="H3916" s="1010">
        <v>99999999</v>
      </c>
      <c r="I3916" s="1009">
        <v>87531000</v>
      </c>
      <c r="J3916" s="1007" t="s">
        <v>1052</v>
      </c>
      <c r="O3916" s="1007" t="s">
        <v>648</v>
      </c>
      <c r="P3916" s="1007" t="s">
        <v>648</v>
      </c>
      <c r="S3916" s="1008" t="s">
        <v>650</v>
      </c>
      <c r="T3916" s="1008" t="s">
        <v>654</v>
      </c>
      <c r="U3916" s="1008" t="s">
        <v>653</v>
      </c>
      <c r="V3916" s="1008" t="s">
        <v>648</v>
      </c>
      <c r="W3916" s="1008" t="s">
        <v>546</v>
      </c>
      <c r="X3916" s="1008" t="s">
        <v>670</v>
      </c>
      <c r="Y3916" s="1008" t="s">
        <v>670</v>
      </c>
      <c r="Z3916" s="1008" t="s">
        <v>670</v>
      </c>
      <c r="AA3916" s="1008" t="s">
        <v>670</v>
      </c>
      <c r="AB3916" s="1008" t="s">
        <v>670</v>
      </c>
      <c r="AC3916" s="1008" t="s">
        <v>670</v>
      </c>
      <c r="AD3916" s="1008" t="s">
        <v>670</v>
      </c>
      <c r="AE3916" s="1008"/>
      <c r="AF3916" s="1008" t="s">
        <v>670</v>
      </c>
      <c r="AG3916" s="1008"/>
      <c r="AH3916" s="1008"/>
      <c r="AI3916" s="1008"/>
    </row>
    <row r="3917" spans="1:35">
      <c r="A3917" s="1008">
        <v>25701</v>
      </c>
      <c r="C3917" s="1008">
        <v>5</v>
      </c>
      <c r="D3917" s="1009">
        <v>87559999</v>
      </c>
      <c r="E3917" s="1009">
        <v>87539999</v>
      </c>
      <c r="F3917" s="1007" t="s">
        <v>1051</v>
      </c>
      <c r="O3917" s="1007" t="s">
        <v>648</v>
      </c>
      <c r="P3917" s="1007" t="s">
        <v>648</v>
      </c>
      <c r="S3917" s="1008" t="s">
        <v>650</v>
      </c>
      <c r="T3917" s="1008" t="s">
        <v>21</v>
      </c>
      <c r="U3917" s="1008" t="s">
        <v>653</v>
      </c>
      <c r="V3917" s="1008" t="s">
        <v>648</v>
      </c>
      <c r="W3917" s="1008" t="s">
        <v>546</v>
      </c>
      <c r="X3917" s="1008"/>
      <c r="Y3917" s="1008"/>
      <c r="Z3917" s="1008"/>
      <c r="AA3917" s="1008"/>
      <c r="AB3917" s="1008"/>
      <c r="AC3917" s="1008"/>
      <c r="AD3917" s="1008"/>
      <c r="AE3917" s="1008"/>
      <c r="AF3917" s="1008"/>
      <c r="AG3917" s="1008"/>
      <c r="AH3917" s="1008"/>
      <c r="AI3917" s="1008"/>
    </row>
    <row r="3918" spans="1:35">
      <c r="A3918" s="1008">
        <v>25702</v>
      </c>
      <c r="C3918" s="1008">
        <v>5</v>
      </c>
      <c r="D3918" s="1009">
        <v>87549999</v>
      </c>
      <c r="E3918" s="1009">
        <v>87540000</v>
      </c>
      <c r="F3918" s="1007" t="s">
        <v>1050</v>
      </c>
      <c r="O3918" s="1007" t="s">
        <v>648</v>
      </c>
      <c r="P3918" s="1007" t="s">
        <v>648</v>
      </c>
      <c r="S3918" s="1008" t="s">
        <v>650</v>
      </c>
      <c r="T3918" s="1008" t="s">
        <v>675</v>
      </c>
      <c r="U3918" s="1008" t="s">
        <v>653</v>
      </c>
      <c r="V3918" s="1008" t="s">
        <v>648</v>
      </c>
      <c r="W3918" s="1008" t="s">
        <v>546</v>
      </c>
      <c r="X3918" s="1008"/>
      <c r="Y3918" s="1008"/>
      <c r="Z3918" s="1008"/>
      <c r="AA3918" s="1008"/>
      <c r="AB3918" s="1008"/>
      <c r="AC3918" s="1008"/>
      <c r="AD3918" s="1008"/>
      <c r="AE3918" s="1008"/>
      <c r="AF3918" s="1008"/>
      <c r="AG3918" s="1008"/>
      <c r="AH3918" s="1008"/>
      <c r="AI3918" s="1008"/>
    </row>
    <row r="3919" spans="1:35">
      <c r="A3919" s="1008">
        <v>25703</v>
      </c>
      <c r="B3919" s="1008">
        <v>2568</v>
      </c>
      <c r="C3919" s="1008">
        <v>6</v>
      </c>
      <c r="D3919" s="1009">
        <v>87549999</v>
      </c>
      <c r="E3919" s="1009">
        <v>87541000</v>
      </c>
      <c r="F3919" s="1007" t="s">
        <v>1049</v>
      </c>
      <c r="G3919" s="1007">
        <v>6</v>
      </c>
      <c r="H3919" s="1010">
        <v>99999999</v>
      </c>
      <c r="I3919" s="1009">
        <v>87541000</v>
      </c>
      <c r="J3919" s="1007" t="s">
        <v>1049</v>
      </c>
      <c r="O3919" s="1007" t="s">
        <v>648</v>
      </c>
      <c r="P3919" s="1007" t="s">
        <v>648</v>
      </c>
      <c r="S3919" s="1008" t="s">
        <v>650</v>
      </c>
      <c r="T3919" s="1008" t="s">
        <v>654</v>
      </c>
      <c r="U3919" s="1008" t="s">
        <v>653</v>
      </c>
      <c r="V3919" s="1008" t="s">
        <v>648</v>
      </c>
      <c r="W3919" s="1008" t="s">
        <v>546</v>
      </c>
      <c r="X3919" s="1008" t="s">
        <v>670</v>
      </c>
      <c r="Y3919" s="1008" t="s">
        <v>670</v>
      </c>
      <c r="Z3919" s="1008" t="s">
        <v>670</v>
      </c>
      <c r="AA3919" s="1008" t="s">
        <v>670</v>
      </c>
      <c r="AB3919" s="1008" t="s">
        <v>670</v>
      </c>
      <c r="AC3919" s="1008" t="s">
        <v>670</v>
      </c>
      <c r="AD3919" s="1008" t="s">
        <v>670</v>
      </c>
      <c r="AE3919" s="1008"/>
      <c r="AF3919" s="1008" t="s">
        <v>670</v>
      </c>
      <c r="AG3919" s="1008"/>
      <c r="AH3919" s="1008"/>
      <c r="AI3919" s="1008"/>
    </row>
    <row r="3920" spans="1:35">
      <c r="A3920" s="1008">
        <v>25704</v>
      </c>
      <c r="B3920" s="1008">
        <v>5689</v>
      </c>
      <c r="C3920" s="1008">
        <v>6</v>
      </c>
      <c r="D3920" s="1009">
        <v>87549999</v>
      </c>
      <c r="E3920" s="1009">
        <v>87542000</v>
      </c>
      <c r="F3920" s="1007" t="s">
        <v>1048</v>
      </c>
      <c r="G3920" s="1007">
        <v>6</v>
      </c>
      <c r="H3920" s="1010">
        <v>99999999</v>
      </c>
      <c r="I3920" s="1009">
        <v>87542000</v>
      </c>
      <c r="J3920" s="1007" t="s">
        <v>1048</v>
      </c>
      <c r="O3920" s="1007" t="s">
        <v>648</v>
      </c>
      <c r="P3920" s="1007" t="s">
        <v>648</v>
      </c>
      <c r="S3920" s="1008" t="s">
        <v>650</v>
      </c>
      <c r="T3920" s="1008" t="s">
        <v>654</v>
      </c>
      <c r="U3920" s="1008" t="s">
        <v>653</v>
      </c>
      <c r="V3920" s="1008" t="s">
        <v>648</v>
      </c>
      <c r="W3920" s="1008" t="s">
        <v>546</v>
      </c>
      <c r="X3920" s="1008" t="s">
        <v>670</v>
      </c>
      <c r="Y3920" s="1008" t="s">
        <v>670</v>
      </c>
      <c r="Z3920" s="1008" t="s">
        <v>670</v>
      </c>
      <c r="AA3920" s="1008" t="s">
        <v>670</v>
      </c>
      <c r="AB3920" s="1008" t="s">
        <v>670</v>
      </c>
      <c r="AC3920" s="1008" t="s">
        <v>670</v>
      </c>
      <c r="AD3920" s="1008" t="s">
        <v>670</v>
      </c>
      <c r="AE3920" s="1008"/>
      <c r="AF3920" s="1008" t="s">
        <v>670</v>
      </c>
      <c r="AG3920" s="1008"/>
      <c r="AH3920" s="1008"/>
      <c r="AI3920" s="1008"/>
    </row>
    <row r="3921" spans="1:35">
      <c r="A3921" s="1008">
        <v>25705</v>
      </c>
      <c r="C3921" s="1008">
        <v>5</v>
      </c>
      <c r="D3921" s="1009">
        <v>87559999</v>
      </c>
      <c r="E3921" s="1009">
        <v>87549999</v>
      </c>
      <c r="F3921" s="1007" t="s">
        <v>1047</v>
      </c>
      <c r="O3921" s="1007" t="s">
        <v>648</v>
      </c>
      <c r="P3921" s="1007" t="s">
        <v>648</v>
      </c>
      <c r="S3921" s="1008" t="s">
        <v>650</v>
      </c>
      <c r="T3921" s="1008" t="s">
        <v>21</v>
      </c>
      <c r="U3921" s="1008" t="s">
        <v>653</v>
      </c>
      <c r="V3921" s="1008" t="s">
        <v>648</v>
      </c>
      <c r="W3921" s="1008" t="s">
        <v>546</v>
      </c>
      <c r="X3921" s="1008"/>
      <c r="Y3921" s="1008"/>
      <c r="Z3921" s="1008"/>
      <c r="AA3921" s="1008"/>
      <c r="AB3921" s="1008"/>
      <c r="AC3921" s="1008"/>
      <c r="AD3921" s="1008"/>
      <c r="AE3921" s="1008"/>
      <c r="AF3921" s="1008"/>
      <c r="AG3921" s="1008"/>
      <c r="AH3921" s="1008"/>
      <c r="AI3921" s="1008"/>
    </row>
    <row r="3922" spans="1:35">
      <c r="A3922" s="1008">
        <v>25706</v>
      </c>
      <c r="C3922" s="1008">
        <v>5</v>
      </c>
      <c r="D3922" s="1009">
        <v>87559900</v>
      </c>
      <c r="E3922" s="1009">
        <v>87550000</v>
      </c>
      <c r="F3922" s="1007" t="s">
        <v>1046</v>
      </c>
      <c r="O3922" s="1007" t="s">
        <v>648</v>
      </c>
      <c r="P3922" s="1007" t="s">
        <v>648</v>
      </c>
      <c r="S3922" s="1008" t="s">
        <v>650</v>
      </c>
      <c r="T3922" s="1008" t="s">
        <v>675</v>
      </c>
      <c r="U3922" s="1008" t="s">
        <v>653</v>
      </c>
      <c r="V3922" s="1008" t="s">
        <v>648</v>
      </c>
      <c r="W3922" s="1008" t="s">
        <v>546</v>
      </c>
      <c r="X3922" s="1008"/>
      <c r="Y3922" s="1008"/>
      <c r="Z3922" s="1008"/>
      <c r="AA3922" s="1008"/>
      <c r="AB3922" s="1008"/>
      <c r="AC3922" s="1008"/>
      <c r="AD3922" s="1008"/>
      <c r="AE3922" s="1008"/>
      <c r="AF3922" s="1008"/>
      <c r="AG3922" s="1008"/>
      <c r="AH3922" s="1008"/>
      <c r="AI3922" s="1008"/>
    </row>
    <row r="3923" spans="1:35">
      <c r="A3923" s="1008">
        <v>25707</v>
      </c>
      <c r="B3923" s="1008">
        <v>5691</v>
      </c>
      <c r="C3923" s="1008">
        <v>6</v>
      </c>
      <c r="D3923" s="1009">
        <v>87559900</v>
      </c>
      <c r="E3923" s="1009">
        <v>87551000</v>
      </c>
      <c r="F3923" s="1007" t="s">
        <v>1045</v>
      </c>
      <c r="G3923" s="1007">
        <v>6</v>
      </c>
      <c r="H3923" s="1010">
        <v>99999999</v>
      </c>
      <c r="I3923" s="1009">
        <v>87551000</v>
      </c>
      <c r="J3923" s="1007" t="s">
        <v>1045</v>
      </c>
      <c r="O3923" s="1007" t="s">
        <v>648</v>
      </c>
      <c r="P3923" s="1007" t="s">
        <v>648</v>
      </c>
      <c r="S3923" s="1008" t="s">
        <v>650</v>
      </c>
      <c r="T3923" s="1008" t="s">
        <v>654</v>
      </c>
      <c r="U3923" s="1008" t="s">
        <v>653</v>
      </c>
      <c r="V3923" s="1008" t="s">
        <v>648</v>
      </c>
      <c r="W3923" s="1008" t="s">
        <v>546</v>
      </c>
      <c r="X3923" s="1008" t="s">
        <v>670</v>
      </c>
      <c r="Y3923" s="1008" t="s">
        <v>670</v>
      </c>
      <c r="Z3923" s="1008" t="s">
        <v>670</v>
      </c>
      <c r="AA3923" s="1008" t="s">
        <v>670</v>
      </c>
      <c r="AB3923" s="1008" t="s">
        <v>670</v>
      </c>
      <c r="AC3923" s="1008" t="s">
        <v>670</v>
      </c>
      <c r="AD3923" s="1008" t="s">
        <v>670</v>
      </c>
      <c r="AE3923" s="1008"/>
      <c r="AF3923" s="1008" t="s">
        <v>670</v>
      </c>
      <c r="AG3923" s="1008"/>
      <c r="AH3923" s="1008"/>
      <c r="AI3923" s="1008"/>
    </row>
    <row r="3924" spans="1:35">
      <c r="A3924" s="1008">
        <v>25708</v>
      </c>
      <c r="C3924" s="1008">
        <v>5</v>
      </c>
      <c r="D3924" s="1009">
        <v>87559999</v>
      </c>
      <c r="E3924" s="1009">
        <v>87559900</v>
      </c>
      <c r="F3924" s="1007" t="s">
        <v>1044</v>
      </c>
      <c r="O3924" s="1007" t="s">
        <v>648</v>
      </c>
      <c r="P3924" s="1007" t="s">
        <v>648</v>
      </c>
      <c r="S3924" s="1008" t="s">
        <v>650</v>
      </c>
      <c r="T3924" s="1008" t="s">
        <v>21</v>
      </c>
      <c r="U3924" s="1008" t="s">
        <v>653</v>
      </c>
      <c r="V3924" s="1008" t="s">
        <v>648</v>
      </c>
      <c r="W3924" s="1008" t="s">
        <v>546</v>
      </c>
      <c r="X3924" s="1008"/>
      <c r="Y3924" s="1008"/>
      <c r="Z3924" s="1008"/>
      <c r="AA3924" s="1008"/>
      <c r="AB3924" s="1008"/>
      <c r="AC3924" s="1008"/>
      <c r="AD3924" s="1008"/>
      <c r="AE3924" s="1008"/>
      <c r="AF3924" s="1008"/>
      <c r="AG3924" s="1008"/>
      <c r="AH3924" s="1008"/>
      <c r="AI3924" s="1008"/>
    </row>
    <row r="3925" spans="1:35">
      <c r="A3925" s="1008">
        <v>25709</v>
      </c>
      <c r="C3925" s="1008">
        <v>4</v>
      </c>
      <c r="D3925" s="1009">
        <v>89999900</v>
      </c>
      <c r="E3925" s="1009">
        <v>87559999</v>
      </c>
      <c r="F3925" s="1007" t="s">
        <v>1043</v>
      </c>
      <c r="O3925" s="1007" t="s">
        <v>648</v>
      </c>
      <c r="P3925" s="1007" t="s">
        <v>648</v>
      </c>
      <c r="S3925" s="1008" t="s">
        <v>657</v>
      </c>
      <c r="T3925" s="1008" t="s">
        <v>21</v>
      </c>
      <c r="U3925" s="1008" t="s">
        <v>653</v>
      </c>
      <c r="V3925" s="1008" t="s">
        <v>648</v>
      </c>
      <c r="W3925" s="1008" t="s">
        <v>546</v>
      </c>
      <c r="X3925" s="1008"/>
      <c r="Y3925" s="1008"/>
      <c r="Z3925" s="1008"/>
      <c r="AA3925" s="1008"/>
      <c r="AB3925" s="1008"/>
      <c r="AC3925" s="1008"/>
      <c r="AD3925" s="1008"/>
      <c r="AE3925" s="1008"/>
      <c r="AF3925" s="1008"/>
      <c r="AG3925" s="1008"/>
      <c r="AH3925" s="1008"/>
      <c r="AI3925" s="1008"/>
    </row>
    <row r="3926" spans="1:35">
      <c r="A3926" s="1008">
        <v>25710</v>
      </c>
      <c r="C3926" s="1008">
        <v>4</v>
      </c>
      <c r="D3926" s="1009">
        <v>88049999</v>
      </c>
      <c r="E3926" s="1009">
        <v>88001000</v>
      </c>
      <c r="F3926" s="1007" t="s">
        <v>1042</v>
      </c>
      <c r="O3926" s="1007" t="s">
        <v>648</v>
      </c>
      <c r="P3926" s="1007" t="s">
        <v>648</v>
      </c>
      <c r="S3926" s="1008" t="s">
        <v>657</v>
      </c>
      <c r="T3926" s="1008" t="s">
        <v>675</v>
      </c>
      <c r="U3926" s="1008" t="s">
        <v>653</v>
      </c>
      <c r="V3926" s="1008" t="s">
        <v>648</v>
      </c>
      <c r="W3926" s="1008" t="s">
        <v>546</v>
      </c>
      <c r="X3926" s="1008"/>
      <c r="Y3926" s="1008"/>
      <c r="Z3926" s="1008"/>
      <c r="AA3926" s="1008"/>
      <c r="AB3926" s="1008"/>
      <c r="AC3926" s="1008"/>
      <c r="AD3926" s="1008"/>
      <c r="AE3926" s="1008"/>
      <c r="AF3926" s="1008"/>
      <c r="AG3926" s="1008"/>
      <c r="AH3926" s="1008"/>
      <c r="AI3926" s="1008"/>
    </row>
    <row r="3927" spans="1:35">
      <c r="A3927" s="1008">
        <v>25711</v>
      </c>
      <c r="C3927" s="1008">
        <v>5</v>
      </c>
      <c r="D3927" s="1009">
        <v>88019999</v>
      </c>
      <c r="E3927" s="1009">
        <v>88010000</v>
      </c>
      <c r="F3927" s="1007" t="s">
        <v>1041</v>
      </c>
      <c r="O3927" s="1007" t="s">
        <v>648</v>
      </c>
      <c r="P3927" s="1007" t="s">
        <v>648</v>
      </c>
      <c r="S3927" s="1008" t="s">
        <v>657</v>
      </c>
      <c r="T3927" s="1008" t="s">
        <v>675</v>
      </c>
      <c r="U3927" s="1008" t="s">
        <v>653</v>
      </c>
      <c r="V3927" s="1008" t="s">
        <v>648</v>
      </c>
      <c r="W3927" s="1008" t="s">
        <v>546</v>
      </c>
      <c r="X3927" s="1008"/>
      <c r="Y3927" s="1008"/>
      <c r="Z3927" s="1008"/>
      <c r="AA3927" s="1008"/>
      <c r="AB3927" s="1008"/>
      <c r="AC3927" s="1008"/>
      <c r="AD3927" s="1008"/>
      <c r="AE3927" s="1008"/>
      <c r="AF3927" s="1008"/>
      <c r="AG3927" s="1008"/>
      <c r="AH3927" s="1008"/>
      <c r="AI3927" s="1008"/>
    </row>
    <row r="3928" spans="1:35">
      <c r="A3928" s="1008">
        <v>25712</v>
      </c>
      <c r="B3928" s="1008">
        <v>2571</v>
      </c>
      <c r="C3928" s="1008">
        <v>6</v>
      </c>
      <c r="D3928" s="1009">
        <v>88019999</v>
      </c>
      <c r="E3928" s="1009">
        <v>88011000</v>
      </c>
      <c r="F3928" s="1007" t="s">
        <v>1040</v>
      </c>
      <c r="G3928" s="1007">
        <v>6</v>
      </c>
      <c r="H3928" s="1010">
        <v>99999999</v>
      </c>
      <c r="I3928" s="1009">
        <v>88011000</v>
      </c>
      <c r="J3928" s="1007" t="s">
        <v>1040</v>
      </c>
      <c r="O3928" s="1007" t="s">
        <v>648</v>
      </c>
      <c r="P3928" s="1007" t="s">
        <v>648</v>
      </c>
      <c r="S3928" s="1008" t="s">
        <v>657</v>
      </c>
      <c r="T3928" s="1008" t="s">
        <v>654</v>
      </c>
      <c r="U3928" s="1008" t="s">
        <v>653</v>
      </c>
      <c r="V3928" s="1008" t="s">
        <v>648</v>
      </c>
      <c r="W3928" s="1008" t="s">
        <v>546</v>
      </c>
      <c r="X3928" s="1008" t="s">
        <v>670</v>
      </c>
      <c r="Y3928" s="1008" t="s">
        <v>670</v>
      </c>
      <c r="Z3928" s="1008" t="s">
        <v>670</v>
      </c>
      <c r="AA3928" s="1008" t="s">
        <v>670</v>
      </c>
      <c r="AB3928" s="1008" t="s">
        <v>670</v>
      </c>
      <c r="AC3928" s="1008" t="s">
        <v>670</v>
      </c>
      <c r="AD3928" s="1008" t="s">
        <v>670</v>
      </c>
      <c r="AE3928" s="1008"/>
      <c r="AF3928" s="1008" t="s">
        <v>670</v>
      </c>
      <c r="AG3928" s="1008"/>
      <c r="AH3928" s="1008"/>
      <c r="AI3928" s="1008"/>
    </row>
    <row r="3929" spans="1:35">
      <c r="A3929" s="1008">
        <v>25713</v>
      </c>
      <c r="B3929" s="1008">
        <v>2572</v>
      </c>
      <c r="C3929" s="1008">
        <v>6</v>
      </c>
      <c r="D3929" s="1009">
        <v>88019999</v>
      </c>
      <c r="E3929" s="1009">
        <v>88012000</v>
      </c>
      <c r="F3929" s="1007" t="s">
        <v>1039</v>
      </c>
      <c r="G3929" s="1007">
        <v>6</v>
      </c>
      <c r="H3929" s="1010">
        <v>99999999</v>
      </c>
      <c r="I3929" s="1009">
        <v>88012000</v>
      </c>
      <c r="J3929" s="1007" t="s">
        <v>1039</v>
      </c>
      <c r="O3929" s="1007" t="s">
        <v>648</v>
      </c>
      <c r="P3929" s="1007" t="s">
        <v>648</v>
      </c>
      <c r="S3929" s="1008" t="s">
        <v>657</v>
      </c>
      <c r="T3929" s="1008" t="s">
        <v>654</v>
      </c>
      <c r="U3929" s="1008" t="s">
        <v>653</v>
      </c>
      <c r="V3929" s="1008" t="s">
        <v>648</v>
      </c>
      <c r="W3929" s="1008" t="s">
        <v>546</v>
      </c>
      <c r="X3929" s="1008" t="s">
        <v>670</v>
      </c>
      <c r="Y3929" s="1008" t="s">
        <v>670</v>
      </c>
      <c r="Z3929" s="1008" t="s">
        <v>670</v>
      </c>
      <c r="AA3929" s="1008" t="s">
        <v>670</v>
      </c>
      <c r="AB3929" s="1008" t="s">
        <v>670</v>
      </c>
      <c r="AC3929" s="1008" t="s">
        <v>670</v>
      </c>
      <c r="AD3929" s="1008" t="s">
        <v>670</v>
      </c>
      <c r="AE3929" s="1008"/>
      <c r="AF3929" s="1008" t="s">
        <v>670</v>
      </c>
      <c r="AG3929" s="1008"/>
      <c r="AH3929" s="1008"/>
      <c r="AI3929" s="1008"/>
    </row>
    <row r="3930" spans="1:35">
      <c r="A3930" s="1008">
        <v>25714</v>
      </c>
      <c r="B3930" s="1008">
        <v>2573</v>
      </c>
      <c r="C3930" s="1008">
        <v>6</v>
      </c>
      <c r="D3930" s="1009">
        <v>88019999</v>
      </c>
      <c r="E3930" s="1009">
        <v>88013000</v>
      </c>
      <c r="F3930" s="1007" t="s">
        <v>1038</v>
      </c>
      <c r="G3930" s="1007">
        <v>6</v>
      </c>
      <c r="H3930" s="1010">
        <v>99999999</v>
      </c>
      <c r="I3930" s="1009">
        <v>88013000</v>
      </c>
      <c r="J3930" s="1007" t="s">
        <v>1038</v>
      </c>
      <c r="O3930" s="1007" t="s">
        <v>648</v>
      </c>
      <c r="P3930" s="1007" t="s">
        <v>648</v>
      </c>
      <c r="S3930" s="1008" t="s">
        <v>657</v>
      </c>
      <c r="T3930" s="1008" t="s">
        <v>654</v>
      </c>
      <c r="U3930" s="1008" t="s">
        <v>653</v>
      </c>
      <c r="V3930" s="1008" t="s">
        <v>648</v>
      </c>
      <c r="W3930" s="1008" t="s">
        <v>546</v>
      </c>
      <c r="X3930" s="1008" t="s">
        <v>670</v>
      </c>
      <c r="Y3930" s="1008" t="s">
        <v>670</v>
      </c>
      <c r="Z3930" s="1008" t="s">
        <v>670</v>
      </c>
      <c r="AA3930" s="1008" t="s">
        <v>670</v>
      </c>
      <c r="AB3930" s="1008" t="s">
        <v>670</v>
      </c>
      <c r="AC3930" s="1008" t="s">
        <v>670</v>
      </c>
      <c r="AD3930" s="1008" t="s">
        <v>670</v>
      </c>
      <c r="AE3930" s="1008"/>
      <c r="AF3930" s="1008" t="s">
        <v>670</v>
      </c>
      <c r="AG3930" s="1008"/>
      <c r="AH3930" s="1008"/>
      <c r="AI3930" s="1008"/>
    </row>
    <row r="3931" spans="1:35">
      <c r="A3931" s="1008">
        <v>25715</v>
      </c>
      <c r="B3931" s="1008">
        <v>2574</v>
      </c>
      <c r="C3931" s="1008">
        <v>6</v>
      </c>
      <c r="D3931" s="1009">
        <v>88019999</v>
      </c>
      <c r="E3931" s="1009">
        <v>88014000</v>
      </c>
      <c r="F3931" s="1007" t="s">
        <v>1037</v>
      </c>
      <c r="G3931" s="1007">
        <v>6</v>
      </c>
      <c r="H3931" s="1010">
        <v>99999999</v>
      </c>
      <c r="I3931" s="1009">
        <v>88014000</v>
      </c>
      <c r="J3931" s="1007" t="s">
        <v>1037</v>
      </c>
      <c r="O3931" s="1007" t="s">
        <v>648</v>
      </c>
      <c r="P3931" s="1007" t="s">
        <v>648</v>
      </c>
      <c r="S3931" s="1008" t="s">
        <v>657</v>
      </c>
      <c r="T3931" s="1008" t="s">
        <v>654</v>
      </c>
      <c r="U3931" s="1008" t="s">
        <v>653</v>
      </c>
      <c r="V3931" s="1008" t="s">
        <v>648</v>
      </c>
      <c r="W3931" s="1008" t="s">
        <v>546</v>
      </c>
      <c r="X3931" s="1008" t="s">
        <v>670</v>
      </c>
      <c r="Y3931" s="1008" t="s">
        <v>670</v>
      </c>
      <c r="Z3931" s="1008" t="s">
        <v>670</v>
      </c>
      <c r="AA3931" s="1008" t="s">
        <v>670</v>
      </c>
      <c r="AB3931" s="1008" t="s">
        <v>670</v>
      </c>
      <c r="AC3931" s="1008" t="s">
        <v>670</v>
      </c>
      <c r="AD3931" s="1008" t="s">
        <v>670</v>
      </c>
      <c r="AE3931" s="1008"/>
      <c r="AF3931" s="1008" t="s">
        <v>670</v>
      </c>
      <c r="AG3931" s="1008"/>
      <c r="AH3931" s="1008"/>
      <c r="AI3931" s="1008"/>
    </row>
    <row r="3932" spans="1:35">
      <c r="A3932" s="1008">
        <v>25716</v>
      </c>
      <c r="B3932" s="1008">
        <v>5695</v>
      </c>
      <c r="C3932" s="1008">
        <v>6</v>
      </c>
      <c r="D3932" s="1009">
        <v>88019999</v>
      </c>
      <c r="E3932" s="1009">
        <v>88015000</v>
      </c>
      <c r="F3932" s="1007" t="s">
        <v>1036</v>
      </c>
      <c r="G3932" s="1007">
        <v>6</v>
      </c>
      <c r="H3932" s="1010">
        <v>99999999</v>
      </c>
      <c r="I3932" s="1009">
        <v>88015000</v>
      </c>
      <c r="J3932" s="1007" t="s">
        <v>1036</v>
      </c>
      <c r="O3932" s="1007" t="s">
        <v>648</v>
      </c>
      <c r="P3932" s="1007" t="s">
        <v>648</v>
      </c>
      <c r="S3932" s="1008" t="s">
        <v>657</v>
      </c>
      <c r="T3932" s="1008" t="s">
        <v>654</v>
      </c>
      <c r="U3932" s="1008" t="s">
        <v>653</v>
      </c>
      <c r="V3932" s="1008" t="s">
        <v>648</v>
      </c>
      <c r="W3932" s="1008" t="s">
        <v>546</v>
      </c>
      <c r="X3932" s="1008" t="s">
        <v>670</v>
      </c>
      <c r="Y3932" s="1008" t="s">
        <v>670</v>
      </c>
      <c r="Z3932" s="1008" t="s">
        <v>670</v>
      </c>
      <c r="AA3932" s="1008" t="s">
        <v>670</v>
      </c>
      <c r="AB3932" s="1008" t="s">
        <v>670</v>
      </c>
      <c r="AC3932" s="1008" t="s">
        <v>670</v>
      </c>
      <c r="AD3932" s="1008" t="s">
        <v>670</v>
      </c>
      <c r="AE3932" s="1008"/>
      <c r="AF3932" s="1008" t="s">
        <v>670</v>
      </c>
      <c r="AG3932" s="1008"/>
      <c r="AH3932" s="1008"/>
      <c r="AI3932" s="1008"/>
    </row>
    <row r="3933" spans="1:35">
      <c r="A3933" s="1008">
        <v>25717</v>
      </c>
      <c r="C3933" s="1008">
        <v>5</v>
      </c>
      <c r="D3933" s="1009">
        <v>88049999</v>
      </c>
      <c r="E3933" s="1009">
        <v>88019999</v>
      </c>
      <c r="F3933" s="1007" t="s">
        <v>1035</v>
      </c>
      <c r="O3933" s="1007" t="s">
        <v>648</v>
      </c>
      <c r="P3933" s="1007" t="s">
        <v>648</v>
      </c>
      <c r="S3933" s="1008" t="s">
        <v>657</v>
      </c>
      <c r="T3933" s="1008" t="s">
        <v>21</v>
      </c>
      <c r="U3933" s="1008" t="s">
        <v>653</v>
      </c>
      <c r="V3933" s="1008" t="s">
        <v>648</v>
      </c>
      <c r="W3933" s="1008" t="s">
        <v>546</v>
      </c>
      <c r="X3933" s="1008"/>
      <c r="Y3933" s="1008"/>
      <c r="Z3933" s="1008"/>
      <c r="AA3933" s="1008"/>
      <c r="AB3933" s="1008"/>
      <c r="AC3933" s="1008"/>
      <c r="AD3933" s="1008"/>
      <c r="AE3933" s="1008"/>
      <c r="AF3933" s="1008"/>
      <c r="AG3933" s="1008"/>
      <c r="AH3933" s="1008"/>
      <c r="AI3933" s="1008"/>
    </row>
    <row r="3934" spans="1:35">
      <c r="A3934" s="1008">
        <v>25718</v>
      </c>
      <c r="C3934" s="1008">
        <v>5</v>
      </c>
      <c r="D3934" s="1009">
        <v>88029999</v>
      </c>
      <c r="E3934" s="1009">
        <v>88020000</v>
      </c>
      <c r="F3934" s="1007" t="s">
        <v>1034</v>
      </c>
      <c r="O3934" s="1007" t="s">
        <v>648</v>
      </c>
      <c r="P3934" s="1007" t="s">
        <v>648</v>
      </c>
      <c r="S3934" s="1008" t="s">
        <v>657</v>
      </c>
      <c r="T3934" s="1008" t="s">
        <v>675</v>
      </c>
      <c r="U3934" s="1008" t="s">
        <v>653</v>
      </c>
      <c r="V3934" s="1008" t="s">
        <v>648</v>
      </c>
      <c r="W3934" s="1008" t="s">
        <v>546</v>
      </c>
      <c r="X3934" s="1008"/>
      <c r="Y3934" s="1008"/>
      <c r="Z3934" s="1008"/>
      <c r="AA3934" s="1008"/>
      <c r="AB3934" s="1008"/>
      <c r="AC3934" s="1008"/>
      <c r="AD3934" s="1008"/>
      <c r="AE3934" s="1008"/>
      <c r="AF3934" s="1008"/>
      <c r="AG3934" s="1008"/>
      <c r="AH3934" s="1008"/>
      <c r="AI3934" s="1008"/>
    </row>
    <row r="3935" spans="1:35">
      <c r="A3935" s="1008">
        <v>25719</v>
      </c>
      <c r="B3935" s="1008">
        <v>2576</v>
      </c>
      <c r="C3935" s="1008">
        <v>6</v>
      </c>
      <c r="D3935" s="1009">
        <v>88029999</v>
      </c>
      <c r="E3935" s="1009">
        <v>88021000</v>
      </c>
      <c r="F3935" s="1007" t="s">
        <v>1033</v>
      </c>
      <c r="G3935" s="1007">
        <v>6</v>
      </c>
      <c r="H3935" s="1010">
        <v>99999999</v>
      </c>
      <c r="I3935" s="1009">
        <v>88021000</v>
      </c>
      <c r="J3935" s="1007" t="s">
        <v>1033</v>
      </c>
      <c r="O3935" s="1007" t="s">
        <v>648</v>
      </c>
      <c r="P3935" s="1007" t="s">
        <v>648</v>
      </c>
      <c r="S3935" s="1008" t="s">
        <v>657</v>
      </c>
      <c r="T3935" s="1008" t="s">
        <v>654</v>
      </c>
      <c r="U3935" s="1008" t="s">
        <v>653</v>
      </c>
      <c r="V3935" s="1008" t="s">
        <v>648</v>
      </c>
      <c r="W3935" s="1008" t="s">
        <v>546</v>
      </c>
      <c r="X3935" s="1008" t="s">
        <v>670</v>
      </c>
      <c r="Y3935" s="1008" t="s">
        <v>670</v>
      </c>
      <c r="Z3935" s="1008" t="s">
        <v>670</v>
      </c>
      <c r="AA3935" s="1008" t="s">
        <v>670</v>
      </c>
      <c r="AB3935" s="1008" t="s">
        <v>670</v>
      </c>
      <c r="AC3935" s="1008" t="s">
        <v>670</v>
      </c>
      <c r="AD3935" s="1008" t="s">
        <v>670</v>
      </c>
      <c r="AE3935" s="1008"/>
      <c r="AF3935" s="1008" t="s">
        <v>670</v>
      </c>
      <c r="AG3935" s="1008"/>
      <c r="AH3935" s="1008"/>
      <c r="AI3935" s="1008"/>
    </row>
    <row r="3936" spans="1:35">
      <c r="A3936" s="1008">
        <v>25720</v>
      </c>
      <c r="B3936" s="1008">
        <v>2577</v>
      </c>
      <c r="C3936" s="1008">
        <v>6</v>
      </c>
      <c r="D3936" s="1009">
        <v>88029999</v>
      </c>
      <c r="E3936" s="1009">
        <v>88022000</v>
      </c>
      <c r="F3936" s="1007" t="s">
        <v>1032</v>
      </c>
      <c r="G3936" s="1007">
        <v>6</v>
      </c>
      <c r="H3936" s="1010">
        <v>99999999</v>
      </c>
      <c r="I3936" s="1009">
        <v>88022000</v>
      </c>
      <c r="J3936" s="1007" t="s">
        <v>1032</v>
      </c>
      <c r="O3936" s="1007" t="s">
        <v>648</v>
      </c>
      <c r="P3936" s="1007" t="s">
        <v>648</v>
      </c>
      <c r="S3936" s="1008" t="s">
        <v>657</v>
      </c>
      <c r="T3936" s="1008" t="s">
        <v>654</v>
      </c>
      <c r="U3936" s="1008" t="s">
        <v>653</v>
      </c>
      <c r="V3936" s="1008" t="s">
        <v>648</v>
      </c>
      <c r="W3936" s="1008" t="s">
        <v>546</v>
      </c>
      <c r="X3936" s="1008" t="s">
        <v>670</v>
      </c>
      <c r="Y3936" s="1008" t="s">
        <v>670</v>
      </c>
      <c r="Z3936" s="1008" t="s">
        <v>670</v>
      </c>
      <c r="AA3936" s="1008" t="s">
        <v>670</v>
      </c>
      <c r="AB3936" s="1008" t="s">
        <v>670</v>
      </c>
      <c r="AC3936" s="1008" t="s">
        <v>670</v>
      </c>
      <c r="AD3936" s="1008" t="s">
        <v>670</v>
      </c>
      <c r="AE3936" s="1008"/>
      <c r="AF3936" s="1008" t="s">
        <v>670</v>
      </c>
      <c r="AG3936" s="1008"/>
      <c r="AH3936" s="1008"/>
      <c r="AI3936" s="1008"/>
    </row>
    <row r="3937" spans="1:35">
      <c r="A3937" s="1008">
        <v>25721</v>
      </c>
      <c r="B3937" s="1008">
        <v>2578</v>
      </c>
      <c r="C3937" s="1008">
        <v>6</v>
      </c>
      <c r="D3937" s="1009">
        <v>88029999</v>
      </c>
      <c r="E3937" s="1009">
        <v>88023000</v>
      </c>
      <c r="F3937" s="1007" t="s">
        <v>1031</v>
      </c>
      <c r="G3937" s="1007">
        <v>6</v>
      </c>
      <c r="H3937" s="1010">
        <v>99999999</v>
      </c>
      <c r="I3937" s="1009">
        <v>88023000</v>
      </c>
      <c r="J3937" s="1007" t="s">
        <v>1031</v>
      </c>
      <c r="O3937" s="1007" t="s">
        <v>648</v>
      </c>
      <c r="P3937" s="1007" t="s">
        <v>648</v>
      </c>
      <c r="S3937" s="1008" t="s">
        <v>657</v>
      </c>
      <c r="T3937" s="1008" t="s">
        <v>654</v>
      </c>
      <c r="U3937" s="1008" t="s">
        <v>653</v>
      </c>
      <c r="V3937" s="1008" t="s">
        <v>648</v>
      </c>
      <c r="W3937" s="1008" t="s">
        <v>546</v>
      </c>
      <c r="X3937" s="1008" t="s">
        <v>670</v>
      </c>
      <c r="Y3937" s="1008" t="s">
        <v>670</v>
      </c>
      <c r="Z3937" s="1008" t="s">
        <v>670</v>
      </c>
      <c r="AA3937" s="1008" t="s">
        <v>670</v>
      </c>
      <c r="AB3937" s="1008" t="s">
        <v>670</v>
      </c>
      <c r="AC3937" s="1008" t="s">
        <v>670</v>
      </c>
      <c r="AD3937" s="1008" t="s">
        <v>670</v>
      </c>
      <c r="AE3937" s="1008"/>
      <c r="AF3937" s="1008" t="s">
        <v>670</v>
      </c>
      <c r="AG3937" s="1008"/>
      <c r="AH3937" s="1008"/>
      <c r="AI3937" s="1008"/>
    </row>
    <row r="3938" spans="1:35">
      <c r="A3938" s="1008">
        <v>25722</v>
      </c>
      <c r="B3938" s="1008">
        <v>2579</v>
      </c>
      <c r="C3938" s="1008">
        <v>6</v>
      </c>
      <c r="D3938" s="1009">
        <v>88029999</v>
      </c>
      <c r="E3938" s="1009">
        <v>88024000</v>
      </c>
      <c r="F3938" s="1007" t="s">
        <v>1030</v>
      </c>
      <c r="G3938" s="1007">
        <v>6</v>
      </c>
      <c r="H3938" s="1010">
        <v>99999999</v>
      </c>
      <c r="I3938" s="1009">
        <v>88024000</v>
      </c>
      <c r="J3938" s="1007" t="s">
        <v>1030</v>
      </c>
      <c r="O3938" s="1007" t="s">
        <v>648</v>
      </c>
      <c r="P3938" s="1007" t="s">
        <v>648</v>
      </c>
      <c r="S3938" s="1008" t="s">
        <v>657</v>
      </c>
      <c r="T3938" s="1008" t="s">
        <v>654</v>
      </c>
      <c r="U3938" s="1008" t="s">
        <v>653</v>
      </c>
      <c r="V3938" s="1008" t="s">
        <v>648</v>
      </c>
      <c r="W3938" s="1008" t="s">
        <v>546</v>
      </c>
      <c r="X3938" s="1008" t="s">
        <v>670</v>
      </c>
      <c r="Y3938" s="1008" t="s">
        <v>670</v>
      </c>
      <c r="Z3938" s="1008" t="s">
        <v>670</v>
      </c>
      <c r="AA3938" s="1008" t="s">
        <v>670</v>
      </c>
      <c r="AB3938" s="1008" t="s">
        <v>670</v>
      </c>
      <c r="AC3938" s="1008" t="s">
        <v>670</v>
      </c>
      <c r="AD3938" s="1008" t="s">
        <v>670</v>
      </c>
      <c r="AE3938" s="1008"/>
      <c r="AF3938" s="1008" t="s">
        <v>670</v>
      </c>
      <c r="AG3938" s="1008"/>
      <c r="AH3938" s="1008"/>
      <c r="AI3938" s="1008"/>
    </row>
    <row r="3939" spans="1:35">
      <c r="A3939" s="1008">
        <v>25723</v>
      </c>
      <c r="B3939" s="1008">
        <v>5697</v>
      </c>
      <c r="C3939" s="1008">
        <v>6</v>
      </c>
      <c r="D3939" s="1009">
        <v>88029999</v>
      </c>
      <c r="E3939" s="1009">
        <v>88025000</v>
      </c>
      <c r="F3939" s="1007" t="s">
        <v>1029</v>
      </c>
      <c r="G3939" s="1007">
        <v>6</v>
      </c>
      <c r="H3939" s="1010">
        <v>99999999</v>
      </c>
      <c r="I3939" s="1009">
        <v>88025000</v>
      </c>
      <c r="J3939" s="1007" t="s">
        <v>1029</v>
      </c>
      <c r="O3939" s="1007" t="s">
        <v>648</v>
      </c>
      <c r="P3939" s="1007" t="s">
        <v>648</v>
      </c>
      <c r="S3939" s="1008" t="s">
        <v>657</v>
      </c>
      <c r="T3939" s="1008" t="s">
        <v>654</v>
      </c>
      <c r="U3939" s="1008" t="s">
        <v>653</v>
      </c>
      <c r="V3939" s="1008" t="s">
        <v>648</v>
      </c>
      <c r="W3939" s="1008" t="s">
        <v>546</v>
      </c>
      <c r="X3939" s="1008" t="s">
        <v>670</v>
      </c>
      <c r="Y3939" s="1008" t="s">
        <v>670</v>
      </c>
      <c r="Z3939" s="1008" t="s">
        <v>670</v>
      </c>
      <c r="AA3939" s="1008" t="s">
        <v>670</v>
      </c>
      <c r="AB3939" s="1008" t="s">
        <v>670</v>
      </c>
      <c r="AC3939" s="1008" t="s">
        <v>670</v>
      </c>
      <c r="AD3939" s="1008" t="s">
        <v>670</v>
      </c>
      <c r="AE3939" s="1008"/>
      <c r="AF3939" s="1008" t="s">
        <v>670</v>
      </c>
      <c r="AG3939" s="1008"/>
      <c r="AH3939" s="1008"/>
      <c r="AI3939" s="1008"/>
    </row>
    <row r="3940" spans="1:35">
      <c r="A3940" s="1008">
        <v>25724</v>
      </c>
      <c r="C3940" s="1008">
        <v>5</v>
      </c>
      <c r="D3940" s="1009">
        <v>88049999</v>
      </c>
      <c r="E3940" s="1009">
        <v>88029999</v>
      </c>
      <c r="F3940" s="1007" t="s">
        <v>1028</v>
      </c>
      <c r="O3940" s="1007" t="s">
        <v>648</v>
      </c>
      <c r="P3940" s="1007" t="s">
        <v>648</v>
      </c>
      <c r="S3940" s="1008" t="s">
        <v>657</v>
      </c>
      <c r="T3940" s="1008" t="s">
        <v>21</v>
      </c>
      <c r="U3940" s="1008" t="s">
        <v>653</v>
      </c>
      <c r="V3940" s="1008" t="s">
        <v>648</v>
      </c>
      <c r="W3940" s="1008" t="s">
        <v>546</v>
      </c>
      <c r="X3940" s="1008"/>
      <c r="Y3940" s="1008"/>
      <c r="Z3940" s="1008"/>
      <c r="AA3940" s="1008"/>
      <c r="AB3940" s="1008"/>
      <c r="AC3940" s="1008"/>
      <c r="AD3940" s="1008"/>
      <c r="AE3940" s="1008"/>
      <c r="AF3940" s="1008"/>
      <c r="AG3940" s="1008"/>
      <c r="AH3940" s="1008"/>
      <c r="AI3940" s="1008"/>
    </row>
    <row r="3941" spans="1:35">
      <c r="A3941" s="1008">
        <v>25725</v>
      </c>
      <c r="C3941" s="1008">
        <v>5</v>
      </c>
      <c r="D3941" s="1009">
        <v>88039999</v>
      </c>
      <c r="E3941" s="1009">
        <v>88030000</v>
      </c>
      <c r="F3941" s="1007" t="s">
        <v>1027</v>
      </c>
      <c r="O3941" s="1007" t="s">
        <v>648</v>
      </c>
      <c r="P3941" s="1007" t="s">
        <v>648</v>
      </c>
      <c r="S3941" s="1008" t="s">
        <v>650</v>
      </c>
      <c r="T3941" s="1008" t="s">
        <v>675</v>
      </c>
      <c r="U3941" s="1008" t="s">
        <v>653</v>
      </c>
      <c r="V3941" s="1008" t="s">
        <v>648</v>
      </c>
      <c r="W3941" s="1008" t="s">
        <v>546</v>
      </c>
      <c r="X3941" s="1008"/>
      <c r="Y3941" s="1008"/>
      <c r="Z3941" s="1008"/>
      <c r="AA3941" s="1008"/>
      <c r="AB3941" s="1008"/>
      <c r="AC3941" s="1008"/>
      <c r="AD3941" s="1008"/>
      <c r="AE3941" s="1008"/>
      <c r="AF3941" s="1008"/>
      <c r="AG3941" s="1008"/>
      <c r="AH3941" s="1008"/>
      <c r="AI3941" s="1008"/>
    </row>
    <row r="3942" spans="1:35">
      <c r="A3942" s="1008">
        <v>25726</v>
      </c>
      <c r="B3942" s="1008">
        <v>481</v>
      </c>
      <c r="C3942" s="1008">
        <v>6</v>
      </c>
      <c r="D3942" s="1009">
        <v>88039999</v>
      </c>
      <c r="E3942" s="1009">
        <v>88031000</v>
      </c>
      <c r="F3942" s="1007" t="s">
        <v>1026</v>
      </c>
      <c r="G3942" s="1007">
        <v>8</v>
      </c>
      <c r="H3942" s="1010">
        <v>99999999</v>
      </c>
      <c r="I3942" s="1009">
        <v>88031000</v>
      </c>
      <c r="J3942" s="1007" t="s">
        <v>1026</v>
      </c>
      <c r="O3942" s="1007" t="s">
        <v>648</v>
      </c>
      <c r="P3942" s="1007" t="s">
        <v>648</v>
      </c>
      <c r="S3942" s="1008" t="s">
        <v>650</v>
      </c>
      <c r="T3942" s="1008" t="s">
        <v>654</v>
      </c>
      <c r="U3942" s="1008" t="s">
        <v>653</v>
      </c>
      <c r="V3942" s="1008" t="s">
        <v>648</v>
      </c>
      <c r="W3942" s="1008" t="s">
        <v>546</v>
      </c>
      <c r="X3942" s="1008" t="s">
        <v>670</v>
      </c>
      <c r="Y3942" s="1008" t="s">
        <v>670</v>
      </c>
      <c r="Z3942" s="1008" t="s">
        <v>670</v>
      </c>
      <c r="AA3942" s="1008" t="s">
        <v>670</v>
      </c>
      <c r="AB3942" s="1008" t="s">
        <v>670</v>
      </c>
      <c r="AC3942" s="1008" t="s">
        <v>670</v>
      </c>
      <c r="AD3942" s="1008" t="s">
        <v>670</v>
      </c>
      <c r="AE3942" s="1008"/>
      <c r="AF3942" s="1008" t="s">
        <v>670</v>
      </c>
      <c r="AG3942" s="1008"/>
      <c r="AH3942" s="1008"/>
      <c r="AI3942" s="1008"/>
    </row>
    <row r="3943" spans="1:35">
      <c r="A3943" s="1008">
        <v>25727</v>
      </c>
      <c r="B3943" s="1008">
        <v>5699</v>
      </c>
      <c r="C3943" s="1008">
        <v>6</v>
      </c>
      <c r="D3943" s="1009">
        <v>88039999</v>
      </c>
      <c r="E3943" s="1009">
        <v>88032000</v>
      </c>
      <c r="F3943" s="1007" t="s">
        <v>1025</v>
      </c>
      <c r="G3943" s="1007">
        <v>6</v>
      </c>
      <c r="H3943" s="1010">
        <v>99999999</v>
      </c>
      <c r="I3943" s="1009">
        <v>88032000</v>
      </c>
      <c r="J3943" s="1007" t="s">
        <v>1025</v>
      </c>
      <c r="O3943" s="1007" t="s">
        <v>648</v>
      </c>
      <c r="P3943" s="1007" t="s">
        <v>648</v>
      </c>
      <c r="S3943" s="1008" t="s">
        <v>650</v>
      </c>
      <c r="T3943" s="1008" t="s">
        <v>654</v>
      </c>
      <c r="U3943" s="1008" t="s">
        <v>653</v>
      </c>
      <c r="V3943" s="1008" t="s">
        <v>648</v>
      </c>
      <c r="W3943" s="1008" t="s">
        <v>546</v>
      </c>
      <c r="X3943" s="1008" t="s">
        <v>670</v>
      </c>
      <c r="Y3943" s="1008" t="s">
        <v>670</v>
      </c>
      <c r="Z3943" s="1008" t="s">
        <v>670</v>
      </c>
      <c r="AA3943" s="1008" t="s">
        <v>670</v>
      </c>
      <c r="AB3943" s="1008" t="s">
        <v>670</v>
      </c>
      <c r="AC3943" s="1008" t="s">
        <v>670</v>
      </c>
      <c r="AD3943" s="1008" t="s">
        <v>670</v>
      </c>
      <c r="AE3943" s="1008"/>
      <c r="AF3943" s="1008" t="s">
        <v>670</v>
      </c>
      <c r="AG3943" s="1008"/>
      <c r="AH3943" s="1008"/>
      <c r="AI3943" s="1008"/>
    </row>
    <row r="3944" spans="1:35">
      <c r="A3944" s="1008">
        <v>25728</v>
      </c>
      <c r="C3944" s="1008">
        <v>5</v>
      </c>
      <c r="D3944" s="1009">
        <v>88049999</v>
      </c>
      <c r="E3944" s="1009">
        <v>88039999</v>
      </c>
      <c r="F3944" s="1007" t="s">
        <v>1024</v>
      </c>
      <c r="O3944" s="1007" t="s">
        <v>648</v>
      </c>
      <c r="P3944" s="1007" t="s">
        <v>648</v>
      </c>
      <c r="S3944" s="1008" t="s">
        <v>650</v>
      </c>
      <c r="T3944" s="1008" t="s">
        <v>21</v>
      </c>
      <c r="U3944" s="1008" t="s">
        <v>653</v>
      </c>
      <c r="V3944" s="1008" t="s">
        <v>648</v>
      </c>
      <c r="W3944" s="1008" t="s">
        <v>546</v>
      </c>
      <c r="X3944" s="1008"/>
      <c r="Y3944" s="1008"/>
      <c r="Z3944" s="1008"/>
      <c r="AA3944" s="1008"/>
      <c r="AB3944" s="1008"/>
      <c r="AC3944" s="1008"/>
      <c r="AD3944" s="1008"/>
      <c r="AE3944" s="1008"/>
      <c r="AF3944" s="1008"/>
      <c r="AG3944" s="1008"/>
      <c r="AH3944" s="1008"/>
      <c r="AI3944" s="1008"/>
    </row>
    <row r="3945" spans="1:35">
      <c r="A3945" s="1008">
        <v>25729</v>
      </c>
      <c r="C3945" s="1008">
        <v>5</v>
      </c>
      <c r="D3945" s="1009">
        <v>88049900</v>
      </c>
      <c r="E3945" s="1009">
        <v>88040000</v>
      </c>
      <c r="F3945" s="1007" t="s">
        <v>1023</v>
      </c>
      <c r="O3945" s="1007" t="s">
        <v>648</v>
      </c>
      <c r="P3945" s="1007" t="s">
        <v>648</v>
      </c>
      <c r="S3945" s="1008" t="s">
        <v>650</v>
      </c>
      <c r="T3945" s="1008" t="s">
        <v>675</v>
      </c>
      <c r="U3945" s="1008" t="s">
        <v>653</v>
      </c>
      <c r="V3945" s="1008" t="s">
        <v>648</v>
      </c>
      <c r="W3945" s="1008" t="s">
        <v>546</v>
      </c>
      <c r="X3945" s="1008"/>
      <c r="Y3945" s="1008"/>
      <c r="Z3945" s="1008"/>
      <c r="AA3945" s="1008"/>
      <c r="AB3945" s="1008"/>
      <c r="AC3945" s="1008"/>
      <c r="AD3945" s="1008"/>
      <c r="AE3945" s="1008"/>
      <c r="AF3945" s="1008"/>
      <c r="AG3945" s="1008"/>
      <c r="AH3945" s="1008"/>
      <c r="AI3945" s="1008"/>
    </row>
    <row r="3946" spans="1:35">
      <c r="A3946" s="1008">
        <v>25730</v>
      </c>
      <c r="B3946" s="1008">
        <v>2583</v>
      </c>
      <c r="C3946" s="1008">
        <v>6</v>
      </c>
      <c r="D3946" s="1009">
        <v>88049900</v>
      </c>
      <c r="E3946" s="1009">
        <v>88041000</v>
      </c>
      <c r="F3946" s="1007" t="s">
        <v>1022</v>
      </c>
      <c r="G3946" s="1007">
        <v>6</v>
      </c>
      <c r="H3946" s="1010">
        <v>99999999</v>
      </c>
      <c r="I3946" s="1009">
        <v>88041000</v>
      </c>
      <c r="J3946" s="1007" t="s">
        <v>1022</v>
      </c>
      <c r="O3946" s="1007" t="s">
        <v>648</v>
      </c>
      <c r="P3946" s="1007" t="s">
        <v>648</v>
      </c>
      <c r="S3946" s="1008" t="s">
        <v>650</v>
      </c>
      <c r="T3946" s="1008" t="s">
        <v>654</v>
      </c>
      <c r="U3946" s="1008" t="s">
        <v>653</v>
      </c>
      <c r="V3946" s="1008" t="s">
        <v>648</v>
      </c>
      <c r="W3946" s="1008" t="s">
        <v>546</v>
      </c>
      <c r="X3946" s="1008" t="s">
        <v>670</v>
      </c>
      <c r="Y3946" s="1008" t="s">
        <v>670</v>
      </c>
      <c r="Z3946" s="1008" t="s">
        <v>670</v>
      </c>
      <c r="AA3946" s="1008" t="s">
        <v>670</v>
      </c>
      <c r="AB3946" s="1008" t="s">
        <v>670</v>
      </c>
      <c r="AC3946" s="1008" t="s">
        <v>670</v>
      </c>
      <c r="AD3946" s="1008" t="s">
        <v>670</v>
      </c>
      <c r="AE3946" s="1008"/>
      <c r="AF3946" s="1008" t="s">
        <v>670</v>
      </c>
      <c r="AG3946" s="1008"/>
      <c r="AH3946" s="1008"/>
      <c r="AI3946" s="1008"/>
    </row>
    <row r="3947" spans="1:35">
      <c r="A3947" s="1008">
        <v>25731</v>
      </c>
      <c r="B3947" s="1008">
        <v>5701</v>
      </c>
      <c r="C3947" s="1008">
        <v>6</v>
      </c>
      <c r="D3947" s="1009">
        <v>88049900</v>
      </c>
      <c r="E3947" s="1009">
        <v>88042000</v>
      </c>
      <c r="F3947" s="1007" t="s">
        <v>1021</v>
      </c>
      <c r="G3947" s="1007">
        <v>6</v>
      </c>
      <c r="H3947" s="1010">
        <v>99999999</v>
      </c>
      <c r="I3947" s="1009">
        <v>88042000</v>
      </c>
      <c r="J3947" s="1007" t="s">
        <v>1021</v>
      </c>
      <c r="O3947" s="1007" t="s">
        <v>648</v>
      </c>
      <c r="P3947" s="1007" t="s">
        <v>648</v>
      </c>
      <c r="S3947" s="1008" t="s">
        <v>650</v>
      </c>
      <c r="T3947" s="1008" t="s">
        <v>654</v>
      </c>
      <c r="U3947" s="1008" t="s">
        <v>653</v>
      </c>
      <c r="V3947" s="1008" t="s">
        <v>648</v>
      </c>
      <c r="W3947" s="1008" t="s">
        <v>546</v>
      </c>
      <c r="X3947" s="1008" t="s">
        <v>670</v>
      </c>
      <c r="Y3947" s="1008" t="s">
        <v>670</v>
      </c>
      <c r="Z3947" s="1008" t="s">
        <v>670</v>
      </c>
      <c r="AA3947" s="1008" t="s">
        <v>670</v>
      </c>
      <c r="AB3947" s="1008" t="s">
        <v>670</v>
      </c>
      <c r="AC3947" s="1008" t="s">
        <v>670</v>
      </c>
      <c r="AD3947" s="1008" t="s">
        <v>670</v>
      </c>
      <c r="AE3947" s="1008"/>
      <c r="AF3947" s="1008" t="s">
        <v>670</v>
      </c>
      <c r="AG3947" s="1008"/>
      <c r="AH3947" s="1008"/>
      <c r="AI3947" s="1008"/>
    </row>
    <row r="3948" spans="1:35">
      <c r="A3948" s="1008">
        <v>25732</v>
      </c>
      <c r="C3948" s="1008">
        <v>5</v>
      </c>
      <c r="D3948" s="1009">
        <v>88049999</v>
      </c>
      <c r="E3948" s="1009">
        <v>88049900</v>
      </c>
      <c r="F3948" s="1007" t="s">
        <v>1020</v>
      </c>
      <c r="O3948" s="1007" t="s">
        <v>648</v>
      </c>
      <c r="P3948" s="1007" t="s">
        <v>648</v>
      </c>
      <c r="S3948" s="1008" t="s">
        <v>650</v>
      </c>
      <c r="T3948" s="1008" t="s">
        <v>21</v>
      </c>
      <c r="U3948" s="1008" t="s">
        <v>653</v>
      </c>
      <c r="V3948" s="1008" t="s">
        <v>648</v>
      </c>
      <c r="W3948" s="1008" t="s">
        <v>546</v>
      </c>
      <c r="X3948" s="1008"/>
      <c r="Y3948" s="1008"/>
      <c r="Z3948" s="1008"/>
      <c r="AA3948" s="1008"/>
      <c r="AB3948" s="1008"/>
      <c r="AC3948" s="1008"/>
      <c r="AD3948" s="1008"/>
      <c r="AE3948" s="1008"/>
      <c r="AF3948" s="1008"/>
      <c r="AG3948" s="1008"/>
      <c r="AH3948" s="1008"/>
      <c r="AI3948" s="1008"/>
    </row>
    <row r="3949" spans="1:35">
      <c r="A3949" s="1008">
        <v>25733</v>
      </c>
      <c r="C3949" s="1008">
        <v>4</v>
      </c>
      <c r="D3949" s="1009">
        <v>89999900</v>
      </c>
      <c r="E3949" s="1009">
        <v>88049999</v>
      </c>
      <c r="F3949" s="1007" t="s">
        <v>1019</v>
      </c>
      <c r="O3949" s="1007" t="s">
        <v>648</v>
      </c>
      <c r="P3949" s="1007" t="s">
        <v>648</v>
      </c>
      <c r="S3949" s="1008" t="s">
        <v>657</v>
      </c>
      <c r="T3949" s="1008" t="s">
        <v>21</v>
      </c>
      <c r="U3949" s="1008" t="s">
        <v>653</v>
      </c>
      <c r="V3949" s="1008" t="s">
        <v>648</v>
      </c>
      <c r="W3949" s="1008" t="s">
        <v>546</v>
      </c>
      <c r="X3949" s="1008"/>
      <c r="Y3949" s="1008"/>
      <c r="Z3949" s="1008"/>
      <c r="AA3949" s="1008"/>
      <c r="AB3949" s="1008"/>
      <c r="AC3949" s="1008"/>
      <c r="AD3949" s="1008"/>
      <c r="AE3949" s="1008"/>
      <c r="AF3949" s="1008"/>
      <c r="AG3949" s="1008"/>
      <c r="AH3949" s="1008"/>
      <c r="AI3949" s="1008"/>
    </row>
    <row r="3950" spans="1:35">
      <c r="A3950" s="1008">
        <v>26616</v>
      </c>
      <c r="C3950" s="1008">
        <v>4</v>
      </c>
      <c r="D3950" s="1009">
        <v>89539999</v>
      </c>
      <c r="E3950" s="1009">
        <v>89501000</v>
      </c>
      <c r="F3950" s="1007" t="s">
        <v>1018</v>
      </c>
      <c r="O3950" s="1007" t="s">
        <v>648</v>
      </c>
      <c r="P3950" s="1007" t="s">
        <v>648</v>
      </c>
      <c r="S3950" s="1008" t="s">
        <v>657</v>
      </c>
      <c r="T3950" s="1008" t="s">
        <v>675</v>
      </c>
      <c r="U3950" s="1008" t="s">
        <v>653</v>
      </c>
      <c r="V3950" s="1008" t="s">
        <v>648</v>
      </c>
      <c r="W3950" s="1008" t="s">
        <v>546</v>
      </c>
      <c r="X3950" s="1008"/>
      <c r="Y3950" s="1008"/>
      <c r="Z3950" s="1008"/>
      <c r="AA3950" s="1008"/>
      <c r="AB3950" s="1008"/>
      <c r="AC3950" s="1008"/>
      <c r="AD3950" s="1008"/>
      <c r="AE3950" s="1008"/>
      <c r="AF3950" s="1008"/>
      <c r="AG3950" s="1008"/>
      <c r="AH3950" s="1008"/>
      <c r="AI3950" s="1008"/>
    </row>
    <row r="3951" spans="1:35">
      <c r="A3951" s="1008">
        <v>26617</v>
      </c>
      <c r="C3951" s="1008">
        <v>5</v>
      </c>
      <c r="D3951" s="1009">
        <v>89519999</v>
      </c>
      <c r="E3951" s="1009">
        <v>89510000</v>
      </c>
      <c r="F3951" s="1007" t="s">
        <v>1017</v>
      </c>
      <c r="O3951" s="1007" t="s">
        <v>648</v>
      </c>
      <c r="P3951" s="1007" t="s">
        <v>648</v>
      </c>
      <c r="S3951" s="1008" t="s">
        <v>657</v>
      </c>
      <c r="T3951" s="1008" t="s">
        <v>675</v>
      </c>
      <c r="U3951" s="1008" t="s">
        <v>653</v>
      </c>
      <c r="V3951" s="1008" t="s">
        <v>648</v>
      </c>
      <c r="W3951" s="1008" t="s">
        <v>546</v>
      </c>
      <c r="X3951" s="1008"/>
      <c r="Y3951" s="1008"/>
      <c r="Z3951" s="1008"/>
      <c r="AA3951" s="1008"/>
      <c r="AB3951" s="1008"/>
      <c r="AC3951" s="1008"/>
      <c r="AD3951" s="1008"/>
      <c r="AE3951" s="1008"/>
      <c r="AF3951" s="1008"/>
      <c r="AG3951" s="1008"/>
      <c r="AH3951" s="1008"/>
      <c r="AI3951" s="1008"/>
    </row>
    <row r="3952" spans="1:35">
      <c r="A3952" s="1008">
        <v>26618</v>
      </c>
      <c r="B3952" s="1008">
        <v>5876</v>
      </c>
      <c r="C3952" s="1008">
        <v>6</v>
      </c>
      <c r="D3952" s="1009">
        <v>89519999</v>
      </c>
      <c r="E3952" s="1009">
        <v>89511000</v>
      </c>
      <c r="F3952" s="1007" t="s">
        <v>1016</v>
      </c>
      <c r="G3952" s="1007" t="s">
        <v>648</v>
      </c>
      <c r="H3952" s="1010">
        <v>99999999</v>
      </c>
      <c r="I3952" s="1009">
        <v>89511000</v>
      </c>
      <c r="J3952" s="1007" t="s">
        <v>1016</v>
      </c>
      <c r="O3952" s="1007" t="s">
        <v>648</v>
      </c>
      <c r="P3952" s="1007" t="s">
        <v>648</v>
      </c>
      <c r="S3952" s="1008" t="s">
        <v>657</v>
      </c>
      <c r="T3952" s="1008" t="s">
        <v>654</v>
      </c>
      <c r="U3952" s="1008" t="s">
        <v>653</v>
      </c>
      <c r="V3952" s="1008" t="s">
        <v>648</v>
      </c>
      <c r="W3952" s="1008" t="s">
        <v>546</v>
      </c>
      <c r="X3952" s="1008" t="s">
        <v>670</v>
      </c>
      <c r="Y3952" s="1008" t="s">
        <v>670</v>
      </c>
      <c r="Z3952" s="1008" t="s">
        <v>670</v>
      </c>
      <c r="AA3952" s="1008" t="s">
        <v>670</v>
      </c>
      <c r="AB3952" s="1008" t="s">
        <v>670</v>
      </c>
      <c r="AC3952" s="1008" t="s">
        <v>670</v>
      </c>
      <c r="AD3952" s="1008" t="s">
        <v>670</v>
      </c>
      <c r="AE3952" s="1008"/>
      <c r="AF3952" s="1008" t="s">
        <v>670</v>
      </c>
      <c r="AG3952" s="1008"/>
      <c r="AH3952" s="1008"/>
      <c r="AI3952" s="1008"/>
    </row>
    <row r="3953" spans="1:35">
      <c r="A3953" s="1008">
        <v>26619</v>
      </c>
      <c r="B3953" s="1008">
        <v>5877</v>
      </c>
      <c r="C3953" s="1008">
        <v>6</v>
      </c>
      <c r="D3953" s="1009">
        <v>89519999</v>
      </c>
      <c r="E3953" s="1009">
        <v>89512000</v>
      </c>
      <c r="F3953" s="1007" t="s">
        <v>1015</v>
      </c>
      <c r="G3953" s="1007" t="s">
        <v>648</v>
      </c>
      <c r="H3953" s="1010">
        <v>99999999</v>
      </c>
      <c r="I3953" s="1009">
        <v>89512000</v>
      </c>
      <c r="J3953" s="1007" t="s">
        <v>1015</v>
      </c>
      <c r="O3953" s="1007" t="s">
        <v>648</v>
      </c>
      <c r="P3953" s="1007" t="s">
        <v>648</v>
      </c>
      <c r="S3953" s="1008" t="s">
        <v>657</v>
      </c>
      <c r="T3953" s="1008" t="s">
        <v>654</v>
      </c>
      <c r="U3953" s="1008" t="s">
        <v>653</v>
      </c>
      <c r="V3953" s="1008" t="s">
        <v>648</v>
      </c>
      <c r="W3953" s="1008" t="s">
        <v>546</v>
      </c>
      <c r="X3953" s="1008" t="s">
        <v>670</v>
      </c>
      <c r="Y3953" s="1008" t="s">
        <v>670</v>
      </c>
      <c r="Z3953" s="1008" t="s">
        <v>670</v>
      </c>
      <c r="AA3953" s="1008" t="s">
        <v>670</v>
      </c>
      <c r="AB3953" s="1008" t="s">
        <v>670</v>
      </c>
      <c r="AC3953" s="1008" t="s">
        <v>670</v>
      </c>
      <c r="AD3953" s="1008" t="s">
        <v>670</v>
      </c>
      <c r="AE3953" s="1008"/>
      <c r="AF3953" s="1008" t="s">
        <v>670</v>
      </c>
      <c r="AG3953" s="1008"/>
      <c r="AH3953" s="1008"/>
      <c r="AI3953" s="1008"/>
    </row>
    <row r="3954" spans="1:35">
      <c r="A3954" s="1008">
        <v>26620</v>
      </c>
      <c r="C3954" s="1008">
        <v>5</v>
      </c>
      <c r="D3954" s="1009">
        <v>89599999</v>
      </c>
      <c r="E3954" s="1009">
        <v>89519999</v>
      </c>
      <c r="F3954" s="1007" t="s">
        <v>1014</v>
      </c>
      <c r="O3954" s="1007" t="s">
        <v>648</v>
      </c>
      <c r="P3954" s="1007" t="s">
        <v>648</v>
      </c>
      <c r="S3954" s="1008" t="s">
        <v>657</v>
      </c>
      <c r="T3954" s="1008" t="s">
        <v>21</v>
      </c>
      <c r="U3954" s="1008" t="s">
        <v>653</v>
      </c>
      <c r="V3954" s="1008" t="s">
        <v>648</v>
      </c>
      <c r="W3954" s="1008" t="s">
        <v>546</v>
      </c>
      <c r="X3954" s="1008"/>
      <c r="Y3954" s="1008"/>
      <c r="Z3954" s="1008"/>
      <c r="AA3954" s="1008"/>
      <c r="AB3954" s="1008"/>
      <c r="AC3954" s="1008"/>
      <c r="AD3954" s="1008"/>
      <c r="AE3954" s="1008"/>
      <c r="AF3954" s="1008"/>
      <c r="AG3954" s="1008"/>
      <c r="AH3954" s="1008"/>
      <c r="AI3954" s="1008"/>
    </row>
    <row r="3955" spans="1:35">
      <c r="A3955" s="1008">
        <v>26621</v>
      </c>
      <c r="C3955" s="1008">
        <v>5</v>
      </c>
      <c r="D3955" s="1009">
        <v>89539999</v>
      </c>
      <c r="E3955" s="1009">
        <v>89520000</v>
      </c>
      <c r="F3955" s="1007" t="s">
        <v>1013</v>
      </c>
      <c r="O3955" s="1007" t="s">
        <v>648</v>
      </c>
      <c r="P3955" s="1007" t="s">
        <v>648</v>
      </c>
      <c r="S3955" s="1008" t="s">
        <v>657</v>
      </c>
      <c r="T3955" s="1008" t="s">
        <v>675</v>
      </c>
      <c r="U3955" s="1008" t="s">
        <v>653</v>
      </c>
      <c r="V3955" s="1008" t="s">
        <v>648</v>
      </c>
      <c r="W3955" s="1008" t="s">
        <v>546</v>
      </c>
      <c r="X3955" s="1008"/>
      <c r="Y3955" s="1008"/>
      <c r="Z3955" s="1008"/>
      <c r="AA3955" s="1008"/>
      <c r="AB3955" s="1008"/>
      <c r="AC3955" s="1008"/>
      <c r="AD3955" s="1008"/>
      <c r="AE3955" s="1008"/>
      <c r="AF3955" s="1008"/>
      <c r="AG3955" s="1008"/>
      <c r="AH3955" s="1008"/>
      <c r="AI3955" s="1008"/>
    </row>
    <row r="3956" spans="1:35">
      <c r="A3956" s="1008">
        <v>26622</v>
      </c>
      <c r="C3956" s="1008">
        <v>6</v>
      </c>
      <c r="D3956" s="1009">
        <v>89529999</v>
      </c>
      <c r="E3956" s="1009">
        <v>89521000</v>
      </c>
      <c r="F3956" s="1007" t="s">
        <v>1012</v>
      </c>
      <c r="O3956" s="1007" t="s">
        <v>648</v>
      </c>
      <c r="P3956" s="1007" t="s">
        <v>648</v>
      </c>
      <c r="S3956" s="1008" t="s">
        <v>657</v>
      </c>
      <c r="T3956" s="1008" t="s">
        <v>675</v>
      </c>
      <c r="U3956" s="1008" t="s">
        <v>653</v>
      </c>
      <c r="V3956" s="1008" t="s">
        <v>648</v>
      </c>
      <c r="W3956" s="1008" t="s">
        <v>546</v>
      </c>
      <c r="X3956" s="1008"/>
      <c r="Y3956" s="1008"/>
      <c r="Z3956" s="1008"/>
      <c r="AA3956" s="1008"/>
      <c r="AB3956" s="1008"/>
      <c r="AC3956" s="1008"/>
      <c r="AD3956" s="1008"/>
      <c r="AE3956" s="1008"/>
      <c r="AF3956" s="1008"/>
      <c r="AG3956" s="1008"/>
      <c r="AH3956" s="1008"/>
      <c r="AI3956" s="1008"/>
    </row>
    <row r="3957" spans="1:35">
      <c r="A3957" s="1008">
        <v>26623</v>
      </c>
      <c r="B3957" s="1008">
        <v>5878</v>
      </c>
      <c r="C3957" s="1008">
        <v>7</v>
      </c>
      <c r="D3957" s="1009">
        <v>89529999</v>
      </c>
      <c r="E3957" s="1009">
        <v>89522000</v>
      </c>
      <c r="F3957" s="1007" t="s">
        <v>1011</v>
      </c>
      <c r="G3957" s="1007" t="s">
        <v>648</v>
      </c>
      <c r="H3957" s="1010">
        <v>99999999</v>
      </c>
      <c r="I3957" s="1009">
        <v>89522000</v>
      </c>
      <c r="J3957" s="1007" t="s">
        <v>1011</v>
      </c>
      <c r="O3957" s="1007" t="s">
        <v>648</v>
      </c>
      <c r="P3957" s="1007" t="s">
        <v>648</v>
      </c>
      <c r="S3957" s="1008" t="s">
        <v>657</v>
      </c>
      <c r="T3957" s="1008" t="s">
        <v>654</v>
      </c>
      <c r="U3957" s="1008" t="s">
        <v>653</v>
      </c>
      <c r="V3957" s="1008" t="s">
        <v>648</v>
      </c>
      <c r="W3957" s="1008" t="s">
        <v>546</v>
      </c>
      <c r="X3957" s="1008" t="s">
        <v>670</v>
      </c>
      <c r="Y3957" s="1008" t="s">
        <v>670</v>
      </c>
      <c r="Z3957" s="1008" t="s">
        <v>670</v>
      </c>
      <c r="AA3957" s="1008" t="s">
        <v>670</v>
      </c>
      <c r="AB3957" s="1008" t="s">
        <v>670</v>
      </c>
      <c r="AC3957" s="1008" t="s">
        <v>670</v>
      </c>
      <c r="AD3957" s="1008" t="s">
        <v>670</v>
      </c>
      <c r="AE3957" s="1008"/>
      <c r="AF3957" s="1008" t="s">
        <v>670</v>
      </c>
      <c r="AG3957" s="1008"/>
      <c r="AH3957" s="1008"/>
      <c r="AI3957" s="1008"/>
    </row>
    <row r="3958" spans="1:35">
      <c r="A3958" s="1008">
        <v>26624</v>
      </c>
      <c r="B3958" s="1008">
        <v>5879</v>
      </c>
      <c r="C3958" s="1008">
        <v>7</v>
      </c>
      <c r="D3958" s="1009">
        <v>89529999</v>
      </c>
      <c r="E3958" s="1009">
        <v>89523000</v>
      </c>
      <c r="F3958" s="1007" t="s">
        <v>1010</v>
      </c>
      <c r="G3958" s="1007" t="s">
        <v>648</v>
      </c>
      <c r="H3958" s="1010">
        <v>99999999</v>
      </c>
      <c r="I3958" s="1009">
        <v>89523000</v>
      </c>
      <c r="J3958" s="1007" t="s">
        <v>1010</v>
      </c>
      <c r="O3958" s="1007" t="s">
        <v>648</v>
      </c>
      <c r="P3958" s="1007" t="s">
        <v>648</v>
      </c>
      <c r="S3958" s="1008" t="s">
        <v>657</v>
      </c>
      <c r="T3958" s="1008" t="s">
        <v>654</v>
      </c>
      <c r="U3958" s="1008" t="s">
        <v>653</v>
      </c>
      <c r="V3958" s="1008" t="s">
        <v>648</v>
      </c>
      <c r="W3958" s="1008" t="s">
        <v>546</v>
      </c>
      <c r="X3958" s="1008" t="s">
        <v>670</v>
      </c>
      <c r="Y3958" s="1008" t="s">
        <v>670</v>
      </c>
      <c r="Z3958" s="1008" t="s">
        <v>670</v>
      </c>
      <c r="AA3958" s="1008" t="s">
        <v>670</v>
      </c>
      <c r="AB3958" s="1008" t="s">
        <v>670</v>
      </c>
      <c r="AC3958" s="1008" t="s">
        <v>670</v>
      </c>
      <c r="AD3958" s="1008" t="s">
        <v>670</v>
      </c>
      <c r="AE3958" s="1008"/>
      <c r="AF3958" s="1008" t="s">
        <v>670</v>
      </c>
      <c r="AG3958" s="1008"/>
      <c r="AH3958" s="1008"/>
      <c r="AI3958" s="1008"/>
    </row>
    <row r="3959" spans="1:35">
      <c r="A3959" s="1008">
        <v>26625</v>
      </c>
      <c r="C3959" s="1008">
        <v>6</v>
      </c>
      <c r="D3959" s="1009">
        <v>89539999</v>
      </c>
      <c r="E3959" s="1009">
        <v>89529999</v>
      </c>
      <c r="F3959" s="1007" t="s">
        <v>1009</v>
      </c>
      <c r="O3959" s="1007" t="s">
        <v>648</v>
      </c>
      <c r="P3959" s="1007" t="s">
        <v>648</v>
      </c>
      <c r="S3959" s="1008" t="s">
        <v>657</v>
      </c>
      <c r="T3959" s="1008" t="s">
        <v>21</v>
      </c>
      <c r="U3959" s="1008" t="s">
        <v>653</v>
      </c>
      <c r="V3959" s="1008" t="s">
        <v>648</v>
      </c>
      <c r="W3959" s="1008" t="s">
        <v>546</v>
      </c>
      <c r="X3959" s="1008"/>
      <c r="Y3959" s="1008"/>
      <c r="Z3959" s="1008"/>
      <c r="AA3959" s="1008"/>
      <c r="AB3959" s="1008"/>
      <c r="AC3959" s="1008"/>
      <c r="AD3959" s="1008"/>
      <c r="AE3959" s="1008"/>
      <c r="AF3959" s="1008"/>
      <c r="AG3959" s="1008"/>
      <c r="AH3959" s="1008"/>
      <c r="AI3959" s="1008"/>
    </row>
    <row r="3960" spans="1:35">
      <c r="A3960" s="1008">
        <v>26626</v>
      </c>
      <c r="C3960" s="1008">
        <v>6</v>
      </c>
      <c r="D3960" s="1009">
        <v>89539000</v>
      </c>
      <c r="E3960" s="1009">
        <v>89530000</v>
      </c>
      <c r="F3960" s="1007" t="s">
        <v>1008</v>
      </c>
      <c r="O3960" s="1007" t="s">
        <v>648</v>
      </c>
      <c r="P3960" s="1007" t="s">
        <v>648</v>
      </c>
      <c r="S3960" s="1008" t="s">
        <v>657</v>
      </c>
      <c r="T3960" s="1008" t="s">
        <v>675</v>
      </c>
      <c r="U3960" s="1008" t="s">
        <v>653</v>
      </c>
      <c r="V3960" s="1008" t="s">
        <v>648</v>
      </c>
      <c r="W3960" s="1008" t="s">
        <v>546</v>
      </c>
      <c r="X3960" s="1008"/>
      <c r="Y3960" s="1008"/>
      <c r="Z3960" s="1008"/>
      <c r="AA3960" s="1008"/>
      <c r="AB3960" s="1008"/>
      <c r="AC3960" s="1008"/>
      <c r="AD3960" s="1008"/>
      <c r="AE3960" s="1008"/>
      <c r="AF3960" s="1008"/>
      <c r="AG3960" s="1008"/>
      <c r="AH3960" s="1008"/>
      <c r="AI3960" s="1008"/>
    </row>
    <row r="3961" spans="1:35">
      <c r="A3961" s="1008">
        <v>26627</v>
      </c>
      <c r="B3961" s="1008">
        <v>5880</v>
      </c>
      <c r="C3961" s="1008">
        <v>7</v>
      </c>
      <c r="D3961" s="1009">
        <v>89539000</v>
      </c>
      <c r="E3961" s="1009">
        <v>89531000</v>
      </c>
      <c r="F3961" s="1007" t="s">
        <v>1007</v>
      </c>
      <c r="G3961" s="1007" t="s">
        <v>648</v>
      </c>
      <c r="H3961" s="1010">
        <v>99999999</v>
      </c>
      <c r="I3961" s="1009">
        <v>89531000</v>
      </c>
      <c r="J3961" s="1007" t="s">
        <v>1007</v>
      </c>
      <c r="O3961" s="1007" t="s">
        <v>648</v>
      </c>
      <c r="P3961" s="1007" t="s">
        <v>648</v>
      </c>
      <c r="S3961" s="1008" t="s">
        <v>657</v>
      </c>
      <c r="T3961" s="1008" t="s">
        <v>654</v>
      </c>
      <c r="U3961" s="1008" t="s">
        <v>653</v>
      </c>
      <c r="V3961" s="1008" t="s">
        <v>648</v>
      </c>
      <c r="W3961" s="1008" t="s">
        <v>546</v>
      </c>
      <c r="X3961" s="1008" t="s">
        <v>670</v>
      </c>
      <c r="Y3961" s="1008" t="s">
        <v>670</v>
      </c>
      <c r="Z3961" s="1008" t="s">
        <v>670</v>
      </c>
      <c r="AA3961" s="1008" t="s">
        <v>670</v>
      </c>
      <c r="AB3961" s="1008" t="s">
        <v>670</v>
      </c>
      <c r="AC3961" s="1008" t="s">
        <v>670</v>
      </c>
      <c r="AD3961" s="1008" t="s">
        <v>670</v>
      </c>
      <c r="AE3961" s="1008"/>
      <c r="AF3961" s="1008" t="s">
        <v>670</v>
      </c>
      <c r="AG3961" s="1008"/>
      <c r="AH3961" s="1008"/>
      <c r="AI3961" s="1008"/>
    </row>
    <row r="3962" spans="1:35">
      <c r="A3962" s="1008">
        <v>26628</v>
      </c>
      <c r="B3962" s="1008">
        <v>5881</v>
      </c>
      <c r="C3962" s="1008">
        <v>7</v>
      </c>
      <c r="D3962" s="1009">
        <v>89539000</v>
      </c>
      <c r="E3962" s="1009">
        <v>89532000</v>
      </c>
      <c r="F3962" s="1007" t="s">
        <v>1006</v>
      </c>
      <c r="G3962" s="1007" t="s">
        <v>648</v>
      </c>
      <c r="H3962" s="1010">
        <v>99999999</v>
      </c>
      <c r="I3962" s="1009">
        <v>89532000</v>
      </c>
      <c r="J3962" s="1007" t="s">
        <v>1006</v>
      </c>
      <c r="O3962" s="1007" t="s">
        <v>648</v>
      </c>
      <c r="P3962" s="1007" t="s">
        <v>648</v>
      </c>
      <c r="S3962" s="1008" t="s">
        <v>657</v>
      </c>
      <c r="T3962" s="1008" t="s">
        <v>654</v>
      </c>
      <c r="U3962" s="1008" t="s">
        <v>653</v>
      </c>
      <c r="V3962" s="1008" t="s">
        <v>648</v>
      </c>
      <c r="W3962" s="1008" t="s">
        <v>546</v>
      </c>
      <c r="X3962" s="1008" t="s">
        <v>670</v>
      </c>
      <c r="Y3962" s="1008" t="s">
        <v>670</v>
      </c>
      <c r="Z3962" s="1008" t="s">
        <v>670</v>
      </c>
      <c r="AA3962" s="1008" t="s">
        <v>670</v>
      </c>
      <c r="AB3962" s="1008" t="s">
        <v>670</v>
      </c>
      <c r="AC3962" s="1008" t="s">
        <v>670</v>
      </c>
      <c r="AD3962" s="1008" t="s">
        <v>670</v>
      </c>
      <c r="AE3962" s="1008"/>
      <c r="AF3962" s="1008" t="s">
        <v>670</v>
      </c>
      <c r="AG3962" s="1008"/>
      <c r="AH3962" s="1008"/>
      <c r="AI3962" s="1008"/>
    </row>
    <row r="3963" spans="1:35">
      <c r="A3963" s="1008">
        <v>26629</v>
      </c>
      <c r="C3963" s="1008">
        <v>6</v>
      </c>
      <c r="D3963" s="1009">
        <v>89539999</v>
      </c>
      <c r="E3963" s="1009">
        <v>89539000</v>
      </c>
      <c r="F3963" s="1007" t="s">
        <v>1005</v>
      </c>
      <c r="O3963" s="1007" t="s">
        <v>648</v>
      </c>
      <c r="P3963" s="1007" t="s">
        <v>648</v>
      </c>
      <c r="S3963" s="1008" t="s">
        <v>657</v>
      </c>
      <c r="T3963" s="1008" t="s">
        <v>21</v>
      </c>
      <c r="U3963" s="1008" t="s">
        <v>653</v>
      </c>
      <c r="V3963" s="1008" t="s">
        <v>648</v>
      </c>
      <c r="W3963" s="1008" t="s">
        <v>546</v>
      </c>
      <c r="X3963" s="1008"/>
      <c r="Y3963" s="1008"/>
      <c r="Z3963" s="1008"/>
      <c r="AA3963" s="1008"/>
      <c r="AB3963" s="1008"/>
      <c r="AC3963" s="1008"/>
      <c r="AD3963" s="1008"/>
      <c r="AE3963" s="1008"/>
      <c r="AF3963" s="1008"/>
      <c r="AG3963" s="1008"/>
      <c r="AH3963" s="1008"/>
      <c r="AI3963" s="1008"/>
    </row>
    <row r="3964" spans="1:35">
      <c r="A3964" s="1008">
        <v>26630</v>
      </c>
      <c r="C3964" s="1008">
        <v>5</v>
      </c>
      <c r="D3964" s="1009">
        <v>89599999</v>
      </c>
      <c r="E3964" s="1009">
        <v>89539999</v>
      </c>
      <c r="F3964" s="1007" t="s">
        <v>1004</v>
      </c>
      <c r="O3964" s="1007" t="s">
        <v>648</v>
      </c>
      <c r="P3964" s="1007" t="s">
        <v>648</v>
      </c>
      <c r="S3964" s="1008" t="s">
        <v>657</v>
      </c>
      <c r="T3964" s="1008" t="s">
        <v>21</v>
      </c>
      <c r="U3964" s="1008" t="s">
        <v>653</v>
      </c>
      <c r="V3964" s="1008" t="s">
        <v>648</v>
      </c>
      <c r="W3964" s="1008" t="s">
        <v>546</v>
      </c>
      <c r="X3964" s="1008"/>
      <c r="Y3964" s="1008"/>
      <c r="Z3964" s="1008"/>
      <c r="AA3964" s="1008"/>
      <c r="AB3964" s="1008"/>
      <c r="AC3964" s="1008"/>
      <c r="AD3964" s="1008"/>
      <c r="AE3964" s="1008"/>
      <c r="AF3964" s="1008"/>
      <c r="AG3964" s="1008"/>
      <c r="AH3964" s="1008"/>
      <c r="AI3964" s="1008"/>
    </row>
    <row r="3965" spans="1:35">
      <c r="A3965" s="1008">
        <v>27632</v>
      </c>
      <c r="C3965" s="1008">
        <v>6</v>
      </c>
      <c r="D3965" s="1009">
        <v>89545999</v>
      </c>
      <c r="E3965" s="1009">
        <v>89540000</v>
      </c>
      <c r="F3965" s="1007" t="s">
        <v>1003</v>
      </c>
      <c r="O3965" s="1007" t="s">
        <v>648</v>
      </c>
      <c r="P3965" s="1007" t="s">
        <v>648</v>
      </c>
      <c r="S3965" s="1008" t="s">
        <v>657</v>
      </c>
      <c r="T3965" s="1008" t="s">
        <v>675</v>
      </c>
      <c r="U3965" s="1008" t="s">
        <v>653</v>
      </c>
      <c r="V3965" s="1008" t="s">
        <v>648</v>
      </c>
      <c r="W3965" s="1008" t="s">
        <v>546</v>
      </c>
      <c r="X3965" s="1008"/>
      <c r="Y3965" s="1008"/>
      <c r="Z3965" s="1008"/>
      <c r="AA3965" s="1008"/>
      <c r="AB3965" s="1008"/>
      <c r="AC3965" s="1008"/>
      <c r="AD3965" s="1008"/>
      <c r="AE3965" s="1008"/>
      <c r="AF3965" s="1008"/>
      <c r="AG3965" s="1008"/>
      <c r="AH3965" s="1008"/>
      <c r="AI3965" s="1008"/>
    </row>
    <row r="3966" spans="1:35">
      <c r="A3966" s="1008">
        <v>27634</v>
      </c>
      <c r="B3966" s="1008">
        <v>6468</v>
      </c>
      <c r="C3966" s="1008">
        <v>7</v>
      </c>
      <c r="D3966" s="1009">
        <v>89545999</v>
      </c>
      <c r="E3966" s="1009">
        <v>89541000</v>
      </c>
      <c r="F3966" s="1007" t="s">
        <v>1002</v>
      </c>
      <c r="G3966" s="1007" t="s">
        <v>648</v>
      </c>
      <c r="H3966" s="1010">
        <v>99999999</v>
      </c>
      <c r="I3966" s="1009">
        <v>89541000</v>
      </c>
      <c r="J3966" s="1007" t="s">
        <v>1002</v>
      </c>
      <c r="O3966" s="1007" t="s">
        <v>648</v>
      </c>
      <c r="P3966" s="1007" t="s">
        <v>648</v>
      </c>
      <c r="S3966" s="1008" t="s">
        <v>657</v>
      </c>
      <c r="T3966" s="1008" t="s">
        <v>654</v>
      </c>
      <c r="U3966" s="1008" t="s">
        <v>653</v>
      </c>
      <c r="V3966" s="1008" t="s">
        <v>648</v>
      </c>
      <c r="W3966" s="1008" t="s">
        <v>546</v>
      </c>
      <c r="X3966" s="1008" t="s">
        <v>670</v>
      </c>
      <c r="Y3966" s="1008" t="s">
        <v>670</v>
      </c>
      <c r="Z3966" s="1008" t="s">
        <v>670</v>
      </c>
      <c r="AA3966" s="1008" t="s">
        <v>670</v>
      </c>
      <c r="AB3966" s="1008" t="s">
        <v>670</v>
      </c>
      <c r="AC3966" s="1008" t="s">
        <v>670</v>
      </c>
      <c r="AD3966" s="1008" t="s">
        <v>670</v>
      </c>
      <c r="AE3966" s="1008" t="s">
        <v>670</v>
      </c>
      <c r="AF3966" s="1008" t="s">
        <v>670</v>
      </c>
      <c r="AG3966" s="1008" t="s">
        <v>670</v>
      </c>
      <c r="AH3966" s="1008" t="s">
        <v>670</v>
      </c>
      <c r="AI3966" s="1008"/>
    </row>
    <row r="3967" spans="1:35">
      <c r="A3967" s="1008">
        <v>27727</v>
      </c>
      <c r="B3967" s="1008">
        <v>6546</v>
      </c>
      <c r="C3967" s="1008">
        <v>7</v>
      </c>
      <c r="D3967" s="1009">
        <v>89545999</v>
      </c>
      <c r="E3967" s="1009">
        <v>89542000</v>
      </c>
      <c r="F3967" s="1007" t="s">
        <v>1001</v>
      </c>
      <c r="G3967" s="1007" t="s">
        <v>648</v>
      </c>
      <c r="H3967" s="1010">
        <v>99999999</v>
      </c>
      <c r="I3967" s="1009">
        <v>89542000</v>
      </c>
      <c r="J3967" s="1007" t="s">
        <v>1000</v>
      </c>
      <c r="O3967" s="1007" t="s">
        <v>648</v>
      </c>
      <c r="P3967" s="1007" t="s">
        <v>648</v>
      </c>
      <c r="S3967" s="1008" t="s">
        <v>657</v>
      </c>
      <c r="T3967" s="1008" t="s">
        <v>654</v>
      </c>
      <c r="U3967" s="1008" t="s">
        <v>653</v>
      </c>
      <c r="V3967" s="1008" t="s">
        <v>648</v>
      </c>
      <c r="W3967" s="1008" t="s">
        <v>546</v>
      </c>
      <c r="X3967" s="1008" t="s">
        <v>670</v>
      </c>
      <c r="Y3967" s="1008" t="s">
        <v>670</v>
      </c>
      <c r="Z3967" s="1008"/>
      <c r="AA3967" s="1008"/>
      <c r="AB3967" s="1008"/>
      <c r="AC3967" s="1008"/>
      <c r="AD3967" s="1008"/>
      <c r="AE3967" s="1008"/>
      <c r="AF3967" s="1008" t="s">
        <v>670</v>
      </c>
      <c r="AG3967" s="1008"/>
      <c r="AH3967" s="1008"/>
      <c r="AI3967" s="1008"/>
    </row>
    <row r="3968" spans="1:35">
      <c r="A3968" s="1008">
        <v>27633</v>
      </c>
      <c r="C3968" s="1008">
        <v>6</v>
      </c>
      <c r="D3968" s="1009">
        <v>89599999</v>
      </c>
      <c r="E3968" s="1009">
        <v>89545999</v>
      </c>
      <c r="F3968" s="1007" t="s">
        <v>999</v>
      </c>
      <c r="O3968" s="1007" t="s">
        <v>648</v>
      </c>
      <c r="P3968" s="1007" t="s">
        <v>648</v>
      </c>
      <c r="S3968" s="1008" t="s">
        <v>657</v>
      </c>
      <c r="T3968" s="1008" t="s">
        <v>21</v>
      </c>
      <c r="U3968" s="1008" t="s">
        <v>653</v>
      </c>
      <c r="V3968" s="1008" t="s">
        <v>648</v>
      </c>
      <c r="W3968" s="1008" t="s">
        <v>546</v>
      </c>
      <c r="X3968" s="1008"/>
      <c r="Y3968" s="1008"/>
      <c r="Z3968" s="1008"/>
      <c r="AA3968" s="1008"/>
      <c r="AB3968" s="1008"/>
      <c r="AC3968" s="1008"/>
      <c r="AD3968" s="1008"/>
      <c r="AE3968" s="1008"/>
      <c r="AF3968" s="1008"/>
      <c r="AG3968" s="1008"/>
      <c r="AH3968" s="1008"/>
      <c r="AI3968" s="1008"/>
    </row>
    <row r="3969" spans="1:35">
      <c r="A3969" s="1008">
        <v>28059</v>
      </c>
      <c r="C3969" s="1008">
        <v>6</v>
      </c>
      <c r="D3969" s="1009">
        <v>89559000</v>
      </c>
      <c r="E3969" s="1009">
        <v>89550000</v>
      </c>
      <c r="F3969" s="1007" t="s">
        <v>998</v>
      </c>
      <c r="O3969" s="1007" t="s">
        <v>648</v>
      </c>
      <c r="P3969" s="1007" t="s">
        <v>648</v>
      </c>
      <c r="S3969" s="1008" t="s">
        <v>650</v>
      </c>
      <c r="T3969" s="1008" t="s">
        <v>675</v>
      </c>
      <c r="U3969" s="1008" t="s">
        <v>653</v>
      </c>
      <c r="V3969" s="1008" t="s">
        <v>648</v>
      </c>
      <c r="W3969" s="1008" t="s">
        <v>546</v>
      </c>
      <c r="X3969" s="1008"/>
      <c r="Y3969" s="1008"/>
      <c r="Z3969" s="1008"/>
      <c r="AA3969" s="1008"/>
      <c r="AB3969" s="1008"/>
      <c r="AC3969" s="1008"/>
      <c r="AD3969" s="1008"/>
      <c r="AE3969" s="1008"/>
      <c r="AF3969" s="1008"/>
      <c r="AG3969" s="1008"/>
      <c r="AH3969" s="1008"/>
      <c r="AI3969" s="1008"/>
    </row>
    <row r="3970" spans="1:35">
      <c r="A3970" s="1008">
        <v>28060</v>
      </c>
      <c r="B3970" s="1008">
        <v>6778</v>
      </c>
      <c r="C3970" s="1008">
        <v>7</v>
      </c>
      <c r="D3970" s="1009">
        <v>89559000</v>
      </c>
      <c r="E3970" s="1009">
        <v>89551000</v>
      </c>
      <c r="F3970" s="1007" t="s">
        <v>997</v>
      </c>
      <c r="G3970" s="1007" t="s">
        <v>648</v>
      </c>
      <c r="H3970" s="1010">
        <v>99999999</v>
      </c>
      <c r="I3970" s="1009">
        <v>89551000</v>
      </c>
      <c r="J3970" s="1007" t="s">
        <v>996</v>
      </c>
      <c r="O3970" s="1007" t="s">
        <v>648</v>
      </c>
      <c r="P3970" s="1007" t="s">
        <v>648</v>
      </c>
      <c r="S3970" s="1008" t="s">
        <v>650</v>
      </c>
      <c r="T3970" s="1008" t="s">
        <v>654</v>
      </c>
      <c r="U3970" s="1008" t="s">
        <v>653</v>
      </c>
      <c r="V3970" s="1008" t="s">
        <v>648</v>
      </c>
      <c r="W3970" s="1008" t="s">
        <v>546</v>
      </c>
      <c r="X3970" s="1008"/>
      <c r="Y3970" s="1008"/>
      <c r="Z3970" s="1008"/>
      <c r="AA3970" s="1008"/>
      <c r="AB3970" s="1008"/>
      <c r="AC3970" s="1008"/>
      <c r="AD3970" s="1008"/>
      <c r="AE3970" s="1008"/>
      <c r="AF3970" s="1008"/>
      <c r="AG3970" s="1008"/>
      <c r="AH3970" s="1008"/>
      <c r="AI3970" s="1008"/>
    </row>
    <row r="3971" spans="1:35">
      <c r="A3971" s="1008">
        <v>28061</v>
      </c>
      <c r="C3971" s="1008">
        <v>6</v>
      </c>
      <c r="D3971" s="1009">
        <v>89599999</v>
      </c>
      <c r="E3971" s="1009">
        <v>89559000</v>
      </c>
      <c r="F3971" s="1007" t="s">
        <v>995</v>
      </c>
      <c r="O3971" s="1007" t="s">
        <v>648</v>
      </c>
      <c r="P3971" s="1007" t="s">
        <v>648</v>
      </c>
      <c r="S3971" s="1008" t="s">
        <v>650</v>
      </c>
      <c r="T3971" s="1008" t="s">
        <v>21</v>
      </c>
      <c r="U3971" s="1008" t="s">
        <v>653</v>
      </c>
      <c r="V3971" s="1008" t="s">
        <v>648</v>
      </c>
      <c r="W3971" s="1008" t="s">
        <v>546</v>
      </c>
      <c r="X3971" s="1008"/>
      <c r="Y3971" s="1008"/>
      <c r="Z3971" s="1008"/>
      <c r="AA3971" s="1008"/>
      <c r="AB3971" s="1008"/>
      <c r="AC3971" s="1008"/>
      <c r="AD3971" s="1008"/>
      <c r="AE3971" s="1008"/>
      <c r="AF3971" s="1008"/>
      <c r="AG3971" s="1008"/>
      <c r="AH3971" s="1008"/>
      <c r="AI3971" s="1008"/>
    </row>
    <row r="3972" spans="1:35">
      <c r="A3972" s="1008">
        <v>26631</v>
      </c>
      <c r="C3972" s="1008">
        <v>4</v>
      </c>
      <c r="D3972" s="1009">
        <v>89999900</v>
      </c>
      <c r="E3972" s="1009">
        <v>89599999</v>
      </c>
      <c r="F3972" s="1007" t="s">
        <v>994</v>
      </c>
      <c r="O3972" s="1007" t="s">
        <v>648</v>
      </c>
      <c r="P3972" s="1007" t="s">
        <v>648</v>
      </c>
      <c r="S3972" s="1008" t="s">
        <v>657</v>
      </c>
      <c r="T3972" s="1008" t="s">
        <v>21</v>
      </c>
      <c r="U3972" s="1008" t="s">
        <v>653</v>
      </c>
      <c r="V3972" s="1008" t="s">
        <v>648</v>
      </c>
      <c r="W3972" s="1008" t="s">
        <v>546</v>
      </c>
      <c r="X3972" s="1008"/>
      <c r="Y3972" s="1008"/>
      <c r="Z3972" s="1008"/>
      <c r="AA3972" s="1008"/>
      <c r="AB3972" s="1008"/>
      <c r="AC3972" s="1008"/>
      <c r="AD3972" s="1008"/>
      <c r="AE3972" s="1008"/>
      <c r="AF3972" s="1008"/>
      <c r="AG3972" s="1008"/>
      <c r="AH3972" s="1008"/>
      <c r="AI3972" s="1008"/>
    </row>
    <row r="3973" spans="1:35">
      <c r="A3973" s="1008">
        <v>25734</v>
      </c>
      <c r="C3973" s="1008">
        <v>3</v>
      </c>
      <c r="D3973" s="1009">
        <v>89999990</v>
      </c>
      <c r="E3973" s="1009">
        <v>89999900</v>
      </c>
      <c r="F3973" s="1007" t="s">
        <v>993</v>
      </c>
      <c r="O3973" s="1007" t="s">
        <v>648</v>
      </c>
      <c r="P3973" s="1007" t="s">
        <v>648</v>
      </c>
      <c r="S3973" s="1008" t="s">
        <v>657</v>
      </c>
      <c r="T3973" s="1008" t="s">
        <v>21</v>
      </c>
      <c r="U3973" s="1008" t="s">
        <v>653</v>
      </c>
      <c r="V3973" s="1008" t="s">
        <v>648</v>
      </c>
      <c r="W3973" s="1008" t="s">
        <v>546</v>
      </c>
      <c r="X3973" s="1008"/>
      <c r="Y3973" s="1008"/>
      <c r="Z3973" s="1008"/>
      <c r="AA3973" s="1008"/>
      <c r="AB3973" s="1008"/>
      <c r="AC3973" s="1008"/>
      <c r="AD3973" s="1008"/>
      <c r="AE3973" s="1008"/>
      <c r="AF3973" s="1008"/>
      <c r="AG3973" s="1008"/>
      <c r="AH3973" s="1008"/>
      <c r="AI3973" s="1008"/>
    </row>
    <row r="3974" spans="1:35">
      <c r="A3974" s="1008">
        <v>25735</v>
      </c>
      <c r="C3974" s="1008">
        <v>3</v>
      </c>
      <c r="D3974" s="1009">
        <v>89999989</v>
      </c>
      <c r="E3974" s="1009">
        <v>89999901</v>
      </c>
      <c r="F3974" s="1007" t="s">
        <v>992</v>
      </c>
      <c r="O3974" s="1007" t="s">
        <v>648</v>
      </c>
      <c r="P3974" s="1007" t="s">
        <v>648</v>
      </c>
      <c r="S3974" s="1008" t="s">
        <v>657</v>
      </c>
      <c r="T3974" s="1008" t="s">
        <v>675</v>
      </c>
      <c r="U3974" s="1008" t="s">
        <v>653</v>
      </c>
      <c r="V3974" s="1008" t="s">
        <v>648</v>
      </c>
      <c r="W3974" s="1008" t="s">
        <v>546</v>
      </c>
      <c r="X3974" s="1008"/>
      <c r="Y3974" s="1008"/>
      <c r="Z3974" s="1008"/>
      <c r="AA3974" s="1008"/>
      <c r="AB3974" s="1008"/>
      <c r="AC3974" s="1008"/>
      <c r="AD3974" s="1008"/>
      <c r="AE3974" s="1008"/>
      <c r="AF3974" s="1008"/>
      <c r="AG3974" s="1008"/>
      <c r="AH3974" s="1008"/>
      <c r="AI3974" s="1008"/>
    </row>
    <row r="3975" spans="1:35">
      <c r="A3975" s="1008">
        <v>25736</v>
      </c>
      <c r="C3975" s="1008">
        <v>4</v>
      </c>
      <c r="D3975" s="1009">
        <v>89999919</v>
      </c>
      <c r="E3975" s="1009">
        <v>89999910</v>
      </c>
      <c r="F3975" s="1007" t="s">
        <v>992</v>
      </c>
      <c r="O3975" s="1007" t="s">
        <v>648</v>
      </c>
      <c r="P3975" s="1007" t="s">
        <v>648</v>
      </c>
      <c r="S3975" s="1008" t="s">
        <v>657</v>
      </c>
      <c r="T3975" s="1008" t="s">
        <v>675</v>
      </c>
      <c r="U3975" s="1008" t="s">
        <v>653</v>
      </c>
      <c r="V3975" s="1008" t="s">
        <v>648</v>
      </c>
      <c r="W3975" s="1008" t="s">
        <v>546</v>
      </c>
      <c r="X3975" s="1008"/>
      <c r="Y3975" s="1008"/>
      <c r="Z3975" s="1008"/>
      <c r="AA3975" s="1008"/>
      <c r="AB3975" s="1008"/>
      <c r="AC3975" s="1008"/>
      <c r="AD3975" s="1008"/>
      <c r="AE3975" s="1008"/>
      <c r="AF3975" s="1008"/>
      <c r="AG3975" s="1008"/>
      <c r="AH3975" s="1008"/>
      <c r="AI3975" s="1008"/>
    </row>
    <row r="3976" spans="1:35">
      <c r="A3976" s="1008">
        <v>25737</v>
      </c>
      <c r="C3976" s="1008">
        <v>5</v>
      </c>
      <c r="D3976" s="1009">
        <v>89999914</v>
      </c>
      <c r="E3976" s="1009">
        <v>89999911</v>
      </c>
      <c r="F3976" s="1007" t="s">
        <v>991</v>
      </c>
      <c r="O3976" s="1007" t="s">
        <v>648</v>
      </c>
      <c r="P3976" s="1007" t="s">
        <v>648</v>
      </c>
      <c r="S3976" s="1008" t="s">
        <v>657</v>
      </c>
      <c r="T3976" s="1008" t="s">
        <v>675</v>
      </c>
      <c r="U3976" s="1008" t="s">
        <v>653</v>
      </c>
      <c r="V3976" s="1008" t="s">
        <v>648</v>
      </c>
      <c r="W3976" s="1008" t="s">
        <v>546</v>
      </c>
      <c r="X3976" s="1008"/>
      <c r="Y3976" s="1008"/>
      <c r="Z3976" s="1008"/>
      <c r="AA3976" s="1008"/>
      <c r="AB3976" s="1008"/>
      <c r="AC3976" s="1008"/>
      <c r="AD3976" s="1008"/>
      <c r="AE3976" s="1008"/>
      <c r="AF3976" s="1008"/>
      <c r="AG3976" s="1008"/>
      <c r="AH3976" s="1008"/>
      <c r="AI3976" s="1008"/>
    </row>
    <row r="3977" spans="1:35">
      <c r="A3977" s="1008">
        <v>25738</v>
      </c>
      <c r="B3977" s="1008">
        <v>2585</v>
      </c>
      <c r="C3977" s="1008">
        <v>6</v>
      </c>
      <c r="D3977" s="1009">
        <v>89999914</v>
      </c>
      <c r="E3977" s="1009">
        <v>89999912</v>
      </c>
      <c r="F3977" s="1007" t="s">
        <v>990</v>
      </c>
      <c r="G3977" s="1007">
        <v>6</v>
      </c>
      <c r="H3977" s="1010">
        <v>99999999</v>
      </c>
      <c r="I3977" s="1009">
        <v>89999912</v>
      </c>
      <c r="J3977" s="1007" t="s">
        <v>990</v>
      </c>
      <c r="O3977" s="1007" t="s">
        <v>648</v>
      </c>
      <c r="P3977" s="1007" t="s">
        <v>648</v>
      </c>
      <c r="S3977" s="1008" t="s">
        <v>657</v>
      </c>
      <c r="T3977" s="1008" t="s">
        <v>654</v>
      </c>
      <c r="U3977" s="1008" t="s">
        <v>653</v>
      </c>
      <c r="V3977" s="1008" t="s">
        <v>648</v>
      </c>
      <c r="W3977" s="1008" t="s">
        <v>546</v>
      </c>
      <c r="X3977" s="1008" t="s">
        <v>670</v>
      </c>
      <c r="Y3977" s="1008" t="s">
        <v>670</v>
      </c>
      <c r="Z3977" s="1008" t="s">
        <v>670</v>
      </c>
      <c r="AA3977" s="1008" t="s">
        <v>670</v>
      </c>
      <c r="AB3977" s="1008" t="s">
        <v>670</v>
      </c>
      <c r="AC3977" s="1008" t="s">
        <v>670</v>
      </c>
      <c r="AD3977" s="1008" t="s">
        <v>670</v>
      </c>
      <c r="AE3977" s="1008"/>
      <c r="AF3977" s="1008" t="s">
        <v>670</v>
      </c>
      <c r="AG3977" s="1008"/>
      <c r="AH3977" s="1008"/>
      <c r="AI3977" s="1008"/>
    </row>
    <row r="3978" spans="1:35">
      <c r="A3978" s="1008">
        <v>25739</v>
      </c>
      <c r="B3978" s="1008">
        <v>5707</v>
      </c>
      <c r="C3978" s="1008">
        <v>6</v>
      </c>
      <c r="D3978" s="1009">
        <v>89999914</v>
      </c>
      <c r="E3978" s="1009">
        <v>89999913</v>
      </c>
      <c r="F3978" s="1007" t="s">
        <v>989</v>
      </c>
      <c r="G3978" s="1007">
        <v>6</v>
      </c>
      <c r="H3978" s="1010">
        <v>99999999</v>
      </c>
      <c r="I3978" s="1009">
        <v>89999913</v>
      </c>
      <c r="J3978" s="1007" t="s">
        <v>989</v>
      </c>
      <c r="O3978" s="1007" t="s">
        <v>648</v>
      </c>
      <c r="P3978" s="1007" t="s">
        <v>648</v>
      </c>
      <c r="S3978" s="1008" t="s">
        <v>650</v>
      </c>
      <c r="T3978" s="1008" t="s">
        <v>654</v>
      </c>
      <c r="U3978" s="1008" t="s">
        <v>653</v>
      </c>
      <c r="V3978" s="1008" t="s">
        <v>648</v>
      </c>
      <c r="W3978" s="1008" t="s">
        <v>546</v>
      </c>
      <c r="X3978" s="1008" t="s">
        <v>670</v>
      </c>
      <c r="Y3978" s="1008" t="s">
        <v>670</v>
      </c>
      <c r="Z3978" s="1008" t="s">
        <v>670</v>
      </c>
      <c r="AA3978" s="1008" t="s">
        <v>670</v>
      </c>
      <c r="AB3978" s="1008" t="s">
        <v>670</v>
      </c>
      <c r="AC3978" s="1008" t="s">
        <v>670</v>
      </c>
      <c r="AD3978" s="1008" t="s">
        <v>670</v>
      </c>
      <c r="AE3978" s="1008"/>
      <c r="AF3978" s="1008" t="s">
        <v>670</v>
      </c>
      <c r="AG3978" s="1008"/>
      <c r="AH3978" s="1008"/>
      <c r="AI3978" s="1008"/>
    </row>
    <row r="3979" spans="1:35">
      <c r="A3979" s="1008">
        <v>25740</v>
      </c>
      <c r="C3979" s="1008">
        <v>5</v>
      </c>
      <c r="D3979" s="1009">
        <v>89999919</v>
      </c>
      <c r="E3979" s="1009">
        <v>89999914</v>
      </c>
      <c r="F3979" s="1007" t="s">
        <v>988</v>
      </c>
      <c r="O3979" s="1007" t="s">
        <v>648</v>
      </c>
      <c r="P3979" s="1007" t="s">
        <v>648</v>
      </c>
      <c r="S3979" s="1008" t="s">
        <v>657</v>
      </c>
      <c r="T3979" s="1008" t="s">
        <v>21</v>
      </c>
      <c r="U3979" s="1008" t="s">
        <v>653</v>
      </c>
      <c r="V3979" s="1008" t="s">
        <v>648</v>
      </c>
      <c r="W3979" s="1008" t="s">
        <v>546</v>
      </c>
      <c r="X3979" s="1008"/>
      <c r="Y3979" s="1008"/>
      <c r="Z3979" s="1008"/>
      <c r="AA3979" s="1008"/>
      <c r="AB3979" s="1008"/>
      <c r="AC3979" s="1008"/>
      <c r="AD3979" s="1008"/>
      <c r="AE3979" s="1008"/>
      <c r="AF3979" s="1008"/>
      <c r="AG3979" s="1008"/>
      <c r="AH3979" s="1008"/>
      <c r="AI3979" s="1008"/>
    </row>
    <row r="3980" spans="1:35">
      <c r="A3980" s="1008">
        <v>25741</v>
      </c>
      <c r="C3980" s="1008">
        <v>5</v>
      </c>
      <c r="D3980" s="1009">
        <v>89999918</v>
      </c>
      <c r="E3980" s="1009">
        <v>89999915</v>
      </c>
      <c r="F3980" s="1007" t="s">
        <v>987</v>
      </c>
      <c r="O3980" s="1007" t="s">
        <v>648</v>
      </c>
      <c r="P3980" s="1007" t="s">
        <v>648</v>
      </c>
      <c r="S3980" s="1008" t="s">
        <v>657</v>
      </c>
      <c r="T3980" s="1008" t="s">
        <v>675</v>
      </c>
      <c r="U3980" s="1008" t="s">
        <v>653</v>
      </c>
      <c r="V3980" s="1008" t="s">
        <v>648</v>
      </c>
      <c r="W3980" s="1008" t="s">
        <v>546</v>
      </c>
      <c r="X3980" s="1008"/>
      <c r="Y3980" s="1008"/>
      <c r="Z3980" s="1008"/>
      <c r="AA3980" s="1008"/>
      <c r="AB3980" s="1008"/>
      <c r="AC3980" s="1008"/>
      <c r="AD3980" s="1008"/>
      <c r="AE3980" s="1008"/>
      <c r="AF3980" s="1008"/>
      <c r="AG3980" s="1008"/>
      <c r="AH3980" s="1008"/>
      <c r="AI3980" s="1008"/>
    </row>
    <row r="3981" spans="1:35">
      <c r="A3981" s="1008">
        <v>25742</v>
      </c>
      <c r="B3981" s="1008">
        <v>2587</v>
      </c>
      <c r="C3981" s="1008">
        <v>6</v>
      </c>
      <c r="D3981" s="1009">
        <v>89999918</v>
      </c>
      <c r="E3981" s="1009">
        <v>89999916</v>
      </c>
      <c r="F3981" s="1007" t="s">
        <v>986</v>
      </c>
      <c r="G3981" s="1007">
        <v>6</v>
      </c>
      <c r="H3981" s="1010">
        <v>99999999</v>
      </c>
      <c r="I3981" s="1009">
        <v>89999916</v>
      </c>
      <c r="J3981" s="1007" t="s">
        <v>986</v>
      </c>
      <c r="O3981" s="1007" t="s">
        <v>648</v>
      </c>
      <c r="P3981" s="1007" t="s">
        <v>648</v>
      </c>
      <c r="S3981" s="1008" t="s">
        <v>657</v>
      </c>
      <c r="T3981" s="1008" t="s">
        <v>654</v>
      </c>
      <c r="U3981" s="1008" t="s">
        <v>653</v>
      </c>
      <c r="V3981" s="1008" t="s">
        <v>648</v>
      </c>
      <c r="W3981" s="1008" t="s">
        <v>546</v>
      </c>
      <c r="X3981" s="1008" t="s">
        <v>670</v>
      </c>
      <c r="Y3981" s="1008" t="s">
        <v>670</v>
      </c>
      <c r="Z3981" s="1008" t="s">
        <v>670</v>
      </c>
      <c r="AA3981" s="1008" t="s">
        <v>670</v>
      </c>
      <c r="AB3981" s="1008" t="s">
        <v>670</v>
      </c>
      <c r="AC3981" s="1008" t="s">
        <v>670</v>
      </c>
      <c r="AD3981" s="1008" t="s">
        <v>670</v>
      </c>
      <c r="AE3981" s="1008"/>
      <c r="AF3981" s="1008" t="s">
        <v>670</v>
      </c>
      <c r="AG3981" s="1008"/>
      <c r="AH3981" s="1008"/>
      <c r="AI3981" s="1008"/>
    </row>
    <row r="3982" spans="1:35">
      <c r="A3982" s="1008">
        <v>25743</v>
      </c>
      <c r="B3982" s="1008">
        <v>5709</v>
      </c>
      <c r="C3982" s="1008">
        <v>6</v>
      </c>
      <c r="D3982" s="1009">
        <v>89999918</v>
      </c>
      <c r="E3982" s="1009">
        <v>89999917</v>
      </c>
      <c r="F3982" s="1007" t="s">
        <v>985</v>
      </c>
      <c r="G3982" s="1007">
        <v>6</v>
      </c>
      <c r="H3982" s="1010">
        <v>99999999</v>
      </c>
      <c r="I3982" s="1009">
        <v>89999917</v>
      </c>
      <c r="J3982" s="1007" t="s">
        <v>985</v>
      </c>
      <c r="O3982" s="1007" t="s">
        <v>648</v>
      </c>
      <c r="P3982" s="1007" t="s">
        <v>648</v>
      </c>
      <c r="S3982" s="1008" t="s">
        <v>650</v>
      </c>
      <c r="T3982" s="1008" t="s">
        <v>654</v>
      </c>
      <c r="U3982" s="1008" t="s">
        <v>653</v>
      </c>
      <c r="V3982" s="1008" t="s">
        <v>648</v>
      </c>
      <c r="W3982" s="1008" t="s">
        <v>546</v>
      </c>
      <c r="X3982" s="1008" t="s">
        <v>670</v>
      </c>
      <c r="Y3982" s="1008" t="s">
        <v>670</v>
      </c>
      <c r="Z3982" s="1008" t="s">
        <v>670</v>
      </c>
      <c r="AA3982" s="1008" t="s">
        <v>670</v>
      </c>
      <c r="AB3982" s="1008" t="s">
        <v>670</v>
      </c>
      <c r="AC3982" s="1008" t="s">
        <v>670</v>
      </c>
      <c r="AD3982" s="1008" t="s">
        <v>670</v>
      </c>
      <c r="AE3982" s="1008"/>
      <c r="AF3982" s="1008" t="s">
        <v>670</v>
      </c>
      <c r="AG3982" s="1008"/>
      <c r="AH3982" s="1008"/>
      <c r="AI3982" s="1008"/>
    </row>
    <row r="3983" spans="1:35">
      <c r="A3983" s="1008">
        <v>25744</v>
      </c>
      <c r="C3983" s="1008">
        <v>5</v>
      </c>
      <c r="D3983" s="1009">
        <v>89999919</v>
      </c>
      <c r="E3983" s="1009">
        <v>89999918</v>
      </c>
      <c r="F3983" s="1007" t="s">
        <v>984</v>
      </c>
      <c r="O3983" s="1007" t="s">
        <v>648</v>
      </c>
      <c r="P3983" s="1007" t="s">
        <v>648</v>
      </c>
      <c r="S3983" s="1008" t="s">
        <v>657</v>
      </c>
      <c r="T3983" s="1008" t="s">
        <v>21</v>
      </c>
      <c r="U3983" s="1008" t="s">
        <v>653</v>
      </c>
      <c r="V3983" s="1008" t="s">
        <v>648</v>
      </c>
      <c r="W3983" s="1008" t="s">
        <v>546</v>
      </c>
      <c r="X3983" s="1008"/>
      <c r="Y3983" s="1008"/>
      <c r="Z3983" s="1008"/>
      <c r="AA3983" s="1008"/>
      <c r="AB3983" s="1008"/>
      <c r="AC3983" s="1008"/>
      <c r="AD3983" s="1008"/>
      <c r="AE3983" s="1008"/>
      <c r="AF3983" s="1008"/>
      <c r="AG3983" s="1008"/>
      <c r="AH3983" s="1008"/>
      <c r="AI3983" s="1008"/>
    </row>
    <row r="3984" spans="1:35">
      <c r="A3984" s="1008">
        <v>25745</v>
      </c>
      <c r="C3984" s="1008">
        <v>4</v>
      </c>
      <c r="D3984" s="1009">
        <v>89999989</v>
      </c>
      <c r="E3984" s="1009">
        <v>89999919</v>
      </c>
      <c r="F3984" s="1007" t="s">
        <v>983</v>
      </c>
      <c r="O3984" s="1007" t="s">
        <v>648</v>
      </c>
      <c r="P3984" s="1007" t="s">
        <v>648</v>
      </c>
      <c r="S3984" s="1008" t="s">
        <v>657</v>
      </c>
      <c r="T3984" s="1008" t="s">
        <v>21</v>
      </c>
      <c r="U3984" s="1008" t="s">
        <v>653</v>
      </c>
      <c r="V3984" s="1008" t="s">
        <v>648</v>
      </c>
      <c r="W3984" s="1008" t="s">
        <v>546</v>
      </c>
      <c r="X3984" s="1008"/>
      <c r="Y3984" s="1008"/>
      <c r="Z3984" s="1008"/>
      <c r="AA3984" s="1008"/>
      <c r="AB3984" s="1008"/>
      <c r="AC3984" s="1008"/>
      <c r="AD3984" s="1008"/>
      <c r="AE3984" s="1008"/>
      <c r="AF3984" s="1008"/>
      <c r="AG3984" s="1008"/>
      <c r="AH3984" s="1008"/>
      <c r="AI3984" s="1008"/>
    </row>
    <row r="3985" spans="1:35">
      <c r="A3985" s="1008">
        <v>25746</v>
      </c>
      <c r="C3985" s="1008">
        <v>3</v>
      </c>
      <c r="D3985" s="1009">
        <v>89999990</v>
      </c>
      <c r="E3985" s="1009">
        <v>89999989</v>
      </c>
      <c r="F3985" s="1007" t="s">
        <v>983</v>
      </c>
      <c r="O3985" s="1007" t="s">
        <v>648</v>
      </c>
      <c r="P3985" s="1007" t="s">
        <v>648</v>
      </c>
      <c r="S3985" s="1008" t="s">
        <v>657</v>
      </c>
      <c r="T3985" s="1008" t="s">
        <v>21</v>
      </c>
      <c r="U3985" s="1008" t="s">
        <v>653</v>
      </c>
      <c r="V3985" s="1008" t="s">
        <v>648</v>
      </c>
      <c r="W3985" s="1008" t="s">
        <v>546</v>
      </c>
      <c r="X3985" s="1008"/>
      <c r="Y3985" s="1008"/>
      <c r="Z3985" s="1008"/>
      <c r="AA3985" s="1008"/>
      <c r="AB3985" s="1008"/>
      <c r="AC3985" s="1008"/>
      <c r="AD3985" s="1008"/>
      <c r="AE3985" s="1008"/>
      <c r="AF3985" s="1008"/>
      <c r="AG3985" s="1008"/>
      <c r="AH3985" s="1008"/>
      <c r="AI3985" s="1008"/>
    </row>
    <row r="3986" spans="1:35">
      <c r="A3986" s="1008">
        <v>25747</v>
      </c>
      <c r="C3986" s="1008">
        <v>2</v>
      </c>
      <c r="D3986" s="1009">
        <v>89999999</v>
      </c>
      <c r="E3986" s="1009">
        <v>89999990</v>
      </c>
      <c r="F3986" s="1007" t="s">
        <v>982</v>
      </c>
      <c r="O3986" s="1007" t="s">
        <v>648</v>
      </c>
      <c r="P3986" s="1007" t="s">
        <v>648</v>
      </c>
      <c r="S3986" s="1008" t="s">
        <v>657</v>
      </c>
      <c r="T3986" s="1008" t="s">
        <v>21</v>
      </c>
      <c r="U3986" s="1008" t="s">
        <v>653</v>
      </c>
      <c r="V3986" s="1008" t="s">
        <v>648</v>
      </c>
      <c r="W3986" s="1008" t="s">
        <v>546</v>
      </c>
      <c r="X3986" s="1008"/>
      <c r="Y3986" s="1008"/>
      <c r="Z3986" s="1008"/>
      <c r="AA3986" s="1008"/>
      <c r="AB3986" s="1008"/>
      <c r="AC3986" s="1008"/>
      <c r="AD3986" s="1008"/>
      <c r="AE3986" s="1008"/>
      <c r="AF3986" s="1008"/>
      <c r="AG3986" s="1008"/>
      <c r="AH3986" s="1008"/>
      <c r="AI3986" s="1008"/>
    </row>
    <row r="3987" spans="1:35">
      <c r="A3987" s="1008">
        <v>25748</v>
      </c>
      <c r="C3987" s="1008">
        <v>1</v>
      </c>
      <c r="D3987" s="1009">
        <v>99999999</v>
      </c>
      <c r="E3987" s="1009">
        <v>89999999</v>
      </c>
      <c r="F3987" s="1007" t="s">
        <v>981</v>
      </c>
      <c r="O3987" s="1007" t="s">
        <v>648</v>
      </c>
      <c r="P3987" s="1007" t="s">
        <v>648</v>
      </c>
      <c r="S3987" s="1008" t="s">
        <v>657</v>
      </c>
      <c r="T3987" s="1008" t="s">
        <v>21</v>
      </c>
      <c r="U3987" s="1008" t="s">
        <v>653</v>
      </c>
      <c r="V3987" s="1008" t="s">
        <v>648</v>
      </c>
      <c r="W3987" s="1008" t="s">
        <v>546</v>
      </c>
      <c r="X3987" s="1008"/>
      <c r="Y3987" s="1008"/>
      <c r="Z3987" s="1008"/>
      <c r="AA3987" s="1008"/>
      <c r="AB3987" s="1008"/>
      <c r="AC3987" s="1008"/>
      <c r="AD3987" s="1008"/>
      <c r="AE3987" s="1008"/>
      <c r="AF3987" s="1008"/>
      <c r="AG3987" s="1008"/>
      <c r="AH3987" s="1008"/>
      <c r="AI3987" s="1008"/>
    </row>
    <row r="3988" spans="1:35">
      <c r="A3988" s="1008">
        <v>27345</v>
      </c>
      <c r="C3988" s="1008">
        <v>1</v>
      </c>
      <c r="D3988" s="1009">
        <v>99999999</v>
      </c>
      <c r="E3988" s="1009">
        <v>99000000</v>
      </c>
      <c r="F3988" s="1007" t="s">
        <v>980</v>
      </c>
      <c r="O3988" s="1007" t="s">
        <v>648</v>
      </c>
      <c r="P3988" s="1007" t="s">
        <v>648</v>
      </c>
      <c r="S3988" s="1008" t="s">
        <v>650</v>
      </c>
      <c r="T3988" s="1008" t="s">
        <v>675</v>
      </c>
      <c r="U3988" s="1008" t="s">
        <v>649</v>
      </c>
      <c r="V3988" s="1008" t="s">
        <v>648</v>
      </c>
      <c r="W3988" s="1008" t="s">
        <v>546</v>
      </c>
      <c r="X3988" s="1008"/>
      <c r="Y3988" s="1008"/>
      <c r="Z3988" s="1008"/>
      <c r="AA3988" s="1008"/>
      <c r="AB3988" s="1008"/>
      <c r="AC3988" s="1008"/>
      <c r="AD3988" s="1008"/>
      <c r="AE3988" s="1008"/>
      <c r="AF3988" s="1008"/>
      <c r="AG3988" s="1008"/>
      <c r="AH3988" s="1008"/>
      <c r="AI3988" s="1008"/>
    </row>
    <row r="3989" spans="1:35">
      <c r="A3989" s="1008">
        <v>27346</v>
      </c>
      <c r="C3989" s="1008">
        <v>2</v>
      </c>
      <c r="D3989" s="1009">
        <v>99010999</v>
      </c>
      <c r="E3989" s="1009">
        <v>99010000</v>
      </c>
      <c r="F3989" s="1007" t="s">
        <v>979</v>
      </c>
      <c r="O3989" s="1007" t="s">
        <v>648</v>
      </c>
      <c r="P3989" s="1007" t="s">
        <v>648</v>
      </c>
      <c r="S3989" s="1008" t="s">
        <v>650</v>
      </c>
      <c r="T3989" s="1008" t="s">
        <v>675</v>
      </c>
      <c r="U3989" s="1008" t="s">
        <v>649</v>
      </c>
      <c r="V3989" s="1008" t="s">
        <v>648</v>
      </c>
      <c r="W3989" s="1008" t="s">
        <v>546</v>
      </c>
      <c r="X3989" s="1008"/>
      <c r="Y3989" s="1008"/>
      <c r="Z3989" s="1008"/>
      <c r="AA3989" s="1008"/>
      <c r="AB3989" s="1008"/>
      <c r="AC3989" s="1008"/>
      <c r="AD3989" s="1008"/>
      <c r="AE3989" s="1008"/>
      <c r="AF3989" s="1008"/>
      <c r="AG3989" s="1008"/>
      <c r="AH3989" s="1008"/>
      <c r="AI3989" s="1008"/>
    </row>
    <row r="3990" spans="1:35">
      <c r="A3990" s="1008">
        <v>27347</v>
      </c>
      <c r="B3990" s="1008">
        <v>6257</v>
      </c>
      <c r="C3990" s="1008">
        <v>3</v>
      </c>
      <c r="D3990" s="1009">
        <v>99010999</v>
      </c>
      <c r="E3990" s="1009">
        <v>99010010</v>
      </c>
      <c r="F3990" s="1007" t="s">
        <v>978</v>
      </c>
      <c r="G3990" s="1007" t="s">
        <v>648</v>
      </c>
      <c r="H3990" s="1010">
        <v>99999999</v>
      </c>
      <c r="I3990" s="1009">
        <v>99010010</v>
      </c>
      <c r="J3990" s="1007" t="s">
        <v>978</v>
      </c>
      <c r="O3990" s="1007" t="s">
        <v>648</v>
      </c>
      <c r="P3990" s="1007" t="s">
        <v>648</v>
      </c>
      <c r="S3990" s="1008" t="s">
        <v>650</v>
      </c>
      <c r="T3990" s="1008" t="s">
        <v>654</v>
      </c>
      <c r="U3990" s="1008" t="s">
        <v>649</v>
      </c>
      <c r="V3990" s="1008" t="s">
        <v>648</v>
      </c>
      <c r="W3990" s="1008" t="s">
        <v>546</v>
      </c>
      <c r="X3990" s="1008" t="s">
        <v>670</v>
      </c>
      <c r="Y3990" s="1008" t="s">
        <v>670</v>
      </c>
      <c r="Z3990" s="1008"/>
      <c r="AA3990" s="1008"/>
      <c r="AB3990" s="1008"/>
      <c r="AC3990" s="1008"/>
      <c r="AD3990" s="1008"/>
      <c r="AE3990" s="1008"/>
      <c r="AF3990" s="1008" t="s">
        <v>670</v>
      </c>
      <c r="AG3990" s="1008"/>
      <c r="AH3990" s="1008"/>
      <c r="AI3990" s="1008"/>
    </row>
    <row r="3991" spans="1:35">
      <c r="A3991" s="1008">
        <v>27348</v>
      </c>
      <c r="B3991" s="1008">
        <v>6258</v>
      </c>
      <c r="C3991" s="1008">
        <v>3</v>
      </c>
      <c r="D3991" s="1009">
        <v>99010999</v>
      </c>
      <c r="E3991" s="1009">
        <v>99010020</v>
      </c>
      <c r="F3991" s="1007" t="s">
        <v>977</v>
      </c>
      <c r="G3991" s="1007" t="s">
        <v>648</v>
      </c>
      <c r="H3991" s="1010">
        <v>99999999</v>
      </c>
      <c r="I3991" s="1009">
        <v>99010020</v>
      </c>
      <c r="J3991" s="1007" t="s">
        <v>977</v>
      </c>
      <c r="O3991" s="1007" t="s">
        <v>648</v>
      </c>
      <c r="P3991" s="1007" t="s">
        <v>648</v>
      </c>
      <c r="S3991" s="1008" t="s">
        <v>650</v>
      </c>
      <c r="T3991" s="1008" t="s">
        <v>654</v>
      </c>
      <c r="U3991" s="1008" t="s">
        <v>649</v>
      </c>
      <c r="V3991" s="1008" t="s">
        <v>648</v>
      </c>
      <c r="W3991" s="1008" t="s">
        <v>546</v>
      </c>
      <c r="X3991" s="1008" t="s">
        <v>670</v>
      </c>
      <c r="Y3991" s="1008" t="s">
        <v>670</v>
      </c>
      <c r="Z3991" s="1008"/>
      <c r="AA3991" s="1008"/>
      <c r="AB3991" s="1008"/>
      <c r="AC3991" s="1008"/>
      <c r="AD3991" s="1008"/>
      <c r="AE3991" s="1008"/>
      <c r="AF3991" s="1008" t="s">
        <v>670</v>
      </c>
      <c r="AG3991" s="1008"/>
      <c r="AH3991" s="1008"/>
      <c r="AI3991" s="1008"/>
    </row>
    <row r="3992" spans="1:35">
      <c r="A3992" s="1008">
        <v>27349</v>
      </c>
      <c r="B3992" s="1008">
        <v>6259</v>
      </c>
      <c r="C3992" s="1008">
        <v>3</v>
      </c>
      <c r="D3992" s="1009">
        <v>99010999</v>
      </c>
      <c r="E3992" s="1009">
        <v>99010030</v>
      </c>
      <c r="F3992" s="1007" t="s">
        <v>976</v>
      </c>
      <c r="G3992" s="1007" t="s">
        <v>648</v>
      </c>
      <c r="H3992" s="1010">
        <v>99999999</v>
      </c>
      <c r="I3992" s="1009">
        <v>99010030</v>
      </c>
      <c r="J3992" s="1007" t="s">
        <v>975</v>
      </c>
      <c r="O3992" s="1007" t="s">
        <v>648</v>
      </c>
      <c r="P3992" s="1007" t="s">
        <v>648</v>
      </c>
      <c r="S3992" s="1008" t="s">
        <v>650</v>
      </c>
      <c r="T3992" s="1008" t="s">
        <v>654</v>
      </c>
      <c r="U3992" s="1008" t="s">
        <v>649</v>
      </c>
      <c r="V3992" s="1008" t="s">
        <v>648</v>
      </c>
      <c r="W3992" s="1008" t="s">
        <v>546</v>
      </c>
      <c r="X3992" s="1008" t="s">
        <v>670</v>
      </c>
      <c r="Y3992" s="1008" t="s">
        <v>670</v>
      </c>
      <c r="Z3992" s="1008"/>
      <c r="AA3992" s="1008"/>
      <c r="AB3992" s="1008"/>
      <c r="AC3992" s="1008"/>
      <c r="AD3992" s="1008"/>
      <c r="AE3992" s="1008"/>
      <c r="AF3992" s="1008" t="s">
        <v>670</v>
      </c>
      <c r="AG3992" s="1008"/>
      <c r="AH3992" s="1008"/>
      <c r="AI3992" s="1008"/>
    </row>
    <row r="3993" spans="1:35">
      <c r="A3993" s="1008">
        <v>27350</v>
      </c>
      <c r="B3993" s="1008">
        <v>6260</v>
      </c>
      <c r="C3993" s="1008">
        <v>3</v>
      </c>
      <c r="D3993" s="1009">
        <v>99010999</v>
      </c>
      <c r="E3993" s="1009">
        <v>99010040</v>
      </c>
      <c r="F3993" s="1007" t="s">
        <v>974</v>
      </c>
      <c r="G3993" s="1007" t="s">
        <v>648</v>
      </c>
      <c r="H3993" s="1010">
        <v>99999999</v>
      </c>
      <c r="I3993" s="1009">
        <v>99010040</v>
      </c>
      <c r="J3993" s="1007" t="s">
        <v>973</v>
      </c>
      <c r="O3993" s="1007" t="s">
        <v>648</v>
      </c>
      <c r="P3993" s="1007" t="s">
        <v>648</v>
      </c>
      <c r="S3993" s="1008" t="s">
        <v>650</v>
      </c>
      <c r="T3993" s="1008" t="s">
        <v>654</v>
      </c>
      <c r="U3993" s="1008" t="s">
        <v>649</v>
      </c>
      <c r="V3993" s="1008" t="s">
        <v>648</v>
      </c>
      <c r="W3993" s="1008" t="s">
        <v>546</v>
      </c>
      <c r="X3993" s="1008" t="s">
        <v>670</v>
      </c>
      <c r="Y3993" s="1008" t="s">
        <v>670</v>
      </c>
      <c r="Z3993" s="1008"/>
      <c r="AA3993" s="1008"/>
      <c r="AB3993" s="1008"/>
      <c r="AC3993" s="1008"/>
      <c r="AD3993" s="1008"/>
      <c r="AE3993" s="1008"/>
      <c r="AF3993" s="1008" t="s">
        <v>670</v>
      </c>
      <c r="AG3993" s="1008"/>
      <c r="AH3993" s="1008"/>
      <c r="AI3993" s="1008"/>
    </row>
    <row r="3994" spans="1:35">
      <c r="A3994" s="1008">
        <v>27351</v>
      </c>
      <c r="B3994" s="1008">
        <v>6261</v>
      </c>
      <c r="C3994" s="1008">
        <v>3</v>
      </c>
      <c r="D3994" s="1009">
        <v>99010999</v>
      </c>
      <c r="E3994" s="1009">
        <v>99010050</v>
      </c>
      <c r="F3994" s="1007" t="s">
        <v>972</v>
      </c>
      <c r="G3994" s="1007" t="s">
        <v>648</v>
      </c>
      <c r="H3994" s="1010">
        <v>99999999</v>
      </c>
      <c r="I3994" s="1009">
        <v>99010050</v>
      </c>
      <c r="J3994" s="1007" t="s">
        <v>972</v>
      </c>
      <c r="O3994" s="1007" t="s">
        <v>648</v>
      </c>
      <c r="P3994" s="1007" t="s">
        <v>648</v>
      </c>
      <c r="S3994" s="1008" t="s">
        <v>650</v>
      </c>
      <c r="T3994" s="1008" t="s">
        <v>654</v>
      </c>
      <c r="U3994" s="1008" t="s">
        <v>649</v>
      </c>
      <c r="V3994" s="1008" t="s">
        <v>648</v>
      </c>
      <c r="W3994" s="1008" t="s">
        <v>546</v>
      </c>
      <c r="X3994" s="1008" t="s">
        <v>670</v>
      </c>
      <c r="Y3994" s="1008" t="s">
        <v>670</v>
      </c>
      <c r="Z3994" s="1008"/>
      <c r="AA3994" s="1008"/>
      <c r="AB3994" s="1008"/>
      <c r="AC3994" s="1008"/>
      <c r="AD3994" s="1008"/>
      <c r="AE3994" s="1008"/>
      <c r="AF3994" s="1008" t="s">
        <v>670</v>
      </c>
      <c r="AG3994" s="1008"/>
      <c r="AH3994" s="1008"/>
      <c r="AI3994" s="1008"/>
    </row>
    <row r="3995" spans="1:35">
      <c r="A3995" s="1008">
        <v>27352</v>
      </c>
      <c r="B3995" s="1008">
        <v>6262</v>
      </c>
      <c r="C3995" s="1008">
        <v>3</v>
      </c>
      <c r="D3995" s="1009">
        <v>99010999</v>
      </c>
      <c r="E3995" s="1009">
        <v>99010900</v>
      </c>
      <c r="F3995" s="1007" t="s">
        <v>971</v>
      </c>
      <c r="G3995" s="1007" t="s">
        <v>648</v>
      </c>
      <c r="H3995" s="1010">
        <v>99999999</v>
      </c>
      <c r="I3995" s="1009">
        <v>99010900</v>
      </c>
      <c r="J3995" s="1007" t="s">
        <v>971</v>
      </c>
      <c r="O3995" s="1007" t="s">
        <v>648</v>
      </c>
      <c r="P3995" s="1007" t="s">
        <v>648</v>
      </c>
      <c r="S3995" s="1008" t="s">
        <v>650</v>
      </c>
      <c r="T3995" s="1008" t="s">
        <v>654</v>
      </c>
      <c r="U3995" s="1008" t="s">
        <v>649</v>
      </c>
      <c r="V3995" s="1008" t="s">
        <v>648</v>
      </c>
      <c r="W3995" s="1008" t="s">
        <v>546</v>
      </c>
      <c r="X3995" s="1008" t="s">
        <v>670</v>
      </c>
      <c r="Y3995" s="1008" t="s">
        <v>670</v>
      </c>
      <c r="Z3995" s="1008"/>
      <c r="AA3995" s="1008"/>
      <c r="AB3995" s="1008"/>
      <c r="AC3995" s="1008"/>
      <c r="AD3995" s="1008"/>
      <c r="AE3995" s="1008"/>
      <c r="AF3995" s="1008" t="s">
        <v>670</v>
      </c>
      <c r="AG3995" s="1008"/>
      <c r="AH3995" s="1008"/>
      <c r="AI3995" s="1008"/>
    </row>
    <row r="3996" spans="1:35">
      <c r="A3996" s="1008">
        <v>27353</v>
      </c>
      <c r="C3996" s="1008">
        <v>2</v>
      </c>
      <c r="D3996" s="1009">
        <v>99099999</v>
      </c>
      <c r="E3996" s="1009">
        <v>99010999</v>
      </c>
      <c r="F3996" s="1007" t="s">
        <v>970</v>
      </c>
      <c r="O3996" s="1007" t="s">
        <v>648</v>
      </c>
      <c r="P3996" s="1007" t="s">
        <v>648</v>
      </c>
      <c r="S3996" s="1008" t="s">
        <v>650</v>
      </c>
      <c r="T3996" s="1008" t="s">
        <v>21</v>
      </c>
      <c r="U3996" s="1008" t="s">
        <v>649</v>
      </c>
      <c r="V3996" s="1008" t="s">
        <v>648</v>
      </c>
      <c r="W3996" s="1008" t="s">
        <v>546</v>
      </c>
      <c r="X3996" s="1008"/>
      <c r="Y3996" s="1008"/>
      <c r="Z3996" s="1008"/>
      <c r="AA3996" s="1008"/>
      <c r="AB3996" s="1008"/>
      <c r="AC3996" s="1008"/>
      <c r="AD3996" s="1008"/>
      <c r="AE3996" s="1008"/>
      <c r="AF3996" s="1008"/>
      <c r="AG3996" s="1008"/>
      <c r="AH3996" s="1008"/>
      <c r="AI3996" s="1008"/>
    </row>
    <row r="3997" spans="1:35">
      <c r="A3997" s="1008">
        <v>27354</v>
      </c>
      <c r="C3997" s="1008">
        <v>2</v>
      </c>
      <c r="D3997" s="1009">
        <v>99011999</v>
      </c>
      <c r="E3997" s="1009">
        <v>99011000</v>
      </c>
      <c r="F3997" s="1007" t="s">
        <v>969</v>
      </c>
      <c r="O3997" s="1007" t="s">
        <v>648</v>
      </c>
      <c r="P3997" s="1007" t="s">
        <v>648</v>
      </c>
      <c r="S3997" s="1008" t="s">
        <v>650</v>
      </c>
      <c r="T3997" s="1008" t="s">
        <v>675</v>
      </c>
      <c r="U3997" s="1008" t="s">
        <v>649</v>
      </c>
      <c r="V3997" s="1008" t="s">
        <v>648</v>
      </c>
      <c r="W3997" s="1008" t="s">
        <v>546</v>
      </c>
      <c r="X3997" s="1008"/>
      <c r="Y3997" s="1008"/>
      <c r="Z3997" s="1008"/>
      <c r="AA3997" s="1008"/>
      <c r="AB3997" s="1008"/>
      <c r="AC3997" s="1008"/>
      <c r="AD3997" s="1008"/>
      <c r="AE3997" s="1008"/>
      <c r="AF3997" s="1008"/>
      <c r="AG3997" s="1008"/>
      <c r="AH3997" s="1008"/>
      <c r="AI3997" s="1008"/>
    </row>
    <row r="3998" spans="1:35">
      <c r="A3998" s="1008">
        <v>27355</v>
      </c>
      <c r="B3998" s="1008">
        <v>6263</v>
      </c>
      <c r="C3998" s="1008">
        <v>3</v>
      </c>
      <c r="D3998" s="1009">
        <v>99011999</v>
      </c>
      <c r="E3998" s="1009">
        <v>99011010</v>
      </c>
      <c r="F3998" s="1007" t="s">
        <v>968</v>
      </c>
      <c r="G3998" s="1007" t="s">
        <v>648</v>
      </c>
      <c r="H3998" s="1010">
        <v>99999999</v>
      </c>
      <c r="I3998" s="1009">
        <v>99011010</v>
      </c>
      <c r="J3998" s="1007" t="s">
        <v>968</v>
      </c>
      <c r="O3998" s="1007" t="s">
        <v>648</v>
      </c>
      <c r="P3998" s="1007" t="s">
        <v>648</v>
      </c>
      <c r="S3998" s="1008" t="s">
        <v>650</v>
      </c>
      <c r="T3998" s="1008" t="s">
        <v>654</v>
      </c>
      <c r="U3998" s="1008" t="s">
        <v>649</v>
      </c>
      <c r="V3998" s="1008" t="s">
        <v>648</v>
      </c>
      <c r="W3998" s="1008" t="s">
        <v>546</v>
      </c>
      <c r="X3998" s="1008" t="s">
        <v>670</v>
      </c>
      <c r="Y3998" s="1008" t="s">
        <v>670</v>
      </c>
      <c r="Z3998" s="1008"/>
      <c r="AA3998" s="1008"/>
      <c r="AB3998" s="1008"/>
      <c r="AC3998" s="1008"/>
      <c r="AD3998" s="1008"/>
      <c r="AE3998" s="1008"/>
      <c r="AF3998" s="1008" t="s">
        <v>670</v>
      </c>
      <c r="AG3998" s="1008"/>
      <c r="AH3998" s="1008"/>
      <c r="AI3998" s="1008"/>
    </row>
    <row r="3999" spans="1:35">
      <c r="A3999" s="1008">
        <v>27356</v>
      </c>
      <c r="B3999" s="1008">
        <v>6264</v>
      </c>
      <c r="C3999" s="1008">
        <v>3</v>
      </c>
      <c r="D3999" s="1009">
        <v>99011999</v>
      </c>
      <c r="E3999" s="1009">
        <v>99011020</v>
      </c>
      <c r="F3999" s="1007" t="s">
        <v>967</v>
      </c>
      <c r="G3999" s="1007" t="s">
        <v>648</v>
      </c>
      <c r="H3999" s="1010">
        <v>99999999</v>
      </c>
      <c r="I3999" s="1009">
        <v>99011020</v>
      </c>
      <c r="J3999" s="1007" t="s">
        <v>967</v>
      </c>
      <c r="O3999" s="1007" t="s">
        <v>648</v>
      </c>
      <c r="P3999" s="1007" t="s">
        <v>648</v>
      </c>
      <c r="S3999" s="1008" t="s">
        <v>650</v>
      </c>
      <c r="T3999" s="1008" t="s">
        <v>654</v>
      </c>
      <c r="U3999" s="1008" t="s">
        <v>649</v>
      </c>
      <c r="V3999" s="1008" t="s">
        <v>648</v>
      </c>
      <c r="W3999" s="1008" t="s">
        <v>546</v>
      </c>
      <c r="X3999" s="1008" t="s">
        <v>670</v>
      </c>
      <c r="Y3999" s="1008" t="s">
        <v>670</v>
      </c>
      <c r="Z3999" s="1008"/>
      <c r="AA3999" s="1008"/>
      <c r="AB3999" s="1008"/>
      <c r="AC3999" s="1008"/>
      <c r="AD3999" s="1008"/>
      <c r="AE3999" s="1008"/>
      <c r="AF3999" s="1008" t="s">
        <v>670</v>
      </c>
      <c r="AG3999" s="1008"/>
      <c r="AH3999" s="1008"/>
      <c r="AI3999" s="1008"/>
    </row>
    <row r="4000" spans="1:35">
      <c r="A4000" s="1008">
        <v>27357</v>
      </c>
      <c r="B4000" s="1008">
        <v>6265</v>
      </c>
      <c r="C4000" s="1008">
        <v>3</v>
      </c>
      <c r="D4000" s="1009">
        <v>99011999</v>
      </c>
      <c r="E4000" s="1009">
        <v>99011030</v>
      </c>
      <c r="F4000" s="1007" t="s">
        <v>966</v>
      </c>
      <c r="G4000" s="1007" t="s">
        <v>648</v>
      </c>
      <c r="H4000" s="1010">
        <v>99999999</v>
      </c>
      <c r="I4000" s="1009">
        <v>99011030</v>
      </c>
      <c r="J4000" s="1007" t="s">
        <v>965</v>
      </c>
      <c r="O4000" s="1007" t="s">
        <v>648</v>
      </c>
      <c r="P4000" s="1007" t="s">
        <v>648</v>
      </c>
      <c r="S4000" s="1008" t="s">
        <v>650</v>
      </c>
      <c r="T4000" s="1008" t="s">
        <v>654</v>
      </c>
      <c r="U4000" s="1008" t="s">
        <v>649</v>
      </c>
      <c r="V4000" s="1008" t="s">
        <v>648</v>
      </c>
      <c r="W4000" s="1008" t="s">
        <v>546</v>
      </c>
      <c r="X4000" s="1008" t="s">
        <v>670</v>
      </c>
      <c r="Y4000" s="1008" t="s">
        <v>670</v>
      </c>
      <c r="Z4000" s="1008"/>
      <c r="AA4000" s="1008"/>
      <c r="AB4000" s="1008"/>
      <c r="AC4000" s="1008"/>
      <c r="AD4000" s="1008"/>
      <c r="AE4000" s="1008"/>
      <c r="AF4000" s="1008" t="s">
        <v>670</v>
      </c>
      <c r="AG4000" s="1008"/>
      <c r="AH4000" s="1008"/>
      <c r="AI4000" s="1008"/>
    </row>
    <row r="4001" spans="1:35">
      <c r="A4001" s="1008">
        <v>27358</v>
      </c>
      <c r="B4001" s="1008">
        <v>6266</v>
      </c>
      <c r="C4001" s="1008">
        <v>3</v>
      </c>
      <c r="D4001" s="1009">
        <v>99011999</v>
      </c>
      <c r="E4001" s="1009">
        <v>99011040</v>
      </c>
      <c r="F4001" s="1007" t="s">
        <v>964</v>
      </c>
      <c r="G4001" s="1007" t="s">
        <v>648</v>
      </c>
      <c r="H4001" s="1010">
        <v>99999999</v>
      </c>
      <c r="I4001" s="1009">
        <v>99011040</v>
      </c>
      <c r="J4001" s="1007" t="s">
        <v>963</v>
      </c>
      <c r="O4001" s="1007" t="s">
        <v>648</v>
      </c>
      <c r="P4001" s="1007" t="s">
        <v>648</v>
      </c>
      <c r="S4001" s="1008" t="s">
        <v>650</v>
      </c>
      <c r="T4001" s="1008" t="s">
        <v>654</v>
      </c>
      <c r="U4001" s="1008" t="s">
        <v>649</v>
      </c>
      <c r="V4001" s="1008" t="s">
        <v>648</v>
      </c>
      <c r="W4001" s="1008" t="s">
        <v>546</v>
      </c>
      <c r="X4001" s="1008" t="s">
        <v>670</v>
      </c>
      <c r="Y4001" s="1008" t="s">
        <v>670</v>
      </c>
      <c r="Z4001" s="1008"/>
      <c r="AA4001" s="1008"/>
      <c r="AB4001" s="1008"/>
      <c r="AC4001" s="1008"/>
      <c r="AD4001" s="1008"/>
      <c r="AE4001" s="1008"/>
      <c r="AF4001" s="1008" t="s">
        <v>670</v>
      </c>
      <c r="AG4001" s="1008"/>
      <c r="AH4001" s="1008"/>
      <c r="AI4001" s="1008"/>
    </row>
    <row r="4002" spans="1:35">
      <c r="A4002" s="1008">
        <v>27359</v>
      </c>
      <c r="B4002" s="1008">
        <v>6267</v>
      </c>
      <c r="C4002" s="1008">
        <v>3</v>
      </c>
      <c r="D4002" s="1009">
        <v>99011999</v>
      </c>
      <c r="E4002" s="1009">
        <v>99011050</v>
      </c>
      <c r="F4002" s="1007" t="s">
        <v>962</v>
      </c>
      <c r="G4002" s="1007" t="s">
        <v>648</v>
      </c>
      <c r="H4002" s="1010">
        <v>99999999</v>
      </c>
      <c r="I4002" s="1009">
        <v>99011050</v>
      </c>
      <c r="J4002" s="1007" t="s">
        <v>961</v>
      </c>
      <c r="O4002" s="1007" t="s">
        <v>648</v>
      </c>
      <c r="P4002" s="1007" t="s">
        <v>648</v>
      </c>
      <c r="S4002" s="1008" t="s">
        <v>650</v>
      </c>
      <c r="T4002" s="1008" t="s">
        <v>654</v>
      </c>
      <c r="U4002" s="1008" t="s">
        <v>649</v>
      </c>
      <c r="V4002" s="1008" t="s">
        <v>648</v>
      </c>
      <c r="W4002" s="1008" t="s">
        <v>546</v>
      </c>
      <c r="X4002" s="1008" t="s">
        <v>670</v>
      </c>
      <c r="Y4002" s="1008" t="s">
        <v>670</v>
      </c>
      <c r="Z4002" s="1008"/>
      <c r="AA4002" s="1008"/>
      <c r="AB4002" s="1008"/>
      <c r="AC4002" s="1008"/>
      <c r="AD4002" s="1008"/>
      <c r="AE4002" s="1008"/>
      <c r="AF4002" s="1008" t="s">
        <v>670</v>
      </c>
      <c r="AG4002" s="1008"/>
      <c r="AH4002" s="1008"/>
      <c r="AI4002" s="1008"/>
    </row>
    <row r="4003" spans="1:35">
      <c r="A4003" s="1008">
        <v>27360</v>
      </c>
      <c r="B4003" s="1008">
        <v>6268</v>
      </c>
      <c r="C4003" s="1008">
        <v>3</v>
      </c>
      <c r="D4003" s="1009">
        <v>99011999</v>
      </c>
      <c r="E4003" s="1009">
        <v>99011900</v>
      </c>
      <c r="F4003" s="1007" t="s">
        <v>960</v>
      </c>
      <c r="G4003" s="1007" t="s">
        <v>648</v>
      </c>
      <c r="H4003" s="1010">
        <v>99999999</v>
      </c>
      <c r="I4003" s="1009">
        <v>99011900</v>
      </c>
      <c r="J4003" s="1007" t="s">
        <v>960</v>
      </c>
      <c r="O4003" s="1007" t="s">
        <v>648</v>
      </c>
      <c r="P4003" s="1007" t="s">
        <v>648</v>
      </c>
      <c r="S4003" s="1008" t="s">
        <v>650</v>
      </c>
      <c r="T4003" s="1008" t="s">
        <v>654</v>
      </c>
      <c r="U4003" s="1008" t="s">
        <v>649</v>
      </c>
      <c r="V4003" s="1008" t="s">
        <v>648</v>
      </c>
      <c r="W4003" s="1008" t="s">
        <v>546</v>
      </c>
      <c r="X4003" s="1008" t="s">
        <v>670</v>
      </c>
      <c r="Y4003" s="1008" t="s">
        <v>670</v>
      </c>
      <c r="Z4003" s="1008"/>
      <c r="AA4003" s="1008"/>
      <c r="AB4003" s="1008"/>
      <c r="AC4003" s="1008"/>
      <c r="AD4003" s="1008"/>
      <c r="AE4003" s="1008"/>
      <c r="AF4003" s="1008" t="s">
        <v>670</v>
      </c>
      <c r="AG4003" s="1008"/>
      <c r="AH4003" s="1008"/>
      <c r="AI4003" s="1008"/>
    </row>
    <row r="4004" spans="1:35">
      <c r="A4004" s="1008">
        <v>27361</v>
      </c>
      <c r="C4004" s="1008">
        <v>2</v>
      </c>
      <c r="D4004" s="1009">
        <v>99099999</v>
      </c>
      <c r="E4004" s="1009">
        <v>99011999</v>
      </c>
      <c r="F4004" s="1007" t="s">
        <v>959</v>
      </c>
      <c r="O4004" s="1007" t="s">
        <v>648</v>
      </c>
      <c r="P4004" s="1007" t="s">
        <v>648</v>
      </c>
      <c r="S4004" s="1008" t="s">
        <v>650</v>
      </c>
      <c r="T4004" s="1008" t="s">
        <v>21</v>
      </c>
      <c r="U4004" s="1008" t="s">
        <v>649</v>
      </c>
      <c r="V4004" s="1008" t="s">
        <v>648</v>
      </c>
      <c r="W4004" s="1008" t="s">
        <v>546</v>
      </c>
      <c r="X4004" s="1008"/>
      <c r="Y4004" s="1008"/>
      <c r="Z4004" s="1008"/>
      <c r="AA4004" s="1008"/>
      <c r="AB4004" s="1008"/>
      <c r="AC4004" s="1008"/>
      <c r="AD4004" s="1008"/>
      <c r="AE4004" s="1008"/>
      <c r="AF4004" s="1008"/>
      <c r="AG4004" s="1008"/>
      <c r="AH4004" s="1008"/>
      <c r="AI4004" s="1008"/>
    </row>
    <row r="4005" spans="1:35">
      <c r="A4005" s="1008">
        <v>27439</v>
      </c>
      <c r="C4005" s="1008">
        <v>2</v>
      </c>
      <c r="D4005" s="1009">
        <v>99012999</v>
      </c>
      <c r="E4005" s="1009">
        <v>99012000</v>
      </c>
      <c r="F4005" s="1007" t="s">
        <v>958</v>
      </c>
      <c r="O4005" s="1007" t="s">
        <v>648</v>
      </c>
      <c r="P4005" s="1007" t="s">
        <v>648</v>
      </c>
      <c r="S4005" s="1008" t="s">
        <v>650</v>
      </c>
      <c r="T4005" s="1008" t="s">
        <v>675</v>
      </c>
      <c r="U4005" s="1008" t="s">
        <v>649</v>
      </c>
      <c r="V4005" s="1008" t="s">
        <v>648</v>
      </c>
      <c r="W4005" s="1008" t="s">
        <v>546</v>
      </c>
      <c r="X4005" s="1008"/>
      <c r="Y4005" s="1008"/>
      <c r="Z4005" s="1008"/>
      <c r="AA4005" s="1008"/>
      <c r="AB4005" s="1008"/>
      <c r="AC4005" s="1008"/>
      <c r="AD4005" s="1008"/>
      <c r="AE4005" s="1008"/>
      <c r="AF4005" s="1008"/>
      <c r="AG4005" s="1008"/>
      <c r="AH4005" s="1008"/>
      <c r="AI4005" s="1008"/>
    </row>
    <row r="4006" spans="1:35">
      <c r="A4006" s="1008">
        <v>27440</v>
      </c>
      <c r="B4006" s="1008">
        <v>6324</v>
      </c>
      <c r="C4006" s="1008">
        <v>3</v>
      </c>
      <c r="D4006" s="1009">
        <v>99012999</v>
      </c>
      <c r="E4006" s="1009">
        <v>99012010</v>
      </c>
      <c r="F4006" s="1007" t="s">
        <v>957</v>
      </c>
      <c r="G4006" s="1007" t="s">
        <v>648</v>
      </c>
      <c r="H4006" s="1010">
        <v>99999999</v>
      </c>
      <c r="I4006" s="1009">
        <v>99012010</v>
      </c>
      <c r="J4006" s="1007" t="s">
        <v>956</v>
      </c>
      <c r="O4006" s="1007" t="s">
        <v>648</v>
      </c>
      <c r="P4006" s="1007" t="s">
        <v>648</v>
      </c>
      <c r="S4006" s="1008" t="s">
        <v>650</v>
      </c>
      <c r="T4006" s="1008" t="s">
        <v>654</v>
      </c>
      <c r="U4006" s="1008" t="s">
        <v>649</v>
      </c>
      <c r="V4006" s="1008" t="s">
        <v>648</v>
      </c>
      <c r="W4006" s="1008" t="s">
        <v>546</v>
      </c>
      <c r="X4006" s="1008" t="s">
        <v>670</v>
      </c>
      <c r="Y4006" s="1008"/>
      <c r="Z4006" s="1008" t="s">
        <v>670</v>
      </c>
      <c r="AA4006" s="1008"/>
      <c r="AB4006" s="1008" t="s">
        <v>670</v>
      </c>
      <c r="AC4006" s="1008"/>
      <c r="AD4006" s="1008"/>
      <c r="AE4006" s="1008"/>
      <c r="AF4006" s="1008"/>
      <c r="AG4006" s="1008"/>
      <c r="AH4006" s="1008"/>
      <c r="AI4006" s="1008"/>
    </row>
    <row r="4007" spans="1:35">
      <c r="A4007" s="1008">
        <v>27441</v>
      </c>
      <c r="B4007" s="1008">
        <v>6325</v>
      </c>
      <c r="C4007" s="1008">
        <v>3</v>
      </c>
      <c r="D4007" s="1009">
        <v>99012999</v>
      </c>
      <c r="E4007" s="1009">
        <v>99012900</v>
      </c>
      <c r="F4007" s="1007" t="s">
        <v>955</v>
      </c>
      <c r="G4007" s="1007" t="s">
        <v>648</v>
      </c>
      <c r="H4007" s="1010">
        <v>99999999</v>
      </c>
      <c r="I4007" s="1009">
        <v>99012900</v>
      </c>
      <c r="J4007" s="1007" t="s">
        <v>955</v>
      </c>
      <c r="O4007" s="1007" t="s">
        <v>648</v>
      </c>
      <c r="P4007" s="1007" t="s">
        <v>648</v>
      </c>
      <c r="S4007" s="1008" t="s">
        <v>650</v>
      </c>
      <c r="T4007" s="1008" t="s">
        <v>654</v>
      </c>
      <c r="U4007" s="1008" t="s">
        <v>649</v>
      </c>
      <c r="V4007" s="1008" t="s">
        <v>648</v>
      </c>
      <c r="W4007" s="1008" t="s">
        <v>546</v>
      </c>
      <c r="X4007" s="1008" t="s">
        <v>670</v>
      </c>
      <c r="Y4007" s="1008"/>
      <c r="Z4007" s="1008" t="s">
        <v>670</v>
      </c>
      <c r="AA4007" s="1008"/>
      <c r="AB4007" s="1008" t="s">
        <v>670</v>
      </c>
      <c r="AC4007" s="1008"/>
      <c r="AD4007" s="1008"/>
      <c r="AE4007" s="1008"/>
      <c r="AF4007" s="1008"/>
      <c r="AG4007" s="1008"/>
      <c r="AH4007" s="1008"/>
      <c r="AI4007" s="1008"/>
    </row>
    <row r="4008" spans="1:35">
      <c r="A4008" s="1008">
        <v>27442</v>
      </c>
      <c r="C4008" s="1008">
        <v>2</v>
      </c>
      <c r="D4008" s="1009">
        <v>99099999</v>
      </c>
      <c r="E4008" s="1009">
        <v>99012999</v>
      </c>
      <c r="F4008" s="1007" t="s">
        <v>954</v>
      </c>
      <c r="O4008" s="1007" t="s">
        <v>648</v>
      </c>
      <c r="P4008" s="1007" t="s">
        <v>648</v>
      </c>
      <c r="S4008" s="1008" t="s">
        <v>650</v>
      </c>
      <c r="T4008" s="1008" t="s">
        <v>21</v>
      </c>
      <c r="U4008" s="1008" t="s">
        <v>649</v>
      </c>
      <c r="V4008" s="1008" t="s">
        <v>648</v>
      </c>
      <c r="W4008" s="1008" t="s">
        <v>546</v>
      </c>
      <c r="X4008" s="1008"/>
      <c r="Y4008" s="1008"/>
      <c r="Z4008" s="1008"/>
      <c r="AA4008" s="1008"/>
      <c r="AB4008" s="1008"/>
      <c r="AC4008" s="1008"/>
      <c r="AD4008" s="1008"/>
      <c r="AE4008" s="1008"/>
      <c r="AF4008" s="1008"/>
      <c r="AG4008" s="1008"/>
      <c r="AH4008" s="1008"/>
      <c r="AI4008" s="1008"/>
    </row>
    <row r="4009" spans="1:35">
      <c r="A4009" s="1008">
        <v>27362</v>
      </c>
      <c r="C4009" s="1008">
        <v>2</v>
      </c>
      <c r="D4009" s="1009">
        <v>99020999</v>
      </c>
      <c r="E4009" s="1009">
        <v>99020000</v>
      </c>
      <c r="F4009" s="1007" t="s">
        <v>929</v>
      </c>
      <c r="O4009" s="1007" t="s">
        <v>648</v>
      </c>
      <c r="P4009" s="1007" t="s">
        <v>648</v>
      </c>
      <c r="S4009" s="1008" t="s">
        <v>650</v>
      </c>
      <c r="T4009" s="1008" t="s">
        <v>675</v>
      </c>
      <c r="U4009" s="1008" t="s">
        <v>649</v>
      </c>
      <c r="V4009" s="1008" t="s">
        <v>648</v>
      </c>
      <c r="W4009" s="1008" t="s">
        <v>546</v>
      </c>
      <c r="X4009" s="1008"/>
      <c r="Y4009" s="1008"/>
      <c r="Z4009" s="1008"/>
      <c r="AA4009" s="1008"/>
      <c r="AB4009" s="1008"/>
      <c r="AC4009" s="1008"/>
      <c r="AD4009" s="1008"/>
      <c r="AE4009" s="1008"/>
      <c r="AF4009" s="1008"/>
      <c r="AG4009" s="1008"/>
      <c r="AH4009" s="1008"/>
      <c r="AI4009" s="1008"/>
    </row>
    <row r="4010" spans="1:35">
      <c r="A4010" s="1008">
        <v>27363</v>
      </c>
      <c r="B4010" s="1008">
        <v>6269</v>
      </c>
      <c r="C4010" s="1008">
        <v>3</v>
      </c>
      <c r="D4010" s="1009">
        <v>99020999</v>
      </c>
      <c r="E4010" s="1009">
        <v>99020010</v>
      </c>
      <c r="F4010" s="1007" t="s">
        <v>953</v>
      </c>
      <c r="G4010" s="1007" t="s">
        <v>648</v>
      </c>
      <c r="H4010" s="1010">
        <v>99999999</v>
      </c>
      <c r="I4010" s="1009">
        <v>99020010</v>
      </c>
      <c r="J4010" s="1007" t="s">
        <v>953</v>
      </c>
      <c r="O4010" s="1007" t="s">
        <v>648</v>
      </c>
      <c r="P4010" s="1007" t="s">
        <v>648</v>
      </c>
      <c r="S4010" s="1008" t="s">
        <v>650</v>
      </c>
      <c r="T4010" s="1008" t="s">
        <v>654</v>
      </c>
      <c r="U4010" s="1008" t="s">
        <v>649</v>
      </c>
      <c r="V4010" s="1008" t="s">
        <v>648</v>
      </c>
      <c r="W4010" s="1008" t="s">
        <v>546</v>
      </c>
      <c r="X4010" s="1008" t="s">
        <v>670</v>
      </c>
      <c r="Y4010" s="1008" t="s">
        <v>670</v>
      </c>
      <c r="Z4010" s="1008"/>
      <c r="AA4010" s="1008"/>
      <c r="AB4010" s="1008"/>
      <c r="AC4010" s="1008"/>
      <c r="AD4010" s="1008"/>
      <c r="AE4010" s="1008"/>
      <c r="AF4010" s="1008" t="s">
        <v>670</v>
      </c>
      <c r="AG4010" s="1008"/>
      <c r="AH4010" s="1008"/>
      <c r="AI4010" s="1008"/>
    </row>
    <row r="4011" spans="1:35">
      <c r="A4011" s="1008">
        <v>27364</v>
      </c>
      <c r="B4011" s="1008">
        <v>6270</v>
      </c>
      <c r="C4011" s="1008">
        <v>3</v>
      </c>
      <c r="D4011" s="1009">
        <v>99020999</v>
      </c>
      <c r="E4011" s="1009">
        <v>99020020</v>
      </c>
      <c r="F4011" s="1007" t="s">
        <v>952</v>
      </c>
      <c r="G4011" s="1007" t="s">
        <v>648</v>
      </c>
      <c r="H4011" s="1010">
        <v>99999999</v>
      </c>
      <c r="I4011" s="1009">
        <v>99020020</v>
      </c>
      <c r="J4011" s="1007" t="s">
        <v>951</v>
      </c>
      <c r="O4011" s="1007" t="s">
        <v>648</v>
      </c>
      <c r="P4011" s="1007" t="s">
        <v>648</v>
      </c>
      <c r="S4011" s="1008" t="s">
        <v>650</v>
      </c>
      <c r="T4011" s="1008" t="s">
        <v>654</v>
      </c>
      <c r="U4011" s="1008" t="s">
        <v>649</v>
      </c>
      <c r="V4011" s="1008" t="s">
        <v>648</v>
      </c>
      <c r="W4011" s="1008" t="s">
        <v>546</v>
      </c>
      <c r="X4011" s="1008" t="s">
        <v>670</v>
      </c>
      <c r="Y4011" s="1008" t="s">
        <v>670</v>
      </c>
      <c r="Z4011" s="1008"/>
      <c r="AA4011" s="1008"/>
      <c r="AB4011" s="1008"/>
      <c r="AC4011" s="1008"/>
      <c r="AD4011" s="1008"/>
      <c r="AE4011" s="1008"/>
      <c r="AF4011" s="1008" t="s">
        <v>670</v>
      </c>
      <c r="AG4011" s="1008"/>
      <c r="AH4011" s="1008"/>
      <c r="AI4011" s="1008"/>
    </row>
    <row r="4012" spans="1:35">
      <c r="A4012" s="1008">
        <v>27365</v>
      </c>
      <c r="B4012" s="1008">
        <v>6271</v>
      </c>
      <c r="C4012" s="1008">
        <v>3</v>
      </c>
      <c r="D4012" s="1009">
        <v>99020999</v>
      </c>
      <c r="E4012" s="1009">
        <v>99020030</v>
      </c>
      <c r="F4012" s="1007" t="s">
        <v>950</v>
      </c>
      <c r="G4012" s="1007" t="s">
        <v>648</v>
      </c>
      <c r="H4012" s="1010">
        <v>99999999</v>
      </c>
      <c r="I4012" s="1009">
        <v>99020030</v>
      </c>
      <c r="J4012" s="1007" t="s">
        <v>949</v>
      </c>
      <c r="O4012" s="1007" t="s">
        <v>648</v>
      </c>
      <c r="P4012" s="1007" t="s">
        <v>648</v>
      </c>
      <c r="S4012" s="1008" t="s">
        <v>650</v>
      </c>
      <c r="T4012" s="1008" t="s">
        <v>654</v>
      </c>
      <c r="U4012" s="1008" t="s">
        <v>649</v>
      </c>
      <c r="V4012" s="1008" t="s">
        <v>648</v>
      </c>
      <c r="W4012" s="1008" t="s">
        <v>546</v>
      </c>
      <c r="X4012" s="1008" t="s">
        <v>670</v>
      </c>
      <c r="Y4012" s="1008" t="s">
        <v>670</v>
      </c>
      <c r="Z4012" s="1008"/>
      <c r="AA4012" s="1008"/>
      <c r="AB4012" s="1008"/>
      <c r="AC4012" s="1008"/>
      <c r="AD4012" s="1008"/>
      <c r="AE4012" s="1008"/>
      <c r="AF4012" s="1008" t="s">
        <v>670</v>
      </c>
      <c r="AG4012" s="1008"/>
      <c r="AH4012" s="1008"/>
      <c r="AI4012" s="1008"/>
    </row>
    <row r="4013" spans="1:35">
      <c r="A4013" s="1008">
        <v>27366</v>
      </c>
      <c r="B4013" s="1008">
        <v>6272</v>
      </c>
      <c r="C4013" s="1008">
        <v>3</v>
      </c>
      <c r="D4013" s="1009">
        <v>99020999</v>
      </c>
      <c r="E4013" s="1009">
        <v>99020040</v>
      </c>
      <c r="F4013" s="1007" t="s">
        <v>948</v>
      </c>
      <c r="G4013" s="1007" t="s">
        <v>648</v>
      </c>
      <c r="H4013" s="1010">
        <v>99999999</v>
      </c>
      <c r="I4013" s="1009">
        <v>99020040</v>
      </c>
      <c r="J4013" s="1007" t="s">
        <v>947</v>
      </c>
      <c r="O4013" s="1007" t="s">
        <v>648</v>
      </c>
      <c r="P4013" s="1007" t="s">
        <v>648</v>
      </c>
      <c r="S4013" s="1008" t="s">
        <v>650</v>
      </c>
      <c r="T4013" s="1008" t="s">
        <v>654</v>
      </c>
      <c r="U4013" s="1008" t="s">
        <v>649</v>
      </c>
      <c r="V4013" s="1008" t="s">
        <v>648</v>
      </c>
      <c r="W4013" s="1008" t="s">
        <v>546</v>
      </c>
      <c r="X4013" s="1008" t="s">
        <v>670</v>
      </c>
      <c r="Y4013" s="1008" t="s">
        <v>670</v>
      </c>
      <c r="Z4013" s="1008"/>
      <c r="AA4013" s="1008"/>
      <c r="AB4013" s="1008"/>
      <c r="AC4013" s="1008"/>
      <c r="AD4013" s="1008"/>
      <c r="AE4013" s="1008"/>
      <c r="AF4013" s="1008" t="s">
        <v>670</v>
      </c>
      <c r="AG4013" s="1008"/>
      <c r="AH4013" s="1008"/>
      <c r="AI4013" s="1008"/>
    </row>
    <row r="4014" spans="1:35">
      <c r="A4014" s="1008">
        <v>27367</v>
      </c>
      <c r="B4014" s="1008">
        <v>6273</v>
      </c>
      <c r="C4014" s="1008">
        <v>3</v>
      </c>
      <c r="D4014" s="1009">
        <v>99020999</v>
      </c>
      <c r="E4014" s="1009">
        <v>99020050</v>
      </c>
      <c r="F4014" s="1007" t="s">
        <v>946</v>
      </c>
      <c r="G4014" s="1007" t="s">
        <v>648</v>
      </c>
      <c r="H4014" s="1010">
        <v>99999999</v>
      </c>
      <c r="I4014" s="1009">
        <v>99020050</v>
      </c>
      <c r="J4014" s="1007" t="s">
        <v>945</v>
      </c>
      <c r="O4014" s="1007" t="s">
        <v>648</v>
      </c>
      <c r="P4014" s="1007" t="s">
        <v>648</v>
      </c>
      <c r="S4014" s="1008" t="s">
        <v>650</v>
      </c>
      <c r="T4014" s="1008" t="s">
        <v>654</v>
      </c>
      <c r="U4014" s="1008" t="s">
        <v>649</v>
      </c>
      <c r="V4014" s="1008" t="s">
        <v>648</v>
      </c>
      <c r="W4014" s="1008" t="s">
        <v>546</v>
      </c>
      <c r="X4014" s="1008" t="s">
        <v>670</v>
      </c>
      <c r="Y4014" s="1008" t="s">
        <v>670</v>
      </c>
      <c r="Z4014" s="1008"/>
      <c r="AA4014" s="1008"/>
      <c r="AB4014" s="1008"/>
      <c r="AC4014" s="1008"/>
      <c r="AD4014" s="1008"/>
      <c r="AE4014" s="1008"/>
      <c r="AF4014" s="1008" t="s">
        <v>670</v>
      </c>
      <c r="AG4014" s="1008"/>
      <c r="AH4014" s="1008"/>
      <c r="AI4014" s="1008"/>
    </row>
    <row r="4015" spans="1:35">
      <c r="A4015" s="1008">
        <v>27368</v>
      </c>
      <c r="B4015" s="1008">
        <v>6274</v>
      </c>
      <c r="C4015" s="1008">
        <v>3</v>
      </c>
      <c r="D4015" s="1009">
        <v>99020999</v>
      </c>
      <c r="E4015" s="1009">
        <v>99020900</v>
      </c>
      <c r="F4015" s="1007" t="s">
        <v>944</v>
      </c>
      <c r="G4015" s="1007" t="s">
        <v>648</v>
      </c>
      <c r="H4015" s="1010">
        <v>99999999</v>
      </c>
      <c r="I4015" s="1009">
        <v>99020900</v>
      </c>
      <c r="J4015" s="1007" t="s">
        <v>943</v>
      </c>
      <c r="O4015" s="1007" t="s">
        <v>648</v>
      </c>
      <c r="P4015" s="1007" t="s">
        <v>648</v>
      </c>
      <c r="S4015" s="1008" t="s">
        <v>650</v>
      </c>
      <c r="T4015" s="1008" t="s">
        <v>654</v>
      </c>
      <c r="U4015" s="1008" t="s">
        <v>649</v>
      </c>
      <c r="V4015" s="1008" t="s">
        <v>648</v>
      </c>
      <c r="W4015" s="1008" t="s">
        <v>546</v>
      </c>
      <c r="X4015" s="1008" t="s">
        <v>670</v>
      </c>
      <c r="Y4015" s="1008" t="s">
        <v>670</v>
      </c>
      <c r="Z4015" s="1008"/>
      <c r="AA4015" s="1008"/>
      <c r="AB4015" s="1008"/>
      <c r="AC4015" s="1008"/>
      <c r="AD4015" s="1008"/>
      <c r="AE4015" s="1008"/>
      <c r="AF4015" s="1008" t="s">
        <v>670</v>
      </c>
      <c r="AG4015" s="1008"/>
      <c r="AH4015" s="1008"/>
      <c r="AI4015" s="1008"/>
    </row>
    <row r="4016" spans="1:35">
      <c r="A4016" s="1008">
        <v>27369</v>
      </c>
      <c r="C4016" s="1008">
        <v>2</v>
      </c>
      <c r="D4016" s="1009">
        <v>99099999</v>
      </c>
      <c r="E4016" s="1009">
        <v>99020999</v>
      </c>
      <c r="F4016" s="1007" t="s">
        <v>942</v>
      </c>
      <c r="O4016" s="1007" t="s">
        <v>648</v>
      </c>
      <c r="P4016" s="1007" t="s">
        <v>648</v>
      </c>
      <c r="S4016" s="1008" t="s">
        <v>650</v>
      </c>
      <c r="T4016" s="1008" t="s">
        <v>21</v>
      </c>
      <c r="U4016" s="1008" t="s">
        <v>649</v>
      </c>
      <c r="V4016" s="1008" t="s">
        <v>648</v>
      </c>
      <c r="W4016" s="1008" t="s">
        <v>546</v>
      </c>
      <c r="X4016" s="1008"/>
      <c r="Y4016" s="1008"/>
      <c r="Z4016" s="1008"/>
      <c r="AA4016" s="1008"/>
      <c r="AB4016" s="1008"/>
      <c r="AC4016" s="1008"/>
      <c r="AD4016" s="1008"/>
      <c r="AE4016" s="1008"/>
      <c r="AF4016" s="1008"/>
      <c r="AG4016" s="1008"/>
      <c r="AH4016" s="1008"/>
      <c r="AI4016" s="1008"/>
    </row>
    <row r="4017" spans="1:35">
      <c r="A4017" s="1008">
        <v>27370</v>
      </c>
      <c r="C4017" s="1008">
        <v>2</v>
      </c>
      <c r="D4017" s="1009">
        <v>99021999</v>
      </c>
      <c r="E4017" s="1009">
        <v>99021000</v>
      </c>
      <c r="F4017" s="1007" t="s">
        <v>941</v>
      </c>
      <c r="O4017" s="1007" t="s">
        <v>648</v>
      </c>
      <c r="P4017" s="1007" t="s">
        <v>648</v>
      </c>
      <c r="S4017" s="1008" t="s">
        <v>650</v>
      </c>
      <c r="T4017" s="1008" t="s">
        <v>675</v>
      </c>
      <c r="U4017" s="1008" t="s">
        <v>649</v>
      </c>
      <c r="V4017" s="1008" t="s">
        <v>648</v>
      </c>
      <c r="W4017" s="1008" t="s">
        <v>546</v>
      </c>
      <c r="X4017" s="1008"/>
      <c r="Y4017" s="1008"/>
      <c r="Z4017" s="1008"/>
      <c r="AA4017" s="1008"/>
      <c r="AB4017" s="1008"/>
      <c r="AC4017" s="1008"/>
      <c r="AD4017" s="1008"/>
      <c r="AE4017" s="1008"/>
      <c r="AF4017" s="1008"/>
      <c r="AG4017" s="1008"/>
      <c r="AH4017" s="1008"/>
      <c r="AI4017" s="1008"/>
    </row>
    <row r="4018" spans="1:35">
      <c r="A4018" s="1008">
        <v>27371</v>
      </c>
      <c r="B4018" s="1008">
        <v>6275</v>
      </c>
      <c r="C4018" s="1008">
        <v>3</v>
      </c>
      <c r="D4018" s="1009">
        <v>99021999</v>
      </c>
      <c r="E4018" s="1009">
        <v>99021010</v>
      </c>
      <c r="F4018" s="1007" t="s">
        <v>940</v>
      </c>
      <c r="G4018" s="1007" t="s">
        <v>648</v>
      </c>
      <c r="H4018" s="1010">
        <v>99999999</v>
      </c>
      <c r="I4018" s="1009">
        <v>99021010</v>
      </c>
      <c r="J4018" s="1007" t="s">
        <v>940</v>
      </c>
      <c r="O4018" s="1007" t="s">
        <v>648</v>
      </c>
      <c r="P4018" s="1007" t="s">
        <v>648</v>
      </c>
      <c r="S4018" s="1008" t="s">
        <v>650</v>
      </c>
      <c r="T4018" s="1008" t="s">
        <v>654</v>
      </c>
      <c r="U4018" s="1008" t="s">
        <v>649</v>
      </c>
      <c r="V4018" s="1008" t="s">
        <v>648</v>
      </c>
      <c r="W4018" s="1008" t="s">
        <v>546</v>
      </c>
      <c r="X4018" s="1008" t="s">
        <v>670</v>
      </c>
      <c r="Y4018" s="1008" t="s">
        <v>670</v>
      </c>
      <c r="Z4018" s="1008"/>
      <c r="AA4018" s="1008"/>
      <c r="AB4018" s="1008"/>
      <c r="AC4018" s="1008"/>
      <c r="AD4018" s="1008"/>
      <c r="AE4018" s="1008"/>
      <c r="AF4018" s="1008" t="s">
        <v>670</v>
      </c>
      <c r="AG4018" s="1008"/>
      <c r="AH4018" s="1008"/>
      <c r="AI4018" s="1008"/>
    </row>
    <row r="4019" spans="1:35">
      <c r="A4019" s="1008">
        <v>27372</v>
      </c>
      <c r="B4019" s="1008">
        <v>6276</v>
      </c>
      <c r="C4019" s="1008">
        <v>3</v>
      </c>
      <c r="D4019" s="1009">
        <v>99021999</v>
      </c>
      <c r="E4019" s="1009">
        <v>99021020</v>
      </c>
      <c r="F4019" s="1007" t="s">
        <v>939</v>
      </c>
      <c r="G4019" s="1007" t="s">
        <v>648</v>
      </c>
      <c r="H4019" s="1010">
        <v>99999999</v>
      </c>
      <c r="I4019" s="1009">
        <v>99021020</v>
      </c>
      <c r="J4019" s="1007" t="s">
        <v>938</v>
      </c>
      <c r="O4019" s="1007" t="s">
        <v>648</v>
      </c>
      <c r="P4019" s="1007" t="s">
        <v>648</v>
      </c>
      <c r="S4019" s="1008" t="s">
        <v>650</v>
      </c>
      <c r="T4019" s="1008" t="s">
        <v>654</v>
      </c>
      <c r="U4019" s="1008" t="s">
        <v>649</v>
      </c>
      <c r="V4019" s="1008" t="s">
        <v>648</v>
      </c>
      <c r="W4019" s="1008" t="s">
        <v>546</v>
      </c>
      <c r="X4019" s="1008" t="s">
        <v>670</v>
      </c>
      <c r="Y4019" s="1008" t="s">
        <v>670</v>
      </c>
      <c r="Z4019" s="1008"/>
      <c r="AA4019" s="1008"/>
      <c r="AB4019" s="1008"/>
      <c r="AC4019" s="1008"/>
      <c r="AD4019" s="1008"/>
      <c r="AE4019" s="1008"/>
      <c r="AF4019" s="1008" t="s">
        <v>670</v>
      </c>
      <c r="AG4019" s="1008"/>
      <c r="AH4019" s="1008"/>
      <c r="AI4019" s="1008"/>
    </row>
    <row r="4020" spans="1:35">
      <c r="A4020" s="1008">
        <v>27373</v>
      </c>
      <c r="B4020" s="1008">
        <v>6277</v>
      </c>
      <c r="C4020" s="1008">
        <v>3</v>
      </c>
      <c r="D4020" s="1009">
        <v>99021999</v>
      </c>
      <c r="E4020" s="1009">
        <v>99021030</v>
      </c>
      <c r="F4020" s="1007" t="s">
        <v>937</v>
      </c>
      <c r="G4020" s="1007" t="s">
        <v>648</v>
      </c>
      <c r="H4020" s="1010">
        <v>99999999</v>
      </c>
      <c r="I4020" s="1009">
        <v>99021030</v>
      </c>
      <c r="J4020" s="1007" t="s">
        <v>937</v>
      </c>
      <c r="O4020" s="1007" t="s">
        <v>648</v>
      </c>
      <c r="P4020" s="1007" t="s">
        <v>648</v>
      </c>
      <c r="S4020" s="1008" t="s">
        <v>650</v>
      </c>
      <c r="T4020" s="1008" t="s">
        <v>654</v>
      </c>
      <c r="U4020" s="1008" t="s">
        <v>649</v>
      </c>
      <c r="V4020" s="1008" t="s">
        <v>648</v>
      </c>
      <c r="W4020" s="1008" t="s">
        <v>546</v>
      </c>
      <c r="X4020" s="1008" t="s">
        <v>670</v>
      </c>
      <c r="Y4020" s="1008" t="s">
        <v>670</v>
      </c>
      <c r="Z4020" s="1008"/>
      <c r="AA4020" s="1008"/>
      <c r="AB4020" s="1008"/>
      <c r="AC4020" s="1008"/>
      <c r="AD4020" s="1008"/>
      <c r="AE4020" s="1008"/>
      <c r="AF4020" s="1008" t="s">
        <v>670</v>
      </c>
      <c r="AG4020" s="1008"/>
      <c r="AH4020" s="1008"/>
      <c r="AI4020" s="1008"/>
    </row>
    <row r="4021" spans="1:35">
      <c r="A4021" s="1008">
        <v>27374</v>
      </c>
      <c r="B4021" s="1008">
        <v>6278</v>
      </c>
      <c r="C4021" s="1008">
        <v>3</v>
      </c>
      <c r="D4021" s="1009">
        <v>99021999</v>
      </c>
      <c r="E4021" s="1009">
        <v>99021040</v>
      </c>
      <c r="F4021" s="1007" t="s">
        <v>936</v>
      </c>
      <c r="G4021" s="1007" t="s">
        <v>648</v>
      </c>
      <c r="H4021" s="1010">
        <v>99999999</v>
      </c>
      <c r="I4021" s="1009">
        <v>99021040</v>
      </c>
      <c r="J4021" s="1007" t="s">
        <v>935</v>
      </c>
      <c r="O4021" s="1007" t="s">
        <v>648</v>
      </c>
      <c r="P4021" s="1007" t="s">
        <v>648</v>
      </c>
      <c r="S4021" s="1008" t="s">
        <v>650</v>
      </c>
      <c r="T4021" s="1008" t="s">
        <v>654</v>
      </c>
      <c r="U4021" s="1008" t="s">
        <v>649</v>
      </c>
      <c r="V4021" s="1008" t="s">
        <v>648</v>
      </c>
      <c r="W4021" s="1008" t="s">
        <v>546</v>
      </c>
      <c r="X4021" s="1008" t="s">
        <v>670</v>
      </c>
      <c r="Y4021" s="1008" t="s">
        <v>670</v>
      </c>
      <c r="Z4021" s="1008"/>
      <c r="AA4021" s="1008"/>
      <c r="AB4021" s="1008"/>
      <c r="AC4021" s="1008"/>
      <c r="AD4021" s="1008"/>
      <c r="AE4021" s="1008"/>
      <c r="AF4021" s="1008" t="s">
        <v>670</v>
      </c>
      <c r="AG4021" s="1008"/>
      <c r="AH4021" s="1008"/>
      <c r="AI4021" s="1008"/>
    </row>
    <row r="4022" spans="1:35">
      <c r="A4022" s="1008">
        <v>27375</v>
      </c>
      <c r="B4022" s="1008">
        <v>6279</v>
      </c>
      <c r="C4022" s="1008">
        <v>3</v>
      </c>
      <c r="D4022" s="1009">
        <v>99021999</v>
      </c>
      <c r="E4022" s="1009">
        <v>99021050</v>
      </c>
      <c r="F4022" s="1007" t="s">
        <v>934</v>
      </c>
      <c r="G4022" s="1007" t="s">
        <v>648</v>
      </c>
      <c r="H4022" s="1010">
        <v>99999999</v>
      </c>
      <c r="I4022" s="1009">
        <v>99021050</v>
      </c>
      <c r="J4022" s="1007" t="s">
        <v>933</v>
      </c>
      <c r="O4022" s="1007" t="s">
        <v>648</v>
      </c>
      <c r="P4022" s="1007" t="s">
        <v>648</v>
      </c>
      <c r="S4022" s="1008" t="s">
        <v>650</v>
      </c>
      <c r="T4022" s="1008" t="s">
        <v>654</v>
      </c>
      <c r="U4022" s="1008" t="s">
        <v>649</v>
      </c>
      <c r="V4022" s="1008" t="s">
        <v>648</v>
      </c>
      <c r="W4022" s="1008" t="s">
        <v>546</v>
      </c>
      <c r="X4022" s="1008" t="s">
        <v>670</v>
      </c>
      <c r="Y4022" s="1008" t="s">
        <v>670</v>
      </c>
      <c r="Z4022" s="1008"/>
      <c r="AA4022" s="1008"/>
      <c r="AB4022" s="1008"/>
      <c r="AC4022" s="1008"/>
      <c r="AD4022" s="1008"/>
      <c r="AE4022" s="1008"/>
      <c r="AF4022" s="1008" t="s">
        <v>670</v>
      </c>
      <c r="AG4022" s="1008"/>
      <c r="AH4022" s="1008"/>
      <c r="AI4022" s="1008"/>
    </row>
    <row r="4023" spans="1:35">
      <c r="A4023" s="1008">
        <v>27376</v>
      </c>
      <c r="B4023" s="1008">
        <v>6280</v>
      </c>
      <c r="C4023" s="1008">
        <v>3</v>
      </c>
      <c r="D4023" s="1009">
        <v>99021999</v>
      </c>
      <c r="E4023" s="1009">
        <v>99021900</v>
      </c>
      <c r="F4023" s="1007" t="s">
        <v>932</v>
      </c>
      <c r="G4023" s="1007" t="s">
        <v>648</v>
      </c>
      <c r="H4023" s="1010">
        <v>99999999</v>
      </c>
      <c r="I4023" s="1009">
        <v>99021900</v>
      </c>
      <c r="J4023" s="1007" t="s">
        <v>931</v>
      </c>
      <c r="O4023" s="1007" t="s">
        <v>648</v>
      </c>
      <c r="P4023" s="1007" t="s">
        <v>648</v>
      </c>
      <c r="S4023" s="1008" t="s">
        <v>650</v>
      </c>
      <c r="T4023" s="1008" t="s">
        <v>654</v>
      </c>
      <c r="U4023" s="1008" t="s">
        <v>649</v>
      </c>
      <c r="V4023" s="1008" t="s">
        <v>648</v>
      </c>
      <c r="W4023" s="1008" t="s">
        <v>546</v>
      </c>
      <c r="X4023" s="1008" t="s">
        <v>670</v>
      </c>
      <c r="Y4023" s="1008" t="s">
        <v>670</v>
      </c>
      <c r="Z4023" s="1008"/>
      <c r="AA4023" s="1008"/>
      <c r="AB4023" s="1008"/>
      <c r="AC4023" s="1008"/>
      <c r="AD4023" s="1008"/>
      <c r="AE4023" s="1008"/>
      <c r="AF4023" s="1008" t="s">
        <v>670</v>
      </c>
      <c r="AG4023" s="1008"/>
      <c r="AH4023" s="1008"/>
      <c r="AI4023" s="1008"/>
    </row>
    <row r="4024" spans="1:35">
      <c r="A4024" s="1008">
        <v>27377</v>
      </c>
      <c r="C4024" s="1008">
        <v>2</v>
      </c>
      <c r="D4024" s="1009">
        <v>99099999</v>
      </c>
      <c r="E4024" s="1009">
        <v>99021999</v>
      </c>
      <c r="F4024" s="1007" t="s">
        <v>930</v>
      </c>
      <c r="O4024" s="1007" t="s">
        <v>648</v>
      </c>
      <c r="P4024" s="1007" t="s">
        <v>648</v>
      </c>
      <c r="S4024" s="1008" t="s">
        <v>650</v>
      </c>
      <c r="T4024" s="1008" t="s">
        <v>21</v>
      </c>
      <c r="U4024" s="1008" t="s">
        <v>649</v>
      </c>
      <c r="V4024" s="1008" t="s">
        <v>648</v>
      </c>
      <c r="W4024" s="1008" t="s">
        <v>546</v>
      </c>
      <c r="X4024" s="1008"/>
      <c r="Y4024" s="1008"/>
      <c r="Z4024" s="1008"/>
      <c r="AA4024" s="1008"/>
      <c r="AB4024" s="1008"/>
      <c r="AC4024" s="1008"/>
      <c r="AD4024" s="1008"/>
      <c r="AE4024" s="1008"/>
      <c r="AF4024" s="1008"/>
      <c r="AG4024" s="1008"/>
      <c r="AH4024" s="1008"/>
      <c r="AI4024" s="1008"/>
    </row>
    <row r="4025" spans="1:35">
      <c r="A4025" s="1008">
        <v>27443</v>
      </c>
      <c r="C4025" s="1008">
        <v>2</v>
      </c>
      <c r="D4025" s="1009">
        <v>99022999</v>
      </c>
      <c r="E4025" s="1009">
        <v>99022000</v>
      </c>
      <c r="F4025" s="1007" t="s">
        <v>929</v>
      </c>
      <c r="O4025" s="1007" t="s">
        <v>648</v>
      </c>
      <c r="P4025" s="1007" t="s">
        <v>648</v>
      </c>
      <c r="S4025" s="1008" t="s">
        <v>650</v>
      </c>
      <c r="T4025" s="1008" t="s">
        <v>675</v>
      </c>
      <c r="U4025" s="1008" t="s">
        <v>649</v>
      </c>
      <c r="V4025" s="1008" t="s">
        <v>648</v>
      </c>
      <c r="W4025" s="1008" t="s">
        <v>546</v>
      </c>
      <c r="X4025" s="1008"/>
      <c r="Y4025" s="1008"/>
      <c r="Z4025" s="1008"/>
      <c r="AA4025" s="1008"/>
      <c r="AB4025" s="1008"/>
      <c r="AC4025" s="1008"/>
      <c r="AD4025" s="1008"/>
      <c r="AE4025" s="1008"/>
      <c r="AF4025" s="1008"/>
      <c r="AG4025" s="1008"/>
      <c r="AH4025" s="1008"/>
      <c r="AI4025" s="1008"/>
    </row>
    <row r="4026" spans="1:35">
      <c r="A4026" s="1008">
        <v>27444</v>
      </c>
      <c r="B4026" s="1008">
        <v>6326</v>
      </c>
      <c r="C4026" s="1008">
        <v>3</v>
      </c>
      <c r="D4026" s="1009">
        <v>99022999</v>
      </c>
      <c r="E4026" s="1009">
        <v>99022010</v>
      </c>
      <c r="F4026" s="1007" t="s">
        <v>928</v>
      </c>
      <c r="G4026" s="1007" t="s">
        <v>648</v>
      </c>
      <c r="H4026" s="1010">
        <v>99999999</v>
      </c>
      <c r="I4026" s="1009">
        <v>99022010</v>
      </c>
      <c r="J4026" s="1007" t="s">
        <v>928</v>
      </c>
      <c r="O4026" s="1007" t="s">
        <v>648</v>
      </c>
      <c r="P4026" s="1007" t="s">
        <v>648</v>
      </c>
      <c r="S4026" s="1008" t="s">
        <v>650</v>
      </c>
      <c r="T4026" s="1008" t="s">
        <v>654</v>
      </c>
      <c r="U4026" s="1008" t="s">
        <v>649</v>
      </c>
      <c r="V4026" s="1008" t="s">
        <v>648</v>
      </c>
      <c r="W4026" s="1008" t="s">
        <v>546</v>
      </c>
      <c r="X4026" s="1008" t="s">
        <v>670</v>
      </c>
      <c r="Y4026" s="1008"/>
      <c r="Z4026" s="1008" t="s">
        <v>670</v>
      </c>
      <c r="AA4026" s="1008"/>
      <c r="AB4026" s="1008" t="s">
        <v>670</v>
      </c>
      <c r="AC4026" s="1008"/>
      <c r="AD4026" s="1008"/>
      <c r="AE4026" s="1008"/>
      <c r="AF4026" s="1008"/>
      <c r="AG4026" s="1008"/>
      <c r="AH4026" s="1008"/>
      <c r="AI4026" s="1008"/>
    </row>
    <row r="4027" spans="1:35">
      <c r="A4027" s="1008">
        <v>27445</v>
      </c>
      <c r="B4027" s="1008">
        <v>6327</v>
      </c>
      <c r="C4027" s="1008">
        <v>3</v>
      </c>
      <c r="D4027" s="1009">
        <v>99022999</v>
      </c>
      <c r="E4027" s="1009">
        <v>99022900</v>
      </c>
      <c r="F4027" s="1007" t="s">
        <v>927</v>
      </c>
      <c r="G4027" s="1007" t="s">
        <v>648</v>
      </c>
      <c r="H4027" s="1010">
        <v>99999999</v>
      </c>
      <c r="I4027" s="1009">
        <v>99022900</v>
      </c>
      <c r="J4027" s="1007" t="s">
        <v>927</v>
      </c>
      <c r="O4027" s="1007" t="s">
        <v>648</v>
      </c>
      <c r="P4027" s="1007" t="s">
        <v>648</v>
      </c>
      <c r="S4027" s="1008" t="s">
        <v>650</v>
      </c>
      <c r="T4027" s="1008" t="s">
        <v>654</v>
      </c>
      <c r="U4027" s="1008" t="s">
        <v>649</v>
      </c>
      <c r="V4027" s="1008" t="s">
        <v>648</v>
      </c>
      <c r="W4027" s="1008" t="s">
        <v>546</v>
      </c>
      <c r="X4027" s="1008" t="s">
        <v>670</v>
      </c>
      <c r="Y4027" s="1008"/>
      <c r="Z4027" s="1008" t="s">
        <v>670</v>
      </c>
      <c r="AA4027" s="1008"/>
      <c r="AB4027" s="1008" t="s">
        <v>670</v>
      </c>
      <c r="AC4027" s="1008"/>
      <c r="AD4027" s="1008"/>
      <c r="AE4027" s="1008"/>
      <c r="AF4027" s="1008"/>
      <c r="AG4027" s="1008"/>
      <c r="AH4027" s="1008"/>
      <c r="AI4027" s="1008"/>
    </row>
    <row r="4028" spans="1:35">
      <c r="A4028" s="1008">
        <v>27451</v>
      </c>
      <c r="C4028" s="1008">
        <v>2</v>
      </c>
      <c r="D4028" s="1009">
        <v>99099999</v>
      </c>
      <c r="E4028" s="1009">
        <v>99022999</v>
      </c>
      <c r="F4028" s="1007" t="s">
        <v>926</v>
      </c>
      <c r="O4028" s="1007" t="s">
        <v>648</v>
      </c>
      <c r="P4028" s="1007" t="s">
        <v>648</v>
      </c>
      <c r="S4028" s="1008" t="s">
        <v>650</v>
      </c>
      <c r="T4028" s="1008" t="s">
        <v>21</v>
      </c>
      <c r="U4028" s="1008" t="s">
        <v>649</v>
      </c>
      <c r="V4028" s="1008" t="s">
        <v>648</v>
      </c>
      <c r="W4028" s="1008" t="s">
        <v>546</v>
      </c>
      <c r="X4028" s="1008"/>
      <c r="Y4028" s="1008"/>
      <c r="Z4028" s="1008"/>
      <c r="AA4028" s="1008"/>
      <c r="AB4028" s="1008"/>
      <c r="AC4028" s="1008"/>
      <c r="AD4028" s="1008"/>
      <c r="AE4028" s="1008"/>
      <c r="AF4028" s="1008"/>
      <c r="AG4028" s="1008"/>
      <c r="AH4028" s="1008"/>
      <c r="AI4028" s="1008"/>
    </row>
    <row r="4029" spans="1:35">
      <c r="A4029" s="1008">
        <v>27452</v>
      </c>
      <c r="C4029" s="1008">
        <v>2</v>
      </c>
      <c r="D4029" s="1009">
        <v>99023999</v>
      </c>
      <c r="E4029" s="1009">
        <v>99023000</v>
      </c>
      <c r="F4029" s="1007" t="s">
        <v>925</v>
      </c>
      <c r="O4029" s="1007" t="s">
        <v>648</v>
      </c>
      <c r="P4029" s="1007" t="s">
        <v>648</v>
      </c>
      <c r="S4029" s="1008" t="s">
        <v>650</v>
      </c>
      <c r="T4029" s="1008" t="s">
        <v>675</v>
      </c>
      <c r="U4029" s="1008" t="s">
        <v>649</v>
      </c>
      <c r="V4029" s="1008" t="s">
        <v>648</v>
      </c>
      <c r="W4029" s="1008" t="s">
        <v>546</v>
      </c>
      <c r="X4029" s="1008"/>
      <c r="Y4029" s="1008"/>
      <c r="Z4029" s="1008"/>
      <c r="AA4029" s="1008"/>
      <c r="AB4029" s="1008"/>
      <c r="AC4029" s="1008"/>
      <c r="AD4029" s="1008"/>
      <c r="AE4029" s="1008"/>
      <c r="AF4029" s="1008"/>
      <c r="AG4029" s="1008"/>
      <c r="AH4029" s="1008"/>
      <c r="AI4029" s="1008"/>
    </row>
    <row r="4030" spans="1:35">
      <c r="A4030" s="1008">
        <v>27453</v>
      </c>
      <c r="B4030" s="1008">
        <v>6331</v>
      </c>
      <c r="C4030" s="1008">
        <v>3</v>
      </c>
      <c r="D4030" s="1009">
        <v>99023999</v>
      </c>
      <c r="E4030" s="1009">
        <v>99023010</v>
      </c>
      <c r="F4030" s="1007" t="s">
        <v>924</v>
      </c>
      <c r="G4030" s="1007" t="s">
        <v>648</v>
      </c>
      <c r="H4030" s="1010">
        <v>99999999</v>
      </c>
      <c r="I4030" s="1009">
        <v>99023010</v>
      </c>
      <c r="J4030" s="1007" t="s">
        <v>924</v>
      </c>
      <c r="O4030" s="1007" t="s">
        <v>648</v>
      </c>
      <c r="P4030" s="1007" t="s">
        <v>648</v>
      </c>
      <c r="S4030" s="1008" t="s">
        <v>650</v>
      </c>
      <c r="T4030" s="1008" t="s">
        <v>654</v>
      </c>
      <c r="U4030" s="1008" t="s">
        <v>649</v>
      </c>
      <c r="V4030" s="1008" t="s">
        <v>648</v>
      </c>
      <c r="W4030" s="1008" t="s">
        <v>546</v>
      </c>
      <c r="X4030" s="1008" t="s">
        <v>670</v>
      </c>
      <c r="Y4030" s="1008" t="s">
        <v>670</v>
      </c>
      <c r="Z4030" s="1008"/>
      <c r="AA4030" s="1008"/>
      <c r="AB4030" s="1008"/>
      <c r="AC4030" s="1008"/>
      <c r="AD4030" s="1008"/>
      <c r="AE4030" s="1008"/>
      <c r="AF4030" s="1008" t="s">
        <v>670</v>
      </c>
      <c r="AG4030" s="1008"/>
      <c r="AH4030" s="1008"/>
      <c r="AI4030" s="1008"/>
    </row>
    <row r="4031" spans="1:35">
      <c r="A4031" s="1008">
        <v>27454</v>
      </c>
      <c r="B4031" s="1008">
        <v>6332</v>
      </c>
      <c r="C4031" s="1008">
        <v>3</v>
      </c>
      <c r="D4031" s="1009">
        <v>99023999</v>
      </c>
      <c r="E4031" s="1009">
        <v>99023020</v>
      </c>
      <c r="F4031" s="1007" t="s">
        <v>923</v>
      </c>
      <c r="G4031" s="1007" t="s">
        <v>648</v>
      </c>
      <c r="H4031" s="1010">
        <v>99999999</v>
      </c>
      <c r="I4031" s="1009">
        <v>99023020</v>
      </c>
      <c r="J4031" s="1007" t="s">
        <v>923</v>
      </c>
      <c r="O4031" s="1007" t="s">
        <v>648</v>
      </c>
      <c r="P4031" s="1007" t="s">
        <v>648</v>
      </c>
      <c r="S4031" s="1008" t="s">
        <v>650</v>
      </c>
      <c r="T4031" s="1008" t="s">
        <v>654</v>
      </c>
      <c r="U4031" s="1008" t="s">
        <v>649</v>
      </c>
      <c r="V4031" s="1008" t="s">
        <v>648</v>
      </c>
      <c r="W4031" s="1008" t="s">
        <v>546</v>
      </c>
      <c r="X4031" s="1008" t="s">
        <v>670</v>
      </c>
      <c r="Y4031" s="1008" t="s">
        <v>670</v>
      </c>
      <c r="Z4031" s="1008"/>
      <c r="AA4031" s="1008"/>
      <c r="AB4031" s="1008"/>
      <c r="AC4031" s="1008"/>
      <c r="AD4031" s="1008"/>
      <c r="AE4031" s="1008"/>
      <c r="AF4031" s="1008" t="s">
        <v>670</v>
      </c>
      <c r="AG4031" s="1008"/>
      <c r="AH4031" s="1008"/>
      <c r="AI4031" s="1008"/>
    </row>
    <row r="4032" spans="1:35">
      <c r="A4032" s="1008">
        <v>27455</v>
      </c>
      <c r="B4032" s="1008">
        <v>6333</v>
      </c>
      <c r="C4032" s="1008">
        <v>3</v>
      </c>
      <c r="D4032" s="1009">
        <v>99023999</v>
      </c>
      <c r="E4032" s="1009">
        <v>99023030</v>
      </c>
      <c r="F4032" s="1007" t="s">
        <v>922</v>
      </c>
      <c r="G4032" s="1007" t="s">
        <v>648</v>
      </c>
      <c r="H4032" s="1010">
        <v>99999999</v>
      </c>
      <c r="I4032" s="1009">
        <v>99023030</v>
      </c>
      <c r="J4032" s="1007" t="s">
        <v>922</v>
      </c>
      <c r="O4032" s="1007" t="s">
        <v>648</v>
      </c>
      <c r="P4032" s="1007" t="s">
        <v>648</v>
      </c>
      <c r="S4032" s="1008" t="s">
        <v>650</v>
      </c>
      <c r="T4032" s="1008" t="s">
        <v>654</v>
      </c>
      <c r="U4032" s="1008" t="s">
        <v>649</v>
      </c>
      <c r="V4032" s="1008" t="s">
        <v>648</v>
      </c>
      <c r="W4032" s="1008" t="s">
        <v>546</v>
      </c>
      <c r="X4032" s="1008" t="s">
        <v>670</v>
      </c>
      <c r="Y4032" s="1008" t="s">
        <v>670</v>
      </c>
      <c r="Z4032" s="1008"/>
      <c r="AA4032" s="1008"/>
      <c r="AB4032" s="1008"/>
      <c r="AC4032" s="1008"/>
      <c r="AD4032" s="1008"/>
      <c r="AE4032" s="1008"/>
      <c r="AF4032" s="1008" t="s">
        <v>670</v>
      </c>
      <c r="AG4032" s="1008"/>
      <c r="AH4032" s="1008"/>
      <c r="AI4032" s="1008"/>
    </row>
    <row r="4033" spans="1:35">
      <c r="A4033" s="1008">
        <v>27456</v>
      </c>
      <c r="B4033" s="1008">
        <v>6334</v>
      </c>
      <c r="C4033" s="1008">
        <v>3</v>
      </c>
      <c r="D4033" s="1009">
        <v>99023999</v>
      </c>
      <c r="E4033" s="1009">
        <v>99023040</v>
      </c>
      <c r="F4033" s="1007" t="s">
        <v>921</v>
      </c>
      <c r="G4033" s="1007" t="s">
        <v>648</v>
      </c>
      <c r="H4033" s="1010">
        <v>99999999</v>
      </c>
      <c r="I4033" s="1009">
        <v>99023040</v>
      </c>
      <c r="J4033" s="1007" t="s">
        <v>921</v>
      </c>
      <c r="O4033" s="1007" t="s">
        <v>648</v>
      </c>
      <c r="P4033" s="1007" t="s">
        <v>648</v>
      </c>
      <c r="S4033" s="1008" t="s">
        <v>650</v>
      </c>
      <c r="T4033" s="1008" t="s">
        <v>654</v>
      </c>
      <c r="U4033" s="1008" t="s">
        <v>649</v>
      </c>
      <c r="V4033" s="1008" t="s">
        <v>648</v>
      </c>
      <c r="W4033" s="1008" t="s">
        <v>546</v>
      </c>
      <c r="X4033" s="1008" t="s">
        <v>670</v>
      </c>
      <c r="Y4033" s="1008" t="s">
        <v>670</v>
      </c>
      <c r="Z4033" s="1008"/>
      <c r="AA4033" s="1008"/>
      <c r="AB4033" s="1008"/>
      <c r="AC4033" s="1008"/>
      <c r="AD4033" s="1008"/>
      <c r="AE4033" s="1008"/>
      <c r="AF4033" s="1008" t="s">
        <v>670</v>
      </c>
      <c r="AG4033" s="1008"/>
      <c r="AH4033" s="1008"/>
      <c r="AI4033" s="1008"/>
    </row>
    <row r="4034" spans="1:35">
      <c r="A4034" s="1008">
        <v>27457</v>
      </c>
      <c r="B4034" s="1008">
        <v>6335</v>
      </c>
      <c r="C4034" s="1008">
        <v>3</v>
      </c>
      <c r="D4034" s="1009">
        <v>99023999</v>
      </c>
      <c r="E4034" s="1009">
        <v>99023050</v>
      </c>
      <c r="F4034" s="1007" t="s">
        <v>920</v>
      </c>
      <c r="G4034" s="1007" t="s">
        <v>648</v>
      </c>
      <c r="H4034" s="1010">
        <v>99999999</v>
      </c>
      <c r="I4034" s="1009">
        <v>99023050</v>
      </c>
      <c r="J4034" s="1007" t="s">
        <v>920</v>
      </c>
      <c r="O4034" s="1007" t="s">
        <v>648</v>
      </c>
      <c r="P4034" s="1007" t="s">
        <v>648</v>
      </c>
      <c r="S4034" s="1008" t="s">
        <v>650</v>
      </c>
      <c r="T4034" s="1008" t="s">
        <v>654</v>
      </c>
      <c r="U4034" s="1008" t="s">
        <v>649</v>
      </c>
      <c r="V4034" s="1008" t="s">
        <v>648</v>
      </c>
      <c r="W4034" s="1008" t="s">
        <v>546</v>
      </c>
      <c r="X4034" s="1008" t="s">
        <v>670</v>
      </c>
      <c r="Y4034" s="1008" t="s">
        <v>670</v>
      </c>
      <c r="Z4034" s="1008"/>
      <c r="AA4034" s="1008"/>
      <c r="AB4034" s="1008"/>
      <c r="AC4034" s="1008"/>
      <c r="AD4034" s="1008"/>
      <c r="AE4034" s="1008"/>
      <c r="AF4034" s="1008" t="s">
        <v>670</v>
      </c>
      <c r="AG4034" s="1008"/>
      <c r="AH4034" s="1008"/>
      <c r="AI4034" s="1008"/>
    </row>
    <row r="4035" spans="1:35">
      <c r="A4035" s="1008">
        <v>27458</v>
      </c>
      <c r="B4035" s="1008">
        <v>6336</v>
      </c>
      <c r="C4035" s="1008">
        <v>3</v>
      </c>
      <c r="D4035" s="1009">
        <v>99023999</v>
      </c>
      <c r="E4035" s="1009">
        <v>99023900</v>
      </c>
      <c r="F4035" s="1007" t="s">
        <v>919</v>
      </c>
      <c r="G4035" s="1007" t="s">
        <v>648</v>
      </c>
      <c r="H4035" s="1010">
        <v>99999999</v>
      </c>
      <c r="I4035" s="1009">
        <v>99023900</v>
      </c>
      <c r="J4035" s="1007" t="s">
        <v>919</v>
      </c>
      <c r="O4035" s="1007" t="s">
        <v>648</v>
      </c>
      <c r="P4035" s="1007" t="s">
        <v>648</v>
      </c>
      <c r="S4035" s="1008" t="s">
        <v>650</v>
      </c>
      <c r="T4035" s="1008" t="s">
        <v>654</v>
      </c>
      <c r="U4035" s="1008" t="s">
        <v>649</v>
      </c>
      <c r="V4035" s="1008" t="s">
        <v>648</v>
      </c>
      <c r="W4035" s="1008" t="s">
        <v>546</v>
      </c>
      <c r="X4035" s="1008" t="s">
        <v>670</v>
      </c>
      <c r="Y4035" s="1008" t="s">
        <v>670</v>
      </c>
      <c r="Z4035" s="1008" t="s">
        <v>670</v>
      </c>
      <c r="AA4035" s="1008"/>
      <c r="AB4035" s="1008"/>
      <c r="AC4035" s="1008"/>
      <c r="AD4035" s="1008"/>
      <c r="AE4035" s="1008"/>
      <c r="AF4035" s="1008" t="s">
        <v>670</v>
      </c>
      <c r="AG4035" s="1008"/>
      <c r="AH4035" s="1008"/>
      <c r="AI4035" s="1008"/>
    </row>
    <row r="4036" spans="1:35">
      <c r="A4036" s="1008">
        <v>27459</v>
      </c>
      <c r="C4036" s="1008">
        <v>2</v>
      </c>
      <c r="D4036" s="1009">
        <v>99099999</v>
      </c>
      <c r="E4036" s="1009">
        <v>99023999</v>
      </c>
      <c r="F4036" s="1007" t="s">
        <v>918</v>
      </c>
      <c r="O4036" s="1007" t="s">
        <v>648</v>
      </c>
      <c r="P4036" s="1007" t="s">
        <v>648</v>
      </c>
      <c r="S4036" s="1008" t="s">
        <v>650</v>
      </c>
      <c r="T4036" s="1008" t="s">
        <v>21</v>
      </c>
      <c r="U4036" s="1008" t="s">
        <v>649</v>
      </c>
      <c r="V4036" s="1008" t="s">
        <v>648</v>
      </c>
      <c r="W4036" s="1008" t="s">
        <v>546</v>
      </c>
      <c r="X4036" s="1008"/>
      <c r="Y4036" s="1008"/>
      <c r="Z4036" s="1008"/>
      <c r="AA4036" s="1008"/>
      <c r="AB4036" s="1008"/>
      <c r="AC4036" s="1008"/>
      <c r="AD4036" s="1008"/>
      <c r="AE4036" s="1008"/>
      <c r="AF4036" s="1008"/>
      <c r="AG4036" s="1008"/>
      <c r="AH4036" s="1008"/>
      <c r="AI4036" s="1008"/>
    </row>
    <row r="4037" spans="1:35">
      <c r="A4037" s="1008">
        <v>27460</v>
      </c>
      <c r="C4037" s="1008">
        <v>2</v>
      </c>
      <c r="D4037" s="1009">
        <v>99024999</v>
      </c>
      <c r="E4037" s="1009">
        <v>99024000</v>
      </c>
      <c r="F4037" s="1007" t="s">
        <v>917</v>
      </c>
      <c r="O4037" s="1007" t="s">
        <v>648</v>
      </c>
      <c r="P4037" s="1007" t="s">
        <v>648</v>
      </c>
      <c r="S4037" s="1008" t="s">
        <v>650</v>
      </c>
      <c r="T4037" s="1008" t="s">
        <v>675</v>
      </c>
      <c r="U4037" s="1008" t="s">
        <v>649</v>
      </c>
      <c r="V4037" s="1008" t="s">
        <v>648</v>
      </c>
      <c r="W4037" s="1008" t="s">
        <v>546</v>
      </c>
      <c r="X4037" s="1008"/>
      <c r="Y4037" s="1008"/>
      <c r="Z4037" s="1008"/>
      <c r="AA4037" s="1008"/>
      <c r="AB4037" s="1008"/>
      <c r="AC4037" s="1008"/>
      <c r="AD4037" s="1008"/>
      <c r="AE4037" s="1008"/>
      <c r="AF4037" s="1008"/>
      <c r="AG4037" s="1008"/>
      <c r="AH4037" s="1008"/>
      <c r="AI4037" s="1008"/>
    </row>
    <row r="4038" spans="1:35">
      <c r="A4038" s="1008">
        <v>27461</v>
      </c>
      <c r="B4038" s="1008">
        <v>6337</v>
      </c>
      <c r="C4038" s="1008">
        <v>3</v>
      </c>
      <c r="D4038" s="1009">
        <v>99024999</v>
      </c>
      <c r="E4038" s="1009">
        <v>99024010</v>
      </c>
      <c r="F4038" s="1007" t="s">
        <v>916</v>
      </c>
      <c r="G4038" s="1007" t="s">
        <v>648</v>
      </c>
      <c r="H4038" s="1010">
        <v>99999999</v>
      </c>
      <c r="I4038" s="1009">
        <v>99024010</v>
      </c>
      <c r="J4038" s="1007" t="s">
        <v>916</v>
      </c>
      <c r="O4038" s="1007" t="s">
        <v>648</v>
      </c>
      <c r="P4038" s="1007" t="s">
        <v>648</v>
      </c>
      <c r="S4038" s="1008" t="s">
        <v>650</v>
      </c>
      <c r="T4038" s="1008" t="s">
        <v>654</v>
      </c>
      <c r="U4038" s="1008" t="s">
        <v>649</v>
      </c>
      <c r="V4038" s="1008" t="s">
        <v>648</v>
      </c>
      <c r="W4038" s="1008" t="s">
        <v>546</v>
      </c>
      <c r="X4038" s="1008" t="s">
        <v>670</v>
      </c>
      <c r="Y4038" s="1008" t="s">
        <v>670</v>
      </c>
      <c r="Z4038" s="1008"/>
      <c r="AA4038" s="1008"/>
      <c r="AB4038" s="1008"/>
      <c r="AC4038" s="1008"/>
      <c r="AD4038" s="1008"/>
      <c r="AE4038" s="1008"/>
      <c r="AF4038" s="1008" t="s">
        <v>670</v>
      </c>
      <c r="AG4038" s="1008"/>
      <c r="AH4038" s="1008"/>
      <c r="AI4038" s="1008"/>
    </row>
    <row r="4039" spans="1:35">
      <c r="A4039" s="1008">
        <v>27462</v>
      </c>
      <c r="B4039" s="1008">
        <v>6338</v>
      </c>
      <c r="C4039" s="1008">
        <v>3</v>
      </c>
      <c r="D4039" s="1009">
        <v>99024999</v>
      </c>
      <c r="E4039" s="1009">
        <v>99024020</v>
      </c>
      <c r="F4039" s="1007" t="s">
        <v>915</v>
      </c>
      <c r="G4039" s="1007" t="s">
        <v>648</v>
      </c>
      <c r="H4039" s="1010">
        <v>99999999</v>
      </c>
      <c r="I4039" s="1009">
        <v>99024020</v>
      </c>
      <c r="J4039" s="1007" t="s">
        <v>915</v>
      </c>
      <c r="O4039" s="1007" t="s">
        <v>648</v>
      </c>
      <c r="P4039" s="1007" t="s">
        <v>648</v>
      </c>
      <c r="S4039" s="1008" t="s">
        <v>650</v>
      </c>
      <c r="T4039" s="1008" t="s">
        <v>654</v>
      </c>
      <c r="U4039" s="1008" t="s">
        <v>649</v>
      </c>
      <c r="V4039" s="1008" t="s">
        <v>648</v>
      </c>
      <c r="W4039" s="1008" t="s">
        <v>546</v>
      </c>
      <c r="X4039" s="1008" t="s">
        <v>670</v>
      </c>
      <c r="Y4039" s="1008" t="s">
        <v>670</v>
      </c>
      <c r="Z4039" s="1008"/>
      <c r="AA4039" s="1008"/>
      <c r="AB4039" s="1008"/>
      <c r="AC4039" s="1008"/>
      <c r="AD4039" s="1008"/>
      <c r="AE4039" s="1008"/>
      <c r="AF4039" s="1008" t="s">
        <v>670</v>
      </c>
      <c r="AG4039" s="1008"/>
      <c r="AH4039" s="1008"/>
      <c r="AI4039" s="1008"/>
    </row>
    <row r="4040" spans="1:35">
      <c r="A4040" s="1008">
        <v>27463</v>
      </c>
      <c r="B4040" s="1008">
        <v>6339</v>
      </c>
      <c r="C4040" s="1008">
        <v>3</v>
      </c>
      <c r="D4040" s="1009">
        <v>99024999</v>
      </c>
      <c r="E4040" s="1009">
        <v>99024030</v>
      </c>
      <c r="F4040" s="1007" t="s">
        <v>914</v>
      </c>
      <c r="G4040" s="1007" t="s">
        <v>648</v>
      </c>
      <c r="H4040" s="1010">
        <v>99999999</v>
      </c>
      <c r="I4040" s="1009">
        <v>99024030</v>
      </c>
      <c r="J4040" s="1007" t="s">
        <v>914</v>
      </c>
      <c r="O4040" s="1007" t="s">
        <v>648</v>
      </c>
      <c r="P4040" s="1007" t="s">
        <v>648</v>
      </c>
      <c r="S4040" s="1008" t="s">
        <v>650</v>
      </c>
      <c r="T4040" s="1008" t="s">
        <v>654</v>
      </c>
      <c r="U4040" s="1008" t="s">
        <v>649</v>
      </c>
      <c r="V4040" s="1008" t="s">
        <v>648</v>
      </c>
      <c r="W4040" s="1008" t="s">
        <v>546</v>
      </c>
      <c r="X4040" s="1008" t="s">
        <v>670</v>
      </c>
      <c r="Y4040" s="1008" t="s">
        <v>670</v>
      </c>
      <c r="Z4040" s="1008"/>
      <c r="AA4040" s="1008"/>
      <c r="AB4040" s="1008"/>
      <c r="AC4040" s="1008"/>
      <c r="AD4040" s="1008"/>
      <c r="AE4040" s="1008"/>
      <c r="AF4040" s="1008" t="s">
        <v>670</v>
      </c>
      <c r="AG4040" s="1008"/>
      <c r="AH4040" s="1008"/>
      <c r="AI4040" s="1008"/>
    </row>
    <row r="4041" spans="1:35">
      <c r="A4041" s="1008">
        <v>27464</v>
      </c>
      <c r="B4041" s="1008">
        <v>6340</v>
      </c>
      <c r="C4041" s="1008">
        <v>3</v>
      </c>
      <c r="D4041" s="1009">
        <v>99024999</v>
      </c>
      <c r="E4041" s="1009">
        <v>99024040</v>
      </c>
      <c r="F4041" s="1007" t="s">
        <v>913</v>
      </c>
      <c r="G4041" s="1007" t="s">
        <v>648</v>
      </c>
      <c r="H4041" s="1010">
        <v>99999999</v>
      </c>
      <c r="I4041" s="1009">
        <v>99024040</v>
      </c>
      <c r="J4041" s="1007" t="s">
        <v>913</v>
      </c>
      <c r="O4041" s="1007" t="s">
        <v>648</v>
      </c>
      <c r="P4041" s="1007" t="s">
        <v>648</v>
      </c>
      <c r="S4041" s="1008" t="s">
        <v>650</v>
      </c>
      <c r="T4041" s="1008" t="s">
        <v>654</v>
      </c>
      <c r="U4041" s="1008" t="s">
        <v>649</v>
      </c>
      <c r="V4041" s="1008" t="s">
        <v>648</v>
      </c>
      <c r="W4041" s="1008" t="s">
        <v>546</v>
      </c>
      <c r="X4041" s="1008" t="s">
        <v>670</v>
      </c>
      <c r="Y4041" s="1008" t="s">
        <v>670</v>
      </c>
      <c r="Z4041" s="1008"/>
      <c r="AA4041" s="1008"/>
      <c r="AB4041" s="1008"/>
      <c r="AC4041" s="1008"/>
      <c r="AD4041" s="1008"/>
      <c r="AE4041" s="1008"/>
      <c r="AF4041" s="1008" t="s">
        <v>670</v>
      </c>
      <c r="AG4041" s="1008"/>
      <c r="AH4041" s="1008"/>
      <c r="AI4041" s="1008"/>
    </row>
    <row r="4042" spans="1:35">
      <c r="A4042" s="1008">
        <v>27465</v>
      </c>
      <c r="B4042" s="1008">
        <v>6341</v>
      </c>
      <c r="C4042" s="1008">
        <v>3</v>
      </c>
      <c r="D4042" s="1009">
        <v>99024999</v>
      </c>
      <c r="E4042" s="1009">
        <v>99024050</v>
      </c>
      <c r="F4042" s="1007" t="s">
        <v>912</v>
      </c>
      <c r="G4042" s="1007" t="s">
        <v>648</v>
      </c>
      <c r="H4042" s="1010">
        <v>99999999</v>
      </c>
      <c r="I4042" s="1009">
        <v>99024050</v>
      </c>
      <c r="J4042" s="1007" t="s">
        <v>912</v>
      </c>
      <c r="O4042" s="1007" t="s">
        <v>648</v>
      </c>
      <c r="P4042" s="1007" t="s">
        <v>648</v>
      </c>
      <c r="S4042" s="1008" t="s">
        <v>650</v>
      </c>
      <c r="T4042" s="1008" t="s">
        <v>654</v>
      </c>
      <c r="U4042" s="1008" t="s">
        <v>649</v>
      </c>
      <c r="V4042" s="1008" t="s">
        <v>648</v>
      </c>
      <c r="W4042" s="1008" t="s">
        <v>546</v>
      </c>
      <c r="X4042" s="1008" t="s">
        <v>670</v>
      </c>
      <c r="Y4042" s="1008" t="s">
        <v>670</v>
      </c>
      <c r="Z4042" s="1008"/>
      <c r="AA4042" s="1008"/>
      <c r="AB4042" s="1008"/>
      <c r="AC4042" s="1008"/>
      <c r="AD4042" s="1008"/>
      <c r="AE4042" s="1008"/>
      <c r="AF4042" s="1008" t="s">
        <v>670</v>
      </c>
      <c r="AG4042" s="1008"/>
      <c r="AH4042" s="1008"/>
      <c r="AI4042" s="1008"/>
    </row>
    <row r="4043" spans="1:35">
      <c r="A4043" s="1008">
        <v>27466</v>
      </c>
      <c r="B4043" s="1008">
        <v>6342</v>
      </c>
      <c r="C4043" s="1008">
        <v>3</v>
      </c>
      <c r="D4043" s="1009">
        <v>99024999</v>
      </c>
      <c r="E4043" s="1009">
        <v>99024900</v>
      </c>
      <c r="F4043" s="1007" t="s">
        <v>911</v>
      </c>
      <c r="G4043" s="1007" t="s">
        <v>648</v>
      </c>
      <c r="H4043" s="1010">
        <v>99999999</v>
      </c>
      <c r="I4043" s="1009">
        <v>99024900</v>
      </c>
      <c r="J4043" s="1007" t="s">
        <v>911</v>
      </c>
      <c r="O4043" s="1007" t="s">
        <v>648</v>
      </c>
      <c r="P4043" s="1007" t="s">
        <v>648</v>
      </c>
      <c r="S4043" s="1008" t="s">
        <v>650</v>
      </c>
      <c r="T4043" s="1008" t="s">
        <v>654</v>
      </c>
      <c r="U4043" s="1008" t="s">
        <v>649</v>
      </c>
      <c r="V4043" s="1008" t="s">
        <v>648</v>
      </c>
      <c r="W4043" s="1008" t="s">
        <v>546</v>
      </c>
      <c r="X4043" s="1008" t="s">
        <v>670</v>
      </c>
      <c r="Y4043" s="1008" t="s">
        <v>670</v>
      </c>
      <c r="Z4043" s="1008"/>
      <c r="AA4043" s="1008"/>
      <c r="AB4043" s="1008"/>
      <c r="AC4043" s="1008"/>
      <c r="AD4043" s="1008"/>
      <c r="AE4043" s="1008"/>
      <c r="AF4043" s="1008" t="s">
        <v>670</v>
      </c>
      <c r="AG4043" s="1008"/>
      <c r="AH4043" s="1008"/>
      <c r="AI4043" s="1008"/>
    </row>
    <row r="4044" spans="1:35">
      <c r="A4044" s="1008">
        <v>27467</v>
      </c>
      <c r="C4044" s="1008">
        <v>2</v>
      </c>
      <c r="D4044" s="1009">
        <v>99099999</v>
      </c>
      <c r="E4044" s="1009">
        <v>99024999</v>
      </c>
      <c r="F4044" s="1007" t="s">
        <v>910</v>
      </c>
      <c r="O4044" s="1007" t="s">
        <v>648</v>
      </c>
      <c r="P4044" s="1007" t="s">
        <v>648</v>
      </c>
      <c r="S4044" s="1008" t="s">
        <v>650</v>
      </c>
      <c r="T4044" s="1008" t="s">
        <v>21</v>
      </c>
      <c r="U4044" s="1008" t="s">
        <v>649</v>
      </c>
      <c r="V4044" s="1008" t="s">
        <v>648</v>
      </c>
      <c r="W4044" s="1008" t="s">
        <v>546</v>
      </c>
      <c r="X4044" s="1008"/>
      <c r="Y4044" s="1008"/>
      <c r="Z4044" s="1008"/>
      <c r="AA4044" s="1008"/>
      <c r="AB4044" s="1008"/>
      <c r="AC4044" s="1008"/>
      <c r="AD4044" s="1008"/>
      <c r="AE4044" s="1008"/>
      <c r="AF4044" s="1008"/>
      <c r="AG4044" s="1008"/>
      <c r="AH4044" s="1008"/>
      <c r="AI4044" s="1008"/>
    </row>
    <row r="4045" spans="1:35">
      <c r="A4045" s="1008">
        <v>27470</v>
      </c>
      <c r="C4045" s="1008">
        <v>2</v>
      </c>
      <c r="D4045" s="1009">
        <v>99025999</v>
      </c>
      <c r="E4045" s="1009">
        <v>99025000</v>
      </c>
      <c r="F4045" s="1007" t="s">
        <v>909</v>
      </c>
      <c r="O4045" s="1007" t="s">
        <v>648</v>
      </c>
      <c r="P4045" s="1007" t="s">
        <v>648</v>
      </c>
      <c r="S4045" s="1008" t="s">
        <v>650</v>
      </c>
      <c r="T4045" s="1008" t="s">
        <v>675</v>
      </c>
      <c r="U4045" s="1008" t="s">
        <v>649</v>
      </c>
      <c r="V4045" s="1008" t="s">
        <v>648</v>
      </c>
      <c r="W4045" s="1008" t="s">
        <v>546</v>
      </c>
      <c r="X4045" s="1008"/>
      <c r="Y4045" s="1008"/>
      <c r="Z4045" s="1008"/>
      <c r="AA4045" s="1008"/>
      <c r="AB4045" s="1008"/>
      <c r="AC4045" s="1008"/>
      <c r="AD4045" s="1008"/>
      <c r="AE4045" s="1008"/>
      <c r="AF4045" s="1008"/>
      <c r="AG4045" s="1008"/>
      <c r="AH4045" s="1008"/>
      <c r="AI4045" s="1008"/>
    </row>
    <row r="4046" spans="1:35">
      <c r="A4046" s="1008">
        <v>27471</v>
      </c>
      <c r="B4046" s="1008">
        <v>6345</v>
      </c>
      <c r="C4046" s="1008">
        <v>3</v>
      </c>
      <c r="D4046" s="1009">
        <v>99025999</v>
      </c>
      <c r="E4046" s="1009">
        <v>99025010</v>
      </c>
      <c r="F4046" s="1007" t="s">
        <v>908</v>
      </c>
      <c r="G4046" s="1007" t="s">
        <v>648</v>
      </c>
      <c r="H4046" s="1010">
        <v>99999999</v>
      </c>
      <c r="I4046" s="1009">
        <v>99025010</v>
      </c>
      <c r="J4046" s="1007" t="s">
        <v>908</v>
      </c>
      <c r="O4046" s="1007" t="s">
        <v>648</v>
      </c>
      <c r="P4046" s="1007" t="s">
        <v>648</v>
      </c>
      <c r="S4046" s="1008" t="s">
        <v>650</v>
      </c>
      <c r="T4046" s="1008" t="s">
        <v>654</v>
      </c>
      <c r="U4046" s="1008" t="s">
        <v>649</v>
      </c>
      <c r="V4046" s="1008" t="s">
        <v>648</v>
      </c>
      <c r="W4046" s="1008" t="s">
        <v>546</v>
      </c>
      <c r="X4046" s="1008" t="s">
        <v>670</v>
      </c>
      <c r="Y4046" s="1008" t="s">
        <v>670</v>
      </c>
      <c r="Z4046" s="1008"/>
      <c r="AA4046" s="1008"/>
      <c r="AB4046" s="1008"/>
      <c r="AC4046" s="1008"/>
      <c r="AD4046" s="1008"/>
      <c r="AE4046" s="1008"/>
      <c r="AF4046" s="1008" t="s">
        <v>670</v>
      </c>
      <c r="AG4046" s="1008"/>
      <c r="AH4046" s="1008"/>
      <c r="AI4046" s="1008"/>
    </row>
    <row r="4047" spans="1:35">
      <c r="A4047" s="1008">
        <v>27472</v>
      </c>
      <c r="B4047" s="1008">
        <v>6346</v>
      </c>
      <c r="C4047" s="1008">
        <v>3</v>
      </c>
      <c r="D4047" s="1009">
        <v>99025999</v>
      </c>
      <c r="E4047" s="1009">
        <v>99025020</v>
      </c>
      <c r="F4047" s="1007" t="s">
        <v>907</v>
      </c>
      <c r="G4047" s="1007" t="s">
        <v>648</v>
      </c>
      <c r="H4047" s="1010">
        <v>99999999</v>
      </c>
      <c r="I4047" s="1009">
        <v>99025020</v>
      </c>
      <c r="J4047" s="1007" t="s">
        <v>907</v>
      </c>
      <c r="O4047" s="1007" t="s">
        <v>648</v>
      </c>
      <c r="P4047" s="1007" t="s">
        <v>648</v>
      </c>
      <c r="S4047" s="1008" t="s">
        <v>650</v>
      </c>
      <c r="T4047" s="1008" t="s">
        <v>654</v>
      </c>
      <c r="U4047" s="1008" t="s">
        <v>649</v>
      </c>
      <c r="V4047" s="1008" t="s">
        <v>648</v>
      </c>
      <c r="W4047" s="1008" t="s">
        <v>546</v>
      </c>
      <c r="X4047" s="1008" t="s">
        <v>670</v>
      </c>
      <c r="Y4047" s="1008" t="s">
        <v>670</v>
      </c>
      <c r="Z4047" s="1008"/>
      <c r="AA4047" s="1008"/>
      <c r="AB4047" s="1008"/>
      <c r="AC4047" s="1008"/>
      <c r="AD4047" s="1008"/>
      <c r="AE4047" s="1008"/>
      <c r="AF4047" s="1008" t="s">
        <v>670</v>
      </c>
      <c r="AG4047" s="1008"/>
      <c r="AH4047" s="1008"/>
      <c r="AI4047" s="1008"/>
    </row>
    <row r="4048" spans="1:35">
      <c r="A4048" s="1008">
        <v>27473</v>
      </c>
      <c r="B4048" s="1008">
        <v>6347</v>
      </c>
      <c r="C4048" s="1008">
        <v>3</v>
      </c>
      <c r="D4048" s="1009">
        <v>99025999</v>
      </c>
      <c r="E4048" s="1009">
        <v>99025030</v>
      </c>
      <c r="F4048" s="1007" t="s">
        <v>906</v>
      </c>
      <c r="G4048" s="1007" t="s">
        <v>648</v>
      </c>
      <c r="H4048" s="1010">
        <v>99999999</v>
      </c>
      <c r="I4048" s="1009">
        <v>99025030</v>
      </c>
      <c r="J4048" s="1007" t="s">
        <v>906</v>
      </c>
      <c r="O4048" s="1007" t="s">
        <v>648</v>
      </c>
      <c r="P4048" s="1007" t="s">
        <v>648</v>
      </c>
      <c r="S4048" s="1008" t="s">
        <v>650</v>
      </c>
      <c r="T4048" s="1008" t="s">
        <v>654</v>
      </c>
      <c r="U4048" s="1008" t="s">
        <v>649</v>
      </c>
      <c r="V4048" s="1008" t="s">
        <v>648</v>
      </c>
      <c r="W4048" s="1008" t="s">
        <v>546</v>
      </c>
      <c r="X4048" s="1008" t="s">
        <v>670</v>
      </c>
      <c r="Y4048" s="1008" t="s">
        <v>670</v>
      </c>
      <c r="Z4048" s="1008"/>
      <c r="AA4048" s="1008"/>
      <c r="AB4048" s="1008"/>
      <c r="AC4048" s="1008"/>
      <c r="AD4048" s="1008"/>
      <c r="AE4048" s="1008"/>
      <c r="AF4048" s="1008" t="s">
        <v>670</v>
      </c>
      <c r="AG4048" s="1008"/>
      <c r="AH4048" s="1008"/>
      <c r="AI4048" s="1008"/>
    </row>
    <row r="4049" spans="1:35">
      <c r="A4049" s="1008">
        <v>27474</v>
      </c>
      <c r="B4049" s="1008">
        <v>6348</v>
      </c>
      <c r="C4049" s="1008">
        <v>3</v>
      </c>
      <c r="D4049" s="1009">
        <v>99025999</v>
      </c>
      <c r="E4049" s="1009">
        <v>99025040</v>
      </c>
      <c r="F4049" s="1007" t="s">
        <v>905</v>
      </c>
      <c r="G4049" s="1007" t="s">
        <v>648</v>
      </c>
      <c r="H4049" s="1010">
        <v>99999999</v>
      </c>
      <c r="I4049" s="1009">
        <v>99025040</v>
      </c>
      <c r="J4049" s="1007" t="s">
        <v>904</v>
      </c>
      <c r="O4049" s="1007" t="s">
        <v>648</v>
      </c>
      <c r="P4049" s="1007" t="s">
        <v>648</v>
      </c>
      <c r="S4049" s="1008" t="s">
        <v>650</v>
      </c>
      <c r="T4049" s="1008" t="s">
        <v>654</v>
      </c>
      <c r="U4049" s="1008" t="s">
        <v>649</v>
      </c>
      <c r="V4049" s="1008" t="s">
        <v>648</v>
      </c>
      <c r="W4049" s="1008" t="s">
        <v>546</v>
      </c>
      <c r="X4049" s="1008" t="s">
        <v>670</v>
      </c>
      <c r="Y4049" s="1008" t="s">
        <v>670</v>
      </c>
      <c r="Z4049" s="1008"/>
      <c r="AA4049" s="1008"/>
      <c r="AB4049" s="1008"/>
      <c r="AC4049" s="1008"/>
      <c r="AD4049" s="1008"/>
      <c r="AE4049" s="1008"/>
      <c r="AF4049" s="1008" t="s">
        <v>670</v>
      </c>
      <c r="AG4049" s="1008"/>
      <c r="AH4049" s="1008"/>
      <c r="AI4049" s="1008"/>
    </row>
    <row r="4050" spans="1:35">
      <c r="A4050" s="1008">
        <v>27475</v>
      </c>
      <c r="B4050" s="1008">
        <v>6349</v>
      </c>
      <c r="C4050" s="1008">
        <v>3</v>
      </c>
      <c r="D4050" s="1009">
        <v>99025999</v>
      </c>
      <c r="E4050" s="1009">
        <v>99025050</v>
      </c>
      <c r="F4050" s="1007" t="s">
        <v>903</v>
      </c>
      <c r="G4050" s="1007" t="s">
        <v>648</v>
      </c>
      <c r="H4050" s="1010">
        <v>99999999</v>
      </c>
      <c r="I4050" s="1009">
        <v>99025050</v>
      </c>
      <c r="J4050" s="1007" t="s">
        <v>902</v>
      </c>
      <c r="O4050" s="1007" t="s">
        <v>648</v>
      </c>
      <c r="P4050" s="1007" t="s">
        <v>648</v>
      </c>
      <c r="S4050" s="1008" t="s">
        <v>650</v>
      </c>
      <c r="T4050" s="1008" t="s">
        <v>654</v>
      </c>
      <c r="U4050" s="1008" t="s">
        <v>649</v>
      </c>
      <c r="V4050" s="1008" t="s">
        <v>648</v>
      </c>
      <c r="W4050" s="1008" t="s">
        <v>546</v>
      </c>
      <c r="X4050" s="1008" t="s">
        <v>670</v>
      </c>
      <c r="Y4050" s="1008" t="s">
        <v>670</v>
      </c>
      <c r="Z4050" s="1008"/>
      <c r="AA4050" s="1008"/>
      <c r="AB4050" s="1008"/>
      <c r="AC4050" s="1008"/>
      <c r="AD4050" s="1008"/>
      <c r="AE4050" s="1008"/>
      <c r="AF4050" s="1008" t="s">
        <v>670</v>
      </c>
      <c r="AG4050" s="1008"/>
      <c r="AH4050" s="1008"/>
      <c r="AI4050" s="1008"/>
    </row>
    <row r="4051" spans="1:35">
      <c r="A4051" s="1008">
        <v>27490</v>
      </c>
      <c r="B4051" s="1008">
        <v>6363</v>
      </c>
      <c r="C4051" s="1008">
        <v>3</v>
      </c>
      <c r="D4051" s="1009">
        <v>99025999</v>
      </c>
      <c r="E4051" s="1009">
        <v>99025900</v>
      </c>
      <c r="F4051" s="1007" t="s">
        <v>901</v>
      </c>
      <c r="G4051" s="1007">
        <v>8</v>
      </c>
      <c r="H4051" s="1010">
        <v>99999999</v>
      </c>
      <c r="I4051" s="1009">
        <v>99025900</v>
      </c>
      <c r="J4051" s="1007" t="s">
        <v>900</v>
      </c>
      <c r="O4051" s="1007" t="s">
        <v>648</v>
      </c>
      <c r="P4051" s="1007" t="s">
        <v>648</v>
      </c>
      <c r="S4051" s="1008" t="s">
        <v>650</v>
      </c>
      <c r="T4051" s="1008" t="s">
        <v>654</v>
      </c>
      <c r="U4051" s="1008" t="s">
        <v>649</v>
      </c>
      <c r="V4051" s="1008" t="s">
        <v>648</v>
      </c>
      <c r="W4051" s="1008" t="s">
        <v>546</v>
      </c>
      <c r="X4051" s="1008" t="s">
        <v>670</v>
      </c>
      <c r="Y4051" s="1008" t="s">
        <v>670</v>
      </c>
      <c r="Z4051" s="1008"/>
      <c r="AA4051" s="1008"/>
      <c r="AB4051" s="1008"/>
      <c r="AC4051" s="1008"/>
      <c r="AD4051" s="1008"/>
      <c r="AE4051" s="1008"/>
      <c r="AF4051" s="1008" t="s">
        <v>670</v>
      </c>
      <c r="AG4051" s="1008"/>
      <c r="AH4051" s="1008"/>
      <c r="AI4051" s="1008"/>
    </row>
    <row r="4052" spans="1:35">
      <c r="A4052" s="1008">
        <v>27491</v>
      </c>
      <c r="C4052" s="1008">
        <v>2</v>
      </c>
      <c r="D4052" s="1009">
        <v>99099999</v>
      </c>
      <c r="E4052" s="1009">
        <v>99025999</v>
      </c>
      <c r="F4052" s="1007" t="s">
        <v>899</v>
      </c>
      <c r="O4052" s="1007" t="s">
        <v>648</v>
      </c>
      <c r="P4052" s="1007" t="s">
        <v>648</v>
      </c>
      <c r="S4052" s="1008" t="s">
        <v>650</v>
      </c>
      <c r="T4052" s="1008" t="s">
        <v>21</v>
      </c>
      <c r="U4052" s="1008" t="s">
        <v>649</v>
      </c>
      <c r="V4052" s="1008" t="s">
        <v>648</v>
      </c>
      <c r="W4052" s="1008" t="s">
        <v>546</v>
      </c>
      <c r="X4052" s="1008"/>
      <c r="Y4052" s="1008"/>
      <c r="Z4052" s="1008"/>
      <c r="AA4052" s="1008"/>
      <c r="AB4052" s="1008"/>
      <c r="AC4052" s="1008"/>
      <c r="AD4052" s="1008"/>
      <c r="AE4052" s="1008"/>
      <c r="AF4052" s="1008"/>
      <c r="AG4052" s="1008"/>
      <c r="AH4052" s="1008"/>
      <c r="AI4052" s="1008"/>
    </row>
    <row r="4053" spans="1:35">
      <c r="A4053" s="1008">
        <v>27476</v>
      </c>
      <c r="C4053" s="1008">
        <v>2</v>
      </c>
      <c r="D4053" s="1009">
        <v>99026999</v>
      </c>
      <c r="E4053" s="1009">
        <v>99026000</v>
      </c>
      <c r="F4053" s="1007" t="s">
        <v>898</v>
      </c>
      <c r="O4053" s="1007" t="s">
        <v>648</v>
      </c>
      <c r="P4053" s="1007" t="s">
        <v>648</v>
      </c>
      <c r="S4053" s="1008" t="s">
        <v>650</v>
      </c>
      <c r="T4053" s="1008" t="s">
        <v>675</v>
      </c>
      <c r="U4053" s="1008" t="s">
        <v>649</v>
      </c>
      <c r="V4053" s="1008" t="s">
        <v>648</v>
      </c>
      <c r="W4053" s="1008" t="s">
        <v>546</v>
      </c>
      <c r="X4053" s="1008"/>
      <c r="Y4053" s="1008"/>
      <c r="Z4053" s="1008"/>
      <c r="AA4053" s="1008"/>
      <c r="AB4053" s="1008"/>
      <c r="AC4053" s="1008"/>
      <c r="AD4053" s="1008"/>
      <c r="AE4053" s="1008"/>
      <c r="AF4053" s="1008"/>
      <c r="AG4053" s="1008"/>
      <c r="AH4053" s="1008"/>
      <c r="AI4053" s="1008"/>
    </row>
    <row r="4054" spans="1:35">
      <c r="A4054" s="1008">
        <v>27477</v>
      </c>
      <c r="B4054" s="1008">
        <v>6350</v>
      </c>
      <c r="C4054" s="1008">
        <v>3</v>
      </c>
      <c r="D4054" s="1009">
        <v>99026999</v>
      </c>
      <c r="E4054" s="1009">
        <v>99026010</v>
      </c>
      <c r="F4054" s="1007" t="s">
        <v>897</v>
      </c>
      <c r="G4054" s="1007" t="s">
        <v>648</v>
      </c>
      <c r="H4054" s="1010">
        <v>99999999</v>
      </c>
      <c r="I4054" s="1009">
        <v>99026010</v>
      </c>
      <c r="J4054" s="1007" t="s">
        <v>897</v>
      </c>
      <c r="O4054" s="1007" t="s">
        <v>648</v>
      </c>
      <c r="P4054" s="1007" t="s">
        <v>648</v>
      </c>
      <c r="S4054" s="1008" t="s">
        <v>650</v>
      </c>
      <c r="T4054" s="1008" t="s">
        <v>654</v>
      </c>
      <c r="U4054" s="1008" t="s">
        <v>649</v>
      </c>
      <c r="V4054" s="1008" t="s">
        <v>648</v>
      </c>
      <c r="W4054" s="1008" t="s">
        <v>546</v>
      </c>
      <c r="X4054" s="1008" t="s">
        <v>670</v>
      </c>
      <c r="Y4054" s="1008" t="s">
        <v>670</v>
      </c>
      <c r="Z4054" s="1008"/>
      <c r="AA4054" s="1008"/>
      <c r="AB4054" s="1008"/>
      <c r="AC4054" s="1008"/>
      <c r="AD4054" s="1008"/>
      <c r="AE4054" s="1008"/>
      <c r="AF4054" s="1008" t="s">
        <v>670</v>
      </c>
      <c r="AG4054" s="1008"/>
      <c r="AH4054" s="1008"/>
      <c r="AI4054" s="1008"/>
    </row>
    <row r="4055" spans="1:35">
      <c r="A4055" s="1008">
        <v>27478</v>
      </c>
      <c r="B4055" s="1008">
        <v>6351</v>
      </c>
      <c r="C4055" s="1008">
        <v>3</v>
      </c>
      <c r="D4055" s="1009">
        <v>99026999</v>
      </c>
      <c r="E4055" s="1009">
        <v>99026020</v>
      </c>
      <c r="F4055" s="1007" t="s">
        <v>896</v>
      </c>
      <c r="G4055" s="1007" t="s">
        <v>648</v>
      </c>
      <c r="H4055" s="1010">
        <v>99999999</v>
      </c>
      <c r="I4055" s="1009">
        <v>99026020</v>
      </c>
      <c r="J4055" s="1007" t="s">
        <v>896</v>
      </c>
      <c r="O4055" s="1007" t="s">
        <v>648</v>
      </c>
      <c r="P4055" s="1007" t="s">
        <v>648</v>
      </c>
      <c r="S4055" s="1008" t="s">
        <v>650</v>
      </c>
      <c r="T4055" s="1008" t="s">
        <v>654</v>
      </c>
      <c r="U4055" s="1008" t="s">
        <v>649</v>
      </c>
      <c r="V4055" s="1008" t="s">
        <v>648</v>
      </c>
      <c r="W4055" s="1008" t="s">
        <v>546</v>
      </c>
      <c r="X4055" s="1008" t="s">
        <v>670</v>
      </c>
      <c r="Y4055" s="1008" t="s">
        <v>670</v>
      </c>
      <c r="Z4055" s="1008"/>
      <c r="AA4055" s="1008"/>
      <c r="AB4055" s="1008"/>
      <c r="AC4055" s="1008"/>
      <c r="AD4055" s="1008"/>
      <c r="AE4055" s="1008"/>
      <c r="AF4055" s="1008" t="s">
        <v>670</v>
      </c>
      <c r="AG4055" s="1008"/>
      <c r="AH4055" s="1008"/>
      <c r="AI4055" s="1008"/>
    </row>
    <row r="4056" spans="1:35">
      <c r="A4056" s="1008">
        <v>27479</v>
      </c>
      <c r="B4056" s="1008">
        <v>6352</v>
      </c>
      <c r="C4056" s="1008">
        <v>3</v>
      </c>
      <c r="D4056" s="1009">
        <v>99026999</v>
      </c>
      <c r="E4056" s="1009">
        <v>99026030</v>
      </c>
      <c r="F4056" s="1007" t="s">
        <v>894</v>
      </c>
      <c r="G4056" s="1007" t="s">
        <v>648</v>
      </c>
      <c r="H4056" s="1010">
        <v>99999999</v>
      </c>
      <c r="I4056" s="1009">
        <v>99026030</v>
      </c>
      <c r="J4056" s="1007" t="s">
        <v>894</v>
      </c>
      <c r="O4056" s="1007" t="s">
        <v>648</v>
      </c>
      <c r="P4056" s="1007" t="s">
        <v>648</v>
      </c>
      <c r="S4056" s="1008" t="s">
        <v>650</v>
      </c>
      <c r="T4056" s="1008" t="s">
        <v>654</v>
      </c>
      <c r="U4056" s="1008" t="s">
        <v>649</v>
      </c>
      <c r="V4056" s="1008" t="s">
        <v>648</v>
      </c>
      <c r="W4056" s="1008" t="s">
        <v>546</v>
      </c>
      <c r="X4056" s="1008" t="s">
        <v>670</v>
      </c>
      <c r="Y4056" s="1008" t="s">
        <v>670</v>
      </c>
      <c r="Z4056" s="1008"/>
      <c r="AA4056" s="1008"/>
      <c r="AB4056" s="1008"/>
      <c r="AC4056" s="1008"/>
      <c r="AD4056" s="1008"/>
      <c r="AE4056" s="1008"/>
      <c r="AF4056" s="1008" t="s">
        <v>670</v>
      </c>
      <c r="AG4056" s="1008"/>
      <c r="AH4056" s="1008"/>
      <c r="AI4056" s="1008"/>
    </row>
    <row r="4057" spans="1:35">
      <c r="A4057" s="1008">
        <v>27480</v>
      </c>
      <c r="B4057" s="1008">
        <v>6353</v>
      </c>
      <c r="C4057" s="1008">
        <v>3</v>
      </c>
      <c r="D4057" s="1009">
        <v>99026999</v>
      </c>
      <c r="E4057" s="1009">
        <v>99026040</v>
      </c>
      <c r="F4057" s="1007" t="s">
        <v>895</v>
      </c>
      <c r="G4057" s="1007" t="s">
        <v>648</v>
      </c>
      <c r="H4057" s="1010">
        <v>99999999</v>
      </c>
      <c r="I4057" s="1009">
        <v>99026040</v>
      </c>
      <c r="J4057" s="1007" t="s">
        <v>894</v>
      </c>
      <c r="O4057" s="1007" t="s">
        <v>648</v>
      </c>
      <c r="P4057" s="1007" t="s">
        <v>648</v>
      </c>
      <c r="S4057" s="1008" t="s">
        <v>650</v>
      </c>
      <c r="T4057" s="1008" t="s">
        <v>654</v>
      </c>
      <c r="U4057" s="1008" t="s">
        <v>649</v>
      </c>
      <c r="V4057" s="1008" t="s">
        <v>648</v>
      </c>
      <c r="W4057" s="1008" t="s">
        <v>546</v>
      </c>
      <c r="X4057" s="1008" t="s">
        <v>670</v>
      </c>
      <c r="Y4057" s="1008" t="s">
        <v>670</v>
      </c>
      <c r="Z4057" s="1008"/>
      <c r="AA4057" s="1008"/>
      <c r="AB4057" s="1008"/>
      <c r="AC4057" s="1008"/>
      <c r="AD4057" s="1008"/>
      <c r="AE4057" s="1008"/>
      <c r="AF4057" s="1008" t="s">
        <v>670</v>
      </c>
      <c r="AG4057" s="1008"/>
      <c r="AH4057" s="1008"/>
      <c r="AI4057" s="1008"/>
    </row>
    <row r="4058" spans="1:35">
      <c r="A4058" s="1008">
        <v>27481</v>
      </c>
      <c r="B4058" s="1008">
        <v>6354</v>
      </c>
      <c r="C4058" s="1008">
        <v>3</v>
      </c>
      <c r="D4058" s="1009">
        <v>99026999</v>
      </c>
      <c r="E4058" s="1009">
        <v>99026050</v>
      </c>
      <c r="F4058" s="1007" t="s">
        <v>893</v>
      </c>
      <c r="G4058" s="1007" t="s">
        <v>648</v>
      </c>
      <c r="H4058" s="1010">
        <v>99999999</v>
      </c>
      <c r="I4058" s="1009">
        <v>99026050</v>
      </c>
      <c r="J4058" s="1007" t="s">
        <v>893</v>
      </c>
      <c r="O4058" s="1007" t="s">
        <v>648</v>
      </c>
      <c r="P4058" s="1007" t="s">
        <v>648</v>
      </c>
      <c r="S4058" s="1008" t="s">
        <v>650</v>
      </c>
      <c r="T4058" s="1008" t="s">
        <v>654</v>
      </c>
      <c r="U4058" s="1008" t="s">
        <v>649</v>
      </c>
      <c r="V4058" s="1008" t="s">
        <v>648</v>
      </c>
      <c r="W4058" s="1008" t="s">
        <v>546</v>
      </c>
      <c r="X4058" s="1008" t="s">
        <v>670</v>
      </c>
      <c r="Y4058" s="1008" t="s">
        <v>670</v>
      </c>
      <c r="Z4058" s="1008"/>
      <c r="AA4058" s="1008"/>
      <c r="AB4058" s="1008"/>
      <c r="AC4058" s="1008"/>
      <c r="AD4058" s="1008"/>
      <c r="AE4058" s="1008"/>
      <c r="AF4058" s="1008" t="s">
        <v>670</v>
      </c>
      <c r="AG4058" s="1008"/>
      <c r="AH4058" s="1008"/>
      <c r="AI4058" s="1008"/>
    </row>
    <row r="4059" spans="1:35">
      <c r="A4059" s="1008">
        <v>27492</v>
      </c>
      <c r="B4059" s="1008">
        <v>6364</v>
      </c>
      <c r="C4059" s="1008">
        <v>3</v>
      </c>
      <c r="D4059" s="1009">
        <v>99026999</v>
      </c>
      <c r="E4059" s="1009">
        <v>99026900</v>
      </c>
      <c r="F4059" s="1007" t="s">
        <v>892</v>
      </c>
      <c r="G4059" s="1007">
        <v>8</v>
      </c>
      <c r="H4059" s="1010">
        <v>99999999</v>
      </c>
      <c r="I4059" s="1009">
        <v>99026900</v>
      </c>
      <c r="J4059" s="1007" t="s">
        <v>891</v>
      </c>
      <c r="O4059" s="1007" t="s">
        <v>648</v>
      </c>
      <c r="P4059" s="1007" t="s">
        <v>648</v>
      </c>
      <c r="S4059" s="1008" t="s">
        <v>650</v>
      </c>
      <c r="T4059" s="1008" t="s">
        <v>654</v>
      </c>
      <c r="U4059" s="1008" t="s">
        <v>649</v>
      </c>
      <c r="V4059" s="1008" t="s">
        <v>648</v>
      </c>
      <c r="W4059" s="1008" t="s">
        <v>546</v>
      </c>
      <c r="X4059" s="1008" t="s">
        <v>670</v>
      </c>
      <c r="Y4059" s="1008" t="s">
        <v>670</v>
      </c>
      <c r="Z4059" s="1008"/>
      <c r="AA4059" s="1008"/>
      <c r="AB4059" s="1008"/>
      <c r="AC4059" s="1008"/>
      <c r="AD4059" s="1008"/>
      <c r="AE4059" s="1008"/>
      <c r="AF4059" s="1008" t="s">
        <v>670</v>
      </c>
      <c r="AG4059" s="1008"/>
      <c r="AH4059" s="1008"/>
      <c r="AI4059" s="1008"/>
    </row>
    <row r="4060" spans="1:35">
      <c r="A4060" s="1008">
        <v>27493</v>
      </c>
      <c r="C4060" s="1008">
        <v>2</v>
      </c>
      <c r="D4060" s="1009">
        <v>99099999</v>
      </c>
      <c r="E4060" s="1009">
        <v>99026999</v>
      </c>
      <c r="F4060" s="1007" t="s">
        <v>890</v>
      </c>
      <c r="O4060" s="1007" t="s">
        <v>648</v>
      </c>
      <c r="P4060" s="1007" t="s">
        <v>648</v>
      </c>
      <c r="S4060" s="1008" t="s">
        <v>650</v>
      </c>
      <c r="T4060" s="1008" t="s">
        <v>21</v>
      </c>
      <c r="U4060" s="1008" t="s">
        <v>649</v>
      </c>
      <c r="V4060" s="1008" t="s">
        <v>648</v>
      </c>
      <c r="W4060" s="1008" t="s">
        <v>546</v>
      </c>
      <c r="X4060" s="1008"/>
      <c r="Y4060" s="1008"/>
      <c r="Z4060" s="1008"/>
      <c r="AA4060" s="1008"/>
      <c r="AB4060" s="1008"/>
      <c r="AC4060" s="1008"/>
      <c r="AD4060" s="1008"/>
      <c r="AE4060" s="1008"/>
      <c r="AF4060" s="1008"/>
      <c r="AG4060" s="1008"/>
      <c r="AH4060" s="1008"/>
      <c r="AI4060" s="1008"/>
    </row>
    <row r="4061" spans="1:35">
      <c r="A4061" s="1008">
        <v>27494</v>
      </c>
      <c r="C4061" s="1008">
        <v>2</v>
      </c>
      <c r="D4061" s="1009">
        <v>99027999</v>
      </c>
      <c r="E4061" s="1009">
        <v>99027000</v>
      </c>
      <c r="F4061" s="1007" t="s">
        <v>889</v>
      </c>
      <c r="O4061" s="1007" t="s">
        <v>648</v>
      </c>
      <c r="P4061" s="1007" t="s">
        <v>648</v>
      </c>
      <c r="S4061" s="1008" t="s">
        <v>650</v>
      </c>
      <c r="T4061" s="1008" t="s">
        <v>675</v>
      </c>
      <c r="U4061" s="1008" t="s">
        <v>649</v>
      </c>
      <c r="V4061" s="1008" t="s">
        <v>648</v>
      </c>
      <c r="W4061" s="1008" t="s">
        <v>546</v>
      </c>
      <c r="X4061" s="1008"/>
      <c r="Y4061" s="1008"/>
      <c r="Z4061" s="1008"/>
      <c r="AA4061" s="1008"/>
      <c r="AB4061" s="1008"/>
      <c r="AC4061" s="1008"/>
      <c r="AD4061" s="1008"/>
      <c r="AE4061" s="1008"/>
      <c r="AF4061" s="1008"/>
      <c r="AG4061" s="1008"/>
      <c r="AH4061" s="1008"/>
      <c r="AI4061" s="1008"/>
    </row>
    <row r="4062" spans="1:35">
      <c r="A4062" s="1008">
        <v>27495</v>
      </c>
      <c r="B4062" s="1008">
        <v>6365</v>
      </c>
      <c r="C4062" s="1008">
        <v>3</v>
      </c>
      <c r="D4062" s="1009">
        <v>99027999</v>
      </c>
      <c r="E4062" s="1009">
        <v>99027010</v>
      </c>
      <c r="F4062" s="1007" t="s">
        <v>888</v>
      </c>
      <c r="G4062" s="1007" t="s">
        <v>648</v>
      </c>
      <c r="H4062" s="1010">
        <v>99999999</v>
      </c>
      <c r="I4062" s="1009">
        <v>99027010</v>
      </c>
      <c r="J4062" s="1007" t="s">
        <v>888</v>
      </c>
      <c r="O4062" s="1007" t="s">
        <v>648</v>
      </c>
      <c r="P4062" s="1007" t="s">
        <v>648</v>
      </c>
      <c r="S4062" s="1008" t="s">
        <v>650</v>
      </c>
      <c r="T4062" s="1008" t="s">
        <v>654</v>
      </c>
      <c r="U4062" s="1008" t="s">
        <v>649</v>
      </c>
      <c r="V4062" s="1008" t="s">
        <v>648</v>
      </c>
      <c r="W4062" s="1008" t="s">
        <v>546</v>
      </c>
      <c r="X4062" s="1008" t="s">
        <v>670</v>
      </c>
      <c r="Y4062" s="1008" t="s">
        <v>670</v>
      </c>
      <c r="Z4062" s="1008"/>
      <c r="AA4062" s="1008"/>
      <c r="AB4062" s="1008"/>
      <c r="AC4062" s="1008"/>
      <c r="AD4062" s="1008"/>
      <c r="AE4062" s="1008"/>
      <c r="AF4062" s="1008" t="s">
        <v>670</v>
      </c>
      <c r="AG4062" s="1008"/>
      <c r="AH4062" s="1008"/>
      <c r="AI4062" s="1008"/>
    </row>
    <row r="4063" spans="1:35">
      <c r="A4063" s="1008">
        <v>27496</v>
      </c>
      <c r="B4063" s="1008">
        <v>6366</v>
      </c>
      <c r="C4063" s="1008">
        <v>3</v>
      </c>
      <c r="D4063" s="1009">
        <v>99027999</v>
      </c>
      <c r="E4063" s="1009">
        <v>99027020</v>
      </c>
      <c r="F4063" s="1007" t="s">
        <v>887</v>
      </c>
      <c r="G4063" s="1007" t="s">
        <v>648</v>
      </c>
      <c r="H4063" s="1010">
        <v>99999999</v>
      </c>
      <c r="I4063" s="1009">
        <v>99027020</v>
      </c>
      <c r="J4063" s="1007" t="s">
        <v>887</v>
      </c>
      <c r="O4063" s="1007" t="s">
        <v>648</v>
      </c>
      <c r="P4063" s="1007" t="s">
        <v>648</v>
      </c>
      <c r="S4063" s="1008" t="s">
        <v>650</v>
      </c>
      <c r="T4063" s="1008" t="s">
        <v>654</v>
      </c>
      <c r="U4063" s="1008" t="s">
        <v>649</v>
      </c>
      <c r="V4063" s="1008" t="s">
        <v>648</v>
      </c>
      <c r="W4063" s="1008" t="s">
        <v>546</v>
      </c>
      <c r="X4063" s="1008" t="s">
        <v>670</v>
      </c>
      <c r="Y4063" s="1008" t="s">
        <v>670</v>
      </c>
      <c r="Z4063" s="1008"/>
      <c r="AA4063" s="1008"/>
      <c r="AB4063" s="1008"/>
      <c r="AC4063" s="1008"/>
      <c r="AD4063" s="1008"/>
      <c r="AE4063" s="1008"/>
      <c r="AF4063" s="1008" t="s">
        <v>670</v>
      </c>
      <c r="AG4063" s="1008"/>
      <c r="AH4063" s="1008"/>
      <c r="AI4063" s="1008"/>
    </row>
    <row r="4064" spans="1:35">
      <c r="A4064" s="1008">
        <v>27497</v>
      </c>
      <c r="B4064" s="1008">
        <v>6367</v>
      </c>
      <c r="C4064" s="1008">
        <v>3</v>
      </c>
      <c r="D4064" s="1009">
        <v>99027999</v>
      </c>
      <c r="E4064" s="1009">
        <v>99027030</v>
      </c>
      <c r="F4064" s="1007" t="s">
        <v>886</v>
      </c>
      <c r="G4064" s="1007" t="s">
        <v>648</v>
      </c>
      <c r="H4064" s="1010">
        <v>99999999</v>
      </c>
      <c r="I4064" s="1009">
        <v>99027030</v>
      </c>
      <c r="J4064" s="1007" t="s">
        <v>885</v>
      </c>
      <c r="O4064" s="1007" t="s">
        <v>648</v>
      </c>
      <c r="P4064" s="1007" t="s">
        <v>648</v>
      </c>
      <c r="S4064" s="1008" t="s">
        <v>650</v>
      </c>
      <c r="T4064" s="1008" t="s">
        <v>654</v>
      </c>
      <c r="U4064" s="1008" t="s">
        <v>649</v>
      </c>
      <c r="V4064" s="1008" t="s">
        <v>648</v>
      </c>
      <c r="W4064" s="1008" t="s">
        <v>546</v>
      </c>
      <c r="X4064" s="1008" t="s">
        <v>670</v>
      </c>
      <c r="Y4064" s="1008" t="s">
        <v>670</v>
      </c>
      <c r="Z4064" s="1008"/>
      <c r="AA4064" s="1008"/>
      <c r="AB4064" s="1008"/>
      <c r="AC4064" s="1008"/>
      <c r="AD4064" s="1008"/>
      <c r="AE4064" s="1008"/>
      <c r="AF4064" s="1008" t="s">
        <v>670</v>
      </c>
      <c r="AG4064" s="1008"/>
      <c r="AH4064" s="1008"/>
      <c r="AI4064" s="1008"/>
    </row>
    <row r="4065" spans="1:35">
      <c r="A4065" s="1008">
        <v>27498</v>
      </c>
      <c r="B4065" s="1008">
        <v>6368</v>
      </c>
      <c r="C4065" s="1008">
        <v>3</v>
      </c>
      <c r="D4065" s="1009">
        <v>99027999</v>
      </c>
      <c r="E4065" s="1009">
        <v>99027040</v>
      </c>
      <c r="F4065" s="1007" t="s">
        <v>884</v>
      </c>
      <c r="G4065" s="1007" t="s">
        <v>648</v>
      </c>
      <c r="H4065" s="1010">
        <v>99999999</v>
      </c>
      <c r="I4065" s="1009">
        <v>99027040</v>
      </c>
      <c r="J4065" s="1007" t="s">
        <v>884</v>
      </c>
      <c r="O4065" s="1007" t="s">
        <v>648</v>
      </c>
      <c r="P4065" s="1007" t="s">
        <v>648</v>
      </c>
      <c r="S4065" s="1008" t="s">
        <v>650</v>
      </c>
      <c r="T4065" s="1008" t="s">
        <v>654</v>
      </c>
      <c r="U4065" s="1008" t="s">
        <v>649</v>
      </c>
      <c r="V4065" s="1008" t="s">
        <v>648</v>
      </c>
      <c r="W4065" s="1008" t="s">
        <v>546</v>
      </c>
      <c r="X4065" s="1008" t="s">
        <v>670</v>
      </c>
      <c r="Y4065" s="1008" t="s">
        <v>670</v>
      </c>
      <c r="Z4065" s="1008"/>
      <c r="AA4065" s="1008"/>
      <c r="AB4065" s="1008"/>
      <c r="AC4065" s="1008"/>
      <c r="AD4065" s="1008"/>
      <c r="AE4065" s="1008"/>
      <c r="AF4065" s="1008" t="s">
        <v>670</v>
      </c>
      <c r="AG4065" s="1008"/>
      <c r="AH4065" s="1008"/>
      <c r="AI4065" s="1008"/>
    </row>
    <row r="4066" spans="1:35">
      <c r="A4066" s="1008">
        <v>27499</v>
      </c>
      <c r="B4066" s="1008">
        <v>6369</v>
      </c>
      <c r="C4066" s="1008">
        <v>3</v>
      </c>
      <c r="D4066" s="1009">
        <v>99027999</v>
      </c>
      <c r="E4066" s="1009">
        <v>99027050</v>
      </c>
      <c r="F4066" s="1007" t="s">
        <v>883</v>
      </c>
      <c r="G4066" s="1007" t="s">
        <v>648</v>
      </c>
      <c r="H4066" s="1010">
        <v>99999999</v>
      </c>
      <c r="I4066" s="1009">
        <v>99027050</v>
      </c>
      <c r="J4066" s="1007" t="s">
        <v>882</v>
      </c>
      <c r="O4066" s="1007" t="s">
        <v>648</v>
      </c>
      <c r="P4066" s="1007" t="s">
        <v>648</v>
      </c>
      <c r="S4066" s="1008" t="s">
        <v>650</v>
      </c>
      <c r="T4066" s="1008" t="s">
        <v>654</v>
      </c>
      <c r="U4066" s="1008" t="s">
        <v>649</v>
      </c>
      <c r="V4066" s="1008" t="s">
        <v>648</v>
      </c>
      <c r="W4066" s="1008" t="s">
        <v>546</v>
      </c>
      <c r="X4066" s="1008" t="s">
        <v>670</v>
      </c>
      <c r="Y4066" s="1008" t="s">
        <v>670</v>
      </c>
      <c r="Z4066" s="1008"/>
      <c r="AA4066" s="1008"/>
      <c r="AB4066" s="1008"/>
      <c r="AC4066" s="1008"/>
      <c r="AD4066" s="1008"/>
      <c r="AE4066" s="1008"/>
      <c r="AF4066" s="1008" t="s">
        <v>670</v>
      </c>
      <c r="AG4066" s="1008"/>
      <c r="AH4066" s="1008"/>
      <c r="AI4066" s="1008"/>
    </row>
    <row r="4067" spans="1:35">
      <c r="A4067" s="1008">
        <v>27500</v>
      </c>
      <c r="B4067" s="1008">
        <v>6370</v>
      </c>
      <c r="C4067" s="1008">
        <v>3</v>
      </c>
      <c r="D4067" s="1009">
        <v>99027999</v>
      </c>
      <c r="E4067" s="1009">
        <v>99027900</v>
      </c>
      <c r="F4067" s="1007" t="s">
        <v>881</v>
      </c>
      <c r="G4067" s="1007" t="s">
        <v>648</v>
      </c>
      <c r="H4067" s="1010">
        <v>99999999</v>
      </c>
      <c r="I4067" s="1009">
        <v>99027900</v>
      </c>
      <c r="J4067" s="1007" t="s">
        <v>880</v>
      </c>
      <c r="O4067" s="1007" t="s">
        <v>648</v>
      </c>
      <c r="P4067" s="1007" t="s">
        <v>648</v>
      </c>
      <c r="S4067" s="1008" t="s">
        <v>650</v>
      </c>
      <c r="T4067" s="1008" t="s">
        <v>654</v>
      </c>
      <c r="U4067" s="1008" t="s">
        <v>649</v>
      </c>
      <c r="V4067" s="1008" t="s">
        <v>648</v>
      </c>
      <c r="W4067" s="1008" t="s">
        <v>546</v>
      </c>
      <c r="X4067" s="1008" t="s">
        <v>670</v>
      </c>
      <c r="Y4067" s="1008" t="s">
        <v>670</v>
      </c>
      <c r="Z4067" s="1008"/>
      <c r="AA4067" s="1008"/>
      <c r="AB4067" s="1008"/>
      <c r="AC4067" s="1008"/>
      <c r="AD4067" s="1008"/>
      <c r="AE4067" s="1008"/>
      <c r="AF4067" s="1008" t="s">
        <v>670</v>
      </c>
      <c r="AG4067" s="1008"/>
      <c r="AH4067" s="1008"/>
      <c r="AI4067" s="1008"/>
    </row>
    <row r="4068" spans="1:35">
      <c r="A4068" s="1008">
        <v>27501</v>
      </c>
      <c r="C4068" s="1008">
        <v>2</v>
      </c>
      <c r="D4068" s="1009">
        <v>99099999</v>
      </c>
      <c r="E4068" s="1009">
        <v>99027999</v>
      </c>
      <c r="F4068" s="1007" t="s">
        <v>879</v>
      </c>
      <c r="O4068" s="1007" t="s">
        <v>648</v>
      </c>
      <c r="P4068" s="1007" t="s">
        <v>648</v>
      </c>
      <c r="S4068" s="1008" t="s">
        <v>650</v>
      </c>
      <c r="T4068" s="1008" t="s">
        <v>21</v>
      </c>
      <c r="U4068" s="1008" t="s">
        <v>649</v>
      </c>
      <c r="V4068" s="1008" t="s">
        <v>648</v>
      </c>
      <c r="W4068" s="1008" t="s">
        <v>546</v>
      </c>
      <c r="X4068" s="1008"/>
      <c r="Y4068" s="1008"/>
      <c r="Z4068" s="1008"/>
      <c r="AA4068" s="1008"/>
      <c r="AB4068" s="1008"/>
      <c r="AC4068" s="1008"/>
      <c r="AD4068" s="1008"/>
      <c r="AE4068" s="1008"/>
      <c r="AF4068" s="1008"/>
      <c r="AG4068" s="1008"/>
      <c r="AH4068" s="1008"/>
      <c r="AI4068" s="1008"/>
    </row>
    <row r="4069" spans="1:35">
      <c r="A4069" s="1008">
        <v>27502</v>
      </c>
      <c r="C4069" s="1008">
        <v>2</v>
      </c>
      <c r="D4069" s="1009">
        <v>99028999</v>
      </c>
      <c r="E4069" s="1009">
        <v>99028000</v>
      </c>
      <c r="F4069" s="1007" t="s">
        <v>878</v>
      </c>
      <c r="O4069" s="1007" t="s">
        <v>648</v>
      </c>
      <c r="P4069" s="1007" t="s">
        <v>648</v>
      </c>
      <c r="S4069" s="1008" t="s">
        <v>650</v>
      </c>
      <c r="T4069" s="1008" t="s">
        <v>675</v>
      </c>
      <c r="U4069" s="1008" t="s">
        <v>649</v>
      </c>
      <c r="V4069" s="1008" t="s">
        <v>648</v>
      </c>
      <c r="W4069" s="1008" t="s">
        <v>546</v>
      </c>
      <c r="X4069" s="1008"/>
      <c r="Y4069" s="1008"/>
      <c r="Z4069" s="1008"/>
      <c r="AA4069" s="1008"/>
      <c r="AB4069" s="1008"/>
      <c r="AC4069" s="1008"/>
      <c r="AD4069" s="1008"/>
      <c r="AE4069" s="1008"/>
      <c r="AF4069" s="1008"/>
      <c r="AG4069" s="1008"/>
      <c r="AH4069" s="1008"/>
      <c r="AI4069" s="1008"/>
    </row>
    <row r="4070" spans="1:35">
      <c r="A4070" s="1008">
        <v>27503</v>
      </c>
      <c r="B4070" s="1008">
        <v>6371</v>
      </c>
      <c r="C4070" s="1008">
        <v>3</v>
      </c>
      <c r="D4070" s="1009">
        <v>99028999</v>
      </c>
      <c r="E4070" s="1009">
        <v>99028010</v>
      </c>
      <c r="F4070" s="1007" t="s">
        <v>877</v>
      </c>
      <c r="G4070" s="1007" t="s">
        <v>648</v>
      </c>
      <c r="H4070" s="1010">
        <v>99999999</v>
      </c>
      <c r="I4070" s="1009">
        <v>99028010</v>
      </c>
      <c r="J4070" s="1007" t="s">
        <v>877</v>
      </c>
      <c r="O4070" s="1007" t="s">
        <v>648</v>
      </c>
      <c r="P4070" s="1007" t="s">
        <v>648</v>
      </c>
      <c r="S4070" s="1008" t="s">
        <v>650</v>
      </c>
      <c r="T4070" s="1008" t="s">
        <v>654</v>
      </c>
      <c r="U4070" s="1008" t="s">
        <v>649</v>
      </c>
      <c r="V4070" s="1008" t="s">
        <v>648</v>
      </c>
      <c r="W4070" s="1008" t="s">
        <v>546</v>
      </c>
      <c r="X4070" s="1008" t="s">
        <v>670</v>
      </c>
      <c r="Y4070" s="1008" t="s">
        <v>670</v>
      </c>
      <c r="Z4070" s="1008"/>
      <c r="AA4070" s="1008"/>
      <c r="AB4070" s="1008"/>
      <c r="AC4070" s="1008"/>
      <c r="AD4070" s="1008"/>
      <c r="AE4070" s="1008"/>
      <c r="AF4070" s="1008" t="s">
        <v>670</v>
      </c>
      <c r="AG4070" s="1008"/>
      <c r="AH4070" s="1008"/>
      <c r="AI4070" s="1008"/>
    </row>
    <row r="4071" spans="1:35">
      <c r="A4071" s="1008">
        <v>27504</v>
      </c>
      <c r="B4071" s="1008">
        <v>6372</v>
      </c>
      <c r="C4071" s="1008">
        <v>3</v>
      </c>
      <c r="D4071" s="1009">
        <v>99028999</v>
      </c>
      <c r="E4071" s="1009">
        <v>99028020</v>
      </c>
      <c r="F4071" s="1007" t="s">
        <v>876</v>
      </c>
      <c r="G4071" s="1007" t="s">
        <v>648</v>
      </c>
      <c r="H4071" s="1010">
        <v>99999999</v>
      </c>
      <c r="I4071" s="1009">
        <v>99028020</v>
      </c>
      <c r="J4071" s="1007" t="s">
        <v>875</v>
      </c>
      <c r="O4071" s="1007" t="s">
        <v>648</v>
      </c>
      <c r="P4071" s="1007" t="s">
        <v>648</v>
      </c>
      <c r="S4071" s="1008" t="s">
        <v>650</v>
      </c>
      <c r="T4071" s="1008" t="s">
        <v>654</v>
      </c>
      <c r="U4071" s="1008" t="s">
        <v>649</v>
      </c>
      <c r="V4071" s="1008" t="s">
        <v>648</v>
      </c>
      <c r="W4071" s="1008" t="s">
        <v>546</v>
      </c>
      <c r="X4071" s="1008" t="s">
        <v>670</v>
      </c>
      <c r="Y4071" s="1008" t="s">
        <v>670</v>
      </c>
      <c r="Z4071" s="1008"/>
      <c r="AA4071" s="1008"/>
      <c r="AB4071" s="1008"/>
      <c r="AC4071" s="1008"/>
      <c r="AD4071" s="1008"/>
      <c r="AE4071" s="1008"/>
      <c r="AF4071" s="1008" t="s">
        <v>670</v>
      </c>
      <c r="AG4071" s="1008"/>
      <c r="AH4071" s="1008"/>
      <c r="AI4071" s="1008"/>
    </row>
    <row r="4072" spans="1:35">
      <c r="A4072" s="1008">
        <v>27505</v>
      </c>
      <c r="B4072" s="1008">
        <v>6373</v>
      </c>
      <c r="C4072" s="1008">
        <v>3</v>
      </c>
      <c r="D4072" s="1009">
        <v>99028999</v>
      </c>
      <c r="E4072" s="1009">
        <v>99028030</v>
      </c>
      <c r="F4072" s="1007" t="s">
        <v>874</v>
      </c>
      <c r="G4072" s="1007" t="s">
        <v>648</v>
      </c>
      <c r="H4072" s="1010">
        <v>99999999</v>
      </c>
      <c r="I4072" s="1009">
        <v>99028030</v>
      </c>
      <c r="J4072" s="1007" t="s">
        <v>874</v>
      </c>
      <c r="O4072" s="1007" t="s">
        <v>648</v>
      </c>
      <c r="P4072" s="1007" t="s">
        <v>648</v>
      </c>
      <c r="S4072" s="1008" t="s">
        <v>650</v>
      </c>
      <c r="T4072" s="1008" t="s">
        <v>654</v>
      </c>
      <c r="U4072" s="1008" t="s">
        <v>649</v>
      </c>
      <c r="V4072" s="1008" t="s">
        <v>648</v>
      </c>
      <c r="W4072" s="1008" t="s">
        <v>546</v>
      </c>
      <c r="X4072" s="1008" t="s">
        <v>670</v>
      </c>
      <c r="Y4072" s="1008" t="s">
        <v>670</v>
      </c>
      <c r="Z4072" s="1008"/>
      <c r="AA4072" s="1008"/>
      <c r="AB4072" s="1008"/>
      <c r="AC4072" s="1008"/>
      <c r="AD4072" s="1008"/>
      <c r="AE4072" s="1008"/>
      <c r="AF4072" s="1008" t="s">
        <v>670</v>
      </c>
      <c r="AG4072" s="1008"/>
      <c r="AH4072" s="1008"/>
      <c r="AI4072" s="1008"/>
    </row>
    <row r="4073" spans="1:35">
      <c r="A4073" s="1008">
        <v>27506</v>
      </c>
      <c r="B4073" s="1008">
        <v>6374</v>
      </c>
      <c r="C4073" s="1008">
        <v>3</v>
      </c>
      <c r="D4073" s="1009">
        <v>99028999</v>
      </c>
      <c r="E4073" s="1009">
        <v>99028040</v>
      </c>
      <c r="F4073" s="1007" t="s">
        <v>873</v>
      </c>
      <c r="G4073" s="1007" t="s">
        <v>648</v>
      </c>
      <c r="H4073" s="1010">
        <v>99999999</v>
      </c>
      <c r="I4073" s="1009">
        <v>99028040</v>
      </c>
      <c r="J4073" s="1007" t="s">
        <v>873</v>
      </c>
      <c r="O4073" s="1007" t="s">
        <v>648</v>
      </c>
      <c r="P4073" s="1007" t="s">
        <v>648</v>
      </c>
      <c r="S4073" s="1008" t="s">
        <v>650</v>
      </c>
      <c r="T4073" s="1008" t="s">
        <v>654</v>
      </c>
      <c r="U4073" s="1008" t="s">
        <v>649</v>
      </c>
      <c r="V4073" s="1008" t="s">
        <v>648</v>
      </c>
      <c r="W4073" s="1008" t="s">
        <v>546</v>
      </c>
      <c r="X4073" s="1008" t="s">
        <v>670</v>
      </c>
      <c r="Y4073" s="1008" t="s">
        <v>670</v>
      </c>
      <c r="Z4073" s="1008"/>
      <c r="AA4073" s="1008"/>
      <c r="AB4073" s="1008"/>
      <c r="AC4073" s="1008"/>
      <c r="AD4073" s="1008"/>
      <c r="AE4073" s="1008"/>
      <c r="AF4073" s="1008" t="s">
        <v>670</v>
      </c>
      <c r="AG4073" s="1008"/>
      <c r="AH4073" s="1008"/>
      <c r="AI4073" s="1008"/>
    </row>
    <row r="4074" spans="1:35">
      <c r="A4074" s="1008">
        <v>27507</v>
      </c>
      <c r="B4074" s="1008">
        <v>6375</v>
      </c>
      <c r="C4074" s="1008">
        <v>3</v>
      </c>
      <c r="D4074" s="1009">
        <v>99028999</v>
      </c>
      <c r="E4074" s="1009">
        <v>99028050</v>
      </c>
      <c r="F4074" s="1007" t="s">
        <v>872</v>
      </c>
      <c r="G4074" s="1007" t="s">
        <v>648</v>
      </c>
      <c r="H4074" s="1010">
        <v>99999999</v>
      </c>
      <c r="I4074" s="1009">
        <v>99028050</v>
      </c>
      <c r="J4074" s="1007" t="s">
        <v>872</v>
      </c>
      <c r="O4074" s="1007" t="s">
        <v>648</v>
      </c>
      <c r="P4074" s="1007" t="s">
        <v>648</v>
      </c>
      <c r="S4074" s="1008" t="s">
        <v>650</v>
      </c>
      <c r="T4074" s="1008" t="s">
        <v>654</v>
      </c>
      <c r="U4074" s="1008" t="s">
        <v>649</v>
      </c>
      <c r="V4074" s="1008" t="s">
        <v>648</v>
      </c>
      <c r="W4074" s="1008" t="s">
        <v>546</v>
      </c>
      <c r="X4074" s="1008" t="s">
        <v>670</v>
      </c>
      <c r="Y4074" s="1008" t="s">
        <v>670</v>
      </c>
      <c r="Z4074" s="1008"/>
      <c r="AA4074" s="1008"/>
      <c r="AB4074" s="1008"/>
      <c r="AC4074" s="1008"/>
      <c r="AD4074" s="1008"/>
      <c r="AE4074" s="1008"/>
      <c r="AF4074" s="1008" t="s">
        <v>670</v>
      </c>
      <c r="AG4074" s="1008"/>
      <c r="AH4074" s="1008"/>
      <c r="AI4074" s="1008"/>
    </row>
    <row r="4075" spans="1:35">
      <c r="A4075" s="1008">
        <v>27508</v>
      </c>
      <c r="B4075" s="1008">
        <v>6376</v>
      </c>
      <c r="C4075" s="1008">
        <v>3</v>
      </c>
      <c r="D4075" s="1009">
        <v>99028999</v>
      </c>
      <c r="E4075" s="1009">
        <v>99028900</v>
      </c>
      <c r="F4075" s="1007" t="s">
        <v>871</v>
      </c>
      <c r="G4075" s="1007" t="s">
        <v>648</v>
      </c>
      <c r="H4075" s="1010">
        <v>99999999</v>
      </c>
      <c r="I4075" s="1009">
        <v>99028900</v>
      </c>
      <c r="J4075" s="1007" t="s">
        <v>870</v>
      </c>
      <c r="O4075" s="1007" t="s">
        <v>648</v>
      </c>
      <c r="P4075" s="1007" t="s">
        <v>648</v>
      </c>
      <c r="S4075" s="1008" t="s">
        <v>650</v>
      </c>
      <c r="T4075" s="1008" t="s">
        <v>654</v>
      </c>
      <c r="U4075" s="1008" t="s">
        <v>649</v>
      </c>
      <c r="V4075" s="1008" t="s">
        <v>648</v>
      </c>
      <c r="W4075" s="1008" t="s">
        <v>546</v>
      </c>
      <c r="X4075" s="1008" t="s">
        <v>670</v>
      </c>
      <c r="Y4075" s="1008" t="s">
        <v>670</v>
      </c>
      <c r="Z4075" s="1008"/>
      <c r="AA4075" s="1008"/>
      <c r="AB4075" s="1008"/>
      <c r="AC4075" s="1008"/>
      <c r="AD4075" s="1008"/>
      <c r="AE4075" s="1008"/>
      <c r="AF4075" s="1008" t="s">
        <v>670</v>
      </c>
      <c r="AG4075" s="1008"/>
      <c r="AH4075" s="1008"/>
      <c r="AI4075" s="1008"/>
    </row>
    <row r="4076" spans="1:35">
      <c r="A4076" s="1008">
        <v>27509</v>
      </c>
      <c r="C4076" s="1008">
        <v>2</v>
      </c>
      <c r="D4076" s="1009">
        <v>99099999</v>
      </c>
      <c r="E4076" s="1009">
        <v>99028999</v>
      </c>
      <c r="F4076" s="1007" t="s">
        <v>869</v>
      </c>
      <c r="O4076" s="1007" t="s">
        <v>648</v>
      </c>
      <c r="P4076" s="1007" t="s">
        <v>648</v>
      </c>
      <c r="S4076" s="1008" t="s">
        <v>650</v>
      </c>
      <c r="T4076" s="1008" t="s">
        <v>21</v>
      </c>
      <c r="U4076" s="1008" t="s">
        <v>649</v>
      </c>
      <c r="V4076" s="1008" t="s">
        <v>648</v>
      </c>
      <c r="W4076" s="1008" t="s">
        <v>546</v>
      </c>
      <c r="X4076" s="1008"/>
      <c r="Y4076" s="1008"/>
      <c r="Z4076" s="1008"/>
      <c r="AA4076" s="1008"/>
      <c r="AB4076" s="1008"/>
      <c r="AC4076" s="1008"/>
      <c r="AD4076" s="1008"/>
      <c r="AE4076" s="1008"/>
      <c r="AF4076" s="1008"/>
      <c r="AG4076" s="1008"/>
      <c r="AH4076" s="1008"/>
      <c r="AI4076" s="1008"/>
    </row>
    <row r="4077" spans="1:35">
      <c r="A4077" s="1008">
        <v>27378</v>
      </c>
      <c r="C4077" s="1008">
        <v>2</v>
      </c>
      <c r="D4077" s="1009">
        <v>99030999</v>
      </c>
      <c r="E4077" s="1009">
        <v>99030000</v>
      </c>
      <c r="F4077" s="1007" t="s">
        <v>868</v>
      </c>
      <c r="O4077" s="1007" t="s">
        <v>648</v>
      </c>
      <c r="P4077" s="1007" t="s">
        <v>648</v>
      </c>
      <c r="S4077" s="1008" t="s">
        <v>650</v>
      </c>
      <c r="T4077" s="1008" t="s">
        <v>675</v>
      </c>
      <c r="U4077" s="1008" t="s">
        <v>649</v>
      </c>
      <c r="V4077" s="1008" t="s">
        <v>648</v>
      </c>
      <c r="W4077" s="1008" t="s">
        <v>546</v>
      </c>
      <c r="X4077" s="1008"/>
      <c r="Y4077" s="1008"/>
      <c r="Z4077" s="1008"/>
      <c r="AA4077" s="1008"/>
      <c r="AB4077" s="1008"/>
      <c r="AC4077" s="1008"/>
      <c r="AD4077" s="1008"/>
      <c r="AE4077" s="1008"/>
      <c r="AF4077" s="1008"/>
      <c r="AG4077" s="1008"/>
      <c r="AH4077" s="1008"/>
      <c r="AI4077" s="1008"/>
    </row>
    <row r="4078" spans="1:35">
      <c r="A4078" s="1008">
        <v>27379</v>
      </c>
      <c r="B4078" s="1008">
        <v>6281</v>
      </c>
      <c r="C4078" s="1008">
        <v>3</v>
      </c>
      <c r="D4078" s="1009">
        <v>99030999</v>
      </c>
      <c r="E4078" s="1009">
        <v>99030010</v>
      </c>
      <c r="F4078" s="1007" t="s">
        <v>867</v>
      </c>
      <c r="G4078" s="1007" t="s">
        <v>648</v>
      </c>
      <c r="H4078" s="1010">
        <v>99999999</v>
      </c>
      <c r="I4078" s="1009">
        <v>99030010</v>
      </c>
      <c r="J4078" s="1007" t="s">
        <v>867</v>
      </c>
      <c r="O4078" s="1007" t="s">
        <v>648</v>
      </c>
      <c r="P4078" s="1007" t="s">
        <v>648</v>
      </c>
      <c r="S4078" s="1008" t="s">
        <v>650</v>
      </c>
      <c r="T4078" s="1008" t="s">
        <v>654</v>
      </c>
      <c r="U4078" s="1008" t="s">
        <v>649</v>
      </c>
      <c r="V4078" s="1008" t="s">
        <v>648</v>
      </c>
      <c r="W4078" s="1008" t="s">
        <v>546</v>
      </c>
      <c r="X4078" s="1008" t="s">
        <v>670</v>
      </c>
      <c r="Y4078" s="1008" t="s">
        <v>670</v>
      </c>
      <c r="Z4078" s="1008"/>
      <c r="AA4078" s="1008"/>
      <c r="AB4078" s="1008"/>
      <c r="AC4078" s="1008"/>
      <c r="AD4078" s="1008"/>
      <c r="AE4078" s="1008"/>
      <c r="AF4078" s="1008" t="s">
        <v>670</v>
      </c>
      <c r="AG4078" s="1008"/>
      <c r="AH4078" s="1008"/>
      <c r="AI4078" s="1008"/>
    </row>
    <row r="4079" spans="1:35">
      <c r="A4079" s="1008">
        <v>27380</v>
      </c>
      <c r="B4079" s="1008">
        <v>6282</v>
      </c>
      <c r="C4079" s="1008">
        <v>3</v>
      </c>
      <c r="D4079" s="1009">
        <v>99030999</v>
      </c>
      <c r="E4079" s="1009">
        <v>99030020</v>
      </c>
      <c r="F4079" s="1007" t="s">
        <v>866</v>
      </c>
      <c r="G4079" s="1007" t="s">
        <v>648</v>
      </c>
      <c r="H4079" s="1010">
        <v>99999999</v>
      </c>
      <c r="I4079" s="1009">
        <v>99030020</v>
      </c>
      <c r="J4079" s="1007" t="s">
        <v>866</v>
      </c>
      <c r="O4079" s="1007" t="s">
        <v>648</v>
      </c>
      <c r="P4079" s="1007" t="s">
        <v>648</v>
      </c>
      <c r="S4079" s="1008" t="s">
        <v>650</v>
      </c>
      <c r="T4079" s="1008" t="s">
        <v>654</v>
      </c>
      <c r="U4079" s="1008" t="s">
        <v>649</v>
      </c>
      <c r="V4079" s="1008" t="s">
        <v>648</v>
      </c>
      <c r="W4079" s="1008" t="s">
        <v>546</v>
      </c>
      <c r="X4079" s="1008" t="s">
        <v>670</v>
      </c>
      <c r="Y4079" s="1008" t="s">
        <v>670</v>
      </c>
      <c r="Z4079" s="1008"/>
      <c r="AA4079" s="1008"/>
      <c r="AB4079" s="1008"/>
      <c r="AC4079" s="1008"/>
      <c r="AD4079" s="1008"/>
      <c r="AE4079" s="1008"/>
      <c r="AF4079" s="1008" t="s">
        <v>670</v>
      </c>
      <c r="AG4079" s="1008"/>
      <c r="AH4079" s="1008"/>
      <c r="AI4079" s="1008"/>
    </row>
    <row r="4080" spans="1:35">
      <c r="A4080" s="1008">
        <v>27381</v>
      </c>
      <c r="B4080" s="1008">
        <v>6283</v>
      </c>
      <c r="C4080" s="1008">
        <v>3</v>
      </c>
      <c r="D4080" s="1009">
        <v>99030999</v>
      </c>
      <c r="E4080" s="1009">
        <v>99030030</v>
      </c>
      <c r="F4080" s="1007" t="s">
        <v>865</v>
      </c>
      <c r="G4080" s="1007" t="s">
        <v>648</v>
      </c>
      <c r="H4080" s="1010">
        <v>99999999</v>
      </c>
      <c r="I4080" s="1009">
        <v>99030030</v>
      </c>
      <c r="J4080" s="1007" t="s">
        <v>864</v>
      </c>
      <c r="O4080" s="1007" t="s">
        <v>648</v>
      </c>
      <c r="P4080" s="1007" t="s">
        <v>648</v>
      </c>
      <c r="S4080" s="1008" t="s">
        <v>650</v>
      </c>
      <c r="T4080" s="1008" t="s">
        <v>654</v>
      </c>
      <c r="U4080" s="1008" t="s">
        <v>649</v>
      </c>
      <c r="V4080" s="1008" t="s">
        <v>648</v>
      </c>
      <c r="W4080" s="1008" t="s">
        <v>546</v>
      </c>
      <c r="X4080" s="1008" t="s">
        <v>670</v>
      </c>
      <c r="Y4080" s="1008" t="s">
        <v>670</v>
      </c>
      <c r="Z4080" s="1008"/>
      <c r="AA4080" s="1008"/>
      <c r="AB4080" s="1008"/>
      <c r="AC4080" s="1008"/>
      <c r="AD4080" s="1008"/>
      <c r="AE4080" s="1008"/>
      <c r="AF4080" s="1008" t="s">
        <v>670</v>
      </c>
      <c r="AG4080" s="1008"/>
      <c r="AH4080" s="1008"/>
      <c r="AI4080" s="1008"/>
    </row>
    <row r="4081" spans="1:35">
      <c r="A4081" s="1008">
        <v>27382</v>
      </c>
      <c r="B4081" s="1008">
        <v>6284</v>
      </c>
      <c r="C4081" s="1008">
        <v>3</v>
      </c>
      <c r="D4081" s="1009">
        <v>99030999</v>
      </c>
      <c r="E4081" s="1009">
        <v>99030040</v>
      </c>
      <c r="F4081" s="1007" t="s">
        <v>863</v>
      </c>
      <c r="G4081" s="1007" t="s">
        <v>648</v>
      </c>
      <c r="H4081" s="1010">
        <v>99999999</v>
      </c>
      <c r="I4081" s="1009">
        <v>99030040</v>
      </c>
      <c r="J4081" s="1007" t="s">
        <v>862</v>
      </c>
      <c r="O4081" s="1007" t="s">
        <v>648</v>
      </c>
      <c r="P4081" s="1007" t="s">
        <v>648</v>
      </c>
      <c r="S4081" s="1008" t="s">
        <v>650</v>
      </c>
      <c r="T4081" s="1008" t="s">
        <v>654</v>
      </c>
      <c r="U4081" s="1008" t="s">
        <v>649</v>
      </c>
      <c r="V4081" s="1008" t="s">
        <v>648</v>
      </c>
      <c r="W4081" s="1008" t="s">
        <v>546</v>
      </c>
      <c r="X4081" s="1008" t="s">
        <v>670</v>
      </c>
      <c r="Y4081" s="1008" t="s">
        <v>670</v>
      </c>
      <c r="Z4081" s="1008"/>
      <c r="AA4081" s="1008"/>
      <c r="AB4081" s="1008"/>
      <c r="AC4081" s="1008"/>
      <c r="AD4081" s="1008"/>
      <c r="AE4081" s="1008"/>
      <c r="AF4081" s="1008" t="s">
        <v>670</v>
      </c>
      <c r="AG4081" s="1008"/>
      <c r="AH4081" s="1008"/>
      <c r="AI4081" s="1008"/>
    </row>
    <row r="4082" spans="1:35">
      <c r="A4082" s="1008">
        <v>27383</v>
      </c>
      <c r="B4082" s="1008">
        <v>6285</v>
      </c>
      <c r="C4082" s="1008">
        <v>3</v>
      </c>
      <c r="D4082" s="1009">
        <v>99030999</v>
      </c>
      <c r="E4082" s="1009">
        <v>99030050</v>
      </c>
      <c r="F4082" s="1007" t="s">
        <v>861</v>
      </c>
      <c r="G4082" s="1007" t="s">
        <v>648</v>
      </c>
      <c r="H4082" s="1010">
        <v>99999999</v>
      </c>
      <c r="I4082" s="1009">
        <v>99030050</v>
      </c>
      <c r="J4082" s="1007" t="s">
        <v>860</v>
      </c>
      <c r="O4082" s="1007" t="s">
        <v>648</v>
      </c>
      <c r="P4082" s="1007" t="s">
        <v>648</v>
      </c>
      <c r="S4082" s="1008" t="s">
        <v>650</v>
      </c>
      <c r="T4082" s="1008" t="s">
        <v>654</v>
      </c>
      <c r="U4082" s="1008" t="s">
        <v>649</v>
      </c>
      <c r="V4082" s="1008" t="s">
        <v>648</v>
      </c>
      <c r="W4082" s="1008" t="s">
        <v>546</v>
      </c>
      <c r="X4082" s="1008" t="s">
        <v>670</v>
      </c>
      <c r="Y4082" s="1008" t="s">
        <v>670</v>
      </c>
      <c r="Z4082" s="1008"/>
      <c r="AA4082" s="1008"/>
      <c r="AB4082" s="1008"/>
      <c r="AC4082" s="1008"/>
      <c r="AD4082" s="1008"/>
      <c r="AE4082" s="1008"/>
      <c r="AF4082" s="1008" t="s">
        <v>670</v>
      </c>
      <c r="AG4082" s="1008"/>
      <c r="AH4082" s="1008"/>
      <c r="AI4082" s="1008"/>
    </row>
    <row r="4083" spans="1:35">
      <c r="A4083" s="1008">
        <v>27384</v>
      </c>
      <c r="B4083" s="1008">
        <v>6286</v>
      </c>
      <c r="C4083" s="1008">
        <v>3</v>
      </c>
      <c r="D4083" s="1009">
        <v>99030999</v>
      </c>
      <c r="E4083" s="1009">
        <v>99030900</v>
      </c>
      <c r="F4083" s="1007" t="s">
        <v>859</v>
      </c>
      <c r="G4083" s="1007" t="s">
        <v>648</v>
      </c>
      <c r="H4083" s="1010">
        <v>99999999</v>
      </c>
      <c r="I4083" s="1009">
        <v>99030900</v>
      </c>
      <c r="J4083" s="1007" t="s">
        <v>859</v>
      </c>
      <c r="O4083" s="1007" t="s">
        <v>648</v>
      </c>
      <c r="P4083" s="1007" t="s">
        <v>648</v>
      </c>
      <c r="S4083" s="1008" t="s">
        <v>650</v>
      </c>
      <c r="T4083" s="1008" t="s">
        <v>654</v>
      </c>
      <c r="U4083" s="1008" t="s">
        <v>649</v>
      </c>
      <c r="V4083" s="1008" t="s">
        <v>648</v>
      </c>
      <c r="W4083" s="1008" t="s">
        <v>546</v>
      </c>
      <c r="X4083" s="1008" t="s">
        <v>670</v>
      </c>
      <c r="Y4083" s="1008" t="s">
        <v>670</v>
      </c>
      <c r="Z4083" s="1008"/>
      <c r="AA4083" s="1008"/>
      <c r="AB4083" s="1008"/>
      <c r="AC4083" s="1008"/>
      <c r="AD4083" s="1008"/>
      <c r="AE4083" s="1008"/>
      <c r="AF4083" s="1008" t="s">
        <v>670</v>
      </c>
      <c r="AG4083" s="1008"/>
      <c r="AH4083" s="1008"/>
      <c r="AI4083" s="1008"/>
    </row>
    <row r="4084" spans="1:35">
      <c r="A4084" s="1008">
        <v>27385</v>
      </c>
      <c r="C4084" s="1008">
        <v>2</v>
      </c>
      <c r="D4084" s="1009">
        <v>99099999</v>
      </c>
      <c r="E4084" s="1009">
        <v>99030999</v>
      </c>
      <c r="F4084" s="1007" t="s">
        <v>858</v>
      </c>
      <c r="O4084" s="1007" t="s">
        <v>648</v>
      </c>
      <c r="P4084" s="1007" t="s">
        <v>648</v>
      </c>
      <c r="S4084" s="1008" t="s">
        <v>650</v>
      </c>
      <c r="T4084" s="1008" t="s">
        <v>21</v>
      </c>
      <c r="U4084" s="1008" t="s">
        <v>649</v>
      </c>
      <c r="V4084" s="1008" t="s">
        <v>648</v>
      </c>
      <c r="W4084" s="1008" t="s">
        <v>546</v>
      </c>
      <c r="X4084" s="1008"/>
      <c r="Y4084" s="1008"/>
      <c r="Z4084" s="1008"/>
      <c r="AA4084" s="1008"/>
      <c r="AB4084" s="1008"/>
      <c r="AC4084" s="1008"/>
      <c r="AD4084" s="1008"/>
      <c r="AE4084" s="1008"/>
      <c r="AF4084" s="1008"/>
      <c r="AG4084" s="1008"/>
      <c r="AH4084" s="1008"/>
      <c r="AI4084" s="1008"/>
    </row>
    <row r="4085" spans="1:35">
      <c r="A4085" s="1008">
        <v>27386</v>
      </c>
      <c r="C4085" s="1008">
        <v>2</v>
      </c>
      <c r="D4085" s="1009">
        <v>99031999</v>
      </c>
      <c r="E4085" s="1009">
        <v>99031000</v>
      </c>
      <c r="F4085" s="1007" t="s">
        <v>857</v>
      </c>
      <c r="O4085" s="1007" t="s">
        <v>648</v>
      </c>
      <c r="P4085" s="1007" t="s">
        <v>648</v>
      </c>
      <c r="S4085" s="1008" t="s">
        <v>650</v>
      </c>
      <c r="T4085" s="1008" t="s">
        <v>675</v>
      </c>
      <c r="U4085" s="1008" t="s">
        <v>649</v>
      </c>
      <c r="V4085" s="1008" t="s">
        <v>648</v>
      </c>
      <c r="W4085" s="1008" t="s">
        <v>546</v>
      </c>
      <c r="X4085" s="1008"/>
      <c r="Y4085" s="1008"/>
      <c r="Z4085" s="1008"/>
      <c r="AA4085" s="1008"/>
      <c r="AB4085" s="1008"/>
      <c r="AC4085" s="1008"/>
      <c r="AD4085" s="1008"/>
      <c r="AE4085" s="1008"/>
      <c r="AF4085" s="1008"/>
      <c r="AG4085" s="1008"/>
      <c r="AH4085" s="1008"/>
      <c r="AI4085" s="1008"/>
    </row>
    <row r="4086" spans="1:35">
      <c r="A4086" s="1008">
        <v>27387</v>
      </c>
      <c r="B4086" s="1008">
        <v>6287</v>
      </c>
      <c r="C4086" s="1008">
        <v>3</v>
      </c>
      <c r="D4086" s="1009">
        <v>99031999</v>
      </c>
      <c r="E4086" s="1009">
        <v>99031010</v>
      </c>
      <c r="F4086" s="1007" t="s">
        <v>856</v>
      </c>
      <c r="G4086" s="1007" t="s">
        <v>648</v>
      </c>
      <c r="H4086" s="1010">
        <v>99999999</v>
      </c>
      <c r="I4086" s="1009">
        <v>99031010</v>
      </c>
      <c r="J4086" s="1007" t="s">
        <v>856</v>
      </c>
      <c r="O4086" s="1007" t="s">
        <v>648</v>
      </c>
      <c r="P4086" s="1007" t="s">
        <v>648</v>
      </c>
      <c r="S4086" s="1008" t="s">
        <v>650</v>
      </c>
      <c r="T4086" s="1008" t="s">
        <v>654</v>
      </c>
      <c r="U4086" s="1008" t="s">
        <v>649</v>
      </c>
      <c r="V4086" s="1008" t="s">
        <v>648</v>
      </c>
      <c r="W4086" s="1008" t="s">
        <v>546</v>
      </c>
      <c r="X4086" s="1008" t="s">
        <v>670</v>
      </c>
      <c r="Y4086" s="1008" t="s">
        <v>670</v>
      </c>
      <c r="Z4086" s="1008"/>
      <c r="AA4086" s="1008"/>
      <c r="AB4086" s="1008"/>
      <c r="AC4086" s="1008"/>
      <c r="AD4086" s="1008"/>
      <c r="AE4086" s="1008"/>
      <c r="AF4086" s="1008" t="s">
        <v>670</v>
      </c>
      <c r="AG4086" s="1008"/>
      <c r="AH4086" s="1008"/>
      <c r="AI4086" s="1008"/>
    </row>
    <row r="4087" spans="1:35">
      <c r="A4087" s="1008">
        <v>27388</v>
      </c>
      <c r="B4087" s="1008">
        <v>6288</v>
      </c>
      <c r="C4087" s="1008">
        <v>3</v>
      </c>
      <c r="D4087" s="1009">
        <v>99031999</v>
      </c>
      <c r="E4087" s="1009">
        <v>99031020</v>
      </c>
      <c r="F4087" s="1007" t="s">
        <v>855</v>
      </c>
      <c r="G4087" s="1007" t="s">
        <v>648</v>
      </c>
      <c r="H4087" s="1010">
        <v>99999999</v>
      </c>
      <c r="I4087" s="1009">
        <v>99031020</v>
      </c>
      <c r="J4087" s="1007" t="s">
        <v>855</v>
      </c>
      <c r="O4087" s="1007" t="s">
        <v>648</v>
      </c>
      <c r="P4087" s="1007" t="s">
        <v>648</v>
      </c>
      <c r="S4087" s="1008" t="s">
        <v>650</v>
      </c>
      <c r="T4087" s="1008" t="s">
        <v>654</v>
      </c>
      <c r="U4087" s="1008" t="s">
        <v>649</v>
      </c>
      <c r="V4087" s="1008" t="s">
        <v>648</v>
      </c>
      <c r="W4087" s="1008" t="s">
        <v>546</v>
      </c>
      <c r="X4087" s="1008" t="s">
        <v>670</v>
      </c>
      <c r="Y4087" s="1008" t="s">
        <v>670</v>
      </c>
      <c r="Z4087" s="1008"/>
      <c r="AA4087" s="1008"/>
      <c r="AB4087" s="1008"/>
      <c r="AC4087" s="1008"/>
      <c r="AD4087" s="1008"/>
      <c r="AE4087" s="1008"/>
      <c r="AF4087" s="1008" t="s">
        <v>670</v>
      </c>
      <c r="AG4087" s="1008"/>
      <c r="AH4087" s="1008"/>
      <c r="AI4087" s="1008"/>
    </row>
    <row r="4088" spans="1:35">
      <c r="A4088" s="1008">
        <v>27389</v>
      </c>
      <c r="B4088" s="1008">
        <v>6289</v>
      </c>
      <c r="C4088" s="1008">
        <v>3</v>
      </c>
      <c r="D4088" s="1009">
        <v>99031999</v>
      </c>
      <c r="E4088" s="1009">
        <v>99031030</v>
      </c>
      <c r="F4088" s="1007" t="s">
        <v>854</v>
      </c>
      <c r="G4088" s="1007" t="s">
        <v>648</v>
      </c>
      <c r="H4088" s="1010">
        <v>99999999</v>
      </c>
      <c r="I4088" s="1009">
        <v>99031030</v>
      </c>
      <c r="J4088" s="1007" t="s">
        <v>853</v>
      </c>
      <c r="O4088" s="1007" t="s">
        <v>648</v>
      </c>
      <c r="P4088" s="1007" t="s">
        <v>648</v>
      </c>
      <c r="S4088" s="1008" t="s">
        <v>650</v>
      </c>
      <c r="T4088" s="1008" t="s">
        <v>654</v>
      </c>
      <c r="U4088" s="1008" t="s">
        <v>649</v>
      </c>
      <c r="V4088" s="1008" t="s">
        <v>648</v>
      </c>
      <c r="W4088" s="1008" t="s">
        <v>546</v>
      </c>
      <c r="X4088" s="1008" t="s">
        <v>670</v>
      </c>
      <c r="Y4088" s="1008" t="s">
        <v>670</v>
      </c>
      <c r="Z4088" s="1008"/>
      <c r="AA4088" s="1008"/>
      <c r="AB4088" s="1008"/>
      <c r="AC4088" s="1008"/>
      <c r="AD4088" s="1008"/>
      <c r="AE4088" s="1008"/>
      <c r="AF4088" s="1008" t="s">
        <v>670</v>
      </c>
      <c r="AG4088" s="1008"/>
      <c r="AH4088" s="1008"/>
      <c r="AI4088" s="1008"/>
    </row>
    <row r="4089" spans="1:35">
      <c r="A4089" s="1008">
        <v>27390</v>
      </c>
      <c r="B4089" s="1008">
        <v>6290</v>
      </c>
      <c r="C4089" s="1008">
        <v>3</v>
      </c>
      <c r="D4089" s="1009">
        <v>99031999</v>
      </c>
      <c r="E4089" s="1009">
        <v>99031040</v>
      </c>
      <c r="F4089" s="1007" t="s">
        <v>852</v>
      </c>
      <c r="G4089" s="1007" t="s">
        <v>648</v>
      </c>
      <c r="H4089" s="1010">
        <v>99999999</v>
      </c>
      <c r="I4089" s="1009">
        <v>99031040</v>
      </c>
      <c r="J4089" s="1007" t="s">
        <v>851</v>
      </c>
      <c r="O4089" s="1007" t="s">
        <v>648</v>
      </c>
      <c r="P4089" s="1007" t="s">
        <v>648</v>
      </c>
      <c r="S4089" s="1008" t="s">
        <v>650</v>
      </c>
      <c r="T4089" s="1008" t="s">
        <v>654</v>
      </c>
      <c r="U4089" s="1008" t="s">
        <v>649</v>
      </c>
      <c r="V4089" s="1008" t="s">
        <v>648</v>
      </c>
      <c r="W4089" s="1008" t="s">
        <v>546</v>
      </c>
      <c r="X4089" s="1008" t="s">
        <v>670</v>
      </c>
      <c r="Y4089" s="1008" t="s">
        <v>670</v>
      </c>
      <c r="Z4089" s="1008"/>
      <c r="AA4089" s="1008"/>
      <c r="AB4089" s="1008"/>
      <c r="AC4089" s="1008"/>
      <c r="AD4089" s="1008"/>
      <c r="AE4089" s="1008"/>
      <c r="AF4089" s="1008" t="s">
        <v>670</v>
      </c>
      <c r="AG4089" s="1008"/>
      <c r="AH4089" s="1008"/>
      <c r="AI4089" s="1008"/>
    </row>
    <row r="4090" spans="1:35">
      <c r="A4090" s="1008">
        <v>27391</v>
      </c>
      <c r="B4090" s="1008">
        <v>6291</v>
      </c>
      <c r="C4090" s="1008">
        <v>3</v>
      </c>
      <c r="D4090" s="1009">
        <v>99031999</v>
      </c>
      <c r="E4090" s="1009">
        <v>99031050</v>
      </c>
      <c r="F4090" s="1007" t="s">
        <v>850</v>
      </c>
      <c r="G4090" s="1007" t="s">
        <v>648</v>
      </c>
      <c r="H4090" s="1010">
        <v>99999999</v>
      </c>
      <c r="I4090" s="1009">
        <v>99031050</v>
      </c>
      <c r="J4090" s="1007" t="s">
        <v>849</v>
      </c>
      <c r="O4090" s="1007" t="s">
        <v>648</v>
      </c>
      <c r="P4090" s="1007" t="s">
        <v>648</v>
      </c>
      <c r="S4090" s="1008" t="s">
        <v>650</v>
      </c>
      <c r="T4090" s="1008" t="s">
        <v>654</v>
      </c>
      <c r="U4090" s="1008" t="s">
        <v>649</v>
      </c>
      <c r="V4090" s="1008" t="s">
        <v>648</v>
      </c>
      <c r="W4090" s="1008" t="s">
        <v>546</v>
      </c>
      <c r="X4090" s="1008" t="s">
        <v>670</v>
      </c>
      <c r="Y4090" s="1008" t="s">
        <v>670</v>
      </c>
      <c r="Z4090" s="1008"/>
      <c r="AA4090" s="1008"/>
      <c r="AB4090" s="1008"/>
      <c r="AC4090" s="1008"/>
      <c r="AD4090" s="1008"/>
      <c r="AE4090" s="1008"/>
      <c r="AF4090" s="1008" t="s">
        <v>670</v>
      </c>
      <c r="AG4090" s="1008"/>
      <c r="AH4090" s="1008"/>
      <c r="AI4090" s="1008"/>
    </row>
    <row r="4091" spans="1:35">
      <c r="A4091" s="1008">
        <v>27392</v>
      </c>
      <c r="B4091" s="1008">
        <v>6292</v>
      </c>
      <c r="C4091" s="1008">
        <v>3</v>
      </c>
      <c r="D4091" s="1009">
        <v>99031999</v>
      </c>
      <c r="E4091" s="1009">
        <v>99031900</v>
      </c>
      <c r="F4091" s="1007" t="s">
        <v>848</v>
      </c>
      <c r="G4091" s="1007" t="s">
        <v>648</v>
      </c>
      <c r="H4091" s="1010">
        <v>99999999</v>
      </c>
      <c r="I4091" s="1009">
        <v>99031900</v>
      </c>
      <c r="J4091" s="1007" t="s">
        <v>847</v>
      </c>
      <c r="O4091" s="1007" t="s">
        <v>648</v>
      </c>
      <c r="P4091" s="1007" t="s">
        <v>648</v>
      </c>
      <c r="S4091" s="1008" t="s">
        <v>650</v>
      </c>
      <c r="T4091" s="1008" t="s">
        <v>654</v>
      </c>
      <c r="U4091" s="1008" t="s">
        <v>649</v>
      </c>
      <c r="V4091" s="1008" t="s">
        <v>648</v>
      </c>
      <c r="W4091" s="1008" t="s">
        <v>546</v>
      </c>
      <c r="X4091" s="1008" t="s">
        <v>670</v>
      </c>
      <c r="Y4091" s="1008" t="s">
        <v>670</v>
      </c>
      <c r="Z4091" s="1008"/>
      <c r="AA4091" s="1008"/>
      <c r="AB4091" s="1008"/>
      <c r="AC4091" s="1008"/>
      <c r="AD4091" s="1008"/>
      <c r="AE4091" s="1008"/>
      <c r="AF4091" s="1008" t="s">
        <v>670</v>
      </c>
      <c r="AG4091" s="1008"/>
      <c r="AH4091" s="1008"/>
      <c r="AI4091" s="1008"/>
    </row>
    <row r="4092" spans="1:35">
      <c r="A4092" s="1008">
        <v>27393</v>
      </c>
      <c r="C4092" s="1008">
        <v>2</v>
      </c>
      <c r="D4092" s="1009">
        <v>99099999</v>
      </c>
      <c r="E4092" s="1009">
        <v>99031999</v>
      </c>
      <c r="F4092" s="1007" t="s">
        <v>846</v>
      </c>
      <c r="O4092" s="1007" t="s">
        <v>648</v>
      </c>
      <c r="P4092" s="1007" t="s">
        <v>648</v>
      </c>
      <c r="S4092" s="1008" t="s">
        <v>650</v>
      </c>
      <c r="T4092" s="1008" t="s">
        <v>21</v>
      </c>
      <c r="U4092" s="1008" t="s">
        <v>649</v>
      </c>
      <c r="V4092" s="1008" t="s">
        <v>648</v>
      </c>
      <c r="W4092" s="1008" t="s">
        <v>546</v>
      </c>
      <c r="X4092" s="1008"/>
      <c r="Y4092" s="1008"/>
      <c r="Z4092" s="1008"/>
      <c r="AA4092" s="1008"/>
      <c r="AB4092" s="1008"/>
      <c r="AC4092" s="1008"/>
      <c r="AD4092" s="1008"/>
      <c r="AE4092" s="1008"/>
      <c r="AF4092" s="1008"/>
      <c r="AG4092" s="1008"/>
      <c r="AH4092" s="1008"/>
      <c r="AI4092" s="1008"/>
    </row>
    <row r="4093" spans="1:35">
      <c r="A4093" s="1008">
        <v>27394</v>
      </c>
      <c r="C4093" s="1008">
        <v>2</v>
      </c>
      <c r="D4093" s="1009">
        <v>99040999</v>
      </c>
      <c r="E4093" s="1009">
        <v>99040000</v>
      </c>
      <c r="F4093" s="1007" t="s">
        <v>845</v>
      </c>
      <c r="O4093" s="1007" t="s">
        <v>648</v>
      </c>
      <c r="P4093" s="1007" t="s">
        <v>648</v>
      </c>
      <c r="S4093" s="1008" t="s">
        <v>650</v>
      </c>
      <c r="T4093" s="1008" t="s">
        <v>675</v>
      </c>
      <c r="U4093" s="1008" t="s">
        <v>649</v>
      </c>
      <c r="V4093" s="1008" t="s">
        <v>648</v>
      </c>
      <c r="W4093" s="1008" t="s">
        <v>546</v>
      </c>
      <c r="X4093" s="1008"/>
      <c r="Y4093" s="1008"/>
      <c r="Z4093" s="1008"/>
      <c r="AA4093" s="1008"/>
      <c r="AB4093" s="1008"/>
      <c r="AC4093" s="1008"/>
      <c r="AD4093" s="1008"/>
      <c r="AE4093" s="1008"/>
      <c r="AF4093" s="1008"/>
      <c r="AG4093" s="1008"/>
      <c r="AH4093" s="1008"/>
      <c r="AI4093" s="1008"/>
    </row>
    <row r="4094" spans="1:35">
      <c r="A4094" s="1008">
        <v>27395</v>
      </c>
      <c r="B4094" s="1008">
        <v>6293</v>
      </c>
      <c r="C4094" s="1008">
        <v>3</v>
      </c>
      <c r="D4094" s="1009">
        <v>99040999</v>
      </c>
      <c r="E4094" s="1009">
        <v>99040010</v>
      </c>
      <c r="F4094" s="1007" t="s">
        <v>844</v>
      </c>
      <c r="G4094" s="1007" t="s">
        <v>648</v>
      </c>
      <c r="H4094" s="1010">
        <v>99999999</v>
      </c>
      <c r="I4094" s="1009">
        <v>99040010</v>
      </c>
      <c r="J4094" s="1007" t="s">
        <v>844</v>
      </c>
      <c r="O4094" s="1007" t="s">
        <v>648</v>
      </c>
      <c r="P4094" s="1007" t="s">
        <v>648</v>
      </c>
      <c r="S4094" s="1008" t="s">
        <v>650</v>
      </c>
      <c r="T4094" s="1008" t="s">
        <v>654</v>
      </c>
      <c r="U4094" s="1008" t="s">
        <v>649</v>
      </c>
      <c r="V4094" s="1008" t="s">
        <v>648</v>
      </c>
      <c r="W4094" s="1008" t="s">
        <v>546</v>
      </c>
      <c r="X4094" s="1008" t="s">
        <v>670</v>
      </c>
      <c r="Y4094" s="1008" t="s">
        <v>670</v>
      </c>
      <c r="Z4094" s="1008"/>
      <c r="AA4094" s="1008"/>
      <c r="AB4094" s="1008"/>
      <c r="AC4094" s="1008"/>
      <c r="AD4094" s="1008"/>
      <c r="AE4094" s="1008"/>
      <c r="AF4094" s="1008" t="s">
        <v>670</v>
      </c>
      <c r="AG4094" s="1008"/>
      <c r="AH4094" s="1008"/>
      <c r="AI4094" s="1008"/>
    </row>
    <row r="4095" spans="1:35">
      <c r="A4095" s="1008">
        <v>27396</v>
      </c>
      <c r="B4095" s="1008">
        <v>6294</v>
      </c>
      <c r="C4095" s="1008">
        <v>3</v>
      </c>
      <c r="D4095" s="1009">
        <v>99040999</v>
      </c>
      <c r="E4095" s="1009">
        <v>99040020</v>
      </c>
      <c r="F4095" s="1007" t="s">
        <v>843</v>
      </c>
      <c r="G4095" s="1007" t="s">
        <v>648</v>
      </c>
      <c r="H4095" s="1010">
        <v>99999999</v>
      </c>
      <c r="I4095" s="1009">
        <v>99040020</v>
      </c>
      <c r="J4095" s="1007" t="s">
        <v>842</v>
      </c>
      <c r="O4095" s="1007" t="s">
        <v>648</v>
      </c>
      <c r="P4095" s="1007" t="s">
        <v>648</v>
      </c>
      <c r="S4095" s="1008" t="s">
        <v>650</v>
      </c>
      <c r="T4095" s="1008" t="s">
        <v>654</v>
      </c>
      <c r="U4095" s="1008" t="s">
        <v>649</v>
      </c>
      <c r="V4095" s="1008" t="s">
        <v>648</v>
      </c>
      <c r="W4095" s="1008" t="s">
        <v>546</v>
      </c>
      <c r="X4095" s="1008" t="s">
        <v>670</v>
      </c>
      <c r="Y4095" s="1008" t="s">
        <v>670</v>
      </c>
      <c r="Z4095" s="1008"/>
      <c r="AA4095" s="1008"/>
      <c r="AB4095" s="1008"/>
      <c r="AC4095" s="1008"/>
      <c r="AD4095" s="1008"/>
      <c r="AE4095" s="1008"/>
      <c r="AF4095" s="1008" t="s">
        <v>670</v>
      </c>
      <c r="AG4095" s="1008"/>
      <c r="AH4095" s="1008"/>
      <c r="AI4095" s="1008"/>
    </row>
    <row r="4096" spans="1:35">
      <c r="A4096" s="1008">
        <v>27397</v>
      </c>
      <c r="B4096" s="1008">
        <v>6295</v>
      </c>
      <c r="C4096" s="1008">
        <v>3</v>
      </c>
      <c r="D4096" s="1009">
        <v>99040999</v>
      </c>
      <c r="E4096" s="1009">
        <v>99040030</v>
      </c>
      <c r="F4096" s="1007" t="s">
        <v>841</v>
      </c>
      <c r="G4096" s="1007" t="s">
        <v>648</v>
      </c>
      <c r="H4096" s="1010">
        <v>99999999</v>
      </c>
      <c r="I4096" s="1009">
        <v>99040030</v>
      </c>
      <c r="J4096" s="1007" t="s">
        <v>840</v>
      </c>
      <c r="O4096" s="1007" t="s">
        <v>648</v>
      </c>
      <c r="P4096" s="1007" t="s">
        <v>648</v>
      </c>
      <c r="S4096" s="1008" t="s">
        <v>650</v>
      </c>
      <c r="T4096" s="1008" t="s">
        <v>654</v>
      </c>
      <c r="U4096" s="1008" t="s">
        <v>649</v>
      </c>
      <c r="V4096" s="1008" t="s">
        <v>648</v>
      </c>
      <c r="W4096" s="1008" t="s">
        <v>546</v>
      </c>
      <c r="X4096" s="1008" t="s">
        <v>670</v>
      </c>
      <c r="Y4096" s="1008" t="s">
        <v>670</v>
      </c>
      <c r="Z4096" s="1008"/>
      <c r="AA4096" s="1008"/>
      <c r="AB4096" s="1008"/>
      <c r="AC4096" s="1008"/>
      <c r="AD4096" s="1008"/>
      <c r="AE4096" s="1008"/>
      <c r="AF4096" s="1008" t="s">
        <v>670</v>
      </c>
      <c r="AG4096" s="1008"/>
      <c r="AH4096" s="1008"/>
      <c r="AI4096" s="1008"/>
    </row>
    <row r="4097" spans="1:35">
      <c r="A4097" s="1008">
        <v>27398</v>
      </c>
      <c r="B4097" s="1008">
        <v>6296</v>
      </c>
      <c r="C4097" s="1008">
        <v>3</v>
      </c>
      <c r="D4097" s="1009">
        <v>99040999</v>
      </c>
      <c r="E4097" s="1009">
        <v>99040040</v>
      </c>
      <c r="F4097" s="1007" t="s">
        <v>839</v>
      </c>
      <c r="G4097" s="1007" t="s">
        <v>648</v>
      </c>
      <c r="H4097" s="1010">
        <v>99999999</v>
      </c>
      <c r="I4097" s="1009">
        <v>99040040</v>
      </c>
      <c r="J4097" s="1007" t="s">
        <v>838</v>
      </c>
      <c r="O4097" s="1007" t="s">
        <v>648</v>
      </c>
      <c r="P4097" s="1007" t="s">
        <v>648</v>
      </c>
      <c r="S4097" s="1008" t="s">
        <v>650</v>
      </c>
      <c r="T4097" s="1008" t="s">
        <v>654</v>
      </c>
      <c r="U4097" s="1008" t="s">
        <v>649</v>
      </c>
      <c r="V4097" s="1008" t="s">
        <v>648</v>
      </c>
      <c r="W4097" s="1008" t="s">
        <v>546</v>
      </c>
      <c r="X4097" s="1008" t="s">
        <v>670</v>
      </c>
      <c r="Y4097" s="1008" t="s">
        <v>670</v>
      </c>
      <c r="Z4097" s="1008"/>
      <c r="AA4097" s="1008"/>
      <c r="AB4097" s="1008"/>
      <c r="AC4097" s="1008"/>
      <c r="AD4097" s="1008"/>
      <c r="AE4097" s="1008"/>
      <c r="AF4097" s="1008" t="s">
        <v>670</v>
      </c>
      <c r="AG4097" s="1008"/>
      <c r="AH4097" s="1008"/>
      <c r="AI4097" s="1008"/>
    </row>
    <row r="4098" spans="1:35">
      <c r="A4098" s="1008">
        <v>27399</v>
      </c>
      <c r="B4098" s="1008">
        <v>6297</v>
      </c>
      <c r="C4098" s="1008">
        <v>3</v>
      </c>
      <c r="D4098" s="1009">
        <v>99040999</v>
      </c>
      <c r="E4098" s="1009">
        <v>99040050</v>
      </c>
      <c r="F4098" s="1007" t="s">
        <v>837</v>
      </c>
      <c r="G4098" s="1007" t="s">
        <v>648</v>
      </c>
      <c r="H4098" s="1010">
        <v>99999999</v>
      </c>
      <c r="I4098" s="1009">
        <v>99040050</v>
      </c>
      <c r="J4098" s="1007" t="s">
        <v>836</v>
      </c>
      <c r="O4098" s="1007" t="s">
        <v>648</v>
      </c>
      <c r="P4098" s="1007" t="s">
        <v>648</v>
      </c>
      <c r="S4098" s="1008" t="s">
        <v>650</v>
      </c>
      <c r="T4098" s="1008" t="s">
        <v>654</v>
      </c>
      <c r="U4098" s="1008" t="s">
        <v>649</v>
      </c>
      <c r="V4098" s="1008" t="s">
        <v>648</v>
      </c>
      <c r="W4098" s="1008" t="s">
        <v>546</v>
      </c>
      <c r="X4098" s="1008" t="s">
        <v>670</v>
      </c>
      <c r="Y4098" s="1008" t="s">
        <v>670</v>
      </c>
      <c r="Z4098" s="1008"/>
      <c r="AA4098" s="1008"/>
      <c r="AB4098" s="1008"/>
      <c r="AC4098" s="1008"/>
      <c r="AD4098" s="1008"/>
      <c r="AE4098" s="1008"/>
      <c r="AF4098" s="1008" t="s">
        <v>670</v>
      </c>
      <c r="AG4098" s="1008"/>
      <c r="AH4098" s="1008"/>
      <c r="AI4098" s="1008"/>
    </row>
    <row r="4099" spans="1:35">
      <c r="A4099" s="1008">
        <v>27400</v>
      </c>
      <c r="B4099" s="1008">
        <v>6298</v>
      </c>
      <c r="C4099" s="1008">
        <v>3</v>
      </c>
      <c r="D4099" s="1009">
        <v>99040999</v>
      </c>
      <c r="E4099" s="1009">
        <v>99040900</v>
      </c>
      <c r="F4099" s="1007" t="s">
        <v>835</v>
      </c>
      <c r="G4099" s="1007" t="s">
        <v>648</v>
      </c>
      <c r="H4099" s="1010">
        <v>99999999</v>
      </c>
      <c r="I4099" s="1009">
        <v>99040900</v>
      </c>
      <c r="J4099" s="1007" t="s">
        <v>834</v>
      </c>
      <c r="O4099" s="1007" t="s">
        <v>648</v>
      </c>
      <c r="P4099" s="1007" t="s">
        <v>648</v>
      </c>
      <c r="S4099" s="1008" t="s">
        <v>650</v>
      </c>
      <c r="T4099" s="1008" t="s">
        <v>654</v>
      </c>
      <c r="U4099" s="1008" t="s">
        <v>649</v>
      </c>
      <c r="V4099" s="1008" t="s">
        <v>648</v>
      </c>
      <c r="W4099" s="1008" t="s">
        <v>546</v>
      </c>
      <c r="X4099" s="1008" t="s">
        <v>670</v>
      </c>
      <c r="Y4099" s="1008" t="s">
        <v>670</v>
      </c>
      <c r="Z4099" s="1008"/>
      <c r="AA4099" s="1008"/>
      <c r="AB4099" s="1008"/>
      <c r="AC4099" s="1008"/>
      <c r="AD4099" s="1008"/>
      <c r="AE4099" s="1008"/>
      <c r="AF4099" s="1008" t="s">
        <v>670</v>
      </c>
      <c r="AG4099" s="1008"/>
      <c r="AH4099" s="1008"/>
      <c r="AI4099" s="1008"/>
    </row>
    <row r="4100" spans="1:35">
      <c r="A4100" s="1008">
        <v>27401</v>
      </c>
      <c r="C4100" s="1008">
        <v>2</v>
      </c>
      <c r="D4100" s="1009">
        <v>99099999</v>
      </c>
      <c r="E4100" s="1009">
        <v>99040999</v>
      </c>
      <c r="F4100" s="1007" t="s">
        <v>833</v>
      </c>
      <c r="O4100" s="1007" t="s">
        <v>648</v>
      </c>
      <c r="P4100" s="1007" t="s">
        <v>648</v>
      </c>
      <c r="S4100" s="1008" t="s">
        <v>650</v>
      </c>
      <c r="T4100" s="1008" t="s">
        <v>21</v>
      </c>
      <c r="U4100" s="1008" t="s">
        <v>649</v>
      </c>
      <c r="V4100" s="1008" t="s">
        <v>648</v>
      </c>
      <c r="W4100" s="1008" t="s">
        <v>546</v>
      </c>
      <c r="X4100" s="1008"/>
      <c r="Y4100" s="1008"/>
      <c r="Z4100" s="1008"/>
      <c r="AA4100" s="1008"/>
      <c r="AB4100" s="1008"/>
      <c r="AC4100" s="1008"/>
      <c r="AD4100" s="1008"/>
      <c r="AE4100" s="1008"/>
      <c r="AF4100" s="1008"/>
      <c r="AG4100" s="1008"/>
      <c r="AH4100" s="1008"/>
      <c r="AI4100" s="1008"/>
    </row>
    <row r="4101" spans="1:35">
      <c r="A4101" s="1008">
        <v>27402</v>
      </c>
      <c r="C4101" s="1008">
        <v>2</v>
      </c>
      <c r="D4101" s="1009">
        <v>99041999</v>
      </c>
      <c r="E4101" s="1009">
        <v>99041000</v>
      </c>
      <c r="F4101" s="1007" t="s">
        <v>832</v>
      </c>
      <c r="O4101" s="1007" t="s">
        <v>648</v>
      </c>
      <c r="P4101" s="1007" t="s">
        <v>648</v>
      </c>
      <c r="S4101" s="1008" t="s">
        <v>650</v>
      </c>
      <c r="T4101" s="1008" t="s">
        <v>675</v>
      </c>
      <c r="U4101" s="1008" t="s">
        <v>649</v>
      </c>
      <c r="V4101" s="1008" t="s">
        <v>648</v>
      </c>
      <c r="W4101" s="1008" t="s">
        <v>546</v>
      </c>
      <c r="X4101" s="1008"/>
      <c r="Y4101" s="1008"/>
      <c r="Z4101" s="1008"/>
      <c r="AA4101" s="1008"/>
      <c r="AB4101" s="1008"/>
      <c r="AC4101" s="1008"/>
      <c r="AD4101" s="1008"/>
      <c r="AE4101" s="1008"/>
      <c r="AF4101" s="1008"/>
      <c r="AG4101" s="1008"/>
      <c r="AH4101" s="1008"/>
      <c r="AI4101" s="1008"/>
    </row>
    <row r="4102" spans="1:35">
      <c r="A4102" s="1008">
        <v>27403</v>
      </c>
      <c r="B4102" s="1008">
        <v>6299</v>
      </c>
      <c r="C4102" s="1008">
        <v>3</v>
      </c>
      <c r="D4102" s="1009">
        <v>99041999</v>
      </c>
      <c r="E4102" s="1009">
        <v>99041010</v>
      </c>
      <c r="F4102" s="1007" t="s">
        <v>831</v>
      </c>
      <c r="G4102" s="1007" t="s">
        <v>648</v>
      </c>
      <c r="H4102" s="1010">
        <v>99999999</v>
      </c>
      <c r="I4102" s="1009">
        <v>99041010</v>
      </c>
      <c r="J4102" s="1007" t="s">
        <v>831</v>
      </c>
      <c r="O4102" s="1007" t="s">
        <v>648</v>
      </c>
      <c r="P4102" s="1007" t="s">
        <v>648</v>
      </c>
      <c r="S4102" s="1008" t="s">
        <v>650</v>
      </c>
      <c r="T4102" s="1008" t="s">
        <v>654</v>
      </c>
      <c r="U4102" s="1008" t="s">
        <v>649</v>
      </c>
      <c r="V4102" s="1008" t="s">
        <v>648</v>
      </c>
      <c r="W4102" s="1008" t="s">
        <v>546</v>
      </c>
      <c r="X4102" s="1008" t="s">
        <v>670</v>
      </c>
      <c r="Y4102" s="1008" t="s">
        <v>670</v>
      </c>
      <c r="Z4102" s="1008"/>
      <c r="AA4102" s="1008"/>
      <c r="AB4102" s="1008"/>
      <c r="AC4102" s="1008"/>
      <c r="AD4102" s="1008"/>
      <c r="AE4102" s="1008"/>
      <c r="AF4102" s="1008" t="s">
        <v>670</v>
      </c>
      <c r="AG4102" s="1008"/>
      <c r="AH4102" s="1008"/>
      <c r="AI4102" s="1008"/>
    </row>
    <row r="4103" spans="1:35">
      <c r="A4103" s="1008">
        <v>27404</v>
      </c>
      <c r="B4103" s="1008">
        <v>6300</v>
      </c>
      <c r="C4103" s="1008">
        <v>3</v>
      </c>
      <c r="D4103" s="1009">
        <v>99041999</v>
      </c>
      <c r="E4103" s="1009">
        <v>99041020</v>
      </c>
      <c r="F4103" s="1007" t="s">
        <v>830</v>
      </c>
      <c r="G4103" s="1007" t="s">
        <v>648</v>
      </c>
      <c r="H4103" s="1010">
        <v>99999999</v>
      </c>
      <c r="I4103" s="1009">
        <v>99041020</v>
      </c>
      <c r="J4103" s="1007" t="s">
        <v>829</v>
      </c>
      <c r="O4103" s="1007" t="s">
        <v>648</v>
      </c>
      <c r="P4103" s="1007" t="s">
        <v>648</v>
      </c>
      <c r="S4103" s="1008" t="s">
        <v>650</v>
      </c>
      <c r="T4103" s="1008" t="s">
        <v>654</v>
      </c>
      <c r="U4103" s="1008" t="s">
        <v>649</v>
      </c>
      <c r="V4103" s="1008" t="s">
        <v>648</v>
      </c>
      <c r="W4103" s="1008" t="s">
        <v>546</v>
      </c>
      <c r="X4103" s="1008" t="s">
        <v>670</v>
      </c>
      <c r="Y4103" s="1008" t="s">
        <v>670</v>
      </c>
      <c r="Z4103" s="1008"/>
      <c r="AA4103" s="1008"/>
      <c r="AB4103" s="1008"/>
      <c r="AC4103" s="1008"/>
      <c r="AD4103" s="1008"/>
      <c r="AE4103" s="1008"/>
      <c r="AF4103" s="1008" t="s">
        <v>670</v>
      </c>
      <c r="AG4103" s="1008"/>
      <c r="AH4103" s="1008"/>
      <c r="AI4103" s="1008"/>
    </row>
    <row r="4104" spans="1:35">
      <c r="A4104" s="1008">
        <v>27405</v>
      </c>
      <c r="B4104" s="1008">
        <v>6301</v>
      </c>
      <c r="C4104" s="1008">
        <v>3</v>
      </c>
      <c r="D4104" s="1009">
        <v>99041999</v>
      </c>
      <c r="E4104" s="1009">
        <v>99041030</v>
      </c>
      <c r="F4104" s="1007" t="s">
        <v>828</v>
      </c>
      <c r="G4104" s="1007" t="s">
        <v>648</v>
      </c>
      <c r="H4104" s="1010">
        <v>99999999</v>
      </c>
      <c r="I4104" s="1009">
        <v>99041030</v>
      </c>
      <c r="J4104" s="1007" t="s">
        <v>827</v>
      </c>
      <c r="O4104" s="1007" t="s">
        <v>648</v>
      </c>
      <c r="P4104" s="1007" t="s">
        <v>648</v>
      </c>
      <c r="S4104" s="1008" t="s">
        <v>650</v>
      </c>
      <c r="T4104" s="1008" t="s">
        <v>654</v>
      </c>
      <c r="U4104" s="1008" t="s">
        <v>649</v>
      </c>
      <c r="V4104" s="1008" t="s">
        <v>648</v>
      </c>
      <c r="W4104" s="1008" t="s">
        <v>546</v>
      </c>
      <c r="X4104" s="1008" t="s">
        <v>670</v>
      </c>
      <c r="Y4104" s="1008" t="s">
        <v>670</v>
      </c>
      <c r="Z4104" s="1008"/>
      <c r="AA4104" s="1008"/>
      <c r="AB4104" s="1008"/>
      <c r="AC4104" s="1008"/>
      <c r="AD4104" s="1008"/>
      <c r="AE4104" s="1008"/>
      <c r="AF4104" s="1008" t="s">
        <v>670</v>
      </c>
      <c r="AG4104" s="1008"/>
      <c r="AH4104" s="1008"/>
      <c r="AI4104" s="1008"/>
    </row>
    <row r="4105" spans="1:35">
      <c r="A4105" s="1008">
        <v>27406</v>
      </c>
      <c r="B4105" s="1008">
        <v>6302</v>
      </c>
      <c r="C4105" s="1008">
        <v>3</v>
      </c>
      <c r="D4105" s="1009">
        <v>99041999</v>
      </c>
      <c r="E4105" s="1009">
        <v>99041040</v>
      </c>
      <c r="F4105" s="1007" t="s">
        <v>826</v>
      </c>
      <c r="G4105" s="1007" t="s">
        <v>648</v>
      </c>
      <c r="H4105" s="1010">
        <v>99999999</v>
      </c>
      <c r="I4105" s="1009">
        <v>99041040</v>
      </c>
      <c r="J4105" s="1007" t="s">
        <v>825</v>
      </c>
      <c r="O4105" s="1007" t="s">
        <v>648</v>
      </c>
      <c r="P4105" s="1007" t="s">
        <v>648</v>
      </c>
      <c r="S4105" s="1008" t="s">
        <v>650</v>
      </c>
      <c r="T4105" s="1008" t="s">
        <v>654</v>
      </c>
      <c r="U4105" s="1008" t="s">
        <v>649</v>
      </c>
      <c r="V4105" s="1008" t="s">
        <v>648</v>
      </c>
      <c r="W4105" s="1008" t="s">
        <v>546</v>
      </c>
      <c r="X4105" s="1008" t="s">
        <v>670</v>
      </c>
      <c r="Y4105" s="1008" t="s">
        <v>670</v>
      </c>
      <c r="Z4105" s="1008"/>
      <c r="AA4105" s="1008"/>
      <c r="AB4105" s="1008"/>
      <c r="AC4105" s="1008"/>
      <c r="AD4105" s="1008"/>
      <c r="AE4105" s="1008"/>
      <c r="AF4105" s="1008" t="s">
        <v>670</v>
      </c>
      <c r="AG4105" s="1008"/>
      <c r="AH4105" s="1008"/>
      <c r="AI4105" s="1008"/>
    </row>
    <row r="4106" spans="1:35">
      <c r="A4106" s="1008">
        <v>27407</v>
      </c>
      <c r="B4106" s="1008">
        <v>6303</v>
      </c>
      <c r="C4106" s="1008">
        <v>3</v>
      </c>
      <c r="D4106" s="1009">
        <v>99041999</v>
      </c>
      <c r="E4106" s="1009">
        <v>99041050</v>
      </c>
      <c r="F4106" s="1007" t="s">
        <v>824</v>
      </c>
      <c r="G4106" s="1007" t="s">
        <v>648</v>
      </c>
      <c r="H4106" s="1010">
        <v>99999999</v>
      </c>
      <c r="I4106" s="1009">
        <v>99041050</v>
      </c>
      <c r="J4106" s="1007" t="s">
        <v>823</v>
      </c>
      <c r="O4106" s="1007" t="s">
        <v>648</v>
      </c>
      <c r="P4106" s="1007" t="s">
        <v>648</v>
      </c>
      <c r="S4106" s="1008" t="s">
        <v>650</v>
      </c>
      <c r="T4106" s="1008" t="s">
        <v>654</v>
      </c>
      <c r="U4106" s="1008" t="s">
        <v>649</v>
      </c>
      <c r="V4106" s="1008" t="s">
        <v>648</v>
      </c>
      <c r="W4106" s="1008" t="s">
        <v>546</v>
      </c>
      <c r="X4106" s="1008" t="s">
        <v>670</v>
      </c>
      <c r="Y4106" s="1008" t="s">
        <v>670</v>
      </c>
      <c r="Z4106" s="1008"/>
      <c r="AA4106" s="1008"/>
      <c r="AB4106" s="1008"/>
      <c r="AC4106" s="1008"/>
      <c r="AD4106" s="1008"/>
      <c r="AE4106" s="1008"/>
      <c r="AF4106" s="1008" t="s">
        <v>670</v>
      </c>
      <c r="AG4106" s="1008"/>
      <c r="AH4106" s="1008"/>
      <c r="AI4106" s="1008"/>
    </row>
    <row r="4107" spans="1:35">
      <c r="A4107" s="1008">
        <v>27408</v>
      </c>
      <c r="B4107" s="1008">
        <v>6304</v>
      </c>
      <c r="C4107" s="1008">
        <v>3</v>
      </c>
      <c r="D4107" s="1009">
        <v>99041999</v>
      </c>
      <c r="E4107" s="1009">
        <v>99041900</v>
      </c>
      <c r="F4107" s="1007" t="s">
        <v>822</v>
      </c>
      <c r="G4107" s="1007" t="s">
        <v>648</v>
      </c>
      <c r="H4107" s="1010">
        <v>99999999</v>
      </c>
      <c r="I4107" s="1009">
        <v>99041900</v>
      </c>
      <c r="J4107" s="1007" t="s">
        <v>821</v>
      </c>
      <c r="O4107" s="1007" t="s">
        <v>648</v>
      </c>
      <c r="P4107" s="1007" t="s">
        <v>648</v>
      </c>
      <c r="S4107" s="1008" t="s">
        <v>650</v>
      </c>
      <c r="T4107" s="1008" t="s">
        <v>654</v>
      </c>
      <c r="U4107" s="1008" t="s">
        <v>649</v>
      </c>
      <c r="V4107" s="1008" t="s">
        <v>648</v>
      </c>
      <c r="W4107" s="1008" t="s">
        <v>546</v>
      </c>
      <c r="X4107" s="1008" t="s">
        <v>670</v>
      </c>
      <c r="Y4107" s="1008" t="s">
        <v>670</v>
      </c>
      <c r="Z4107" s="1008"/>
      <c r="AA4107" s="1008"/>
      <c r="AB4107" s="1008"/>
      <c r="AC4107" s="1008"/>
      <c r="AD4107" s="1008"/>
      <c r="AE4107" s="1008"/>
      <c r="AF4107" s="1008" t="s">
        <v>670</v>
      </c>
      <c r="AG4107" s="1008"/>
      <c r="AH4107" s="1008"/>
      <c r="AI4107" s="1008"/>
    </row>
    <row r="4108" spans="1:35">
      <c r="A4108" s="1008">
        <v>27409</v>
      </c>
      <c r="C4108" s="1008">
        <v>2</v>
      </c>
      <c r="D4108" s="1009">
        <v>99099999</v>
      </c>
      <c r="E4108" s="1009">
        <v>99041999</v>
      </c>
      <c r="F4108" s="1007" t="s">
        <v>820</v>
      </c>
      <c r="O4108" s="1007" t="s">
        <v>648</v>
      </c>
      <c r="P4108" s="1007" t="s">
        <v>648</v>
      </c>
      <c r="S4108" s="1008" t="s">
        <v>650</v>
      </c>
      <c r="T4108" s="1008" t="s">
        <v>21</v>
      </c>
      <c r="U4108" s="1008" t="s">
        <v>649</v>
      </c>
      <c r="V4108" s="1008" t="s">
        <v>648</v>
      </c>
      <c r="W4108" s="1008" t="s">
        <v>546</v>
      </c>
      <c r="X4108" s="1008"/>
      <c r="Y4108" s="1008"/>
      <c r="Z4108" s="1008"/>
      <c r="AA4108" s="1008"/>
      <c r="AB4108" s="1008"/>
      <c r="AC4108" s="1008"/>
      <c r="AD4108" s="1008"/>
      <c r="AE4108" s="1008"/>
      <c r="AF4108" s="1008"/>
      <c r="AG4108" s="1008"/>
      <c r="AH4108" s="1008"/>
      <c r="AI4108" s="1008"/>
    </row>
    <row r="4109" spans="1:35">
      <c r="A4109" s="1008">
        <v>27410</v>
      </c>
      <c r="C4109" s="1008">
        <v>2</v>
      </c>
      <c r="D4109" s="1009">
        <v>99050999</v>
      </c>
      <c r="E4109" s="1009">
        <v>99050000</v>
      </c>
      <c r="F4109" s="1007" t="s">
        <v>819</v>
      </c>
      <c r="O4109" s="1007" t="s">
        <v>648</v>
      </c>
      <c r="P4109" s="1007" t="s">
        <v>648</v>
      </c>
      <c r="S4109" s="1008" t="s">
        <v>650</v>
      </c>
      <c r="T4109" s="1008" t="s">
        <v>675</v>
      </c>
      <c r="U4109" s="1008" t="s">
        <v>649</v>
      </c>
      <c r="V4109" s="1008" t="s">
        <v>648</v>
      </c>
      <c r="W4109" s="1008" t="s">
        <v>546</v>
      </c>
      <c r="X4109" s="1008"/>
      <c r="Y4109" s="1008"/>
      <c r="Z4109" s="1008"/>
      <c r="AA4109" s="1008"/>
      <c r="AB4109" s="1008"/>
      <c r="AC4109" s="1008"/>
      <c r="AD4109" s="1008"/>
      <c r="AE4109" s="1008"/>
      <c r="AF4109" s="1008"/>
      <c r="AG4109" s="1008"/>
      <c r="AH4109" s="1008"/>
      <c r="AI4109" s="1008"/>
    </row>
    <row r="4110" spans="1:35">
      <c r="A4110" s="1008">
        <v>27411</v>
      </c>
      <c r="B4110" s="1008">
        <v>6305</v>
      </c>
      <c r="C4110" s="1008">
        <v>3</v>
      </c>
      <c r="D4110" s="1009">
        <v>99050999</v>
      </c>
      <c r="E4110" s="1009">
        <v>99050010</v>
      </c>
      <c r="F4110" s="1007" t="s">
        <v>818</v>
      </c>
      <c r="G4110" s="1007" t="s">
        <v>648</v>
      </c>
      <c r="H4110" s="1010">
        <v>99999999</v>
      </c>
      <c r="I4110" s="1009">
        <v>99050010</v>
      </c>
      <c r="J4110" s="1007" t="s">
        <v>818</v>
      </c>
      <c r="O4110" s="1007" t="s">
        <v>648</v>
      </c>
      <c r="P4110" s="1007" t="s">
        <v>648</v>
      </c>
      <c r="S4110" s="1008" t="s">
        <v>650</v>
      </c>
      <c r="T4110" s="1008" t="s">
        <v>654</v>
      </c>
      <c r="U4110" s="1008" t="s">
        <v>649</v>
      </c>
      <c r="V4110" s="1008" t="s">
        <v>648</v>
      </c>
      <c r="W4110" s="1008" t="s">
        <v>546</v>
      </c>
      <c r="X4110" s="1008" t="s">
        <v>670</v>
      </c>
      <c r="Y4110" s="1008" t="s">
        <v>670</v>
      </c>
      <c r="Z4110" s="1008"/>
      <c r="AA4110" s="1008"/>
      <c r="AB4110" s="1008"/>
      <c r="AC4110" s="1008"/>
      <c r="AD4110" s="1008"/>
      <c r="AE4110" s="1008"/>
      <c r="AF4110" s="1008" t="s">
        <v>670</v>
      </c>
      <c r="AG4110" s="1008"/>
      <c r="AH4110" s="1008"/>
      <c r="AI4110" s="1008"/>
    </row>
    <row r="4111" spans="1:35">
      <c r="A4111" s="1008">
        <v>27412</v>
      </c>
      <c r="B4111" s="1008">
        <v>6306</v>
      </c>
      <c r="C4111" s="1008">
        <v>3</v>
      </c>
      <c r="D4111" s="1009">
        <v>99050999</v>
      </c>
      <c r="E4111" s="1009">
        <v>99050020</v>
      </c>
      <c r="F4111" s="1007" t="s">
        <v>817</v>
      </c>
      <c r="G4111" s="1007" t="s">
        <v>648</v>
      </c>
      <c r="H4111" s="1010">
        <v>99999999</v>
      </c>
      <c r="I4111" s="1009">
        <v>99050020</v>
      </c>
      <c r="J4111" s="1007" t="s">
        <v>816</v>
      </c>
      <c r="O4111" s="1007" t="s">
        <v>648</v>
      </c>
      <c r="P4111" s="1007" t="s">
        <v>648</v>
      </c>
      <c r="S4111" s="1008" t="s">
        <v>650</v>
      </c>
      <c r="T4111" s="1008" t="s">
        <v>654</v>
      </c>
      <c r="U4111" s="1008" t="s">
        <v>649</v>
      </c>
      <c r="V4111" s="1008" t="s">
        <v>648</v>
      </c>
      <c r="W4111" s="1008" t="s">
        <v>546</v>
      </c>
      <c r="X4111" s="1008" t="s">
        <v>670</v>
      </c>
      <c r="Y4111" s="1008" t="s">
        <v>670</v>
      </c>
      <c r="Z4111" s="1008"/>
      <c r="AA4111" s="1008"/>
      <c r="AB4111" s="1008"/>
      <c r="AC4111" s="1008"/>
      <c r="AD4111" s="1008"/>
      <c r="AE4111" s="1008"/>
      <c r="AF4111" s="1008" t="s">
        <v>670</v>
      </c>
      <c r="AG4111" s="1008"/>
      <c r="AH4111" s="1008"/>
      <c r="AI4111" s="1008"/>
    </row>
    <row r="4112" spans="1:35">
      <c r="A4112" s="1008">
        <v>27413</v>
      </c>
      <c r="B4112" s="1008">
        <v>6307</v>
      </c>
      <c r="C4112" s="1008">
        <v>3</v>
      </c>
      <c r="D4112" s="1009">
        <v>99050999</v>
      </c>
      <c r="E4112" s="1009">
        <v>99050030</v>
      </c>
      <c r="F4112" s="1007" t="s">
        <v>815</v>
      </c>
      <c r="G4112" s="1007" t="s">
        <v>648</v>
      </c>
      <c r="H4112" s="1010">
        <v>99999999</v>
      </c>
      <c r="I4112" s="1009">
        <v>99050030</v>
      </c>
      <c r="J4112" s="1007" t="s">
        <v>814</v>
      </c>
      <c r="O4112" s="1007" t="s">
        <v>648</v>
      </c>
      <c r="P4112" s="1007" t="s">
        <v>648</v>
      </c>
      <c r="S4112" s="1008" t="s">
        <v>650</v>
      </c>
      <c r="T4112" s="1008" t="s">
        <v>654</v>
      </c>
      <c r="U4112" s="1008" t="s">
        <v>649</v>
      </c>
      <c r="V4112" s="1008" t="s">
        <v>648</v>
      </c>
      <c r="W4112" s="1008" t="s">
        <v>546</v>
      </c>
      <c r="X4112" s="1008" t="s">
        <v>670</v>
      </c>
      <c r="Y4112" s="1008" t="s">
        <v>670</v>
      </c>
      <c r="Z4112" s="1008"/>
      <c r="AA4112" s="1008"/>
      <c r="AB4112" s="1008"/>
      <c r="AC4112" s="1008"/>
      <c r="AD4112" s="1008"/>
      <c r="AE4112" s="1008"/>
      <c r="AF4112" s="1008" t="s">
        <v>670</v>
      </c>
      <c r="AG4112" s="1008"/>
      <c r="AH4112" s="1008"/>
      <c r="AI4112" s="1008"/>
    </row>
    <row r="4113" spans="1:35">
      <c r="A4113" s="1008">
        <v>27414</v>
      </c>
      <c r="B4113" s="1008">
        <v>6308</v>
      </c>
      <c r="C4113" s="1008">
        <v>3</v>
      </c>
      <c r="D4113" s="1009">
        <v>99050999</v>
      </c>
      <c r="E4113" s="1009">
        <v>99050040</v>
      </c>
      <c r="F4113" s="1007" t="s">
        <v>813</v>
      </c>
      <c r="G4113" s="1007" t="s">
        <v>648</v>
      </c>
      <c r="H4113" s="1010">
        <v>99999999</v>
      </c>
      <c r="I4113" s="1009">
        <v>99050040</v>
      </c>
      <c r="J4113" s="1007" t="s">
        <v>812</v>
      </c>
      <c r="O4113" s="1007" t="s">
        <v>648</v>
      </c>
      <c r="P4113" s="1007" t="s">
        <v>648</v>
      </c>
      <c r="S4113" s="1008" t="s">
        <v>650</v>
      </c>
      <c r="T4113" s="1008" t="s">
        <v>654</v>
      </c>
      <c r="U4113" s="1008" t="s">
        <v>649</v>
      </c>
      <c r="V4113" s="1008" t="s">
        <v>648</v>
      </c>
      <c r="W4113" s="1008" t="s">
        <v>546</v>
      </c>
      <c r="X4113" s="1008" t="s">
        <v>670</v>
      </c>
      <c r="Y4113" s="1008" t="s">
        <v>670</v>
      </c>
      <c r="Z4113" s="1008"/>
      <c r="AA4113" s="1008"/>
      <c r="AB4113" s="1008"/>
      <c r="AC4113" s="1008"/>
      <c r="AD4113" s="1008"/>
      <c r="AE4113" s="1008"/>
      <c r="AF4113" s="1008" t="s">
        <v>670</v>
      </c>
      <c r="AG4113" s="1008"/>
      <c r="AH4113" s="1008"/>
      <c r="AI4113" s="1008"/>
    </row>
    <row r="4114" spans="1:35">
      <c r="A4114" s="1008">
        <v>27415</v>
      </c>
      <c r="B4114" s="1008">
        <v>6309</v>
      </c>
      <c r="C4114" s="1008">
        <v>3</v>
      </c>
      <c r="D4114" s="1009">
        <v>99050999</v>
      </c>
      <c r="E4114" s="1009">
        <v>99050050</v>
      </c>
      <c r="F4114" s="1007" t="s">
        <v>811</v>
      </c>
      <c r="G4114" s="1007" t="s">
        <v>648</v>
      </c>
      <c r="H4114" s="1010">
        <v>99999999</v>
      </c>
      <c r="I4114" s="1009">
        <v>99050050</v>
      </c>
      <c r="J4114" s="1007" t="s">
        <v>810</v>
      </c>
      <c r="O4114" s="1007" t="s">
        <v>648</v>
      </c>
      <c r="P4114" s="1007" t="s">
        <v>648</v>
      </c>
      <c r="S4114" s="1008" t="s">
        <v>650</v>
      </c>
      <c r="T4114" s="1008" t="s">
        <v>654</v>
      </c>
      <c r="U4114" s="1008" t="s">
        <v>649</v>
      </c>
      <c r="V4114" s="1008" t="s">
        <v>648</v>
      </c>
      <c r="W4114" s="1008" t="s">
        <v>546</v>
      </c>
      <c r="X4114" s="1008" t="s">
        <v>670</v>
      </c>
      <c r="Y4114" s="1008" t="s">
        <v>670</v>
      </c>
      <c r="Z4114" s="1008"/>
      <c r="AA4114" s="1008"/>
      <c r="AB4114" s="1008"/>
      <c r="AC4114" s="1008"/>
      <c r="AD4114" s="1008"/>
      <c r="AE4114" s="1008"/>
      <c r="AF4114" s="1008" t="s">
        <v>670</v>
      </c>
      <c r="AG4114" s="1008"/>
      <c r="AH4114" s="1008"/>
      <c r="AI4114" s="1008"/>
    </row>
    <row r="4115" spans="1:35">
      <c r="A4115" s="1008">
        <v>27416</v>
      </c>
      <c r="B4115" s="1008">
        <v>6310</v>
      </c>
      <c r="C4115" s="1008">
        <v>3</v>
      </c>
      <c r="D4115" s="1009">
        <v>99050999</v>
      </c>
      <c r="E4115" s="1009">
        <v>99050900</v>
      </c>
      <c r="F4115" s="1007" t="s">
        <v>809</v>
      </c>
      <c r="G4115" s="1007" t="s">
        <v>648</v>
      </c>
      <c r="H4115" s="1010">
        <v>99999999</v>
      </c>
      <c r="I4115" s="1009">
        <v>99050900</v>
      </c>
      <c r="J4115" s="1007" t="s">
        <v>808</v>
      </c>
      <c r="O4115" s="1007" t="s">
        <v>648</v>
      </c>
      <c r="P4115" s="1007" t="s">
        <v>648</v>
      </c>
      <c r="S4115" s="1008" t="s">
        <v>650</v>
      </c>
      <c r="T4115" s="1008" t="s">
        <v>654</v>
      </c>
      <c r="U4115" s="1008" t="s">
        <v>649</v>
      </c>
      <c r="V4115" s="1008" t="s">
        <v>648</v>
      </c>
      <c r="W4115" s="1008" t="s">
        <v>546</v>
      </c>
      <c r="X4115" s="1008" t="s">
        <v>670</v>
      </c>
      <c r="Y4115" s="1008" t="s">
        <v>670</v>
      </c>
      <c r="Z4115" s="1008"/>
      <c r="AA4115" s="1008"/>
      <c r="AB4115" s="1008"/>
      <c r="AC4115" s="1008"/>
      <c r="AD4115" s="1008"/>
      <c r="AE4115" s="1008"/>
      <c r="AF4115" s="1008" t="s">
        <v>670</v>
      </c>
      <c r="AG4115" s="1008"/>
      <c r="AH4115" s="1008"/>
      <c r="AI4115" s="1008"/>
    </row>
    <row r="4116" spans="1:35">
      <c r="A4116" s="1008">
        <v>27417</v>
      </c>
      <c r="C4116" s="1008">
        <v>2</v>
      </c>
      <c r="D4116" s="1009">
        <v>99099999</v>
      </c>
      <c r="E4116" s="1009">
        <v>99050999</v>
      </c>
      <c r="F4116" s="1007" t="s">
        <v>807</v>
      </c>
      <c r="O4116" s="1007" t="s">
        <v>648</v>
      </c>
      <c r="P4116" s="1007" t="s">
        <v>648</v>
      </c>
      <c r="S4116" s="1008" t="s">
        <v>650</v>
      </c>
      <c r="T4116" s="1008" t="s">
        <v>21</v>
      </c>
      <c r="U4116" s="1008" t="s">
        <v>649</v>
      </c>
      <c r="V4116" s="1008" t="s">
        <v>648</v>
      </c>
      <c r="W4116" s="1008" t="s">
        <v>546</v>
      </c>
      <c r="X4116" s="1008"/>
      <c r="Y4116" s="1008"/>
      <c r="Z4116" s="1008"/>
      <c r="AA4116" s="1008"/>
      <c r="AB4116" s="1008"/>
      <c r="AC4116" s="1008"/>
      <c r="AD4116" s="1008"/>
      <c r="AE4116" s="1008"/>
      <c r="AF4116" s="1008"/>
      <c r="AG4116" s="1008"/>
      <c r="AH4116" s="1008"/>
      <c r="AI4116" s="1008"/>
    </row>
    <row r="4117" spans="1:35">
      <c r="A4117" s="1008">
        <v>27418</v>
      </c>
      <c r="C4117" s="1008">
        <v>2</v>
      </c>
      <c r="D4117" s="1009">
        <v>99051999</v>
      </c>
      <c r="E4117" s="1009">
        <v>99051000</v>
      </c>
      <c r="F4117" s="1007" t="s">
        <v>806</v>
      </c>
      <c r="O4117" s="1007" t="s">
        <v>648</v>
      </c>
      <c r="P4117" s="1007" t="s">
        <v>648</v>
      </c>
      <c r="S4117" s="1008" t="s">
        <v>650</v>
      </c>
      <c r="T4117" s="1008" t="s">
        <v>675</v>
      </c>
      <c r="U4117" s="1008" t="s">
        <v>649</v>
      </c>
      <c r="V4117" s="1008" t="s">
        <v>648</v>
      </c>
      <c r="W4117" s="1008" t="s">
        <v>546</v>
      </c>
      <c r="X4117" s="1008"/>
      <c r="Y4117" s="1008"/>
      <c r="Z4117" s="1008"/>
      <c r="AA4117" s="1008"/>
      <c r="AB4117" s="1008"/>
      <c r="AC4117" s="1008"/>
      <c r="AD4117" s="1008"/>
      <c r="AE4117" s="1008"/>
      <c r="AF4117" s="1008"/>
      <c r="AG4117" s="1008"/>
      <c r="AH4117" s="1008"/>
      <c r="AI4117" s="1008"/>
    </row>
    <row r="4118" spans="1:35">
      <c r="A4118" s="1008">
        <v>27419</v>
      </c>
      <c r="B4118" s="1008">
        <v>6311</v>
      </c>
      <c r="C4118" s="1008">
        <v>3</v>
      </c>
      <c r="D4118" s="1009">
        <v>99051999</v>
      </c>
      <c r="E4118" s="1009">
        <v>99051010</v>
      </c>
      <c r="F4118" s="1007" t="s">
        <v>805</v>
      </c>
      <c r="G4118" s="1007" t="s">
        <v>648</v>
      </c>
      <c r="H4118" s="1010">
        <v>99999999</v>
      </c>
      <c r="I4118" s="1009">
        <v>99051010</v>
      </c>
      <c r="J4118" s="1007" t="s">
        <v>805</v>
      </c>
      <c r="O4118" s="1007" t="s">
        <v>648</v>
      </c>
      <c r="P4118" s="1007" t="s">
        <v>648</v>
      </c>
      <c r="S4118" s="1008" t="s">
        <v>650</v>
      </c>
      <c r="T4118" s="1008" t="s">
        <v>654</v>
      </c>
      <c r="U4118" s="1008" t="s">
        <v>649</v>
      </c>
      <c r="V4118" s="1008" t="s">
        <v>648</v>
      </c>
      <c r="W4118" s="1008" t="s">
        <v>546</v>
      </c>
      <c r="X4118" s="1008" t="s">
        <v>670</v>
      </c>
      <c r="Y4118" s="1008" t="s">
        <v>670</v>
      </c>
      <c r="Z4118" s="1008"/>
      <c r="AA4118" s="1008"/>
      <c r="AB4118" s="1008"/>
      <c r="AC4118" s="1008"/>
      <c r="AD4118" s="1008"/>
      <c r="AE4118" s="1008"/>
      <c r="AF4118" s="1008" t="s">
        <v>670</v>
      </c>
      <c r="AG4118" s="1008"/>
      <c r="AH4118" s="1008"/>
      <c r="AI4118" s="1008"/>
    </row>
    <row r="4119" spans="1:35">
      <c r="A4119" s="1008">
        <v>27420</v>
      </c>
      <c r="B4119" s="1008">
        <v>6312</v>
      </c>
      <c r="C4119" s="1008">
        <v>3</v>
      </c>
      <c r="D4119" s="1009">
        <v>99051999</v>
      </c>
      <c r="E4119" s="1009">
        <v>99051020</v>
      </c>
      <c r="F4119" s="1007" t="s">
        <v>804</v>
      </c>
      <c r="G4119" s="1007" t="s">
        <v>648</v>
      </c>
      <c r="H4119" s="1010">
        <v>99999999</v>
      </c>
      <c r="I4119" s="1009">
        <v>99051020</v>
      </c>
      <c r="J4119" s="1007" t="s">
        <v>803</v>
      </c>
      <c r="O4119" s="1007" t="s">
        <v>648</v>
      </c>
      <c r="P4119" s="1007" t="s">
        <v>648</v>
      </c>
      <c r="S4119" s="1008" t="s">
        <v>650</v>
      </c>
      <c r="T4119" s="1008" t="s">
        <v>654</v>
      </c>
      <c r="U4119" s="1008" t="s">
        <v>649</v>
      </c>
      <c r="V4119" s="1008" t="s">
        <v>648</v>
      </c>
      <c r="W4119" s="1008" t="s">
        <v>546</v>
      </c>
      <c r="X4119" s="1008" t="s">
        <v>670</v>
      </c>
      <c r="Y4119" s="1008" t="s">
        <v>670</v>
      </c>
      <c r="Z4119" s="1008"/>
      <c r="AA4119" s="1008"/>
      <c r="AB4119" s="1008"/>
      <c r="AC4119" s="1008"/>
      <c r="AD4119" s="1008"/>
      <c r="AE4119" s="1008"/>
      <c r="AF4119" s="1008" t="s">
        <v>670</v>
      </c>
      <c r="AG4119" s="1008"/>
      <c r="AH4119" s="1008"/>
      <c r="AI4119" s="1008"/>
    </row>
    <row r="4120" spans="1:35">
      <c r="A4120" s="1008">
        <v>27421</v>
      </c>
      <c r="B4120" s="1008">
        <v>6313</v>
      </c>
      <c r="C4120" s="1008">
        <v>3</v>
      </c>
      <c r="D4120" s="1009">
        <v>99051999</v>
      </c>
      <c r="E4120" s="1009">
        <v>99051030</v>
      </c>
      <c r="F4120" s="1007" t="s">
        <v>802</v>
      </c>
      <c r="G4120" s="1007" t="s">
        <v>648</v>
      </c>
      <c r="H4120" s="1010">
        <v>99999999</v>
      </c>
      <c r="I4120" s="1009">
        <v>99051030</v>
      </c>
      <c r="J4120" s="1007" t="s">
        <v>801</v>
      </c>
      <c r="O4120" s="1007" t="s">
        <v>648</v>
      </c>
      <c r="P4120" s="1007" t="s">
        <v>648</v>
      </c>
      <c r="S4120" s="1008" t="s">
        <v>650</v>
      </c>
      <c r="T4120" s="1008" t="s">
        <v>654</v>
      </c>
      <c r="U4120" s="1008" t="s">
        <v>649</v>
      </c>
      <c r="V4120" s="1008" t="s">
        <v>648</v>
      </c>
      <c r="W4120" s="1008" t="s">
        <v>546</v>
      </c>
      <c r="X4120" s="1008" t="s">
        <v>670</v>
      </c>
      <c r="Y4120" s="1008" t="s">
        <v>670</v>
      </c>
      <c r="Z4120" s="1008"/>
      <c r="AA4120" s="1008"/>
      <c r="AB4120" s="1008"/>
      <c r="AC4120" s="1008"/>
      <c r="AD4120" s="1008"/>
      <c r="AE4120" s="1008"/>
      <c r="AF4120" s="1008" t="s">
        <v>670</v>
      </c>
      <c r="AG4120" s="1008"/>
      <c r="AH4120" s="1008"/>
      <c r="AI4120" s="1008"/>
    </row>
    <row r="4121" spans="1:35">
      <c r="A4121" s="1008">
        <v>27422</v>
      </c>
      <c r="B4121" s="1008">
        <v>6314</v>
      </c>
      <c r="C4121" s="1008">
        <v>3</v>
      </c>
      <c r="D4121" s="1009">
        <v>99051999</v>
      </c>
      <c r="E4121" s="1009">
        <v>99051040</v>
      </c>
      <c r="F4121" s="1007" t="s">
        <v>800</v>
      </c>
      <c r="G4121" s="1007" t="s">
        <v>648</v>
      </c>
      <c r="H4121" s="1010">
        <v>99999999</v>
      </c>
      <c r="I4121" s="1009">
        <v>99051040</v>
      </c>
      <c r="J4121" s="1007" t="s">
        <v>799</v>
      </c>
      <c r="O4121" s="1007" t="s">
        <v>648</v>
      </c>
      <c r="P4121" s="1007" t="s">
        <v>648</v>
      </c>
      <c r="S4121" s="1008" t="s">
        <v>650</v>
      </c>
      <c r="T4121" s="1008" t="s">
        <v>654</v>
      </c>
      <c r="U4121" s="1008" t="s">
        <v>649</v>
      </c>
      <c r="V4121" s="1008" t="s">
        <v>648</v>
      </c>
      <c r="W4121" s="1008" t="s">
        <v>546</v>
      </c>
      <c r="X4121" s="1008" t="s">
        <v>670</v>
      </c>
      <c r="Y4121" s="1008" t="s">
        <v>670</v>
      </c>
      <c r="Z4121" s="1008"/>
      <c r="AA4121" s="1008"/>
      <c r="AB4121" s="1008"/>
      <c r="AC4121" s="1008"/>
      <c r="AD4121" s="1008"/>
      <c r="AE4121" s="1008"/>
      <c r="AF4121" s="1008" t="s">
        <v>670</v>
      </c>
      <c r="AG4121" s="1008"/>
      <c r="AH4121" s="1008"/>
      <c r="AI4121" s="1008"/>
    </row>
    <row r="4122" spans="1:35">
      <c r="A4122" s="1008">
        <v>27423</v>
      </c>
      <c r="B4122" s="1008">
        <v>6315</v>
      </c>
      <c r="C4122" s="1008">
        <v>3</v>
      </c>
      <c r="D4122" s="1009">
        <v>99051999</v>
      </c>
      <c r="E4122" s="1009">
        <v>99051050</v>
      </c>
      <c r="F4122" s="1007" t="s">
        <v>798</v>
      </c>
      <c r="G4122" s="1007" t="s">
        <v>648</v>
      </c>
      <c r="H4122" s="1010">
        <v>99999999</v>
      </c>
      <c r="I4122" s="1009">
        <v>99051050</v>
      </c>
      <c r="J4122" s="1007" t="s">
        <v>797</v>
      </c>
      <c r="O4122" s="1007" t="s">
        <v>648</v>
      </c>
      <c r="P4122" s="1007" t="s">
        <v>648</v>
      </c>
      <c r="S4122" s="1008" t="s">
        <v>650</v>
      </c>
      <c r="T4122" s="1008" t="s">
        <v>654</v>
      </c>
      <c r="U4122" s="1008" t="s">
        <v>649</v>
      </c>
      <c r="V4122" s="1008" t="s">
        <v>648</v>
      </c>
      <c r="W4122" s="1008" t="s">
        <v>546</v>
      </c>
      <c r="X4122" s="1008" t="s">
        <v>670</v>
      </c>
      <c r="Y4122" s="1008" t="s">
        <v>670</v>
      </c>
      <c r="Z4122" s="1008"/>
      <c r="AA4122" s="1008"/>
      <c r="AB4122" s="1008"/>
      <c r="AC4122" s="1008"/>
      <c r="AD4122" s="1008"/>
      <c r="AE4122" s="1008"/>
      <c r="AF4122" s="1008" t="s">
        <v>670</v>
      </c>
      <c r="AG4122" s="1008"/>
      <c r="AH4122" s="1008"/>
      <c r="AI4122" s="1008"/>
    </row>
    <row r="4123" spans="1:35">
      <c r="A4123" s="1008">
        <v>27424</v>
      </c>
      <c r="B4123" s="1008">
        <v>6316</v>
      </c>
      <c r="C4123" s="1008">
        <v>3</v>
      </c>
      <c r="D4123" s="1009">
        <v>99051999</v>
      </c>
      <c r="E4123" s="1009">
        <v>99051900</v>
      </c>
      <c r="F4123" s="1007" t="s">
        <v>796</v>
      </c>
      <c r="G4123" s="1007" t="s">
        <v>648</v>
      </c>
      <c r="H4123" s="1010">
        <v>99999999</v>
      </c>
      <c r="I4123" s="1009">
        <v>99051900</v>
      </c>
      <c r="J4123" s="1007" t="s">
        <v>796</v>
      </c>
      <c r="O4123" s="1007" t="s">
        <v>648</v>
      </c>
      <c r="P4123" s="1007" t="s">
        <v>648</v>
      </c>
      <c r="S4123" s="1008" t="s">
        <v>650</v>
      </c>
      <c r="T4123" s="1008" t="s">
        <v>654</v>
      </c>
      <c r="U4123" s="1008" t="s">
        <v>649</v>
      </c>
      <c r="V4123" s="1008" t="s">
        <v>648</v>
      </c>
      <c r="W4123" s="1008" t="s">
        <v>546</v>
      </c>
      <c r="X4123" s="1008" t="s">
        <v>670</v>
      </c>
      <c r="Y4123" s="1008" t="s">
        <v>670</v>
      </c>
      <c r="Z4123" s="1008"/>
      <c r="AA4123" s="1008"/>
      <c r="AB4123" s="1008"/>
      <c r="AC4123" s="1008"/>
      <c r="AD4123" s="1008"/>
      <c r="AE4123" s="1008"/>
      <c r="AF4123" s="1008" t="s">
        <v>670</v>
      </c>
      <c r="AG4123" s="1008"/>
      <c r="AH4123" s="1008"/>
      <c r="AI4123" s="1008"/>
    </row>
    <row r="4124" spans="1:35">
      <c r="A4124" s="1008">
        <v>27425</v>
      </c>
      <c r="C4124" s="1008">
        <v>2</v>
      </c>
      <c r="D4124" s="1009">
        <v>99099999</v>
      </c>
      <c r="E4124" s="1009">
        <v>99051999</v>
      </c>
      <c r="F4124" s="1007" t="s">
        <v>795</v>
      </c>
      <c r="O4124" s="1007" t="s">
        <v>648</v>
      </c>
      <c r="P4124" s="1007" t="s">
        <v>648</v>
      </c>
      <c r="S4124" s="1008" t="s">
        <v>650</v>
      </c>
      <c r="T4124" s="1008" t="s">
        <v>21</v>
      </c>
      <c r="U4124" s="1008" t="s">
        <v>649</v>
      </c>
      <c r="V4124" s="1008" t="s">
        <v>648</v>
      </c>
      <c r="W4124" s="1008" t="s">
        <v>546</v>
      </c>
      <c r="X4124" s="1008"/>
      <c r="Y4124" s="1008"/>
      <c r="Z4124" s="1008"/>
      <c r="AA4124" s="1008"/>
      <c r="AB4124" s="1008"/>
      <c r="AC4124" s="1008"/>
      <c r="AD4124" s="1008"/>
      <c r="AE4124" s="1008"/>
      <c r="AF4124" s="1008"/>
      <c r="AG4124" s="1008"/>
      <c r="AH4124" s="1008"/>
      <c r="AI4124" s="1008"/>
    </row>
    <row r="4125" spans="1:35">
      <c r="A4125" s="1008">
        <v>27426</v>
      </c>
      <c r="C4125" s="1008">
        <v>2</v>
      </c>
      <c r="D4125" s="1009">
        <v>99060999</v>
      </c>
      <c r="E4125" s="1009">
        <v>99060000</v>
      </c>
      <c r="F4125" s="1007" t="s">
        <v>794</v>
      </c>
      <c r="O4125" s="1007" t="s">
        <v>648</v>
      </c>
      <c r="P4125" s="1007" t="s">
        <v>648</v>
      </c>
      <c r="S4125" s="1008" t="s">
        <v>650</v>
      </c>
      <c r="T4125" s="1008" t="s">
        <v>675</v>
      </c>
      <c r="U4125" s="1008" t="s">
        <v>649</v>
      </c>
      <c r="V4125" s="1008" t="s">
        <v>648</v>
      </c>
      <c r="W4125" s="1008" t="s">
        <v>546</v>
      </c>
      <c r="X4125" s="1008"/>
      <c r="Y4125" s="1008"/>
      <c r="Z4125" s="1008"/>
      <c r="AA4125" s="1008"/>
      <c r="AB4125" s="1008"/>
      <c r="AC4125" s="1008"/>
      <c r="AD4125" s="1008"/>
      <c r="AE4125" s="1008"/>
      <c r="AF4125" s="1008"/>
      <c r="AG4125" s="1008"/>
      <c r="AH4125" s="1008"/>
      <c r="AI4125" s="1008"/>
    </row>
    <row r="4126" spans="1:35">
      <c r="A4126" s="1008">
        <v>27427</v>
      </c>
      <c r="B4126" s="1008">
        <v>6317</v>
      </c>
      <c r="C4126" s="1008">
        <v>3</v>
      </c>
      <c r="D4126" s="1009">
        <v>99060999</v>
      </c>
      <c r="E4126" s="1009">
        <v>99060010</v>
      </c>
      <c r="F4126" s="1007" t="s">
        <v>794</v>
      </c>
      <c r="G4126" s="1007" t="s">
        <v>648</v>
      </c>
      <c r="H4126" s="1010">
        <v>99999999</v>
      </c>
      <c r="I4126" s="1009">
        <v>99060010</v>
      </c>
      <c r="J4126" s="1007" t="s">
        <v>794</v>
      </c>
      <c r="O4126" s="1007" t="s">
        <v>648</v>
      </c>
      <c r="P4126" s="1007" t="s">
        <v>648</v>
      </c>
      <c r="S4126" s="1008" t="s">
        <v>650</v>
      </c>
      <c r="T4126" s="1008" t="s">
        <v>654</v>
      </c>
      <c r="U4126" s="1008" t="s">
        <v>649</v>
      </c>
      <c r="V4126" s="1008" t="s">
        <v>648</v>
      </c>
      <c r="W4126" s="1008" t="s">
        <v>546</v>
      </c>
      <c r="X4126" s="1008" t="s">
        <v>670</v>
      </c>
      <c r="Y4126" s="1008" t="s">
        <v>670</v>
      </c>
      <c r="Z4126" s="1008" t="s">
        <v>670</v>
      </c>
      <c r="AA4126" s="1008"/>
      <c r="AB4126" s="1008" t="s">
        <v>670</v>
      </c>
      <c r="AC4126" s="1008"/>
      <c r="AD4126" s="1008"/>
      <c r="AE4126" s="1008"/>
      <c r="AF4126" s="1008" t="s">
        <v>670</v>
      </c>
      <c r="AG4126" s="1008"/>
      <c r="AH4126" s="1008"/>
      <c r="AI4126" s="1008"/>
    </row>
    <row r="4127" spans="1:35">
      <c r="A4127" s="1008">
        <v>27428</v>
      </c>
      <c r="B4127" s="1008">
        <v>6318</v>
      </c>
      <c r="C4127" s="1008">
        <v>3</v>
      </c>
      <c r="D4127" s="1009">
        <v>99060999</v>
      </c>
      <c r="E4127" s="1009">
        <v>99060900</v>
      </c>
      <c r="F4127" s="1007" t="s">
        <v>793</v>
      </c>
      <c r="G4127" s="1007" t="s">
        <v>648</v>
      </c>
      <c r="H4127" s="1010">
        <v>99999999</v>
      </c>
      <c r="I4127" s="1009">
        <v>99060900</v>
      </c>
      <c r="J4127" s="1007" t="s">
        <v>792</v>
      </c>
      <c r="O4127" s="1007" t="s">
        <v>648</v>
      </c>
      <c r="P4127" s="1007" t="s">
        <v>648</v>
      </c>
      <c r="S4127" s="1008" t="s">
        <v>650</v>
      </c>
      <c r="T4127" s="1008" t="s">
        <v>654</v>
      </c>
      <c r="U4127" s="1008" t="s">
        <v>649</v>
      </c>
      <c r="V4127" s="1008" t="s">
        <v>648</v>
      </c>
      <c r="W4127" s="1008" t="s">
        <v>546</v>
      </c>
      <c r="X4127" s="1008" t="s">
        <v>670</v>
      </c>
      <c r="Y4127" s="1008" t="s">
        <v>670</v>
      </c>
      <c r="Z4127" s="1008" t="s">
        <v>670</v>
      </c>
      <c r="AA4127" s="1008"/>
      <c r="AB4127" s="1008" t="s">
        <v>670</v>
      </c>
      <c r="AC4127" s="1008"/>
      <c r="AD4127" s="1008"/>
      <c r="AE4127" s="1008"/>
      <c r="AF4127" s="1008" t="s">
        <v>670</v>
      </c>
      <c r="AG4127" s="1008"/>
      <c r="AH4127" s="1008"/>
      <c r="AI4127" s="1008"/>
    </row>
    <row r="4128" spans="1:35">
      <c r="A4128" s="1008">
        <v>27429</v>
      </c>
      <c r="C4128" s="1008">
        <v>2</v>
      </c>
      <c r="D4128" s="1009">
        <v>99099999</v>
      </c>
      <c r="E4128" s="1009">
        <v>99060999</v>
      </c>
      <c r="F4128" s="1007" t="s">
        <v>791</v>
      </c>
      <c r="O4128" s="1007" t="s">
        <v>648</v>
      </c>
      <c r="P4128" s="1007" t="s">
        <v>648</v>
      </c>
      <c r="S4128" s="1008" t="s">
        <v>650</v>
      </c>
      <c r="T4128" s="1008" t="s">
        <v>21</v>
      </c>
      <c r="U4128" s="1008" t="s">
        <v>649</v>
      </c>
      <c r="V4128" s="1008" t="s">
        <v>648</v>
      </c>
      <c r="W4128" s="1008" t="s">
        <v>546</v>
      </c>
      <c r="X4128" s="1008"/>
      <c r="Y4128" s="1008"/>
      <c r="Z4128" s="1008"/>
      <c r="AA4128" s="1008"/>
      <c r="AB4128" s="1008"/>
      <c r="AC4128" s="1008"/>
      <c r="AD4128" s="1008"/>
      <c r="AE4128" s="1008"/>
      <c r="AF4128" s="1008"/>
      <c r="AG4128" s="1008"/>
      <c r="AH4128" s="1008"/>
      <c r="AI4128" s="1008"/>
    </row>
    <row r="4129" spans="1:35">
      <c r="A4129" s="1008">
        <v>27430</v>
      </c>
      <c r="C4129" s="1008">
        <v>2</v>
      </c>
      <c r="D4129" s="1009">
        <v>99070999</v>
      </c>
      <c r="E4129" s="1009">
        <v>99070000</v>
      </c>
      <c r="F4129" s="1007" t="s">
        <v>790</v>
      </c>
      <c r="O4129" s="1007" t="s">
        <v>648</v>
      </c>
      <c r="P4129" s="1007" t="s">
        <v>648</v>
      </c>
      <c r="S4129" s="1008" t="s">
        <v>650</v>
      </c>
      <c r="T4129" s="1008" t="s">
        <v>675</v>
      </c>
      <c r="U4129" s="1008" t="s">
        <v>649</v>
      </c>
      <c r="V4129" s="1008" t="s">
        <v>648</v>
      </c>
      <c r="W4129" s="1008" t="s">
        <v>546</v>
      </c>
      <c r="X4129" s="1008"/>
      <c r="Y4129" s="1008"/>
      <c r="Z4129" s="1008"/>
      <c r="AA4129" s="1008"/>
      <c r="AB4129" s="1008"/>
      <c r="AC4129" s="1008"/>
      <c r="AD4129" s="1008"/>
      <c r="AE4129" s="1008"/>
      <c r="AF4129" s="1008"/>
      <c r="AG4129" s="1008"/>
      <c r="AH4129" s="1008"/>
      <c r="AI4129" s="1008"/>
    </row>
    <row r="4130" spans="1:35">
      <c r="A4130" s="1008">
        <v>27431</v>
      </c>
      <c r="B4130" s="1008">
        <v>6319</v>
      </c>
      <c r="C4130" s="1008">
        <v>3</v>
      </c>
      <c r="D4130" s="1009">
        <v>99070999</v>
      </c>
      <c r="E4130" s="1009">
        <v>99070010</v>
      </c>
      <c r="F4130" s="1007" t="s">
        <v>789</v>
      </c>
      <c r="G4130" s="1007" t="s">
        <v>648</v>
      </c>
      <c r="H4130" s="1010">
        <v>99999999</v>
      </c>
      <c r="I4130" s="1009">
        <v>99070010</v>
      </c>
      <c r="J4130" s="1007" t="s">
        <v>789</v>
      </c>
      <c r="O4130" s="1007" t="s">
        <v>648</v>
      </c>
      <c r="P4130" s="1007" t="s">
        <v>648</v>
      </c>
      <c r="S4130" s="1008" t="s">
        <v>650</v>
      </c>
      <c r="T4130" s="1008" t="s">
        <v>654</v>
      </c>
      <c r="U4130" s="1008" t="s">
        <v>649</v>
      </c>
      <c r="V4130" s="1008" t="s">
        <v>648</v>
      </c>
      <c r="W4130" s="1008" t="s">
        <v>546</v>
      </c>
      <c r="X4130" s="1008" t="s">
        <v>670</v>
      </c>
      <c r="Y4130" s="1008" t="s">
        <v>670</v>
      </c>
      <c r="Z4130" s="1008"/>
      <c r="AA4130" s="1008"/>
      <c r="AB4130" s="1008"/>
      <c r="AC4130" s="1008"/>
      <c r="AD4130" s="1008"/>
      <c r="AE4130" s="1008"/>
      <c r="AF4130" s="1008" t="s">
        <v>670</v>
      </c>
      <c r="AG4130" s="1008"/>
      <c r="AH4130" s="1008"/>
      <c r="AI4130" s="1008"/>
    </row>
    <row r="4131" spans="1:35">
      <c r="A4131" s="1008">
        <v>27432</v>
      </c>
      <c r="B4131" s="1008">
        <v>6320</v>
      </c>
      <c r="C4131" s="1008">
        <v>3</v>
      </c>
      <c r="D4131" s="1009">
        <v>99070999</v>
      </c>
      <c r="E4131" s="1009">
        <v>99070020</v>
      </c>
      <c r="F4131" s="1007" t="s">
        <v>788</v>
      </c>
      <c r="G4131" s="1007" t="s">
        <v>648</v>
      </c>
      <c r="H4131" s="1010">
        <v>99999999</v>
      </c>
      <c r="I4131" s="1009">
        <v>99070020</v>
      </c>
      <c r="J4131" s="1007" t="s">
        <v>788</v>
      </c>
      <c r="O4131" s="1007" t="s">
        <v>648</v>
      </c>
      <c r="P4131" s="1007" t="s">
        <v>648</v>
      </c>
      <c r="S4131" s="1008" t="s">
        <v>650</v>
      </c>
      <c r="T4131" s="1008" t="s">
        <v>654</v>
      </c>
      <c r="U4131" s="1008" t="s">
        <v>649</v>
      </c>
      <c r="V4131" s="1008" t="s">
        <v>648</v>
      </c>
      <c r="W4131" s="1008" t="s">
        <v>546</v>
      </c>
      <c r="X4131" s="1008" t="s">
        <v>670</v>
      </c>
      <c r="Y4131" s="1008" t="s">
        <v>670</v>
      </c>
      <c r="Z4131" s="1008"/>
      <c r="AA4131" s="1008"/>
      <c r="AB4131" s="1008"/>
      <c r="AC4131" s="1008"/>
      <c r="AD4131" s="1008"/>
      <c r="AE4131" s="1008"/>
      <c r="AF4131" s="1008" t="s">
        <v>670</v>
      </c>
      <c r="AG4131" s="1008"/>
      <c r="AH4131" s="1008"/>
      <c r="AI4131" s="1008"/>
    </row>
    <row r="4132" spans="1:35">
      <c r="A4132" s="1008">
        <v>27468</v>
      </c>
      <c r="B4132" s="1008">
        <v>6343</v>
      </c>
      <c r="C4132" s="1008">
        <v>3</v>
      </c>
      <c r="D4132" s="1009">
        <v>99070999</v>
      </c>
      <c r="E4132" s="1009">
        <v>99070030</v>
      </c>
      <c r="F4132" s="1007" t="s">
        <v>787</v>
      </c>
      <c r="G4132" s="1007" t="s">
        <v>648</v>
      </c>
      <c r="H4132" s="1010">
        <v>99999999</v>
      </c>
      <c r="I4132" s="1009">
        <v>99070030</v>
      </c>
      <c r="J4132" s="1007" t="s">
        <v>787</v>
      </c>
      <c r="O4132" s="1007" t="s">
        <v>648</v>
      </c>
      <c r="P4132" s="1007" t="s">
        <v>648</v>
      </c>
      <c r="S4132" s="1008" t="s">
        <v>650</v>
      </c>
      <c r="T4132" s="1008" t="s">
        <v>654</v>
      </c>
      <c r="U4132" s="1008" t="s">
        <v>649</v>
      </c>
      <c r="V4132" s="1008" t="s">
        <v>648</v>
      </c>
      <c r="W4132" s="1008" t="s">
        <v>546</v>
      </c>
      <c r="X4132" s="1008" t="s">
        <v>670</v>
      </c>
      <c r="Y4132" s="1008" t="s">
        <v>670</v>
      </c>
      <c r="Z4132" s="1008"/>
      <c r="AA4132" s="1008"/>
      <c r="AB4132" s="1008"/>
      <c r="AC4132" s="1008"/>
      <c r="AD4132" s="1008"/>
      <c r="AE4132" s="1008"/>
      <c r="AF4132" s="1008" t="s">
        <v>670</v>
      </c>
      <c r="AG4132" s="1008"/>
      <c r="AH4132" s="1008"/>
      <c r="AI4132" s="1008"/>
    </row>
    <row r="4133" spans="1:35">
      <c r="A4133" s="1008">
        <v>27482</v>
      </c>
      <c r="B4133" s="1008">
        <v>6355</v>
      </c>
      <c r="C4133" s="1008">
        <v>3</v>
      </c>
      <c r="D4133" s="1009">
        <v>99070999</v>
      </c>
      <c r="E4133" s="1009">
        <v>99070040</v>
      </c>
      <c r="F4133" s="1007" t="s">
        <v>786</v>
      </c>
      <c r="G4133" s="1007" t="s">
        <v>648</v>
      </c>
      <c r="H4133" s="1010">
        <v>99999999</v>
      </c>
      <c r="I4133" s="1009">
        <v>99070040</v>
      </c>
      <c r="J4133" s="1007" t="s">
        <v>785</v>
      </c>
      <c r="O4133" s="1007" t="s">
        <v>648</v>
      </c>
      <c r="P4133" s="1007" t="s">
        <v>648</v>
      </c>
      <c r="S4133" s="1008" t="s">
        <v>650</v>
      </c>
      <c r="T4133" s="1008" t="s">
        <v>654</v>
      </c>
      <c r="U4133" s="1008" t="s">
        <v>649</v>
      </c>
      <c r="V4133" s="1008" t="s">
        <v>648</v>
      </c>
      <c r="W4133" s="1008" t="s">
        <v>546</v>
      </c>
      <c r="X4133" s="1008" t="s">
        <v>670</v>
      </c>
      <c r="Y4133" s="1008" t="s">
        <v>670</v>
      </c>
      <c r="Z4133" s="1008"/>
      <c r="AA4133" s="1008"/>
      <c r="AB4133" s="1008"/>
      <c r="AC4133" s="1008"/>
      <c r="AD4133" s="1008"/>
      <c r="AE4133" s="1008"/>
      <c r="AF4133" s="1008" t="s">
        <v>670</v>
      </c>
      <c r="AG4133" s="1008"/>
      <c r="AH4133" s="1008"/>
      <c r="AI4133" s="1008"/>
    </row>
    <row r="4134" spans="1:35">
      <c r="A4134" s="1008">
        <v>27483</v>
      </c>
      <c r="B4134" s="1008">
        <v>6356</v>
      </c>
      <c r="C4134" s="1008">
        <v>3</v>
      </c>
      <c r="D4134" s="1009">
        <v>99070999</v>
      </c>
      <c r="E4134" s="1009">
        <v>99070050</v>
      </c>
      <c r="F4134" s="1007" t="s">
        <v>784</v>
      </c>
      <c r="G4134" s="1007" t="s">
        <v>648</v>
      </c>
      <c r="H4134" s="1010">
        <v>99999999</v>
      </c>
      <c r="I4134" s="1009">
        <v>99070050</v>
      </c>
      <c r="J4134" s="1007" t="s">
        <v>784</v>
      </c>
      <c r="O4134" s="1007" t="s">
        <v>648</v>
      </c>
      <c r="P4134" s="1007" t="s">
        <v>648</v>
      </c>
      <c r="S4134" s="1008" t="s">
        <v>650</v>
      </c>
      <c r="T4134" s="1008" t="s">
        <v>654</v>
      </c>
      <c r="U4134" s="1008" t="s">
        <v>649</v>
      </c>
      <c r="V4134" s="1008" t="s">
        <v>648</v>
      </c>
      <c r="W4134" s="1008" t="s">
        <v>546</v>
      </c>
      <c r="X4134" s="1008" t="s">
        <v>670</v>
      </c>
      <c r="Y4134" s="1008" t="s">
        <v>670</v>
      </c>
      <c r="Z4134" s="1008"/>
      <c r="AA4134" s="1008"/>
      <c r="AB4134" s="1008"/>
      <c r="AC4134" s="1008"/>
      <c r="AD4134" s="1008"/>
      <c r="AE4134" s="1008"/>
      <c r="AF4134" s="1008" t="s">
        <v>670</v>
      </c>
      <c r="AG4134" s="1008"/>
      <c r="AH4134" s="1008"/>
      <c r="AI4134" s="1008"/>
    </row>
    <row r="4135" spans="1:35">
      <c r="A4135" s="1008">
        <v>27484</v>
      </c>
      <c r="B4135" s="1008">
        <v>6357</v>
      </c>
      <c r="C4135" s="1008">
        <v>3</v>
      </c>
      <c r="D4135" s="1009">
        <v>99070999</v>
      </c>
      <c r="E4135" s="1009">
        <v>99070060</v>
      </c>
      <c r="F4135" s="1007" t="s">
        <v>783</v>
      </c>
      <c r="G4135" s="1007" t="s">
        <v>648</v>
      </c>
      <c r="H4135" s="1010">
        <v>99999999</v>
      </c>
      <c r="I4135" s="1009">
        <v>99070060</v>
      </c>
      <c r="J4135" s="1007" t="s">
        <v>782</v>
      </c>
      <c r="O4135" s="1007" t="s">
        <v>648</v>
      </c>
      <c r="P4135" s="1007" t="s">
        <v>648</v>
      </c>
      <c r="S4135" s="1008" t="s">
        <v>650</v>
      </c>
      <c r="T4135" s="1008" t="s">
        <v>654</v>
      </c>
      <c r="U4135" s="1008" t="s">
        <v>649</v>
      </c>
      <c r="V4135" s="1008" t="s">
        <v>648</v>
      </c>
      <c r="W4135" s="1008" t="s">
        <v>546</v>
      </c>
      <c r="X4135" s="1008" t="s">
        <v>670</v>
      </c>
      <c r="Y4135" s="1008" t="s">
        <v>670</v>
      </c>
      <c r="Z4135" s="1008"/>
      <c r="AA4135" s="1008"/>
      <c r="AB4135" s="1008"/>
      <c r="AC4135" s="1008"/>
      <c r="AD4135" s="1008"/>
      <c r="AE4135" s="1008"/>
      <c r="AF4135" s="1008" t="s">
        <v>670</v>
      </c>
      <c r="AG4135" s="1008"/>
      <c r="AH4135" s="1008"/>
      <c r="AI4135" s="1008"/>
    </row>
    <row r="4136" spans="1:35">
      <c r="A4136" s="1008">
        <v>27485</v>
      </c>
      <c r="B4136" s="1008">
        <v>6358</v>
      </c>
      <c r="C4136" s="1008">
        <v>3</v>
      </c>
      <c r="D4136" s="1009">
        <v>99070999</v>
      </c>
      <c r="E4136" s="1009">
        <v>99070070</v>
      </c>
      <c r="F4136" s="1007" t="s">
        <v>781</v>
      </c>
      <c r="G4136" s="1007" t="s">
        <v>648</v>
      </c>
      <c r="H4136" s="1010">
        <v>99999999</v>
      </c>
      <c r="I4136" s="1009">
        <v>99070070</v>
      </c>
      <c r="J4136" s="1007" t="s">
        <v>780</v>
      </c>
      <c r="O4136" s="1007" t="s">
        <v>648</v>
      </c>
      <c r="P4136" s="1007" t="s">
        <v>648</v>
      </c>
      <c r="S4136" s="1008" t="s">
        <v>650</v>
      </c>
      <c r="T4136" s="1008" t="s">
        <v>654</v>
      </c>
      <c r="U4136" s="1008" t="s">
        <v>649</v>
      </c>
      <c r="V4136" s="1008" t="s">
        <v>648</v>
      </c>
      <c r="W4136" s="1008" t="s">
        <v>546</v>
      </c>
      <c r="X4136" s="1008" t="s">
        <v>670</v>
      </c>
      <c r="Y4136" s="1008" t="s">
        <v>670</v>
      </c>
      <c r="Z4136" s="1008"/>
      <c r="AA4136" s="1008"/>
      <c r="AB4136" s="1008"/>
      <c r="AC4136" s="1008"/>
      <c r="AD4136" s="1008"/>
      <c r="AE4136" s="1008"/>
      <c r="AF4136" s="1008" t="s">
        <v>670</v>
      </c>
      <c r="AG4136" s="1008"/>
      <c r="AH4136" s="1008"/>
      <c r="AI4136" s="1008"/>
    </row>
    <row r="4137" spans="1:35">
      <c r="A4137" s="1008">
        <v>27486</v>
      </c>
      <c r="B4137" s="1008">
        <v>6359</v>
      </c>
      <c r="C4137" s="1008">
        <v>3</v>
      </c>
      <c r="D4137" s="1009">
        <v>99070999</v>
      </c>
      <c r="E4137" s="1009">
        <v>99070080</v>
      </c>
      <c r="F4137" s="1007" t="s">
        <v>779</v>
      </c>
      <c r="G4137" s="1007" t="s">
        <v>648</v>
      </c>
      <c r="H4137" s="1010">
        <v>99999999</v>
      </c>
      <c r="I4137" s="1009">
        <v>99070080</v>
      </c>
      <c r="J4137" s="1007" t="s">
        <v>778</v>
      </c>
      <c r="O4137" s="1007" t="s">
        <v>648</v>
      </c>
      <c r="P4137" s="1007" t="s">
        <v>648</v>
      </c>
      <c r="S4137" s="1008" t="s">
        <v>650</v>
      </c>
      <c r="T4137" s="1008" t="s">
        <v>654</v>
      </c>
      <c r="U4137" s="1008" t="s">
        <v>649</v>
      </c>
      <c r="V4137" s="1008" t="s">
        <v>648</v>
      </c>
      <c r="W4137" s="1008" t="s">
        <v>546</v>
      </c>
      <c r="X4137" s="1008" t="s">
        <v>670</v>
      </c>
      <c r="Y4137" s="1008" t="s">
        <v>670</v>
      </c>
      <c r="Z4137" s="1008"/>
      <c r="AA4137" s="1008"/>
      <c r="AB4137" s="1008"/>
      <c r="AC4137" s="1008"/>
      <c r="AD4137" s="1008"/>
      <c r="AE4137" s="1008"/>
      <c r="AF4137" s="1008" t="s">
        <v>670</v>
      </c>
      <c r="AG4137" s="1008"/>
      <c r="AH4137" s="1008"/>
      <c r="AI4137" s="1008"/>
    </row>
    <row r="4138" spans="1:35">
      <c r="A4138" s="1008">
        <v>27487</v>
      </c>
      <c r="B4138" s="1008">
        <v>6360</v>
      </c>
      <c r="C4138" s="1008">
        <v>3</v>
      </c>
      <c r="D4138" s="1009">
        <v>99070999</v>
      </c>
      <c r="E4138" s="1009">
        <v>99070090</v>
      </c>
      <c r="F4138" s="1007" t="s">
        <v>777</v>
      </c>
      <c r="G4138" s="1007" t="s">
        <v>648</v>
      </c>
      <c r="H4138" s="1010">
        <v>99999999</v>
      </c>
      <c r="I4138" s="1009">
        <v>99070090</v>
      </c>
      <c r="J4138" s="1007" t="s">
        <v>777</v>
      </c>
      <c r="O4138" s="1007" t="s">
        <v>648</v>
      </c>
      <c r="P4138" s="1007" t="s">
        <v>648</v>
      </c>
      <c r="S4138" s="1008" t="s">
        <v>650</v>
      </c>
      <c r="T4138" s="1008" t="s">
        <v>654</v>
      </c>
      <c r="U4138" s="1008" t="s">
        <v>649</v>
      </c>
      <c r="V4138" s="1008" t="s">
        <v>648</v>
      </c>
      <c r="W4138" s="1008" t="s">
        <v>546</v>
      </c>
      <c r="X4138" s="1008" t="s">
        <v>670</v>
      </c>
      <c r="Y4138" s="1008" t="s">
        <v>670</v>
      </c>
      <c r="Z4138" s="1008"/>
      <c r="AA4138" s="1008"/>
      <c r="AB4138" s="1008"/>
      <c r="AC4138" s="1008"/>
      <c r="AD4138" s="1008"/>
      <c r="AE4138" s="1008"/>
      <c r="AF4138" s="1008" t="s">
        <v>670</v>
      </c>
      <c r="AG4138" s="1008"/>
      <c r="AH4138" s="1008"/>
      <c r="AI4138" s="1008"/>
    </row>
    <row r="4139" spans="1:35">
      <c r="A4139" s="1008">
        <v>27488</v>
      </c>
      <c r="B4139" s="1008">
        <v>6361</v>
      </c>
      <c r="C4139" s="1008">
        <v>3</v>
      </c>
      <c r="D4139" s="1009">
        <v>99070999</v>
      </c>
      <c r="E4139" s="1009">
        <v>99070100</v>
      </c>
      <c r="F4139" s="1007" t="s">
        <v>776</v>
      </c>
      <c r="G4139" s="1007" t="s">
        <v>648</v>
      </c>
      <c r="H4139" s="1010">
        <v>99999999</v>
      </c>
      <c r="I4139" s="1009">
        <v>99070100</v>
      </c>
      <c r="J4139" s="1007" t="s">
        <v>776</v>
      </c>
      <c r="O4139" s="1007" t="s">
        <v>648</v>
      </c>
      <c r="P4139" s="1007" t="s">
        <v>648</v>
      </c>
      <c r="S4139" s="1008" t="s">
        <v>650</v>
      </c>
      <c r="T4139" s="1008" t="s">
        <v>654</v>
      </c>
      <c r="U4139" s="1008" t="s">
        <v>649</v>
      </c>
      <c r="V4139" s="1008" t="s">
        <v>648</v>
      </c>
      <c r="W4139" s="1008" t="s">
        <v>546</v>
      </c>
      <c r="X4139" s="1008" t="s">
        <v>670</v>
      </c>
      <c r="Y4139" s="1008" t="s">
        <v>670</v>
      </c>
      <c r="Z4139" s="1008"/>
      <c r="AA4139" s="1008"/>
      <c r="AB4139" s="1008"/>
      <c r="AC4139" s="1008"/>
      <c r="AD4139" s="1008"/>
      <c r="AE4139" s="1008"/>
      <c r="AF4139" s="1008" t="s">
        <v>670</v>
      </c>
      <c r="AG4139" s="1008"/>
      <c r="AH4139" s="1008"/>
      <c r="AI4139" s="1008"/>
    </row>
    <row r="4140" spans="1:35">
      <c r="A4140" s="1008">
        <v>27489</v>
      </c>
      <c r="B4140" s="1008">
        <v>6362</v>
      </c>
      <c r="C4140" s="1008">
        <v>3</v>
      </c>
      <c r="D4140" s="1009">
        <v>99070999</v>
      </c>
      <c r="E4140" s="1009">
        <v>99070110</v>
      </c>
      <c r="F4140" s="1007" t="s">
        <v>775</v>
      </c>
      <c r="G4140" s="1007" t="s">
        <v>648</v>
      </c>
      <c r="H4140" s="1010">
        <v>99999999</v>
      </c>
      <c r="I4140" s="1009">
        <v>99070110</v>
      </c>
      <c r="J4140" s="1007" t="s">
        <v>774</v>
      </c>
      <c r="O4140" s="1007" t="s">
        <v>648</v>
      </c>
      <c r="P4140" s="1007" t="s">
        <v>648</v>
      </c>
      <c r="S4140" s="1008" t="s">
        <v>650</v>
      </c>
      <c r="T4140" s="1008" t="s">
        <v>654</v>
      </c>
      <c r="U4140" s="1008" t="s">
        <v>649</v>
      </c>
      <c r="V4140" s="1008" t="s">
        <v>648</v>
      </c>
      <c r="W4140" s="1008" t="s">
        <v>546</v>
      </c>
      <c r="X4140" s="1008" t="s">
        <v>670</v>
      </c>
      <c r="Y4140" s="1008" t="s">
        <v>670</v>
      </c>
      <c r="Z4140" s="1008"/>
      <c r="AA4140" s="1008"/>
      <c r="AB4140" s="1008"/>
      <c r="AC4140" s="1008"/>
      <c r="AD4140" s="1008"/>
      <c r="AE4140" s="1008"/>
      <c r="AF4140" s="1008" t="s">
        <v>670</v>
      </c>
      <c r="AG4140" s="1008"/>
      <c r="AH4140" s="1008"/>
      <c r="AI4140" s="1008"/>
    </row>
    <row r="4141" spans="1:35">
      <c r="A4141" s="1008">
        <v>27433</v>
      </c>
      <c r="B4141" s="1008">
        <v>6321</v>
      </c>
      <c r="C4141" s="1008">
        <v>3</v>
      </c>
      <c r="D4141" s="1009">
        <v>99070999</v>
      </c>
      <c r="E4141" s="1009">
        <v>99070900</v>
      </c>
      <c r="F4141" s="1007" t="s">
        <v>773</v>
      </c>
      <c r="G4141" s="1007" t="s">
        <v>648</v>
      </c>
      <c r="H4141" s="1010">
        <v>99999999</v>
      </c>
      <c r="I4141" s="1009">
        <v>99070900</v>
      </c>
      <c r="J4141" s="1007" t="s">
        <v>772</v>
      </c>
      <c r="O4141" s="1007" t="s">
        <v>648</v>
      </c>
      <c r="P4141" s="1007" t="s">
        <v>648</v>
      </c>
      <c r="S4141" s="1008" t="s">
        <v>650</v>
      </c>
      <c r="T4141" s="1008" t="s">
        <v>654</v>
      </c>
      <c r="U4141" s="1008" t="s">
        <v>649</v>
      </c>
      <c r="V4141" s="1008" t="s">
        <v>648</v>
      </c>
      <c r="W4141" s="1008" t="s">
        <v>546</v>
      </c>
      <c r="X4141" s="1008" t="s">
        <v>670</v>
      </c>
      <c r="Y4141" s="1008" t="s">
        <v>670</v>
      </c>
      <c r="Z4141" s="1008"/>
      <c r="AA4141" s="1008"/>
      <c r="AB4141" s="1008"/>
      <c r="AC4141" s="1008"/>
      <c r="AD4141" s="1008"/>
      <c r="AE4141" s="1008"/>
      <c r="AF4141" s="1008" t="s">
        <v>670</v>
      </c>
      <c r="AG4141" s="1008"/>
      <c r="AH4141" s="1008"/>
      <c r="AI4141" s="1008"/>
    </row>
    <row r="4142" spans="1:35">
      <c r="A4142" s="1008">
        <v>27434</v>
      </c>
      <c r="C4142" s="1008">
        <v>2</v>
      </c>
      <c r="D4142" s="1009">
        <v>99099999</v>
      </c>
      <c r="E4142" s="1009">
        <v>99070999</v>
      </c>
      <c r="F4142" s="1007" t="s">
        <v>771</v>
      </c>
      <c r="O4142" s="1007" t="s">
        <v>648</v>
      </c>
      <c r="P4142" s="1007" t="s">
        <v>648</v>
      </c>
      <c r="S4142" s="1008" t="s">
        <v>650</v>
      </c>
      <c r="T4142" s="1008" t="s">
        <v>21</v>
      </c>
      <c r="U4142" s="1008" t="s">
        <v>649</v>
      </c>
      <c r="V4142" s="1008" t="s">
        <v>648</v>
      </c>
      <c r="W4142" s="1008" t="s">
        <v>546</v>
      </c>
      <c r="X4142" s="1008"/>
      <c r="Y4142" s="1008"/>
      <c r="Z4142" s="1008"/>
      <c r="AA4142" s="1008"/>
      <c r="AB4142" s="1008"/>
      <c r="AC4142" s="1008"/>
      <c r="AD4142" s="1008"/>
      <c r="AE4142" s="1008"/>
      <c r="AF4142" s="1008"/>
      <c r="AG4142" s="1008"/>
      <c r="AH4142" s="1008"/>
      <c r="AI4142" s="1008"/>
    </row>
    <row r="4143" spans="1:35">
      <c r="A4143" s="1008">
        <v>27446</v>
      </c>
      <c r="C4143" s="1008">
        <v>2</v>
      </c>
      <c r="D4143" s="1009">
        <v>99071999</v>
      </c>
      <c r="E4143" s="1009">
        <v>99071000</v>
      </c>
      <c r="F4143" s="1007" t="s">
        <v>770</v>
      </c>
      <c r="O4143" s="1007" t="s">
        <v>648</v>
      </c>
      <c r="P4143" s="1007" t="s">
        <v>648</v>
      </c>
      <c r="S4143" s="1008" t="s">
        <v>650</v>
      </c>
      <c r="T4143" s="1008" t="s">
        <v>675</v>
      </c>
      <c r="U4143" s="1008" t="s">
        <v>649</v>
      </c>
      <c r="V4143" s="1008" t="s">
        <v>648</v>
      </c>
      <c r="W4143" s="1008" t="s">
        <v>546</v>
      </c>
      <c r="X4143" s="1008"/>
      <c r="Y4143" s="1008"/>
      <c r="Z4143" s="1008"/>
      <c r="AA4143" s="1008"/>
      <c r="AB4143" s="1008"/>
      <c r="AC4143" s="1008"/>
      <c r="AD4143" s="1008"/>
      <c r="AE4143" s="1008"/>
      <c r="AF4143" s="1008"/>
      <c r="AG4143" s="1008"/>
      <c r="AH4143" s="1008"/>
      <c r="AI4143" s="1008"/>
    </row>
    <row r="4144" spans="1:35">
      <c r="A4144" s="1008">
        <v>27447</v>
      </c>
      <c r="B4144" s="1008">
        <v>6328</v>
      </c>
      <c r="C4144" s="1008">
        <v>3</v>
      </c>
      <c r="D4144" s="1009">
        <v>99071999</v>
      </c>
      <c r="E4144" s="1009">
        <v>99071010</v>
      </c>
      <c r="F4144" s="1007" t="s">
        <v>769</v>
      </c>
      <c r="G4144" s="1007" t="s">
        <v>648</v>
      </c>
      <c r="H4144" s="1010">
        <v>99999999</v>
      </c>
      <c r="I4144" s="1009">
        <v>99071010</v>
      </c>
      <c r="J4144" s="1007" t="s">
        <v>769</v>
      </c>
      <c r="O4144" s="1007" t="s">
        <v>648</v>
      </c>
      <c r="P4144" s="1007" t="s">
        <v>648</v>
      </c>
      <c r="S4144" s="1008" t="s">
        <v>650</v>
      </c>
      <c r="T4144" s="1008" t="s">
        <v>654</v>
      </c>
      <c r="U4144" s="1008" t="s">
        <v>649</v>
      </c>
      <c r="V4144" s="1008" t="s">
        <v>648</v>
      </c>
      <c r="W4144" s="1008" t="s">
        <v>546</v>
      </c>
      <c r="X4144" s="1008" t="s">
        <v>670</v>
      </c>
      <c r="Y4144" s="1008"/>
      <c r="Z4144" s="1008" t="s">
        <v>670</v>
      </c>
      <c r="AA4144" s="1008"/>
      <c r="AB4144" s="1008" t="s">
        <v>670</v>
      </c>
      <c r="AC4144" s="1008"/>
      <c r="AD4144" s="1008"/>
      <c r="AE4144" s="1008"/>
      <c r="AF4144" s="1008"/>
      <c r="AG4144" s="1008"/>
      <c r="AH4144" s="1008"/>
      <c r="AI4144" s="1008"/>
    </row>
    <row r="4145" spans="1:35">
      <c r="A4145" s="1008">
        <v>27448</v>
      </c>
      <c r="B4145" s="1008">
        <v>6329</v>
      </c>
      <c r="C4145" s="1008">
        <v>3</v>
      </c>
      <c r="D4145" s="1009">
        <v>99071999</v>
      </c>
      <c r="E4145" s="1009">
        <v>99071020</v>
      </c>
      <c r="F4145" s="1007" t="s">
        <v>768</v>
      </c>
      <c r="G4145" s="1007" t="s">
        <v>648</v>
      </c>
      <c r="H4145" s="1010">
        <v>99999999</v>
      </c>
      <c r="I4145" s="1009">
        <v>99071020</v>
      </c>
      <c r="J4145" s="1007" t="s">
        <v>768</v>
      </c>
      <c r="O4145" s="1007" t="s">
        <v>648</v>
      </c>
      <c r="P4145" s="1007" t="s">
        <v>648</v>
      </c>
      <c r="S4145" s="1008" t="s">
        <v>650</v>
      </c>
      <c r="T4145" s="1008" t="s">
        <v>654</v>
      </c>
      <c r="U4145" s="1008" t="s">
        <v>649</v>
      </c>
      <c r="V4145" s="1008" t="s">
        <v>648</v>
      </c>
      <c r="W4145" s="1008" t="s">
        <v>546</v>
      </c>
      <c r="X4145" s="1008" t="s">
        <v>670</v>
      </c>
      <c r="Y4145" s="1008"/>
      <c r="Z4145" s="1008" t="s">
        <v>670</v>
      </c>
      <c r="AA4145" s="1008"/>
      <c r="AB4145" s="1008" t="s">
        <v>670</v>
      </c>
      <c r="AC4145" s="1008"/>
      <c r="AD4145" s="1008"/>
      <c r="AE4145" s="1008"/>
      <c r="AF4145" s="1008"/>
      <c r="AG4145" s="1008"/>
      <c r="AH4145" s="1008"/>
      <c r="AI4145" s="1008"/>
    </row>
    <row r="4146" spans="1:35">
      <c r="A4146" s="1008">
        <v>27469</v>
      </c>
      <c r="B4146" s="1008">
        <v>6344</v>
      </c>
      <c r="C4146" s="1008">
        <v>3</v>
      </c>
      <c r="D4146" s="1009">
        <v>99071999</v>
      </c>
      <c r="E4146" s="1009">
        <v>99071030</v>
      </c>
      <c r="F4146" s="1007" t="s">
        <v>767</v>
      </c>
      <c r="G4146" s="1007" t="s">
        <v>648</v>
      </c>
      <c r="H4146" s="1010">
        <v>99999999</v>
      </c>
      <c r="I4146" s="1009">
        <v>99071030</v>
      </c>
      <c r="J4146" s="1007" t="s">
        <v>767</v>
      </c>
      <c r="O4146" s="1007" t="s">
        <v>648</v>
      </c>
      <c r="P4146" s="1007" t="s">
        <v>648</v>
      </c>
      <c r="S4146" s="1008" t="s">
        <v>650</v>
      </c>
      <c r="T4146" s="1008" t="s">
        <v>654</v>
      </c>
      <c r="U4146" s="1008" t="s">
        <v>649</v>
      </c>
      <c r="V4146" s="1008" t="s">
        <v>648</v>
      </c>
      <c r="W4146" s="1008" t="s">
        <v>546</v>
      </c>
      <c r="X4146" s="1008" t="s">
        <v>670</v>
      </c>
      <c r="Y4146" s="1008"/>
      <c r="Z4146" s="1008" t="s">
        <v>670</v>
      </c>
      <c r="AA4146" s="1008"/>
      <c r="AB4146" s="1008" t="s">
        <v>670</v>
      </c>
      <c r="AC4146" s="1008"/>
      <c r="AD4146" s="1008"/>
      <c r="AE4146" s="1008"/>
      <c r="AF4146" s="1008"/>
      <c r="AG4146" s="1008"/>
      <c r="AH4146" s="1008"/>
      <c r="AI4146" s="1008"/>
    </row>
    <row r="4147" spans="1:35">
      <c r="A4147" s="1008">
        <v>27449</v>
      </c>
      <c r="B4147" s="1008">
        <v>6330</v>
      </c>
      <c r="C4147" s="1008">
        <v>3</v>
      </c>
      <c r="D4147" s="1009">
        <v>99071999</v>
      </c>
      <c r="E4147" s="1009">
        <v>99071900</v>
      </c>
      <c r="F4147" s="1007" t="s">
        <v>766</v>
      </c>
      <c r="G4147" s="1007" t="s">
        <v>648</v>
      </c>
      <c r="H4147" s="1010">
        <v>99999999</v>
      </c>
      <c r="I4147" s="1009">
        <v>99071900</v>
      </c>
      <c r="J4147" s="1007" t="s">
        <v>766</v>
      </c>
      <c r="O4147" s="1007" t="s">
        <v>648</v>
      </c>
      <c r="P4147" s="1007" t="s">
        <v>648</v>
      </c>
      <c r="S4147" s="1008" t="s">
        <v>650</v>
      </c>
      <c r="T4147" s="1008" t="s">
        <v>654</v>
      </c>
      <c r="U4147" s="1008" t="s">
        <v>649</v>
      </c>
      <c r="V4147" s="1008" t="s">
        <v>648</v>
      </c>
      <c r="W4147" s="1008" t="s">
        <v>546</v>
      </c>
      <c r="X4147" s="1008" t="s">
        <v>670</v>
      </c>
      <c r="Y4147" s="1008"/>
      <c r="Z4147" s="1008" t="s">
        <v>670</v>
      </c>
      <c r="AA4147" s="1008"/>
      <c r="AB4147" s="1008" t="s">
        <v>670</v>
      </c>
      <c r="AC4147" s="1008"/>
      <c r="AD4147" s="1008"/>
      <c r="AE4147" s="1008"/>
      <c r="AF4147" s="1008"/>
      <c r="AG4147" s="1008"/>
      <c r="AH4147" s="1008"/>
      <c r="AI4147" s="1008"/>
    </row>
    <row r="4148" spans="1:35">
      <c r="A4148" s="1008">
        <v>27450</v>
      </c>
      <c r="C4148" s="1008">
        <v>2</v>
      </c>
      <c r="D4148" s="1009">
        <v>99099999</v>
      </c>
      <c r="E4148" s="1009">
        <v>99071999</v>
      </c>
      <c r="F4148" s="1007" t="s">
        <v>765</v>
      </c>
      <c r="O4148" s="1007" t="s">
        <v>648</v>
      </c>
      <c r="P4148" s="1007" t="s">
        <v>648</v>
      </c>
      <c r="S4148" s="1008" t="s">
        <v>650</v>
      </c>
      <c r="T4148" s="1008" t="s">
        <v>21</v>
      </c>
      <c r="U4148" s="1008" t="s">
        <v>649</v>
      </c>
      <c r="V4148" s="1008" t="s">
        <v>648</v>
      </c>
      <c r="W4148" s="1008" t="s">
        <v>546</v>
      </c>
      <c r="X4148" s="1008"/>
      <c r="Y4148" s="1008"/>
      <c r="Z4148" s="1008"/>
      <c r="AA4148" s="1008"/>
      <c r="AB4148" s="1008"/>
      <c r="AC4148" s="1008"/>
      <c r="AD4148" s="1008"/>
      <c r="AE4148" s="1008"/>
      <c r="AF4148" s="1008"/>
      <c r="AG4148" s="1008"/>
      <c r="AH4148" s="1008"/>
      <c r="AI4148" s="1008"/>
    </row>
    <row r="4149" spans="1:35">
      <c r="A4149" s="1008">
        <v>27435</v>
      </c>
      <c r="C4149" s="1008">
        <v>2</v>
      </c>
      <c r="D4149" s="1009">
        <v>99080999</v>
      </c>
      <c r="E4149" s="1009">
        <v>99080000</v>
      </c>
      <c r="F4149" s="1007" t="s">
        <v>764</v>
      </c>
      <c r="O4149" s="1007" t="s">
        <v>648</v>
      </c>
      <c r="P4149" s="1007" t="s">
        <v>648</v>
      </c>
      <c r="S4149" s="1008" t="s">
        <v>650</v>
      </c>
      <c r="T4149" s="1008" t="s">
        <v>675</v>
      </c>
      <c r="U4149" s="1008" t="s">
        <v>649</v>
      </c>
      <c r="V4149" s="1008" t="s">
        <v>648</v>
      </c>
      <c r="W4149" s="1008" t="s">
        <v>546</v>
      </c>
      <c r="X4149" s="1008"/>
      <c r="Y4149" s="1008"/>
      <c r="Z4149" s="1008"/>
      <c r="AA4149" s="1008"/>
      <c r="AB4149" s="1008"/>
      <c r="AC4149" s="1008"/>
      <c r="AD4149" s="1008"/>
      <c r="AE4149" s="1008"/>
      <c r="AF4149" s="1008"/>
      <c r="AG4149" s="1008"/>
      <c r="AH4149" s="1008"/>
      <c r="AI4149" s="1008"/>
    </row>
    <row r="4150" spans="1:35">
      <c r="A4150" s="1008">
        <v>27436</v>
      </c>
      <c r="B4150" s="1008">
        <v>6322</v>
      </c>
      <c r="C4150" s="1008">
        <v>3</v>
      </c>
      <c r="D4150" s="1009">
        <v>99080999</v>
      </c>
      <c r="E4150" s="1009">
        <v>99080010</v>
      </c>
      <c r="F4150" s="1007" t="s">
        <v>764</v>
      </c>
      <c r="G4150" s="1007" t="s">
        <v>648</v>
      </c>
      <c r="H4150" s="1010">
        <v>99999999</v>
      </c>
      <c r="I4150" s="1009">
        <v>99080010</v>
      </c>
      <c r="J4150" s="1007" t="s">
        <v>764</v>
      </c>
      <c r="O4150" s="1007" t="s">
        <v>648</v>
      </c>
      <c r="P4150" s="1007" t="s">
        <v>648</v>
      </c>
      <c r="S4150" s="1008" t="s">
        <v>650</v>
      </c>
      <c r="T4150" s="1008" t="s">
        <v>654</v>
      </c>
      <c r="U4150" s="1008" t="s">
        <v>649</v>
      </c>
      <c r="V4150" s="1008" t="s">
        <v>648</v>
      </c>
      <c r="W4150" s="1008" t="s">
        <v>546</v>
      </c>
      <c r="X4150" s="1008" t="s">
        <v>670</v>
      </c>
      <c r="Y4150" s="1008" t="s">
        <v>670</v>
      </c>
      <c r="Z4150" s="1008"/>
      <c r="AA4150" s="1008"/>
      <c r="AB4150" s="1008"/>
      <c r="AC4150" s="1008"/>
      <c r="AD4150" s="1008"/>
      <c r="AE4150" s="1008"/>
      <c r="AF4150" s="1008" t="s">
        <v>670</v>
      </c>
      <c r="AG4150" s="1008"/>
      <c r="AH4150" s="1008"/>
      <c r="AI4150" s="1008"/>
    </row>
    <row r="4151" spans="1:35">
      <c r="A4151" s="1008">
        <v>27437</v>
      </c>
      <c r="B4151" s="1008">
        <v>6323</v>
      </c>
      <c r="C4151" s="1008">
        <v>3</v>
      </c>
      <c r="D4151" s="1009">
        <v>99080999</v>
      </c>
      <c r="E4151" s="1009">
        <v>99080900</v>
      </c>
      <c r="F4151" s="1007" t="s">
        <v>763</v>
      </c>
      <c r="G4151" s="1007" t="s">
        <v>648</v>
      </c>
      <c r="H4151" s="1010">
        <v>99999999</v>
      </c>
      <c r="I4151" s="1009">
        <v>99080900</v>
      </c>
      <c r="J4151" s="1007" t="s">
        <v>762</v>
      </c>
      <c r="O4151" s="1007" t="s">
        <v>648</v>
      </c>
      <c r="P4151" s="1007" t="s">
        <v>648</v>
      </c>
      <c r="S4151" s="1008" t="s">
        <v>650</v>
      </c>
      <c r="T4151" s="1008" t="s">
        <v>654</v>
      </c>
      <c r="U4151" s="1008" t="s">
        <v>649</v>
      </c>
      <c r="V4151" s="1008" t="s">
        <v>648</v>
      </c>
      <c r="W4151" s="1008" t="s">
        <v>546</v>
      </c>
      <c r="X4151" s="1008" t="s">
        <v>670</v>
      </c>
      <c r="Y4151" s="1008" t="s">
        <v>670</v>
      </c>
      <c r="Z4151" s="1008"/>
      <c r="AA4151" s="1008"/>
      <c r="AB4151" s="1008"/>
      <c r="AC4151" s="1008"/>
      <c r="AD4151" s="1008"/>
      <c r="AE4151" s="1008"/>
      <c r="AF4151" s="1008" t="s">
        <v>670</v>
      </c>
      <c r="AG4151" s="1008"/>
      <c r="AH4151" s="1008"/>
      <c r="AI4151" s="1008"/>
    </row>
    <row r="4152" spans="1:35">
      <c r="A4152" s="1008">
        <v>27438</v>
      </c>
      <c r="C4152" s="1008">
        <v>2</v>
      </c>
      <c r="D4152" s="1009">
        <v>99099999</v>
      </c>
      <c r="E4152" s="1009">
        <v>99080999</v>
      </c>
      <c r="F4152" s="1007" t="s">
        <v>761</v>
      </c>
      <c r="O4152" s="1007" t="s">
        <v>648</v>
      </c>
      <c r="P4152" s="1007" t="s">
        <v>648</v>
      </c>
      <c r="S4152" s="1008" t="s">
        <v>650</v>
      </c>
      <c r="T4152" s="1008" t="s">
        <v>21</v>
      </c>
      <c r="U4152" s="1008" t="s">
        <v>649</v>
      </c>
      <c r="V4152" s="1008" t="s">
        <v>648</v>
      </c>
      <c r="W4152" s="1008" t="s">
        <v>546</v>
      </c>
      <c r="X4152" s="1008"/>
      <c r="Y4152" s="1008"/>
      <c r="Z4152" s="1008"/>
      <c r="AA4152" s="1008"/>
      <c r="AB4152" s="1008"/>
      <c r="AC4152" s="1008"/>
      <c r="AD4152" s="1008"/>
      <c r="AE4152" s="1008"/>
      <c r="AF4152" s="1008"/>
      <c r="AG4152" s="1008"/>
      <c r="AH4152" s="1008"/>
      <c r="AI4152" s="1008"/>
    </row>
    <row r="4153" spans="1:35">
      <c r="A4153" s="1008">
        <v>27553</v>
      </c>
      <c r="C4153" s="1008">
        <v>1</v>
      </c>
      <c r="D4153" s="1009">
        <v>99999999</v>
      </c>
      <c r="E4153" s="1009">
        <v>99099999</v>
      </c>
      <c r="F4153" s="1007" t="s">
        <v>760</v>
      </c>
      <c r="O4153" s="1007" t="s">
        <v>648</v>
      </c>
      <c r="P4153" s="1007" t="s">
        <v>648</v>
      </c>
      <c r="S4153" s="1008" t="s">
        <v>650</v>
      </c>
      <c r="T4153" s="1008" t="s">
        <v>21</v>
      </c>
      <c r="U4153" s="1008" t="s">
        <v>649</v>
      </c>
      <c r="V4153" s="1008" t="s">
        <v>648</v>
      </c>
      <c r="W4153" s="1008" t="s">
        <v>546</v>
      </c>
      <c r="X4153" s="1008"/>
      <c r="Y4153" s="1008"/>
      <c r="Z4153" s="1008"/>
      <c r="AA4153" s="1008"/>
      <c r="AB4153" s="1008"/>
      <c r="AC4153" s="1008"/>
      <c r="AD4153" s="1008"/>
      <c r="AE4153" s="1008"/>
      <c r="AF4153" s="1008"/>
      <c r="AG4153" s="1008"/>
      <c r="AH4153" s="1008"/>
      <c r="AI4153" s="1008"/>
    </row>
    <row r="4154" spans="1:35">
      <c r="A4154" s="1008">
        <v>27510</v>
      </c>
      <c r="C4154" s="1008">
        <v>1</v>
      </c>
      <c r="D4154" s="1009">
        <v>99999999</v>
      </c>
      <c r="E4154" s="1009">
        <v>99500000</v>
      </c>
      <c r="F4154" s="1007" t="s">
        <v>759</v>
      </c>
      <c r="O4154" s="1007" t="s">
        <v>648</v>
      </c>
      <c r="P4154" s="1007" t="s">
        <v>648</v>
      </c>
      <c r="S4154" s="1008" t="s">
        <v>650</v>
      </c>
      <c r="T4154" s="1008" t="s">
        <v>675</v>
      </c>
      <c r="U4154" s="1008" t="s">
        <v>649</v>
      </c>
      <c r="V4154" s="1008" t="s">
        <v>648</v>
      </c>
      <c r="W4154" s="1008" t="s">
        <v>546</v>
      </c>
      <c r="X4154" s="1008"/>
      <c r="Y4154" s="1008"/>
      <c r="Z4154" s="1008"/>
      <c r="AA4154" s="1008"/>
      <c r="AB4154" s="1008"/>
      <c r="AC4154" s="1008"/>
      <c r="AD4154" s="1008"/>
      <c r="AE4154" s="1008"/>
      <c r="AF4154" s="1008"/>
      <c r="AG4154" s="1008"/>
      <c r="AH4154" s="1008"/>
      <c r="AI4154" s="1008"/>
    </row>
    <row r="4155" spans="1:35">
      <c r="A4155" s="1008">
        <v>27511</v>
      </c>
      <c r="C4155" s="1008">
        <v>2</v>
      </c>
      <c r="D4155" s="1009">
        <v>99510999</v>
      </c>
      <c r="E4155" s="1009">
        <v>99510000</v>
      </c>
      <c r="F4155" s="1007" t="s">
        <v>758</v>
      </c>
      <c r="O4155" s="1007" t="s">
        <v>648</v>
      </c>
      <c r="P4155" s="1007" t="s">
        <v>648</v>
      </c>
      <c r="S4155" s="1008" t="s">
        <v>650</v>
      </c>
      <c r="T4155" s="1008" t="s">
        <v>675</v>
      </c>
      <c r="U4155" s="1008" t="s">
        <v>649</v>
      </c>
      <c r="V4155" s="1008" t="s">
        <v>648</v>
      </c>
      <c r="W4155" s="1008" t="s">
        <v>546</v>
      </c>
      <c r="X4155" s="1008"/>
      <c r="Y4155" s="1008"/>
      <c r="Z4155" s="1008"/>
      <c r="AA4155" s="1008"/>
      <c r="AB4155" s="1008"/>
      <c r="AC4155" s="1008"/>
      <c r="AD4155" s="1008"/>
      <c r="AE4155" s="1008"/>
      <c r="AF4155" s="1008"/>
      <c r="AG4155" s="1008"/>
      <c r="AH4155" s="1008"/>
      <c r="AI4155" s="1008"/>
    </row>
    <row r="4156" spans="1:35">
      <c r="A4156" s="1008">
        <v>27512</v>
      </c>
      <c r="B4156" s="1008">
        <v>6377</v>
      </c>
      <c r="C4156" s="1008">
        <v>3</v>
      </c>
      <c r="D4156" s="1009">
        <v>99510999</v>
      </c>
      <c r="E4156" s="1009">
        <v>99510010</v>
      </c>
      <c r="F4156" s="1007" t="s">
        <v>757</v>
      </c>
      <c r="G4156" s="1007" t="s">
        <v>648</v>
      </c>
      <c r="H4156" s="1010">
        <v>99999999</v>
      </c>
      <c r="I4156" s="1009">
        <v>99510010</v>
      </c>
      <c r="J4156" s="1007" t="s">
        <v>757</v>
      </c>
      <c r="O4156" s="1007" t="s">
        <v>648</v>
      </c>
      <c r="P4156" s="1007" t="s">
        <v>648</v>
      </c>
      <c r="S4156" s="1008" t="s">
        <v>650</v>
      </c>
      <c r="T4156" s="1008" t="s">
        <v>654</v>
      </c>
      <c r="U4156" s="1008" t="s">
        <v>649</v>
      </c>
      <c r="V4156" s="1008" t="s">
        <v>648</v>
      </c>
      <c r="W4156" s="1008" t="s">
        <v>546</v>
      </c>
      <c r="X4156" s="1008" t="s">
        <v>670</v>
      </c>
      <c r="Y4156" s="1008" t="s">
        <v>670</v>
      </c>
      <c r="Z4156" s="1008"/>
      <c r="AA4156" s="1008"/>
      <c r="AB4156" s="1008"/>
      <c r="AC4156" s="1008"/>
      <c r="AD4156" s="1008"/>
      <c r="AE4156" s="1008"/>
      <c r="AF4156" s="1008" t="s">
        <v>670</v>
      </c>
      <c r="AG4156" s="1008"/>
      <c r="AH4156" s="1008"/>
      <c r="AI4156" s="1008"/>
    </row>
    <row r="4157" spans="1:35">
      <c r="A4157" s="1008">
        <v>27513</v>
      </c>
      <c r="B4157" s="1008">
        <v>6378</v>
      </c>
      <c r="C4157" s="1008">
        <v>3</v>
      </c>
      <c r="D4157" s="1009">
        <v>99510999</v>
      </c>
      <c r="E4157" s="1009">
        <v>99510020</v>
      </c>
      <c r="F4157" s="1007" t="s">
        <v>756</v>
      </c>
      <c r="G4157" s="1007" t="s">
        <v>648</v>
      </c>
      <c r="H4157" s="1010">
        <v>99999999</v>
      </c>
      <c r="I4157" s="1009">
        <v>99510020</v>
      </c>
      <c r="J4157" s="1007" t="s">
        <v>756</v>
      </c>
      <c r="O4157" s="1007" t="s">
        <v>648</v>
      </c>
      <c r="P4157" s="1007" t="s">
        <v>648</v>
      </c>
      <c r="S4157" s="1008" t="s">
        <v>650</v>
      </c>
      <c r="T4157" s="1008" t="s">
        <v>654</v>
      </c>
      <c r="U4157" s="1008" t="s">
        <v>649</v>
      </c>
      <c r="V4157" s="1008" t="s">
        <v>648</v>
      </c>
      <c r="W4157" s="1008" t="s">
        <v>546</v>
      </c>
      <c r="X4157" s="1008" t="s">
        <v>670</v>
      </c>
      <c r="Y4157" s="1008" t="s">
        <v>670</v>
      </c>
      <c r="Z4157" s="1008"/>
      <c r="AA4157" s="1008"/>
      <c r="AB4157" s="1008"/>
      <c r="AC4157" s="1008"/>
      <c r="AD4157" s="1008"/>
      <c r="AE4157" s="1008"/>
      <c r="AF4157" s="1008" t="s">
        <v>670</v>
      </c>
      <c r="AG4157" s="1008"/>
      <c r="AH4157" s="1008"/>
      <c r="AI4157" s="1008"/>
    </row>
    <row r="4158" spans="1:35">
      <c r="A4158" s="1008">
        <v>27514</v>
      </c>
      <c r="B4158" s="1008">
        <v>6379</v>
      </c>
      <c r="C4158" s="1008">
        <v>3</v>
      </c>
      <c r="D4158" s="1009">
        <v>99510999</v>
      </c>
      <c r="E4158" s="1009">
        <v>99510030</v>
      </c>
      <c r="F4158" s="1007" t="s">
        <v>755</v>
      </c>
      <c r="G4158" s="1007" t="s">
        <v>648</v>
      </c>
      <c r="H4158" s="1010">
        <v>99999999</v>
      </c>
      <c r="I4158" s="1009">
        <v>99510030</v>
      </c>
      <c r="J4158" s="1007" t="s">
        <v>755</v>
      </c>
      <c r="O4158" s="1007" t="s">
        <v>648</v>
      </c>
      <c r="P4158" s="1007" t="s">
        <v>648</v>
      </c>
      <c r="S4158" s="1008" t="s">
        <v>650</v>
      </c>
      <c r="T4158" s="1008" t="s">
        <v>654</v>
      </c>
      <c r="U4158" s="1008" t="s">
        <v>649</v>
      </c>
      <c r="V4158" s="1008" t="s">
        <v>648</v>
      </c>
      <c r="W4158" s="1008" t="s">
        <v>546</v>
      </c>
      <c r="X4158" s="1008" t="s">
        <v>670</v>
      </c>
      <c r="Y4158" s="1008" t="s">
        <v>670</v>
      </c>
      <c r="Z4158" s="1008"/>
      <c r="AA4158" s="1008"/>
      <c r="AB4158" s="1008"/>
      <c r="AC4158" s="1008"/>
      <c r="AD4158" s="1008"/>
      <c r="AE4158" s="1008"/>
      <c r="AF4158" s="1008" t="s">
        <v>670</v>
      </c>
      <c r="AG4158" s="1008"/>
      <c r="AH4158" s="1008"/>
      <c r="AI4158" s="1008"/>
    </row>
    <row r="4159" spans="1:35">
      <c r="A4159" s="1008">
        <v>27515</v>
      </c>
      <c r="B4159" s="1008">
        <v>6380</v>
      </c>
      <c r="C4159" s="1008">
        <v>3</v>
      </c>
      <c r="D4159" s="1009">
        <v>99510999</v>
      </c>
      <c r="E4159" s="1009">
        <v>99510040</v>
      </c>
      <c r="F4159" s="1007" t="s">
        <v>754</v>
      </c>
      <c r="G4159" s="1007" t="s">
        <v>648</v>
      </c>
      <c r="H4159" s="1010">
        <v>99999999</v>
      </c>
      <c r="I4159" s="1009">
        <v>99510040</v>
      </c>
      <c r="J4159" s="1007" t="s">
        <v>754</v>
      </c>
      <c r="O4159" s="1007" t="s">
        <v>648</v>
      </c>
      <c r="P4159" s="1007" t="s">
        <v>648</v>
      </c>
      <c r="S4159" s="1008" t="s">
        <v>650</v>
      </c>
      <c r="T4159" s="1008" t="s">
        <v>654</v>
      </c>
      <c r="U4159" s="1008" t="s">
        <v>649</v>
      </c>
      <c r="V4159" s="1008" t="s">
        <v>648</v>
      </c>
      <c r="W4159" s="1008" t="s">
        <v>546</v>
      </c>
      <c r="X4159" s="1008" t="s">
        <v>670</v>
      </c>
      <c r="Y4159" s="1008" t="s">
        <v>670</v>
      </c>
      <c r="Z4159" s="1008"/>
      <c r="AA4159" s="1008"/>
      <c r="AB4159" s="1008"/>
      <c r="AC4159" s="1008"/>
      <c r="AD4159" s="1008"/>
      <c r="AE4159" s="1008"/>
      <c r="AF4159" s="1008" t="s">
        <v>670</v>
      </c>
      <c r="AG4159" s="1008"/>
      <c r="AH4159" s="1008"/>
      <c r="AI4159" s="1008"/>
    </row>
    <row r="4160" spans="1:35">
      <c r="A4160" s="1008">
        <v>27516</v>
      </c>
      <c r="B4160" s="1008">
        <v>6381</v>
      </c>
      <c r="C4160" s="1008">
        <v>3</v>
      </c>
      <c r="D4160" s="1009">
        <v>99510999</v>
      </c>
      <c r="E4160" s="1009">
        <v>99510050</v>
      </c>
      <c r="F4160" s="1007" t="s">
        <v>753</v>
      </c>
      <c r="G4160" s="1007" t="s">
        <v>648</v>
      </c>
      <c r="H4160" s="1010">
        <v>99999999</v>
      </c>
      <c r="I4160" s="1009">
        <v>99510050</v>
      </c>
      <c r="J4160" s="1007" t="s">
        <v>753</v>
      </c>
      <c r="O4160" s="1007" t="s">
        <v>648</v>
      </c>
      <c r="P4160" s="1007" t="s">
        <v>648</v>
      </c>
      <c r="S4160" s="1008" t="s">
        <v>650</v>
      </c>
      <c r="T4160" s="1008" t="s">
        <v>654</v>
      </c>
      <c r="U4160" s="1008" t="s">
        <v>649</v>
      </c>
      <c r="V4160" s="1008" t="s">
        <v>648</v>
      </c>
      <c r="W4160" s="1008" t="s">
        <v>546</v>
      </c>
      <c r="X4160" s="1008" t="s">
        <v>670</v>
      </c>
      <c r="Y4160" s="1008" t="s">
        <v>670</v>
      </c>
      <c r="Z4160" s="1008"/>
      <c r="AA4160" s="1008"/>
      <c r="AB4160" s="1008"/>
      <c r="AC4160" s="1008"/>
      <c r="AD4160" s="1008"/>
      <c r="AE4160" s="1008"/>
      <c r="AF4160" s="1008" t="s">
        <v>670</v>
      </c>
      <c r="AG4160" s="1008"/>
      <c r="AH4160" s="1008"/>
      <c r="AI4160" s="1008"/>
    </row>
    <row r="4161" spans="1:35">
      <c r="A4161" s="1008">
        <v>27517</v>
      </c>
      <c r="B4161" s="1008">
        <v>6382</v>
      </c>
      <c r="C4161" s="1008">
        <v>3</v>
      </c>
      <c r="D4161" s="1009">
        <v>99510999</v>
      </c>
      <c r="E4161" s="1009">
        <v>99510900</v>
      </c>
      <c r="F4161" s="1007" t="s">
        <v>752</v>
      </c>
      <c r="G4161" s="1007" t="s">
        <v>648</v>
      </c>
      <c r="H4161" s="1010">
        <v>99999999</v>
      </c>
      <c r="I4161" s="1009">
        <v>99510900</v>
      </c>
      <c r="J4161" s="1007" t="s">
        <v>752</v>
      </c>
      <c r="O4161" s="1007" t="s">
        <v>648</v>
      </c>
      <c r="P4161" s="1007" t="s">
        <v>648</v>
      </c>
      <c r="S4161" s="1008" t="s">
        <v>650</v>
      </c>
      <c r="T4161" s="1008" t="s">
        <v>654</v>
      </c>
      <c r="U4161" s="1008" t="s">
        <v>649</v>
      </c>
      <c r="V4161" s="1008" t="s">
        <v>648</v>
      </c>
      <c r="W4161" s="1008" t="s">
        <v>546</v>
      </c>
      <c r="X4161" s="1008" t="s">
        <v>670</v>
      </c>
      <c r="Y4161" s="1008" t="s">
        <v>670</v>
      </c>
      <c r="Z4161" s="1008"/>
      <c r="AA4161" s="1008"/>
      <c r="AB4161" s="1008"/>
      <c r="AC4161" s="1008"/>
      <c r="AD4161" s="1008"/>
      <c r="AE4161" s="1008"/>
      <c r="AF4161" s="1008" t="s">
        <v>670</v>
      </c>
      <c r="AG4161" s="1008"/>
      <c r="AH4161" s="1008"/>
      <c r="AI4161" s="1008"/>
    </row>
    <row r="4162" spans="1:35">
      <c r="A4162" s="1008">
        <v>27518</v>
      </c>
      <c r="C4162" s="1008">
        <v>2</v>
      </c>
      <c r="D4162" s="1009">
        <v>99599999</v>
      </c>
      <c r="E4162" s="1009">
        <v>99510999</v>
      </c>
      <c r="F4162" s="1007" t="s">
        <v>751</v>
      </c>
      <c r="O4162" s="1007" t="s">
        <v>648</v>
      </c>
      <c r="P4162" s="1007" t="s">
        <v>648</v>
      </c>
      <c r="S4162" s="1008" t="s">
        <v>650</v>
      </c>
      <c r="T4162" s="1008" t="s">
        <v>21</v>
      </c>
      <c r="U4162" s="1008" t="s">
        <v>649</v>
      </c>
      <c r="V4162" s="1008" t="s">
        <v>648</v>
      </c>
      <c r="W4162" s="1008" t="s">
        <v>546</v>
      </c>
      <c r="X4162" s="1008"/>
      <c r="Y4162" s="1008"/>
      <c r="Z4162" s="1008"/>
      <c r="AA4162" s="1008"/>
      <c r="AB4162" s="1008"/>
      <c r="AC4162" s="1008"/>
      <c r="AD4162" s="1008"/>
      <c r="AE4162" s="1008"/>
      <c r="AF4162" s="1008"/>
      <c r="AG4162" s="1008"/>
      <c r="AH4162" s="1008"/>
      <c r="AI4162" s="1008"/>
    </row>
    <row r="4163" spans="1:35">
      <c r="A4163" s="1008">
        <v>27519</v>
      </c>
      <c r="C4163" s="1008">
        <v>2</v>
      </c>
      <c r="D4163" s="1009">
        <v>99520999</v>
      </c>
      <c r="E4163" s="1009">
        <v>99520000</v>
      </c>
      <c r="F4163" s="1007" t="s">
        <v>750</v>
      </c>
      <c r="O4163" s="1007" t="s">
        <v>648</v>
      </c>
      <c r="P4163" s="1007" t="s">
        <v>648</v>
      </c>
      <c r="S4163" s="1008" t="s">
        <v>650</v>
      </c>
      <c r="T4163" s="1008" t="s">
        <v>675</v>
      </c>
      <c r="U4163" s="1008" t="s">
        <v>649</v>
      </c>
      <c r="V4163" s="1008" t="s">
        <v>648</v>
      </c>
      <c r="W4163" s="1008" t="s">
        <v>546</v>
      </c>
      <c r="X4163" s="1008"/>
      <c r="Y4163" s="1008"/>
      <c r="Z4163" s="1008"/>
      <c r="AA4163" s="1008"/>
      <c r="AB4163" s="1008"/>
      <c r="AC4163" s="1008"/>
      <c r="AD4163" s="1008"/>
      <c r="AE4163" s="1008"/>
      <c r="AF4163" s="1008"/>
      <c r="AG4163" s="1008"/>
      <c r="AH4163" s="1008"/>
      <c r="AI4163" s="1008"/>
    </row>
    <row r="4164" spans="1:35">
      <c r="A4164" s="1008">
        <v>27520</v>
      </c>
      <c r="B4164" s="1008">
        <v>6383</v>
      </c>
      <c r="C4164" s="1008">
        <v>3</v>
      </c>
      <c r="D4164" s="1009">
        <v>99520999</v>
      </c>
      <c r="E4164" s="1009">
        <v>99520010</v>
      </c>
      <c r="F4164" s="1007" t="s">
        <v>749</v>
      </c>
      <c r="G4164" s="1007" t="s">
        <v>648</v>
      </c>
      <c r="H4164" s="1010">
        <v>99999999</v>
      </c>
      <c r="I4164" s="1009">
        <v>99520010</v>
      </c>
      <c r="J4164" s="1007" t="s">
        <v>748</v>
      </c>
      <c r="O4164" s="1007" t="s">
        <v>648</v>
      </c>
      <c r="P4164" s="1007" t="s">
        <v>648</v>
      </c>
      <c r="S4164" s="1008" t="s">
        <v>650</v>
      </c>
      <c r="T4164" s="1008" t="s">
        <v>654</v>
      </c>
      <c r="U4164" s="1008" t="s">
        <v>649</v>
      </c>
      <c r="V4164" s="1008" t="s">
        <v>648</v>
      </c>
      <c r="W4164" s="1008" t="s">
        <v>546</v>
      </c>
      <c r="X4164" s="1008" t="s">
        <v>670</v>
      </c>
      <c r="Y4164" s="1008" t="s">
        <v>670</v>
      </c>
      <c r="Z4164" s="1008"/>
      <c r="AA4164" s="1008"/>
      <c r="AB4164" s="1008"/>
      <c r="AC4164" s="1008"/>
      <c r="AD4164" s="1008"/>
      <c r="AE4164" s="1008"/>
      <c r="AF4164" s="1008" t="s">
        <v>670</v>
      </c>
      <c r="AG4164" s="1008"/>
      <c r="AH4164" s="1008"/>
      <c r="AI4164" s="1008"/>
    </row>
    <row r="4165" spans="1:35">
      <c r="A4165" s="1008">
        <v>27521</v>
      </c>
      <c r="B4165" s="1008">
        <v>6384</v>
      </c>
      <c r="C4165" s="1008">
        <v>3</v>
      </c>
      <c r="D4165" s="1009">
        <v>99520999</v>
      </c>
      <c r="E4165" s="1009">
        <v>99520020</v>
      </c>
      <c r="F4165" s="1007" t="s">
        <v>747</v>
      </c>
      <c r="G4165" s="1007" t="s">
        <v>648</v>
      </c>
      <c r="H4165" s="1010">
        <v>99999999</v>
      </c>
      <c r="I4165" s="1009">
        <v>99520020</v>
      </c>
      <c r="J4165" s="1007" t="s">
        <v>747</v>
      </c>
      <c r="O4165" s="1007" t="s">
        <v>648</v>
      </c>
      <c r="P4165" s="1007" t="s">
        <v>648</v>
      </c>
      <c r="S4165" s="1008" t="s">
        <v>650</v>
      </c>
      <c r="T4165" s="1008" t="s">
        <v>654</v>
      </c>
      <c r="U4165" s="1008" t="s">
        <v>649</v>
      </c>
      <c r="V4165" s="1008" t="s">
        <v>648</v>
      </c>
      <c r="W4165" s="1008" t="s">
        <v>546</v>
      </c>
      <c r="X4165" s="1008" t="s">
        <v>670</v>
      </c>
      <c r="Y4165" s="1008" t="s">
        <v>670</v>
      </c>
      <c r="Z4165" s="1008"/>
      <c r="AA4165" s="1008"/>
      <c r="AB4165" s="1008"/>
      <c r="AC4165" s="1008"/>
      <c r="AD4165" s="1008"/>
      <c r="AE4165" s="1008"/>
      <c r="AF4165" s="1008" t="s">
        <v>670</v>
      </c>
      <c r="AG4165" s="1008"/>
      <c r="AH4165" s="1008"/>
      <c r="AI4165" s="1008"/>
    </row>
    <row r="4166" spans="1:35">
      <c r="A4166" s="1008">
        <v>27522</v>
      </c>
      <c r="B4166" s="1008">
        <v>6385</v>
      </c>
      <c r="C4166" s="1008">
        <v>3</v>
      </c>
      <c r="D4166" s="1009">
        <v>99520999</v>
      </c>
      <c r="E4166" s="1009">
        <v>99520030</v>
      </c>
      <c r="F4166" s="1007" t="s">
        <v>746</v>
      </c>
      <c r="G4166" s="1007" t="s">
        <v>648</v>
      </c>
      <c r="H4166" s="1010">
        <v>99999999</v>
      </c>
      <c r="I4166" s="1009">
        <v>99520030</v>
      </c>
      <c r="J4166" s="1007" t="s">
        <v>746</v>
      </c>
      <c r="O4166" s="1007" t="s">
        <v>648</v>
      </c>
      <c r="P4166" s="1007" t="s">
        <v>648</v>
      </c>
      <c r="S4166" s="1008" t="s">
        <v>650</v>
      </c>
      <c r="T4166" s="1008" t="s">
        <v>654</v>
      </c>
      <c r="U4166" s="1008" t="s">
        <v>649</v>
      </c>
      <c r="V4166" s="1008" t="s">
        <v>648</v>
      </c>
      <c r="W4166" s="1008" t="s">
        <v>546</v>
      </c>
      <c r="X4166" s="1008" t="s">
        <v>670</v>
      </c>
      <c r="Y4166" s="1008" t="s">
        <v>670</v>
      </c>
      <c r="Z4166" s="1008"/>
      <c r="AA4166" s="1008"/>
      <c r="AB4166" s="1008"/>
      <c r="AC4166" s="1008"/>
      <c r="AD4166" s="1008"/>
      <c r="AE4166" s="1008"/>
      <c r="AF4166" s="1008" t="s">
        <v>670</v>
      </c>
      <c r="AG4166" s="1008"/>
      <c r="AH4166" s="1008"/>
      <c r="AI4166" s="1008"/>
    </row>
    <row r="4167" spans="1:35">
      <c r="A4167" s="1008">
        <v>27523</v>
      </c>
      <c r="B4167" s="1008">
        <v>6386</v>
      </c>
      <c r="C4167" s="1008">
        <v>3</v>
      </c>
      <c r="D4167" s="1009">
        <v>99520999</v>
      </c>
      <c r="E4167" s="1009">
        <v>99520040</v>
      </c>
      <c r="F4167" s="1007" t="s">
        <v>745</v>
      </c>
      <c r="G4167" s="1007" t="s">
        <v>648</v>
      </c>
      <c r="H4167" s="1010">
        <v>99999999</v>
      </c>
      <c r="I4167" s="1009">
        <v>99520040</v>
      </c>
      <c r="J4167" s="1007" t="s">
        <v>745</v>
      </c>
      <c r="O4167" s="1007" t="s">
        <v>648</v>
      </c>
      <c r="P4167" s="1007" t="s">
        <v>648</v>
      </c>
      <c r="S4167" s="1008" t="s">
        <v>650</v>
      </c>
      <c r="T4167" s="1008" t="s">
        <v>654</v>
      </c>
      <c r="U4167" s="1008" t="s">
        <v>649</v>
      </c>
      <c r="V4167" s="1008" t="s">
        <v>648</v>
      </c>
      <c r="W4167" s="1008" t="s">
        <v>546</v>
      </c>
      <c r="X4167" s="1008" t="s">
        <v>670</v>
      </c>
      <c r="Y4167" s="1008" t="s">
        <v>670</v>
      </c>
      <c r="Z4167" s="1008"/>
      <c r="AA4167" s="1008"/>
      <c r="AB4167" s="1008"/>
      <c r="AC4167" s="1008"/>
      <c r="AD4167" s="1008"/>
      <c r="AE4167" s="1008"/>
      <c r="AF4167" s="1008" t="s">
        <v>670</v>
      </c>
      <c r="AG4167" s="1008"/>
      <c r="AH4167" s="1008"/>
      <c r="AI4167" s="1008"/>
    </row>
    <row r="4168" spans="1:35">
      <c r="A4168" s="1008">
        <v>27524</v>
      </c>
      <c r="B4168" s="1008">
        <v>6387</v>
      </c>
      <c r="C4168" s="1008">
        <v>3</v>
      </c>
      <c r="D4168" s="1009">
        <v>99520999</v>
      </c>
      <c r="E4168" s="1009">
        <v>99520050</v>
      </c>
      <c r="F4168" s="1007" t="s">
        <v>744</v>
      </c>
      <c r="G4168" s="1007" t="s">
        <v>648</v>
      </c>
      <c r="H4168" s="1010">
        <v>99999999</v>
      </c>
      <c r="I4168" s="1009">
        <v>99520050</v>
      </c>
      <c r="J4168" s="1007" t="s">
        <v>744</v>
      </c>
      <c r="O4168" s="1007" t="s">
        <v>648</v>
      </c>
      <c r="P4168" s="1007" t="s">
        <v>648</v>
      </c>
      <c r="S4168" s="1008" t="s">
        <v>650</v>
      </c>
      <c r="T4168" s="1008" t="s">
        <v>654</v>
      </c>
      <c r="U4168" s="1008" t="s">
        <v>649</v>
      </c>
      <c r="V4168" s="1008" t="s">
        <v>648</v>
      </c>
      <c r="W4168" s="1008" t="s">
        <v>546</v>
      </c>
      <c r="X4168" s="1008" t="s">
        <v>670</v>
      </c>
      <c r="Y4168" s="1008" t="s">
        <v>670</v>
      </c>
      <c r="Z4168" s="1008"/>
      <c r="AA4168" s="1008"/>
      <c r="AB4168" s="1008"/>
      <c r="AC4168" s="1008"/>
      <c r="AD4168" s="1008"/>
      <c r="AE4168" s="1008"/>
      <c r="AF4168" s="1008" t="s">
        <v>670</v>
      </c>
      <c r="AG4168" s="1008"/>
      <c r="AH4168" s="1008"/>
      <c r="AI4168" s="1008"/>
    </row>
    <row r="4169" spans="1:35">
      <c r="A4169" s="1008">
        <v>27525</v>
      </c>
      <c r="B4169" s="1008">
        <v>6388</v>
      </c>
      <c r="C4169" s="1008">
        <v>3</v>
      </c>
      <c r="D4169" s="1009">
        <v>99520999</v>
      </c>
      <c r="E4169" s="1009">
        <v>99520900</v>
      </c>
      <c r="F4169" s="1007" t="s">
        <v>743</v>
      </c>
      <c r="G4169" s="1007" t="s">
        <v>648</v>
      </c>
      <c r="H4169" s="1010">
        <v>99999999</v>
      </c>
      <c r="I4169" s="1009">
        <v>99520900</v>
      </c>
      <c r="J4169" s="1007" t="s">
        <v>743</v>
      </c>
      <c r="O4169" s="1007" t="s">
        <v>648</v>
      </c>
      <c r="P4169" s="1007" t="s">
        <v>648</v>
      </c>
      <c r="S4169" s="1008" t="s">
        <v>650</v>
      </c>
      <c r="T4169" s="1008" t="s">
        <v>654</v>
      </c>
      <c r="U4169" s="1008" t="s">
        <v>649</v>
      </c>
      <c r="V4169" s="1008" t="s">
        <v>648</v>
      </c>
      <c r="W4169" s="1008" t="s">
        <v>546</v>
      </c>
      <c r="X4169" s="1008" t="s">
        <v>670</v>
      </c>
      <c r="Y4169" s="1008" t="s">
        <v>670</v>
      </c>
      <c r="Z4169" s="1008"/>
      <c r="AA4169" s="1008"/>
      <c r="AB4169" s="1008"/>
      <c r="AC4169" s="1008"/>
      <c r="AD4169" s="1008"/>
      <c r="AE4169" s="1008"/>
      <c r="AF4169" s="1008" t="s">
        <v>670</v>
      </c>
      <c r="AG4169" s="1008"/>
      <c r="AH4169" s="1008"/>
      <c r="AI4169" s="1008"/>
    </row>
    <row r="4170" spans="1:35">
      <c r="A4170" s="1008">
        <v>27526</v>
      </c>
      <c r="C4170" s="1008">
        <v>2</v>
      </c>
      <c r="D4170" s="1009">
        <v>99599999</v>
      </c>
      <c r="E4170" s="1009">
        <v>99520999</v>
      </c>
      <c r="F4170" s="1007" t="s">
        <v>742</v>
      </c>
      <c r="O4170" s="1007" t="s">
        <v>648</v>
      </c>
      <c r="P4170" s="1007" t="s">
        <v>648</v>
      </c>
      <c r="S4170" s="1008" t="s">
        <v>650</v>
      </c>
      <c r="T4170" s="1008" t="s">
        <v>21</v>
      </c>
      <c r="U4170" s="1008" t="s">
        <v>649</v>
      </c>
      <c r="V4170" s="1008" t="s">
        <v>648</v>
      </c>
      <c r="W4170" s="1008" t="s">
        <v>546</v>
      </c>
      <c r="X4170" s="1008"/>
      <c r="Y4170" s="1008"/>
      <c r="Z4170" s="1008"/>
      <c r="AA4170" s="1008"/>
      <c r="AB4170" s="1008"/>
      <c r="AC4170" s="1008"/>
      <c r="AD4170" s="1008"/>
      <c r="AE4170" s="1008"/>
      <c r="AF4170" s="1008"/>
      <c r="AG4170" s="1008"/>
      <c r="AH4170" s="1008"/>
      <c r="AI4170" s="1008"/>
    </row>
    <row r="4171" spans="1:35">
      <c r="A4171" s="1008">
        <v>27527</v>
      </c>
      <c r="C4171" s="1008">
        <v>2</v>
      </c>
      <c r="D4171" s="1009">
        <v>99530999</v>
      </c>
      <c r="E4171" s="1009">
        <v>99530000</v>
      </c>
      <c r="F4171" s="1007" t="s">
        <v>741</v>
      </c>
      <c r="O4171" s="1007" t="s">
        <v>648</v>
      </c>
      <c r="P4171" s="1007" t="s">
        <v>648</v>
      </c>
      <c r="S4171" s="1008" t="s">
        <v>650</v>
      </c>
      <c r="T4171" s="1008" t="s">
        <v>675</v>
      </c>
      <c r="U4171" s="1008" t="s">
        <v>649</v>
      </c>
      <c r="V4171" s="1008" t="s">
        <v>648</v>
      </c>
      <c r="W4171" s="1008" t="s">
        <v>546</v>
      </c>
      <c r="X4171" s="1008"/>
      <c r="Y4171" s="1008"/>
      <c r="Z4171" s="1008"/>
      <c r="AA4171" s="1008"/>
      <c r="AB4171" s="1008"/>
      <c r="AC4171" s="1008"/>
      <c r="AD4171" s="1008"/>
      <c r="AE4171" s="1008"/>
      <c r="AF4171" s="1008"/>
      <c r="AG4171" s="1008"/>
      <c r="AH4171" s="1008"/>
      <c r="AI4171" s="1008"/>
    </row>
    <row r="4172" spans="1:35">
      <c r="A4172" s="1008">
        <v>27528</v>
      </c>
      <c r="B4172" s="1008">
        <v>6389</v>
      </c>
      <c r="C4172" s="1008">
        <v>3</v>
      </c>
      <c r="D4172" s="1009">
        <v>99530999</v>
      </c>
      <c r="E4172" s="1009">
        <v>99530010</v>
      </c>
      <c r="F4172" s="1007" t="s">
        <v>740</v>
      </c>
      <c r="G4172" s="1007" t="s">
        <v>648</v>
      </c>
      <c r="H4172" s="1010">
        <v>99999999</v>
      </c>
      <c r="I4172" s="1009">
        <v>99530010</v>
      </c>
      <c r="J4172" s="1007" t="s">
        <v>740</v>
      </c>
      <c r="O4172" s="1007" t="s">
        <v>648</v>
      </c>
      <c r="P4172" s="1007" t="s">
        <v>648</v>
      </c>
      <c r="S4172" s="1008" t="s">
        <v>650</v>
      </c>
      <c r="T4172" s="1008" t="s">
        <v>654</v>
      </c>
      <c r="U4172" s="1008" t="s">
        <v>649</v>
      </c>
      <c r="V4172" s="1008" t="s">
        <v>648</v>
      </c>
      <c r="W4172" s="1008" t="s">
        <v>546</v>
      </c>
      <c r="X4172" s="1008" t="s">
        <v>670</v>
      </c>
      <c r="Y4172" s="1008" t="s">
        <v>670</v>
      </c>
      <c r="Z4172" s="1008"/>
      <c r="AA4172" s="1008"/>
      <c r="AB4172" s="1008"/>
      <c r="AC4172" s="1008"/>
      <c r="AD4172" s="1008"/>
      <c r="AE4172" s="1008"/>
      <c r="AF4172" s="1008" t="s">
        <v>670</v>
      </c>
      <c r="AG4172" s="1008"/>
      <c r="AH4172" s="1008"/>
      <c r="AI4172" s="1008"/>
    </row>
    <row r="4173" spans="1:35">
      <c r="A4173" s="1008">
        <v>27529</v>
      </c>
      <c r="B4173" s="1008">
        <v>6390</v>
      </c>
      <c r="C4173" s="1008">
        <v>3</v>
      </c>
      <c r="D4173" s="1009">
        <v>99530999</v>
      </c>
      <c r="E4173" s="1009">
        <v>99530020</v>
      </c>
      <c r="F4173" s="1007" t="s">
        <v>739</v>
      </c>
      <c r="G4173" s="1007" t="s">
        <v>648</v>
      </c>
      <c r="H4173" s="1010">
        <v>99999999</v>
      </c>
      <c r="I4173" s="1009">
        <v>99530020</v>
      </c>
      <c r="J4173" s="1007" t="s">
        <v>739</v>
      </c>
      <c r="O4173" s="1007" t="s">
        <v>648</v>
      </c>
      <c r="P4173" s="1007" t="s">
        <v>648</v>
      </c>
      <c r="S4173" s="1008" t="s">
        <v>650</v>
      </c>
      <c r="T4173" s="1008" t="s">
        <v>654</v>
      </c>
      <c r="U4173" s="1008" t="s">
        <v>649</v>
      </c>
      <c r="V4173" s="1008" t="s">
        <v>648</v>
      </c>
      <c r="W4173" s="1008" t="s">
        <v>546</v>
      </c>
      <c r="X4173" s="1008" t="s">
        <v>670</v>
      </c>
      <c r="Y4173" s="1008" t="s">
        <v>670</v>
      </c>
      <c r="Z4173" s="1008"/>
      <c r="AA4173" s="1008"/>
      <c r="AB4173" s="1008"/>
      <c r="AC4173" s="1008"/>
      <c r="AD4173" s="1008"/>
      <c r="AE4173" s="1008"/>
      <c r="AF4173" s="1008" t="s">
        <v>670</v>
      </c>
      <c r="AG4173" s="1008"/>
      <c r="AH4173" s="1008"/>
      <c r="AI4173" s="1008"/>
    </row>
    <row r="4174" spans="1:35">
      <c r="A4174" s="1008">
        <v>27530</v>
      </c>
      <c r="B4174" s="1008">
        <v>6391</v>
      </c>
      <c r="C4174" s="1008">
        <v>3</v>
      </c>
      <c r="D4174" s="1009">
        <v>99530999</v>
      </c>
      <c r="E4174" s="1009">
        <v>99530030</v>
      </c>
      <c r="F4174" s="1007" t="s">
        <v>738</v>
      </c>
      <c r="G4174" s="1007" t="s">
        <v>648</v>
      </c>
      <c r="H4174" s="1010">
        <v>99999999</v>
      </c>
      <c r="I4174" s="1009">
        <v>99530030</v>
      </c>
      <c r="J4174" s="1007" t="s">
        <v>738</v>
      </c>
      <c r="O4174" s="1007" t="s">
        <v>648</v>
      </c>
      <c r="P4174" s="1007" t="s">
        <v>648</v>
      </c>
      <c r="S4174" s="1008" t="s">
        <v>650</v>
      </c>
      <c r="T4174" s="1008" t="s">
        <v>654</v>
      </c>
      <c r="U4174" s="1008" t="s">
        <v>649</v>
      </c>
      <c r="V4174" s="1008" t="s">
        <v>648</v>
      </c>
      <c r="W4174" s="1008" t="s">
        <v>546</v>
      </c>
      <c r="X4174" s="1008" t="s">
        <v>670</v>
      </c>
      <c r="Y4174" s="1008" t="s">
        <v>670</v>
      </c>
      <c r="Z4174" s="1008"/>
      <c r="AA4174" s="1008"/>
      <c r="AB4174" s="1008"/>
      <c r="AC4174" s="1008"/>
      <c r="AD4174" s="1008"/>
      <c r="AE4174" s="1008"/>
      <c r="AF4174" s="1008" t="s">
        <v>670</v>
      </c>
      <c r="AG4174" s="1008"/>
      <c r="AH4174" s="1008"/>
      <c r="AI4174" s="1008"/>
    </row>
    <row r="4175" spans="1:35">
      <c r="A4175" s="1008">
        <v>27531</v>
      </c>
      <c r="B4175" s="1008">
        <v>6392</v>
      </c>
      <c r="C4175" s="1008">
        <v>3</v>
      </c>
      <c r="D4175" s="1009">
        <v>99530999</v>
      </c>
      <c r="E4175" s="1009">
        <v>99530040</v>
      </c>
      <c r="F4175" s="1007" t="s">
        <v>737</v>
      </c>
      <c r="G4175" s="1007" t="s">
        <v>648</v>
      </c>
      <c r="H4175" s="1010">
        <v>99999999</v>
      </c>
      <c r="I4175" s="1009">
        <v>99530040</v>
      </c>
      <c r="J4175" s="1007" t="s">
        <v>737</v>
      </c>
      <c r="O4175" s="1007" t="s">
        <v>648</v>
      </c>
      <c r="P4175" s="1007" t="s">
        <v>648</v>
      </c>
      <c r="S4175" s="1008" t="s">
        <v>650</v>
      </c>
      <c r="T4175" s="1008" t="s">
        <v>654</v>
      </c>
      <c r="U4175" s="1008" t="s">
        <v>649</v>
      </c>
      <c r="V4175" s="1008" t="s">
        <v>648</v>
      </c>
      <c r="W4175" s="1008" t="s">
        <v>546</v>
      </c>
      <c r="X4175" s="1008" t="s">
        <v>670</v>
      </c>
      <c r="Y4175" s="1008" t="s">
        <v>670</v>
      </c>
      <c r="Z4175" s="1008"/>
      <c r="AA4175" s="1008"/>
      <c r="AB4175" s="1008"/>
      <c r="AC4175" s="1008"/>
      <c r="AD4175" s="1008"/>
      <c r="AE4175" s="1008"/>
      <c r="AF4175" s="1008" t="s">
        <v>670</v>
      </c>
      <c r="AG4175" s="1008"/>
      <c r="AH4175" s="1008"/>
      <c r="AI4175" s="1008"/>
    </row>
    <row r="4176" spans="1:35">
      <c r="A4176" s="1008">
        <v>27532</v>
      </c>
      <c r="B4176" s="1008">
        <v>6393</v>
      </c>
      <c r="C4176" s="1008">
        <v>3</v>
      </c>
      <c r="D4176" s="1009">
        <v>99530999</v>
      </c>
      <c r="E4176" s="1009">
        <v>99530050</v>
      </c>
      <c r="F4176" s="1007" t="s">
        <v>736</v>
      </c>
      <c r="G4176" s="1007" t="s">
        <v>648</v>
      </c>
      <c r="H4176" s="1010">
        <v>99999999</v>
      </c>
      <c r="I4176" s="1009">
        <v>99530050</v>
      </c>
      <c r="J4176" s="1007" t="s">
        <v>736</v>
      </c>
      <c r="O4176" s="1007" t="s">
        <v>648</v>
      </c>
      <c r="P4176" s="1007" t="s">
        <v>648</v>
      </c>
      <c r="S4176" s="1008" t="s">
        <v>650</v>
      </c>
      <c r="T4176" s="1008" t="s">
        <v>654</v>
      </c>
      <c r="U4176" s="1008" t="s">
        <v>649</v>
      </c>
      <c r="V4176" s="1008" t="s">
        <v>648</v>
      </c>
      <c r="W4176" s="1008" t="s">
        <v>546</v>
      </c>
      <c r="X4176" s="1008" t="s">
        <v>670</v>
      </c>
      <c r="Y4176" s="1008" t="s">
        <v>670</v>
      </c>
      <c r="Z4176" s="1008"/>
      <c r="AA4176" s="1008"/>
      <c r="AB4176" s="1008"/>
      <c r="AC4176" s="1008"/>
      <c r="AD4176" s="1008"/>
      <c r="AE4176" s="1008"/>
      <c r="AF4176" s="1008" t="s">
        <v>670</v>
      </c>
      <c r="AG4176" s="1008"/>
      <c r="AH4176" s="1008"/>
      <c r="AI4176" s="1008"/>
    </row>
    <row r="4177" spans="1:35">
      <c r="A4177" s="1008">
        <v>27533</v>
      </c>
      <c r="B4177" s="1008">
        <v>6394</v>
      </c>
      <c r="C4177" s="1008">
        <v>3</v>
      </c>
      <c r="D4177" s="1009">
        <v>99530999</v>
      </c>
      <c r="E4177" s="1009">
        <v>99530060</v>
      </c>
      <c r="F4177" s="1007" t="s">
        <v>735</v>
      </c>
      <c r="G4177" s="1007" t="s">
        <v>648</v>
      </c>
      <c r="H4177" s="1010">
        <v>99999999</v>
      </c>
      <c r="I4177" s="1009">
        <v>99530060</v>
      </c>
      <c r="J4177" s="1007" t="s">
        <v>735</v>
      </c>
      <c r="O4177" s="1007" t="s">
        <v>648</v>
      </c>
      <c r="P4177" s="1007" t="s">
        <v>648</v>
      </c>
      <c r="S4177" s="1008" t="s">
        <v>650</v>
      </c>
      <c r="T4177" s="1008" t="s">
        <v>654</v>
      </c>
      <c r="U4177" s="1008" t="s">
        <v>649</v>
      </c>
      <c r="V4177" s="1008" t="s">
        <v>648</v>
      </c>
      <c r="W4177" s="1008" t="s">
        <v>546</v>
      </c>
      <c r="X4177" s="1008" t="s">
        <v>670</v>
      </c>
      <c r="Y4177" s="1008" t="s">
        <v>670</v>
      </c>
      <c r="Z4177" s="1008"/>
      <c r="AA4177" s="1008"/>
      <c r="AB4177" s="1008"/>
      <c r="AC4177" s="1008"/>
      <c r="AD4177" s="1008"/>
      <c r="AE4177" s="1008"/>
      <c r="AF4177" s="1008" t="s">
        <v>670</v>
      </c>
      <c r="AG4177" s="1008"/>
      <c r="AH4177" s="1008"/>
      <c r="AI4177" s="1008"/>
    </row>
    <row r="4178" spans="1:35">
      <c r="A4178" s="1008">
        <v>27534</v>
      </c>
      <c r="B4178" s="1008">
        <v>6395</v>
      </c>
      <c r="C4178" s="1008">
        <v>3</v>
      </c>
      <c r="D4178" s="1009">
        <v>99530999</v>
      </c>
      <c r="E4178" s="1009">
        <v>99530900</v>
      </c>
      <c r="F4178" s="1007" t="s">
        <v>734</v>
      </c>
      <c r="G4178" s="1007" t="s">
        <v>648</v>
      </c>
      <c r="H4178" s="1010">
        <v>99999999</v>
      </c>
      <c r="I4178" s="1009">
        <v>99530900</v>
      </c>
      <c r="J4178" s="1007" t="s">
        <v>734</v>
      </c>
      <c r="O4178" s="1007" t="s">
        <v>648</v>
      </c>
      <c r="P4178" s="1007" t="s">
        <v>648</v>
      </c>
      <c r="S4178" s="1008" t="s">
        <v>650</v>
      </c>
      <c r="T4178" s="1008" t="s">
        <v>654</v>
      </c>
      <c r="U4178" s="1008" t="s">
        <v>649</v>
      </c>
      <c r="V4178" s="1008" t="s">
        <v>648</v>
      </c>
      <c r="W4178" s="1008" t="s">
        <v>546</v>
      </c>
      <c r="X4178" s="1008" t="s">
        <v>670</v>
      </c>
      <c r="Y4178" s="1008" t="s">
        <v>670</v>
      </c>
      <c r="Z4178" s="1008"/>
      <c r="AA4178" s="1008"/>
      <c r="AB4178" s="1008"/>
      <c r="AC4178" s="1008"/>
      <c r="AD4178" s="1008"/>
      <c r="AE4178" s="1008"/>
      <c r="AF4178" s="1008" t="s">
        <v>670</v>
      </c>
      <c r="AG4178" s="1008"/>
      <c r="AH4178" s="1008"/>
      <c r="AI4178" s="1008"/>
    </row>
    <row r="4179" spans="1:35">
      <c r="A4179" s="1008">
        <v>27535</v>
      </c>
      <c r="C4179" s="1008">
        <v>2</v>
      </c>
      <c r="D4179" s="1009">
        <v>99599999</v>
      </c>
      <c r="E4179" s="1009">
        <v>99530999</v>
      </c>
      <c r="F4179" s="1007" t="s">
        <v>733</v>
      </c>
      <c r="O4179" s="1007" t="s">
        <v>648</v>
      </c>
      <c r="P4179" s="1007" t="s">
        <v>648</v>
      </c>
      <c r="S4179" s="1008" t="s">
        <v>650</v>
      </c>
      <c r="T4179" s="1008" t="s">
        <v>21</v>
      </c>
      <c r="U4179" s="1008" t="s">
        <v>649</v>
      </c>
      <c r="V4179" s="1008" t="s">
        <v>648</v>
      </c>
      <c r="W4179" s="1008" t="s">
        <v>546</v>
      </c>
      <c r="X4179" s="1008"/>
      <c r="Y4179" s="1008"/>
      <c r="Z4179" s="1008"/>
      <c r="AA4179" s="1008"/>
      <c r="AB4179" s="1008"/>
      <c r="AC4179" s="1008"/>
      <c r="AD4179" s="1008"/>
      <c r="AE4179" s="1008"/>
      <c r="AF4179" s="1008"/>
      <c r="AG4179" s="1008"/>
      <c r="AH4179" s="1008"/>
      <c r="AI4179" s="1008"/>
    </row>
    <row r="4180" spans="1:35">
      <c r="A4180" s="1008">
        <v>27536</v>
      </c>
      <c r="C4180" s="1008">
        <v>2</v>
      </c>
      <c r="D4180" s="1009">
        <v>99540999</v>
      </c>
      <c r="E4180" s="1009">
        <v>99540000</v>
      </c>
      <c r="F4180" s="1007" t="s">
        <v>732</v>
      </c>
      <c r="O4180" s="1007" t="s">
        <v>648</v>
      </c>
      <c r="P4180" s="1007" t="s">
        <v>648</v>
      </c>
      <c r="S4180" s="1008" t="s">
        <v>650</v>
      </c>
      <c r="T4180" s="1008" t="s">
        <v>675</v>
      </c>
      <c r="U4180" s="1008" t="s">
        <v>649</v>
      </c>
      <c r="V4180" s="1008" t="s">
        <v>648</v>
      </c>
      <c r="W4180" s="1008" t="s">
        <v>546</v>
      </c>
      <c r="X4180" s="1008"/>
      <c r="Y4180" s="1008"/>
      <c r="Z4180" s="1008"/>
      <c r="AA4180" s="1008"/>
      <c r="AB4180" s="1008"/>
      <c r="AC4180" s="1008"/>
      <c r="AD4180" s="1008"/>
      <c r="AE4180" s="1008"/>
      <c r="AF4180" s="1008"/>
      <c r="AG4180" s="1008"/>
      <c r="AH4180" s="1008"/>
      <c r="AI4180" s="1008"/>
    </row>
    <row r="4181" spans="1:35">
      <c r="A4181" s="1008">
        <v>27537</v>
      </c>
      <c r="B4181" s="1008">
        <v>6396</v>
      </c>
      <c r="C4181" s="1008">
        <v>3</v>
      </c>
      <c r="D4181" s="1009">
        <v>99540999</v>
      </c>
      <c r="E4181" s="1009">
        <v>99540010</v>
      </c>
      <c r="F4181" s="1007" t="s">
        <v>731</v>
      </c>
      <c r="G4181" s="1007" t="s">
        <v>648</v>
      </c>
      <c r="H4181" s="1010">
        <v>99999999</v>
      </c>
      <c r="I4181" s="1009">
        <v>99540010</v>
      </c>
      <c r="J4181" s="1007" t="s">
        <v>731</v>
      </c>
      <c r="O4181" s="1007" t="s">
        <v>648</v>
      </c>
      <c r="P4181" s="1007" t="s">
        <v>648</v>
      </c>
      <c r="S4181" s="1008" t="s">
        <v>650</v>
      </c>
      <c r="T4181" s="1008" t="s">
        <v>654</v>
      </c>
      <c r="U4181" s="1008" t="s">
        <v>649</v>
      </c>
      <c r="V4181" s="1008" t="s">
        <v>648</v>
      </c>
      <c r="W4181" s="1008" t="s">
        <v>546</v>
      </c>
      <c r="X4181" s="1008" t="s">
        <v>670</v>
      </c>
      <c r="Y4181" s="1008" t="s">
        <v>670</v>
      </c>
      <c r="Z4181" s="1008"/>
      <c r="AA4181" s="1008"/>
      <c r="AB4181" s="1008"/>
      <c r="AC4181" s="1008"/>
      <c r="AD4181" s="1008"/>
      <c r="AE4181" s="1008"/>
      <c r="AF4181" s="1008" t="s">
        <v>670</v>
      </c>
      <c r="AG4181" s="1008"/>
      <c r="AH4181" s="1008"/>
      <c r="AI4181" s="1008"/>
    </row>
    <row r="4182" spans="1:35">
      <c r="A4182" s="1008">
        <v>27538</v>
      </c>
      <c r="B4182" s="1008">
        <v>6397</v>
      </c>
      <c r="C4182" s="1008">
        <v>3</v>
      </c>
      <c r="D4182" s="1009">
        <v>99540999</v>
      </c>
      <c r="E4182" s="1009">
        <v>99540020</v>
      </c>
      <c r="F4182" s="1007" t="s">
        <v>730</v>
      </c>
      <c r="G4182" s="1007" t="s">
        <v>648</v>
      </c>
      <c r="H4182" s="1010">
        <v>99999999</v>
      </c>
      <c r="I4182" s="1009">
        <v>99540020</v>
      </c>
      <c r="J4182" s="1007" t="s">
        <v>730</v>
      </c>
      <c r="O4182" s="1007" t="s">
        <v>648</v>
      </c>
      <c r="P4182" s="1007" t="s">
        <v>648</v>
      </c>
      <c r="S4182" s="1008" t="s">
        <v>650</v>
      </c>
      <c r="T4182" s="1008" t="s">
        <v>654</v>
      </c>
      <c r="U4182" s="1008" t="s">
        <v>649</v>
      </c>
      <c r="V4182" s="1008" t="s">
        <v>648</v>
      </c>
      <c r="W4182" s="1008" t="s">
        <v>546</v>
      </c>
      <c r="X4182" s="1008" t="s">
        <v>670</v>
      </c>
      <c r="Y4182" s="1008" t="s">
        <v>670</v>
      </c>
      <c r="Z4182" s="1008"/>
      <c r="AA4182" s="1008"/>
      <c r="AB4182" s="1008"/>
      <c r="AC4182" s="1008"/>
      <c r="AD4182" s="1008"/>
      <c r="AE4182" s="1008"/>
      <c r="AF4182" s="1008" t="s">
        <v>670</v>
      </c>
      <c r="AG4182" s="1008"/>
      <c r="AH4182" s="1008"/>
      <c r="AI4182" s="1008"/>
    </row>
    <row r="4183" spans="1:35">
      <c r="A4183" s="1008">
        <v>27539</v>
      </c>
      <c r="B4183" s="1008">
        <v>6398</v>
      </c>
      <c r="C4183" s="1008">
        <v>3</v>
      </c>
      <c r="D4183" s="1009">
        <v>99540999</v>
      </c>
      <c r="E4183" s="1009">
        <v>99540030</v>
      </c>
      <c r="F4183" s="1007" t="s">
        <v>729</v>
      </c>
      <c r="G4183" s="1007" t="s">
        <v>648</v>
      </c>
      <c r="H4183" s="1010">
        <v>99999999</v>
      </c>
      <c r="I4183" s="1009">
        <v>99540030</v>
      </c>
      <c r="J4183" s="1007" t="s">
        <v>729</v>
      </c>
      <c r="O4183" s="1007" t="s">
        <v>648</v>
      </c>
      <c r="P4183" s="1007" t="s">
        <v>648</v>
      </c>
      <c r="S4183" s="1008" t="s">
        <v>650</v>
      </c>
      <c r="T4183" s="1008" t="s">
        <v>654</v>
      </c>
      <c r="U4183" s="1008" t="s">
        <v>649</v>
      </c>
      <c r="V4183" s="1008" t="s">
        <v>648</v>
      </c>
      <c r="W4183" s="1008" t="s">
        <v>546</v>
      </c>
      <c r="X4183" s="1008" t="s">
        <v>670</v>
      </c>
      <c r="Y4183" s="1008" t="s">
        <v>670</v>
      </c>
      <c r="Z4183" s="1008"/>
      <c r="AA4183" s="1008"/>
      <c r="AB4183" s="1008"/>
      <c r="AC4183" s="1008"/>
      <c r="AD4183" s="1008"/>
      <c r="AE4183" s="1008"/>
      <c r="AF4183" s="1008" t="s">
        <v>670</v>
      </c>
      <c r="AG4183" s="1008"/>
      <c r="AH4183" s="1008"/>
      <c r="AI4183" s="1008"/>
    </row>
    <row r="4184" spans="1:35">
      <c r="A4184" s="1008">
        <v>27540</v>
      </c>
      <c r="B4184" s="1008">
        <v>6399</v>
      </c>
      <c r="C4184" s="1008">
        <v>3</v>
      </c>
      <c r="D4184" s="1009">
        <v>99540999</v>
      </c>
      <c r="E4184" s="1009">
        <v>99540040</v>
      </c>
      <c r="F4184" s="1007" t="s">
        <v>728</v>
      </c>
      <c r="G4184" s="1007" t="s">
        <v>648</v>
      </c>
      <c r="H4184" s="1010">
        <v>99999999</v>
      </c>
      <c r="I4184" s="1009">
        <v>99540040</v>
      </c>
      <c r="J4184" s="1007" t="s">
        <v>728</v>
      </c>
      <c r="O4184" s="1007" t="s">
        <v>648</v>
      </c>
      <c r="P4184" s="1007" t="s">
        <v>648</v>
      </c>
      <c r="S4184" s="1008" t="s">
        <v>650</v>
      </c>
      <c r="T4184" s="1008" t="s">
        <v>654</v>
      </c>
      <c r="U4184" s="1008" t="s">
        <v>649</v>
      </c>
      <c r="V4184" s="1008" t="s">
        <v>648</v>
      </c>
      <c r="W4184" s="1008" t="s">
        <v>546</v>
      </c>
      <c r="X4184" s="1008" t="s">
        <v>670</v>
      </c>
      <c r="Y4184" s="1008" t="s">
        <v>670</v>
      </c>
      <c r="Z4184" s="1008"/>
      <c r="AA4184" s="1008"/>
      <c r="AB4184" s="1008"/>
      <c r="AC4184" s="1008"/>
      <c r="AD4184" s="1008"/>
      <c r="AE4184" s="1008"/>
      <c r="AF4184" s="1008" t="s">
        <v>670</v>
      </c>
      <c r="AG4184" s="1008"/>
      <c r="AH4184" s="1008"/>
      <c r="AI4184" s="1008"/>
    </row>
    <row r="4185" spans="1:35">
      <c r="A4185" s="1008">
        <v>27541</v>
      </c>
      <c r="B4185" s="1008">
        <v>6400</v>
      </c>
      <c r="C4185" s="1008">
        <v>3</v>
      </c>
      <c r="D4185" s="1009">
        <v>99540999</v>
      </c>
      <c r="E4185" s="1009">
        <v>99540050</v>
      </c>
      <c r="F4185" s="1007" t="s">
        <v>727</v>
      </c>
      <c r="G4185" s="1007" t="s">
        <v>648</v>
      </c>
      <c r="H4185" s="1010">
        <v>99999999</v>
      </c>
      <c r="I4185" s="1009">
        <v>99540050</v>
      </c>
      <c r="J4185" s="1007" t="s">
        <v>727</v>
      </c>
      <c r="O4185" s="1007" t="s">
        <v>648</v>
      </c>
      <c r="P4185" s="1007" t="s">
        <v>648</v>
      </c>
      <c r="S4185" s="1008" t="s">
        <v>650</v>
      </c>
      <c r="T4185" s="1008" t="s">
        <v>654</v>
      </c>
      <c r="U4185" s="1008" t="s">
        <v>649</v>
      </c>
      <c r="V4185" s="1008" t="s">
        <v>648</v>
      </c>
      <c r="W4185" s="1008" t="s">
        <v>546</v>
      </c>
      <c r="X4185" s="1008" t="s">
        <v>670</v>
      </c>
      <c r="Y4185" s="1008" t="s">
        <v>670</v>
      </c>
      <c r="Z4185" s="1008"/>
      <c r="AA4185" s="1008"/>
      <c r="AB4185" s="1008"/>
      <c r="AC4185" s="1008"/>
      <c r="AD4185" s="1008"/>
      <c r="AE4185" s="1008"/>
      <c r="AF4185" s="1008" t="s">
        <v>670</v>
      </c>
      <c r="AG4185" s="1008"/>
      <c r="AH4185" s="1008"/>
      <c r="AI4185" s="1008"/>
    </row>
    <row r="4186" spans="1:35">
      <c r="A4186" s="1008">
        <v>27542</v>
      </c>
      <c r="B4186" s="1008">
        <v>6401</v>
      </c>
      <c r="C4186" s="1008">
        <v>3</v>
      </c>
      <c r="D4186" s="1009">
        <v>99540999</v>
      </c>
      <c r="E4186" s="1009">
        <v>99540060</v>
      </c>
      <c r="F4186" s="1007" t="s">
        <v>726</v>
      </c>
      <c r="G4186" s="1007" t="s">
        <v>648</v>
      </c>
      <c r="H4186" s="1010">
        <v>99999999</v>
      </c>
      <c r="I4186" s="1009">
        <v>99540060</v>
      </c>
      <c r="J4186" s="1007" t="s">
        <v>726</v>
      </c>
      <c r="O4186" s="1007" t="s">
        <v>648</v>
      </c>
      <c r="P4186" s="1007" t="s">
        <v>648</v>
      </c>
      <c r="S4186" s="1008" t="s">
        <v>650</v>
      </c>
      <c r="T4186" s="1008" t="s">
        <v>654</v>
      </c>
      <c r="U4186" s="1008" t="s">
        <v>649</v>
      </c>
      <c r="V4186" s="1008" t="s">
        <v>648</v>
      </c>
      <c r="W4186" s="1008" t="s">
        <v>546</v>
      </c>
      <c r="X4186" s="1008" t="s">
        <v>670</v>
      </c>
      <c r="Y4186" s="1008" t="s">
        <v>670</v>
      </c>
      <c r="Z4186" s="1008"/>
      <c r="AA4186" s="1008"/>
      <c r="AB4186" s="1008"/>
      <c r="AC4186" s="1008"/>
      <c r="AD4186" s="1008"/>
      <c r="AE4186" s="1008"/>
      <c r="AF4186" s="1008" t="s">
        <v>670</v>
      </c>
      <c r="AG4186" s="1008"/>
      <c r="AH4186" s="1008"/>
      <c r="AI4186" s="1008"/>
    </row>
    <row r="4187" spans="1:35">
      <c r="A4187" s="1008">
        <v>27543</v>
      </c>
      <c r="B4187" s="1008">
        <v>6402</v>
      </c>
      <c r="C4187" s="1008">
        <v>3</v>
      </c>
      <c r="D4187" s="1009">
        <v>99540999</v>
      </c>
      <c r="E4187" s="1009">
        <v>99540900</v>
      </c>
      <c r="F4187" s="1007" t="s">
        <v>725</v>
      </c>
      <c r="G4187" s="1007" t="s">
        <v>648</v>
      </c>
      <c r="H4187" s="1010">
        <v>99999999</v>
      </c>
      <c r="I4187" s="1009">
        <v>99540900</v>
      </c>
      <c r="J4187" s="1007" t="s">
        <v>725</v>
      </c>
      <c r="O4187" s="1007" t="s">
        <v>648</v>
      </c>
      <c r="P4187" s="1007" t="s">
        <v>648</v>
      </c>
      <c r="S4187" s="1008" t="s">
        <v>650</v>
      </c>
      <c r="T4187" s="1008" t="s">
        <v>654</v>
      </c>
      <c r="U4187" s="1008" t="s">
        <v>649</v>
      </c>
      <c r="V4187" s="1008" t="s">
        <v>648</v>
      </c>
      <c r="W4187" s="1008" t="s">
        <v>546</v>
      </c>
      <c r="X4187" s="1008" t="s">
        <v>670</v>
      </c>
      <c r="Y4187" s="1008" t="s">
        <v>670</v>
      </c>
      <c r="Z4187" s="1008"/>
      <c r="AA4187" s="1008"/>
      <c r="AB4187" s="1008"/>
      <c r="AC4187" s="1008"/>
      <c r="AD4187" s="1008"/>
      <c r="AE4187" s="1008"/>
      <c r="AF4187" s="1008" t="s">
        <v>670</v>
      </c>
      <c r="AG4187" s="1008"/>
      <c r="AH4187" s="1008"/>
      <c r="AI4187" s="1008"/>
    </row>
    <row r="4188" spans="1:35">
      <c r="A4188" s="1008">
        <v>27544</v>
      </c>
      <c r="C4188" s="1008">
        <v>2</v>
      </c>
      <c r="D4188" s="1009">
        <v>99599999</v>
      </c>
      <c r="E4188" s="1009">
        <v>99540999</v>
      </c>
      <c r="F4188" s="1007" t="s">
        <v>724</v>
      </c>
      <c r="O4188" s="1007" t="s">
        <v>648</v>
      </c>
      <c r="P4188" s="1007" t="s">
        <v>648</v>
      </c>
      <c r="S4188" s="1008" t="s">
        <v>650</v>
      </c>
      <c r="T4188" s="1008" t="s">
        <v>21</v>
      </c>
      <c r="U4188" s="1008" t="s">
        <v>649</v>
      </c>
      <c r="V4188" s="1008" t="s">
        <v>648</v>
      </c>
      <c r="W4188" s="1008" t="s">
        <v>546</v>
      </c>
      <c r="X4188" s="1008"/>
      <c r="Y4188" s="1008"/>
      <c r="Z4188" s="1008"/>
      <c r="AA4188" s="1008"/>
      <c r="AB4188" s="1008"/>
      <c r="AC4188" s="1008"/>
      <c r="AD4188" s="1008"/>
      <c r="AE4188" s="1008"/>
      <c r="AF4188" s="1008"/>
      <c r="AG4188" s="1008"/>
      <c r="AH4188" s="1008"/>
      <c r="AI4188" s="1008"/>
    </row>
    <row r="4189" spans="1:35">
      <c r="A4189" s="1008">
        <v>27545</v>
      </c>
      <c r="C4189" s="1008">
        <v>2</v>
      </c>
      <c r="D4189" s="1009">
        <v>99550999</v>
      </c>
      <c r="E4189" s="1009">
        <v>99550000</v>
      </c>
      <c r="F4189" s="1007" t="s">
        <v>723</v>
      </c>
      <c r="O4189" s="1007" t="s">
        <v>648</v>
      </c>
      <c r="P4189" s="1007" t="s">
        <v>648</v>
      </c>
      <c r="S4189" s="1008" t="s">
        <v>650</v>
      </c>
      <c r="T4189" s="1008" t="s">
        <v>675</v>
      </c>
      <c r="U4189" s="1008" t="s">
        <v>649</v>
      </c>
      <c r="V4189" s="1008" t="s">
        <v>648</v>
      </c>
      <c r="W4189" s="1008" t="s">
        <v>546</v>
      </c>
      <c r="X4189" s="1008"/>
      <c r="Y4189" s="1008"/>
      <c r="Z4189" s="1008"/>
      <c r="AA4189" s="1008"/>
      <c r="AB4189" s="1008"/>
      <c r="AC4189" s="1008"/>
      <c r="AD4189" s="1008"/>
      <c r="AE4189" s="1008"/>
      <c r="AF4189" s="1008"/>
      <c r="AG4189" s="1008"/>
      <c r="AH4189" s="1008"/>
      <c r="AI4189" s="1008"/>
    </row>
    <row r="4190" spans="1:35">
      <c r="A4190" s="1008">
        <v>27546</v>
      </c>
      <c r="B4190" s="1008">
        <v>6403</v>
      </c>
      <c r="C4190" s="1008">
        <v>3</v>
      </c>
      <c r="D4190" s="1009">
        <v>99550999</v>
      </c>
      <c r="E4190" s="1009">
        <v>99550010</v>
      </c>
      <c r="F4190" s="1007" t="s">
        <v>722</v>
      </c>
      <c r="G4190" s="1007" t="s">
        <v>648</v>
      </c>
      <c r="H4190" s="1010">
        <v>99999999</v>
      </c>
      <c r="I4190" s="1009">
        <v>99550010</v>
      </c>
      <c r="J4190" s="1007" t="s">
        <v>722</v>
      </c>
      <c r="O4190" s="1007" t="s">
        <v>648</v>
      </c>
      <c r="P4190" s="1007" t="s">
        <v>648</v>
      </c>
      <c r="S4190" s="1008" t="s">
        <v>650</v>
      </c>
      <c r="T4190" s="1008" t="s">
        <v>654</v>
      </c>
      <c r="U4190" s="1008" t="s">
        <v>649</v>
      </c>
      <c r="V4190" s="1008" t="s">
        <v>648</v>
      </c>
      <c r="W4190" s="1008" t="s">
        <v>546</v>
      </c>
      <c r="X4190" s="1008" t="s">
        <v>670</v>
      </c>
      <c r="Y4190" s="1008" t="s">
        <v>670</v>
      </c>
      <c r="Z4190" s="1008"/>
      <c r="AA4190" s="1008"/>
      <c r="AB4190" s="1008"/>
      <c r="AC4190" s="1008"/>
      <c r="AD4190" s="1008"/>
      <c r="AE4190" s="1008"/>
      <c r="AF4190" s="1008" t="s">
        <v>670</v>
      </c>
      <c r="AG4190" s="1008"/>
      <c r="AH4190" s="1008"/>
      <c r="AI4190" s="1008"/>
    </row>
    <row r="4191" spans="1:35">
      <c r="A4191" s="1008">
        <v>27547</v>
      </c>
      <c r="B4191" s="1008">
        <v>6404</v>
      </c>
      <c r="C4191" s="1008">
        <v>3</v>
      </c>
      <c r="D4191" s="1009">
        <v>99550999</v>
      </c>
      <c r="E4191" s="1009">
        <v>99550020</v>
      </c>
      <c r="F4191" s="1007" t="s">
        <v>721</v>
      </c>
      <c r="G4191" s="1007" t="s">
        <v>648</v>
      </c>
      <c r="H4191" s="1010">
        <v>99999999</v>
      </c>
      <c r="I4191" s="1009">
        <v>99550020</v>
      </c>
      <c r="J4191" s="1007" t="s">
        <v>721</v>
      </c>
      <c r="O4191" s="1007" t="s">
        <v>648</v>
      </c>
      <c r="P4191" s="1007" t="s">
        <v>648</v>
      </c>
      <c r="S4191" s="1008" t="s">
        <v>650</v>
      </c>
      <c r="T4191" s="1008" t="s">
        <v>654</v>
      </c>
      <c r="U4191" s="1008" t="s">
        <v>649</v>
      </c>
      <c r="V4191" s="1008" t="s">
        <v>648</v>
      </c>
      <c r="W4191" s="1008" t="s">
        <v>546</v>
      </c>
      <c r="X4191" s="1008" t="s">
        <v>670</v>
      </c>
      <c r="Y4191" s="1008" t="s">
        <v>670</v>
      </c>
      <c r="Z4191" s="1008"/>
      <c r="AA4191" s="1008"/>
      <c r="AB4191" s="1008"/>
      <c r="AC4191" s="1008"/>
      <c r="AD4191" s="1008"/>
      <c r="AE4191" s="1008"/>
      <c r="AF4191" s="1008" t="s">
        <v>670</v>
      </c>
      <c r="AG4191" s="1008"/>
      <c r="AH4191" s="1008"/>
      <c r="AI4191" s="1008"/>
    </row>
    <row r="4192" spans="1:35">
      <c r="A4192" s="1008">
        <v>27548</v>
      </c>
      <c r="B4192" s="1008">
        <v>6405</v>
      </c>
      <c r="C4192" s="1008">
        <v>3</v>
      </c>
      <c r="D4192" s="1009">
        <v>99550999</v>
      </c>
      <c r="E4192" s="1009">
        <v>99550900</v>
      </c>
      <c r="F4192" s="1007" t="s">
        <v>720</v>
      </c>
      <c r="G4192" s="1007" t="s">
        <v>648</v>
      </c>
      <c r="H4192" s="1010">
        <v>99999999</v>
      </c>
      <c r="I4192" s="1009">
        <v>99550900</v>
      </c>
      <c r="J4192" s="1007" t="s">
        <v>720</v>
      </c>
      <c r="O4192" s="1007" t="s">
        <v>648</v>
      </c>
      <c r="P4192" s="1007" t="s">
        <v>648</v>
      </c>
      <c r="S4192" s="1008" t="s">
        <v>650</v>
      </c>
      <c r="T4192" s="1008" t="s">
        <v>654</v>
      </c>
      <c r="U4192" s="1008" t="s">
        <v>649</v>
      </c>
      <c r="V4192" s="1008" t="s">
        <v>648</v>
      </c>
      <c r="W4192" s="1008" t="s">
        <v>546</v>
      </c>
      <c r="X4192" s="1008" t="s">
        <v>670</v>
      </c>
      <c r="Y4192" s="1008" t="s">
        <v>670</v>
      </c>
      <c r="Z4192" s="1008"/>
      <c r="AA4192" s="1008"/>
      <c r="AB4192" s="1008"/>
      <c r="AC4192" s="1008"/>
      <c r="AD4192" s="1008"/>
      <c r="AE4192" s="1008"/>
      <c r="AF4192" s="1008" t="s">
        <v>670</v>
      </c>
      <c r="AG4192" s="1008"/>
      <c r="AH4192" s="1008"/>
      <c r="AI4192" s="1008"/>
    </row>
    <row r="4193" spans="1:35">
      <c r="A4193" s="1008">
        <v>27549</v>
      </c>
      <c r="C4193" s="1008">
        <v>2</v>
      </c>
      <c r="D4193" s="1009">
        <v>99599999</v>
      </c>
      <c r="E4193" s="1009">
        <v>99550999</v>
      </c>
      <c r="F4193" s="1007" t="s">
        <v>719</v>
      </c>
      <c r="O4193" s="1007" t="s">
        <v>648</v>
      </c>
      <c r="P4193" s="1007" t="s">
        <v>648</v>
      </c>
      <c r="S4193" s="1008" t="s">
        <v>650</v>
      </c>
      <c r="T4193" s="1008" t="s">
        <v>21</v>
      </c>
      <c r="U4193" s="1008" t="s">
        <v>649</v>
      </c>
      <c r="V4193" s="1008" t="s">
        <v>648</v>
      </c>
      <c r="W4193" s="1008" t="s">
        <v>546</v>
      </c>
      <c r="X4193" s="1008"/>
      <c r="Y4193" s="1008"/>
      <c r="Z4193" s="1008"/>
      <c r="AA4193" s="1008"/>
      <c r="AB4193" s="1008"/>
      <c r="AC4193" s="1008"/>
      <c r="AD4193" s="1008"/>
      <c r="AE4193" s="1008"/>
      <c r="AF4193" s="1008"/>
      <c r="AG4193" s="1008"/>
      <c r="AH4193" s="1008"/>
      <c r="AI4193" s="1008"/>
    </row>
    <row r="4194" spans="1:35">
      <c r="A4194" s="1008">
        <v>27554</v>
      </c>
      <c r="C4194" s="1008">
        <v>1</v>
      </c>
      <c r="D4194" s="1009">
        <v>99999999</v>
      </c>
      <c r="E4194" s="1009">
        <v>99599999</v>
      </c>
      <c r="F4194" s="1007" t="s">
        <v>718</v>
      </c>
      <c r="O4194" s="1007" t="s">
        <v>648</v>
      </c>
      <c r="P4194" s="1007" t="s">
        <v>648</v>
      </c>
      <c r="S4194" s="1008" t="s">
        <v>650</v>
      </c>
      <c r="T4194" s="1008" t="s">
        <v>21</v>
      </c>
      <c r="U4194" s="1008" t="s">
        <v>649</v>
      </c>
      <c r="V4194" s="1008" t="s">
        <v>648</v>
      </c>
      <c r="W4194" s="1008" t="s">
        <v>546</v>
      </c>
      <c r="X4194" s="1008"/>
      <c r="Y4194" s="1008"/>
      <c r="Z4194" s="1008"/>
      <c r="AA4194" s="1008"/>
      <c r="AB4194" s="1008"/>
      <c r="AC4194" s="1008"/>
      <c r="AD4194" s="1008"/>
      <c r="AE4194" s="1008"/>
      <c r="AF4194" s="1008"/>
      <c r="AG4194" s="1008"/>
      <c r="AH4194" s="1008"/>
      <c r="AI4194" s="1008"/>
    </row>
    <row r="4195" spans="1:35">
      <c r="A4195" s="1008">
        <v>27570</v>
      </c>
      <c r="C4195" s="1008">
        <v>1</v>
      </c>
      <c r="D4195" s="1009">
        <v>99799999</v>
      </c>
      <c r="E4195" s="1009">
        <v>99700000</v>
      </c>
      <c r="F4195" s="1007" t="s">
        <v>717</v>
      </c>
      <c r="O4195" s="1007" t="s">
        <v>648</v>
      </c>
      <c r="P4195" s="1007" t="s">
        <v>648</v>
      </c>
      <c r="S4195" s="1008" t="s">
        <v>650</v>
      </c>
      <c r="T4195" s="1008" t="s">
        <v>675</v>
      </c>
      <c r="U4195" s="1008" t="s">
        <v>649</v>
      </c>
      <c r="V4195" s="1008" t="s">
        <v>648</v>
      </c>
      <c r="W4195" s="1008" t="s">
        <v>546</v>
      </c>
      <c r="X4195" s="1008"/>
      <c r="Y4195" s="1008"/>
      <c r="Z4195" s="1008"/>
      <c r="AA4195" s="1008"/>
      <c r="AB4195" s="1008"/>
      <c r="AC4195" s="1008"/>
      <c r="AD4195" s="1008"/>
      <c r="AE4195" s="1008"/>
      <c r="AF4195" s="1008"/>
      <c r="AG4195" s="1008"/>
      <c r="AH4195" s="1008"/>
      <c r="AI4195" s="1008"/>
    </row>
    <row r="4196" spans="1:35">
      <c r="A4196" s="1008">
        <v>27571</v>
      </c>
      <c r="C4196" s="1008">
        <v>2</v>
      </c>
      <c r="D4196" s="1009">
        <v>99710999</v>
      </c>
      <c r="E4196" s="1009">
        <v>99710000</v>
      </c>
      <c r="F4196" s="1007" t="s">
        <v>716</v>
      </c>
      <c r="O4196" s="1007" t="s">
        <v>648</v>
      </c>
      <c r="P4196" s="1007" t="s">
        <v>648</v>
      </c>
      <c r="S4196" s="1008" t="s">
        <v>650</v>
      </c>
      <c r="T4196" s="1008" t="s">
        <v>675</v>
      </c>
      <c r="U4196" s="1008" t="s">
        <v>649</v>
      </c>
      <c r="V4196" s="1008" t="s">
        <v>648</v>
      </c>
      <c r="W4196" s="1008" t="s">
        <v>546</v>
      </c>
      <c r="X4196" s="1008"/>
      <c r="Y4196" s="1008"/>
      <c r="Z4196" s="1008"/>
      <c r="AA4196" s="1008"/>
      <c r="AB4196" s="1008"/>
      <c r="AC4196" s="1008"/>
      <c r="AD4196" s="1008"/>
      <c r="AE4196" s="1008"/>
      <c r="AF4196" s="1008"/>
      <c r="AG4196" s="1008"/>
      <c r="AH4196" s="1008"/>
      <c r="AI4196" s="1008"/>
    </row>
    <row r="4197" spans="1:35">
      <c r="A4197" s="1008">
        <v>27572</v>
      </c>
      <c r="B4197" s="1008">
        <v>6421</v>
      </c>
      <c r="C4197" s="1008">
        <v>3</v>
      </c>
      <c r="D4197" s="1009">
        <v>99710999</v>
      </c>
      <c r="E4197" s="1009">
        <v>99710010</v>
      </c>
      <c r="F4197" s="1007" t="s">
        <v>715</v>
      </c>
      <c r="G4197" s="1007" t="s">
        <v>648</v>
      </c>
      <c r="H4197" s="1010">
        <v>99999999</v>
      </c>
      <c r="I4197" s="1009">
        <v>99710010</v>
      </c>
      <c r="J4197" s="1007" t="s">
        <v>714</v>
      </c>
      <c r="O4197" s="1007" t="s">
        <v>648</v>
      </c>
      <c r="P4197" s="1007" t="s">
        <v>648</v>
      </c>
      <c r="S4197" s="1008" t="s">
        <v>650</v>
      </c>
      <c r="T4197" s="1008" t="s">
        <v>654</v>
      </c>
      <c r="U4197" s="1008" t="s">
        <v>649</v>
      </c>
      <c r="V4197" s="1008" t="s">
        <v>648</v>
      </c>
      <c r="W4197" s="1008" t="s">
        <v>546</v>
      </c>
      <c r="X4197" s="1008" t="s">
        <v>670</v>
      </c>
      <c r="Y4197" s="1008"/>
      <c r="Z4197" s="1008"/>
      <c r="AA4197" s="1008"/>
      <c r="AB4197" s="1008" t="s">
        <v>670</v>
      </c>
      <c r="AC4197" s="1008" t="s">
        <v>670</v>
      </c>
      <c r="AD4197" s="1008"/>
      <c r="AE4197" s="1008"/>
      <c r="AF4197" s="1008"/>
      <c r="AG4197" s="1008"/>
      <c r="AH4197" s="1008"/>
      <c r="AI4197" s="1008"/>
    </row>
    <row r="4198" spans="1:35">
      <c r="A4198" s="1008">
        <v>27573</v>
      </c>
      <c r="B4198" s="1008">
        <v>6422</v>
      </c>
      <c r="C4198" s="1008">
        <v>3</v>
      </c>
      <c r="D4198" s="1009">
        <v>99710999</v>
      </c>
      <c r="E4198" s="1009">
        <v>99710020</v>
      </c>
      <c r="F4198" s="1007" t="s">
        <v>713</v>
      </c>
      <c r="G4198" s="1007" t="s">
        <v>648</v>
      </c>
      <c r="H4198" s="1010">
        <v>99999999</v>
      </c>
      <c r="I4198" s="1009">
        <v>99710020</v>
      </c>
      <c r="J4198" s="1007" t="s">
        <v>712</v>
      </c>
      <c r="O4198" s="1007" t="s">
        <v>648</v>
      </c>
      <c r="P4198" s="1007" t="s">
        <v>648</v>
      </c>
      <c r="S4198" s="1008" t="s">
        <v>650</v>
      </c>
      <c r="T4198" s="1008" t="s">
        <v>654</v>
      </c>
      <c r="U4198" s="1008" t="s">
        <v>649</v>
      </c>
      <c r="V4198" s="1008" t="s">
        <v>648</v>
      </c>
      <c r="W4198" s="1008" t="s">
        <v>546</v>
      </c>
      <c r="X4198" s="1008" t="s">
        <v>670</v>
      </c>
      <c r="Y4198" s="1008"/>
      <c r="Z4198" s="1008"/>
      <c r="AA4198" s="1008"/>
      <c r="AB4198" s="1008" t="s">
        <v>670</v>
      </c>
      <c r="AC4198" s="1008" t="s">
        <v>670</v>
      </c>
      <c r="AD4198" s="1008"/>
      <c r="AE4198" s="1008"/>
      <c r="AF4198" s="1008"/>
      <c r="AG4198" s="1008"/>
      <c r="AH4198" s="1008"/>
      <c r="AI4198" s="1008"/>
    </row>
    <row r="4199" spans="1:35">
      <c r="A4199" s="1008">
        <v>27574</v>
      </c>
      <c r="B4199" s="1008">
        <v>6423</v>
      </c>
      <c r="C4199" s="1008">
        <v>3</v>
      </c>
      <c r="D4199" s="1009">
        <v>99710999</v>
      </c>
      <c r="E4199" s="1009">
        <v>99710030</v>
      </c>
      <c r="F4199" s="1007" t="s">
        <v>711</v>
      </c>
      <c r="G4199" s="1007" t="s">
        <v>648</v>
      </c>
      <c r="H4199" s="1010">
        <v>99999999</v>
      </c>
      <c r="I4199" s="1009">
        <v>99710030</v>
      </c>
      <c r="J4199" s="1007" t="s">
        <v>711</v>
      </c>
      <c r="O4199" s="1007" t="s">
        <v>648</v>
      </c>
      <c r="P4199" s="1007" t="s">
        <v>648</v>
      </c>
      <c r="S4199" s="1008" t="s">
        <v>650</v>
      </c>
      <c r="T4199" s="1008" t="s">
        <v>654</v>
      </c>
      <c r="U4199" s="1008" t="s">
        <v>649</v>
      </c>
      <c r="V4199" s="1008" t="s">
        <v>648</v>
      </c>
      <c r="W4199" s="1008" t="s">
        <v>546</v>
      </c>
      <c r="X4199" s="1008" t="s">
        <v>670</v>
      </c>
      <c r="Y4199" s="1008"/>
      <c r="Z4199" s="1008"/>
      <c r="AA4199" s="1008"/>
      <c r="AB4199" s="1008" t="s">
        <v>670</v>
      </c>
      <c r="AC4199" s="1008" t="s">
        <v>670</v>
      </c>
      <c r="AD4199" s="1008"/>
      <c r="AE4199" s="1008"/>
      <c r="AF4199" s="1008"/>
      <c r="AG4199" s="1008"/>
      <c r="AH4199" s="1008"/>
      <c r="AI4199" s="1008"/>
    </row>
    <row r="4200" spans="1:35">
      <c r="A4200" s="1008">
        <v>27575</v>
      </c>
      <c r="B4200" s="1008">
        <v>6424</v>
      </c>
      <c r="C4200" s="1008">
        <v>3</v>
      </c>
      <c r="D4200" s="1009">
        <v>99710999</v>
      </c>
      <c r="E4200" s="1009">
        <v>99710040</v>
      </c>
      <c r="F4200" s="1007" t="s">
        <v>710</v>
      </c>
      <c r="G4200" s="1007" t="s">
        <v>648</v>
      </c>
      <c r="H4200" s="1010">
        <v>99999999</v>
      </c>
      <c r="I4200" s="1009">
        <v>99710040</v>
      </c>
      <c r="J4200" s="1007" t="s">
        <v>710</v>
      </c>
      <c r="O4200" s="1007" t="s">
        <v>648</v>
      </c>
      <c r="P4200" s="1007" t="s">
        <v>648</v>
      </c>
      <c r="S4200" s="1008" t="s">
        <v>650</v>
      </c>
      <c r="T4200" s="1008" t="s">
        <v>654</v>
      </c>
      <c r="U4200" s="1008" t="s">
        <v>649</v>
      </c>
      <c r="V4200" s="1008" t="s">
        <v>648</v>
      </c>
      <c r="W4200" s="1008" t="s">
        <v>546</v>
      </c>
      <c r="X4200" s="1008" t="s">
        <v>670</v>
      </c>
      <c r="Y4200" s="1008"/>
      <c r="Z4200" s="1008"/>
      <c r="AA4200" s="1008"/>
      <c r="AB4200" s="1008" t="s">
        <v>670</v>
      </c>
      <c r="AC4200" s="1008" t="s">
        <v>670</v>
      </c>
      <c r="AD4200" s="1008"/>
      <c r="AE4200" s="1008"/>
      <c r="AF4200" s="1008"/>
      <c r="AG4200" s="1008"/>
      <c r="AH4200" s="1008"/>
      <c r="AI4200" s="1008"/>
    </row>
    <row r="4201" spans="1:35">
      <c r="A4201" s="1008">
        <v>27576</v>
      </c>
      <c r="B4201" s="1008">
        <v>6425</v>
      </c>
      <c r="C4201" s="1008">
        <v>3</v>
      </c>
      <c r="D4201" s="1009">
        <v>99710999</v>
      </c>
      <c r="E4201" s="1009">
        <v>99710050</v>
      </c>
      <c r="F4201" s="1007" t="s">
        <v>709</v>
      </c>
      <c r="G4201" s="1007" t="s">
        <v>648</v>
      </c>
      <c r="H4201" s="1010">
        <v>99999999</v>
      </c>
      <c r="I4201" s="1009">
        <v>99710050</v>
      </c>
      <c r="J4201" s="1007" t="s">
        <v>708</v>
      </c>
      <c r="O4201" s="1007" t="s">
        <v>648</v>
      </c>
      <c r="P4201" s="1007" t="s">
        <v>648</v>
      </c>
      <c r="S4201" s="1008" t="s">
        <v>650</v>
      </c>
      <c r="T4201" s="1008" t="s">
        <v>654</v>
      </c>
      <c r="U4201" s="1008" t="s">
        <v>649</v>
      </c>
      <c r="V4201" s="1008" t="s">
        <v>648</v>
      </c>
      <c r="W4201" s="1008" t="s">
        <v>546</v>
      </c>
      <c r="X4201" s="1008" t="s">
        <v>670</v>
      </c>
      <c r="Y4201" s="1008"/>
      <c r="Z4201" s="1008"/>
      <c r="AA4201" s="1008"/>
      <c r="AB4201" s="1008" t="s">
        <v>670</v>
      </c>
      <c r="AC4201" s="1008" t="s">
        <v>670</v>
      </c>
      <c r="AD4201" s="1008"/>
      <c r="AE4201" s="1008"/>
      <c r="AF4201" s="1008"/>
      <c r="AG4201" s="1008"/>
      <c r="AH4201" s="1008"/>
      <c r="AI4201" s="1008"/>
    </row>
    <row r="4202" spans="1:35">
      <c r="A4202" s="1008">
        <v>27577</v>
      </c>
      <c r="B4202" s="1008">
        <v>6426</v>
      </c>
      <c r="C4202" s="1008">
        <v>3</v>
      </c>
      <c r="D4202" s="1009">
        <v>99710999</v>
      </c>
      <c r="E4202" s="1009">
        <v>99710060</v>
      </c>
      <c r="F4202" s="1007" t="s">
        <v>707</v>
      </c>
      <c r="G4202" s="1007" t="s">
        <v>648</v>
      </c>
      <c r="H4202" s="1010">
        <v>99999999</v>
      </c>
      <c r="I4202" s="1009">
        <v>99710060</v>
      </c>
      <c r="J4202" s="1007" t="s">
        <v>706</v>
      </c>
      <c r="O4202" s="1007" t="s">
        <v>648</v>
      </c>
      <c r="P4202" s="1007" t="s">
        <v>648</v>
      </c>
      <c r="S4202" s="1008" t="s">
        <v>650</v>
      </c>
      <c r="T4202" s="1008" t="s">
        <v>654</v>
      </c>
      <c r="U4202" s="1008" t="s">
        <v>649</v>
      </c>
      <c r="V4202" s="1008" t="s">
        <v>648</v>
      </c>
      <c r="W4202" s="1008" t="s">
        <v>546</v>
      </c>
      <c r="X4202" s="1008" t="s">
        <v>670</v>
      </c>
      <c r="Y4202" s="1008"/>
      <c r="Z4202" s="1008"/>
      <c r="AA4202" s="1008"/>
      <c r="AB4202" s="1008" t="s">
        <v>670</v>
      </c>
      <c r="AC4202" s="1008" t="s">
        <v>670</v>
      </c>
      <c r="AD4202" s="1008"/>
      <c r="AE4202" s="1008"/>
      <c r="AF4202" s="1008"/>
      <c r="AG4202" s="1008"/>
      <c r="AH4202" s="1008"/>
      <c r="AI4202" s="1008"/>
    </row>
    <row r="4203" spans="1:35">
      <c r="A4203" s="1008">
        <v>27578</v>
      </c>
      <c r="B4203" s="1008">
        <v>6427</v>
      </c>
      <c r="C4203" s="1008">
        <v>3</v>
      </c>
      <c r="D4203" s="1009">
        <v>99710999</v>
      </c>
      <c r="E4203" s="1009">
        <v>99710070</v>
      </c>
      <c r="F4203" s="1007" t="s">
        <v>705</v>
      </c>
      <c r="G4203" s="1007" t="s">
        <v>648</v>
      </c>
      <c r="H4203" s="1010">
        <v>99999999</v>
      </c>
      <c r="I4203" s="1009">
        <v>99710070</v>
      </c>
      <c r="J4203" s="1007" t="s">
        <v>705</v>
      </c>
      <c r="O4203" s="1007" t="s">
        <v>648</v>
      </c>
      <c r="P4203" s="1007" t="s">
        <v>648</v>
      </c>
      <c r="S4203" s="1008" t="s">
        <v>650</v>
      </c>
      <c r="T4203" s="1008" t="s">
        <v>654</v>
      </c>
      <c r="U4203" s="1008" t="s">
        <v>649</v>
      </c>
      <c r="V4203" s="1008" t="s">
        <v>648</v>
      </c>
      <c r="W4203" s="1008" t="s">
        <v>546</v>
      </c>
      <c r="X4203" s="1008" t="s">
        <v>670</v>
      </c>
      <c r="Y4203" s="1008"/>
      <c r="Z4203" s="1008"/>
      <c r="AA4203" s="1008"/>
      <c r="AB4203" s="1008" t="s">
        <v>670</v>
      </c>
      <c r="AC4203" s="1008" t="s">
        <v>670</v>
      </c>
      <c r="AD4203" s="1008"/>
      <c r="AE4203" s="1008"/>
      <c r="AF4203" s="1008"/>
      <c r="AG4203" s="1008"/>
      <c r="AH4203" s="1008"/>
      <c r="AI4203" s="1008"/>
    </row>
    <row r="4204" spans="1:35">
      <c r="A4204" s="1008">
        <v>27579</v>
      </c>
      <c r="B4204" s="1008">
        <v>6428</v>
      </c>
      <c r="C4204" s="1008">
        <v>3</v>
      </c>
      <c r="D4204" s="1009">
        <v>99710999</v>
      </c>
      <c r="E4204" s="1009">
        <v>99710080</v>
      </c>
      <c r="F4204" s="1007" t="s">
        <v>704</v>
      </c>
      <c r="G4204" s="1007" t="s">
        <v>648</v>
      </c>
      <c r="H4204" s="1010">
        <v>99999999</v>
      </c>
      <c r="I4204" s="1009">
        <v>99710080</v>
      </c>
      <c r="J4204" s="1007" t="s">
        <v>703</v>
      </c>
      <c r="O4204" s="1007" t="s">
        <v>648</v>
      </c>
      <c r="P4204" s="1007" t="s">
        <v>648</v>
      </c>
      <c r="S4204" s="1008" t="s">
        <v>650</v>
      </c>
      <c r="T4204" s="1008" t="s">
        <v>654</v>
      </c>
      <c r="U4204" s="1008" t="s">
        <v>649</v>
      </c>
      <c r="V4204" s="1008" t="s">
        <v>648</v>
      </c>
      <c r="W4204" s="1008" t="s">
        <v>546</v>
      </c>
      <c r="X4204" s="1008" t="s">
        <v>670</v>
      </c>
      <c r="Y4204" s="1008"/>
      <c r="Z4204" s="1008"/>
      <c r="AA4204" s="1008"/>
      <c r="AB4204" s="1008" t="s">
        <v>670</v>
      </c>
      <c r="AC4204" s="1008" t="s">
        <v>670</v>
      </c>
      <c r="AD4204" s="1008"/>
      <c r="AE4204" s="1008"/>
      <c r="AF4204" s="1008"/>
      <c r="AG4204" s="1008"/>
      <c r="AH4204" s="1008"/>
      <c r="AI4204" s="1008"/>
    </row>
    <row r="4205" spans="1:35">
      <c r="A4205" s="1008">
        <v>27580</v>
      </c>
      <c r="B4205" s="1008">
        <v>6429</v>
      </c>
      <c r="C4205" s="1008">
        <v>3</v>
      </c>
      <c r="D4205" s="1009">
        <v>99710999</v>
      </c>
      <c r="E4205" s="1009">
        <v>99710090</v>
      </c>
      <c r="F4205" s="1007" t="s">
        <v>702</v>
      </c>
      <c r="G4205" s="1007" t="s">
        <v>648</v>
      </c>
      <c r="H4205" s="1010">
        <v>99999999</v>
      </c>
      <c r="I4205" s="1009">
        <v>99710090</v>
      </c>
      <c r="J4205" s="1007" t="s">
        <v>701</v>
      </c>
      <c r="O4205" s="1007" t="s">
        <v>648</v>
      </c>
      <c r="P4205" s="1007" t="s">
        <v>648</v>
      </c>
      <c r="S4205" s="1008" t="s">
        <v>650</v>
      </c>
      <c r="T4205" s="1008" t="s">
        <v>654</v>
      </c>
      <c r="U4205" s="1008" t="s">
        <v>649</v>
      </c>
      <c r="V4205" s="1008" t="s">
        <v>648</v>
      </c>
      <c r="W4205" s="1008" t="s">
        <v>546</v>
      </c>
      <c r="X4205" s="1008" t="s">
        <v>670</v>
      </c>
      <c r="Y4205" s="1008"/>
      <c r="Z4205" s="1008"/>
      <c r="AA4205" s="1008"/>
      <c r="AB4205" s="1008" t="s">
        <v>670</v>
      </c>
      <c r="AC4205" s="1008" t="s">
        <v>670</v>
      </c>
      <c r="AD4205" s="1008"/>
      <c r="AE4205" s="1008"/>
      <c r="AF4205" s="1008"/>
      <c r="AG4205" s="1008"/>
      <c r="AH4205" s="1008"/>
      <c r="AI4205" s="1008"/>
    </row>
    <row r="4206" spans="1:35">
      <c r="A4206" s="1008">
        <v>27581</v>
      </c>
      <c r="B4206" s="1008">
        <v>6430</v>
      </c>
      <c r="C4206" s="1008">
        <v>3</v>
      </c>
      <c r="D4206" s="1009">
        <v>99710999</v>
      </c>
      <c r="E4206" s="1009">
        <v>99710900</v>
      </c>
      <c r="F4206" s="1007" t="s">
        <v>700</v>
      </c>
      <c r="G4206" s="1007" t="s">
        <v>648</v>
      </c>
      <c r="H4206" s="1010">
        <v>99999999</v>
      </c>
      <c r="I4206" s="1009">
        <v>99710900</v>
      </c>
      <c r="J4206" s="1007" t="s">
        <v>700</v>
      </c>
      <c r="O4206" s="1007" t="s">
        <v>648</v>
      </c>
      <c r="P4206" s="1007" t="s">
        <v>648</v>
      </c>
      <c r="S4206" s="1008" t="s">
        <v>650</v>
      </c>
      <c r="T4206" s="1008" t="s">
        <v>654</v>
      </c>
      <c r="U4206" s="1008" t="s">
        <v>649</v>
      </c>
      <c r="V4206" s="1008" t="s">
        <v>648</v>
      </c>
      <c r="W4206" s="1008" t="s">
        <v>546</v>
      </c>
      <c r="X4206" s="1008" t="s">
        <v>670</v>
      </c>
      <c r="Y4206" s="1008"/>
      <c r="Z4206" s="1008"/>
      <c r="AA4206" s="1008"/>
      <c r="AB4206" s="1008" t="s">
        <v>670</v>
      </c>
      <c r="AC4206" s="1008" t="s">
        <v>670</v>
      </c>
      <c r="AD4206" s="1008"/>
      <c r="AE4206" s="1008"/>
      <c r="AF4206" s="1008"/>
      <c r="AG4206" s="1008"/>
      <c r="AH4206" s="1008"/>
      <c r="AI4206" s="1008"/>
    </row>
    <row r="4207" spans="1:35">
      <c r="A4207" s="1008">
        <v>27582</v>
      </c>
      <c r="C4207" s="1008">
        <v>2</v>
      </c>
      <c r="D4207" s="1009">
        <v>99999999</v>
      </c>
      <c r="E4207" s="1009">
        <v>99710999</v>
      </c>
      <c r="F4207" s="1007" t="s">
        <v>699</v>
      </c>
      <c r="O4207" s="1007" t="s">
        <v>648</v>
      </c>
      <c r="P4207" s="1007" t="s">
        <v>648</v>
      </c>
      <c r="S4207" s="1008" t="s">
        <v>650</v>
      </c>
      <c r="T4207" s="1008" t="s">
        <v>21</v>
      </c>
      <c r="U4207" s="1008" t="s">
        <v>649</v>
      </c>
      <c r="V4207" s="1008" t="s">
        <v>648</v>
      </c>
      <c r="W4207" s="1008" t="s">
        <v>546</v>
      </c>
      <c r="X4207" s="1008"/>
      <c r="Y4207" s="1008"/>
      <c r="Z4207" s="1008"/>
      <c r="AA4207" s="1008"/>
      <c r="AB4207" s="1008"/>
      <c r="AC4207" s="1008"/>
      <c r="AD4207" s="1008"/>
      <c r="AE4207" s="1008"/>
      <c r="AF4207" s="1008"/>
      <c r="AG4207" s="1008"/>
      <c r="AH4207" s="1008"/>
      <c r="AI4207" s="1008"/>
    </row>
    <row r="4208" spans="1:35">
      <c r="A4208" s="1008">
        <v>27618</v>
      </c>
      <c r="C4208" s="1008">
        <v>2</v>
      </c>
      <c r="D4208" s="1009">
        <v>99730999</v>
      </c>
      <c r="E4208" s="1009">
        <v>99730000</v>
      </c>
      <c r="F4208" s="1007" t="s">
        <v>698</v>
      </c>
      <c r="O4208" s="1007" t="s">
        <v>648</v>
      </c>
      <c r="P4208" s="1007" t="s">
        <v>648</v>
      </c>
      <c r="S4208" s="1008" t="s">
        <v>650</v>
      </c>
      <c r="T4208" s="1008" t="s">
        <v>675</v>
      </c>
      <c r="U4208" s="1008" t="s">
        <v>649</v>
      </c>
      <c r="V4208" s="1008" t="s">
        <v>648</v>
      </c>
      <c r="W4208" s="1008" t="s">
        <v>546</v>
      </c>
      <c r="X4208" s="1008"/>
      <c r="Y4208" s="1008"/>
      <c r="Z4208" s="1008"/>
      <c r="AA4208" s="1008"/>
      <c r="AB4208" s="1008"/>
      <c r="AC4208" s="1008"/>
      <c r="AD4208" s="1008"/>
      <c r="AE4208" s="1008"/>
      <c r="AF4208" s="1008"/>
      <c r="AG4208" s="1008"/>
      <c r="AH4208" s="1008"/>
      <c r="AI4208" s="1008"/>
    </row>
    <row r="4209" spans="1:35">
      <c r="A4209" s="1008">
        <v>27620</v>
      </c>
      <c r="B4209" s="1008">
        <v>6456</v>
      </c>
      <c r="C4209" s="1008">
        <v>3</v>
      </c>
      <c r="D4209" s="1009">
        <v>99730999</v>
      </c>
      <c r="E4209" s="1009">
        <v>99730010</v>
      </c>
      <c r="F4209" s="1007" t="s">
        <v>697</v>
      </c>
      <c r="G4209" s="1007" t="s">
        <v>648</v>
      </c>
      <c r="H4209" s="1010">
        <v>99999999</v>
      </c>
      <c r="I4209" s="1009">
        <v>99730010</v>
      </c>
      <c r="J4209" s="1007" t="s">
        <v>696</v>
      </c>
      <c r="O4209" s="1007" t="s">
        <v>648</v>
      </c>
      <c r="P4209" s="1007" t="s">
        <v>648</v>
      </c>
      <c r="S4209" s="1008" t="s">
        <v>650</v>
      </c>
      <c r="T4209" s="1008" t="s">
        <v>654</v>
      </c>
      <c r="U4209" s="1008" t="s">
        <v>649</v>
      </c>
      <c r="V4209" s="1008" t="s">
        <v>648</v>
      </c>
      <c r="W4209" s="1008" t="s">
        <v>546</v>
      </c>
      <c r="X4209" s="1008" t="s">
        <v>670</v>
      </c>
      <c r="Y4209" s="1008"/>
      <c r="Z4209" s="1008"/>
      <c r="AA4209" s="1008"/>
      <c r="AB4209" s="1008" t="s">
        <v>670</v>
      </c>
      <c r="AC4209" s="1008" t="s">
        <v>670</v>
      </c>
      <c r="AD4209" s="1008"/>
      <c r="AE4209" s="1008"/>
      <c r="AF4209" s="1008"/>
      <c r="AG4209" s="1008"/>
      <c r="AH4209" s="1008"/>
      <c r="AI4209" s="1008"/>
    </row>
    <row r="4210" spans="1:35">
      <c r="A4210" s="1008">
        <v>27621</v>
      </c>
      <c r="B4210" s="1008">
        <v>6457</v>
      </c>
      <c r="C4210" s="1008">
        <v>3</v>
      </c>
      <c r="D4210" s="1009">
        <v>99730999</v>
      </c>
      <c r="E4210" s="1009">
        <v>99730020</v>
      </c>
      <c r="F4210" s="1007" t="s">
        <v>695</v>
      </c>
      <c r="G4210" s="1007" t="s">
        <v>648</v>
      </c>
      <c r="H4210" s="1010">
        <v>99999999</v>
      </c>
      <c r="I4210" s="1009">
        <v>99730020</v>
      </c>
      <c r="J4210" s="1007" t="s">
        <v>694</v>
      </c>
      <c r="O4210" s="1007" t="s">
        <v>648</v>
      </c>
      <c r="P4210" s="1007" t="s">
        <v>648</v>
      </c>
      <c r="S4210" s="1008" t="s">
        <v>650</v>
      </c>
      <c r="T4210" s="1008" t="s">
        <v>654</v>
      </c>
      <c r="U4210" s="1008" t="s">
        <v>649</v>
      </c>
      <c r="V4210" s="1008" t="s">
        <v>648</v>
      </c>
      <c r="W4210" s="1008" t="s">
        <v>546</v>
      </c>
      <c r="X4210" s="1008" t="s">
        <v>670</v>
      </c>
      <c r="Y4210" s="1008"/>
      <c r="Z4210" s="1008"/>
      <c r="AA4210" s="1008"/>
      <c r="AB4210" s="1008" t="s">
        <v>670</v>
      </c>
      <c r="AC4210" s="1008" t="s">
        <v>670</v>
      </c>
      <c r="AD4210" s="1008"/>
      <c r="AE4210" s="1008"/>
      <c r="AF4210" s="1008"/>
      <c r="AG4210" s="1008"/>
      <c r="AH4210" s="1008"/>
      <c r="AI4210" s="1008"/>
    </row>
    <row r="4211" spans="1:35">
      <c r="A4211" s="1008">
        <v>27622</v>
      </c>
      <c r="B4211" s="1008">
        <v>6458</v>
      </c>
      <c r="C4211" s="1008">
        <v>3</v>
      </c>
      <c r="D4211" s="1009">
        <v>99730999</v>
      </c>
      <c r="E4211" s="1009">
        <v>99730030</v>
      </c>
      <c r="F4211" s="1007" t="s">
        <v>693</v>
      </c>
      <c r="G4211" s="1007" t="s">
        <v>648</v>
      </c>
      <c r="H4211" s="1010">
        <v>99999999</v>
      </c>
      <c r="I4211" s="1009">
        <v>99730030</v>
      </c>
      <c r="J4211" s="1007" t="s">
        <v>692</v>
      </c>
      <c r="O4211" s="1007" t="s">
        <v>648</v>
      </c>
      <c r="P4211" s="1007" t="s">
        <v>648</v>
      </c>
      <c r="S4211" s="1008" t="s">
        <v>650</v>
      </c>
      <c r="T4211" s="1008" t="s">
        <v>654</v>
      </c>
      <c r="U4211" s="1008" t="s">
        <v>649</v>
      </c>
      <c r="V4211" s="1008" t="s">
        <v>648</v>
      </c>
      <c r="W4211" s="1008" t="s">
        <v>546</v>
      </c>
      <c r="X4211" s="1008" t="s">
        <v>670</v>
      </c>
      <c r="Y4211" s="1008"/>
      <c r="Z4211" s="1008"/>
      <c r="AA4211" s="1008"/>
      <c r="AB4211" s="1008" t="s">
        <v>670</v>
      </c>
      <c r="AC4211" s="1008" t="s">
        <v>670</v>
      </c>
      <c r="AD4211" s="1008"/>
      <c r="AE4211" s="1008"/>
      <c r="AF4211" s="1008"/>
      <c r="AG4211" s="1008"/>
      <c r="AH4211" s="1008"/>
      <c r="AI4211" s="1008"/>
    </row>
    <row r="4212" spans="1:35">
      <c r="A4212" s="1008">
        <v>27623</v>
      </c>
      <c r="B4212" s="1008">
        <v>6459</v>
      </c>
      <c r="C4212" s="1008">
        <v>3</v>
      </c>
      <c r="D4212" s="1009">
        <v>99730999</v>
      </c>
      <c r="E4212" s="1009">
        <v>99730040</v>
      </c>
      <c r="F4212" s="1007" t="s">
        <v>691</v>
      </c>
      <c r="G4212" s="1007" t="s">
        <v>648</v>
      </c>
      <c r="H4212" s="1010">
        <v>99999999</v>
      </c>
      <c r="I4212" s="1009">
        <v>99730040</v>
      </c>
      <c r="J4212" s="1007" t="s">
        <v>690</v>
      </c>
      <c r="O4212" s="1007" t="s">
        <v>648</v>
      </c>
      <c r="P4212" s="1007" t="s">
        <v>648</v>
      </c>
      <c r="S4212" s="1008" t="s">
        <v>650</v>
      </c>
      <c r="T4212" s="1008" t="s">
        <v>654</v>
      </c>
      <c r="U4212" s="1008" t="s">
        <v>649</v>
      </c>
      <c r="V4212" s="1008" t="s">
        <v>648</v>
      </c>
      <c r="W4212" s="1008" t="s">
        <v>546</v>
      </c>
      <c r="X4212" s="1008" t="s">
        <v>670</v>
      </c>
      <c r="Y4212" s="1008"/>
      <c r="Z4212" s="1008"/>
      <c r="AA4212" s="1008"/>
      <c r="AB4212" s="1008" t="s">
        <v>670</v>
      </c>
      <c r="AC4212" s="1008" t="s">
        <v>670</v>
      </c>
      <c r="AD4212" s="1008"/>
      <c r="AE4212" s="1008"/>
      <c r="AF4212" s="1008"/>
      <c r="AG4212" s="1008"/>
      <c r="AH4212" s="1008"/>
      <c r="AI4212" s="1008"/>
    </row>
    <row r="4213" spans="1:35">
      <c r="A4213" s="1008">
        <v>27624</v>
      </c>
      <c r="B4213" s="1008">
        <v>6460</v>
      </c>
      <c r="C4213" s="1008">
        <v>3</v>
      </c>
      <c r="D4213" s="1009">
        <v>99730999</v>
      </c>
      <c r="E4213" s="1009">
        <v>99730050</v>
      </c>
      <c r="F4213" s="1007" t="s">
        <v>689</v>
      </c>
      <c r="G4213" s="1007" t="s">
        <v>648</v>
      </c>
      <c r="H4213" s="1010">
        <v>99999999</v>
      </c>
      <c r="I4213" s="1009">
        <v>99730050</v>
      </c>
      <c r="J4213" s="1007" t="s">
        <v>688</v>
      </c>
      <c r="O4213" s="1007" t="s">
        <v>648</v>
      </c>
      <c r="P4213" s="1007" t="s">
        <v>648</v>
      </c>
      <c r="S4213" s="1008" t="s">
        <v>650</v>
      </c>
      <c r="T4213" s="1008" t="s">
        <v>654</v>
      </c>
      <c r="U4213" s="1008" t="s">
        <v>649</v>
      </c>
      <c r="V4213" s="1008" t="s">
        <v>648</v>
      </c>
      <c r="W4213" s="1008" t="s">
        <v>546</v>
      </c>
      <c r="X4213" s="1008" t="s">
        <v>670</v>
      </c>
      <c r="Y4213" s="1008"/>
      <c r="Z4213" s="1008"/>
      <c r="AA4213" s="1008"/>
      <c r="AB4213" s="1008" t="s">
        <v>670</v>
      </c>
      <c r="AC4213" s="1008" t="s">
        <v>670</v>
      </c>
      <c r="AD4213" s="1008"/>
      <c r="AE4213" s="1008"/>
      <c r="AF4213" s="1008"/>
      <c r="AG4213" s="1008"/>
      <c r="AH4213" s="1008"/>
      <c r="AI4213" s="1008"/>
    </row>
    <row r="4214" spans="1:35">
      <c r="A4214" s="1008">
        <v>27625</v>
      </c>
      <c r="B4214" s="1008">
        <v>6461</v>
      </c>
      <c r="C4214" s="1008">
        <v>3</v>
      </c>
      <c r="D4214" s="1009">
        <v>99730999</v>
      </c>
      <c r="E4214" s="1009">
        <v>99730060</v>
      </c>
      <c r="F4214" s="1007" t="s">
        <v>687</v>
      </c>
      <c r="G4214" s="1007" t="s">
        <v>648</v>
      </c>
      <c r="H4214" s="1010">
        <v>99999999</v>
      </c>
      <c r="I4214" s="1009">
        <v>99730060</v>
      </c>
      <c r="J4214" s="1007" t="s">
        <v>686</v>
      </c>
      <c r="O4214" s="1007" t="s">
        <v>648</v>
      </c>
      <c r="P4214" s="1007" t="s">
        <v>648</v>
      </c>
      <c r="S4214" s="1008" t="s">
        <v>650</v>
      </c>
      <c r="T4214" s="1008" t="s">
        <v>654</v>
      </c>
      <c r="U4214" s="1008" t="s">
        <v>649</v>
      </c>
      <c r="V4214" s="1008" t="s">
        <v>648</v>
      </c>
      <c r="W4214" s="1008" t="s">
        <v>546</v>
      </c>
      <c r="X4214" s="1008" t="s">
        <v>670</v>
      </c>
      <c r="Y4214" s="1008"/>
      <c r="Z4214" s="1008"/>
      <c r="AA4214" s="1008"/>
      <c r="AB4214" s="1008" t="s">
        <v>670</v>
      </c>
      <c r="AC4214" s="1008" t="s">
        <v>670</v>
      </c>
      <c r="AD4214" s="1008"/>
      <c r="AE4214" s="1008"/>
      <c r="AF4214" s="1008"/>
      <c r="AG4214" s="1008"/>
      <c r="AH4214" s="1008"/>
      <c r="AI4214" s="1008"/>
    </row>
    <row r="4215" spans="1:35">
      <c r="A4215" s="1008">
        <v>27626</v>
      </c>
      <c r="B4215" s="1008">
        <v>6462</v>
      </c>
      <c r="C4215" s="1008">
        <v>3</v>
      </c>
      <c r="D4215" s="1009">
        <v>99730999</v>
      </c>
      <c r="E4215" s="1009">
        <v>99730070</v>
      </c>
      <c r="F4215" s="1007" t="s">
        <v>685</v>
      </c>
      <c r="G4215" s="1007" t="s">
        <v>648</v>
      </c>
      <c r="H4215" s="1010">
        <v>99999999</v>
      </c>
      <c r="I4215" s="1009">
        <v>99730070</v>
      </c>
      <c r="J4215" s="1007" t="s">
        <v>684</v>
      </c>
      <c r="O4215" s="1007" t="s">
        <v>648</v>
      </c>
      <c r="P4215" s="1007" t="s">
        <v>648</v>
      </c>
      <c r="S4215" s="1008" t="s">
        <v>650</v>
      </c>
      <c r="T4215" s="1008" t="s">
        <v>654</v>
      </c>
      <c r="U4215" s="1008" t="s">
        <v>649</v>
      </c>
      <c r="V4215" s="1008" t="s">
        <v>648</v>
      </c>
      <c r="W4215" s="1008" t="s">
        <v>546</v>
      </c>
      <c r="X4215" s="1008" t="s">
        <v>670</v>
      </c>
      <c r="Y4215" s="1008"/>
      <c r="Z4215" s="1008"/>
      <c r="AA4215" s="1008"/>
      <c r="AB4215" s="1008" t="s">
        <v>670</v>
      </c>
      <c r="AC4215" s="1008" t="s">
        <v>670</v>
      </c>
      <c r="AD4215" s="1008"/>
      <c r="AE4215" s="1008"/>
      <c r="AF4215" s="1008"/>
      <c r="AG4215" s="1008"/>
      <c r="AH4215" s="1008"/>
      <c r="AI4215" s="1008"/>
    </row>
    <row r="4216" spans="1:35">
      <c r="A4216" s="1008">
        <v>27627</v>
      </c>
      <c r="B4216" s="1008">
        <v>6463</v>
      </c>
      <c r="C4216" s="1008">
        <v>3</v>
      </c>
      <c r="D4216" s="1009">
        <v>99730999</v>
      </c>
      <c r="E4216" s="1009">
        <v>99730080</v>
      </c>
      <c r="F4216" s="1007" t="s">
        <v>683</v>
      </c>
      <c r="G4216" s="1007" t="s">
        <v>648</v>
      </c>
      <c r="H4216" s="1010">
        <v>99999999</v>
      </c>
      <c r="I4216" s="1009">
        <v>99730080</v>
      </c>
      <c r="J4216" s="1007" t="s">
        <v>682</v>
      </c>
      <c r="O4216" s="1007" t="s">
        <v>648</v>
      </c>
      <c r="P4216" s="1007" t="s">
        <v>648</v>
      </c>
      <c r="S4216" s="1008" t="s">
        <v>650</v>
      </c>
      <c r="T4216" s="1008" t="s">
        <v>654</v>
      </c>
      <c r="U4216" s="1008" t="s">
        <v>649</v>
      </c>
      <c r="V4216" s="1008" t="s">
        <v>648</v>
      </c>
      <c r="W4216" s="1008" t="s">
        <v>546</v>
      </c>
      <c r="X4216" s="1008" t="s">
        <v>670</v>
      </c>
      <c r="Y4216" s="1008"/>
      <c r="Z4216" s="1008"/>
      <c r="AA4216" s="1008"/>
      <c r="AB4216" s="1008" t="s">
        <v>670</v>
      </c>
      <c r="AC4216" s="1008" t="s">
        <v>670</v>
      </c>
      <c r="AD4216" s="1008"/>
      <c r="AE4216" s="1008"/>
      <c r="AF4216" s="1008"/>
      <c r="AG4216" s="1008"/>
      <c r="AH4216" s="1008"/>
      <c r="AI4216" s="1008"/>
    </row>
    <row r="4217" spans="1:35">
      <c r="A4217" s="1008">
        <v>27639</v>
      </c>
      <c r="B4217" s="1008">
        <v>6471</v>
      </c>
      <c r="C4217" s="1008">
        <v>3</v>
      </c>
      <c r="D4217" s="1009">
        <v>99730999</v>
      </c>
      <c r="E4217" s="1009">
        <v>99730090</v>
      </c>
      <c r="F4217" s="1007" t="s">
        <v>681</v>
      </c>
      <c r="G4217" s="1007" t="s">
        <v>648</v>
      </c>
      <c r="H4217" s="1010">
        <v>99999999</v>
      </c>
      <c r="I4217" s="1009">
        <v>99730090</v>
      </c>
      <c r="J4217" s="1007" t="s">
        <v>681</v>
      </c>
      <c r="O4217" s="1007" t="s">
        <v>648</v>
      </c>
      <c r="P4217" s="1007" t="s">
        <v>648</v>
      </c>
      <c r="S4217" s="1008" t="s">
        <v>650</v>
      </c>
      <c r="T4217" s="1008" t="s">
        <v>654</v>
      </c>
      <c r="U4217" s="1008" t="s">
        <v>649</v>
      </c>
      <c r="V4217" s="1008" t="s">
        <v>648</v>
      </c>
      <c r="W4217" s="1008" t="s">
        <v>546</v>
      </c>
      <c r="X4217" s="1008" t="s">
        <v>670</v>
      </c>
      <c r="Y4217" s="1008"/>
      <c r="Z4217" s="1008"/>
      <c r="AA4217" s="1008"/>
      <c r="AB4217" s="1008" t="s">
        <v>670</v>
      </c>
      <c r="AC4217" s="1008" t="s">
        <v>670</v>
      </c>
      <c r="AD4217" s="1008"/>
      <c r="AE4217" s="1008"/>
      <c r="AF4217" s="1008"/>
      <c r="AG4217" s="1008"/>
      <c r="AH4217" s="1008"/>
      <c r="AI4217" s="1008"/>
    </row>
    <row r="4218" spans="1:35">
      <c r="A4218" s="1008">
        <v>27628</v>
      </c>
      <c r="B4218" s="1008">
        <v>6464</v>
      </c>
      <c r="C4218" s="1008">
        <v>3</v>
      </c>
      <c r="D4218" s="1009">
        <v>99730999</v>
      </c>
      <c r="E4218" s="1009">
        <v>99730900</v>
      </c>
      <c r="F4218" s="1007" t="s">
        <v>680</v>
      </c>
      <c r="G4218" s="1007" t="s">
        <v>648</v>
      </c>
      <c r="H4218" s="1010">
        <v>99999999</v>
      </c>
      <c r="I4218" s="1009">
        <v>99730900</v>
      </c>
      <c r="J4218" s="1007" t="s">
        <v>679</v>
      </c>
      <c r="O4218" s="1007" t="s">
        <v>648</v>
      </c>
      <c r="P4218" s="1007" t="s">
        <v>648</v>
      </c>
      <c r="S4218" s="1008" t="s">
        <v>650</v>
      </c>
      <c r="T4218" s="1008" t="s">
        <v>654</v>
      </c>
      <c r="U4218" s="1008" t="s">
        <v>649</v>
      </c>
      <c r="V4218" s="1008" t="s">
        <v>648</v>
      </c>
      <c r="W4218" s="1008" t="s">
        <v>546</v>
      </c>
      <c r="X4218" s="1008" t="s">
        <v>670</v>
      </c>
      <c r="Y4218" s="1008"/>
      <c r="Z4218" s="1008"/>
      <c r="AA4218" s="1008"/>
      <c r="AB4218" s="1008" t="s">
        <v>670</v>
      </c>
      <c r="AC4218" s="1008" t="s">
        <v>670</v>
      </c>
      <c r="AD4218" s="1008"/>
      <c r="AE4218" s="1008"/>
      <c r="AF4218" s="1008"/>
      <c r="AG4218" s="1008"/>
      <c r="AH4218" s="1008"/>
      <c r="AI4218" s="1008"/>
    </row>
    <row r="4219" spans="1:35">
      <c r="A4219" s="1008">
        <v>27619</v>
      </c>
      <c r="C4219" s="1008">
        <v>2</v>
      </c>
      <c r="D4219" s="1009">
        <v>99999999</v>
      </c>
      <c r="E4219" s="1009">
        <v>99730999</v>
      </c>
      <c r="F4219" s="1007" t="s">
        <v>678</v>
      </c>
      <c r="O4219" s="1007" t="s">
        <v>648</v>
      </c>
      <c r="P4219" s="1007" t="s">
        <v>648</v>
      </c>
      <c r="S4219" s="1008" t="s">
        <v>650</v>
      </c>
      <c r="T4219" s="1008" t="s">
        <v>21</v>
      </c>
      <c r="U4219" s="1008" t="s">
        <v>649</v>
      </c>
      <c r="V4219" s="1008" t="s">
        <v>648</v>
      </c>
      <c r="W4219" s="1008" t="s">
        <v>546</v>
      </c>
      <c r="X4219" s="1008"/>
      <c r="Y4219" s="1008"/>
      <c r="Z4219" s="1008"/>
      <c r="AA4219" s="1008"/>
      <c r="AB4219" s="1008"/>
      <c r="AC4219" s="1008"/>
      <c r="AD4219" s="1008"/>
      <c r="AE4219" s="1008"/>
      <c r="AF4219" s="1008"/>
      <c r="AG4219" s="1008"/>
      <c r="AH4219" s="1008"/>
      <c r="AI4219" s="1008"/>
    </row>
    <row r="4220" spans="1:35">
      <c r="A4220" s="1008">
        <v>27583</v>
      </c>
      <c r="C4220" s="1008">
        <v>1</v>
      </c>
      <c r="D4220" s="1009">
        <v>99999999</v>
      </c>
      <c r="E4220" s="1009">
        <v>99799999</v>
      </c>
      <c r="F4220" s="1007" t="s">
        <v>677</v>
      </c>
      <c r="O4220" s="1007" t="s">
        <v>648</v>
      </c>
      <c r="P4220" s="1007" t="s">
        <v>648</v>
      </c>
      <c r="S4220" s="1008" t="s">
        <v>650</v>
      </c>
      <c r="T4220" s="1008" t="s">
        <v>21</v>
      </c>
      <c r="U4220" s="1008" t="s">
        <v>649</v>
      </c>
      <c r="V4220" s="1008" t="s">
        <v>648</v>
      </c>
      <c r="W4220" s="1008" t="s">
        <v>546</v>
      </c>
      <c r="X4220" s="1008"/>
      <c r="Y4220" s="1008"/>
      <c r="Z4220" s="1008"/>
      <c r="AA4220" s="1008"/>
      <c r="AB4220" s="1008"/>
      <c r="AC4220" s="1008"/>
      <c r="AD4220" s="1008"/>
      <c r="AE4220" s="1008"/>
      <c r="AF4220" s="1008"/>
      <c r="AG4220" s="1008"/>
      <c r="AH4220" s="1008"/>
      <c r="AI4220" s="1008"/>
    </row>
    <row r="4221" spans="1:35">
      <c r="A4221" s="1008">
        <v>27558</v>
      </c>
      <c r="C4221" s="1008">
        <v>1</v>
      </c>
      <c r="D4221" s="1009">
        <v>99899999</v>
      </c>
      <c r="E4221" s="1009">
        <v>99800000</v>
      </c>
      <c r="F4221" s="1007" t="s">
        <v>676</v>
      </c>
      <c r="O4221" s="1007" t="s">
        <v>648</v>
      </c>
      <c r="P4221" s="1007" t="s">
        <v>648</v>
      </c>
      <c r="S4221" s="1008" t="s">
        <v>650</v>
      </c>
      <c r="T4221" s="1008" t="s">
        <v>675</v>
      </c>
      <c r="U4221" s="1008" t="s">
        <v>649</v>
      </c>
      <c r="V4221" s="1008" t="s">
        <v>648</v>
      </c>
      <c r="W4221" s="1008" t="s">
        <v>546</v>
      </c>
      <c r="X4221" s="1008"/>
      <c r="Y4221" s="1008"/>
      <c r="Z4221" s="1008"/>
      <c r="AA4221" s="1008"/>
      <c r="AB4221" s="1008"/>
      <c r="AC4221" s="1008"/>
      <c r="AD4221" s="1008"/>
      <c r="AE4221" s="1008"/>
      <c r="AF4221" s="1008"/>
      <c r="AG4221" s="1008"/>
      <c r="AH4221" s="1008"/>
      <c r="AI4221" s="1008"/>
    </row>
    <row r="4222" spans="1:35">
      <c r="A4222" s="1008">
        <v>27560</v>
      </c>
      <c r="B4222" s="1008">
        <v>6410</v>
      </c>
      <c r="C4222" s="1008">
        <v>2</v>
      </c>
      <c r="D4222" s="1009">
        <v>99899999</v>
      </c>
      <c r="E4222" s="1009">
        <v>99810000</v>
      </c>
      <c r="F4222" s="1007" t="s">
        <v>674</v>
      </c>
      <c r="G4222" s="1007" t="s">
        <v>648</v>
      </c>
      <c r="H4222" s="1010">
        <v>99999999</v>
      </c>
      <c r="I4222" s="1009">
        <v>99810000</v>
      </c>
      <c r="J4222" s="1007" t="s">
        <v>674</v>
      </c>
      <c r="O4222" s="1007" t="s">
        <v>648</v>
      </c>
      <c r="P4222" s="1007" t="s">
        <v>648</v>
      </c>
      <c r="S4222" s="1008" t="s">
        <v>650</v>
      </c>
      <c r="T4222" s="1008" t="s">
        <v>654</v>
      </c>
      <c r="U4222" s="1008" t="s">
        <v>649</v>
      </c>
      <c r="V4222" s="1008" t="s">
        <v>648</v>
      </c>
      <c r="W4222" s="1008" t="s">
        <v>546</v>
      </c>
      <c r="X4222" s="1008" t="s">
        <v>670</v>
      </c>
      <c r="Y4222" s="1008" t="s">
        <v>670</v>
      </c>
      <c r="Z4222" s="1008" t="s">
        <v>670</v>
      </c>
      <c r="AA4222" s="1008" t="s">
        <v>670</v>
      </c>
      <c r="AB4222" s="1008" t="s">
        <v>670</v>
      </c>
      <c r="AC4222" s="1008" t="s">
        <v>670</v>
      </c>
      <c r="AD4222" s="1008" t="s">
        <v>670</v>
      </c>
      <c r="AE4222" s="1008" t="s">
        <v>670</v>
      </c>
      <c r="AF4222" s="1008" t="s">
        <v>670</v>
      </c>
      <c r="AG4222" s="1008" t="s">
        <v>670</v>
      </c>
      <c r="AH4222" s="1008" t="s">
        <v>670</v>
      </c>
      <c r="AI4222" s="1008" t="s">
        <v>670</v>
      </c>
    </row>
    <row r="4223" spans="1:35">
      <c r="A4223" s="1008">
        <v>27561</v>
      </c>
      <c r="B4223" s="1008">
        <v>6411</v>
      </c>
      <c r="C4223" s="1008">
        <v>2</v>
      </c>
      <c r="D4223" s="1009">
        <v>99899999</v>
      </c>
      <c r="E4223" s="1009">
        <v>99899990</v>
      </c>
      <c r="F4223" s="1007" t="s">
        <v>673</v>
      </c>
      <c r="G4223" s="1007" t="s">
        <v>648</v>
      </c>
      <c r="H4223" s="1010">
        <v>99999999</v>
      </c>
      <c r="I4223" s="1009">
        <v>99899990</v>
      </c>
      <c r="J4223" s="1007" t="s">
        <v>673</v>
      </c>
      <c r="O4223" s="1007" t="s">
        <v>648</v>
      </c>
      <c r="P4223" s="1007" t="s">
        <v>648</v>
      </c>
      <c r="S4223" s="1008" t="s">
        <v>650</v>
      </c>
      <c r="T4223" s="1008" t="s">
        <v>654</v>
      </c>
      <c r="U4223" s="1008" t="s">
        <v>649</v>
      </c>
      <c r="V4223" s="1008" t="s">
        <v>648</v>
      </c>
      <c r="W4223" s="1008" t="s">
        <v>546</v>
      </c>
      <c r="X4223" s="1008" t="s">
        <v>670</v>
      </c>
      <c r="Y4223" s="1008" t="s">
        <v>670</v>
      </c>
      <c r="Z4223" s="1008" t="s">
        <v>670</v>
      </c>
      <c r="AA4223" s="1008" t="s">
        <v>670</v>
      </c>
      <c r="AB4223" s="1008" t="s">
        <v>670</v>
      </c>
      <c r="AC4223" s="1008" t="s">
        <v>670</v>
      </c>
      <c r="AD4223" s="1008" t="s">
        <v>670</v>
      </c>
      <c r="AE4223" s="1008" t="s">
        <v>670</v>
      </c>
      <c r="AF4223" s="1008" t="s">
        <v>670</v>
      </c>
      <c r="AG4223" s="1008" t="s">
        <v>670</v>
      </c>
      <c r="AH4223" s="1008" t="s">
        <v>670</v>
      </c>
      <c r="AI4223" s="1008" t="s">
        <v>670</v>
      </c>
    </row>
    <row r="4224" spans="1:35">
      <c r="A4224" s="1008">
        <v>27559</v>
      </c>
      <c r="C4224" s="1008">
        <v>1</v>
      </c>
      <c r="E4224" s="1009">
        <v>99899999</v>
      </c>
      <c r="F4224" s="1007" t="s">
        <v>672</v>
      </c>
      <c r="O4224" s="1007" t="s">
        <v>648</v>
      </c>
      <c r="P4224" s="1007" t="s">
        <v>648</v>
      </c>
      <c r="S4224" s="1008" t="s">
        <v>650</v>
      </c>
      <c r="T4224" s="1008" t="s">
        <v>21</v>
      </c>
      <c r="U4224" s="1008" t="s">
        <v>649</v>
      </c>
      <c r="V4224" s="1008" t="s">
        <v>648</v>
      </c>
      <c r="W4224" s="1008" t="s">
        <v>546</v>
      </c>
      <c r="X4224" s="1008"/>
      <c r="Y4224" s="1008"/>
      <c r="Z4224" s="1008"/>
      <c r="AA4224" s="1008"/>
      <c r="AB4224" s="1008"/>
      <c r="AC4224" s="1008"/>
      <c r="AD4224" s="1008"/>
      <c r="AE4224" s="1008"/>
      <c r="AF4224" s="1008"/>
      <c r="AG4224" s="1008"/>
      <c r="AH4224" s="1008"/>
      <c r="AI4224" s="1008"/>
    </row>
    <row r="4225" spans="1:35">
      <c r="A4225" s="1008">
        <v>27099</v>
      </c>
      <c r="B4225" s="1008">
        <v>5929</v>
      </c>
      <c r="C4225" s="1008">
        <v>2</v>
      </c>
      <c r="D4225" s="1009">
        <v>99999999</v>
      </c>
      <c r="E4225" s="1009">
        <v>99999000</v>
      </c>
      <c r="F4225" s="1007" t="s">
        <v>671</v>
      </c>
      <c r="G4225" s="1007" t="s">
        <v>648</v>
      </c>
      <c r="H4225" s="1010">
        <v>99999999</v>
      </c>
      <c r="I4225" s="1009">
        <v>99999000</v>
      </c>
      <c r="J4225" s="1007" t="s">
        <v>671</v>
      </c>
      <c r="O4225" s="1007" t="s">
        <v>648</v>
      </c>
      <c r="P4225" s="1007" t="s">
        <v>648</v>
      </c>
      <c r="S4225" s="1008" t="s">
        <v>650</v>
      </c>
      <c r="T4225" s="1008" t="s">
        <v>654</v>
      </c>
      <c r="U4225" s="1008" t="s">
        <v>653</v>
      </c>
      <c r="V4225" s="1008" t="s">
        <v>648</v>
      </c>
      <c r="W4225" s="1008" t="s">
        <v>546</v>
      </c>
      <c r="X4225" s="1008" t="s">
        <v>670</v>
      </c>
      <c r="Y4225" s="1008" t="s">
        <v>670</v>
      </c>
      <c r="Z4225" s="1008" t="s">
        <v>670</v>
      </c>
      <c r="AA4225" s="1008" t="s">
        <v>670</v>
      </c>
      <c r="AB4225" s="1008" t="s">
        <v>670</v>
      </c>
      <c r="AC4225" s="1008" t="s">
        <v>670</v>
      </c>
      <c r="AD4225" s="1008" t="s">
        <v>670</v>
      </c>
      <c r="AE4225" s="1008"/>
      <c r="AF4225" s="1008" t="s">
        <v>670</v>
      </c>
      <c r="AG4225" s="1008" t="s">
        <v>670</v>
      </c>
      <c r="AH4225" s="1008"/>
      <c r="AI4225" s="1008"/>
    </row>
    <row r="4226" spans="1:35">
      <c r="A4226" s="1008">
        <v>23826</v>
      </c>
      <c r="C4226" s="1008">
        <v>7</v>
      </c>
      <c r="D4226" s="1009">
        <v>13019999</v>
      </c>
      <c r="E4226" s="1009">
        <v>99999555</v>
      </c>
      <c r="F4226" s="1007" t="s">
        <v>669</v>
      </c>
      <c r="O4226" s="1007" t="s">
        <v>648</v>
      </c>
      <c r="P4226" s="1007" t="s">
        <v>648</v>
      </c>
      <c r="S4226" s="1008" t="s">
        <v>650</v>
      </c>
      <c r="T4226" s="1008" t="s">
        <v>654</v>
      </c>
      <c r="U4226" s="1008" t="s">
        <v>649</v>
      </c>
      <c r="V4226" s="1008" t="s">
        <v>648</v>
      </c>
      <c r="W4226" s="1008" t="s">
        <v>652</v>
      </c>
      <c r="X4226" s="1008"/>
      <c r="Y4226" s="1008"/>
      <c r="Z4226" s="1008"/>
      <c r="AA4226" s="1008"/>
      <c r="AB4226" s="1008"/>
      <c r="AC4226" s="1008"/>
      <c r="AD4226" s="1008"/>
      <c r="AE4226" s="1008"/>
      <c r="AF4226" s="1008"/>
      <c r="AG4226" s="1008"/>
      <c r="AH4226" s="1008"/>
      <c r="AI4226" s="1008"/>
    </row>
    <row r="4227" spans="1:35">
      <c r="A4227" s="1008">
        <v>23856</v>
      </c>
      <c r="C4227" s="1008">
        <v>7</v>
      </c>
      <c r="D4227" s="1009">
        <v>13119999</v>
      </c>
      <c r="E4227" s="1009">
        <v>99999557</v>
      </c>
      <c r="F4227" s="1007" t="s">
        <v>668</v>
      </c>
      <c r="O4227" s="1007" t="s">
        <v>648</v>
      </c>
      <c r="P4227" s="1007" t="s">
        <v>648</v>
      </c>
      <c r="S4227" s="1008" t="s">
        <v>650</v>
      </c>
      <c r="T4227" s="1008" t="s">
        <v>654</v>
      </c>
      <c r="U4227" s="1008" t="s">
        <v>649</v>
      </c>
      <c r="V4227" s="1008" t="s">
        <v>648</v>
      </c>
      <c r="W4227" s="1008" t="s">
        <v>652</v>
      </c>
      <c r="X4227" s="1008"/>
      <c r="Y4227" s="1008"/>
      <c r="Z4227" s="1008"/>
      <c r="AA4227" s="1008"/>
      <c r="AB4227" s="1008"/>
      <c r="AC4227" s="1008"/>
      <c r="AD4227" s="1008"/>
      <c r="AE4227" s="1008"/>
      <c r="AF4227" s="1008"/>
      <c r="AG4227" s="1008"/>
      <c r="AH4227" s="1008"/>
      <c r="AI4227" s="1008"/>
    </row>
    <row r="4228" spans="1:35">
      <c r="A4228" s="1008">
        <v>24273</v>
      </c>
      <c r="C4228" s="1008">
        <v>7</v>
      </c>
      <c r="D4228" s="1009">
        <v>17539999</v>
      </c>
      <c r="E4228" s="1009">
        <v>99999558</v>
      </c>
      <c r="F4228" s="1007" t="s">
        <v>667</v>
      </c>
      <c r="O4228" s="1007" t="s">
        <v>648</v>
      </c>
      <c r="P4228" s="1007" t="s">
        <v>648</v>
      </c>
      <c r="S4228" s="1008" t="s">
        <v>650</v>
      </c>
      <c r="T4228" s="1008" t="s">
        <v>654</v>
      </c>
      <c r="U4228" s="1008" t="s">
        <v>649</v>
      </c>
      <c r="V4228" s="1008" t="s">
        <v>648</v>
      </c>
      <c r="W4228" s="1008" t="s">
        <v>652</v>
      </c>
      <c r="X4228" s="1008"/>
      <c r="Y4228" s="1008"/>
      <c r="Z4228" s="1008"/>
      <c r="AA4228" s="1008"/>
      <c r="AB4228" s="1008"/>
      <c r="AC4228" s="1008"/>
      <c r="AD4228" s="1008"/>
      <c r="AE4228" s="1008"/>
      <c r="AF4228" s="1008"/>
      <c r="AG4228" s="1008"/>
      <c r="AH4228" s="1008"/>
      <c r="AI4228" s="1008"/>
    </row>
    <row r="4229" spans="1:35">
      <c r="A4229" s="1008">
        <v>24279</v>
      </c>
      <c r="C4229" s="1008">
        <v>7</v>
      </c>
      <c r="D4229" s="1009">
        <v>17549999</v>
      </c>
      <c r="E4229" s="1009">
        <v>99999559</v>
      </c>
      <c r="F4229" s="1007" t="s">
        <v>666</v>
      </c>
      <c r="O4229" s="1007" t="s">
        <v>648</v>
      </c>
      <c r="P4229" s="1007" t="s">
        <v>648</v>
      </c>
      <c r="S4229" s="1008" t="s">
        <v>650</v>
      </c>
      <c r="T4229" s="1008" t="s">
        <v>654</v>
      </c>
      <c r="U4229" s="1008" t="s">
        <v>649</v>
      </c>
      <c r="V4229" s="1008" t="s">
        <v>648</v>
      </c>
      <c r="W4229" s="1008" t="s">
        <v>652</v>
      </c>
      <c r="X4229" s="1008"/>
      <c r="Y4229" s="1008"/>
      <c r="Z4229" s="1008"/>
      <c r="AA4229" s="1008"/>
      <c r="AB4229" s="1008"/>
      <c r="AC4229" s="1008"/>
      <c r="AD4229" s="1008"/>
      <c r="AE4229" s="1008"/>
      <c r="AF4229" s="1008"/>
      <c r="AG4229" s="1008"/>
      <c r="AH4229" s="1008"/>
      <c r="AI4229" s="1008"/>
    </row>
    <row r="4230" spans="1:35">
      <c r="A4230" s="1008">
        <v>24285</v>
      </c>
      <c r="C4230" s="1008">
        <v>7</v>
      </c>
      <c r="D4230" s="1009">
        <v>17559999</v>
      </c>
      <c r="E4230" s="1009">
        <v>99999560</v>
      </c>
      <c r="F4230" s="1007" t="s">
        <v>665</v>
      </c>
      <c r="O4230" s="1007" t="s">
        <v>648</v>
      </c>
      <c r="P4230" s="1007" t="s">
        <v>648</v>
      </c>
      <c r="S4230" s="1008" t="s">
        <v>650</v>
      </c>
      <c r="T4230" s="1008" t="s">
        <v>654</v>
      </c>
      <c r="U4230" s="1008" t="s">
        <v>649</v>
      </c>
      <c r="V4230" s="1008" t="s">
        <v>648</v>
      </c>
      <c r="W4230" s="1008" t="s">
        <v>652</v>
      </c>
      <c r="X4230" s="1008"/>
      <c r="Y4230" s="1008"/>
      <c r="Z4230" s="1008"/>
      <c r="AA4230" s="1008"/>
      <c r="AB4230" s="1008"/>
      <c r="AC4230" s="1008"/>
      <c r="AD4230" s="1008"/>
      <c r="AE4230" s="1008"/>
      <c r="AF4230" s="1008"/>
      <c r="AG4230" s="1008"/>
      <c r="AH4230" s="1008"/>
      <c r="AI4230" s="1008"/>
    </row>
    <row r="4231" spans="1:35">
      <c r="A4231" s="1008">
        <v>24337</v>
      </c>
      <c r="C4231" s="1008">
        <v>7</v>
      </c>
      <c r="D4231" s="1009">
        <v>18019999</v>
      </c>
      <c r="E4231" s="1009">
        <v>99999561</v>
      </c>
      <c r="F4231" s="1007" t="s">
        <v>664</v>
      </c>
      <c r="O4231" s="1007" t="s">
        <v>648</v>
      </c>
      <c r="P4231" s="1007" t="s">
        <v>648</v>
      </c>
      <c r="S4231" s="1008" t="s">
        <v>650</v>
      </c>
      <c r="T4231" s="1008" t="s">
        <v>654</v>
      </c>
      <c r="U4231" s="1008" t="s">
        <v>649</v>
      </c>
      <c r="V4231" s="1008" t="s">
        <v>648</v>
      </c>
      <c r="W4231" s="1008" t="s">
        <v>652</v>
      </c>
      <c r="X4231" s="1008"/>
      <c r="Y4231" s="1008"/>
      <c r="Z4231" s="1008"/>
      <c r="AA4231" s="1008"/>
      <c r="AB4231" s="1008"/>
      <c r="AC4231" s="1008"/>
      <c r="AD4231" s="1008"/>
      <c r="AE4231" s="1008"/>
      <c r="AF4231" s="1008"/>
      <c r="AG4231" s="1008"/>
      <c r="AH4231" s="1008"/>
      <c r="AI4231" s="1008"/>
    </row>
    <row r="4232" spans="1:35">
      <c r="A4232" s="1008">
        <v>24905</v>
      </c>
      <c r="C4232" s="1008">
        <v>7</v>
      </c>
      <c r="D4232" s="1009">
        <v>41519999</v>
      </c>
      <c r="E4232" s="1009">
        <v>99999562</v>
      </c>
      <c r="F4232" s="1007" t="s">
        <v>663</v>
      </c>
      <c r="O4232" s="1007" t="s">
        <v>648</v>
      </c>
      <c r="P4232" s="1007" t="s">
        <v>648</v>
      </c>
      <c r="S4232" s="1008" t="s">
        <v>657</v>
      </c>
      <c r="T4232" s="1008" t="s">
        <v>654</v>
      </c>
      <c r="U4232" s="1008" t="s">
        <v>653</v>
      </c>
      <c r="V4232" s="1008" t="s">
        <v>648</v>
      </c>
      <c r="W4232" s="1008" t="s">
        <v>652</v>
      </c>
      <c r="X4232" s="1008"/>
      <c r="Y4232" s="1008"/>
      <c r="Z4232" s="1008"/>
      <c r="AA4232" s="1008"/>
      <c r="AB4232" s="1008"/>
      <c r="AC4232" s="1008"/>
      <c r="AD4232" s="1008"/>
      <c r="AE4232" s="1008"/>
      <c r="AF4232" s="1008"/>
      <c r="AG4232" s="1008"/>
      <c r="AH4232" s="1008"/>
      <c r="AI4232" s="1008"/>
    </row>
    <row r="4233" spans="1:35">
      <c r="A4233" s="1008">
        <v>24907</v>
      </c>
      <c r="C4233" s="1008">
        <v>7</v>
      </c>
      <c r="D4233" s="1009">
        <v>41519999</v>
      </c>
      <c r="E4233" s="1009">
        <v>99999563</v>
      </c>
      <c r="F4233" s="1007" t="s">
        <v>662</v>
      </c>
      <c r="O4233" s="1007" t="s">
        <v>648</v>
      </c>
      <c r="P4233" s="1007" t="s">
        <v>648</v>
      </c>
      <c r="S4233" s="1008" t="s">
        <v>657</v>
      </c>
      <c r="T4233" s="1008" t="s">
        <v>654</v>
      </c>
      <c r="U4233" s="1008" t="s">
        <v>653</v>
      </c>
      <c r="V4233" s="1008" t="s">
        <v>648</v>
      </c>
      <c r="W4233" s="1008" t="s">
        <v>652</v>
      </c>
      <c r="X4233" s="1008"/>
      <c r="Y4233" s="1008"/>
      <c r="Z4233" s="1008"/>
      <c r="AA4233" s="1008"/>
      <c r="AB4233" s="1008"/>
      <c r="AC4233" s="1008"/>
      <c r="AD4233" s="1008"/>
      <c r="AE4233" s="1008"/>
      <c r="AF4233" s="1008"/>
      <c r="AG4233" s="1008"/>
      <c r="AH4233" s="1008"/>
      <c r="AI4233" s="1008"/>
    </row>
    <row r="4234" spans="1:35">
      <c r="A4234" s="1008">
        <v>24921</v>
      </c>
      <c r="C4234" s="1008">
        <v>7</v>
      </c>
      <c r="D4234" s="1009">
        <v>41549999</v>
      </c>
      <c r="E4234" s="1009">
        <v>99999564</v>
      </c>
      <c r="F4234" s="1007" t="s">
        <v>661</v>
      </c>
      <c r="O4234" s="1007" t="s">
        <v>648</v>
      </c>
      <c r="P4234" s="1007" t="s">
        <v>648</v>
      </c>
      <c r="S4234" s="1008" t="s">
        <v>657</v>
      </c>
      <c r="T4234" s="1008" t="s">
        <v>654</v>
      </c>
      <c r="U4234" s="1008" t="s">
        <v>653</v>
      </c>
      <c r="V4234" s="1008" t="s">
        <v>648</v>
      </c>
      <c r="W4234" s="1008" t="s">
        <v>652</v>
      </c>
      <c r="X4234" s="1008"/>
      <c r="Y4234" s="1008"/>
      <c r="Z4234" s="1008"/>
      <c r="AA4234" s="1008"/>
      <c r="AB4234" s="1008"/>
      <c r="AC4234" s="1008"/>
      <c r="AD4234" s="1008"/>
      <c r="AE4234" s="1008"/>
      <c r="AF4234" s="1008"/>
      <c r="AG4234" s="1008"/>
      <c r="AH4234" s="1008"/>
      <c r="AI4234" s="1008"/>
    </row>
    <row r="4235" spans="1:35">
      <c r="A4235" s="1008">
        <v>25519</v>
      </c>
      <c r="C4235" s="1008">
        <v>6</v>
      </c>
      <c r="D4235" s="1009">
        <v>81539999</v>
      </c>
      <c r="E4235" s="1009">
        <v>99999565</v>
      </c>
      <c r="F4235" s="1007" t="s">
        <v>660</v>
      </c>
      <c r="O4235" s="1007" t="s">
        <v>648</v>
      </c>
      <c r="P4235" s="1007" t="s">
        <v>648</v>
      </c>
      <c r="S4235" s="1008" t="s">
        <v>650</v>
      </c>
      <c r="T4235" s="1008" t="s">
        <v>654</v>
      </c>
      <c r="U4235" s="1008" t="s">
        <v>653</v>
      </c>
      <c r="V4235" s="1008" t="s">
        <v>648</v>
      </c>
      <c r="W4235" s="1008" t="s">
        <v>652</v>
      </c>
      <c r="X4235" s="1008"/>
      <c r="Y4235" s="1008"/>
      <c r="Z4235" s="1008"/>
      <c r="AA4235" s="1008"/>
      <c r="AB4235" s="1008"/>
      <c r="AC4235" s="1008"/>
      <c r="AD4235" s="1008"/>
      <c r="AE4235" s="1008"/>
      <c r="AF4235" s="1008"/>
      <c r="AG4235" s="1008"/>
      <c r="AH4235" s="1008"/>
      <c r="AI4235" s="1008"/>
    </row>
    <row r="4236" spans="1:35">
      <c r="A4236" s="1008">
        <v>25594</v>
      </c>
      <c r="C4236" s="1008">
        <v>6</v>
      </c>
      <c r="D4236" s="1009">
        <v>84039999</v>
      </c>
      <c r="E4236" s="1009">
        <v>99999566</v>
      </c>
      <c r="F4236" s="1007" t="s">
        <v>659</v>
      </c>
      <c r="O4236" s="1007" t="s">
        <v>648</v>
      </c>
      <c r="P4236" s="1007" t="s">
        <v>648</v>
      </c>
      <c r="S4236" s="1008" t="s">
        <v>657</v>
      </c>
      <c r="T4236" s="1008" t="s">
        <v>654</v>
      </c>
      <c r="U4236" s="1008" t="s">
        <v>653</v>
      </c>
      <c r="V4236" s="1008" t="s">
        <v>648</v>
      </c>
      <c r="W4236" s="1008" t="s">
        <v>652</v>
      </c>
      <c r="X4236" s="1008"/>
      <c r="Y4236" s="1008"/>
      <c r="Z4236" s="1008"/>
      <c r="AA4236" s="1008"/>
      <c r="AB4236" s="1008"/>
      <c r="AC4236" s="1008"/>
      <c r="AD4236" s="1008"/>
      <c r="AE4236" s="1008"/>
      <c r="AF4236" s="1008"/>
      <c r="AG4236" s="1008"/>
      <c r="AH4236" s="1008"/>
      <c r="AI4236" s="1008"/>
    </row>
    <row r="4237" spans="1:35">
      <c r="A4237" s="1008">
        <v>25597</v>
      </c>
      <c r="C4237" s="1008">
        <v>6</v>
      </c>
      <c r="D4237" s="1009">
        <v>84039999</v>
      </c>
      <c r="E4237" s="1009">
        <v>99999567</v>
      </c>
      <c r="F4237" s="1007" t="s">
        <v>658</v>
      </c>
      <c r="O4237" s="1007" t="s">
        <v>648</v>
      </c>
      <c r="P4237" s="1007" t="s">
        <v>648</v>
      </c>
      <c r="S4237" s="1008" t="s">
        <v>657</v>
      </c>
      <c r="T4237" s="1008" t="s">
        <v>654</v>
      </c>
      <c r="U4237" s="1008" t="s">
        <v>653</v>
      </c>
      <c r="V4237" s="1008" t="s">
        <v>648</v>
      </c>
      <c r="W4237" s="1008" t="s">
        <v>652</v>
      </c>
      <c r="X4237" s="1008"/>
      <c r="Y4237" s="1008"/>
      <c r="Z4237" s="1008"/>
      <c r="AA4237" s="1008"/>
      <c r="AB4237" s="1008"/>
      <c r="AC4237" s="1008"/>
      <c r="AD4237" s="1008"/>
      <c r="AE4237" s="1008"/>
      <c r="AF4237" s="1008"/>
      <c r="AG4237" s="1008"/>
      <c r="AH4237" s="1008"/>
      <c r="AI4237" s="1008"/>
    </row>
    <row r="4238" spans="1:35">
      <c r="A4238" s="1008">
        <v>25664</v>
      </c>
      <c r="C4238" s="1008">
        <v>7</v>
      </c>
      <c r="D4238" s="1009">
        <v>85579999</v>
      </c>
      <c r="E4238" s="1009">
        <v>99999568</v>
      </c>
      <c r="F4238" s="1007" t="s">
        <v>656</v>
      </c>
      <c r="O4238" s="1007" t="s">
        <v>648</v>
      </c>
      <c r="P4238" s="1007" t="s">
        <v>648</v>
      </c>
      <c r="S4238" s="1008" t="s">
        <v>650</v>
      </c>
      <c r="T4238" s="1008" t="s">
        <v>654</v>
      </c>
      <c r="U4238" s="1008" t="s">
        <v>653</v>
      </c>
      <c r="V4238" s="1008" t="s">
        <v>648</v>
      </c>
      <c r="W4238" s="1008" t="s">
        <v>652</v>
      </c>
      <c r="X4238" s="1008"/>
      <c r="Y4238" s="1008"/>
      <c r="Z4238" s="1008"/>
      <c r="AA4238" s="1008"/>
      <c r="AB4238" s="1008"/>
      <c r="AC4238" s="1008"/>
      <c r="AD4238" s="1008"/>
      <c r="AE4238" s="1008"/>
      <c r="AF4238" s="1008"/>
      <c r="AG4238" s="1008"/>
      <c r="AH4238" s="1008"/>
      <c r="AI4238" s="1008"/>
    </row>
    <row r="4239" spans="1:35">
      <c r="A4239" s="1008">
        <v>25670</v>
      </c>
      <c r="C4239" s="1008">
        <v>7</v>
      </c>
      <c r="D4239" s="1009">
        <v>85579999</v>
      </c>
      <c r="E4239" s="1009">
        <v>99999569</v>
      </c>
      <c r="F4239" s="1007" t="s">
        <v>655</v>
      </c>
      <c r="O4239" s="1007" t="s">
        <v>648</v>
      </c>
      <c r="P4239" s="1007" t="s">
        <v>648</v>
      </c>
      <c r="S4239" s="1008" t="s">
        <v>650</v>
      </c>
      <c r="T4239" s="1008" t="s">
        <v>654</v>
      </c>
      <c r="U4239" s="1008" t="s">
        <v>653</v>
      </c>
      <c r="V4239" s="1008" t="s">
        <v>648</v>
      </c>
      <c r="W4239" s="1008" t="s">
        <v>652</v>
      </c>
      <c r="X4239" s="1008"/>
      <c r="Y4239" s="1008"/>
      <c r="Z4239" s="1008"/>
      <c r="AA4239" s="1008"/>
      <c r="AB4239" s="1008"/>
      <c r="AC4239" s="1008"/>
      <c r="AD4239" s="1008"/>
      <c r="AE4239" s="1008"/>
      <c r="AF4239" s="1008"/>
      <c r="AG4239" s="1008"/>
      <c r="AH4239" s="1008"/>
      <c r="AI4239" s="1008"/>
    </row>
    <row r="4240" spans="1:35">
      <c r="A4240" s="1008">
        <v>23507</v>
      </c>
      <c r="C4240" s="1008">
        <v>0</v>
      </c>
      <c r="E4240" s="1009">
        <v>99999999</v>
      </c>
      <c r="F4240" s="1007" t="s">
        <v>651</v>
      </c>
      <c r="O4240" s="1007" t="s">
        <v>648</v>
      </c>
      <c r="P4240" s="1007" t="s">
        <v>648</v>
      </c>
      <c r="S4240" s="1008" t="s">
        <v>650</v>
      </c>
      <c r="T4240" s="1008" t="s">
        <v>21</v>
      </c>
      <c r="U4240" s="1008" t="s">
        <v>649</v>
      </c>
      <c r="V4240" s="1008" t="s">
        <v>648</v>
      </c>
      <c r="W4240" s="1008" t="s">
        <v>546</v>
      </c>
      <c r="X4240" s="1008"/>
      <c r="Y4240" s="1008"/>
      <c r="Z4240" s="1008"/>
      <c r="AA4240" s="1008"/>
      <c r="AB4240" s="1008"/>
      <c r="AC4240" s="1008"/>
      <c r="AD4240" s="1008"/>
      <c r="AE4240" s="1008"/>
      <c r="AF4240" s="1008"/>
      <c r="AG4240" s="1008"/>
      <c r="AH4240" s="1008"/>
      <c r="AI4240" s="1008"/>
    </row>
  </sheetData>
  <autoFilter ref="A3:AI3" xr:uid="{00000000-0009-0000-0000-000000000000}"/>
  <conditionalFormatting sqref="I1:J1048576">
    <cfRule type="expression" dxfId="13" priority="2">
      <formula>$I1=$E1</formula>
    </cfRule>
  </conditionalFormatting>
  <conditionalFormatting sqref="X1:AI1048576">
    <cfRule type="cellIs" dxfId="12" priority="1" operator="equal">
      <formula>"x"</formula>
    </cfRule>
  </conditionalFormatting>
  <conditionalFormatting sqref="A1:XFD1048576">
    <cfRule type="expression" dxfId="11" priority="3">
      <formula>$T1="Regular"</formula>
    </cfRule>
    <cfRule type="expression" dxfId="10" priority="4">
      <formula>AND($C1=9,$T1&lt;&gt;"Regular")</formula>
    </cfRule>
    <cfRule type="expression" dxfId="9" priority="5">
      <formula>AND($C1=8,$T1&lt;&gt;"Regular")</formula>
    </cfRule>
    <cfRule type="expression" dxfId="8" priority="6">
      <formula>AND($C1=8,$T1&lt;&gt;"Regular")</formula>
    </cfRule>
    <cfRule type="expression" dxfId="7" priority="7">
      <formula>AND($C1=7,$T1&lt;&gt;"Regular")</formula>
    </cfRule>
    <cfRule type="expression" dxfId="6" priority="8">
      <formula>AND($C1=6,$T1&lt;&gt;"Regular")</formula>
    </cfRule>
    <cfRule type="expression" dxfId="5" priority="9">
      <formula>AND($C1=5,$T1&lt;&gt;"Regular")</formula>
    </cfRule>
    <cfRule type="expression" dxfId="4" priority="10">
      <formula>AND($C1=4,$T1&lt;&gt;"Regular")</formula>
    </cfRule>
    <cfRule type="expression" dxfId="3" priority="11">
      <formula>AND($C1=3,$T1&lt;&gt;"Regular")</formula>
    </cfRule>
    <cfRule type="expression" dxfId="2" priority="12">
      <formula>AND($C1=2,$T1&lt;&gt;"Regular")</formula>
    </cfRule>
    <cfRule type="expression" dxfId="1" priority="13">
      <formula>AND($C1=1,$T1&lt;&gt;"Regular")</formula>
    </cfRule>
  </conditionalFormatting>
  <pageMargins left="0.2" right="0.2" top="0.2" bottom="0.2" header="0.2" footer="0.2"/>
  <pageSetup scale="52" fitToHeight="0" orientation="portrait" r:id="rId1"/>
  <headerFooter>
    <oddFooter>&amp;L&amp;D &amp;T&amp;R&amp;P/&amp;N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0">
    <tabColor theme="3" tint="0.59999389629810485"/>
    <pageSetUpPr fitToPage="1"/>
  </sheetPr>
  <dimension ref="B2:O83"/>
  <sheetViews>
    <sheetView topLeftCell="A18" zoomScale="125" workbookViewId="0">
      <selection activeCell="E17" sqref="E17"/>
    </sheetView>
  </sheetViews>
  <sheetFormatPr baseColWidth="10" defaultColWidth="9" defaultRowHeight="15"/>
  <cols>
    <col min="1" max="1" width="5" style="738" customWidth="1"/>
    <col min="2" max="2" width="26.33203125" style="738" customWidth="1"/>
    <col min="3" max="9" width="16.5" style="738" customWidth="1"/>
    <col min="10" max="10" width="12.33203125" style="738" bestFit="1" customWidth="1"/>
    <col min="11" max="11" width="20.1640625" style="738" bestFit="1" customWidth="1"/>
    <col min="12" max="12" width="19" style="738" bestFit="1" customWidth="1"/>
    <col min="13" max="13" width="12" style="738" bestFit="1" customWidth="1"/>
    <col min="14" max="15" width="9" style="738"/>
    <col min="16" max="16" width="12.5" style="738" bestFit="1" customWidth="1"/>
    <col min="17" max="17" width="10.33203125" style="738" bestFit="1" customWidth="1"/>
    <col min="18" max="18" width="12.83203125" style="738" bestFit="1" customWidth="1"/>
    <col min="19" max="20" width="9" style="738"/>
    <col min="21" max="21" width="12.33203125" style="738" bestFit="1" customWidth="1"/>
    <col min="22" max="16384" width="9" style="738"/>
  </cols>
  <sheetData>
    <row r="2" spans="2:12" ht="19">
      <c r="B2" s="767" t="s">
        <v>260</v>
      </c>
    </row>
    <row r="3" spans="2:12">
      <c r="B3" s="768" t="str">
        <f>general!$B$3</f>
        <v>Error(s)</v>
      </c>
      <c r="C3" s="765"/>
      <c r="D3" s="765"/>
      <c r="E3" s="765"/>
    </row>
    <row r="4" spans="2:12">
      <c r="B4" s="833"/>
      <c r="C4" s="833"/>
      <c r="D4" s="833"/>
      <c r="E4" s="833"/>
      <c r="F4" s="833"/>
      <c r="G4" s="833"/>
      <c r="H4" s="833"/>
      <c r="I4" s="833"/>
    </row>
    <row r="5" spans="2:12">
      <c r="B5" s="832" t="s">
        <v>583</v>
      </c>
    </row>
    <row r="6" spans="2:12">
      <c r="B6" s="834" t="s">
        <v>312</v>
      </c>
      <c r="C6" s="835" t="s">
        <v>134</v>
      </c>
      <c r="D6" s="836" t="s">
        <v>67</v>
      </c>
      <c r="E6" s="836" t="s">
        <v>154</v>
      </c>
      <c r="F6" s="836" t="s">
        <v>21</v>
      </c>
      <c r="G6" s="836" t="s">
        <v>182</v>
      </c>
      <c r="H6" s="836" t="s">
        <v>584</v>
      </c>
      <c r="I6" s="837" t="s">
        <v>585</v>
      </c>
    </row>
    <row r="7" spans="2:12">
      <c r="B7" s="1051" t="s">
        <v>5147</v>
      </c>
      <c r="C7" s="1052" t="s">
        <v>5099</v>
      </c>
      <c r="D7" s="1104">
        <v>0.9</v>
      </c>
      <c r="E7" s="816">
        <f>MAX(F21,F7)</f>
        <v>3600000</v>
      </c>
      <c r="F7" s="816">
        <f>$F$10*$D$7</f>
        <v>3600000</v>
      </c>
      <c r="G7" s="816">
        <f>+F7/ResUnits</f>
        <v>400000</v>
      </c>
      <c r="H7" s="868">
        <f>+F7/ResSF</f>
        <v>144.9508777580931</v>
      </c>
      <c r="I7" s="818">
        <f t="shared" ref="I7:I12" si="0">+F7/DevBud1</f>
        <v>0.16714482489864665</v>
      </c>
    </row>
    <row r="8" spans="2:12">
      <c r="B8" s="1053" t="s">
        <v>5165</v>
      </c>
      <c r="C8" s="1049" t="s">
        <v>146</v>
      </c>
      <c r="D8" s="1105">
        <v>0.1</v>
      </c>
      <c r="E8" s="754">
        <f>MAX(F22,F8)</f>
        <v>400000</v>
      </c>
      <c r="F8" s="754">
        <f>$F$10*$D$8</f>
        <v>400000</v>
      </c>
      <c r="G8" s="754">
        <f>+F8/ResUnits</f>
        <v>44444.444444444445</v>
      </c>
      <c r="H8" s="864">
        <f>+F8/ResSF</f>
        <v>16.105653084232564</v>
      </c>
      <c r="I8" s="801">
        <f t="shared" si="0"/>
        <v>1.8571647210960742E-2</v>
      </c>
    </row>
    <row r="9" spans="2:12">
      <c r="B9" s="1103" t="s">
        <v>5147</v>
      </c>
      <c r="C9" s="1055" t="s">
        <v>466</v>
      </c>
      <c r="D9" s="825">
        <f>(1-SUM(D7:D8))</f>
        <v>0</v>
      </c>
      <c r="E9" s="817">
        <f>MAX(F23,F9)</f>
        <v>0</v>
      </c>
      <c r="F9" s="817">
        <f>$F$10*$D$9</f>
        <v>0</v>
      </c>
      <c r="G9" s="817">
        <f>+F9/ResUnits</f>
        <v>0</v>
      </c>
      <c r="H9" s="869">
        <f>+F9/ResSF</f>
        <v>0</v>
      </c>
      <c r="I9" s="819">
        <f t="shared" si="0"/>
        <v>0</v>
      </c>
    </row>
    <row r="10" spans="2:12">
      <c r="B10" s="875" t="s">
        <v>188</v>
      </c>
      <c r="C10" s="754"/>
      <c r="D10" s="865">
        <f>F10/$F$17</f>
        <v>0.1857164721096074</v>
      </c>
      <c r="E10" s="871">
        <f>+E9+E8+E7</f>
        <v>4000000</v>
      </c>
      <c r="F10" s="1106">
        <v>4000000</v>
      </c>
      <c r="G10" s="871">
        <f>SUM(G7:G9)</f>
        <v>444444.44444444444</v>
      </c>
      <c r="H10" s="872">
        <f>SUM(H7:H9)</f>
        <v>161.05653084232566</v>
      </c>
      <c r="I10" s="977">
        <f t="shared" si="0"/>
        <v>0.1857164721096074</v>
      </c>
    </row>
    <row r="11" spans="2:12">
      <c r="B11" s="809" t="s">
        <v>172</v>
      </c>
      <c r="C11" s="879" t="s">
        <v>589</v>
      </c>
      <c r="D11" s="863">
        <f>F11/$F$17</f>
        <v>3.8052747985842232E-2</v>
      </c>
      <c r="E11" s="838" t="s">
        <v>126</v>
      </c>
      <c r="F11" s="754">
        <f>+reserves!AM128</f>
        <v>819588</v>
      </c>
      <c r="G11" s="754">
        <f>+F11/ResUnits</f>
        <v>91065.333333333328</v>
      </c>
      <c r="H11" s="864">
        <f>+F11/ResSF</f>
        <v>33</v>
      </c>
      <c r="I11" s="801">
        <f t="shared" si="0"/>
        <v>3.8052747985842232E-2</v>
      </c>
    </row>
    <row r="12" spans="2:12">
      <c r="B12" s="873" t="s">
        <v>586</v>
      </c>
      <c r="C12" s="1108" t="s">
        <v>441</v>
      </c>
      <c r="D12" s="866">
        <f>F12/$F$17</f>
        <v>0.11415824395752669</v>
      </c>
      <c r="E12" s="1107">
        <v>1.4999999999999999E-2</v>
      </c>
      <c r="F12" s="754">
        <f>reserves!AQ128</f>
        <v>2458764</v>
      </c>
      <c r="G12" s="754">
        <f>+F12/ResUnits</f>
        <v>273196</v>
      </c>
      <c r="H12" s="864">
        <f>+F12/ResSF</f>
        <v>99</v>
      </c>
      <c r="I12" s="801">
        <f t="shared" si="0"/>
        <v>0.11415824395752669</v>
      </c>
    </row>
    <row r="13" spans="2:12">
      <c r="B13" s="874" t="s">
        <v>587</v>
      </c>
      <c r="C13" s="876"/>
      <c r="D13" s="867">
        <f>+D11+D12</f>
        <v>0.15221099194336893</v>
      </c>
      <c r="E13" s="816"/>
      <c r="F13" s="871">
        <f>+F11+F12</f>
        <v>3278352</v>
      </c>
      <c r="G13" s="871">
        <f>+G11+G12</f>
        <v>364261.33333333331</v>
      </c>
      <c r="H13" s="872">
        <f>+H11+H12</f>
        <v>132</v>
      </c>
      <c r="I13" s="977">
        <f>+I11+I12</f>
        <v>0.15221099194336893</v>
      </c>
    </row>
    <row r="14" spans="2:12">
      <c r="B14" s="809" t="s">
        <v>400</v>
      </c>
      <c r="C14" s="754"/>
      <c r="D14" s="863">
        <f>F14/$F$17</f>
        <v>8.2886496517057318E-2</v>
      </c>
      <c r="E14" s="754"/>
      <c r="F14" s="754">
        <f>+reserves!R128</f>
        <v>1785226.6</v>
      </c>
      <c r="G14" s="754">
        <f>+F14/ResUnits</f>
        <v>198358.51111111112</v>
      </c>
      <c r="H14" s="864">
        <f>+F14/ResSF</f>
        <v>71.880600740860046</v>
      </c>
      <c r="I14" s="801">
        <f>+F14/DevBud1</f>
        <v>8.2886496517057318E-2</v>
      </c>
      <c r="L14" s="838" t="s">
        <v>590</v>
      </c>
    </row>
    <row r="15" spans="2:12">
      <c r="B15" s="809" t="s">
        <v>588</v>
      </c>
      <c r="C15" s="879" t="s">
        <v>591</v>
      </c>
      <c r="D15" s="863">
        <f>F15/$F$17</f>
        <v>0</v>
      </c>
      <c r="E15" s="863">
        <f>+D51-D54</f>
        <v>0.12</v>
      </c>
      <c r="F15" s="754">
        <f>+reserves!T128+reserves!BC128</f>
        <v>0</v>
      </c>
      <c r="G15" s="754">
        <f>+F15/ResUnits</f>
        <v>0</v>
      </c>
      <c r="H15" s="864">
        <f>+F15/ResSF</f>
        <v>0</v>
      </c>
      <c r="I15" s="801">
        <f>+F15/DevBud1</f>
        <v>0</v>
      </c>
      <c r="L15" s="1114">
        <f>ConstLoan</f>
        <v>12053813.771338444</v>
      </c>
    </row>
    <row r="16" spans="2:12">
      <c r="B16" s="882" t="s">
        <v>152</v>
      </c>
      <c r="C16" s="1109">
        <v>0</v>
      </c>
      <c r="D16" s="825">
        <f>F16/$F$17</f>
        <v>0.55803277586302169</v>
      </c>
      <c r="E16" s="1110">
        <v>0.11</v>
      </c>
      <c r="F16" s="839">
        <f>+reserves!U128+reserves!BG128</f>
        <v>12019025.981361054</v>
      </c>
      <c r="G16" s="840">
        <f>+F16/ResUnits</f>
        <v>1335447.3312623394</v>
      </c>
      <c r="H16" s="841">
        <f>+F16/ResSF</f>
        <v>483.93565716544748</v>
      </c>
      <c r="I16" s="842">
        <f>+F16/DevBud1</f>
        <v>0.55803277586302169</v>
      </c>
      <c r="L16" s="1115">
        <v>2.5000000000000001E-3</v>
      </c>
    </row>
    <row r="17" spans="2:15">
      <c r="B17" s="843" t="s">
        <v>78</v>
      </c>
      <c r="C17" s="844"/>
      <c r="D17" s="845">
        <f>+D10+SUM(D13:D16)</f>
        <v>0.97884673643305531</v>
      </c>
      <c r="E17" s="846"/>
      <c r="F17" s="846">
        <f>DevBud2</f>
        <v>21538207.971338443</v>
      </c>
      <c r="G17" s="846">
        <f>+G10+SUM(G13:G16)</f>
        <v>2342511.6201512283</v>
      </c>
      <c r="H17" s="847">
        <f>+H10+SUM(H13:H16)</f>
        <v>848.87278874863318</v>
      </c>
      <c r="I17" s="848">
        <f>+I10+SUM(I13:I16)</f>
        <v>0.97884673643305531</v>
      </c>
      <c r="L17" s="1116"/>
    </row>
    <row r="18" spans="2:15">
      <c r="B18" s="857"/>
      <c r="C18" s="858"/>
      <c r="D18" s="859"/>
      <c r="E18" s="860"/>
      <c r="F18" s="860"/>
      <c r="G18" s="860"/>
      <c r="H18" s="861"/>
      <c r="I18" s="859"/>
      <c r="L18" s="862"/>
    </row>
    <row r="19" spans="2:15">
      <c r="B19" s="849" t="s">
        <v>594</v>
      </c>
    </row>
    <row r="20" spans="2:15">
      <c r="B20" s="834" t="s">
        <v>312</v>
      </c>
      <c r="C20" s="835"/>
      <c r="D20" s="836"/>
      <c r="E20" s="836"/>
      <c r="F20" s="836" t="s">
        <v>21</v>
      </c>
      <c r="G20" s="836" t="s">
        <v>182</v>
      </c>
      <c r="H20" s="836" t="s">
        <v>584</v>
      </c>
      <c r="I20" s="837" t="s">
        <v>585</v>
      </c>
    </row>
    <row r="21" spans="2:15">
      <c r="B21" s="873" t="str">
        <f>+B7</f>
        <v>TBD</v>
      </c>
      <c r="C21" s="816"/>
      <c r="D21" s="816"/>
      <c r="E21" s="816"/>
      <c r="F21" s="816">
        <f>+F24*D7</f>
        <v>1289334.0888689146</v>
      </c>
      <c r="G21" s="816">
        <f t="shared" ref="G21:G30" si="1">+F21/ResUnits</f>
        <v>143259.34320765719</v>
      </c>
      <c r="H21" s="868">
        <f t="shared" ref="H21:H30" si="2">+F21/ResSF</f>
        <v>51.913918862494548</v>
      </c>
      <c r="I21" s="818">
        <f>+F21/$F$31</f>
        <v>0.32266860981856976</v>
      </c>
    </row>
    <row r="22" spans="2:15">
      <c r="B22" s="873" t="str">
        <f>+B8</f>
        <v>OG Group</v>
      </c>
      <c r="C22" s="754"/>
      <c r="D22" s="754"/>
      <c r="E22" s="754"/>
      <c r="F22" s="754">
        <f>+F24*D8</f>
        <v>143259.34320765719</v>
      </c>
      <c r="G22" s="754">
        <f t="shared" si="1"/>
        <v>15917.704800850799</v>
      </c>
      <c r="H22" s="864">
        <f t="shared" si="2"/>
        <v>5.7682132069438392</v>
      </c>
      <c r="I22" s="801">
        <f t="shared" ref="I22:I31" si="3">+F22/$F$31</f>
        <v>3.5852067757618865E-2</v>
      </c>
    </row>
    <row r="23" spans="2:15">
      <c r="B23" s="873" t="str">
        <f>+B9</f>
        <v>TBD</v>
      </c>
      <c r="C23" s="817"/>
      <c r="D23" s="817"/>
      <c r="E23" s="817"/>
      <c r="F23" s="817">
        <f>+F24*D9</f>
        <v>0</v>
      </c>
      <c r="G23" s="817">
        <f t="shared" si="1"/>
        <v>0</v>
      </c>
      <c r="H23" s="869">
        <f t="shared" si="2"/>
        <v>0</v>
      </c>
      <c r="I23" s="819">
        <f t="shared" si="3"/>
        <v>0</v>
      </c>
    </row>
    <row r="24" spans="2:15">
      <c r="B24" s="875" t="s">
        <v>592</v>
      </c>
      <c r="C24" s="754"/>
      <c r="D24" s="865"/>
      <c r="E24" s="871"/>
      <c r="F24" s="871">
        <f>+SUMIF(reserves!$A$6:$A$126,reserves!$A$5,reserves!$S$6:$S$126)</f>
        <v>1432593.4320765717</v>
      </c>
      <c r="G24" s="871">
        <f t="shared" si="1"/>
        <v>159177.04800850796</v>
      </c>
      <c r="H24" s="872">
        <f t="shared" si="2"/>
        <v>57.682132069438389</v>
      </c>
      <c r="I24" s="867">
        <f t="shared" si="3"/>
        <v>0.35852067757618861</v>
      </c>
    </row>
    <row r="25" spans="2:15">
      <c r="B25" s="809" t="str">
        <f>+B11</f>
        <v>Bonded Deposits</v>
      </c>
      <c r="C25" s="863"/>
      <c r="D25" s="863"/>
      <c r="E25" s="863"/>
      <c r="F25" s="754">
        <f>+SUMIF(reserves!$A$6:$A$126,reserves!$A$5,reserves!$AQ$6:$AQ$126)</f>
        <v>0</v>
      </c>
      <c r="G25" s="754">
        <f t="shared" si="1"/>
        <v>0</v>
      </c>
      <c r="H25" s="864">
        <f t="shared" si="2"/>
        <v>0</v>
      </c>
      <c r="I25" s="863">
        <f t="shared" si="3"/>
        <v>0</v>
      </c>
    </row>
    <row r="26" spans="2:15">
      <c r="B26" s="873" t="str">
        <f>+B12</f>
        <v>Excess 10% Deposits</v>
      </c>
      <c r="C26" s="863"/>
      <c r="D26" s="863"/>
      <c r="E26" s="863"/>
      <c r="F26" s="754">
        <f>+SUMIF(reserves!$A$6:$A$126,reserves!$A$5,reserves!$AM$6:$AM$126)</f>
        <v>0</v>
      </c>
      <c r="G26" s="754">
        <f t="shared" si="1"/>
        <v>0</v>
      </c>
      <c r="H26" s="864">
        <f t="shared" si="2"/>
        <v>0</v>
      </c>
      <c r="I26" s="863">
        <f t="shared" si="3"/>
        <v>0</v>
      </c>
    </row>
    <row r="27" spans="2:15">
      <c r="B27" s="874" t="str">
        <f>+B13</f>
        <v>Total Deposits</v>
      </c>
      <c r="C27" s="876"/>
      <c r="D27" s="878" t="s">
        <v>593</v>
      </c>
      <c r="E27" s="877" t="s">
        <v>126</v>
      </c>
      <c r="F27" s="871">
        <f>+F25+F26</f>
        <v>0</v>
      </c>
      <c r="G27" s="871">
        <f t="shared" si="1"/>
        <v>0</v>
      </c>
      <c r="H27" s="872">
        <f t="shared" si="2"/>
        <v>0</v>
      </c>
      <c r="I27" s="867">
        <f t="shared" si="3"/>
        <v>0</v>
      </c>
    </row>
    <row r="28" spans="2:15">
      <c r="B28" s="809" t="str">
        <f>+B15</f>
        <v>Mezzanine Loan</v>
      </c>
      <c r="C28" s="754"/>
      <c r="D28" s="863">
        <f>+D15</f>
        <v>0</v>
      </c>
      <c r="E28" s="863">
        <f>+D51</f>
        <v>0.12</v>
      </c>
      <c r="F28" s="754">
        <f>+SUMIF(reserves!$A$6:$A$126,reserves!$A$5,reserves!$T$6:$T$126)</f>
        <v>0</v>
      </c>
      <c r="G28" s="754">
        <f t="shared" si="1"/>
        <v>0</v>
      </c>
      <c r="H28" s="864">
        <f t="shared" si="2"/>
        <v>0</v>
      </c>
      <c r="I28" s="863">
        <f t="shared" si="3"/>
        <v>0</v>
      </c>
    </row>
    <row r="29" spans="2:15">
      <c r="B29" s="809" t="s">
        <v>392</v>
      </c>
      <c r="C29" s="754"/>
      <c r="D29" s="863"/>
      <c r="E29" s="863"/>
      <c r="F29" s="754">
        <f>reserves!AY128</f>
        <v>388252.61441019975</v>
      </c>
      <c r="G29" s="754">
        <f t="shared" si="1"/>
        <v>43139.179378911082</v>
      </c>
      <c r="H29" s="864">
        <f t="shared" si="2"/>
        <v>15.632654791842477</v>
      </c>
      <c r="I29" s="863">
        <f t="shared" si="3"/>
        <v>9.7164057346893845E-2</v>
      </c>
    </row>
    <row r="30" spans="2:15">
      <c r="B30" s="809" t="s">
        <v>171</v>
      </c>
      <c r="C30" s="754"/>
      <c r="D30" s="863">
        <f>+D54</f>
        <v>0</v>
      </c>
      <c r="E30" s="1105">
        <v>0.11</v>
      </c>
      <c r="F30" s="1106">
        <f>0.75*bud_detail!F6</f>
        <v>2175000</v>
      </c>
      <c r="G30" s="840">
        <f t="shared" si="1"/>
        <v>241666.66666666666</v>
      </c>
      <c r="H30" s="841">
        <f t="shared" si="2"/>
        <v>87.574488645514577</v>
      </c>
      <c r="I30" s="842">
        <f t="shared" si="3"/>
        <v>0.54431526507691752</v>
      </c>
      <c r="N30" s="850"/>
      <c r="O30" s="850"/>
    </row>
    <row r="31" spans="2:15">
      <c r="B31" s="843" t="s">
        <v>606</v>
      </c>
      <c r="C31" s="844"/>
      <c r="D31" s="845"/>
      <c r="E31" s="846"/>
      <c r="F31" s="846">
        <f>+F24+SUM(F27:F30)</f>
        <v>3995846.0464867717</v>
      </c>
      <c r="G31" s="846">
        <f>+G24+SUM(G27:G30)</f>
        <v>443982.89405408571</v>
      </c>
      <c r="H31" s="847">
        <f>+H24+SUM(H27:H30)</f>
        <v>160.88927550679543</v>
      </c>
      <c r="I31" s="848">
        <f t="shared" si="3"/>
        <v>1</v>
      </c>
    </row>
    <row r="32" spans="2:15">
      <c r="F32" s="851">
        <f>+SUMIF(reserves!$A$6:$A$126,reserves!$A$5,reserves!$M$6:$M$126)+reserves!AY128</f>
        <v>3995846.0464867689</v>
      </c>
      <c r="K32" s="852"/>
    </row>
    <row r="33" spans="2:12">
      <c r="B33" s="832" t="s">
        <v>595</v>
      </c>
      <c r="F33" s="208"/>
    </row>
    <row r="34" spans="2:12">
      <c r="B34" s="1384" t="s">
        <v>264</v>
      </c>
      <c r="C34" s="1385" t="str">
        <f>+B7</f>
        <v>TBD</v>
      </c>
      <c r="D34" s="1385" t="str">
        <f>B8</f>
        <v>OG Group</v>
      </c>
      <c r="E34" s="1385" t="str">
        <f>+B9</f>
        <v>TBD</v>
      </c>
      <c r="F34" s="1386" t="s">
        <v>148</v>
      </c>
      <c r="K34" s="1383" t="s">
        <v>272</v>
      </c>
      <c r="L34" s="885">
        <f>+'New Waterfall'!G19</f>
        <v>0.82980462596931537</v>
      </c>
    </row>
    <row r="35" spans="2:12">
      <c r="B35" s="823" t="s">
        <v>265</v>
      </c>
      <c r="C35" s="1104">
        <v>0.1</v>
      </c>
      <c r="D35" s="1104">
        <v>0.1</v>
      </c>
      <c r="E35" s="1104">
        <v>0.1</v>
      </c>
      <c r="F35" s="1111">
        <v>0</v>
      </c>
    </row>
    <row r="36" spans="2:12">
      <c r="B36" s="809" t="s">
        <v>266</v>
      </c>
      <c r="C36" s="1105">
        <v>10</v>
      </c>
      <c r="D36" s="1105">
        <v>10</v>
      </c>
      <c r="E36" s="1105">
        <v>10</v>
      </c>
      <c r="F36" s="1112">
        <v>0.99999990000000005</v>
      </c>
    </row>
    <row r="37" spans="2:12">
      <c r="B37" s="809" t="s">
        <v>267</v>
      </c>
      <c r="C37" s="1105"/>
      <c r="D37" s="1105"/>
      <c r="E37" s="1105"/>
      <c r="F37" s="1112"/>
    </row>
    <row r="38" spans="2:12">
      <c r="B38" s="809" t="s">
        <v>447</v>
      </c>
      <c r="C38" s="1105"/>
      <c r="D38" s="1105"/>
      <c r="E38" s="1105"/>
      <c r="F38" s="1112"/>
    </row>
    <row r="39" spans="2:12">
      <c r="B39" s="809" t="s">
        <v>448</v>
      </c>
      <c r="C39" s="1105"/>
      <c r="D39" s="1105"/>
      <c r="E39" s="1105"/>
      <c r="F39" s="1112"/>
    </row>
    <row r="40" spans="2:12">
      <c r="B40" s="882" t="s">
        <v>449</v>
      </c>
      <c r="C40" s="1110"/>
      <c r="D40" s="1110"/>
      <c r="E40" s="1110"/>
      <c r="F40" s="1113"/>
    </row>
    <row r="41" spans="2:12">
      <c r="B41" s="883" t="s">
        <v>270</v>
      </c>
      <c r="C41" s="884">
        <f>1-SUM(D41,E41)</f>
        <v>0</v>
      </c>
      <c r="D41" s="1117">
        <v>1</v>
      </c>
      <c r="E41" s="1118">
        <v>0</v>
      </c>
    </row>
    <row r="42" spans="2:12">
      <c r="B42" s="809" t="s">
        <v>596</v>
      </c>
      <c r="C42" s="880">
        <f>1-SUM(D42,E42)</f>
        <v>0</v>
      </c>
      <c r="D42" s="1105">
        <v>1</v>
      </c>
      <c r="E42" s="1112">
        <f>IF($D$9=0,1-D42,0)</f>
        <v>0</v>
      </c>
    </row>
    <row r="43" spans="2:12">
      <c r="B43" s="809" t="s">
        <v>597</v>
      </c>
      <c r="C43" s="880">
        <f>1-SUM(D43,E43)</f>
        <v>0</v>
      </c>
      <c r="D43" s="1105">
        <v>1</v>
      </c>
      <c r="E43" s="1112">
        <f>IF($D$9=0,1-D43,0)</f>
        <v>0</v>
      </c>
    </row>
    <row r="44" spans="2:12">
      <c r="B44" s="809" t="s">
        <v>598</v>
      </c>
      <c r="C44" s="881">
        <f>1-SUM(D44,E44)</f>
        <v>0</v>
      </c>
      <c r="D44" s="1110">
        <v>1</v>
      </c>
      <c r="E44" s="1113">
        <f>IF($D$9=0,1-D44,0)</f>
        <v>0</v>
      </c>
    </row>
    <row r="45" spans="2:12">
      <c r="B45" s="809" t="s">
        <v>269</v>
      </c>
      <c r="C45" s="863">
        <f>IFERROR(#REF!/#REF!,0)</f>
        <v>0</v>
      </c>
      <c r="D45" s="863">
        <f>IFERROR(#REF!/#REF!,0)</f>
        <v>0</v>
      </c>
      <c r="E45" s="801">
        <f>IFERROR(#REF!/#REF!,0)</f>
        <v>0</v>
      </c>
    </row>
    <row r="46" spans="2:12">
      <c r="B46" s="809" t="s">
        <v>270</v>
      </c>
      <c r="C46" s="863">
        <f>IFERROR(#REF!/#REF!,0)</f>
        <v>0</v>
      </c>
      <c r="D46" s="863">
        <f>IFERROR(#REF!/#REF!,0)</f>
        <v>0</v>
      </c>
      <c r="E46" s="801">
        <f>IFERROR(#REF!/#REF!,0)</f>
        <v>0</v>
      </c>
    </row>
    <row r="47" spans="2:12">
      <c r="B47" s="882" t="s">
        <v>271</v>
      </c>
      <c r="C47" s="825">
        <f>IFERROR(#REF!/#REF!,0)</f>
        <v>0</v>
      </c>
      <c r="D47" s="825">
        <f>IFERROR(#REF!/#REF!,0)</f>
        <v>0</v>
      </c>
      <c r="E47" s="819">
        <f>IFERROR(#REF!/#REF!,0)</f>
        <v>0</v>
      </c>
    </row>
    <row r="49" spans="2:7">
      <c r="B49" s="832" t="s">
        <v>434</v>
      </c>
    </row>
    <row r="50" spans="2:7">
      <c r="B50" s="889"/>
      <c r="C50" s="890"/>
      <c r="D50" s="891"/>
      <c r="E50" s="765"/>
      <c r="F50" s="765"/>
      <c r="G50" s="765"/>
    </row>
    <row r="51" spans="2:7">
      <c r="B51" s="823" t="s">
        <v>126</v>
      </c>
      <c r="C51" s="870"/>
      <c r="D51" s="1119">
        <v>0.12</v>
      </c>
    </row>
    <row r="52" spans="2:7">
      <c r="B52" s="809" t="s">
        <v>435</v>
      </c>
      <c r="C52" s="863"/>
      <c r="D52" s="1120" t="s">
        <v>441</v>
      </c>
    </row>
    <row r="53" spans="2:7">
      <c r="B53" s="809" t="s">
        <v>436</v>
      </c>
      <c r="C53" s="863"/>
      <c r="D53" s="1112">
        <v>0.04</v>
      </c>
    </row>
    <row r="54" spans="2:7">
      <c r="B54" s="809" t="s">
        <v>602</v>
      </c>
      <c r="C54" s="863"/>
      <c r="D54" s="801">
        <f>IF(D52="yes",0,D53)</f>
        <v>0</v>
      </c>
    </row>
    <row r="55" spans="2:7">
      <c r="B55" s="809" t="s">
        <v>605</v>
      </c>
      <c r="C55" s="863"/>
      <c r="D55" s="1120">
        <f>+general!C23</f>
        <v>18</v>
      </c>
    </row>
    <row r="56" spans="2:7">
      <c r="B56" s="809" t="s">
        <v>604</v>
      </c>
      <c r="C56" s="863"/>
      <c r="D56" s="886">
        <f>EOMONTH(general!D20,D55)</f>
        <v>46812</v>
      </c>
      <c r="F56" s="838"/>
    </row>
    <row r="57" spans="2:7">
      <c r="B57" s="809" t="s">
        <v>437</v>
      </c>
      <c r="C57" s="863"/>
      <c r="D57" s="1120">
        <v>0</v>
      </c>
    </row>
    <row r="58" spans="2:7">
      <c r="B58" s="809" t="s">
        <v>600</v>
      </c>
      <c r="C58" s="863"/>
      <c r="D58" s="1120">
        <v>0</v>
      </c>
    </row>
    <row r="59" spans="2:7">
      <c r="B59" s="809" t="s">
        <v>601</v>
      </c>
      <c r="C59" s="863"/>
      <c r="D59" s="887">
        <f>D57*($E$15+D54)*$D$58/12</f>
        <v>0</v>
      </c>
    </row>
    <row r="60" spans="2:7">
      <c r="B60" s="882" t="s">
        <v>599</v>
      </c>
      <c r="C60" s="825"/>
      <c r="D60" s="888">
        <f>+reserves!BC128+reserves!J128</f>
        <v>0</v>
      </c>
    </row>
    <row r="62" spans="2:7">
      <c r="B62" s="832" t="s">
        <v>5166</v>
      </c>
    </row>
    <row r="63" spans="2:7">
      <c r="B63" s="889"/>
      <c r="C63" s="890"/>
      <c r="D63" s="891"/>
      <c r="E63" s="765"/>
      <c r="F63" s="765"/>
      <c r="G63" s="765"/>
    </row>
    <row r="64" spans="2:7">
      <c r="B64" s="823" t="s">
        <v>126</v>
      </c>
      <c r="C64" s="870"/>
      <c r="D64" s="1119">
        <v>0.12</v>
      </c>
    </row>
    <row r="65" spans="2:6">
      <c r="B65" s="809" t="s">
        <v>605</v>
      </c>
      <c r="C65" s="863"/>
      <c r="D65" s="1120">
        <f>+general!C22</f>
        <v>0</v>
      </c>
    </row>
    <row r="66" spans="2:6">
      <c r="B66" s="809" t="s">
        <v>604</v>
      </c>
      <c r="C66" s="863"/>
      <c r="D66" s="886">
        <f>EOMONTH(general!D20,D22)</f>
        <v>46265</v>
      </c>
      <c r="F66" s="838"/>
    </row>
    <row r="67" spans="2:6">
      <c r="B67" s="809" t="s">
        <v>5167</v>
      </c>
      <c r="C67" s="863"/>
      <c r="D67" s="1120">
        <v>1500000</v>
      </c>
    </row>
    <row r="68" spans="2:6">
      <c r="B68" s="809" t="s">
        <v>599</v>
      </c>
      <c r="C68" s="863"/>
      <c r="D68" s="887">
        <f>D67*D64</f>
        <v>180000</v>
      </c>
    </row>
    <row r="69" spans="2:6">
      <c r="B69" s="882" t="s">
        <v>308</v>
      </c>
      <c r="C69" s="825"/>
      <c r="D69" s="888">
        <v>4</v>
      </c>
    </row>
    <row r="71" spans="2:6">
      <c r="B71" s="853" t="s">
        <v>185</v>
      </c>
      <c r="C71" s="856"/>
    </row>
    <row r="72" spans="2:6">
      <c r="B72" s="854" t="s">
        <v>275</v>
      </c>
      <c r="C72" s="856" t="str">
        <f>IF(AND(SUM($D$7:$D$9)=1,MIN($D$8:$D$9)&gt;=0,MAX($D$8:$D$9)&lt;=1),"",1)</f>
        <v/>
      </c>
    </row>
    <row r="73" spans="2:6">
      <c r="B73" s="855" t="s">
        <v>276</v>
      </c>
      <c r="C73" s="856" t="str">
        <f>IF(ABS(F32-F31)&gt;0.1,1,"")</f>
        <v/>
      </c>
    </row>
    <row r="74" spans="2:6">
      <c r="B74" s="855" t="s">
        <v>289</v>
      </c>
      <c r="C74" s="856">
        <f>IF(ABS(PredevBud1-PredevBud2)&lt;1,"",1)</f>
        <v>1</v>
      </c>
    </row>
    <row r="75" spans="2:6">
      <c r="B75" s="855" t="s">
        <v>277</v>
      </c>
      <c r="C75" s="856">
        <f>IF(ABS(SUM(F13:F16,F10)-DevBud1)&gt;0.01,1,0)</f>
        <v>1</v>
      </c>
    </row>
    <row r="76" spans="2:6">
      <c r="B76" s="855" t="s">
        <v>278</v>
      </c>
      <c r="C76" s="856" t="str">
        <f>IF(AND(ABS(SUM(F7:F9)-F10)&lt;0.1,MIN(F7:F16)&gt;=0),"",1)</f>
        <v/>
      </c>
    </row>
    <row r="77" spans="2:6">
      <c r="B77" s="855" t="s">
        <v>290</v>
      </c>
      <c r="C77" s="856" t="str">
        <f>IF(ABS(DevBud1-DevBud2)&lt;1,"",1)</f>
        <v/>
      </c>
    </row>
    <row r="78" spans="2:6">
      <c r="B78" s="855" t="s">
        <v>275</v>
      </c>
      <c r="C78" s="856" t="str">
        <f>IF(ABS(SUM(F7:F9)-F10)&lt;0.1,"",1)</f>
        <v/>
      </c>
    </row>
    <row r="79" spans="2:6">
      <c r="B79" s="855" t="s">
        <v>273</v>
      </c>
      <c r="C79" s="856" t="str">
        <f>IF(AND(SUM(C42:E42)=1,MIN(C42:E42)&gt;=0,MAX(C42:E42)&lt;=1,SUM(C43:E43)=1,MIN(C43:E43)&gt;=0,MAX(C43:E43)&lt;=1,SUM(C44:E44)=1,MIN(C44:E44)&gt;=0,MAX(C44:E44)&lt;=1,SUM(C41:E41)=1,MIN(C41:E41)&gt;=0,MAX(C41:E41)&lt;=1),"",1)</f>
        <v/>
      </c>
    </row>
    <row r="80" spans="2:6">
      <c r="B80" s="855" t="s">
        <v>274</v>
      </c>
      <c r="C80" s="856" t="str">
        <f>IF(SUM(D47:E47)&lt;=1,"",1)</f>
        <v/>
      </c>
    </row>
    <row r="81" spans="2:3">
      <c r="B81" s="855" t="s">
        <v>175</v>
      </c>
      <c r="C81" s="856">
        <f>IF(ABS(Delta)&lt;1,"",1)</f>
        <v>1</v>
      </c>
    </row>
    <row r="82" spans="2:3">
      <c r="B82" s="855" t="s">
        <v>603</v>
      </c>
      <c r="C82" s="856">
        <f>+IF(ABS(SUM(F10,F13:F16)-DevBud1)&gt;0.01,1,0)</f>
        <v>1</v>
      </c>
    </row>
    <row r="83" spans="2:3">
      <c r="C83"/>
    </row>
  </sheetData>
  <dataValidations count="3">
    <dataValidation type="list" allowBlank="1" showInputMessage="1" showErrorMessage="1" sqref="C12 D52" xr:uid="{00000000-0002-0000-0500-000000000000}">
      <formula1>"yes,no"</formula1>
    </dataValidation>
    <dataValidation type="whole" allowBlank="1" showInputMessage="1" showErrorMessage="1" promptTitle="Minimum Interest" prompt="Enter # of Months of Min Interest, leave blank if none_x000a_" sqref="D58 L17:L18" xr:uid="{00000000-0002-0000-0500-000001000000}">
      <formula1>0</formula1>
      <formula2>99</formula2>
    </dataValidation>
    <dataValidation type="decimal" operator="lessThanOrEqual" allowBlank="1" showInputMessage="1" showErrorMessage="1" sqref="D53:D54" xr:uid="{00000000-0002-0000-0500-000002000000}">
      <formula1>D51</formula1>
    </dataValidation>
  </dataValidations>
  <printOptions horizontalCentered="1"/>
  <pageMargins left="0.25" right="0.25" top="0.75" bottom="0.75" header="0.3" footer="0.3"/>
  <pageSetup scale="75" orientation="portrait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published="0" codeName="Sheet12">
    <tabColor theme="3" tint="0.59999389629810485"/>
  </sheetPr>
  <dimension ref="A2:AA133"/>
  <sheetViews>
    <sheetView workbookViewId="0"/>
  </sheetViews>
  <sheetFormatPr baseColWidth="10" defaultColWidth="9" defaultRowHeight="15"/>
  <cols>
    <col min="1" max="14" width="9" style="994"/>
    <col min="15" max="15" width="11.83203125" style="994" customWidth="1"/>
    <col min="16" max="18" width="19.33203125" style="994" customWidth="1"/>
    <col min="19" max="19" width="15.5" style="996" bestFit="1" customWidth="1"/>
    <col min="20" max="21" width="11.33203125" style="996" bestFit="1" customWidth="1"/>
    <col min="22" max="22" width="10.83203125" style="996" bestFit="1" customWidth="1"/>
    <col min="23" max="23" width="9" style="996"/>
    <col min="24" max="24" width="9.5" style="996" bestFit="1" customWidth="1"/>
    <col min="25" max="25" width="11.33203125" style="996" bestFit="1" customWidth="1"/>
    <col min="26" max="27" width="9.5" style="996" bestFit="1" customWidth="1"/>
    <col min="28" max="16384" width="9" style="996"/>
  </cols>
  <sheetData>
    <row r="2" spans="2:27">
      <c r="O2" s="990" t="s">
        <v>181</v>
      </c>
      <c r="P2" s="991" t="s">
        <v>615</v>
      </c>
      <c r="Q2" s="991" t="s">
        <v>616</v>
      </c>
      <c r="R2" s="992" t="s">
        <v>617</v>
      </c>
    </row>
    <row r="3" spans="2:27">
      <c r="O3" s="1126">
        <v>43913</v>
      </c>
      <c r="P3" s="1127">
        <v>9.2362999999999994E-3</v>
      </c>
      <c r="Q3" s="1127">
        <v>1.19513E-2</v>
      </c>
      <c r="R3" s="1128">
        <v>1.2005E-3</v>
      </c>
    </row>
    <row r="4" spans="2:27">
      <c r="O4" s="1126">
        <v>43944</v>
      </c>
      <c r="P4" s="1127">
        <v>8.3497999999999992E-3</v>
      </c>
      <c r="Q4" s="1127">
        <v>9.9965000000000002E-3</v>
      </c>
      <c r="R4" s="1128">
        <v>1.2005E-3</v>
      </c>
      <c r="T4" s="996" t="s">
        <v>474</v>
      </c>
      <c r="V4" s="997"/>
      <c r="W4" s="998" t="s">
        <v>473</v>
      </c>
      <c r="X4" s="999">
        <f>financing!E16</f>
        <v>0.11</v>
      </c>
    </row>
    <row r="5" spans="2:27">
      <c r="O5" s="1126">
        <v>43976</v>
      </c>
      <c r="P5" s="1127">
        <v>6.9661999999999996E-3</v>
      </c>
      <c r="Q5" s="1127">
        <v>7.9787E-3</v>
      </c>
      <c r="R5" s="1128">
        <v>1.1884E-3</v>
      </c>
      <c r="W5" s="998" t="s">
        <v>476</v>
      </c>
      <c r="X5" s="1154">
        <v>5.0000000000000001E-3</v>
      </c>
    </row>
    <row r="6" spans="2:27" ht="16">
      <c r="O6" s="1126">
        <v>44005</v>
      </c>
      <c r="P6" s="1127">
        <v>5.2189999999999997E-3</v>
      </c>
      <c r="Q6" s="1127">
        <v>6.1500000000000001E-3</v>
      </c>
      <c r="R6" s="1128">
        <v>9.3880000000000005E-4</v>
      </c>
      <c r="T6" s="1000" t="s">
        <v>181</v>
      </c>
      <c r="U6" s="1000" t="s">
        <v>475</v>
      </c>
      <c r="V6" s="1000" t="s">
        <v>126</v>
      </c>
      <c r="X6" s="1001" t="s">
        <v>350</v>
      </c>
      <c r="Y6" s="1001" t="s">
        <v>74</v>
      </c>
      <c r="Z6" s="1000"/>
      <c r="AA6" s="1000"/>
    </row>
    <row r="7" spans="2:27">
      <c r="O7" s="1126">
        <v>44035</v>
      </c>
      <c r="P7" s="1127">
        <v>3.9288999999999999E-3</v>
      </c>
      <c r="Q7" s="1127">
        <v>5.6908000000000002E-3</v>
      </c>
      <c r="R7" s="1128">
        <v>9.3880000000000005E-4</v>
      </c>
      <c r="T7" s="1002">
        <f>+O3</f>
        <v>43913</v>
      </c>
      <c r="U7" s="1002">
        <f t="shared" ref="U7:U69" si="0">EOMONTH(T7,0)</f>
        <v>43921</v>
      </c>
      <c r="V7" s="1003">
        <f>+P3</f>
        <v>9.2362999999999994E-3</v>
      </c>
      <c r="W7" s="1004" t="str">
        <f>'Development Cash Flow'!A6</f>
        <v>Pred</v>
      </c>
      <c r="X7" s="1004">
        <f>'Development Cash Flow'!C6</f>
        <v>0</v>
      </c>
      <c r="Y7" s="1002">
        <f>'Development Cash Flow'!D6</f>
        <v>46235</v>
      </c>
      <c r="Z7" s="1003">
        <f t="shared" ref="Z7:Z38" si="1">MAX(IFERROR(VLOOKUP(Y7,$U$7:$V$124,2,FALSE),0),$X$5)</f>
        <v>5.0000000000000001E-3</v>
      </c>
      <c r="AA7" s="1005">
        <f t="shared" ref="AA7:AA38" si="2">Z7+$X$4</f>
        <v>0.115</v>
      </c>
    </row>
    <row r="8" spans="2:27">
      <c r="B8" s="1006" t="s">
        <v>618</v>
      </c>
      <c r="O8" s="1126">
        <v>44067</v>
      </c>
      <c r="P8" s="1127">
        <v>3.31E-3</v>
      </c>
      <c r="Q8" s="1127">
        <v>5.2009999999999999E-3</v>
      </c>
      <c r="R8" s="1128">
        <v>7.986E-4</v>
      </c>
      <c r="T8" s="997">
        <f t="shared" ref="T8:T71" si="3">+O4</f>
        <v>43944</v>
      </c>
      <c r="U8" s="997">
        <f t="shared" si="0"/>
        <v>43951</v>
      </c>
      <c r="V8" s="391">
        <f t="shared" ref="V8:V71" si="4">+P4</f>
        <v>8.3497999999999992E-3</v>
      </c>
      <c r="W8" s="996" t="str">
        <f>'Development Cash Flow'!A7</f>
        <v>Pred</v>
      </c>
      <c r="X8" s="996">
        <f>'Development Cash Flow'!C7</f>
        <v>1</v>
      </c>
      <c r="Y8" s="997">
        <f>'Development Cash Flow'!D7</f>
        <v>46295</v>
      </c>
      <c r="Z8" s="391">
        <f t="shared" si="1"/>
        <v>1.24682E-2</v>
      </c>
      <c r="AA8" s="999">
        <f t="shared" si="2"/>
        <v>0.1224682</v>
      </c>
    </row>
    <row r="9" spans="2:27">
      <c r="B9" s="993" t="s">
        <v>619</v>
      </c>
      <c r="O9" s="1126">
        <v>44097</v>
      </c>
      <c r="P9" s="1127">
        <v>3.3419999999999999E-3</v>
      </c>
      <c r="Q9" s="1127">
        <v>4.7418E-3</v>
      </c>
      <c r="R9" s="1128">
        <v>7.9290000000000003E-4</v>
      </c>
      <c r="T9" s="997">
        <f t="shared" si="3"/>
        <v>43976</v>
      </c>
      <c r="U9" s="997">
        <f t="shared" si="0"/>
        <v>43982</v>
      </c>
      <c r="V9" s="391">
        <f t="shared" si="4"/>
        <v>6.9661999999999996E-3</v>
      </c>
      <c r="W9" s="996" t="str">
        <f>'Development Cash Flow'!A8</f>
        <v>Pred</v>
      </c>
      <c r="X9" s="996">
        <f>'Development Cash Flow'!C8</f>
        <v>2</v>
      </c>
      <c r="Y9" s="997">
        <f>'Development Cash Flow'!D8</f>
        <v>46326</v>
      </c>
      <c r="Z9" s="391">
        <f t="shared" si="1"/>
        <v>1.25294E-2</v>
      </c>
      <c r="AA9" s="999">
        <f t="shared" si="2"/>
        <v>0.1225294</v>
      </c>
    </row>
    <row r="10" spans="2:27">
      <c r="O10" s="1126">
        <v>44127</v>
      </c>
      <c r="P10" s="1127">
        <v>3.5707E-3</v>
      </c>
      <c r="Q10" s="1127">
        <v>4.8066000000000003E-3</v>
      </c>
      <c r="R10" s="1128">
        <v>7.9290000000000003E-4</v>
      </c>
      <c r="T10" s="997">
        <f t="shared" si="3"/>
        <v>44005</v>
      </c>
      <c r="U10" s="997">
        <f t="shared" si="0"/>
        <v>44012</v>
      </c>
      <c r="V10" s="391">
        <f t="shared" si="4"/>
        <v>5.2189999999999997E-3</v>
      </c>
      <c r="W10" s="996" t="str">
        <f>'Development Cash Flow'!A9</f>
        <v>Pred</v>
      </c>
      <c r="X10" s="996">
        <f>'Development Cash Flow'!C9</f>
        <v>3</v>
      </c>
      <c r="Y10" s="997">
        <f>'Development Cash Flow'!D9</f>
        <v>46356</v>
      </c>
      <c r="Z10" s="391">
        <f t="shared" si="1"/>
        <v>1.25814E-2</v>
      </c>
      <c r="AA10" s="999">
        <f t="shared" si="2"/>
        <v>0.12258140000000001</v>
      </c>
    </row>
    <row r="11" spans="2:27">
      <c r="B11" s="994" t="s">
        <v>620</v>
      </c>
      <c r="O11" s="1126">
        <v>44158</v>
      </c>
      <c r="P11" s="1127">
        <v>3.7035000000000002E-3</v>
      </c>
      <c r="Q11" s="1127">
        <v>4.8735000000000002E-3</v>
      </c>
      <c r="R11" s="1128">
        <v>7.9290000000000003E-4</v>
      </c>
      <c r="T11" s="997">
        <f t="shared" si="3"/>
        <v>44035</v>
      </c>
      <c r="U11" s="997">
        <f t="shared" si="0"/>
        <v>44043</v>
      </c>
      <c r="V11" s="391">
        <f t="shared" si="4"/>
        <v>3.9288999999999999E-3</v>
      </c>
      <c r="W11" s="996" t="str">
        <f>'Development Cash Flow'!A10</f>
        <v>Pred</v>
      </c>
      <c r="X11" s="996">
        <f>'Development Cash Flow'!C10</f>
        <v>4</v>
      </c>
      <c r="Y11" s="997">
        <f>'Development Cash Flow'!D10</f>
        <v>46387</v>
      </c>
      <c r="Z11" s="391">
        <f t="shared" si="1"/>
        <v>1.26354E-2</v>
      </c>
      <c r="AA11" s="999">
        <f t="shared" si="2"/>
        <v>0.12263540000000001</v>
      </c>
    </row>
    <row r="12" spans="2:27">
      <c r="B12" s="994" t="s">
        <v>621</v>
      </c>
      <c r="O12" s="1126">
        <v>44188</v>
      </c>
      <c r="P12" s="1127">
        <v>3.7120999999999999E-3</v>
      </c>
      <c r="Q12" s="1127">
        <v>4.9382999999999996E-3</v>
      </c>
      <c r="R12" s="1128">
        <v>1.2359000000000001E-3</v>
      </c>
      <c r="T12" s="997">
        <f t="shared" si="3"/>
        <v>44067</v>
      </c>
      <c r="U12" s="997">
        <f t="shared" si="0"/>
        <v>44074</v>
      </c>
      <c r="V12" s="391">
        <f t="shared" si="4"/>
        <v>3.31E-3</v>
      </c>
      <c r="W12" s="996" t="str">
        <f>'Development Cash Flow'!A11</f>
        <v>Pred</v>
      </c>
      <c r="X12" s="996">
        <f>'Development Cash Flow'!C11</f>
        <v>5</v>
      </c>
      <c r="Y12" s="997">
        <f>'Development Cash Flow'!D11</f>
        <v>46418</v>
      </c>
      <c r="Z12" s="391">
        <f t="shared" si="1"/>
        <v>1.26914E-2</v>
      </c>
      <c r="AA12" s="999">
        <f t="shared" si="2"/>
        <v>0.12269140000000001</v>
      </c>
    </row>
    <row r="13" spans="2:27">
      <c r="O13" s="1126">
        <v>44221</v>
      </c>
      <c r="P13" s="1127">
        <v>3.7296E-3</v>
      </c>
      <c r="Q13" s="1127">
        <v>4.8653999999999998E-3</v>
      </c>
      <c r="R13" s="1128">
        <v>1.2359000000000001E-3</v>
      </c>
      <c r="T13" s="997">
        <f t="shared" si="3"/>
        <v>44097</v>
      </c>
      <c r="U13" s="997">
        <f t="shared" si="0"/>
        <v>44104</v>
      </c>
      <c r="V13" s="391">
        <f t="shared" si="4"/>
        <v>3.3419999999999999E-3</v>
      </c>
      <c r="W13" s="996" t="str">
        <f>'Development Cash Flow'!A12</f>
        <v>Pred</v>
      </c>
      <c r="X13" s="996">
        <f>'Development Cash Flow'!C12</f>
        <v>6</v>
      </c>
      <c r="Y13" s="997">
        <f>'Development Cash Flow'!D12</f>
        <v>46446</v>
      </c>
      <c r="Z13" s="391">
        <f t="shared" si="1"/>
        <v>1.2737099999999999E-2</v>
      </c>
      <c r="AA13" s="999">
        <f t="shared" si="2"/>
        <v>0.1227371</v>
      </c>
    </row>
    <row r="14" spans="2:27">
      <c r="O14" s="1126">
        <v>44250</v>
      </c>
      <c r="P14" s="1127">
        <v>3.7875999999999999E-3</v>
      </c>
      <c r="Q14" s="1127">
        <v>4.8013999999999999E-3</v>
      </c>
      <c r="R14" s="1128">
        <v>1.2359000000000001E-3</v>
      </c>
      <c r="T14" s="997">
        <f t="shared" si="3"/>
        <v>44127</v>
      </c>
      <c r="U14" s="997">
        <f t="shared" si="0"/>
        <v>44135</v>
      </c>
      <c r="V14" s="391">
        <f t="shared" si="4"/>
        <v>3.5707E-3</v>
      </c>
      <c r="W14" s="996" t="str">
        <f>'Development Cash Flow'!A13</f>
        <v>Pred</v>
      </c>
      <c r="X14" s="996">
        <f>'Development Cash Flow'!C13</f>
        <v>7</v>
      </c>
      <c r="Y14" s="997">
        <f>'Development Cash Flow'!D13</f>
        <v>46477</v>
      </c>
      <c r="Z14" s="391">
        <f t="shared" si="1"/>
        <v>1.2782E-2</v>
      </c>
      <c r="AA14" s="999">
        <f t="shared" si="2"/>
        <v>0.122782</v>
      </c>
    </row>
    <row r="15" spans="2:27">
      <c r="O15" s="1126">
        <v>44278</v>
      </c>
      <c r="P15" s="1127">
        <v>3.9290000000000002E-3</v>
      </c>
      <c r="Q15" s="1127">
        <v>4.7396000000000001E-3</v>
      </c>
      <c r="R15" s="1128">
        <v>1.6766000000000001E-3</v>
      </c>
      <c r="T15" s="997">
        <f t="shared" si="3"/>
        <v>44158</v>
      </c>
      <c r="U15" s="997">
        <f t="shared" si="0"/>
        <v>44165</v>
      </c>
      <c r="V15" s="391">
        <f t="shared" si="4"/>
        <v>3.7035000000000002E-3</v>
      </c>
      <c r="W15" s="996" t="str">
        <f>'Development Cash Flow'!A14</f>
        <v>Pred</v>
      </c>
      <c r="X15" s="996">
        <f>'Development Cash Flow'!C14</f>
        <v>8</v>
      </c>
      <c r="Y15" s="997">
        <f>'Development Cash Flow'!D14</f>
        <v>46507</v>
      </c>
      <c r="Z15" s="391">
        <f t="shared" si="1"/>
        <v>1.2825E-2</v>
      </c>
      <c r="AA15" s="999">
        <f t="shared" si="2"/>
        <v>0.122825</v>
      </c>
    </row>
    <row r="16" spans="2:27">
      <c r="O16" s="1126">
        <v>44309</v>
      </c>
      <c r="P16" s="1127">
        <v>4.1107000000000001E-3</v>
      </c>
      <c r="Q16" s="1127">
        <v>4.8605000000000002E-3</v>
      </c>
      <c r="R16" s="1128">
        <v>1.6766000000000001E-3</v>
      </c>
      <c r="T16" s="997">
        <f t="shared" si="3"/>
        <v>44188</v>
      </c>
      <c r="U16" s="997">
        <f t="shared" si="0"/>
        <v>44196</v>
      </c>
      <c r="V16" s="391">
        <f t="shared" si="4"/>
        <v>3.7120999999999999E-3</v>
      </c>
      <c r="W16" s="996" t="str">
        <f>'Development Cash Flow'!A15</f>
        <v>Pred</v>
      </c>
      <c r="X16" s="996">
        <f>'Development Cash Flow'!C15</f>
        <v>9</v>
      </c>
      <c r="Y16" s="997">
        <f>'Development Cash Flow'!D15</f>
        <v>46538</v>
      </c>
      <c r="Z16" s="391">
        <f t="shared" si="1"/>
        <v>1.2855E-2</v>
      </c>
      <c r="AA16" s="999">
        <f t="shared" si="2"/>
        <v>0.12285500000000001</v>
      </c>
    </row>
    <row r="17" spans="15:27">
      <c r="O17" s="1126">
        <v>44340</v>
      </c>
      <c r="P17" s="1127">
        <v>4.2827999999999998E-3</v>
      </c>
      <c r="Q17" s="1127">
        <v>4.9813000000000001E-3</v>
      </c>
      <c r="R17" s="1128">
        <v>1.6766000000000001E-3</v>
      </c>
      <c r="T17" s="997">
        <f t="shared" si="3"/>
        <v>44221</v>
      </c>
      <c r="U17" s="997">
        <f t="shared" si="0"/>
        <v>44227</v>
      </c>
      <c r="V17" s="391">
        <f t="shared" si="4"/>
        <v>3.7296E-3</v>
      </c>
      <c r="W17" s="996" t="str">
        <f>'Development Cash Flow'!A16</f>
        <v>Pred</v>
      </c>
      <c r="X17" s="996">
        <f>'Development Cash Flow'!C16</f>
        <v>10</v>
      </c>
      <c r="Y17" s="997">
        <f>'Development Cash Flow'!D16</f>
        <v>46568</v>
      </c>
      <c r="Z17" s="391">
        <f t="shared" si="1"/>
        <v>1.2881699999999999E-2</v>
      </c>
      <c r="AA17" s="999">
        <f t="shared" si="2"/>
        <v>0.1228817</v>
      </c>
    </row>
    <row r="18" spans="15:27">
      <c r="O18" s="1126">
        <v>44370</v>
      </c>
      <c r="P18" s="1127">
        <v>4.4413999999999999E-3</v>
      </c>
      <c r="Q18" s="1127">
        <v>5.0983000000000001E-3</v>
      </c>
      <c r="R18" s="1128">
        <v>2.1151E-3</v>
      </c>
      <c r="T18" s="997">
        <f t="shared" si="3"/>
        <v>44250</v>
      </c>
      <c r="U18" s="997">
        <f t="shared" si="0"/>
        <v>44255</v>
      </c>
      <c r="V18" s="391">
        <f t="shared" si="4"/>
        <v>3.7875999999999999E-3</v>
      </c>
      <c r="W18" s="996" t="str">
        <f>'Development Cash Flow'!A17</f>
        <v>Pred</v>
      </c>
      <c r="X18" s="996">
        <f>'Development Cash Flow'!C17</f>
        <v>11</v>
      </c>
      <c r="Y18" s="997">
        <f>'Development Cash Flow'!D17</f>
        <v>46599</v>
      </c>
      <c r="Z18" s="391">
        <f t="shared" si="1"/>
        <v>1.2905E-2</v>
      </c>
      <c r="AA18" s="999">
        <f t="shared" si="2"/>
        <v>0.122905</v>
      </c>
    </row>
    <row r="19" spans="15:27">
      <c r="O19" s="1126">
        <v>44400</v>
      </c>
      <c r="P19" s="1127">
        <v>4.5764999999999998E-3</v>
      </c>
      <c r="Q19" s="1127">
        <v>5.1580999999999997E-3</v>
      </c>
      <c r="R19" s="1128">
        <v>2.1151E-3</v>
      </c>
      <c r="T19" s="997">
        <f t="shared" si="3"/>
        <v>44278</v>
      </c>
      <c r="U19" s="997">
        <f t="shared" si="0"/>
        <v>44286</v>
      </c>
      <c r="V19" s="391">
        <f t="shared" si="4"/>
        <v>3.9290000000000002E-3</v>
      </c>
      <c r="W19" s="996" t="str">
        <f>'Development Cash Flow'!A18</f>
        <v>Pred</v>
      </c>
      <c r="X19" s="996">
        <f>'Development Cash Flow'!C18</f>
        <v>12</v>
      </c>
      <c r="Y19" s="997">
        <f>'Development Cash Flow'!D18</f>
        <v>46630</v>
      </c>
      <c r="Z19" s="391">
        <f t="shared" si="1"/>
        <v>1.2915100000000001E-2</v>
      </c>
      <c r="AA19" s="999">
        <f t="shared" si="2"/>
        <v>0.1229151</v>
      </c>
    </row>
    <row r="20" spans="15:27">
      <c r="O20" s="1126">
        <v>44431</v>
      </c>
      <c r="P20" s="1127">
        <v>4.6714E-3</v>
      </c>
      <c r="Q20" s="1127">
        <v>5.2199000000000004E-3</v>
      </c>
      <c r="R20" s="1128">
        <v>2.1151E-3</v>
      </c>
      <c r="T20" s="997">
        <f t="shared" si="3"/>
        <v>44309</v>
      </c>
      <c r="U20" s="997">
        <f t="shared" si="0"/>
        <v>44316</v>
      </c>
      <c r="V20" s="391">
        <f t="shared" si="4"/>
        <v>4.1107000000000001E-3</v>
      </c>
      <c r="W20" s="996" t="str">
        <f>'Development Cash Flow'!A19</f>
        <v>Pred</v>
      </c>
      <c r="X20" s="996">
        <f>'Development Cash Flow'!C19</f>
        <v>13</v>
      </c>
      <c r="Y20" s="997">
        <f>'Development Cash Flow'!D19</f>
        <v>46660</v>
      </c>
      <c r="Z20" s="391">
        <f t="shared" si="1"/>
        <v>1.2922400000000001E-2</v>
      </c>
      <c r="AA20" s="999">
        <f t="shared" si="2"/>
        <v>0.1229224</v>
      </c>
    </row>
    <row r="21" spans="15:27">
      <c r="O21" s="1126">
        <v>44462</v>
      </c>
      <c r="P21" s="1127">
        <v>4.7467000000000004E-3</v>
      </c>
      <c r="Q21" s="1127">
        <v>5.2817000000000003E-3</v>
      </c>
      <c r="R21" s="1128">
        <v>2.3016E-3</v>
      </c>
      <c r="T21" s="997">
        <f t="shared" si="3"/>
        <v>44340</v>
      </c>
      <c r="U21" s="997">
        <f t="shared" si="0"/>
        <v>44347</v>
      </c>
      <c r="V21" s="391">
        <f t="shared" si="4"/>
        <v>4.2827999999999998E-3</v>
      </c>
      <c r="W21" s="996" t="str">
        <f>'Development Cash Flow'!A20</f>
        <v>Pred</v>
      </c>
      <c r="X21" s="996">
        <f>'Development Cash Flow'!C20</f>
        <v>14</v>
      </c>
      <c r="Y21" s="997">
        <f>'Development Cash Flow'!D20</f>
        <v>46691</v>
      </c>
      <c r="Z21" s="391">
        <f t="shared" si="1"/>
        <v>1.29272E-2</v>
      </c>
      <c r="AA21" s="999">
        <f t="shared" si="2"/>
        <v>0.1229272</v>
      </c>
    </row>
    <row r="22" spans="15:27">
      <c r="O22" s="1126">
        <v>44494</v>
      </c>
      <c r="P22" s="1127">
        <v>4.8161000000000002E-3</v>
      </c>
      <c r="Q22" s="1127">
        <v>5.3756000000000003E-3</v>
      </c>
      <c r="R22" s="1128">
        <v>2.3016E-3</v>
      </c>
      <c r="T22" s="997">
        <f t="shared" si="3"/>
        <v>44370</v>
      </c>
      <c r="U22" s="997">
        <f t="shared" si="0"/>
        <v>44377</v>
      </c>
      <c r="V22" s="391">
        <f t="shared" si="4"/>
        <v>4.4413999999999999E-3</v>
      </c>
      <c r="W22" s="996" t="str">
        <f>'Development Cash Flow'!A21</f>
        <v>Pred</v>
      </c>
      <c r="X22" s="996">
        <f>'Development Cash Flow'!C21</f>
        <v>15</v>
      </c>
      <c r="Y22" s="997">
        <f>'Development Cash Flow'!D21</f>
        <v>46721</v>
      </c>
      <c r="Z22" s="391">
        <f t="shared" si="1"/>
        <v>1.29192E-2</v>
      </c>
      <c r="AA22" s="999">
        <f t="shared" si="2"/>
        <v>0.12291920000000001</v>
      </c>
    </row>
    <row r="23" spans="15:27">
      <c r="O23" s="1126">
        <v>44523</v>
      </c>
      <c r="P23" s="1127">
        <v>4.8767000000000003E-3</v>
      </c>
      <c r="Q23" s="1127">
        <v>5.4606999999999998E-3</v>
      </c>
      <c r="R23" s="1128">
        <v>2.3016E-3</v>
      </c>
      <c r="T23" s="997">
        <f t="shared" si="3"/>
        <v>44400</v>
      </c>
      <c r="U23" s="997">
        <f t="shared" si="0"/>
        <v>44408</v>
      </c>
      <c r="V23" s="391">
        <f t="shared" si="4"/>
        <v>4.5764999999999998E-3</v>
      </c>
      <c r="W23" s="996" t="str">
        <f>'Development Cash Flow'!A22</f>
        <v>Pred</v>
      </c>
      <c r="X23" s="996">
        <f>'Development Cash Flow'!C22</f>
        <v>16</v>
      </c>
      <c r="Y23" s="997">
        <f>'Development Cash Flow'!D22</f>
        <v>46752</v>
      </c>
      <c r="Z23" s="391">
        <f t="shared" si="1"/>
        <v>1.2909199999999999E-2</v>
      </c>
      <c r="AA23" s="999">
        <f t="shared" si="2"/>
        <v>0.1229092</v>
      </c>
    </row>
    <row r="24" spans="15:27">
      <c r="O24" s="1126">
        <v>44553</v>
      </c>
      <c r="P24" s="1127">
        <v>4.9487999999999997E-3</v>
      </c>
      <c r="Q24" s="1127">
        <v>5.5487000000000002E-3</v>
      </c>
      <c r="R24" s="1128">
        <v>2.3360999999999998E-3</v>
      </c>
      <c r="T24" s="997">
        <f t="shared" si="3"/>
        <v>44431</v>
      </c>
      <c r="U24" s="997">
        <f t="shared" si="0"/>
        <v>44439</v>
      </c>
      <c r="V24" s="391">
        <f t="shared" si="4"/>
        <v>4.6714E-3</v>
      </c>
      <c r="W24" s="996" t="str">
        <f>'Development Cash Flow'!A23</f>
        <v>Pred</v>
      </c>
      <c r="X24" s="996">
        <f>'Development Cash Flow'!C23</f>
        <v>17</v>
      </c>
      <c r="Y24" s="997">
        <f>'Development Cash Flow'!D23</f>
        <v>46783</v>
      </c>
      <c r="Z24" s="391">
        <f t="shared" si="1"/>
        <v>1.28982E-2</v>
      </c>
      <c r="AA24" s="999">
        <f t="shared" si="2"/>
        <v>0.1228982</v>
      </c>
    </row>
    <row r="25" spans="15:27">
      <c r="O25" s="1126">
        <v>44585</v>
      </c>
      <c r="P25" s="1127">
        <v>5.0366999999999999E-3</v>
      </c>
      <c r="Q25" s="1127">
        <v>5.6728999999999998E-3</v>
      </c>
      <c r="R25" s="1128">
        <v>2.3360999999999998E-3</v>
      </c>
      <c r="T25" s="997">
        <f t="shared" si="3"/>
        <v>44462</v>
      </c>
      <c r="U25" s="997">
        <f t="shared" si="0"/>
        <v>44469</v>
      </c>
      <c r="V25" s="391">
        <f t="shared" si="4"/>
        <v>4.7467000000000004E-3</v>
      </c>
      <c r="W25" s="996" t="str">
        <f>'Development Cash Flow'!A24</f>
        <v>Dev</v>
      </c>
      <c r="X25" s="996">
        <f>'Development Cash Flow'!C24</f>
        <v>18</v>
      </c>
      <c r="Y25" s="997">
        <f>'Development Cash Flow'!D24</f>
        <v>46812</v>
      </c>
      <c r="Z25" s="391">
        <f t="shared" si="1"/>
        <v>1.28766E-2</v>
      </c>
      <c r="AA25" s="999">
        <f t="shared" si="2"/>
        <v>0.1228766</v>
      </c>
    </row>
    <row r="26" spans="15:27">
      <c r="O26" s="1126">
        <v>44615</v>
      </c>
      <c r="P26" s="1127">
        <v>5.1279000000000003E-3</v>
      </c>
      <c r="Q26" s="1127">
        <v>5.7895000000000004E-3</v>
      </c>
      <c r="R26" s="1128">
        <v>2.3360999999999998E-3</v>
      </c>
      <c r="T26" s="997">
        <f t="shared" si="3"/>
        <v>44494</v>
      </c>
      <c r="U26" s="997">
        <f t="shared" si="0"/>
        <v>44500</v>
      </c>
      <c r="V26" s="391">
        <f t="shared" si="4"/>
        <v>4.8161000000000002E-3</v>
      </c>
      <c r="W26" s="996" t="str">
        <f>'Development Cash Flow'!A25</f>
        <v>Dev</v>
      </c>
      <c r="X26" s="996">
        <f>'Development Cash Flow'!C25</f>
        <v>19</v>
      </c>
      <c r="Y26" s="997">
        <f>'Development Cash Flow'!D25</f>
        <v>46843</v>
      </c>
      <c r="Z26" s="391">
        <f t="shared" si="1"/>
        <v>1.2855699999999999E-2</v>
      </c>
      <c r="AA26" s="999">
        <f t="shared" si="2"/>
        <v>0.1228557</v>
      </c>
    </row>
    <row r="27" spans="15:27">
      <c r="O27" s="1126">
        <v>44643</v>
      </c>
      <c r="P27" s="1127">
        <v>5.2367000000000004E-3</v>
      </c>
      <c r="Q27" s="1127">
        <v>5.8982000000000001E-3</v>
      </c>
      <c r="R27" s="1128">
        <v>2.5685E-3</v>
      </c>
      <c r="T27" s="997">
        <f t="shared" si="3"/>
        <v>44523</v>
      </c>
      <c r="U27" s="997">
        <f t="shared" si="0"/>
        <v>44530</v>
      </c>
      <c r="V27" s="391">
        <f t="shared" si="4"/>
        <v>4.8767000000000003E-3</v>
      </c>
      <c r="W27" s="996" t="str">
        <f>'Development Cash Flow'!A26</f>
        <v>Dev</v>
      </c>
      <c r="X27" s="996">
        <f>'Development Cash Flow'!C26</f>
        <v>20</v>
      </c>
      <c r="Y27" s="997">
        <f>'Development Cash Flow'!D26</f>
        <v>46873</v>
      </c>
      <c r="Z27" s="391">
        <f t="shared" si="1"/>
        <v>1.2837100000000001E-2</v>
      </c>
      <c r="AA27" s="999">
        <f t="shared" si="2"/>
        <v>0.1228371</v>
      </c>
    </row>
    <row r="28" spans="15:27">
      <c r="O28" s="1126">
        <v>44676</v>
      </c>
      <c r="P28" s="1127">
        <v>5.3623000000000004E-3</v>
      </c>
      <c r="Q28" s="1127">
        <v>6.0493999999999999E-3</v>
      </c>
      <c r="R28" s="1128">
        <v>2.5685E-3</v>
      </c>
      <c r="T28" s="997">
        <f t="shared" si="3"/>
        <v>44553</v>
      </c>
      <c r="U28" s="997">
        <f t="shared" si="0"/>
        <v>44561</v>
      </c>
      <c r="V28" s="391">
        <f t="shared" si="4"/>
        <v>4.9487999999999997E-3</v>
      </c>
      <c r="W28" s="996" t="str">
        <f>'Development Cash Flow'!A27</f>
        <v>Dev</v>
      </c>
      <c r="X28" s="996">
        <f>'Development Cash Flow'!C27</f>
        <v>21</v>
      </c>
      <c r="Y28" s="997">
        <f>'Development Cash Flow'!D27</f>
        <v>46904</v>
      </c>
      <c r="Z28" s="391">
        <f t="shared" si="1"/>
        <v>1.28123E-2</v>
      </c>
      <c r="AA28" s="999">
        <f t="shared" si="2"/>
        <v>0.1228123</v>
      </c>
    </row>
    <row r="29" spans="15:27">
      <c r="O29" s="1126">
        <v>44704</v>
      </c>
      <c r="P29" s="1127">
        <v>5.4884E-3</v>
      </c>
      <c r="Q29" s="1127">
        <v>6.1776000000000001E-3</v>
      </c>
      <c r="R29" s="1128">
        <v>2.5685E-3</v>
      </c>
      <c r="T29" s="997">
        <f t="shared" si="3"/>
        <v>44585</v>
      </c>
      <c r="U29" s="997">
        <f t="shared" si="0"/>
        <v>44592</v>
      </c>
      <c r="V29" s="391">
        <f t="shared" si="4"/>
        <v>5.0366999999999999E-3</v>
      </c>
      <c r="W29" s="996" t="str">
        <f>'Development Cash Flow'!A28</f>
        <v>Dev</v>
      </c>
      <c r="X29" s="996">
        <f>'Development Cash Flow'!C28</f>
        <v>22</v>
      </c>
      <c r="Y29" s="997">
        <f>'Development Cash Flow'!D28</f>
        <v>46934</v>
      </c>
      <c r="Z29" s="391">
        <f t="shared" si="1"/>
        <v>1.27922E-2</v>
      </c>
      <c r="AA29" s="999">
        <f t="shared" si="2"/>
        <v>0.1227922</v>
      </c>
    </row>
    <row r="30" spans="15:27">
      <c r="O30" s="1126">
        <v>44735</v>
      </c>
      <c r="P30" s="1127">
        <v>5.6300999999999999E-3</v>
      </c>
      <c r="Q30" s="1127">
        <v>6.3195999999999999E-3</v>
      </c>
      <c r="R30" s="1128">
        <v>3.3976000000000002E-3</v>
      </c>
      <c r="T30" s="997">
        <f t="shared" si="3"/>
        <v>44615</v>
      </c>
      <c r="U30" s="997">
        <f t="shared" si="0"/>
        <v>44620</v>
      </c>
      <c r="V30" s="391">
        <f t="shared" si="4"/>
        <v>5.1279000000000003E-3</v>
      </c>
      <c r="W30" s="996" t="str">
        <f>'Development Cash Flow'!A29</f>
        <v>Dev</v>
      </c>
      <c r="X30" s="996">
        <f>'Development Cash Flow'!C29</f>
        <v>23</v>
      </c>
      <c r="Y30" s="997">
        <f>'Development Cash Flow'!D29</f>
        <v>46965</v>
      </c>
      <c r="Z30" s="391">
        <f t="shared" si="1"/>
        <v>1.27776E-2</v>
      </c>
      <c r="AA30" s="999">
        <f t="shared" si="2"/>
        <v>0.1227776</v>
      </c>
    </row>
    <row r="31" spans="15:27">
      <c r="O31" s="1126">
        <v>44767</v>
      </c>
      <c r="P31" s="1127">
        <v>5.7876000000000004E-3</v>
      </c>
      <c r="Q31" s="1127">
        <v>6.4910999999999996E-3</v>
      </c>
      <c r="R31" s="1128">
        <v>3.3976000000000002E-3</v>
      </c>
      <c r="T31" s="997">
        <f t="shared" si="3"/>
        <v>44643</v>
      </c>
      <c r="U31" s="997">
        <f t="shared" si="0"/>
        <v>44651</v>
      </c>
      <c r="V31" s="391">
        <f t="shared" si="4"/>
        <v>5.2367000000000004E-3</v>
      </c>
      <c r="W31" s="996" t="str">
        <f>'Development Cash Flow'!A30</f>
        <v>Dev</v>
      </c>
      <c r="X31" s="996">
        <f>'Development Cash Flow'!C30</f>
        <v>24</v>
      </c>
      <c r="Y31" s="997">
        <f>'Development Cash Flow'!D30</f>
        <v>46996</v>
      </c>
      <c r="Z31" s="391">
        <f t="shared" si="1"/>
        <v>1.2759299999999999E-2</v>
      </c>
      <c r="AA31" s="999">
        <f t="shared" si="2"/>
        <v>0.1227593</v>
      </c>
    </row>
    <row r="32" spans="15:27">
      <c r="O32" s="1126">
        <v>44796</v>
      </c>
      <c r="P32" s="1127">
        <v>5.9458999999999996E-3</v>
      </c>
      <c r="Q32" s="1127">
        <v>6.6465999999999999E-3</v>
      </c>
      <c r="R32" s="1128">
        <v>3.3976000000000002E-3</v>
      </c>
      <c r="T32" s="997">
        <f t="shared" si="3"/>
        <v>44676</v>
      </c>
      <c r="U32" s="997">
        <f t="shared" si="0"/>
        <v>44681</v>
      </c>
      <c r="V32" s="391">
        <f t="shared" si="4"/>
        <v>5.3623000000000004E-3</v>
      </c>
      <c r="W32" s="996" t="str">
        <f>'Development Cash Flow'!A31</f>
        <v>Dev</v>
      </c>
      <c r="X32" s="996">
        <f>'Development Cash Flow'!C31</f>
        <v>25</v>
      </c>
      <c r="Y32" s="997">
        <f>'Development Cash Flow'!D31</f>
        <v>47026</v>
      </c>
      <c r="Z32" s="391">
        <f t="shared" si="1"/>
        <v>1.27476E-2</v>
      </c>
      <c r="AA32" s="999">
        <f t="shared" si="2"/>
        <v>0.1227476</v>
      </c>
    </row>
    <row r="33" spans="2:27">
      <c r="O33" s="1126">
        <v>44827</v>
      </c>
      <c r="P33" s="1127">
        <v>6.1208E-3</v>
      </c>
      <c r="Q33" s="1127">
        <v>6.8127999999999999E-3</v>
      </c>
      <c r="R33" s="1128">
        <v>4.0248000000000003E-3</v>
      </c>
      <c r="T33" s="997">
        <f t="shared" si="3"/>
        <v>44704</v>
      </c>
      <c r="U33" s="997">
        <f t="shared" si="0"/>
        <v>44712</v>
      </c>
      <c r="V33" s="391">
        <f t="shared" si="4"/>
        <v>5.4884E-3</v>
      </c>
      <c r="W33" s="996" t="str">
        <f>'Development Cash Flow'!A32</f>
        <v>Dev</v>
      </c>
      <c r="X33" s="996">
        <f>'Development Cash Flow'!C32</f>
        <v>26</v>
      </c>
      <c r="Y33" s="997">
        <f>'Development Cash Flow'!D32</f>
        <v>47057</v>
      </c>
      <c r="Z33" s="391">
        <f t="shared" si="1"/>
        <v>1.27419E-2</v>
      </c>
      <c r="AA33" s="999">
        <f t="shared" si="2"/>
        <v>0.1227419</v>
      </c>
    </row>
    <row r="34" spans="2:27">
      <c r="O34" s="1126">
        <v>44858</v>
      </c>
      <c r="P34" s="1127">
        <v>6.3131000000000003E-3</v>
      </c>
      <c r="Q34" s="1127">
        <v>7.0048999999999997E-3</v>
      </c>
      <c r="R34" s="1128">
        <v>4.0248000000000003E-3</v>
      </c>
      <c r="T34" s="997">
        <f t="shared" si="3"/>
        <v>44735</v>
      </c>
      <c r="U34" s="997">
        <f t="shared" si="0"/>
        <v>44742</v>
      </c>
      <c r="V34" s="391">
        <f t="shared" si="4"/>
        <v>5.6300999999999999E-3</v>
      </c>
      <c r="W34" s="996" t="str">
        <f>'Development Cash Flow'!A33</f>
        <v>Dev</v>
      </c>
      <c r="X34" s="996">
        <f>'Development Cash Flow'!C33</f>
        <v>27</v>
      </c>
      <c r="Y34" s="997">
        <f>'Development Cash Flow'!D33</f>
        <v>47087</v>
      </c>
      <c r="Z34" s="391">
        <f t="shared" si="1"/>
        <v>1.27326E-2</v>
      </c>
      <c r="AA34" s="999">
        <f t="shared" si="2"/>
        <v>0.1227326</v>
      </c>
    </row>
    <row r="35" spans="2:27">
      <c r="O35" s="1126">
        <v>44888</v>
      </c>
      <c r="P35" s="1127">
        <v>6.5088999999999998E-3</v>
      </c>
      <c r="Q35" s="1127">
        <v>7.1909000000000001E-3</v>
      </c>
      <c r="R35" s="1128">
        <v>4.0248000000000003E-3</v>
      </c>
      <c r="T35" s="997">
        <f t="shared" si="3"/>
        <v>44767</v>
      </c>
      <c r="U35" s="997">
        <f t="shared" si="0"/>
        <v>44773</v>
      </c>
      <c r="V35" s="391">
        <f t="shared" si="4"/>
        <v>5.7876000000000004E-3</v>
      </c>
      <c r="W35" s="996" t="str">
        <f>'Development Cash Flow'!A34</f>
        <v>Dev</v>
      </c>
      <c r="X35" s="996">
        <f>'Development Cash Flow'!C34</f>
        <v>28</v>
      </c>
      <c r="Y35" s="997">
        <f>'Development Cash Flow'!D34</f>
        <v>47118</v>
      </c>
      <c r="Z35" s="391">
        <f t="shared" si="1"/>
        <v>1.27291E-2</v>
      </c>
      <c r="AA35" s="999">
        <f t="shared" si="2"/>
        <v>0.12272910000000001</v>
      </c>
    </row>
    <row r="36" spans="2:27">
      <c r="O36" s="1126">
        <v>44918</v>
      </c>
      <c r="P36" s="1127">
        <v>6.7219999999999997E-3</v>
      </c>
      <c r="Q36" s="1127">
        <v>7.3768000000000002E-3</v>
      </c>
      <c r="R36" s="1128">
        <v>4.4022000000000002E-3</v>
      </c>
      <c r="T36" s="997">
        <f t="shared" si="3"/>
        <v>44796</v>
      </c>
      <c r="U36" s="997">
        <f t="shared" si="0"/>
        <v>44804</v>
      </c>
      <c r="V36" s="391">
        <f t="shared" si="4"/>
        <v>5.9458999999999996E-3</v>
      </c>
      <c r="W36" s="996" t="str">
        <f>'Development Cash Flow'!A35</f>
        <v>Dev</v>
      </c>
      <c r="X36" s="996">
        <f>'Development Cash Flow'!C35</f>
        <v>29</v>
      </c>
      <c r="Y36" s="997">
        <f>'Development Cash Flow'!D35</f>
        <v>47149</v>
      </c>
      <c r="Z36" s="391">
        <f t="shared" si="1"/>
        <v>1.2729000000000001E-2</v>
      </c>
      <c r="AA36" s="999">
        <f t="shared" si="2"/>
        <v>0.122729</v>
      </c>
    </row>
    <row r="37" spans="2:27">
      <c r="O37" s="1126">
        <v>44949</v>
      </c>
      <c r="P37" s="1127">
        <v>6.9516999999999999E-3</v>
      </c>
      <c r="Q37" s="1127">
        <v>7.5951999999999999E-3</v>
      </c>
      <c r="R37" s="1128">
        <v>4.4022000000000002E-3</v>
      </c>
      <c r="T37" s="997">
        <f t="shared" si="3"/>
        <v>44827</v>
      </c>
      <c r="U37" s="997">
        <f t="shared" si="0"/>
        <v>44834</v>
      </c>
      <c r="V37" s="391">
        <f t="shared" si="4"/>
        <v>6.1208E-3</v>
      </c>
      <c r="W37" s="996" t="str">
        <f>'Development Cash Flow'!A36</f>
        <v>Dev</v>
      </c>
      <c r="X37" s="996">
        <f>'Development Cash Flow'!C36</f>
        <v>30</v>
      </c>
      <c r="Y37" s="997">
        <f>'Development Cash Flow'!D36</f>
        <v>47177</v>
      </c>
      <c r="Z37" s="391">
        <f t="shared" si="1"/>
        <v>1.2722300000000001E-2</v>
      </c>
      <c r="AA37" s="999">
        <f t="shared" si="2"/>
        <v>0.12272230000000001</v>
      </c>
    </row>
    <row r="38" spans="2:27">
      <c r="B38" s="994" t="s">
        <v>622</v>
      </c>
      <c r="F38" s="995" t="s">
        <v>623</v>
      </c>
      <c r="O38" s="1126">
        <v>44980</v>
      </c>
      <c r="P38" s="1127">
        <v>7.1825999999999999E-3</v>
      </c>
      <c r="Q38" s="1127">
        <v>7.8136999999999998E-3</v>
      </c>
      <c r="R38" s="1128">
        <v>4.4022000000000002E-3</v>
      </c>
      <c r="T38" s="997">
        <f t="shared" si="3"/>
        <v>44858</v>
      </c>
      <c r="U38" s="997">
        <f t="shared" si="0"/>
        <v>44865</v>
      </c>
      <c r="V38" s="391">
        <f t="shared" si="4"/>
        <v>6.3131000000000003E-3</v>
      </c>
      <c r="W38" s="996" t="str">
        <f>'Development Cash Flow'!A37</f>
        <v>Dev</v>
      </c>
      <c r="X38" s="996">
        <f>'Development Cash Flow'!C37</f>
        <v>31</v>
      </c>
      <c r="Y38" s="997">
        <f>'Development Cash Flow'!D37</f>
        <v>47208</v>
      </c>
      <c r="Z38" s="391">
        <f t="shared" si="1"/>
        <v>1.27165E-2</v>
      </c>
      <c r="AA38" s="999">
        <f t="shared" si="2"/>
        <v>0.12271650000000001</v>
      </c>
    </row>
    <row r="39" spans="2:27">
      <c r="O39" s="1126">
        <v>45008</v>
      </c>
      <c r="P39" s="1127">
        <v>7.4202000000000001E-3</v>
      </c>
      <c r="Q39" s="1127">
        <v>8.0110000000000008E-3</v>
      </c>
      <c r="R39" s="1128">
        <v>4.5266000000000004E-3</v>
      </c>
      <c r="T39" s="997">
        <f t="shared" si="3"/>
        <v>44888</v>
      </c>
      <c r="U39" s="997">
        <f t="shared" si="0"/>
        <v>44895</v>
      </c>
      <c r="V39" s="391">
        <f t="shared" si="4"/>
        <v>6.5088999999999998E-3</v>
      </c>
      <c r="W39" s="996" t="str">
        <f>'Development Cash Flow'!A38</f>
        <v>Dev</v>
      </c>
      <c r="X39" s="996">
        <f>'Development Cash Flow'!C38</f>
        <v>32</v>
      </c>
      <c r="Y39" s="997">
        <f>'Development Cash Flow'!D38</f>
        <v>47238</v>
      </c>
      <c r="Z39" s="391">
        <f t="shared" ref="Z39:Z70" si="5">MAX(IFERROR(VLOOKUP(Y39,$U$7:$V$124,2,FALSE),0),$X$5)</f>
        <v>1.27105E-2</v>
      </c>
      <c r="AA39" s="999">
        <f t="shared" ref="AA39:AA70" si="6">Z39+$X$4</f>
        <v>0.1227105</v>
      </c>
    </row>
    <row r="40" spans="2:27">
      <c r="O40" s="1126">
        <v>45040</v>
      </c>
      <c r="P40" s="1127">
        <v>7.6566000000000004E-3</v>
      </c>
      <c r="Q40" s="1127">
        <v>8.2077000000000001E-3</v>
      </c>
      <c r="R40" s="1128">
        <v>4.5266000000000004E-3</v>
      </c>
      <c r="T40" s="997">
        <f t="shared" si="3"/>
        <v>44918</v>
      </c>
      <c r="U40" s="997">
        <f t="shared" si="0"/>
        <v>44926</v>
      </c>
      <c r="V40" s="391">
        <f t="shared" si="4"/>
        <v>6.7219999999999997E-3</v>
      </c>
      <c r="W40" s="996" t="str">
        <f>'Development Cash Flow'!A39</f>
        <v>Dev</v>
      </c>
      <c r="X40" s="996">
        <f>'Development Cash Flow'!C39</f>
        <v>33</v>
      </c>
      <c r="Y40" s="997">
        <f>'Development Cash Flow'!D39</f>
        <v>47269</v>
      </c>
      <c r="Z40" s="391">
        <f t="shared" si="5"/>
        <v>1.2692699999999999E-2</v>
      </c>
      <c r="AA40" s="999">
        <f t="shared" si="6"/>
        <v>0.1226927</v>
      </c>
    </row>
    <row r="41" spans="2:27">
      <c r="O41" s="1126">
        <v>45069</v>
      </c>
      <c r="P41" s="1127">
        <v>7.8762999999999993E-3</v>
      </c>
      <c r="Q41" s="1127">
        <v>8.3861000000000005E-3</v>
      </c>
      <c r="R41" s="1128">
        <v>4.5266000000000004E-3</v>
      </c>
      <c r="T41" s="997">
        <f t="shared" si="3"/>
        <v>44949</v>
      </c>
      <c r="U41" s="997">
        <f t="shared" si="0"/>
        <v>44957</v>
      </c>
      <c r="V41" s="391">
        <f t="shared" si="4"/>
        <v>6.9516999999999999E-3</v>
      </c>
      <c r="W41" s="996" t="str">
        <f>'Development Cash Flow'!A40</f>
        <v>Dev</v>
      </c>
      <c r="X41" s="996">
        <f>'Development Cash Flow'!C40</f>
        <v>34</v>
      </c>
      <c r="Y41" s="997">
        <f>'Development Cash Flow'!D40</f>
        <v>47299</v>
      </c>
      <c r="Z41" s="391">
        <f t="shared" si="5"/>
        <v>1.26719E-2</v>
      </c>
      <c r="AA41" s="999">
        <f t="shared" si="6"/>
        <v>0.1226719</v>
      </c>
    </row>
    <row r="42" spans="2:27">
      <c r="O42" s="1126">
        <v>45100</v>
      </c>
      <c r="P42" s="1127">
        <v>8.0864999999999999E-3</v>
      </c>
      <c r="Q42" s="1127">
        <v>8.5766999999999996E-3</v>
      </c>
      <c r="R42" s="1128">
        <v>4.5488000000000004E-3</v>
      </c>
      <c r="T42" s="997">
        <f t="shared" si="3"/>
        <v>44980</v>
      </c>
      <c r="U42" s="997">
        <f t="shared" si="0"/>
        <v>44985</v>
      </c>
      <c r="V42" s="391">
        <f t="shared" si="4"/>
        <v>7.1825999999999999E-3</v>
      </c>
      <c r="W42" s="996" t="str">
        <f>'Development Cash Flow'!A41</f>
        <v>Dev</v>
      </c>
      <c r="X42" s="996">
        <f>'Development Cash Flow'!C41</f>
        <v>35</v>
      </c>
      <c r="Y42" s="997">
        <f>'Development Cash Flow'!D41</f>
        <v>47330</v>
      </c>
      <c r="Z42" s="391">
        <f t="shared" si="5"/>
        <v>1.2646299999999999E-2</v>
      </c>
      <c r="AA42" s="999">
        <f t="shared" si="6"/>
        <v>0.1226463</v>
      </c>
    </row>
    <row r="43" spans="2:27">
      <c r="O43" s="1126">
        <v>45131</v>
      </c>
      <c r="P43" s="1127">
        <v>8.2868000000000004E-3</v>
      </c>
      <c r="Q43" s="1127">
        <v>8.7402999999999995E-3</v>
      </c>
      <c r="R43" s="1128">
        <v>4.5488000000000004E-3</v>
      </c>
      <c r="T43" s="997">
        <f t="shared" si="3"/>
        <v>45008</v>
      </c>
      <c r="U43" s="997">
        <f t="shared" si="0"/>
        <v>45016</v>
      </c>
      <c r="V43" s="391">
        <f t="shared" si="4"/>
        <v>7.4202000000000001E-3</v>
      </c>
      <c r="W43" s="996" t="str">
        <f>'Development Cash Flow'!A42</f>
        <v>Dev</v>
      </c>
      <c r="X43" s="996">
        <f>'Development Cash Flow'!C42</f>
        <v>36</v>
      </c>
      <c r="Y43" s="997">
        <f>'Development Cash Flow'!D42</f>
        <v>47361</v>
      </c>
      <c r="Z43" s="391">
        <f t="shared" si="5"/>
        <v>1.26047E-2</v>
      </c>
      <c r="AA43" s="999">
        <f t="shared" si="6"/>
        <v>0.1226047</v>
      </c>
    </row>
    <row r="44" spans="2:27">
      <c r="O44" s="1126">
        <v>45161</v>
      </c>
      <c r="P44" s="1127">
        <v>8.4697000000000001E-3</v>
      </c>
      <c r="Q44" s="1127">
        <v>8.8985999999999996E-3</v>
      </c>
      <c r="R44" s="1128">
        <v>4.5488000000000004E-3</v>
      </c>
      <c r="T44" s="997">
        <f t="shared" si="3"/>
        <v>45040</v>
      </c>
      <c r="U44" s="997">
        <f t="shared" si="0"/>
        <v>45046</v>
      </c>
      <c r="V44" s="391">
        <f t="shared" si="4"/>
        <v>7.6566000000000004E-3</v>
      </c>
      <c r="W44" s="996" t="str">
        <f>'Development Cash Flow'!A43</f>
        <v>Dev</v>
      </c>
      <c r="X44" s="996">
        <f>'Development Cash Flow'!C43</f>
        <v>37</v>
      </c>
      <c r="Y44" s="997">
        <f>'Development Cash Flow'!D43</f>
        <v>47391</v>
      </c>
      <c r="Z44" s="391">
        <f t="shared" si="5"/>
        <v>1.2555699999999999E-2</v>
      </c>
      <c r="AA44" s="999">
        <f t="shared" si="6"/>
        <v>0.1225557</v>
      </c>
    </row>
    <row r="45" spans="2:27">
      <c r="O45" s="1126">
        <v>45194</v>
      </c>
      <c r="P45" s="1127">
        <v>8.6444999999999994E-3</v>
      </c>
      <c r="Q45" s="1127">
        <v>9.0728000000000007E-3</v>
      </c>
      <c r="R45" s="1128">
        <v>4.5700999999999997E-3</v>
      </c>
      <c r="T45" s="997">
        <f t="shared" si="3"/>
        <v>45069</v>
      </c>
      <c r="U45" s="997">
        <f t="shared" si="0"/>
        <v>45077</v>
      </c>
      <c r="V45" s="391">
        <f t="shared" si="4"/>
        <v>7.8762999999999993E-3</v>
      </c>
      <c r="W45" s="996" t="str">
        <f>'Development Cash Flow'!A44</f>
        <v>Dev</v>
      </c>
      <c r="X45" s="996">
        <f>'Development Cash Flow'!C44</f>
        <v>38</v>
      </c>
      <c r="Y45" s="997">
        <f>'Development Cash Flow'!D44</f>
        <v>47422</v>
      </c>
      <c r="Z45" s="391">
        <f t="shared" si="5"/>
        <v>1.24975E-2</v>
      </c>
      <c r="AA45" s="999">
        <f t="shared" si="6"/>
        <v>0.1224975</v>
      </c>
    </row>
    <row r="46" spans="2:27">
      <c r="O46" s="1126">
        <v>45222</v>
      </c>
      <c r="P46" s="1127">
        <v>8.8129000000000002E-3</v>
      </c>
      <c r="Q46" s="1127">
        <v>9.2014000000000002E-3</v>
      </c>
      <c r="R46" s="1128">
        <v>4.5700999999999997E-3</v>
      </c>
      <c r="T46" s="997">
        <f t="shared" si="3"/>
        <v>45100</v>
      </c>
      <c r="U46" s="997">
        <f t="shared" si="0"/>
        <v>45107</v>
      </c>
      <c r="V46" s="391">
        <f t="shared" si="4"/>
        <v>8.0864999999999999E-3</v>
      </c>
      <c r="W46" s="996" t="str">
        <f>'Development Cash Flow'!A45</f>
        <v>Dev</v>
      </c>
      <c r="X46" s="996">
        <f>'Development Cash Flow'!C45</f>
        <v>39</v>
      </c>
      <c r="Y46" s="997">
        <f>'Development Cash Flow'!D45</f>
        <v>47452</v>
      </c>
      <c r="Z46" s="391">
        <f t="shared" si="5"/>
        <v>1.2418999999999999E-2</v>
      </c>
      <c r="AA46" s="999">
        <f t="shared" si="6"/>
        <v>0.122419</v>
      </c>
    </row>
    <row r="47" spans="2:27">
      <c r="O47" s="1126">
        <v>45253</v>
      </c>
      <c r="P47" s="1127">
        <v>8.9697000000000006E-3</v>
      </c>
      <c r="Q47" s="1127">
        <v>9.3436999999999999E-3</v>
      </c>
      <c r="R47" s="1128">
        <v>4.5700999999999997E-3</v>
      </c>
      <c r="T47" s="997">
        <f t="shared" si="3"/>
        <v>45131</v>
      </c>
      <c r="U47" s="997">
        <f t="shared" si="0"/>
        <v>45138</v>
      </c>
      <c r="V47" s="391">
        <f t="shared" si="4"/>
        <v>8.2868000000000004E-3</v>
      </c>
      <c r="W47" s="996" t="str">
        <f>'Development Cash Flow'!A46</f>
        <v>Dev</v>
      </c>
      <c r="X47" s="996">
        <f>'Development Cash Flow'!C46</f>
        <v>40</v>
      </c>
      <c r="Y47" s="997">
        <f>'Development Cash Flow'!D46</f>
        <v>47483</v>
      </c>
      <c r="Z47" s="391">
        <f t="shared" si="5"/>
        <v>1.2330199999999999E-2</v>
      </c>
      <c r="AA47" s="999">
        <f t="shared" si="6"/>
        <v>0.1223302</v>
      </c>
    </row>
    <row r="48" spans="2:27">
      <c r="O48" s="1126">
        <v>45285</v>
      </c>
      <c r="P48" s="1127">
        <v>9.1149999999999998E-3</v>
      </c>
      <c r="Q48" s="1127">
        <v>9.4906999999999995E-3</v>
      </c>
      <c r="R48" s="1128">
        <v>4.5897000000000004E-3</v>
      </c>
      <c r="T48" s="997">
        <f t="shared" si="3"/>
        <v>45161</v>
      </c>
      <c r="U48" s="997">
        <f t="shared" si="0"/>
        <v>45169</v>
      </c>
      <c r="V48" s="391">
        <f t="shared" si="4"/>
        <v>8.4697000000000001E-3</v>
      </c>
      <c r="W48" s="996" t="str">
        <f>'Development Cash Flow'!A47</f>
        <v>Dev</v>
      </c>
      <c r="X48" s="996">
        <f>'Development Cash Flow'!C47</f>
        <v>41</v>
      </c>
      <c r="Y48" s="997">
        <f>'Development Cash Flow'!D47</f>
        <v>47514</v>
      </c>
      <c r="Z48" s="391">
        <f t="shared" si="5"/>
        <v>5.0000000000000001E-3</v>
      </c>
      <c r="AA48" s="999">
        <f t="shared" si="6"/>
        <v>0.115</v>
      </c>
    </row>
    <row r="49" spans="15:27">
      <c r="O49" s="1126">
        <v>45314</v>
      </c>
      <c r="P49" s="1127">
        <v>9.2771999999999993E-3</v>
      </c>
      <c r="Q49" s="1127">
        <v>9.6095E-3</v>
      </c>
      <c r="R49" s="1128">
        <v>4.5897000000000004E-3</v>
      </c>
      <c r="T49" s="997">
        <f t="shared" si="3"/>
        <v>45194</v>
      </c>
      <c r="U49" s="997">
        <f t="shared" si="0"/>
        <v>45199</v>
      </c>
      <c r="V49" s="391">
        <f t="shared" si="4"/>
        <v>8.6444999999999994E-3</v>
      </c>
      <c r="W49" s="996" t="str">
        <f>'Development Cash Flow'!A48</f>
        <v>post dev</v>
      </c>
      <c r="X49" s="996">
        <f>'Development Cash Flow'!C48</f>
        <v>42</v>
      </c>
      <c r="Y49" s="997">
        <f>'Development Cash Flow'!D48</f>
        <v>47542</v>
      </c>
      <c r="Z49" s="391">
        <f t="shared" si="5"/>
        <v>5.0000000000000001E-3</v>
      </c>
      <c r="AA49" s="999">
        <f t="shared" si="6"/>
        <v>0.115</v>
      </c>
    </row>
    <row r="50" spans="15:27">
      <c r="O50" s="1126">
        <v>45345</v>
      </c>
      <c r="P50" s="1127">
        <v>9.4237000000000001E-3</v>
      </c>
      <c r="Q50" s="1127">
        <v>9.7354E-3</v>
      </c>
      <c r="R50" s="1128">
        <v>4.5897000000000004E-3</v>
      </c>
      <c r="T50" s="997">
        <f t="shared" si="3"/>
        <v>45222</v>
      </c>
      <c r="U50" s="997">
        <f t="shared" si="0"/>
        <v>45230</v>
      </c>
      <c r="V50" s="391">
        <f t="shared" si="4"/>
        <v>8.8129000000000002E-3</v>
      </c>
      <c r="W50" s="996" t="str">
        <f>'Development Cash Flow'!A49</f>
        <v>post dev</v>
      </c>
      <c r="X50" s="996">
        <f>'Development Cash Flow'!C49</f>
        <v>43</v>
      </c>
      <c r="Y50" s="997">
        <f>'Development Cash Flow'!D49</f>
        <v>47573</v>
      </c>
      <c r="Z50" s="391">
        <f t="shared" si="5"/>
        <v>5.0000000000000001E-3</v>
      </c>
      <c r="AA50" s="999">
        <f t="shared" si="6"/>
        <v>0.115</v>
      </c>
    </row>
    <row r="51" spans="15:27">
      <c r="O51" s="1126">
        <v>45376</v>
      </c>
      <c r="P51" s="1127">
        <v>9.5697000000000004E-3</v>
      </c>
      <c r="Q51" s="1127">
        <v>9.8612000000000005E-3</v>
      </c>
      <c r="R51" s="1128">
        <v>4.6075999999999999E-3</v>
      </c>
      <c r="T51" s="997">
        <f t="shared" si="3"/>
        <v>45253</v>
      </c>
      <c r="U51" s="997">
        <f t="shared" si="0"/>
        <v>45260</v>
      </c>
      <c r="V51" s="391">
        <f t="shared" si="4"/>
        <v>8.9697000000000006E-3</v>
      </c>
      <c r="W51" s="996" t="str">
        <f>'Development Cash Flow'!A50</f>
        <v>post dev</v>
      </c>
      <c r="X51" s="996">
        <f>'Development Cash Flow'!C50</f>
        <v>44</v>
      </c>
      <c r="Y51" s="997">
        <f>'Development Cash Flow'!D50</f>
        <v>47603</v>
      </c>
      <c r="Z51" s="391">
        <f t="shared" si="5"/>
        <v>5.0000000000000001E-3</v>
      </c>
      <c r="AA51" s="999">
        <f t="shared" si="6"/>
        <v>0.115</v>
      </c>
    </row>
    <row r="52" spans="15:27">
      <c r="O52" s="1126">
        <v>45405</v>
      </c>
      <c r="P52" s="1127">
        <v>9.7134999999999999E-3</v>
      </c>
      <c r="Q52" s="1127">
        <v>9.9793E-3</v>
      </c>
      <c r="R52" s="1128">
        <v>4.6075999999999999E-3</v>
      </c>
      <c r="T52" s="997">
        <f t="shared" si="3"/>
        <v>45285</v>
      </c>
      <c r="U52" s="997">
        <f t="shared" si="0"/>
        <v>45291</v>
      </c>
      <c r="V52" s="391">
        <f t="shared" si="4"/>
        <v>9.1149999999999998E-3</v>
      </c>
      <c r="W52" s="996" t="str">
        <f>'Development Cash Flow'!A51</f>
        <v>post dev</v>
      </c>
      <c r="X52" s="996">
        <f>'Development Cash Flow'!C51</f>
        <v>0</v>
      </c>
      <c r="Y52" s="997">
        <f>'Development Cash Flow'!D51</f>
        <v>47634</v>
      </c>
      <c r="Z52" s="391">
        <f t="shared" si="5"/>
        <v>5.0000000000000001E-3</v>
      </c>
      <c r="AA52" s="999">
        <f t="shared" si="6"/>
        <v>0.115</v>
      </c>
    </row>
    <row r="53" spans="15:27">
      <c r="O53" s="1126">
        <v>45435</v>
      </c>
      <c r="P53" s="1127">
        <v>9.8505999999999993E-3</v>
      </c>
      <c r="Q53" s="1127">
        <v>1.01014E-2</v>
      </c>
      <c r="R53" s="1128">
        <v>4.6075999999999999E-3</v>
      </c>
      <c r="T53" s="997">
        <f t="shared" si="3"/>
        <v>45314</v>
      </c>
      <c r="U53" s="997">
        <f t="shared" si="0"/>
        <v>45322</v>
      </c>
      <c r="V53" s="391">
        <f t="shared" si="4"/>
        <v>9.2771999999999993E-3</v>
      </c>
      <c r="W53" s="996" t="str">
        <f>'Development Cash Flow'!A52</f>
        <v>post dev</v>
      </c>
      <c r="X53" s="996">
        <f>'Development Cash Flow'!C52</f>
        <v>0</v>
      </c>
      <c r="Y53" s="997">
        <f>'Development Cash Flow'!D52</f>
        <v>47664</v>
      </c>
      <c r="Z53" s="391">
        <f t="shared" si="5"/>
        <v>5.0000000000000001E-3</v>
      </c>
      <c r="AA53" s="999">
        <f t="shared" si="6"/>
        <v>0.115</v>
      </c>
    </row>
    <row r="54" spans="15:27">
      <c r="O54" s="1126">
        <v>45467</v>
      </c>
      <c r="P54" s="1127">
        <v>9.9848000000000003E-3</v>
      </c>
      <c r="Q54" s="1127">
        <v>1.02316E-2</v>
      </c>
      <c r="R54" s="1128">
        <v>4.6239999999999996E-3</v>
      </c>
      <c r="T54" s="997">
        <f t="shared" si="3"/>
        <v>45345</v>
      </c>
      <c r="U54" s="997">
        <f t="shared" si="0"/>
        <v>45351</v>
      </c>
      <c r="V54" s="391">
        <f t="shared" si="4"/>
        <v>9.4237000000000001E-3</v>
      </c>
      <c r="W54" s="996" t="str">
        <f>'Development Cash Flow'!A53</f>
        <v>post dev</v>
      </c>
      <c r="X54" s="996">
        <f>'Development Cash Flow'!C53</f>
        <v>0</v>
      </c>
      <c r="Y54" s="997">
        <f>'Development Cash Flow'!D53</f>
        <v>47695</v>
      </c>
      <c r="Z54" s="391">
        <f t="shared" si="5"/>
        <v>5.0000000000000001E-3</v>
      </c>
      <c r="AA54" s="999">
        <f t="shared" si="6"/>
        <v>0.115</v>
      </c>
    </row>
    <row r="55" spans="15:27">
      <c r="O55" s="1126">
        <v>45496</v>
      </c>
      <c r="P55" s="1127">
        <v>1.01163E-2</v>
      </c>
      <c r="Q55" s="1127">
        <v>1.03526E-2</v>
      </c>
      <c r="R55" s="1128">
        <v>4.6239999999999996E-3</v>
      </c>
      <c r="T55" s="997">
        <f t="shared" si="3"/>
        <v>45376</v>
      </c>
      <c r="U55" s="997">
        <f t="shared" si="0"/>
        <v>45382</v>
      </c>
      <c r="V55" s="391">
        <f t="shared" si="4"/>
        <v>9.5697000000000004E-3</v>
      </c>
      <c r="W55" s="996" t="str">
        <f>'Development Cash Flow'!A54</f>
        <v>post dev</v>
      </c>
      <c r="X55" s="996">
        <f>'Development Cash Flow'!C54</f>
        <v>0</v>
      </c>
      <c r="Y55" s="997">
        <f>'Development Cash Flow'!D54</f>
        <v>47726</v>
      </c>
      <c r="Z55" s="391">
        <f t="shared" si="5"/>
        <v>5.0000000000000001E-3</v>
      </c>
      <c r="AA55" s="999">
        <f t="shared" si="6"/>
        <v>0.115</v>
      </c>
    </row>
    <row r="56" spans="15:27">
      <c r="O56" s="1126">
        <v>45527</v>
      </c>
      <c r="P56" s="1127">
        <v>1.0241999999999999E-2</v>
      </c>
      <c r="Q56" s="1127">
        <v>1.0481799999999999E-2</v>
      </c>
      <c r="R56" s="1128">
        <v>4.6239999999999996E-3</v>
      </c>
      <c r="T56" s="997">
        <f t="shared" si="3"/>
        <v>45405</v>
      </c>
      <c r="U56" s="997">
        <f t="shared" si="0"/>
        <v>45412</v>
      </c>
      <c r="V56" s="391">
        <f t="shared" si="4"/>
        <v>9.7134999999999999E-3</v>
      </c>
      <c r="W56" s="996" t="str">
        <f>'Development Cash Flow'!A55</f>
        <v>post dev</v>
      </c>
      <c r="X56" s="996">
        <f>'Development Cash Flow'!C55</f>
        <v>0</v>
      </c>
      <c r="Y56" s="997">
        <f>'Development Cash Flow'!D55</f>
        <v>47756</v>
      </c>
      <c r="Z56" s="391">
        <f t="shared" si="5"/>
        <v>5.0000000000000001E-3</v>
      </c>
      <c r="AA56" s="999">
        <f t="shared" si="6"/>
        <v>0.115</v>
      </c>
    </row>
    <row r="57" spans="15:27">
      <c r="O57" s="1126">
        <v>45558</v>
      </c>
      <c r="P57" s="1127">
        <v>1.03648E-2</v>
      </c>
      <c r="Q57" s="1127">
        <v>1.06111E-2</v>
      </c>
      <c r="R57" s="1128">
        <v>4.6386999999999999E-3</v>
      </c>
      <c r="T57" s="997">
        <f t="shared" si="3"/>
        <v>45435</v>
      </c>
      <c r="U57" s="997">
        <f t="shared" si="0"/>
        <v>45443</v>
      </c>
      <c r="V57" s="391">
        <f t="shared" si="4"/>
        <v>9.8505999999999993E-3</v>
      </c>
      <c r="W57" s="996" t="str">
        <f>'Development Cash Flow'!A56</f>
        <v>post dev</v>
      </c>
      <c r="X57" s="996">
        <f>'Development Cash Flow'!C56</f>
        <v>0</v>
      </c>
      <c r="Y57" s="997">
        <f>'Development Cash Flow'!D56</f>
        <v>47787</v>
      </c>
      <c r="Z57" s="391">
        <f t="shared" si="5"/>
        <v>5.0000000000000001E-3</v>
      </c>
      <c r="AA57" s="999">
        <f t="shared" si="6"/>
        <v>0.115</v>
      </c>
    </row>
    <row r="58" spans="15:27">
      <c r="O58" s="1126">
        <v>45588</v>
      </c>
      <c r="P58" s="1127">
        <v>1.0483900000000001E-2</v>
      </c>
      <c r="Q58" s="1127">
        <v>1.0739200000000001E-2</v>
      </c>
      <c r="R58" s="1128">
        <v>4.6386999999999999E-3</v>
      </c>
      <c r="T58" s="997">
        <f t="shared" si="3"/>
        <v>45467</v>
      </c>
      <c r="U58" s="997">
        <f t="shared" si="0"/>
        <v>45473</v>
      </c>
      <c r="V58" s="391">
        <f t="shared" si="4"/>
        <v>9.9848000000000003E-3</v>
      </c>
      <c r="W58" s="996" t="str">
        <f>'Development Cash Flow'!A57</f>
        <v>post dev</v>
      </c>
      <c r="X58" s="996">
        <f>'Development Cash Flow'!C57</f>
        <v>0</v>
      </c>
      <c r="Y58" s="997">
        <f>'Development Cash Flow'!D57</f>
        <v>47817</v>
      </c>
      <c r="Z58" s="391">
        <f t="shared" si="5"/>
        <v>5.0000000000000001E-3</v>
      </c>
      <c r="AA58" s="999">
        <f t="shared" si="6"/>
        <v>0.115</v>
      </c>
    </row>
    <row r="59" spans="15:27">
      <c r="O59" s="1126">
        <v>45621</v>
      </c>
      <c r="P59" s="1127">
        <v>1.0594900000000001E-2</v>
      </c>
      <c r="Q59" s="1127">
        <v>1.08801E-2</v>
      </c>
      <c r="R59" s="1128">
        <v>4.6386999999999999E-3</v>
      </c>
      <c r="T59" s="997">
        <f t="shared" si="3"/>
        <v>45496</v>
      </c>
      <c r="U59" s="997">
        <f t="shared" si="0"/>
        <v>45504</v>
      </c>
      <c r="V59" s="391">
        <f t="shared" si="4"/>
        <v>1.01163E-2</v>
      </c>
      <c r="W59" s="996" t="str">
        <f>'Development Cash Flow'!A58</f>
        <v>post dev</v>
      </c>
      <c r="X59" s="996">
        <f>'Development Cash Flow'!C58</f>
        <v>0</v>
      </c>
      <c r="Y59" s="997">
        <f>'Development Cash Flow'!D58</f>
        <v>47848</v>
      </c>
      <c r="Z59" s="391">
        <f t="shared" si="5"/>
        <v>5.0000000000000001E-3</v>
      </c>
      <c r="AA59" s="999">
        <f t="shared" si="6"/>
        <v>0.115</v>
      </c>
    </row>
    <row r="60" spans="15:27">
      <c r="O60" s="1126">
        <v>45649</v>
      </c>
      <c r="P60" s="1127">
        <v>1.0700400000000001E-2</v>
      </c>
      <c r="Q60" s="1127">
        <v>1.0999699999999999E-2</v>
      </c>
      <c r="R60" s="1128">
        <v>4.8018000000000002E-3</v>
      </c>
      <c r="T60" s="997">
        <f t="shared" si="3"/>
        <v>45527</v>
      </c>
      <c r="U60" s="997">
        <f t="shared" si="0"/>
        <v>45535</v>
      </c>
      <c r="V60" s="391">
        <f t="shared" si="4"/>
        <v>1.0241999999999999E-2</v>
      </c>
      <c r="W60" s="996" t="str">
        <f>'Development Cash Flow'!A59</f>
        <v>post dev</v>
      </c>
      <c r="X60" s="996">
        <f>'Development Cash Flow'!C59</f>
        <v>0</v>
      </c>
      <c r="Y60" s="997">
        <f>'Development Cash Flow'!D59</f>
        <v>47879</v>
      </c>
      <c r="Z60" s="391">
        <f t="shared" si="5"/>
        <v>5.0000000000000001E-3</v>
      </c>
      <c r="AA60" s="999">
        <f t="shared" si="6"/>
        <v>0.115</v>
      </c>
    </row>
    <row r="61" spans="15:27">
      <c r="O61" s="1126">
        <v>45680</v>
      </c>
      <c r="P61" s="1127">
        <v>1.07995E-2</v>
      </c>
      <c r="Q61" s="1127">
        <v>1.11351E-2</v>
      </c>
      <c r="R61" s="1128">
        <v>4.8018000000000002E-3</v>
      </c>
      <c r="T61" s="997">
        <f t="shared" si="3"/>
        <v>45558</v>
      </c>
      <c r="U61" s="997">
        <f t="shared" si="0"/>
        <v>45565</v>
      </c>
      <c r="V61" s="391">
        <f t="shared" si="4"/>
        <v>1.03648E-2</v>
      </c>
      <c r="W61" s="996" t="str">
        <f>'Development Cash Flow'!A60</f>
        <v>post dev</v>
      </c>
      <c r="X61" s="996">
        <f>'Development Cash Flow'!C60</f>
        <v>0</v>
      </c>
      <c r="Y61" s="997">
        <f>'Development Cash Flow'!D60</f>
        <v>47907</v>
      </c>
      <c r="Z61" s="391">
        <f t="shared" si="5"/>
        <v>5.0000000000000001E-3</v>
      </c>
      <c r="AA61" s="999">
        <f t="shared" si="6"/>
        <v>0.115</v>
      </c>
    </row>
    <row r="62" spans="15:27">
      <c r="O62" s="1126">
        <v>45712</v>
      </c>
      <c r="P62" s="1127">
        <v>1.0887900000000001E-2</v>
      </c>
      <c r="Q62" s="1127">
        <v>1.1274899999999999E-2</v>
      </c>
      <c r="R62" s="1128">
        <v>4.8018000000000002E-3</v>
      </c>
      <c r="T62" s="997">
        <f t="shared" si="3"/>
        <v>45588</v>
      </c>
      <c r="U62" s="997">
        <f t="shared" si="0"/>
        <v>45596</v>
      </c>
      <c r="V62" s="391">
        <f t="shared" si="4"/>
        <v>1.0483900000000001E-2</v>
      </c>
      <c r="W62" s="996" t="str">
        <f>'Development Cash Flow'!A61</f>
        <v>post dev</v>
      </c>
      <c r="X62" s="996">
        <f>'Development Cash Flow'!C61</f>
        <v>0</v>
      </c>
      <c r="Y62" s="997">
        <f>'Development Cash Flow'!D61</f>
        <v>47938</v>
      </c>
      <c r="Z62" s="391">
        <f t="shared" si="5"/>
        <v>5.0000000000000001E-3</v>
      </c>
      <c r="AA62" s="999">
        <f t="shared" si="6"/>
        <v>0.115</v>
      </c>
    </row>
    <row r="63" spans="15:27">
      <c r="O63" s="1126">
        <v>45740</v>
      </c>
      <c r="P63" s="1127">
        <v>1.0973999999999999E-2</v>
      </c>
      <c r="Q63" s="1127">
        <v>1.13972E-2</v>
      </c>
      <c r="R63" s="1129"/>
      <c r="T63" s="997">
        <f t="shared" si="3"/>
        <v>45621</v>
      </c>
      <c r="U63" s="997">
        <f t="shared" si="0"/>
        <v>45626</v>
      </c>
      <c r="V63" s="391">
        <f t="shared" si="4"/>
        <v>1.0594900000000001E-2</v>
      </c>
      <c r="W63" s="996" t="str">
        <f>'Development Cash Flow'!A62</f>
        <v>post dev</v>
      </c>
      <c r="X63" s="996">
        <f>'Development Cash Flow'!C62</f>
        <v>0</v>
      </c>
      <c r="Y63" s="997">
        <f>'Development Cash Flow'!D62</f>
        <v>47968</v>
      </c>
      <c r="Z63" s="391">
        <f t="shared" si="5"/>
        <v>5.0000000000000001E-3</v>
      </c>
      <c r="AA63" s="999">
        <f t="shared" si="6"/>
        <v>0.115</v>
      </c>
    </row>
    <row r="64" spans="15:27">
      <c r="O64" s="1126">
        <v>45770</v>
      </c>
      <c r="P64" s="1127">
        <v>1.10633E-2</v>
      </c>
      <c r="Q64" s="1127">
        <v>1.1514099999999999E-2</v>
      </c>
      <c r="R64" s="1129"/>
      <c r="T64" s="997">
        <f t="shared" si="3"/>
        <v>45649</v>
      </c>
      <c r="U64" s="997">
        <f t="shared" si="0"/>
        <v>45657</v>
      </c>
      <c r="V64" s="391">
        <f t="shared" si="4"/>
        <v>1.0700400000000001E-2</v>
      </c>
      <c r="W64" s="996" t="str">
        <f>'Development Cash Flow'!A63</f>
        <v>post dev</v>
      </c>
      <c r="X64" s="996">
        <f>'Development Cash Flow'!C63</f>
        <v>0</v>
      </c>
      <c r="Y64" s="997">
        <f>'Development Cash Flow'!D63</f>
        <v>47999</v>
      </c>
      <c r="Z64" s="391">
        <f t="shared" si="5"/>
        <v>5.0000000000000001E-3</v>
      </c>
      <c r="AA64" s="999">
        <f t="shared" si="6"/>
        <v>0.115</v>
      </c>
    </row>
    <row r="65" spans="15:27">
      <c r="O65" s="1126">
        <v>45800</v>
      </c>
      <c r="P65" s="1127">
        <v>1.11498E-2</v>
      </c>
      <c r="Q65" s="1127">
        <v>1.16309E-2</v>
      </c>
      <c r="R65" s="1129"/>
      <c r="T65" s="997">
        <f t="shared" si="3"/>
        <v>45680</v>
      </c>
      <c r="U65" s="997">
        <f t="shared" si="0"/>
        <v>45688</v>
      </c>
      <c r="V65" s="391">
        <f t="shared" si="4"/>
        <v>1.07995E-2</v>
      </c>
      <c r="W65" s="996" t="str">
        <f>'Development Cash Flow'!A64</f>
        <v>post dev</v>
      </c>
      <c r="X65" s="996">
        <f>'Development Cash Flow'!C64</f>
        <v>0</v>
      </c>
      <c r="Y65" s="997">
        <f>'Development Cash Flow'!D64</f>
        <v>48029</v>
      </c>
      <c r="Z65" s="391">
        <f t="shared" si="5"/>
        <v>5.0000000000000001E-3</v>
      </c>
      <c r="AA65" s="999">
        <f t="shared" si="6"/>
        <v>0.115</v>
      </c>
    </row>
    <row r="66" spans="15:27">
      <c r="O66" s="1126">
        <v>45831</v>
      </c>
      <c r="P66" s="1127">
        <v>1.1244000000000001E-2</v>
      </c>
      <c r="Q66" s="1127">
        <v>1.17517E-2</v>
      </c>
      <c r="R66" s="1129"/>
      <c r="T66" s="997">
        <f t="shared" si="3"/>
        <v>45712</v>
      </c>
      <c r="U66" s="997">
        <f t="shared" si="0"/>
        <v>45716</v>
      </c>
      <c r="V66" s="391">
        <f t="shared" si="4"/>
        <v>1.0887900000000001E-2</v>
      </c>
      <c r="W66" s="996" t="str">
        <f>'Development Cash Flow'!A65</f>
        <v>post dev</v>
      </c>
      <c r="X66" s="996">
        <f>'Development Cash Flow'!C65</f>
        <v>0</v>
      </c>
      <c r="Y66" s="997">
        <f>'Development Cash Flow'!D65</f>
        <v>48060</v>
      </c>
      <c r="Z66" s="391">
        <f t="shared" si="5"/>
        <v>5.0000000000000001E-3</v>
      </c>
      <c r="AA66" s="999">
        <f t="shared" si="6"/>
        <v>0.115</v>
      </c>
    </row>
    <row r="67" spans="15:27">
      <c r="O67" s="1126">
        <v>45861</v>
      </c>
      <c r="P67" s="1127">
        <v>1.13451E-2</v>
      </c>
      <c r="Q67" s="1127">
        <v>1.18531E-2</v>
      </c>
      <c r="R67" s="1129"/>
      <c r="T67" s="997">
        <f t="shared" si="3"/>
        <v>45740</v>
      </c>
      <c r="U67" s="997">
        <f t="shared" si="0"/>
        <v>45747</v>
      </c>
      <c r="V67" s="391">
        <f t="shared" si="4"/>
        <v>1.0973999999999999E-2</v>
      </c>
      <c r="W67" s="996" t="str">
        <f>'Development Cash Flow'!A66</f>
        <v>post dev</v>
      </c>
      <c r="X67" s="996">
        <f>'Development Cash Flow'!C66</f>
        <v>0</v>
      </c>
      <c r="Y67" s="997">
        <f>'Development Cash Flow'!D66</f>
        <v>48091</v>
      </c>
      <c r="Z67" s="391">
        <f t="shared" si="5"/>
        <v>5.0000000000000001E-3</v>
      </c>
      <c r="AA67" s="999">
        <f t="shared" si="6"/>
        <v>0.115</v>
      </c>
    </row>
    <row r="68" spans="15:27">
      <c r="O68" s="1126">
        <v>45894</v>
      </c>
      <c r="P68" s="1127">
        <v>1.1438E-2</v>
      </c>
      <c r="Q68" s="1127">
        <v>1.1964600000000001E-2</v>
      </c>
      <c r="R68" s="1129"/>
      <c r="T68" s="997">
        <f t="shared" si="3"/>
        <v>45770</v>
      </c>
      <c r="U68" s="997">
        <f t="shared" si="0"/>
        <v>45777</v>
      </c>
      <c r="V68" s="391">
        <f t="shared" si="4"/>
        <v>1.10633E-2</v>
      </c>
      <c r="W68" s="996" t="str">
        <f>'Development Cash Flow'!A67</f>
        <v>post dev</v>
      </c>
      <c r="X68" s="996">
        <f>'Development Cash Flow'!C67</f>
        <v>0</v>
      </c>
      <c r="Y68" s="997">
        <f>'Development Cash Flow'!D67</f>
        <v>48121</v>
      </c>
      <c r="Z68" s="391">
        <f t="shared" si="5"/>
        <v>5.0000000000000001E-3</v>
      </c>
      <c r="AA68" s="999">
        <f t="shared" si="6"/>
        <v>0.115</v>
      </c>
    </row>
    <row r="69" spans="15:27">
      <c r="O69" s="1126">
        <v>45923</v>
      </c>
      <c r="P69" s="1127">
        <v>1.15402E-2</v>
      </c>
      <c r="Q69" s="1127">
        <v>1.20626E-2</v>
      </c>
      <c r="R69" s="1129"/>
      <c r="T69" s="997">
        <f t="shared" si="3"/>
        <v>45800</v>
      </c>
      <c r="U69" s="997">
        <f t="shared" si="0"/>
        <v>45808</v>
      </c>
      <c r="V69" s="391">
        <f t="shared" si="4"/>
        <v>1.11498E-2</v>
      </c>
      <c r="W69" s="996" t="str">
        <f>'Development Cash Flow'!A68</f>
        <v>post dev</v>
      </c>
      <c r="X69" s="996">
        <f>'Development Cash Flow'!C68</f>
        <v>0</v>
      </c>
      <c r="Y69" s="997">
        <f>'Development Cash Flow'!D68</f>
        <v>48152</v>
      </c>
      <c r="Z69" s="391">
        <f t="shared" si="5"/>
        <v>5.0000000000000001E-3</v>
      </c>
      <c r="AA69" s="999">
        <f t="shared" si="6"/>
        <v>0.115</v>
      </c>
    </row>
    <row r="70" spans="15:27">
      <c r="O70" s="1126">
        <v>45953</v>
      </c>
      <c r="P70" s="1127">
        <v>1.1641800000000001E-2</v>
      </c>
      <c r="Q70" s="1127">
        <v>1.2151E-2</v>
      </c>
      <c r="R70" s="1129"/>
      <c r="T70" s="997">
        <f t="shared" si="3"/>
        <v>45831</v>
      </c>
      <c r="U70" s="997">
        <f t="shared" ref="U70:U124" si="7">EOMONTH(T70,0)</f>
        <v>45838</v>
      </c>
      <c r="V70" s="391">
        <f t="shared" si="4"/>
        <v>1.1244000000000001E-2</v>
      </c>
      <c r="W70" s="996" t="str">
        <f>'Development Cash Flow'!A69</f>
        <v>post dev</v>
      </c>
      <c r="X70" s="996">
        <f>'Development Cash Flow'!C69</f>
        <v>0</v>
      </c>
      <c r="Y70" s="997">
        <f>'Development Cash Flow'!D69</f>
        <v>48182</v>
      </c>
      <c r="Z70" s="391">
        <f t="shared" si="5"/>
        <v>5.0000000000000001E-3</v>
      </c>
      <c r="AA70" s="999">
        <f t="shared" si="6"/>
        <v>0.115</v>
      </c>
    </row>
    <row r="71" spans="15:27">
      <c r="O71" s="1126">
        <v>45985</v>
      </c>
      <c r="P71" s="1127">
        <v>1.1733E-2</v>
      </c>
      <c r="Q71" s="1127">
        <v>1.2245199999999999E-2</v>
      </c>
      <c r="R71" s="1129"/>
      <c r="T71" s="997">
        <f t="shared" si="3"/>
        <v>45861</v>
      </c>
      <c r="U71" s="997">
        <f t="shared" si="7"/>
        <v>45869</v>
      </c>
      <c r="V71" s="391">
        <f t="shared" si="4"/>
        <v>1.13451E-2</v>
      </c>
      <c r="W71" s="996" t="str">
        <f>'Development Cash Flow'!A70</f>
        <v>post dev</v>
      </c>
      <c r="X71" s="996">
        <f>'Development Cash Flow'!C70</f>
        <v>0</v>
      </c>
      <c r="Y71" s="997">
        <f>'Development Cash Flow'!D70</f>
        <v>48213</v>
      </c>
      <c r="Z71" s="391">
        <f t="shared" ref="Z71:Z102" si="8">MAX(IFERROR(VLOOKUP(Y71,$U$7:$V$124,2,FALSE),0),$X$5)</f>
        <v>5.0000000000000001E-3</v>
      </c>
      <c r="AA71" s="999">
        <f t="shared" ref="AA71:AA102" si="9">Z71+$X$4</f>
        <v>0.115</v>
      </c>
    </row>
    <row r="72" spans="15:27">
      <c r="O72" s="1126">
        <v>46014</v>
      </c>
      <c r="P72" s="1127">
        <v>1.18242E-2</v>
      </c>
      <c r="Q72" s="1127">
        <v>1.2330600000000001E-2</v>
      </c>
      <c r="R72" s="1129"/>
      <c r="T72" s="997">
        <f t="shared" ref="T72:T129" si="10">+O68</f>
        <v>45894</v>
      </c>
      <c r="U72" s="997">
        <f t="shared" si="7"/>
        <v>45900</v>
      </c>
      <c r="V72" s="391">
        <f t="shared" ref="V72:V133" si="11">+P68</f>
        <v>1.1438E-2</v>
      </c>
      <c r="W72" s="996" t="str">
        <f>'Development Cash Flow'!A71</f>
        <v>post dev</v>
      </c>
      <c r="X72" s="996">
        <f>'Development Cash Flow'!C71</f>
        <v>0</v>
      </c>
      <c r="Y72" s="997">
        <f>'Development Cash Flow'!D71</f>
        <v>48244</v>
      </c>
      <c r="Z72" s="391">
        <f t="shared" si="8"/>
        <v>5.0000000000000001E-3</v>
      </c>
      <c r="AA72" s="999">
        <f t="shared" si="9"/>
        <v>0.115</v>
      </c>
    </row>
    <row r="73" spans="15:27">
      <c r="O73" s="1126">
        <v>46045</v>
      </c>
      <c r="P73" s="1127">
        <v>1.19151E-2</v>
      </c>
      <c r="Q73" s="1127">
        <v>1.2408300000000001E-2</v>
      </c>
      <c r="R73" s="1129"/>
      <c r="T73" s="997">
        <f t="shared" si="10"/>
        <v>45923</v>
      </c>
      <c r="U73" s="997">
        <f t="shared" si="7"/>
        <v>45930</v>
      </c>
      <c r="V73" s="391">
        <f t="shared" si="11"/>
        <v>1.15402E-2</v>
      </c>
      <c r="W73" s="996" t="str">
        <f>'Development Cash Flow'!A72</f>
        <v>post dev</v>
      </c>
      <c r="X73" s="996">
        <f>'Development Cash Flow'!C72</f>
        <v>0</v>
      </c>
      <c r="Y73" s="997">
        <f>'Development Cash Flow'!D72</f>
        <v>48273</v>
      </c>
      <c r="Z73" s="391">
        <f t="shared" si="8"/>
        <v>5.0000000000000001E-3</v>
      </c>
      <c r="AA73" s="999">
        <f t="shared" si="9"/>
        <v>0.115</v>
      </c>
    </row>
    <row r="74" spans="15:27">
      <c r="O74" s="1126">
        <v>46076</v>
      </c>
      <c r="P74" s="1127">
        <v>1.19939E-2</v>
      </c>
      <c r="Q74" s="1127">
        <v>1.2486000000000001E-2</v>
      </c>
      <c r="R74" s="1129"/>
      <c r="T74" s="997">
        <f t="shared" si="10"/>
        <v>45953</v>
      </c>
      <c r="U74" s="997">
        <f t="shared" si="7"/>
        <v>45961</v>
      </c>
      <c r="V74" s="391">
        <f t="shared" si="11"/>
        <v>1.1641800000000001E-2</v>
      </c>
      <c r="W74" s="996" t="str">
        <f>'Development Cash Flow'!A73</f>
        <v>post dev</v>
      </c>
      <c r="X74" s="996">
        <f>'Development Cash Flow'!C73</f>
        <v>0</v>
      </c>
      <c r="Y74" s="997">
        <f>'Development Cash Flow'!D73</f>
        <v>48304</v>
      </c>
      <c r="Z74" s="391">
        <f t="shared" si="8"/>
        <v>5.0000000000000001E-3</v>
      </c>
      <c r="AA74" s="999">
        <f t="shared" si="9"/>
        <v>0.115</v>
      </c>
    </row>
    <row r="75" spans="15:27">
      <c r="O75" s="1126">
        <v>46104</v>
      </c>
      <c r="P75" s="1127">
        <v>1.2071699999999999E-2</v>
      </c>
      <c r="Q75" s="1127">
        <v>1.25562E-2</v>
      </c>
      <c r="R75" s="1129"/>
      <c r="T75" s="997">
        <f t="shared" si="10"/>
        <v>45985</v>
      </c>
      <c r="U75" s="997">
        <f t="shared" si="7"/>
        <v>45991</v>
      </c>
      <c r="V75" s="391">
        <f t="shared" si="11"/>
        <v>1.1733E-2</v>
      </c>
      <c r="W75" s="996" t="str">
        <f>'Development Cash Flow'!A74</f>
        <v>post dev</v>
      </c>
      <c r="X75" s="996">
        <f>'Development Cash Flow'!C74</f>
        <v>0</v>
      </c>
      <c r="Y75" s="997">
        <f>'Development Cash Flow'!D74</f>
        <v>48334</v>
      </c>
      <c r="Z75" s="391">
        <f t="shared" si="8"/>
        <v>5.0000000000000001E-3</v>
      </c>
      <c r="AA75" s="999">
        <f t="shared" si="9"/>
        <v>0.115</v>
      </c>
    </row>
    <row r="76" spans="15:27">
      <c r="O76" s="1126">
        <v>46135</v>
      </c>
      <c r="P76" s="1127">
        <v>1.2149399999999999E-2</v>
      </c>
      <c r="Q76" s="1127">
        <v>1.2623499999999999E-2</v>
      </c>
      <c r="R76" s="1129"/>
      <c r="T76" s="997">
        <f t="shared" si="10"/>
        <v>46014</v>
      </c>
      <c r="U76" s="997">
        <f t="shared" si="7"/>
        <v>46022</v>
      </c>
      <c r="V76" s="391">
        <f t="shared" si="11"/>
        <v>1.18242E-2</v>
      </c>
      <c r="W76" s="996" t="str">
        <f>'Development Cash Flow'!A75</f>
        <v>post dev</v>
      </c>
      <c r="X76" s="996">
        <f>'Development Cash Flow'!C75</f>
        <v>0</v>
      </c>
      <c r="Y76" s="997">
        <f>'Development Cash Flow'!D75</f>
        <v>48365</v>
      </c>
      <c r="Z76" s="391">
        <f t="shared" si="8"/>
        <v>5.0000000000000001E-3</v>
      </c>
      <c r="AA76" s="999">
        <f t="shared" si="9"/>
        <v>0.115</v>
      </c>
    </row>
    <row r="77" spans="15:27">
      <c r="O77" s="1126">
        <v>46167</v>
      </c>
      <c r="P77" s="1127">
        <v>1.2214300000000001E-2</v>
      </c>
      <c r="Q77" s="1127">
        <v>1.26929E-2</v>
      </c>
      <c r="R77" s="1129"/>
      <c r="T77" s="997">
        <f t="shared" si="10"/>
        <v>46045</v>
      </c>
      <c r="U77" s="997">
        <f t="shared" si="7"/>
        <v>46053</v>
      </c>
      <c r="V77" s="391">
        <f t="shared" si="11"/>
        <v>1.19151E-2</v>
      </c>
      <c r="W77" s="996" t="str">
        <f>'Development Cash Flow'!A76</f>
        <v>post dev</v>
      </c>
      <c r="X77" s="996">
        <f>'Development Cash Flow'!C76</f>
        <v>0</v>
      </c>
      <c r="Y77" s="997">
        <f>'Development Cash Flow'!D76</f>
        <v>48395</v>
      </c>
      <c r="Z77" s="391">
        <f t="shared" si="8"/>
        <v>5.0000000000000001E-3</v>
      </c>
      <c r="AA77" s="999">
        <f t="shared" si="9"/>
        <v>0.115</v>
      </c>
    </row>
    <row r="78" spans="15:27">
      <c r="O78" s="1126">
        <v>46196</v>
      </c>
      <c r="P78" s="1127">
        <v>1.22833E-2</v>
      </c>
      <c r="Q78" s="1127">
        <v>1.2755799999999999E-2</v>
      </c>
      <c r="R78" s="1129"/>
      <c r="T78" s="997">
        <f t="shared" si="10"/>
        <v>46076</v>
      </c>
      <c r="U78" s="997">
        <f t="shared" si="7"/>
        <v>46081</v>
      </c>
      <c r="V78" s="391">
        <f t="shared" si="11"/>
        <v>1.19939E-2</v>
      </c>
      <c r="W78" s="996" t="str">
        <f>'Development Cash Flow'!A77</f>
        <v>post dev</v>
      </c>
      <c r="X78" s="996">
        <f>'Development Cash Flow'!C77</f>
        <v>0</v>
      </c>
      <c r="Y78" s="997">
        <f>'Development Cash Flow'!D77</f>
        <v>48426</v>
      </c>
      <c r="Z78" s="391">
        <f t="shared" si="8"/>
        <v>5.0000000000000001E-3</v>
      </c>
      <c r="AA78" s="999">
        <f t="shared" si="9"/>
        <v>0.115</v>
      </c>
    </row>
    <row r="79" spans="15:27">
      <c r="O79" s="1126">
        <v>46226</v>
      </c>
      <c r="P79" s="1127">
        <v>1.2351000000000001E-2</v>
      </c>
      <c r="Q79" s="1127">
        <v>1.2812499999999999E-2</v>
      </c>
      <c r="R79" s="1129"/>
      <c r="T79" s="997">
        <f t="shared" si="10"/>
        <v>46104</v>
      </c>
      <c r="U79" s="997">
        <f t="shared" si="7"/>
        <v>46112</v>
      </c>
      <c r="V79" s="391">
        <f t="shared" si="11"/>
        <v>1.2071699999999999E-2</v>
      </c>
      <c r="W79" s="996" t="str">
        <f>'Development Cash Flow'!A78</f>
        <v>post dev</v>
      </c>
      <c r="X79" s="996">
        <f>'Development Cash Flow'!C78</f>
        <v>0</v>
      </c>
      <c r="Y79" s="997">
        <f>'Development Cash Flow'!D78</f>
        <v>48457</v>
      </c>
      <c r="Z79" s="391">
        <f t="shared" si="8"/>
        <v>5.0000000000000001E-3</v>
      </c>
      <c r="AA79" s="999">
        <f t="shared" si="9"/>
        <v>0.115</v>
      </c>
    </row>
    <row r="80" spans="15:27">
      <c r="O80" s="1126">
        <v>46258</v>
      </c>
      <c r="P80" s="1127">
        <v>1.24089E-2</v>
      </c>
      <c r="Q80" s="1127">
        <v>1.28729E-2</v>
      </c>
      <c r="R80" s="1129"/>
      <c r="T80" s="997">
        <f t="shared" si="10"/>
        <v>46135</v>
      </c>
      <c r="U80" s="997">
        <f t="shared" si="7"/>
        <v>46142</v>
      </c>
      <c r="V80" s="391">
        <f t="shared" si="11"/>
        <v>1.2149399999999999E-2</v>
      </c>
      <c r="W80" s="996" t="str">
        <f>'Development Cash Flow'!A79</f>
        <v>post dev</v>
      </c>
      <c r="X80" s="996">
        <f>'Development Cash Flow'!C79</f>
        <v>0</v>
      </c>
      <c r="Y80" s="997">
        <f>'Development Cash Flow'!D79</f>
        <v>48487</v>
      </c>
      <c r="Z80" s="391">
        <f t="shared" si="8"/>
        <v>5.0000000000000001E-3</v>
      </c>
      <c r="AA80" s="999">
        <f t="shared" si="9"/>
        <v>0.115</v>
      </c>
    </row>
    <row r="81" spans="15:27">
      <c r="O81" s="1126">
        <v>46288</v>
      </c>
      <c r="P81" s="1127">
        <v>1.24682E-2</v>
      </c>
      <c r="Q81" s="1127">
        <v>1.29295E-2</v>
      </c>
      <c r="R81" s="1129"/>
      <c r="T81" s="997">
        <f t="shared" si="10"/>
        <v>46167</v>
      </c>
      <c r="U81" s="997">
        <f t="shared" si="7"/>
        <v>46173</v>
      </c>
      <c r="V81" s="391">
        <f t="shared" si="11"/>
        <v>1.2214300000000001E-2</v>
      </c>
      <c r="W81" s="996" t="str">
        <f>'Development Cash Flow'!A80</f>
        <v>post dev</v>
      </c>
      <c r="X81" s="996">
        <f>'Development Cash Flow'!C80</f>
        <v>0</v>
      </c>
      <c r="Y81" s="997">
        <f>'Development Cash Flow'!D80</f>
        <v>48518</v>
      </c>
      <c r="Z81" s="391">
        <f t="shared" si="8"/>
        <v>5.0000000000000001E-3</v>
      </c>
      <c r="AA81" s="999">
        <f t="shared" si="9"/>
        <v>0.115</v>
      </c>
    </row>
    <row r="82" spans="15:27">
      <c r="O82" s="1126">
        <v>46318</v>
      </c>
      <c r="P82" s="1127">
        <v>1.25294E-2</v>
      </c>
      <c r="Q82" s="1127">
        <v>1.29783E-2</v>
      </c>
      <c r="R82" s="1129"/>
      <c r="T82" s="997">
        <f t="shared" si="10"/>
        <v>46196</v>
      </c>
      <c r="U82" s="997">
        <f t="shared" si="7"/>
        <v>46203</v>
      </c>
      <c r="V82" s="391">
        <f t="shared" si="11"/>
        <v>1.22833E-2</v>
      </c>
      <c r="W82" s="996" t="str">
        <f>'Development Cash Flow'!A81</f>
        <v>post dev</v>
      </c>
      <c r="X82" s="996">
        <f>'Development Cash Flow'!C81</f>
        <v>0</v>
      </c>
      <c r="Y82" s="997">
        <f>'Development Cash Flow'!D81</f>
        <v>48548</v>
      </c>
      <c r="Z82" s="391">
        <f t="shared" si="8"/>
        <v>5.0000000000000001E-3</v>
      </c>
      <c r="AA82" s="999">
        <f t="shared" si="9"/>
        <v>0.115</v>
      </c>
    </row>
    <row r="83" spans="15:27">
      <c r="O83" s="1126">
        <v>46349</v>
      </c>
      <c r="P83" s="1127">
        <v>1.25814E-2</v>
      </c>
      <c r="Q83" s="1127">
        <v>1.3028700000000001E-2</v>
      </c>
      <c r="R83" s="1129"/>
      <c r="T83" s="997">
        <f t="shared" si="10"/>
        <v>46226</v>
      </c>
      <c r="U83" s="997">
        <f t="shared" si="7"/>
        <v>46234</v>
      </c>
      <c r="V83" s="391">
        <f t="shared" si="11"/>
        <v>1.2351000000000001E-2</v>
      </c>
      <c r="W83" s="996" t="str">
        <f>'Development Cash Flow'!A82</f>
        <v>post dev</v>
      </c>
      <c r="X83" s="996">
        <f>'Development Cash Flow'!C82</f>
        <v>0</v>
      </c>
      <c r="Y83" s="997">
        <f>'Development Cash Flow'!D82</f>
        <v>48579</v>
      </c>
      <c r="Z83" s="391">
        <f t="shared" si="8"/>
        <v>5.0000000000000001E-3</v>
      </c>
      <c r="AA83" s="999">
        <f t="shared" si="9"/>
        <v>0.115</v>
      </c>
    </row>
    <row r="84" spans="15:27">
      <c r="O84" s="1126">
        <v>46379</v>
      </c>
      <c r="P84" s="1127">
        <v>1.26354E-2</v>
      </c>
      <c r="Q84" s="1127">
        <v>1.3077500000000001E-2</v>
      </c>
      <c r="R84" s="1129"/>
      <c r="T84" s="997">
        <f t="shared" si="10"/>
        <v>46258</v>
      </c>
      <c r="U84" s="997">
        <f t="shared" si="7"/>
        <v>46265</v>
      </c>
      <c r="V84" s="391">
        <f t="shared" si="11"/>
        <v>1.24089E-2</v>
      </c>
      <c r="W84" s="996" t="str">
        <f>'Development Cash Flow'!A83</f>
        <v>post dev</v>
      </c>
      <c r="X84" s="996">
        <f>'Development Cash Flow'!C83</f>
        <v>0</v>
      </c>
      <c r="Y84" s="997">
        <f>'Development Cash Flow'!D83</f>
        <v>48610</v>
      </c>
      <c r="Z84" s="391">
        <f t="shared" si="8"/>
        <v>5.0000000000000001E-3</v>
      </c>
      <c r="AA84" s="999">
        <f t="shared" si="9"/>
        <v>0.115</v>
      </c>
    </row>
    <row r="85" spans="15:27">
      <c r="O85" s="1126">
        <v>46412</v>
      </c>
      <c r="P85" s="1127">
        <v>1.26914E-2</v>
      </c>
      <c r="Q85" s="1127">
        <v>1.31226E-2</v>
      </c>
      <c r="R85" s="1129"/>
      <c r="T85" s="997">
        <f t="shared" si="10"/>
        <v>46288</v>
      </c>
      <c r="U85" s="997">
        <f t="shared" si="7"/>
        <v>46295</v>
      </c>
      <c r="V85" s="391">
        <f t="shared" si="11"/>
        <v>1.24682E-2</v>
      </c>
      <c r="W85" s="996" t="str">
        <f>'Development Cash Flow'!A84</f>
        <v>post dev</v>
      </c>
      <c r="X85" s="996">
        <f>'Development Cash Flow'!C84</f>
        <v>0</v>
      </c>
      <c r="Y85" s="997">
        <f>'Development Cash Flow'!D84</f>
        <v>48638</v>
      </c>
      <c r="Z85" s="391">
        <f t="shared" si="8"/>
        <v>5.0000000000000001E-3</v>
      </c>
      <c r="AA85" s="999">
        <f t="shared" si="9"/>
        <v>0.115</v>
      </c>
    </row>
    <row r="86" spans="15:27">
      <c r="O86" s="1126">
        <v>46441</v>
      </c>
      <c r="P86" s="1127">
        <v>1.2737099999999999E-2</v>
      </c>
      <c r="Q86" s="1127">
        <v>1.3162099999999999E-2</v>
      </c>
      <c r="R86" s="1129"/>
      <c r="T86" s="997">
        <f t="shared" si="10"/>
        <v>46318</v>
      </c>
      <c r="U86" s="997">
        <f t="shared" si="7"/>
        <v>46326</v>
      </c>
      <c r="V86" s="391">
        <f t="shared" si="11"/>
        <v>1.25294E-2</v>
      </c>
      <c r="W86" s="996" t="str">
        <f>'Development Cash Flow'!A85</f>
        <v>post dev</v>
      </c>
      <c r="X86" s="996">
        <f>'Development Cash Flow'!C85</f>
        <v>0</v>
      </c>
      <c r="Y86" s="997">
        <f>'Development Cash Flow'!D85</f>
        <v>48669</v>
      </c>
      <c r="Z86" s="391">
        <f t="shared" si="8"/>
        <v>5.0000000000000001E-3</v>
      </c>
      <c r="AA86" s="999">
        <f t="shared" si="9"/>
        <v>0.115</v>
      </c>
    </row>
    <row r="87" spans="15:27">
      <c r="O87" s="1126">
        <v>46469</v>
      </c>
      <c r="P87" s="1127">
        <v>1.2782E-2</v>
      </c>
      <c r="Q87" s="1127">
        <v>1.32003E-2</v>
      </c>
      <c r="R87" s="1129"/>
      <c r="T87" s="997">
        <f t="shared" si="10"/>
        <v>46349</v>
      </c>
      <c r="U87" s="997">
        <f t="shared" si="7"/>
        <v>46356</v>
      </c>
      <c r="V87" s="391">
        <f t="shared" si="11"/>
        <v>1.25814E-2</v>
      </c>
      <c r="W87" s="996" t="str">
        <f>'Development Cash Flow'!A86</f>
        <v>post dev</v>
      </c>
      <c r="X87" s="996">
        <f>'Development Cash Flow'!C86</f>
        <v>0</v>
      </c>
      <c r="Y87" s="997">
        <f>'Development Cash Flow'!D86</f>
        <v>48699</v>
      </c>
      <c r="Z87" s="391">
        <f t="shared" si="8"/>
        <v>5.0000000000000001E-3</v>
      </c>
      <c r="AA87" s="999">
        <f t="shared" si="9"/>
        <v>0.115</v>
      </c>
    </row>
    <row r="88" spans="15:27">
      <c r="O88" s="1126">
        <v>46500</v>
      </c>
      <c r="P88" s="1127">
        <v>1.2825E-2</v>
      </c>
      <c r="Q88" s="1127">
        <v>1.32246E-2</v>
      </c>
      <c r="R88" s="1129"/>
      <c r="T88" s="997">
        <f t="shared" si="10"/>
        <v>46379</v>
      </c>
      <c r="U88" s="997">
        <f t="shared" si="7"/>
        <v>46387</v>
      </c>
      <c r="V88" s="391">
        <f t="shared" si="11"/>
        <v>1.26354E-2</v>
      </c>
      <c r="W88" s="996" t="str">
        <f>'Development Cash Flow'!A87</f>
        <v>post dev</v>
      </c>
      <c r="X88" s="996">
        <f>'Development Cash Flow'!C87</f>
        <v>0</v>
      </c>
      <c r="Y88" s="997">
        <f>'Development Cash Flow'!D87</f>
        <v>48730</v>
      </c>
      <c r="Z88" s="391">
        <f t="shared" si="8"/>
        <v>5.0000000000000001E-3</v>
      </c>
      <c r="AA88" s="999">
        <f t="shared" si="9"/>
        <v>0.115</v>
      </c>
    </row>
    <row r="89" spans="15:27">
      <c r="O89" s="1126">
        <v>46531</v>
      </c>
      <c r="P89" s="1127">
        <v>1.2855E-2</v>
      </c>
      <c r="Q89" s="1127">
        <v>1.3248899999999999E-2</v>
      </c>
      <c r="R89" s="1129"/>
      <c r="T89" s="997">
        <f t="shared" si="10"/>
        <v>46412</v>
      </c>
      <c r="U89" s="997">
        <f t="shared" si="7"/>
        <v>46418</v>
      </c>
      <c r="V89" s="391">
        <f t="shared" si="11"/>
        <v>1.26914E-2</v>
      </c>
      <c r="W89" s="996" t="str">
        <f>'Development Cash Flow'!A88</f>
        <v>post dev</v>
      </c>
      <c r="X89" s="996">
        <f>'Development Cash Flow'!C88</f>
        <v>0</v>
      </c>
      <c r="Y89" s="997">
        <f>'Development Cash Flow'!D88</f>
        <v>48760</v>
      </c>
      <c r="Z89" s="391">
        <f t="shared" si="8"/>
        <v>5.0000000000000001E-3</v>
      </c>
      <c r="AA89" s="999">
        <f t="shared" si="9"/>
        <v>0.115</v>
      </c>
    </row>
    <row r="90" spans="15:27">
      <c r="O90" s="1126">
        <v>46561</v>
      </c>
      <c r="P90" s="1127">
        <v>1.2881699999999999E-2</v>
      </c>
      <c r="Q90" s="1127">
        <v>1.32724E-2</v>
      </c>
      <c r="R90" s="1129"/>
      <c r="T90" s="997">
        <f t="shared" si="10"/>
        <v>46441</v>
      </c>
      <c r="U90" s="997">
        <f t="shared" si="7"/>
        <v>46446</v>
      </c>
      <c r="V90" s="391">
        <f t="shared" si="11"/>
        <v>1.2737099999999999E-2</v>
      </c>
      <c r="W90" s="996" t="str">
        <f>'Development Cash Flow'!A89</f>
        <v>post dev</v>
      </c>
      <c r="X90" s="996">
        <f>'Development Cash Flow'!C89</f>
        <v>0</v>
      </c>
      <c r="Y90" s="997">
        <f>'Development Cash Flow'!D89</f>
        <v>48791</v>
      </c>
      <c r="Z90" s="391">
        <f t="shared" si="8"/>
        <v>5.0000000000000001E-3</v>
      </c>
      <c r="AA90" s="999">
        <f t="shared" si="9"/>
        <v>0.115</v>
      </c>
    </row>
    <row r="91" spans="15:27">
      <c r="O91" s="1126">
        <v>46591</v>
      </c>
      <c r="P91" s="1127">
        <v>1.2905E-2</v>
      </c>
      <c r="Q91" s="1127">
        <v>1.32794E-2</v>
      </c>
      <c r="R91" s="1129"/>
      <c r="T91" s="997">
        <f t="shared" si="10"/>
        <v>46469</v>
      </c>
      <c r="U91" s="997">
        <f t="shared" si="7"/>
        <v>46477</v>
      </c>
      <c r="V91" s="391">
        <f t="shared" si="11"/>
        <v>1.2782E-2</v>
      </c>
      <c r="W91" s="996" t="str">
        <f>'Development Cash Flow'!A90</f>
        <v>post dev</v>
      </c>
      <c r="X91" s="996">
        <f>'Development Cash Flow'!C90</f>
        <v>0</v>
      </c>
      <c r="Y91" s="997">
        <f>'Development Cash Flow'!D90</f>
        <v>48822</v>
      </c>
      <c r="Z91" s="391">
        <f t="shared" si="8"/>
        <v>5.0000000000000001E-3</v>
      </c>
      <c r="AA91" s="999">
        <f t="shared" si="9"/>
        <v>0.115</v>
      </c>
    </row>
    <row r="92" spans="15:27">
      <c r="O92" s="1126">
        <v>46622</v>
      </c>
      <c r="P92" s="1127">
        <v>1.2915100000000001E-2</v>
      </c>
      <c r="Q92" s="1127">
        <v>1.3286600000000001E-2</v>
      </c>
      <c r="R92" s="1129"/>
      <c r="T92" s="997">
        <f t="shared" si="10"/>
        <v>46500</v>
      </c>
      <c r="U92" s="997">
        <f t="shared" si="7"/>
        <v>46507</v>
      </c>
      <c r="V92" s="391">
        <f t="shared" si="11"/>
        <v>1.2825E-2</v>
      </c>
      <c r="W92" s="996" t="str">
        <f>'Development Cash Flow'!A91</f>
        <v>post dev</v>
      </c>
      <c r="X92" s="996">
        <f>'Development Cash Flow'!C91</f>
        <v>0</v>
      </c>
      <c r="Y92" s="997">
        <f>'Development Cash Flow'!D91</f>
        <v>48852</v>
      </c>
      <c r="Z92" s="391">
        <f t="shared" si="8"/>
        <v>5.0000000000000001E-3</v>
      </c>
      <c r="AA92" s="999">
        <f t="shared" si="9"/>
        <v>0.115</v>
      </c>
    </row>
    <row r="93" spans="15:27">
      <c r="O93" s="1126">
        <v>46653</v>
      </c>
      <c r="P93" s="1127">
        <v>1.2922400000000001E-2</v>
      </c>
      <c r="Q93" s="1127">
        <v>1.32938E-2</v>
      </c>
      <c r="R93" s="1129"/>
      <c r="T93" s="997">
        <f t="shared" si="10"/>
        <v>46531</v>
      </c>
      <c r="U93" s="997">
        <f t="shared" si="7"/>
        <v>46538</v>
      </c>
      <c r="V93" s="391">
        <f t="shared" si="11"/>
        <v>1.2855E-2</v>
      </c>
      <c r="W93" s="996" t="str">
        <f>'Development Cash Flow'!A92</f>
        <v>post dev</v>
      </c>
      <c r="X93" s="996">
        <f>'Development Cash Flow'!C92</f>
        <v>0</v>
      </c>
      <c r="Y93" s="997">
        <f>'Development Cash Flow'!D92</f>
        <v>48883</v>
      </c>
      <c r="Z93" s="391">
        <f t="shared" si="8"/>
        <v>5.0000000000000001E-3</v>
      </c>
      <c r="AA93" s="999">
        <f t="shared" si="9"/>
        <v>0.115</v>
      </c>
    </row>
    <row r="94" spans="15:27">
      <c r="O94" s="1126">
        <v>46685</v>
      </c>
      <c r="P94" s="1127">
        <v>1.29272E-2</v>
      </c>
      <c r="Q94" s="1127">
        <v>1.32838E-2</v>
      </c>
      <c r="R94" s="1129"/>
      <c r="T94" s="997">
        <f t="shared" si="10"/>
        <v>46561</v>
      </c>
      <c r="U94" s="997">
        <f t="shared" si="7"/>
        <v>46568</v>
      </c>
      <c r="V94" s="391">
        <f t="shared" si="11"/>
        <v>1.2881699999999999E-2</v>
      </c>
      <c r="W94" s="996" t="str">
        <f>'Development Cash Flow'!A93</f>
        <v>post dev</v>
      </c>
      <c r="X94" s="996">
        <f>'Development Cash Flow'!C93</f>
        <v>0</v>
      </c>
      <c r="Y94" s="997">
        <f>'Development Cash Flow'!D93</f>
        <v>48913</v>
      </c>
      <c r="Z94" s="391">
        <f t="shared" si="8"/>
        <v>5.0000000000000001E-3</v>
      </c>
      <c r="AA94" s="999">
        <f t="shared" si="9"/>
        <v>0.115</v>
      </c>
    </row>
    <row r="95" spans="15:27">
      <c r="O95" s="1126">
        <v>46714</v>
      </c>
      <c r="P95" s="1127">
        <v>1.29192E-2</v>
      </c>
      <c r="Q95" s="1127">
        <v>1.32747E-2</v>
      </c>
      <c r="R95" s="1129"/>
      <c r="T95" s="997">
        <f t="shared" si="10"/>
        <v>46591</v>
      </c>
      <c r="U95" s="997">
        <f t="shared" si="7"/>
        <v>46599</v>
      </c>
      <c r="V95" s="391">
        <f t="shared" si="11"/>
        <v>1.2905E-2</v>
      </c>
      <c r="W95" s="996" t="str">
        <f>'Development Cash Flow'!A94</f>
        <v>post dev</v>
      </c>
      <c r="X95" s="996">
        <f>'Development Cash Flow'!C94</f>
        <v>0</v>
      </c>
      <c r="Y95" s="997">
        <f>'Development Cash Flow'!D94</f>
        <v>48944</v>
      </c>
      <c r="Z95" s="391">
        <f t="shared" si="8"/>
        <v>5.0000000000000001E-3</v>
      </c>
      <c r="AA95" s="999">
        <f t="shared" si="9"/>
        <v>0.115</v>
      </c>
    </row>
    <row r="96" spans="15:27">
      <c r="O96" s="1126">
        <v>46744</v>
      </c>
      <c r="P96" s="1127">
        <v>1.2909199999999999E-2</v>
      </c>
      <c r="Q96" s="1127">
        <v>1.3265300000000001E-2</v>
      </c>
      <c r="R96" s="1129"/>
      <c r="T96" s="997">
        <f t="shared" si="10"/>
        <v>46622</v>
      </c>
      <c r="U96" s="997">
        <f t="shared" si="7"/>
        <v>46630</v>
      </c>
      <c r="V96" s="391">
        <f t="shared" si="11"/>
        <v>1.2915100000000001E-2</v>
      </c>
      <c r="W96" s="996" t="str">
        <f>'Development Cash Flow'!A95</f>
        <v>post dev</v>
      </c>
      <c r="X96" s="996">
        <f>'Development Cash Flow'!C95</f>
        <v>0</v>
      </c>
      <c r="Y96" s="997">
        <f>'Development Cash Flow'!D95</f>
        <v>48975</v>
      </c>
      <c r="Z96" s="391">
        <f t="shared" si="8"/>
        <v>5.0000000000000001E-3</v>
      </c>
      <c r="AA96" s="999">
        <f t="shared" si="9"/>
        <v>0.115</v>
      </c>
    </row>
    <row r="97" spans="15:27">
      <c r="O97" s="1126">
        <v>46776</v>
      </c>
      <c r="P97" s="1127">
        <v>1.28982E-2</v>
      </c>
      <c r="Q97" s="1127">
        <v>1.3237799999999999E-2</v>
      </c>
      <c r="R97" s="1129"/>
      <c r="T97" s="997">
        <f t="shared" si="10"/>
        <v>46653</v>
      </c>
      <c r="U97" s="997">
        <f t="shared" si="7"/>
        <v>46660</v>
      </c>
      <c r="V97" s="391">
        <f t="shared" si="11"/>
        <v>1.2922400000000001E-2</v>
      </c>
      <c r="W97" s="996" t="str">
        <f>'Development Cash Flow'!A96</f>
        <v>post dev</v>
      </c>
      <c r="X97" s="996">
        <f>'Development Cash Flow'!C96</f>
        <v>0</v>
      </c>
      <c r="Y97" s="997">
        <f>'Development Cash Flow'!D96</f>
        <v>49003</v>
      </c>
      <c r="Z97" s="391">
        <f t="shared" si="8"/>
        <v>5.0000000000000001E-3</v>
      </c>
      <c r="AA97" s="999">
        <f t="shared" si="9"/>
        <v>0.115</v>
      </c>
    </row>
    <row r="98" spans="15:27">
      <c r="O98" s="1126">
        <v>46806</v>
      </c>
      <c r="P98" s="1127">
        <v>1.28766E-2</v>
      </c>
      <c r="Q98" s="1127">
        <v>1.3212E-2</v>
      </c>
      <c r="R98" s="1129"/>
      <c r="T98" s="997">
        <f t="shared" si="10"/>
        <v>46685</v>
      </c>
      <c r="U98" s="997">
        <f t="shared" si="7"/>
        <v>46691</v>
      </c>
      <c r="V98" s="391">
        <f t="shared" si="11"/>
        <v>1.29272E-2</v>
      </c>
      <c r="W98" s="996" t="str">
        <f>'Development Cash Flow'!A97</f>
        <v>post dev</v>
      </c>
      <c r="X98" s="996">
        <f>'Development Cash Flow'!C97</f>
        <v>0</v>
      </c>
      <c r="Y98" s="997">
        <f>'Development Cash Flow'!D97</f>
        <v>49034</v>
      </c>
      <c r="Z98" s="391">
        <f t="shared" si="8"/>
        <v>5.0000000000000001E-3</v>
      </c>
      <c r="AA98" s="999">
        <f t="shared" si="9"/>
        <v>0.115</v>
      </c>
    </row>
    <row r="99" spans="15:27">
      <c r="O99" s="1126">
        <v>46835</v>
      </c>
      <c r="P99" s="1127">
        <v>1.2855699999999999E-2</v>
      </c>
      <c r="Q99" s="1127">
        <v>1.3187000000000001E-2</v>
      </c>
      <c r="R99" s="1129"/>
      <c r="T99" s="997">
        <f t="shared" si="10"/>
        <v>46714</v>
      </c>
      <c r="U99" s="997">
        <f t="shared" si="7"/>
        <v>46721</v>
      </c>
      <c r="V99" s="391">
        <f t="shared" si="11"/>
        <v>1.29192E-2</v>
      </c>
      <c r="W99" s="996" t="str">
        <f>'Development Cash Flow'!A98</f>
        <v>post dev</v>
      </c>
      <c r="X99" s="996">
        <f>'Development Cash Flow'!C98</f>
        <v>0</v>
      </c>
      <c r="Y99" s="997">
        <f>'Development Cash Flow'!D98</f>
        <v>49064</v>
      </c>
      <c r="Z99" s="391">
        <f t="shared" si="8"/>
        <v>5.0000000000000001E-3</v>
      </c>
      <c r="AA99" s="999">
        <f t="shared" si="9"/>
        <v>0.115</v>
      </c>
    </row>
    <row r="100" spans="15:27">
      <c r="O100" s="1126">
        <v>46867</v>
      </c>
      <c r="P100" s="1127">
        <v>1.2837100000000001E-2</v>
      </c>
      <c r="Q100" s="1127">
        <v>1.3166499999999999E-2</v>
      </c>
      <c r="R100" s="1129"/>
      <c r="T100" s="997">
        <f t="shared" si="10"/>
        <v>46744</v>
      </c>
      <c r="U100" s="997">
        <f t="shared" si="7"/>
        <v>46752</v>
      </c>
      <c r="V100" s="391">
        <f t="shared" si="11"/>
        <v>1.2909199999999999E-2</v>
      </c>
      <c r="W100" s="996" t="str">
        <f>'Development Cash Flow'!A99</f>
        <v>post dev</v>
      </c>
      <c r="X100" s="996">
        <f>'Development Cash Flow'!C99</f>
        <v>0</v>
      </c>
      <c r="Y100" s="997">
        <f>'Development Cash Flow'!D99</f>
        <v>49095</v>
      </c>
      <c r="Z100" s="391">
        <f t="shared" si="8"/>
        <v>5.0000000000000001E-3</v>
      </c>
      <c r="AA100" s="999">
        <f t="shared" si="9"/>
        <v>0.115</v>
      </c>
    </row>
    <row r="101" spans="15:27">
      <c r="O101" s="1126">
        <v>46896</v>
      </c>
      <c r="P101" s="1127">
        <v>1.28123E-2</v>
      </c>
      <c r="Q101" s="1127">
        <v>1.3148E-2</v>
      </c>
      <c r="R101" s="1129"/>
      <c r="T101" s="997">
        <f t="shared" si="10"/>
        <v>46776</v>
      </c>
      <c r="U101" s="997">
        <f t="shared" si="7"/>
        <v>46783</v>
      </c>
      <c r="V101" s="391">
        <f t="shared" si="11"/>
        <v>1.28982E-2</v>
      </c>
      <c r="W101" s="996" t="str">
        <f>'Development Cash Flow'!A100</f>
        <v>post dev</v>
      </c>
      <c r="X101" s="996">
        <f>'Development Cash Flow'!C100</f>
        <v>0</v>
      </c>
      <c r="Y101" s="997">
        <f>'Development Cash Flow'!D100</f>
        <v>49125</v>
      </c>
      <c r="Z101" s="391">
        <f t="shared" si="8"/>
        <v>5.0000000000000001E-3</v>
      </c>
      <c r="AA101" s="999">
        <f t="shared" si="9"/>
        <v>0.115</v>
      </c>
    </row>
    <row r="102" spans="15:27">
      <c r="O102" s="1126">
        <v>46927</v>
      </c>
      <c r="P102" s="1127">
        <v>1.27922E-2</v>
      </c>
      <c r="Q102" s="1127">
        <v>1.31281E-2</v>
      </c>
      <c r="R102" s="1129"/>
      <c r="T102" s="997">
        <f t="shared" si="10"/>
        <v>46806</v>
      </c>
      <c r="U102" s="997">
        <f t="shared" si="7"/>
        <v>46812</v>
      </c>
      <c r="V102" s="391">
        <f t="shared" si="11"/>
        <v>1.28766E-2</v>
      </c>
      <c r="W102" s="996" t="str">
        <f>'Development Cash Flow'!A101</f>
        <v>post dev</v>
      </c>
      <c r="X102" s="996">
        <f>'Development Cash Flow'!C101</f>
        <v>0</v>
      </c>
      <c r="Y102" s="997">
        <f>'Development Cash Flow'!D101</f>
        <v>49156</v>
      </c>
      <c r="Z102" s="391">
        <f t="shared" si="8"/>
        <v>5.0000000000000001E-3</v>
      </c>
      <c r="AA102" s="999">
        <f t="shared" si="9"/>
        <v>0.115</v>
      </c>
    </row>
    <row r="103" spans="15:27">
      <c r="O103" s="1126">
        <v>46958</v>
      </c>
      <c r="P103" s="1127">
        <v>1.27776E-2</v>
      </c>
      <c r="Q103" s="1127">
        <v>1.31152E-2</v>
      </c>
      <c r="R103" s="1129"/>
      <c r="T103" s="997">
        <f t="shared" si="10"/>
        <v>46835</v>
      </c>
      <c r="U103" s="997">
        <f t="shared" si="7"/>
        <v>46843</v>
      </c>
      <c r="V103" s="391">
        <f t="shared" si="11"/>
        <v>1.2855699999999999E-2</v>
      </c>
      <c r="W103" s="996" t="str">
        <f>'Development Cash Flow'!A102</f>
        <v>post dev</v>
      </c>
      <c r="X103" s="996">
        <f>'Development Cash Flow'!C102</f>
        <v>0</v>
      </c>
      <c r="Y103" s="997">
        <f>'Development Cash Flow'!D102</f>
        <v>49187</v>
      </c>
      <c r="Z103" s="391">
        <f t="shared" ref="Z103:Z127" si="12">MAX(IFERROR(VLOOKUP(Y103,$U$7:$V$124,2,FALSE),0),$X$5)</f>
        <v>5.0000000000000001E-3</v>
      </c>
      <c r="AA103" s="999">
        <f t="shared" ref="AA103:AA127" si="13">Z103+$X$4</f>
        <v>0.115</v>
      </c>
    </row>
    <row r="104" spans="15:27">
      <c r="O104" s="1126">
        <v>46988</v>
      </c>
      <c r="P104" s="1127">
        <v>1.2759299999999999E-2</v>
      </c>
      <c r="Q104" s="1127">
        <v>1.31027E-2</v>
      </c>
      <c r="R104" s="1129"/>
      <c r="T104" s="997">
        <f t="shared" si="10"/>
        <v>46867</v>
      </c>
      <c r="U104" s="997">
        <f t="shared" si="7"/>
        <v>46873</v>
      </c>
      <c r="V104" s="391">
        <f t="shared" si="11"/>
        <v>1.2837100000000001E-2</v>
      </c>
      <c r="W104" s="996" t="str">
        <f>'Development Cash Flow'!A103</f>
        <v>post dev</v>
      </c>
      <c r="X104" s="996">
        <f>'Development Cash Flow'!C103</f>
        <v>0</v>
      </c>
      <c r="Y104" s="997">
        <f>'Development Cash Flow'!D103</f>
        <v>49217</v>
      </c>
      <c r="Z104" s="391">
        <f t="shared" si="12"/>
        <v>5.0000000000000001E-3</v>
      </c>
      <c r="AA104" s="999">
        <f t="shared" si="13"/>
        <v>0.115</v>
      </c>
    </row>
    <row r="105" spans="15:27">
      <c r="O105" s="1126">
        <v>47021</v>
      </c>
      <c r="P105" s="1127">
        <v>1.27476E-2</v>
      </c>
      <c r="Q105" s="1127">
        <v>1.3088900000000001E-2</v>
      </c>
      <c r="R105" s="1129"/>
      <c r="T105" s="997">
        <f t="shared" si="10"/>
        <v>46896</v>
      </c>
      <c r="U105" s="997">
        <f t="shared" si="7"/>
        <v>46904</v>
      </c>
      <c r="V105" s="391">
        <f t="shared" si="11"/>
        <v>1.28123E-2</v>
      </c>
      <c r="W105" s="996" t="str">
        <f>'Development Cash Flow'!A104</f>
        <v>post dev</v>
      </c>
      <c r="X105" s="996">
        <f>'Development Cash Flow'!C104</f>
        <v>0</v>
      </c>
      <c r="Y105" s="997">
        <f>'Development Cash Flow'!D104</f>
        <v>49248</v>
      </c>
      <c r="Z105" s="391">
        <f t="shared" si="12"/>
        <v>5.0000000000000001E-3</v>
      </c>
      <c r="AA105" s="999">
        <f t="shared" si="13"/>
        <v>0.115</v>
      </c>
    </row>
    <row r="106" spans="15:27">
      <c r="O106" s="1126">
        <v>47049</v>
      </c>
      <c r="P106" s="1127">
        <v>1.27419E-2</v>
      </c>
      <c r="Q106" s="1127">
        <v>1.30829E-2</v>
      </c>
      <c r="R106" s="1129"/>
      <c r="T106" s="997">
        <f t="shared" si="10"/>
        <v>46927</v>
      </c>
      <c r="U106" s="997">
        <f t="shared" si="7"/>
        <v>46934</v>
      </c>
      <c r="V106" s="391">
        <f t="shared" si="11"/>
        <v>1.27922E-2</v>
      </c>
      <c r="W106" s="996" t="str">
        <f>'Development Cash Flow'!A105</f>
        <v>post dev</v>
      </c>
      <c r="X106" s="996">
        <f>'Development Cash Flow'!C105</f>
        <v>0</v>
      </c>
      <c r="Y106" s="997">
        <f>'Development Cash Flow'!D105</f>
        <v>49278</v>
      </c>
      <c r="Z106" s="391">
        <f t="shared" si="12"/>
        <v>5.0000000000000001E-3</v>
      </c>
      <c r="AA106" s="999">
        <f t="shared" si="13"/>
        <v>0.115</v>
      </c>
    </row>
    <row r="107" spans="15:27">
      <c r="O107" s="1126">
        <v>47080</v>
      </c>
      <c r="P107" s="1127">
        <v>1.27326E-2</v>
      </c>
      <c r="Q107" s="1127">
        <v>1.30764E-2</v>
      </c>
      <c r="R107" s="1129"/>
      <c r="T107" s="997">
        <f t="shared" si="10"/>
        <v>46958</v>
      </c>
      <c r="U107" s="997">
        <f t="shared" si="7"/>
        <v>46965</v>
      </c>
      <c r="V107" s="391">
        <f t="shared" si="11"/>
        <v>1.27776E-2</v>
      </c>
      <c r="W107" s="996" t="str">
        <f>'Development Cash Flow'!A106</f>
        <v>post dev</v>
      </c>
      <c r="X107" s="996">
        <f>'Development Cash Flow'!C106</f>
        <v>0</v>
      </c>
      <c r="Y107" s="997">
        <f>'Development Cash Flow'!D106</f>
        <v>49309</v>
      </c>
      <c r="Z107" s="391">
        <f t="shared" si="12"/>
        <v>5.0000000000000001E-3</v>
      </c>
      <c r="AA107" s="999">
        <f t="shared" si="13"/>
        <v>0.115</v>
      </c>
    </row>
    <row r="108" spans="15:27">
      <c r="O108" s="1126">
        <v>47112</v>
      </c>
      <c r="P108" s="1127">
        <v>1.27291E-2</v>
      </c>
      <c r="Q108" s="1127">
        <v>1.3069600000000001E-2</v>
      </c>
      <c r="R108" s="1129"/>
      <c r="T108" s="997">
        <f t="shared" si="10"/>
        <v>46988</v>
      </c>
      <c r="U108" s="997">
        <f t="shared" si="7"/>
        <v>46996</v>
      </c>
      <c r="V108" s="391">
        <f t="shared" si="11"/>
        <v>1.2759299999999999E-2</v>
      </c>
      <c r="W108" s="996" t="str">
        <f>'Development Cash Flow'!A107</f>
        <v>post dev</v>
      </c>
      <c r="X108" s="996">
        <f>'Development Cash Flow'!C107</f>
        <v>0</v>
      </c>
      <c r="Y108" s="997">
        <f>'Development Cash Flow'!D107</f>
        <v>49340</v>
      </c>
      <c r="Z108" s="391">
        <f t="shared" si="12"/>
        <v>5.0000000000000001E-3</v>
      </c>
      <c r="AA108" s="999">
        <f t="shared" si="13"/>
        <v>0.115</v>
      </c>
    </row>
    <row r="109" spans="15:27">
      <c r="O109" s="1126">
        <v>47141</v>
      </c>
      <c r="P109" s="1127">
        <v>1.2729000000000001E-2</v>
      </c>
      <c r="Q109" s="1127">
        <v>1.30686E-2</v>
      </c>
      <c r="R109" s="1129"/>
      <c r="T109" s="997">
        <f t="shared" si="10"/>
        <v>47021</v>
      </c>
      <c r="U109" s="997">
        <f t="shared" si="7"/>
        <v>47026</v>
      </c>
      <c r="V109" s="391">
        <f t="shared" si="11"/>
        <v>1.27476E-2</v>
      </c>
      <c r="W109" s="996" t="str">
        <f>'Development Cash Flow'!A108</f>
        <v>post dev</v>
      </c>
      <c r="X109" s="996">
        <f>'Development Cash Flow'!C108</f>
        <v>0</v>
      </c>
      <c r="Y109" s="997">
        <f>'Development Cash Flow'!D108</f>
        <v>49368</v>
      </c>
      <c r="Z109" s="391">
        <f t="shared" si="12"/>
        <v>5.0000000000000001E-3</v>
      </c>
      <c r="AA109" s="999">
        <f t="shared" si="13"/>
        <v>0.115</v>
      </c>
    </row>
    <row r="110" spans="15:27">
      <c r="O110" s="1126">
        <v>47172</v>
      </c>
      <c r="P110" s="1127">
        <v>1.2722300000000001E-2</v>
      </c>
      <c r="Q110" s="1127">
        <v>1.30679E-2</v>
      </c>
      <c r="R110" s="1129"/>
      <c r="T110" s="997">
        <f t="shared" si="10"/>
        <v>47049</v>
      </c>
      <c r="U110" s="997">
        <f t="shared" si="7"/>
        <v>47057</v>
      </c>
      <c r="V110" s="391">
        <f t="shared" si="11"/>
        <v>1.27419E-2</v>
      </c>
      <c r="W110" s="996" t="str">
        <f>'Development Cash Flow'!A109</f>
        <v>post dev</v>
      </c>
      <c r="X110" s="996">
        <f>'Development Cash Flow'!C109</f>
        <v>0</v>
      </c>
      <c r="Y110" s="997">
        <f>'Development Cash Flow'!D109</f>
        <v>49399</v>
      </c>
      <c r="Z110" s="391">
        <f t="shared" si="12"/>
        <v>5.0000000000000001E-3</v>
      </c>
      <c r="AA110" s="999">
        <f t="shared" si="13"/>
        <v>0.115</v>
      </c>
    </row>
    <row r="111" spans="15:27">
      <c r="O111" s="1126">
        <v>47200</v>
      </c>
      <c r="P111" s="1127">
        <v>1.27165E-2</v>
      </c>
      <c r="Q111" s="1127">
        <v>1.30673E-2</v>
      </c>
      <c r="R111" s="1129"/>
      <c r="T111" s="997">
        <f t="shared" si="10"/>
        <v>47080</v>
      </c>
      <c r="U111" s="997">
        <f t="shared" si="7"/>
        <v>47087</v>
      </c>
      <c r="V111" s="391">
        <f t="shared" si="11"/>
        <v>1.27326E-2</v>
      </c>
      <c r="W111" s="996" t="str">
        <f>'Development Cash Flow'!A110</f>
        <v>post dev</v>
      </c>
      <c r="X111" s="996">
        <f>'Development Cash Flow'!C110</f>
        <v>0</v>
      </c>
      <c r="Y111" s="997">
        <f>'Development Cash Flow'!D110</f>
        <v>49429</v>
      </c>
      <c r="Z111" s="391">
        <f t="shared" si="12"/>
        <v>5.0000000000000001E-3</v>
      </c>
      <c r="AA111" s="999">
        <f t="shared" si="13"/>
        <v>0.115</v>
      </c>
    </row>
    <row r="112" spans="15:27">
      <c r="O112" s="1126">
        <v>47231</v>
      </c>
      <c r="P112" s="1127">
        <v>1.27105E-2</v>
      </c>
      <c r="Q112" s="1127">
        <v>1.30452E-2</v>
      </c>
      <c r="R112" s="1129"/>
      <c r="T112" s="997">
        <f t="shared" si="10"/>
        <v>47112</v>
      </c>
      <c r="U112" s="997">
        <f t="shared" si="7"/>
        <v>47118</v>
      </c>
      <c r="V112" s="391">
        <f t="shared" si="11"/>
        <v>1.27291E-2</v>
      </c>
      <c r="W112" s="996" t="str">
        <f>'Development Cash Flow'!A111</f>
        <v>post dev</v>
      </c>
      <c r="X112" s="996">
        <f>'Development Cash Flow'!C111</f>
        <v>0</v>
      </c>
      <c r="Y112" s="997">
        <f>'Development Cash Flow'!D111</f>
        <v>49460</v>
      </c>
      <c r="Z112" s="391">
        <f t="shared" si="12"/>
        <v>5.0000000000000001E-3</v>
      </c>
      <c r="AA112" s="999">
        <f t="shared" si="13"/>
        <v>0.115</v>
      </c>
    </row>
    <row r="113" spans="15:27">
      <c r="O113" s="1126">
        <v>47261</v>
      </c>
      <c r="P113" s="1127">
        <v>1.2692699999999999E-2</v>
      </c>
      <c r="Q113" s="1127">
        <v>1.3023699999999999E-2</v>
      </c>
      <c r="R113" s="1129"/>
      <c r="T113" s="997">
        <f t="shared" si="10"/>
        <v>47141</v>
      </c>
      <c r="U113" s="997">
        <f t="shared" si="7"/>
        <v>47149</v>
      </c>
      <c r="V113" s="391">
        <f t="shared" si="11"/>
        <v>1.2729000000000001E-2</v>
      </c>
      <c r="W113" s="996" t="str">
        <f>'Development Cash Flow'!A112</f>
        <v>post dev</v>
      </c>
      <c r="X113" s="996">
        <f>'Development Cash Flow'!C112</f>
        <v>0</v>
      </c>
      <c r="Y113" s="997">
        <f>'Development Cash Flow'!D112</f>
        <v>49490</v>
      </c>
      <c r="Z113" s="391">
        <f t="shared" si="12"/>
        <v>5.0000000000000001E-3</v>
      </c>
      <c r="AA113" s="999">
        <f t="shared" si="13"/>
        <v>0.115</v>
      </c>
    </row>
    <row r="114" spans="15:27">
      <c r="O114" s="1126">
        <v>47294</v>
      </c>
      <c r="P114" s="1127">
        <v>1.26719E-2</v>
      </c>
      <c r="Q114" s="1127">
        <v>1.3000100000000001E-2</v>
      </c>
      <c r="R114" s="1129"/>
      <c r="T114" s="997">
        <f t="shared" si="10"/>
        <v>47172</v>
      </c>
      <c r="U114" s="997">
        <f t="shared" si="7"/>
        <v>47177</v>
      </c>
      <c r="V114" s="391">
        <f t="shared" si="11"/>
        <v>1.2722300000000001E-2</v>
      </c>
      <c r="W114" s="996" t="str">
        <f>'Development Cash Flow'!A113</f>
        <v>post dev</v>
      </c>
      <c r="X114" s="996">
        <f>'Development Cash Flow'!C113</f>
        <v>0</v>
      </c>
      <c r="Y114" s="997">
        <f>'Development Cash Flow'!D113</f>
        <v>49521</v>
      </c>
      <c r="Z114" s="391">
        <f t="shared" si="12"/>
        <v>5.0000000000000001E-3</v>
      </c>
      <c r="AA114" s="999">
        <f t="shared" si="13"/>
        <v>0.115</v>
      </c>
    </row>
    <row r="115" spans="15:27">
      <c r="O115" s="1126">
        <v>47322</v>
      </c>
      <c r="P115" s="1127">
        <v>1.2646299999999999E-2</v>
      </c>
      <c r="Q115" s="1127">
        <v>1.2959999999999999E-2</v>
      </c>
      <c r="R115" s="1129"/>
      <c r="T115" s="997">
        <f t="shared" si="10"/>
        <v>47200</v>
      </c>
      <c r="U115" s="997">
        <f t="shared" si="7"/>
        <v>47208</v>
      </c>
      <c r="V115" s="391">
        <f t="shared" si="11"/>
        <v>1.27165E-2</v>
      </c>
      <c r="W115" s="996" t="str">
        <f>'Development Cash Flow'!A114</f>
        <v>post dev</v>
      </c>
      <c r="X115" s="996">
        <f>'Development Cash Flow'!C114</f>
        <v>0</v>
      </c>
      <c r="Y115" s="997">
        <f>'Development Cash Flow'!D114</f>
        <v>49552</v>
      </c>
      <c r="Z115" s="391">
        <f t="shared" si="12"/>
        <v>5.0000000000000001E-3</v>
      </c>
      <c r="AA115" s="999">
        <f t="shared" si="13"/>
        <v>0.115</v>
      </c>
    </row>
    <row r="116" spans="15:27">
      <c r="O116" s="1126">
        <v>47353</v>
      </c>
      <c r="P116" s="1127">
        <v>1.26047E-2</v>
      </c>
      <c r="Q116" s="1127">
        <v>1.2915599999999999E-2</v>
      </c>
      <c r="R116" s="1129"/>
      <c r="T116" s="997">
        <f t="shared" si="10"/>
        <v>47231</v>
      </c>
      <c r="U116" s="997">
        <f t="shared" si="7"/>
        <v>47238</v>
      </c>
      <c r="V116" s="391">
        <f t="shared" si="11"/>
        <v>1.27105E-2</v>
      </c>
      <c r="W116" s="996" t="str">
        <f>'Development Cash Flow'!A115</f>
        <v>post dev</v>
      </c>
      <c r="X116" s="996">
        <f>'Development Cash Flow'!C115</f>
        <v>0</v>
      </c>
      <c r="Y116" s="997">
        <f>'Development Cash Flow'!D115</f>
        <v>49582</v>
      </c>
      <c r="Z116" s="391">
        <f t="shared" si="12"/>
        <v>5.0000000000000001E-3</v>
      </c>
      <c r="AA116" s="999">
        <f t="shared" si="13"/>
        <v>0.115</v>
      </c>
    </row>
    <row r="117" spans="15:27">
      <c r="O117" s="1126">
        <v>47385</v>
      </c>
      <c r="P117" s="1127">
        <v>1.2555699999999999E-2</v>
      </c>
      <c r="Q117" s="1127">
        <v>1.2869800000000001E-2</v>
      </c>
      <c r="R117" s="1129"/>
      <c r="T117" s="997">
        <f t="shared" si="10"/>
        <v>47261</v>
      </c>
      <c r="U117" s="997">
        <f t="shared" si="7"/>
        <v>47269</v>
      </c>
      <c r="V117" s="391">
        <f t="shared" si="11"/>
        <v>1.2692699999999999E-2</v>
      </c>
      <c r="W117" s="996" t="str">
        <f>'Development Cash Flow'!A116</f>
        <v>post dev</v>
      </c>
      <c r="X117" s="996">
        <f>'Development Cash Flow'!C116</f>
        <v>0</v>
      </c>
      <c r="Y117" s="997">
        <f>'Development Cash Flow'!D116</f>
        <v>49613</v>
      </c>
      <c r="Z117" s="391">
        <f t="shared" si="12"/>
        <v>5.0000000000000001E-3</v>
      </c>
      <c r="AA117" s="999">
        <f t="shared" si="13"/>
        <v>0.115</v>
      </c>
    </row>
    <row r="118" spans="15:27">
      <c r="O118" s="1126">
        <v>47414</v>
      </c>
      <c r="P118" s="1127">
        <v>1.24975E-2</v>
      </c>
      <c r="Q118" s="1127">
        <v>1.28082E-2</v>
      </c>
      <c r="R118" s="1129"/>
      <c r="T118" s="997">
        <f t="shared" si="10"/>
        <v>47294</v>
      </c>
      <c r="U118" s="997">
        <f t="shared" si="7"/>
        <v>47299</v>
      </c>
      <c r="V118" s="391">
        <f t="shared" si="11"/>
        <v>1.26719E-2</v>
      </c>
      <c r="W118" s="996" t="str">
        <f>'Development Cash Flow'!A117</f>
        <v>post dev</v>
      </c>
      <c r="X118" s="996">
        <f>'Development Cash Flow'!C117</f>
        <v>0</v>
      </c>
      <c r="Y118" s="997">
        <f>'Development Cash Flow'!D117</f>
        <v>49643</v>
      </c>
      <c r="Z118" s="391">
        <f t="shared" si="12"/>
        <v>5.0000000000000001E-3</v>
      </c>
      <c r="AA118" s="999">
        <f t="shared" si="13"/>
        <v>0.115</v>
      </c>
    </row>
    <row r="119" spans="15:27">
      <c r="O119" s="1126">
        <v>47445</v>
      </c>
      <c r="P119" s="1127">
        <v>1.2418999999999999E-2</v>
      </c>
      <c r="Q119" s="1127">
        <v>1.27423E-2</v>
      </c>
      <c r="R119" s="1129"/>
      <c r="T119" s="997">
        <f t="shared" si="10"/>
        <v>47322</v>
      </c>
      <c r="U119" s="997">
        <f t="shared" si="7"/>
        <v>47330</v>
      </c>
      <c r="V119" s="391">
        <f t="shared" si="11"/>
        <v>1.2646299999999999E-2</v>
      </c>
      <c r="W119" s="996" t="str">
        <f>'Development Cash Flow'!A118</f>
        <v>post dev</v>
      </c>
      <c r="X119" s="996">
        <f>'Development Cash Flow'!C118</f>
        <v>0</v>
      </c>
      <c r="Y119" s="997">
        <f>'Development Cash Flow'!D118</f>
        <v>49674</v>
      </c>
      <c r="Z119" s="391">
        <f t="shared" si="12"/>
        <v>5.0000000000000001E-3</v>
      </c>
      <c r="AA119" s="999">
        <f t="shared" si="13"/>
        <v>0.115</v>
      </c>
    </row>
    <row r="120" spans="15:27">
      <c r="O120" s="1126">
        <v>47476</v>
      </c>
      <c r="P120" s="1127">
        <v>1.2330199999999999E-2</v>
      </c>
      <c r="Q120" s="1127">
        <v>1.26765E-2</v>
      </c>
      <c r="R120" s="1129"/>
      <c r="T120" s="997">
        <f t="shared" si="10"/>
        <v>47353</v>
      </c>
      <c r="U120" s="997">
        <f t="shared" si="7"/>
        <v>47361</v>
      </c>
      <c r="V120" s="391">
        <f t="shared" si="11"/>
        <v>1.26047E-2</v>
      </c>
      <c r="W120" s="996" t="str">
        <f>'Development Cash Flow'!A119</f>
        <v>post dev</v>
      </c>
      <c r="X120" s="996">
        <f>'Development Cash Flow'!C119</f>
        <v>0</v>
      </c>
      <c r="Y120" s="997">
        <f>'Development Cash Flow'!D119</f>
        <v>49705</v>
      </c>
      <c r="Z120" s="391">
        <f t="shared" si="12"/>
        <v>5.0000000000000001E-3</v>
      </c>
      <c r="AA120" s="999">
        <f t="shared" si="13"/>
        <v>0.115</v>
      </c>
    </row>
    <row r="121" spans="15:27">
      <c r="O121" s="1126">
        <v>47506</v>
      </c>
      <c r="P121" s="1127">
        <v>1.2231000000000001E-2</v>
      </c>
      <c r="Q121" s="1127">
        <v>1.25921E-2</v>
      </c>
      <c r="R121" s="1129"/>
      <c r="T121" s="997">
        <f t="shared" si="10"/>
        <v>47385</v>
      </c>
      <c r="U121" s="997">
        <f t="shared" si="7"/>
        <v>47391</v>
      </c>
      <c r="V121" s="391">
        <f t="shared" si="11"/>
        <v>1.2555699999999999E-2</v>
      </c>
      <c r="W121" s="996" t="str">
        <f>'Development Cash Flow'!A120</f>
        <v>post dev</v>
      </c>
      <c r="X121" s="996">
        <f>'Development Cash Flow'!C120</f>
        <v>0</v>
      </c>
      <c r="Y121" s="997">
        <f>'Development Cash Flow'!D120</f>
        <v>49734</v>
      </c>
      <c r="Z121" s="391">
        <f t="shared" si="12"/>
        <v>5.0000000000000001E-3</v>
      </c>
      <c r="AA121" s="999">
        <f t="shared" si="13"/>
        <v>0.115</v>
      </c>
    </row>
    <row r="122" spans="15:27">
      <c r="O122" s="1126">
        <v>47539</v>
      </c>
      <c r="P122" s="1127">
        <v>1.21119E-2</v>
      </c>
      <c r="Q122" s="1127">
        <v>1.24992E-2</v>
      </c>
      <c r="R122" s="1129"/>
      <c r="T122" s="997">
        <f t="shared" si="10"/>
        <v>47414</v>
      </c>
      <c r="U122" s="997">
        <f t="shared" si="7"/>
        <v>47422</v>
      </c>
      <c r="V122" s="391">
        <f t="shared" si="11"/>
        <v>1.24975E-2</v>
      </c>
      <c r="W122" s="996" t="str">
        <f>'Development Cash Flow'!A121</f>
        <v>post dev</v>
      </c>
      <c r="X122" s="996">
        <f>'Development Cash Flow'!C121</f>
        <v>0</v>
      </c>
      <c r="Y122" s="997">
        <f>'Development Cash Flow'!D121</f>
        <v>49765</v>
      </c>
      <c r="Z122" s="391">
        <f t="shared" si="12"/>
        <v>5.0000000000000001E-3</v>
      </c>
      <c r="AA122" s="999">
        <f t="shared" si="13"/>
        <v>0.115</v>
      </c>
    </row>
    <row r="123" spans="15:27" ht="16" thickBot="1">
      <c r="O123" s="1130">
        <v>47567</v>
      </c>
      <c r="P123" s="1131">
        <v>1.1989700000000001E-2</v>
      </c>
      <c r="Q123" s="1131">
        <v>1.24204E-2</v>
      </c>
      <c r="R123" s="1132"/>
      <c r="T123" s="997">
        <f t="shared" si="10"/>
        <v>47445</v>
      </c>
      <c r="U123" s="997">
        <f t="shared" si="7"/>
        <v>47452</v>
      </c>
      <c r="V123" s="391">
        <f t="shared" si="11"/>
        <v>1.2418999999999999E-2</v>
      </c>
      <c r="W123" s="996" t="str">
        <f>'Development Cash Flow'!A122</f>
        <v>post dev</v>
      </c>
      <c r="X123" s="996">
        <f>'Development Cash Flow'!C122</f>
        <v>0</v>
      </c>
      <c r="Y123" s="997">
        <f>'Development Cash Flow'!D122</f>
        <v>49795</v>
      </c>
      <c r="Z123" s="391">
        <f t="shared" si="12"/>
        <v>5.0000000000000001E-3</v>
      </c>
      <c r="AA123" s="999">
        <f t="shared" si="13"/>
        <v>0.115</v>
      </c>
    </row>
    <row r="124" spans="15:27">
      <c r="T124" s="997">
        <f t="shared" si="10"/>
        <v>47476</v>
      </c>
      <c r="U124" s="997">
        <f t="shared" si="7"/>
        <v>47483</v>
      </c>
      <c r="V124" s="391">
        <f t="shared" si="11"/>
        <v>1.2330199999999999E-2</v>
      </c>
      <c r="W124" s="996" t="str">
        <f>'Development Cash Flow'!A123</f>
        <v>post dev</v>
      </c>
      <c r="X124" s="996">
        <f>'Development Cash Flow'!C123</f>
        <v>0</v>
      </c>
      <c r="Y124" s="997">
        <f>'Development Cash Flow'!D123</f>
        <v>49826</v>
      </c>
      <c r="Z124" s="391">
        <f t="shared" si="12"/>
        <v>5.0000000000000001E-3</v>
      </c>
      <c r="AA124" s="999">
        <f t="shared" si="13"/>
        <v>0.115</v>
      </c>
    </row>
    <row r="125" spans="15:27">
      <c r="T125" s="996">
        <f t="shared" si="10"/>
        <v>47506</v>
      </c>
      <c r="V125" s="391">
        <f t="shared" si="11"/>
        <v>1.2231000000000001E-2</v>
      </c>
      <c r="W125" s="996" t="str">
        <f>'Development Cash Flow'!A124</f>
        <v>post dev</v>
      </c>
      <c r="X125" s="996">
        <f>'Development Cash Flow'!C124</f>
        <v>0</v>
      </c>
      <c r="Y125" s="997">
        <f>'Development Cash Flow'!D124</f>
        <v>49856</v>
      </c>
      <c r="Z125" s="391">
        <f t="shared" si="12"/>
        <v>5.0000000000000001E-3</v>
      </c>
      <c r="AA125" s="999">
        <f t="shared" si="13"/>
        <v>0.115</v>
      </c>
    </row>
    <row r="126" spans="15:27">
      <c r="T126" s="996">
        <f t="shared" si="10"/>
        <v>47539</v>
      </c>
      <c r="V126" s="996">
        <f t="shared" si="11"/>
        <v>1.21119E-2</v>
      </c>
      <c r="W126" s="996" t="str">
        <f>'Development Cash Flow'!A125</f>
        <v>post dev</v>
      </c>
      <c r="X126" s="996">
        <f>'Development Cash Flow'!C125</f>
        <v>0</v>
      </c>
      <c r="Y126" s="997">
        <f>'Development Cash Flow'!D125</f>
        <v>49887</v>
      </c>
      <c r="Z126" s="391">
        <f t="shared" si="12"/>
        <v>5.0000000000000001E-3</v>
      </c>
      <c r="AA126" s="999">
        <f t="shared" si="13"/>
        <v>0.115</v>
      </c>
    </row>
    <row r="127" spans="15:27">
      <c r="T127" s="996">
        <f t="shared" si="10"/>
        <v>47567</v>
      </c>
      <c r="V127" s="996">
        <f t="shared" si="11"/>
        <v>1.1989700000000001E-2</v>
      </c>
      <c r="W127" s="996" t="str">
        <f>'Development Cash Flow'!A126</f>
        <v>post dev</v>
      </c>
      <c r="X127" s="996">
        <f>'Development Cash Flow'!C126</f>
        <v>0</v>
      </c>
      <c r="Y127" s="997">
        <f>'Development Cash Flow'!D126</f>
        <v>49918</v>
      </c>
      <c r="Z127" s="391">
        <f t="shared" si="12"/>
        <v>5.0000000000000001E-3</v>
      </c>
      <c r="AA127" s="999">
        <f t="shared" si="13"/>
        <v>0.115</v>
      </c>
    </row>
    <row r="128" spans="15:27">
      <c r="T128" s="996">
        <f t="shared" si="10"/>
        <v>0</v>
      </c>
      <c r="V128" s="996">
        <f t="shared" si="11"/>
        <v>0</v>
      </c>
    </row>
    <row r="129" spans="20:22">
      <c r="T129" s="996">
        <f t="shared" si="10"/>
        <v>0</v>
      </c>
      <c r="V129" s="996">
        <f t="shared" si="11"/>
        <v>0</v>
      </c>
    </row>
    <row r="130" spans="20:22">
      <c r="V130" s="996">
        <f t="shared" si="11"/>
        <v>0</v>
      </c>
    </row>
    <row r="131" spans="20:22">
      <c r="V131" s="996">
        <f t="shared" si="11"/>
        <v>0</v>
      </c>
    </row>
    <row r="132" spans="20:22">
      <c r="V132" s="996">
        <f t="shared" si="11"/>
        <v>0</v>
      </c>
    </row>
    <row r="133" spans="20:22">
      <c r="V133" s="996">
        <f t="shared" si="11"/>
        <v>0</v>
      </c>
    </row>
  </sheetData>
  <hyperlinks>
    <hyperlink ref="F38:K38" r:id="rId1" tooltip="Click to visit Chatham Rates" display="https://rates.chathamfinancial.com/us-market/forward-curve" xr:uid="{83FA6A28-C02A-4408-A706-D6549C024857}"/>
  </hyperlinks>
  <pageMargins left="0.7" right="0.7" top="0.75" bottom="0.75" header="0.3" footer="0.3"/>
  <pageSetup orientation="portrait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published="0" codeName="Sheet4">
    <tabColor theme="6" tint="-0.499984740745262"/>
    <pageSetUpPr autoPageBreaks="0" fitToPage="1"/>
  </sheetPr>
  <dimension ref="A1:Y202"/>
  <sheetViews>
    <sheetView tabSelected="1" topLeftCell="A73" zoomScale="110" zoomScaleNormal="110" zoomScaleSheetLayoutView="112" workbookViewId="0">
      <selection activeCell="G81" sqref="G81"/>
    </sheetView>
  </sheetViews>
  <sheetFormatPr baseColWidth="10" defaultColWidth="10" defaultRowHeight="15" outlineLevelRow="1"/>
  <cols>
    <col min="1" max="1" width="0.83203125" style="213" customWidth="1"/>
    <col min="2" max="2" width="3.1640625" style="213" customWidth="1"/>
    <col min="3" max="3" width="42.1640625" style="213" bestFit="1" customWidth="1"/>
    <col min="4" max="7" width="18.83203125" style="213" customWidth="1"/>
    <col min="8" max="8" width="12" style="213" hidden="1" customWidth="1"/>
    <col min="9" max="9" width="25.6640625" style="213" hidden="1" customWidth="1"/>
    <col min="10" max="10" width="1.1640625" style="213" customWidth="1"/>
    <col min="11" max="11" width="28.5" style="215" bestFit="1" customWidth="1"/>
    <col min="12" max="14" width="18.83203125" style="215" customWidth="1"/>
    <col min="15" max="15" width="1.1640625" style="215" customWidth="1"/>
    <col min="16" max="16" width="0.83203125" style="213" customWidth="1"/>
    <col min="17" max="17" width="14.83203125" style="213" bestFit="1" customWidth="1"/>
    <col min="18" max="18" width="15.33203125" style="213" bestFit="1" customWidth="1"/>
    <col min="19" max="19" width="15.83203125" style="213" bestFit="1" customWidth="1"/>
    <col min="20" max="20" width="13.5" style="213" bestFit="1" customWidth="1"/>
    <col min="21" max="21" width="16.5" style="213" customWidth="1"/>
    <col min="22" max="22" width="14" style="213" customWidth="1"/>
    <col min="23" max="23" width="23.83203125" style="213" bestFit="1" customWidth="1"/>
    <col min="24" max="24" width="12" style="213" bestFit="1" customWidth="1"/>
    <col min="25" max="25" width="2" style="213" customWidth="1"/>
    <col min="26" max="26" width="23.83203125" style="213" bestFit="1" customWidth="1"/>
    <col min="27" max="27" width="10.83203125" style="213" bestFit="1" customWidth="1"/>
    <col min="28" max="16384" width="10" style="213"/>
  </cols>
  <sheetData>
    <row r="1" spans="1:15" ht="16" thickBot="1">
      <c r="A1" s="213" t="s">
        <v>8</v>
      </c>
      <c r="F1" s="214"/>
    </row>
    <row r="2" spans="1:15" ht="21">
      <c r="B2" s="1607" t="str">
        <f>general!B3</f>
        <v>Error(s)</v>
      </c>
      <c r="C2" s="1608"/>
      <c r="D2" s="1608"/>
      <c r="E2" s="1608"/>
      <c r="F2" s="1608"/>
      <c r="G2" s="1608"/>
      <c r="H2" s="1608"/>
      <c r="I2" s="1608"/>
      <c r="J2" s="1608"/>
      <c r="K2" s="1608"/>
      <c r="L2" s="1608"/>
      <c r="M2" s="1608"/>
      <c r="N2" s="1608"/>
      <c r="O2" s="216"/>
    </row>
    <row r="3" spans="1:15" ht="16">
      <c r="B3" s="1633" t="s">
        <v>503</v>
      </c>
      <c r="C3" s="1634"/>
      <c r="D3" s="1634"/>
      <c r="E3" s="1634"/>
      <c r="F3" s="1634"/>
      <c r="G3" s="1634"/>
      <c r="H3" s="1634"/>
      <c r="I3" s="1634"/>
      <c r="J3" s="1634"/>
      <c r="K3" s="1634"/>
      <c r="L3" s="1634"/>
      <c r="M3" s="1634"/>
      <c r="N3" s="1634"/>
      <c r="O3" s="1635"/>
    </row>
    <row r="4" spans="1:15" ht="17" thickBot="1">
      <c r="B4" s="217"/>
      <c r="C4" s="218"/>
      <c r="D4" s="219"/>
      <c r="E4" s="219"/>
      <c r="F4" s="218"/>
      <c r="G4" s="218"/>
      <c r="H4" s="218"/>
      <c r="I4" s="218"/>
      <c r="J4" s="218"/>
      <c r="K4" s="220"/>
      <c r="L4" s="220"/>
      <c r="M4" s="220"/>
      <c r="N4" s="220"/>
      <c r="O4" s="221"/>
    </row>
    <row r="5" spans="1:15" ht="15.75" customHeight="1">
      <c r="B5" s="1638" t="str">
        <f>T("CONDO DETAIL - ")&amp;general!D6</f>
        <v>CONDO DETAIL - Bay Harbor 1125</v>
      </c>
      <c r="C5" s="1639"/>
      <c r="D5" s="1639"/>
      <c r="E5" s="1639"/>
      <c r="F5" s="222"/>
      <c r="G5" s="223"/>
      <c r="H5" s="219"/>
      <c r="I5" s="219"/>
      <c r="J5" s="219"/>
      <c r="K5" s="987" t="s">
        <v>504</v>
      </c>
      <c r="L5" s="224"/>
      <c r="M5" s="224"/>
      <c r="N5" s="225"/>
      <c r="O5" s="226"/>
    </row>
    <row r="6" spans="1:15" ht="16">
      <c r="B6" s="227"/>
      <c r="C6" s="228" t="s">
        <v>132</v>
      </c>
      <c r="D6" s="980">
        <f>general!D15</f>
        <v>0.5979338842975207</v>
      </c>
      <c r="E6" s="229"/>
      <c r="F6" s="230" t="s">
        <v>539</v>
      </c>
      <c r="G6" s="231">
        <f>ResUnits</f>
        <v>9</v>
      </c>
      <c r="H6" s="219"/>
      <c r="I6" s="219"/>
      <c r="J6" s="219"/>
      <c r="K6" s="232"/>
      <c r="L6" s="233"/>
      <c r="M6" s="233" t="s">
        <v>406</v>
      </c>
      <c r="N6" s="234">
        <f>financing!F30</f>
        <v>2175000</v>
      </c>
      <c r="O6" s="226"/>
    </row>
    <row r="7" spans="1:15" ht="16">
      <c r="B7" s="235"/>
      <c r="C7" s="228" t="s">
        <v>131</v>
      </c>
      <c r="D7" s="236">
        <f>IFERROR(43560*$D$6,"")</f>
        <v>26046</v>
      </c>
      <c r="E7" s="219"/>
      <c r="F7" s="237" t="s">
        <v>37</v>
      </c>
      <c r="G7" s="238">
        <f>ResSF</f>
        <v>24836</v>
      </c>
      <c r="H7" s="219"/>
      <c r="I7" s="219"/>
      <c r="J7" s="219"/>
      <c r="K7" s="239"/>
      <c r="L7" s="240"/>
      <c r="M7" s="240" t="s">
        <v>526</v>
      </c>
      <c r="N7" s="241">
        <f>N6/G15</f>
        <v>87.574488645514577</v>
      </c>
      <c r="O7" s="226"/>
    </row>
    <row r="8" spans="1:15" ht="16">
      <c r="B8" s="235"/>
      <c r="C8" s="219"/>
      <c r="D8" s="219"/>
      <c r="E8" s="219"/>
      <c r="F8" s="237" t="s">
        <v>530</v>
      </c>
      <c r="G8" s="238">
        <f>+AvgPrice</f>
        <v>1100</v>
      </c>
      <c r="H8" s="219"/>
      <c r="I8" s="219"/>
      <c r="J8" s="242"/>
      <c r="K8" s="239"/>
      <c r="L8" s="240"/>
      <c r="M8" s="240" t="s">
        <v>126</v>
      </c>
      <c r="N8" s="243">
        <f>financing!E30</f>
        <v>0.11</v>
      </c>
      <c r="O8" s="226"/>
    </row>
    <row r="9" spans="1:15" ht="16">
      <c r="B9" s="235"/>
      <c r="C9" s="228"/>
      <c r="D9" s="244"/>
      <c r="E9" s="219"/>
      <c r="F9" s="237" t="s">
        <v>531</v>
      </c>
      <c r="G9" s="238">
        <f>$G$7/$G$6</f>
        <v>2759.5555555555557</v>
      </c>
      <c r="H9" s="219"/>
      <c r="I9" s="219"/>
      <c r="J9" s="242"/>
      <c r="K9" s="239"/>
      <c r="L9" s="240"/>
      <c r="M9" s="240" t="s">
        <v>268</v>
      </c>
      <c r="N9" s="245">
        <f>bud_detail!E178</f>
        <v>0.01</v>
      </c>
      <c r="O9" s="226"/>
    </row>
    <row r="10" spans="1:15" ht="16">
      <c r="B10" s="235"/>
      <c r="C10" s="228"/>
      <c r="D10" s="246"/>
      <c r="E10" s="219"/>
      <c r="F10" s="237" t="s">
        <v>38</v>
      </c>
      <c r="G10" s="238">
        <f>G8*G9</f>
        <v>3035511.111111111</v>
      </c>
      <c r="H10" s="219"/>
      <c r="I10" s="219"/>
      <c r="J10" s="242"/>
      <c r="K10" s="239"/>
      <c r="L10" s="240"/>
      <c r="M10" s="240" t="s">
        <v>83</v>
      </c>
      <c r="N10" s="247">
        <f>COUNTIF(reserves!AZ6:AZ126,"&gt;0")</f>
        <v>18</v>
      </c>
      <c r="O10" s="226"/>
    </row>
    <row r="11" spans="1:15" ht="16">
      <c r="B11" s="239"/>
      <c r="C11" s="219"/>
      <c r="D11" s="219"/>
      <c r="E11" s="219"/>
      <c r="F11" s="237"/>
      <c r="G11" s="248"/>
      <c r="H11" s="219"/>
      <c r="I11" s="219"/>
      <c r="J11" s="219"/>
      <c r="K11" s="239"/>
      <c r="L11" s="249"/>
      <c r="M11" s="250"/>
      <c r="N11" s="226"/>
      <c r="O11" s="226"/>
    </row>
    <row r="12" spans="1:15" ht="16">
      <c r="B12" s="235"/>
      <c r="C12" s="251"/>
      <c r="D12" s="252"/>
      <c r="E12" s="219"/>
      <c r="F12" s="237" t="s">
        <v>529</v>
      </c>
      <c r="G12" s="248">
        <f>+SUM(sales!E22:E27)</f>
        <v>0</v>
      </c>
      <c r="H12" s="219"/>
      <c r="I12" s="219"/>
      <c r="J12" s="219"/>
      <c r="K12" s="239"/>
      <c r="L12" s="240"/>
      <c r="M12" s="249" t="s">
        <v>152</v>
      </c>
      <c r="N12" s="253">
        <f>financing!F16</f>
        <v>12019025.981361054</v>
      </c>
      <c r="O12" s="226"/>
    </row>
    <row r="13" spans="1:15" ht="16">
      <c r="B13" s="235"/>
      <c r="C13" s="251"/>
      <c r="D13" s="252"/>
      <c r="E13" s="219"/>
      <c r="F13" s="237" t="s">
        <v>528</v>
      </c>
      <c r="G13" s="248">
        <f>+IFERROR(sales!G28/sales!E28,0)</f>
        <v>0</v>
      </c>
      <c r="H13" s="219"/>
      <c r="I13" s="219"/>
      <c r="J13" s="219"/>
      <c r="K13" s="254"/>
      <c r="L13" s="240"/>
      <c r="M13" s="240" t="s">
        <v>526</v>
      </c>
      <c r="N13" s="255">
        <f>N12/G15</f>
        <v>483.93565716544748</v>
      </c>
      <c r="O13" s="226"/>
    </row>
    <row r="14" spans="1:15" ht="16">
      <c r="B14" s="235"/>
      <c r="C14" s="251"/>
      <c r="D14" s="256"/>
      <c r="E14" s="219"/>
      <c r="F14" s="257"/>
      <c r="G14" s="238"/>
      <c r="H14" s="219"/>
      <c r="I14" s="219"/>
      <c r="J14" s="219"/>
      <c r="K14" s="254"/>
      <c r="L14" s="258"/>
      <c r="M14" s="240" t="s">
        <v>545</v>
      </c>
      <c r="N14" s="243">
        <f>financing!E16</f>
        <v>0.11</v>
      </c>
      <c r="O14" s="226"/>
    </row>
    <row r="15" spans="1:15" ht="16">
      <c r="B15" s="239"/>
      <c r="C15" s="259"/>
      <c r="D15" s="252"/>
      <c r="E15" s="219"/>
      <c r="F15" s="237" t="s">
        <v>527</v>
      </c>
      <c r="G15" s="238">
        <f>+G12+G7</f>
        <v>24836</v>
      </c>
      <c r="H15" s="219"/>
      <c r="I15" s="219"/>
      <c r="J15" s="219"/>
      <c r="K15" s="239"/>
      <c r="L15" s="260"/>
      <c r="M15" s="258" t="s">
        <v>268</v>
      </c>
      <c r="N15" s="245">
        <f>bud_detail!E183</f>
        <v>5.0000000000000001E-3</v>
      </c>
      <c r="O15" s="226"/>
    </row>
    <row r="16" spans="1:15" ht="16">
      <c r="B16" s="235"/>
      <c r="C16" s="219"/>
      <c r="D16" s="219"/>
      <c r="E16" s="219"/>
      <c r="F16" s="261"/>
      <c r="G16" s="262"/>
      <c r="H16" s="219"/>
      <c r="I16" s="219"/>
      <c r="J16" s="219"/>
      <c r="K16" s="254"/>
      <c r="L16" s="258"/>
      <c r="M16" s="260" t="s">
        <v>83</v>
      </c>
      <c r="N16" s="247">
        <f>COUNTIF(reserves!BH6:BH126,"&gt;0")</f>
        <v>25</v>
      </c>
      <c r="O16" s="226"/>
    </row>
    <row r="17" spans="2:20" ht="17" thickBot="1">
      <c r="B17" s="263"/>
      <c r="C17" s="264"/>
      <c r="D17" s="265"/>
      <c r="E17" s="266"/>
      <c r="F17" s="267"/>
      <c r="G17" s="268"/>
      <c r="H17" s="269"/>
      <c r="I17" s="269"/>
      <c r="J17" s="219"/>
      <c r="K17" s="263"/>
      <c r="L17" s="264"/>
      <c r="M17" s="270" t="s">
        <v>178</v>
      </c>
      <c r="N17" s="271">
        <f>N12/D79</f>
        <v>0.57365658724074098</v>
      </c>
      <c r="O17" s="226"/>
    </row>
    <row r="18" spans="2:20" ht="17" thickBot="1">
      <c r="B18" s="239"/>
      <c r="C18" s="272"/>
      <c r="D18" s="272"/>
      <c r="E18" s="272"/>
      <c r="F18" s="272"/>
      <c r="G18" s="272"/>
      <c r="H18" s="273"/>
      <c r="I18" s="273"/>
      <c r="J18" s="274"/>
      <c r="K18" s="219"/>
      <c r="L18" s="219"/>
      <c r="M18" s="219"/>
      <c r="N18" s="219"/>
      <c r="O18" s="275"/>
      <c r="P18" s="276"/>
    </row>
    <row r="19" spans="2:20" ht="15.75" customHeight="1" thickBot="1">
      <c r="B19" s="988" t="str">
        <f>T("DEVELOPMENT BUDGET AS OF ")&amp;TEXT(TimeStamp,"mm/dd/yyyy")</f>
        <v>DEVELOPMENT BUDGET AS OF 11/04/2025</v>
      </c>
      <c r="C19" s="277"/>
      <c r="D19" s="277"/>
      <c r="E19" s="277"/>
      <c r="F19" s="277"/>
      <c r="G19" s="278"/>
      <c r="H19" s="279" t="s">
        <v>130</v>
      </c>
      <c r="I19" s="280" t="s">
        <v>130</v>
      </c>
      <c r="J19" s="281"/>
      <c r="K19" s="986" t="s">
        <v>500</v>
      </c>
      <c r="L19" s="1141"/>
      <c r="M19" s="1141"/>
      <c r="N19" s="282"/>
      <c r="O19" s="283"/>
      <c r="P19" s="276"/>
    </row>
    <row r="20" spans="2:20" ht="15" customHeight="1">
      <c r="B20" s="284"/>
      <c r="C20" s="285"/>
      <c r="D20" s="286"/>
      <c r="E20" s="1481"/>
      <c r="F20" s="1482"/>
      <c r="G20" s="1483"/>
      <c r="H20" s="1640"/>
      <c r="I20" s="1641"/>
      <c r="J20" s="287"/>
      <c r="K20" s="1142"/>
      <c r="L20" s="288" t="s">
        <v>424</v>
      </c>
      <c r="M20" s="289"/>
      <c r="N20" s="1143" t="s">
        <v>412</v>
      </c>
      <c r="O20" s="290"/>
      <c r="P20" s="276"/>
    </row>
    <row r="21" spans="2:20" ht="16">
      <c r="B21" s="291"/>
      <c r="C21" s="292"/>
      <c r="D21" s="293"/>
      <c r="E21" s="1484"/>
      <c r="F21" s="1484"/>
      <c r="G21" s="1485"/>
      <c r="H21" s="1642"/>
      <c r="I21" s="1643"/>
      <c r="J21" s="287"/>
      <c r="K21" s="294" t="str">
        <f>"Restricted Deposit"&amp;TEXT(MIN(sales!C32,'Development Cash Flow'!M4)," (0.0%)")</f>
        <v>Restricted Deposit (10.0%)</v>
      </c>
      <c r="L21" s="1144">
        <f>+IF(financing!C12="no",0,'Development Cash Flow'!M128)</f>
        <v>819588</v>
      </c>
      <c r="M21" s="1145"/>
      <c r="N21" s="295">
        <f>VLOOKUP(sales!D32,reserves!$C$6:$D$132,2,FALSE)</f>
        <v>46812</v>
      </c>
      <c r="O21" s="290"/>
      <c r="P21" s="276"/>
      <c r="Q21" s="296"/>
      <c r="R21" s="296" t="s">
        <v>5044</v>
      </c>
      <c r="S21" s="1135"/>
    </row>
    <row r="22" spans="2:20" ht="17" thickBot="1">
      <c r="B22" s="297"/>
      <c r="C22" s="298"/>
      <c r="D22" s="299" t="s">
        <v>39</v>
      </c>
      <c r="E22" s="1484" t="s">
        <v>535</v>
      </c>
      <c r="F22" s="1484" t="s">
        <v>79</v>
      </c>
      <c r="G22" s="1485" t="s">
        <v>82</v>
      </c>
      <c r="H22" s="1650" t="s">
        <v>129</v>
      </c>
      <c r="I22" s="1651"/>
      <c r="J22" s="287"/>
      <c r="K22" s="294" t="str">
        <f>"Remaining "&amp;sales!B32&amp;TEXT(MAX(sales!C32-'Development Cash Flow'!M4,0)," (0.0%)")</f>
        <v>Remaining Reservation (0.0%)</v>
      </c>
      <c r="L22" s="1144">
        <f>+MAX(sales!K32-'Development Cash Flow'!M128,0)</f>
        <v>0</v>
      </c>
      <c r="M22" s="1146"/>
      <c r="N22" s="295">
        <f>VLOOKUP(sales!D32,reserves!$C$6:$D$132,2,FALSE)</f>
        <v>46812</v>
      </c>
      <c r="O22" s="290"/>
      <c r="P22" s="276"/>
      <c r="Q22" s="296"/>
      <c r="R22" s="296" t="s">
        <v>5045</v>
      </c>
      <c r="S22" s="369"/>
      <c r="T22" s="369"/>
    </row>
    <row r="23" spans="2:20" ht="17">
      <c r="B23" s="300"/>
      <c r="C23" s="301" t="s">
        <v>7</v>
      </c>
      <c r="D23" s="302"/>
      <c r="E23" s="302"/>
      <c r="F23" s="303"/>
      <c r="G23" s="304"/>
      <c r="H23" s="1644"/>
      <c r="I23" s="1645"/>
      <c r="J23" s="305"/>
      <c r="K23" s="294" t="str">
        <f>sales!B33&amp;TEXT(sales!C33," (0.0%)")</f>
        <v>Contract (10.0%)</v>
      </c>
      <c r="L23" s="1144">
        <f>ROUND(MIN(sales!K33,SUM($N$48:$N$49)-SUM(L19:L22)),0)</f>
        <v>819588</v>
      </c>
      <c r="M23" s="1145"/>
      <c r="N23" s="295">
        <f>VLOOKUP(sales!D33,reserves!$C$6:$D$132,2,FALSE)</f>
        <v>46812</v>
      </c>
      <c r="O23" s="275"/>
      <c r="P23" s="276"/>
      <c r="R23" s="296" t="s">
        <v>5101</v>
      </c>
      <c r="S23" s="296"/>
      <c r="T23" s="1134"/>
    </row>
    <row r="24" spans="2:20" ht="16">
      <c r="B24" s="306"/>
      <c r="C24" s="1137" t="s">
        <v>5036</v>
      </c>
      <c r="D24" s="308"/>
      <c r="E24" s="309"/>
      <c r="F24" s="310"/>
      <c r="G24" s="311"/>
      <c r="H24" s="1652"/>
      <c r="I24" s="1653"/>
      <c r="J24" s="312"/>
      <c r="K24" s="294" t="str">
        <f>sales!B34&amp;TEXT(sales!C34," (0.0%)")</f>
        <v>Ground Break (10.0%)</v>
      </c>
      <c r="L24" s="1144">
        <f>ROUND(MIN(sales!K34,SUM($N$48:$N$49)-SUM(L20:L23)),0)</f>
        <v>819588</v>
      </c>
      <c r="M24" s="1145"/>
      <c r="N24" s="295">
        <f>VLOOKUP(sales!D34,reserves!$C$6:$D$132,2,FALSE)</f>
        <v>47026</v>
      </c>
      <c r="O24" s="313"/>
      <c r="P24" s="276"/>
      <c r="T24" s="314"/>
    </row>
    <row r="25" spans="2:20" ht="16">
      <c r="B25" s="306"/>
      <c r="C25" s="307" t="str">
        <f>sales!B6&amp;T(" (")&amp;sales!E6&amp;T(" units) avg of "&amp;RIGHT(sales!F6,5)&amp;T(" Ft²"))</f>
        <v>Unit 201 (1 units) avg of 2969 Ft²</v>
      </c>
      <c r="D25" s="308">
        <f>sales!I6</f>
        <v>3265900</v>
      </c>
      <c r="E25" s="309">
        <f>D25/sales!J6</f>
        <v>1100</v>
      </c>
      <c r="F25" s="310">
        <f>D25/sales!E6</f>
        <v>3265900</v>
      </c>
      <c r="G25" s="311">
        <f t="shared" ref="G25:G34" si="0">IF(D25=0,0,D25/$D$39)</f>
        <v>0.11954421001771622</v>
      </c>
      <c r="H25" s="1627"/>
      <c r="I25" s="1628"/>
      <c r="J25" s="312"/>
      <c r="K25" s="294" t="str">
        <f>sales!B35&amp;TEXT(sales!C35," (0.0%)")</f>
        <v>Top Off (10.0%)</v>
      </c>
      <c r="L25" s="1144">
        <f>ROUND(MIN(sales!K35,SUM($N$48:$N$49)-SUM(L21:L24)),0)</f>
        <v>819588</v>
      </c>
      <c r="M25" s="1145"/>
      <c r="N25" s="315">
        <f>VLOOKUP(sales!D35,reserves!$C$6:$D$132,2,FALSE)</f>
        <v>47361</v>
      </c>
      <c r="O25" s="313"/>
      <c r="P25" s="276"/>
    </row>
    <row r="26" spans="2:20" ht="16">
      <c r="B26" s="306"/>
      <c r="C26" s="1536" t="str">
        <f>sales!B7&amp;T(" (")&amp;sales!E7&amp;T(" units) avg of "&amp;RIGHT(sales!F7,5)&amp;T(" Ft²"))</f>
        <v>Unit 202 (1 units) avg of 2869 Ft²</v>
      </c>
      <c r="D26" s="1537">
        <f>sales!I7</f>
        <v>3155900</v>
      </c>
      <c r="E26" s="1538">
        <f>IFERROR(D26/sales!J7,0)</f>
        <v>1100</v>
      </c>
      <c r="F26" s="1539">
        <f>IFERROR(D26/sales!E7,0)</f>
        <v>3155900</v>
      </c>
      <c r="G26" s="1540">
        <f t="shared" si="0"/>
        <v>0.11551779674665807</v>
      </c>
      <c r="H26" s="1627"/>
      <c r="I26" s="1628"/>
      <c r="J26" s="312"/>
      <c r="K26" s="1147" t="str">
        <f>T("Total")&amp;TEXT(sales!C37-sales!C36," (0.0%)")</f>
        <v>Total (40.0%)</v>
      </c>
      <c r="L26" s="318">
        <f>SUM(L21:L25)</f>
        <v>3278352</v>
      </c>
      <c r="M26" s="319"/>
      <c r="N26" s="1148"/>
      <c r="O26" s="313"/>
      <c r="P26" s="276"/>
    </row>
    <row r="27" spans="2:20" ht="16">
      <c r="B27" s="306"/>
      <c r="C27" s="1536" t="str">
        <f>sales!B8&amp;T(" (")&amp;sales!E8&amp;T(" units) avg of "&amp;RIGHT(sales!F8,5)&amp;T(" Ft²"))</f>
        <v>Unit 301 (1 units) avg of 2969 Ft²</v>
      </c>
      <c r="D27" s="1537">
        <f>sales!I8</f>
        <v>3265900</v>
      </c>
      <c r="E27" s="1538">
        <f>IFERROR(D27/sales!J8,0)</f>
        <v>1100</v>
      </c>
      <c r="F27" s="1539">
        <f>IFERROR(D27/sales!E8,0)</f>
        <v>3265900</v>
      </c>
      <c r="G27" s="1540">
        <f t="shared" si="0"/>
        <v>0.11954421001771622</v>
      </c>
      <c r="H27" s="320"/>
      <c r="I27" s="321"/>
      <c r="J27" s="312"/>
      <c r="K27" s="322"/>
      <c r="L27" s="1140"/>
      <c r="M27" s="1140"/>
      <c r="N27" s="315"/>
      <c r="O27" s="313"/>
      <c r="P27" s="276"/>
    </row>
    <row r="28" spans="2:20" ht="16">
      <c r="B28" s="306"/>
      <c r="C28" s="1536" t="str">
        <f>sales!B9&amp;T(" (")&amp;sales!E9&amp;T(" units) avg of "&amp;RIGHT(sales!F9,5)&amp;T(" Ft²"))</f>
        <v>Unit 302 (1 units) avg of 2909 Ft²</v>
      </c>
      <c r="D28" s="1537">
        <f>sales!I9</f>
        <v>3199900</v>
      </c>
      <c r="E28" s="1538">
        <f>IFERROR(D28/sales!J9,0)</f>
        <v>1100</v>
      </c>
      <c r="F28" s="1539">
        <f>IFERROR(D28/sales!E9,0)</f>
        <v>3199900</v>
      </c>
      <c r="G28" s="1540">
        <f t="shared" si="0"/>
        <v>0.11712836205508133</v>
      </c>
      <c r="H28" s="320"/>
      <c r="I28" s="321"/>
      <c r="J28" s="312"/>
      <c r="K28" s="322"/>
      <c r="L28" s="219"/>
      <c r="M28" s="1139" t="s">
        <v>425</v>
      </c>
      <c r="N28" s="1149">
        <f>+SUM(sales!G32:G35)</f>
        <v>10927840</v>
      </c>
      <c r="O28" s="313"/>
      <c r="P28" s="276"/>
    </row>
    <row r="29" spans="2:20" ht="17" thickBot="1">
      <c r="B29" s="306"/>
      <c r="C29" s="1536" t="str">
        <f>sales!B10&amp;T(" (")&amp;sales!E10&amp;T(" units) avg of "&amp;RIGHT(sales!F10,5)&amp;T(" Ft²"))</f>
        <v>Unit 401 (1 units) avg of 2478 Ft²</v>
      </c>
      <c r="D29" s="1537">
        <f>sales!I10</f>
        <v>2725800</v>
      </c>
      <c r="E29" s="1538">
        <f>IFERROR(D29/sales!J10,0)</f>
        <v>1100</v>
      </c>
      <c r="F29" s="1539">
        <f>IFERROR(D29/sales!E10,0)</f>
        <v>2725800</v>
      </c>
      <c r="G29" s="1540">
        <f t="shared" si="0"/>
        <v>9.9774520856820745E-2</v>
      </c>
      <c r="H29" s="320"/>
      <c r="I29" s="321"/>
      <c r="J29" s="312"/>
      <c r="K29" s="325"/>
      <c r="L29" s="264"/>
      <c r="M29" s="326" t="s">
        <v>365</v>
      </c>
      <c r="N29" s="1150">
        <f>L26/N28</f>
        <v>0.3</v>
      </c>
      <c r="O29" s="313"/>
      <c r="P29" s="276"/>
    </row>
    <row r="30" spans="2:20" ht="16">
      <c r="B30" s="306"/>
      <c r="C30" s="1536" t="str">
        <f>sales!B11&amp;T(" (")&amp;sales!E11&amp;T(" units) avg of "&amp;RIGHT(sales!F11,5)&amp;T(" Ft²"))</f>
        <v>Unit 402 (1 units) avg of 2477 Ft²</v>
      </c>
      <c r="D30" s="1537">
        <f>sales!I11</f>
        <v>2724700</v>
      </c>
      <c r="E30" s="1538">
        <f>IFERROR(D30/sales!J11,0)</f>
        <v>1100</v>
      </c>
      <c r="F30" s="1539">
        <f>IFERROR(D30/sales!E11,0)</f>
        <v>2724700</v>
      </c>
      <c r="G30" s="1540">
        <f t="shared" si="0"/>
        <v>9.9734256724110168E-2</v>
      </c>
      <c r="H30" s="320"/>
      <c r="I30" s="321"/>
      <c r="J30" s="312"/>
      <c r="K30" s="1139"/>
      <c r="L30" s="219"/>
      <c r="M30" s="1139"/>
      <c r="N30" s="1521"/>
      <c r="O30" s="313"/>
      <c r="P30" s="276"/>
    </row>
    <row r="31" spans="2:20" ht="17" thickBot="1">
      <c r="B31" s="306"/>
      <c r="C31" s="1536" t="str">
        <f>sales!B12&amp;T(" (")&amp;sales!E12&amp;T(" units) avg of "&amp;RIGHT(sales!F12,5)&amp;T(" Ft²"))</f>
        <v>Unit 501 (1 units) avg of 2123 Ft²</v>
      </c>
      <c r="D31" s="1537">
        <f>sales!I12</f>
        <v>2335300</v>
      </c>
      <c r="E31" s="1538">
        <f>IFERROR(D31/sales!J12,0)</f>
        <v>1100</v>
      </c>
      <c r="F31" s="1539">
        <f>IFERROR(D31/sales!E12,0)</f>
        <v>2335300</v>
      </c>
      <c r="G31" s="1540">
        <f t="shared" si="0"/>
        <v>8.5480753744564347E-2</v>
      </c>
      <c r="H31" s="320"/>
      <c r="I31" s="321"/>
      <c r="J31" s="312"/>
      <c r="O31" s="313"/>
      <c r="P31" s="276"/>
    </row>
    <row r="32" spans="2:20" ht="16">
      <c r="B32" s="306"/>
      <c r="C32" s="1536" t="str">
        <f>sales!B13&amp;T(" (")&amp;sales!E13&amp;T(" units) avg of "&amp;RIGHT(sales!F13,5)&amp;T(" Ft²"))</f>
        <v>Unit 502 (1 units) avg of 2123 Ft²</v>
      </c>
      <c r="D32" s="1537">
        <f>sales!I13</f>
        <v>2335300</v>
      </c>
      <c r="E32" s="1538">
        <f>IFERROR(D32/sales!J13,0)</f>
        <v>1100</v>
      </c>
      <c r="F32" s="1539">
        <f>IFERROR(D32/sales!E13,0)</f>
        <v>2335300</v>
      </c>
      <c r="G32" s="1540">
        <f t="shared" si="0"/>
        <v>8.5480753744564347E-2</v>
      </c>
      <c r="H32" s="320"/>
      <c r="I32" s="321"/>
      <c r="J32" s="312"/>
      <c r="K32" s="986" t="s">
        <v>518</v>
      </c>
      <c r="L32" s="224"/>
      <c r="M32" s="224"/>
      <c r="N32" s="225"/>
      <c r="O32" s="313"/>
      <c r="P32" s="276"/>
    </row>
    <row r="33" spans="2:19" ht="17" thickBot="1">
      <c r="B33" s="306"/>
      <c r="C33" s="1536" t="str">
        <f>sales!B14&amp;T(" (")&amp;sales!E14&amp;T(" units) avg of "&amp;RIGHT(sales!F14,5)&amp;T(" Ft²"))</f>
        <v>Unit 601 (1 units) avg of 3919 Ft²</v>
      </c>
      <c r="D33" s="1537">
        <f>sales!I14</f>
        <v>4310900</v>
      </c>
      <c r="E33" s="1538">
        <f>IFERROR(D33/sales!J14,0)</f>
        <v>1100</v>
      </c>
      <c r="F33" s="1539">
        <f>IFERROR(D33/sales!E14,0)</f>
        <v>4310900</v>
      </c>
      <c r="G33" s="1540">
        <f t="shared" si="0"/>
        <v>0.15779513609276857</v>
      </c>
      <c r="H33" s="320"/>
      <c r="I33" s="321"/>
      <c r="J33" s="312"/>
      <c r="K33" s="356" t="s">
        <v>261</v>
      </c>
      <c r="L33" s="350"/>
      <c r="M33" s="350"/>
      <c r="N33" s="351"/>
      <c r="O33" s="313"/>
      <c r="P33" s="276"/>
    </row>
    <row r="34" spans="2:19" ht="17" thickBot="1">
      <c r="B34" s="306"/>
      <c r="C34" s="1536" t="str">
        <f>sales!B15&amp;T(" (")&amp;sales!E15&amp;T(" units) avg of "&amp;RIGHT(sales!F15,5)&amp;T(" Ft²"))</f>
        <v xml:space="preserve"> ( units) avg of  Ft²</v>
      </c>
      <c r="D34" s="1537">
        <f>sales!I15</f>
        <v>0</v>
      </c>
      <c r="E34" s="1538">
        <f>IFERROR(D34/sales!J15,0)</f>
        <v>0</v>
      </c>
      <c r="F34" s="1539">
        <f>IFERROR(D34/sales!E15,0)</f>
        <v>0</v>
      </c>
      <c r="G34" s="1540">
        <f t="shared" si="0"/>
        <v>0</v>
      </c>
      <c r="H34" s="320"/>
      <c r="I34" s="321"/>
      <c r="J34" s="312"/>
      <c r="K34" s="349"/>
      <c r="L34" s="360" t="s">
        <v>516</v>
      </c>
      <c r="M34" s="350"/>
      <c r="N34" s="361">
        <f>+N41</f>
        <v>3995846.0464867717</v>
      </c>
      <c r="O34" s="313"/>
      <c r="P34" s="276"/>
    </row>
    <row r="35" spans="2:19" ht="16">
      <c r="B35" s="306"/>
      <c r="C35" s="316"/>
      <c r="D35" s="317"/>
      <c r="E35" s="309"/>
      <c r="F35" s="310"/>
      <c r="G35" s="311"/>
      <c r="H35" s="320"/>
      <c r="I35" s="321"/>
      <c r="J35" s="312"/>
      <c r="K35" s="349"/>
      <c r="L35" s="363" t="s">
        <v>389</v>
      </c>
      <c r="M35" s="350"/>
      <c r="N35" s="364">
        <f>+financing!F30+financing!F29</f>
        <v>2563252.6144101997</v>
      </c>
      <c r="O35" s="313"/>
      <c r="P35" s="276"/>
    </row>
    <row r="36" spans="2:19" ht="16">
      <c r="B36" s="306"/>
      <c r="C36" s="1136" t="s">
        <v>5043</v>
      </c>
      <c r="D36" s="1151"/>
      <c r="E36" s="1152" t="s">
        <v>5041</v>
      </c>
      <c r="F36" s="1152" t="s">
        <v>5042</v>
      </c>
      <c r="G36" s="1153" t="s">
        <v>82</v>
      </c>
      <c r="H36" s="320"/>
      <c r="I36" s="321"/>
      <c r="J36" s="312"/>
      <c r="K36" s="349"/>
      <c r="L36" s="978" t="str">
        <f>+financing!B25</f>
        <v>Bonded Deposits</v>
      </c>
      <c r="N36" s="364">
        <f>financing!F25</f>
        <v>0</v>
      </c>
      <c r="O36" s="313"/>
      <c r="P36" s="276"/>
    </row>
    <row r="37" spans="2:19" ht="16">
      <c r="B37" s="306"/>
      <c r="C37" s="316" t="str">
        <f>+sales!B22</f>
        <v xml:space="preserve">CU1 </v>
      </c>
      <c r="D37" s="317">
        <f>IFERROR(VLOOKUP(C37,sales!$B$22:$I$27,MATCH(sales!$G$21,sales!$B$21:$I$21,0),FALSE),0)</f>
        <v>0</v>
      </c>
      <c r="E37" s="309">
        <f>IFERROR(VLOOKUP(C37,sales!$B$22:$I$27,MATCH(sales!$F$21,sales!$B$21:$I$21,0),FALSE),0)</f>
        <v>0</v>
      </c>
      <c r="F37" s="310">
        <f>IFERROR(VLOOKUP(C37,sales!$B$22:$I$27,MATCH(sales!$E$21,sales!$B$21:$I$21,0),FALSE),0)</f>
        <v>0</v>
      </c>
      <c r="G37" s="311">
        <f>IF(D37=0,0,D37/$D$39)</f>
        <v>0</v>
      </c>
      <c r="H37" s="320"/>
      <c r="I37" s="321"/>
      <c r="J37" s="312"/>
      <c r="K37" s="349"/>
      <c r="L37" s="978" t="str">
        <f>+financing!B26</f>
        <v>Excess 10% Deposits</v>
      </c>
      <c r="M37" s="350"/>
      <c r="N37" s="364">
        <f>financing!F26</f>
        <v>0</v>
      </c>
      <c r="O37" s="313"/>
      <c r="P37" s="276"/>
    </row>
    <row r="38" spans="2:19" ht="16">
      <c r="B38" s="306"/>
      <c r="C38" s="316"/>
      <c r="D38" s="1519"/>
      <c r="E38" s="309"/>
      <c r="F38" s="310"/>
      <c r="G38" s="1520"/>
      <c r="H38" s="320"/>
      <c r="I38" s="321"/>
      <c r="J38" s="312"/>
      <c r="K38" s="349"/>
      <c r="L38" s="978" t="str">
        <f>+financing!B22</f>
        <v>OG Group</v>
      </c>
      <c r="M38" s="350"/>
      <c r="N38" s="370">
        <f>financing!F22</f>
        <v>143259.34320765719</v>
      </c>
      <c r="O38" s="313"/>
      <c r="P38" s="276"/>
    </row>
    <row r="39" spans="2:19" ht="16">
      <c r="B39" s="328"/>
      <c r="C39" s="329" t="s">
        <v>41</v>
      </c>
      <c r="D39" s="330">
        <f>+SUM(D37:D37)+AvgPrice*ResSF</f>
        <v>27319600</v>
      </c>
      <c r="E39" s="331">
        <f>IF(D39=0,0,D39/$G$7)</f>
        <v>1100</v>
      </c>
      <c r="F39" s="332">
        <f>IF(D39=0,0,D39/$G$6)</f>
        <v>3035511.111111111</v>
      </c>
      <c r="G39" s="333">
        <f>IF(D39=0,0,D39/$D$39)</f>
        <v>1</v>
      </c>
      <c r="H39" s="320"/>
      <c r="I39" s="321"/>
      <c r="J39" s="312"/>
      <c r="K39" s="374"/>
      <c r="L39" s="978" t="str">
        <f>+financing!B21</f>
        <v>TBD</v>
      </c>
      <c r="M39" s="350"/>
      <c r="N39" s="370">
        <f>financing!F21</f>
        <v>1289334.0888689146</v>
      </c>
      <c r="O39" s="313"/>
      <c r="P39" s="276"/>
    </row>
    <row r="40" spans="2:19" ht="17" thickBot="1">
      <c r="B40" s="336"/>
      <c r="C40" s="219"/>
      <c r="D40" s="337"/>
      <c r="E40" s="338"/>
      <c r="F40" s="339"/>
      <c r="G40" s="340"/>
      <c r="H40" s="320"/>
      <c r="I40" s="321"/>
      <c r="J40" s="312"/>
      <c r="K40" s="377"/>
      <c r="L40" s="978" t="str">
        <f>+financing!B23</f>
        <v>TBD</v>
      </c>
      <c r="M40" s="350"/>
      <c r="N40" s="370">
        <f>financing!F23</f>
        <v>0</v>
      </c>
      <c r="O40" s="313"/>
      <c r="P40" s="276"/>
    </row>
    <row r="41" spans="2:19" ht="17" thickBot="1">
      <c r="B41" s="343"/>
      <c r="C41" s="344" t="s">
        <v>142</v>
      </c>
      <c r="D41" s="317"/>
      <c r="E41" s="345"/>
      <c r="F41" s="346"/>
      <c r="G41" s="347"/>
      <c r="H41" s="320"/>
      <c r="I41" s="321"/>
      <c r="J41" s="348"/>
      <c r="K41" s="349"/>
      <c r="L41" s="360" t="s">
        <v>517</v>
      </c>
      <c r="M41" s="350"/>
      <c r="N41" s="361">
        <f>SUM(N35:N40)</f>
        <v>3995846.0464867717</v>
      </c>
      <c r="O41" s="352"/>
      <c r="P41" s="276"/>
    </row>
    <row r="42" spans="2:19" ht="16">
      <c r="B42" s="306"/>
      <c r="C42" s="354" t="s">
        <v>52</v>
      </c>
      <c r="D42" s="317">
        <f>bud_detail!F6</f>
        <v>2900000</v>
      </c>
      <c r="E42" s="309">
        <f>IF(D42=0,0,D42/$G$7)</f>
        <v>116.7659848606861</v>
      </c>
      <c r="F42" s="310">
        <f>IF(D42=0,0,D42/$G$6)</f>
        <v>322222.22222222225</v>
      </c>
      <c r="G42" s="311">
        <f>IF(D42=0,0,D42/$D$39)</f>
        <v>0.10615089532789646</v>
      </c>
      <c r="H42" s="1627"/>
      <c r="I42" s="1628"/>
      <c r="J42" s="355"/>
      <c r="K42" s="349"/>
      <c r="L42" s="350"/>
      <c r="M42" s="350"/>
      <c r="N42" s="351"/>
      <c r="O42" s="357"/>
      <c r="P42" s="276"/>
      <c r="S42" s="323"/>
    </row>
    <row r="43" spans="2:19" ht="16">
      <c r="B43" s="306"/>
      <c r="C43" s="354" t="s">
        <v>137</v>
      </c>
      <c r="D43" s="317">
        <f>bud_detail!F7</f>
        <v>0</v>
      </c>
      <c r="E43" s="309">
        <f>IF(D43=0,0,D43/$G$7)</f>
        <v>0</v>
      </c>
      <c r="F43" s="310">
        <f>IF(D43=0,0,D43/$G$6)</f>
        <v>0</v>
      </c>
      <c r="G43" s="311">
        <f>IF(D43=0,0,D43/$D$39)</f>
        <v>0</v>
      </c>
      <c r="H43" s="1648"/>
      <c r="I43" s="1649"/>
      <c r="J43" s="355"/>
      <c r="K43" s="356"/>
      <c r="L43" s="350"/>
      <c r="M43" s="350"/>
      <c r="N43" s="351"/>
      <c r="O43" s="357"/>
      <c r="P43" s="276"/>
      <c r="R43" s="327"/>
      <c r="S43" s="323"/>
    </row>
    <row r="44" spans="2:19" ht="17" thickBot="1">
      <c r="B44" s="239"/>
      <c r="C44" s="354" t="s">
        <v>135</v>
      </c>
      <c r="D44" s="317">
        <f>bud_detail!F8</f>
        <v>0</v>
      </c>
      <c r="E44" s="309">
        <f>IF(D44=0,0,D44/$G$7)</f>
        <v>0</v>
      </c>
      <c r="F44" s="310">
        <f>IF(D44=0,0,D44/$G$6)</f>
        <v>0</v>
      </c>
      <c r="G44" s="311">
        <f>IF(D44=0,0,D44/$D$39)</f>
        <v>0</v>
      </c>
      <c r="H44" s="1654"/>
      <c r="I44" s="1655"/>
      <c r="J44" s="348"/>
      <c r="K44" s="356" t="s">
        <v>519</v>
      </c>
      <c r="L44" s="350"/>
      <c r="M44" s="350"/>
      <c r="N44" s="351"/>
      <c r="O44" s="313"/>
      <c r="P44" s="276"/>
      <c r="Q44" s="334"/>
      <c r="S44" s="335"/>
    </row>
    <row r="45" spans="2:19" ht="17" thickBot="1">
      <c r="B45" s="362"/>
      <c r="C45" s="354" t="s">
        <v>136</v>
      </c>
      <c r="D45" s="317">
        <f>bud_detail!$F$14-SUM(D41:D44)</f>
        <v>29000</v>
      </c>
      <c r="E45" s="309">
        <f>IF(D45=0,0,D45/$G$7)</f>
        <v>1.167659848606861</v>
      </c>
      <c r="F45" s="310">
        <f>IF(D45=0,0,D45/$G$6)</f>
        <v>3222.2222222222222</v>
      </c>
      <c r="G45" s="311">
        <f>IF(D45=0,0,D45/$D$39)</f>
        <v>1.0615089532789645E-3</v>
      </c>
      <c r="H45" s="1646"/>
      <c r="I45" s="1647"/>
      <c r="J45" s="312"/>
      <c r="K45" s="385"/>
      <c r="L45" s="360" t="str">
        <f>+financing!B6</f>
        <v>Sources</v>
      </c>
      <c r="M45" s="360"/>
      <c r="N45" s="361">
        <f>financing!F17</f>
        <v>21538207.971338443</v>
      </c>
      <c r="O45" s="352"/>
      <c r="P45" s="276"/>
      <c r="Q45" s="341"/>
      <c r="R45" s="342"/>
      <c r="S45" s="296"/>
    </row>
    <row r="46" spans="2:19" ht="19">
      <c r="B46" s="328"/>
      <c r="C46" s="329" t="s">
        <v>140</v>
      </c>
      <c r="D46" s="365">
        <f>SUM(D42:D45)</f>
        <v>2929000</v>
      </c>
      <c r="E46" s="366">
        <f>IF(D46=0,0,D46/$G$7)</f>
        <v>117.93364470929296</v>
      </c>
      <c r="F46" s="367">
        <f>IF(D46=0,0,D46/$G$6)</f>
        <v>325444.44444444444</v>
      </c>
      <c r="G46" s="368">
        <f>IF(D46=0,0,D46/$D$39)</f>
        <v>0.10721240428117541</v>
      </c>
      <c r="H46" s="1623"/>
      <c r="I46" s="1624"/>
      <c r="J46" s="312"/>
      <c r="K46" s="386"/>
      <c r="L46" s="978" t="str">
        <f>+financing!B16</f>
        <v>Construction Loan</v>
      </c>
      <c r="M46" s="387">
        <f t="shared" ref="M46:M53" si="1">+N46/$N$45</f>
        <v>0.55803277586302169</v>
      </c>
      <c r="N46" s="370">
        <f>financing!F16</f>
        <v>12019025.981361054</v>
      </c>
      <c r="O46" s="313"/>
      <c r="P46" s="353"/>
    </row>
    <row r="47" spans="2:19" ht="19">
      <c r="B47" s="306"/>
      <c r="C47" s="344"/>
      <c r="D47" s="317"/>
      <c r="E47" s="345"/>
      <c r="F47" s="346"/>
      <c r="G47" s="347"/>
      <c r="H47" s="1636" t="e">
        <f>T("works out to approx $")&amp;ROUND(D42/#REF!/1000,0)&amp;T("k/existing unit")</f>
        <v>#REF!</v>
      </c>
      <c r="I47" s="1637"/>
      <c r="J47" s="312"/>
      <c r="K47" s="386"/>
      <c r="L47" s="978" t="str">
        <f>+financing!B15</f>
        <v>Mezzanine Loan</v>
      </c>
      <c r="M47" s="387">
        <f t="shared" si="1"/>
        <v>0</v>
      </c>
      <c r="N47" s="370">
        <f>financing!F15-reserves!BC128</f>
        <v>0</v>
      </c>
      <c r="O47" s="357"/>
      <c r="P47" s="353"/>
    </row>
    <row r="48" spans="2:19" ht="13.5" hidden="1" customHeight="1">
      <c r="B48" s="343"/>
      <c r="C48" s="344" t="s">
        <v>141</v>
      </c>
      <c r="D48" s="317"/>
      <c r="E48" s="345"/>
      <c r="F48" s="346"/>
      <c r="G48" s="347"/>
      <c r="H48" s="358"/>
      <c r="I48" s="359"/>
      <c r="J48" s="312"/>
      <c r="K48" s="377"/>
      <c r="L48" s="978" t="str">
        <f>+financing!B11</f>
        <v>Bonded Deposits</v>
      </c>
      <c r="M48" s="387">
        <f t="shared" si="1"/>
        <v>3.8052747985842232E-2</v>
      </c>
      <c r="N48" s="370">
        <f>financing!F11</f>
        <v>819588</v>
      </c>
      <c r="O48" s="226"/>
      <c r="P48" s="353"/>
    </row>
    <row r="49" spans="2:22" ht="16">
      <c r="B49" s="306"/>
      <c r="C49" s="324" t="str">
        <f>T("Construction Costs - Condo (")&amp;costpsf&amp;T(")")</f>
        <v>Construction Costs - Condo (400)</v>
      </c>
      <c r="D49" s="317">
        <f>+Cost</f>
        <v>9934400</v>
      </c>
      <c r="E49" s="309">
        <f>IF(D49=0,0,D49/$G$7)</f>
        <v>400</v>
      </c>
      <c r="F49" s="310">
        <f>IF(D49=0,0,D49/$G$6)</f>
        <v>1103822.2222222222</v>
      </c>
      <c r="G49" s="311">
        <f t="shared" ref="G49:G54" si="2">IF(D49=0,0,D49/$D$39)</f>
        <v>0.36363636363636365</v>
      </c>
      <c r="H49" s="1617" t="str">
        <f>T("Additional ")&amp;TEXT(bud_detail!C8,"0,000")&amp;T(" Ft² at $")&amp;TEXT(bud_detail!D8,"0.00")&amp;T("/Ft²")</f>
        <v>Additional 0,000 Ft² at $0.00/Ft²</v>
      </c>
      <c r="I49" s="1618"/>
      <c r="J49" s="312"/>
      <c r="K49" s="377"/>
      <c r="L49" s="978" t="str">
        <f>+financing!B12</f>
        <v>Excess 10% Deposits</v>
      </c>
      <c r="M49" s="387">
        <f t="shared" si="1"/>
        <v>0.11415824395752669</v>
      </c>
      <c r="N49" s="370">
        <f>financing!F12</f>
        <v>2458764</v>
      </c>
      <c r="O49" s="226"/>
      <c r="P49" s="353"/>
    </row>
    <row r="50" spans="2:22" ht="16">
      <c r="B50" s="306"/>
      <c r="C50" s="1476" t="str">
        <f>bud_detail!B27</f>
        <v>Construction Costs - Retail</v>
      </c>
      <c r="D50" s="1477">
        <f>+bud_detail!F27</f>
        <v>0</v>
      </c>
      <c r="E50" s="1478">
        <f t="shared" ref="E50:E54" si="3">IF(D50=0,0,D50/$G$7)</f>
        <v>0</v>
      </c>
      <c r="F50" s="1479">
        <f t="shared" ref="F50:F54" si="4">IF(D50=0,0,D50/$G$6)</f>
        <v>0</v>
      </c>
      <c r="G50" s="1480">
        <f t="shared" si="2"/>
        <v>0</v>
      </c>
      <c r="H50" s="1613" t="str">
        <f>T(" includes Land Broker costs of ")&amp;TEXT(bud_detail!F10,"$0,000")</f>
        <v xml:space="preserve"> includes Land Broker costs of $0,000</v>
      </c>
      <c r="I50" s="1614"/>
      <c r="J50" s="312"/>
      <c r="K50" s="377"/>
      <c r="L50" s="978" t="str">
        <f>+financing!B14</f>
        <v>Deferred Costs</v>
      </c>
      <c r="M50" s="387">
        <f t="shared" si="1"/>
        <v>8.2886496517057318E-2</v>
      </c>
      <c r="N50" s="370">
        <f>financing!F14+reserves!BC128</f>
        <v>1785226.6</v>
      </c>
      <c r="O50" s="357"/>
      <c r="P50" s="353"/>
    </row>
    <row r="51" spans="2:22" ht="16">
      <c r="B51" s="306"/>
      <c r="C51" s="324" t="s">
        <v>547</v>
      </c>
      <c r="D51" s="317">
        <f>+bud_detail!F29-bud_detail!F27-Cost</f>
        <v>0</v>
      </c>
      <c r="E51" s="309">
        <f t="shared" si="3"/>
        <v>0</v>
      </c>
      <c r="F51" s="310">
        <f t="shared" si="4"/>
        <v>0</v>
      </c>
      <c r="G51" s="311">
        <f t="shared" si="2"/>
        <v>0</v>
      </c>
      <c r="H51" s="1619"/>
      <c r="I51" s="1620"/>
      <c r="J51" s="312"/>
      <c r="K51" s="377"/>
      <c r="L51" s="389" t="str">
        <f>financing!D34</f>
        <v>OG Group</v>
      </c>
      <c r="M51" s="387">
        <f t="shared" si="1"/>
        <v>1.8571647210960742E-2</v>
      </c>
      <c r="N51" s="370">
        <f>financing!F8</f>
        <v>400000</v>
      </c>
      <c r="O51" s="357"/>
      <c r="P51" s="276"/>
    </row>
    <row r="52" spans="2:22" ht="16">
      <c r="B52" s="306"/>
      <c r="C52" s="324" t="s">
        <v>465</v>
      </c>
      <c r="D52" s="317">
        <f>+bud_detail!F61</f>
        <v>25000</v>
      </c>
      <c r="E52" s="309">
        <f t="shared" si="3"/>
        <v>1.0066033177645353</v>
      </c>
      <c r="F52" s="310">
        <f t="shared" si="4"/>
        <v>2777.7777777777778</v>
      </c>
      <c r="G52" s="311">
        <f t="shared" si="2"/>
        <v>9.1509392524048673E-4</v>
      </c>
      <c r="H52" s="1615"/>
      <c r="I52" s="1616"/>
      <c r="J52" s="312"/>
      <c r="K52" s="390"/>
      <c r="L52" s="978" t="str">
        <f>+financing!B7</f>
        <v>TBD</v>
      </c>
      <c r="M52" s="387">
        <f t="shared" si="1"/>
        <v>0.16714482489864665</v>
      </c>
      <c r="N52" s="370">
        <f>+financing!F7</f>
        <v>3600000</v>
      </c>
      <c r="O52" s="357"/>
      <c r="P52" s="276"/>
      <c r="T52" s="369"/>
    </row>
    <row r="53" spans="2:22" ht="17" thickBot="1">
      <c r="B53" s="306"/>
      <c r="C53" s="324" t="s">
        <v>36</v>
      </c>
      <c r="D53" s="317">
        <f>bud_detail!F64</f>
        <v>410000</v>
      </c>
      <c r="E53" s="309">
        <f t="shared" si="3"/>
        <v>16.50829441133838</v>
      </c>
      <c r="F53" s="310">
        <f t="shared" si="4"/>
        <v>45555.555555555555</v>
      </c>
      <c r="G53" s="311">
        <f t="shared" si="2"/>
        <v>1.5007540373943981E-2</v>
      </c>
      <c r="H53" s="1623"/>
      <c r="I53" s="1624"/>
      <c r="J53" s="348"/>
      <c r="K53" s="393"/>
      <c r="L53" s="1444" t="str">
        <f>+financing!B9</f>
        <v>TBD</v>
      </c>
      <c r="M53" s="1445">
        <f t="shared" si="1"/>
        <v>0</v>
      </c>
      <c r="N53" s="370">
        <f>+financing!F9</f>
        <v>0</v>
      </c>
      <c r="O53" s="313"/>
      <c r="S53" s="371"/>
      <c r="T53" s="372"/>
      <c r="V53" s="373"/>
    </row>
    <row r="54" spans="2:22" ht="17" thickBot="1">
      <c r="B54" s="379"/>
      <c r="C54" s="380" t="s">
        <v>42</v>
      </c>
      <c r="D54" s="381">
        <f>SUM(D49:D53)</f>
        <v>10369400</v>
      </c>
      <c r="E54" s="382">
        <f t="shared" si="3"/>
        <v>417.51489772910293</v>
      </c>
      <c r="F54" s="383">
        <f t="shared" si="4"/>
        <v>1152155.5555555555</v>
      </c>
      <c r="G54" s="384">
        <f t="shared" si="2"/>
        <v>0.37955899793554809</v>
      </c>
      <c r="H54" s="1625"/>
      <c r="I54" s="1626"/>
      <c r="J54" s="348"/>
      <c r="K54" s="394"/>
      <c r="L54" s="360" t="str">
        <f>+financing!B17</f>
        <v>Total Sources</v>
      </c>
      <c r="M54" s="1443">
        <f>SUM(M46:M53)</f>
        <v>0.97884673643305531</v>
      </c>
      <c r="N54" s="361">
        <f>SUM(N46:N53)</f>
        <v>21082604.581361055</v>
      </c>
      <c r="O54" s="357"/>
      <c r="S54" s="371"/>
      <c r="T54" s="375"/>
      <c r="U54" s="376"/>
      <c r="V54" s="376"/>
    </row>
    <row r="55" spans="2:22" ht="16">
      <c r="B55" s="306"/>
      <c r="C55" s="324"/>
      <c r="D55" s="317"/>
      <c r="E55" s="345"/>
      <c r="F55" s="346"/>
      <c r="G55" s="347"/>
      <c r="H55" s="1627"/>
      <c r="I55" s="1628"/>
      <c r="J55" s="348"/>
      <c r="K55" s="349"/>
      <c r="L55" s="350"/>
      <c r="M55" s="350"/>
      <c r="N55" s="351"/>
      <c r="O55" s="357"/>
      <c r="P55" s="276"/>
      <c r="S55" s="215"/>
      <c r="T55" s="215"/>
      <c r="U55" s="215"/>
      <c r="V55" s="215"/>
    </row>
    <row r="56" spans="2:22" ht="17" thickBot="1">
      <c r="B56" s="343"/>
      <c r="C56" s="344" t="s">
        <v>43</v>
      </c>
      <c r="D56" s="317"/>
      <c r="E56" s="345"/>
      <c r="F56" s="346"/>
      <c r="G56" s="347"/>
      <c r="H56" s="1627"/>
      <c r="I56" s="1628"/>
      <c r="J56" s="348"/>
      <c r="K56" s="356" t="s">
        <v>263</v>
      </c>
      <c r="L56" s="363"/>
      <c r="M56" s="363"/>
      <c r="N56" s="364"/>
      <c r="O56" s="357"/>
      <c r="P56" s="276"/>
      <c r="S56" s="215"/>
      <c r="T56" s="215"/>
      <c r="U56" s="215"/>
      <c r="V56" s="215"/>
    </row>
    <row r="57" spans="2:22" ht="17" thickBot="1">
      <c r="B57" s="306"/>
      <c r="C57" s="324" t="s">
        <v>22</v>
      </c>
      <c r="D57" s="317">
        <f>bud_detail!F78</f>
        <v>459466</v>
      </c>
      <c r="E57" s="309">
        <f t="shared" ref="E57:E76" si="5">IF(D57=0,0,D57/$G$7)</f>
        <v>18.5</v>
      </c>
      <c r="F57" s="310">
        <f t="shared" ref="F57:F77" si="6">IF(D57=0,0,D57/$G$6)</f>
        <v>51051.777777777781</v>
      </c>
      <c r="G57" s="311">
        <f t="shared" ref="G57:G76" si="7">IF(D57=0,0,D57/$D$39)</f>
        <v>1.6818181818181819E-2</v>
      </c>
      <c r="H57" s="1629"/>
      <c r="I57" s="1630"/>
      <c r="J57" s="348"/>
      <c r="K57" s="374"/>
      <c r="L57" s="360" t="s">
        <v>390</v>
      </c>
      <c r="M57" s="360"/>
      <c r="N57" s="361">
        <f>MAX(reserves!$CD$6:$CD$126)</f>
        <v>4000000</v>
      </c>
      <c r="O57" s="357"/>
      <c r="Q57" s="296"/>
    </row>
    <row r="58" spans="2:22" ht="16">
      <c r="B58" s="306"/>
      <c r="C58" s="324" t="s">
        <v>44</v>
      </c>
      <c r="D58" s="317">
        <f>bud_detail!F86</f>
        <v>150000</v>
      </c>
      <c r="E58" s="309">
        <f>IF(D58=0,0,D58/$G$7)</f>
        <v>6.0396199065872125</v>
      </c>
      <c r="F58" s="310">
        <f t="shared" si="6"/>
        <v>16666.666666666668</v>
      </c>
      <c r="G58" s="311">
        <f t="shared" si="7"/>
        <v>5.4905635514429204E-3</v>
      </c>
      <c r="H58" s="1631" t="str">
        <f>LEFT((D53/SUM($D$49:$D$50))*100,4)&amp;T("% of Base Hard Costs")</f>
        <v>4.12% of Base Hard Costs</v>
      </c>
      <c r="I58" s="1632" t="str">
        <f>LEFT((E53/SUM($D$49:$D$50))*100,4)&amp;T("% of Base Hard Costs")</f>
        <v>0.00% of Base Hard Costs</v>
      </c>
      <c r="J58" s="348"/>
      <c r="K58" s="377"/>
      <c r="L58" s="389" t="str">
        <f>+financing!B8</f>
        <v>OG Group</v>
      </c>
      <c r="M58" s="389"/>
      <c r="N58" s="370">
        <f>$N$57*financing!D8</f>
        <v>400000</v>
      </c>
      <c r="O58" s="357"/>
      <c r="P58" s="276"/>
      <c r="S58" s="371"/>
      <c r="V58" s="378"/>
    </row>
    <row r="59" spans="2:22" ht="16">
      <c r="B59" s="306"/>
      <c r="C59" s="324" t="s">
        <v>45</v>
      </c>
      <c r="D59" s="317">
        <f>bud_detail!F118</f>
        <v>100000</v>
      </c>
      <c r="E59" s="309">
        <f t="shared" si="5"/>
        <v>4.0264132710581411</v>
      </c>
      <c r="F59" s="310">
        <f t="shared" si="6"/>
        <v>11111.111111111111</v>
      </c>
      <c r="G59" s="311">
        <f t="shared" si="7"/>
        <v>3.6603757009619469E-3</v>
      </c>
      <c r="H59" s="1621"/>
      <c r="I59" s="1622"/>
      <c r="J59" s="348"/>
      <c r="K59" s="377"/>
      <c r="L59" s="389" t="str">
        <f>+financing!B7</f>
        <v>TBD</v>
      </c>
      <c r="M59" s="389"/>
      <c r="N59" s="370">
        <f>$N$57*financing!D7</f>
        <v>3600000</v>
      </c>
      <c r="O59" s="357"/>
      <c r="S59" s="371"/>
      <c r="T59" s="1440" t="s">
        <v>5125</v>
      </c>
      <c r="U59" s="1440" t="s">
        <v>5126</v>
      </c>
      <c r="V59" s="1441" t="s">
        <v>175</v>
      </c>
    </row>
    <row r="60" spans="2:22" ht="17" thickBot="1">
      <c r="B60" s="306"/>
      <c r="C60" s="324" t="s">
        <v>18</v>
      </c>
      <c r="D60" s="317">
        <f>bud_detail!F137</f>
        <v>284628.57142857148</v>
      </c>
      <c r="E60" s="309">
        <f t="shared" si="5"/>
        <v>11.460322573223204</v>
      </c>
      <c r="F60" s="310">
        <f t="shared" si="6"/>
        <v>31625.396825396831</v>
      </c>
      <c r="G60" s="311">
        <f t="shared" si="7"/>
        <v>1.0418475066566549E-2</v>
      </c>
      <c r="H60" s="1609"/>
      <c r="I60" s="1610"/>
      <c r="J60" s="348"/>
      <c r="K60" s="377"/>
      <c r="L60" s="389" t="str">
        <f>+financing!B9</f>
        <v>TBD</v>
      </c>
      <c r="M60" s="389"/>
      <c r="N60" s="370">
        <f>$N$57*financing!D9</f>
        <v>0</v>
      </c>
      <c r="O60" s="357"/>
      <c r="S60" s="344" t="s">
        <v>22</v>
      </c>
      <c r="T60" s="922">
        <f t="shared" ref="T60:T79" si="8">D57</f>
        <v>459466</v>
      </c>
      <c r="U60" s="1438">
        <v>2000000</v>
      </c>
      <c r="V60" s="335">
        <f>T60-U60</f>
        <v>-1540534</v>
      </c>
    </row>
    <row r="61" spans="2:22" ht="17" thickBot="1">
      <c r="B61" s="306"/>
      <c r="C61" s="324" t="s">
        <v>34</v>
      </c>
      <c r="D61" s="317">
        <f>bud_detail!F150</f>
        <v>138830.26</v>
      </c>
      <c r="E61" s="309">
        <f t="shared" si="5"/>
        <v>5.5898800128845227</v>
      </c>
      <c r="F61" s="310">
        <f t="shared" si="6"/>
        <v>15425.584444444445</v>
      </c>
      <c r="G61" s="311">
        <f t="shared" si="7"/>
        <v>5.0817091026222937E-3</v>
      </c>
      <c r="H61" s="1611"/>
      <c r="I61" s="1612"/>
      <c r="J61" s="348"/>
      <c r="K61" s="377"/>
      <c r="L61" s="360" t="s">
        <v>390</v>
      </c>
      <c r="M61" s="360"/>
      <c r="N61" s="361">
        <f>SUM(N58:N60)</f>
        <v>4000000</v>
      </c>
      <c r="O61" s="357"/>
      <c r="S61" s="344" t="s">
        <v>44</v>
      </c>
      <c r="T61" s="922">
        <f t="shared" si="8"/>
        <v>150000</v>
      </c>
      <c r="U61" s="1439">
        <v>928000</v>
      </c>
      <c r="V61" s="335">
        <f t="shared" ref="V61:V79" si="9">T61-U61</f>
        <v>-778000</v>
      </c>
    </row>
    <row r="62" spans="2:22" ht="16">
      <c r="B62" s="306"/>
      <c r="C62" s="324" t="s">
        <v>46</v>
      </c>
      <c r="D62" s="317">
        <f>bud_detail!F157</f>
        <v>50000</v>
      </c>
      <c r="E62" s="309">
        <f t="shared" si="5"/>
        <v>2.0132066355290705</v>
      </c>
      <c r="F62" s="310">
        <f t="shared" si="6"/>
        <v>5555.5555555555557</v>
      </c>
      <c r="G62" s="311">
        <f t="shared" si="7"/>
        <v>1.8301878504809735E-3</v>
      </c>
      <c r="H62" s="388" t="str">
        <f>LEFT((D57/SUM($D$49:$D$50))*100,4)&amp;T("% of Base Hard Costs")</f>
        <v>4.62% of Base Hard Costs</v>
      </c>
      <c r="I62" s="321"/>
      <c r="J62" s="348"/>
      <c r="K62" s="395"/>
      <c r="L62" s="396"/>
      <c r="M62" s="396"/>
      <c r="N62" s="397"/>
      <c r="O62" s="357"/>
      <c r="S62" s="344" t="s">
        <v>45</v>
      </c>
      <c r="T62" s="922">
        <f t="shared" si="8"/>
        <v>100000</v>
      </c>
      <c r="U62" s="1439">
        <v>949000</v>
      </c>
      <c r="V62" s="335">
        <f t="shared" si="9"/>
        <v>-849000</v>
      </c>
    </row>
    <row r="63" spans="2:22" ht="17" thickBot="1">
      <c r="B63" s="306"/>
      <c r="C63" s="324" t="s">
        <v>213</v>
      </c>
      <c r="D63" s="317">
        <f>bud_detail!F163</f>
        <v>286000</v>
      </c>
      <c r="E63" s="309">
        <f t="shared" si="5"/>
        <v>11.515541955226285</v>
      </c>
      <c r="F63" s="310">
        <f t="shared" si="6"/>
        <v>31777.777777777777</v>
      </c>
      <c r="G63" s="311">
        <f t="shared" si="7"/>
        <v>1.0468674504751167E-2</v>
      </c>
      <c r="H63" s="388" t="str">
        <f>LEFT((D58/SUM($D$49:$D$50))*100,4)&amp;T("% of Base Hard Costs")</f>
        <v>1.50% of Base Hard Costs</v>
      </c>
      <c r="I63" s="321"/>
      <c r="J63" s="348"/>
      <c r="K63" s="398"/>
      <c r="L63" s="399" t="s">
        <v>536</v>
      </c>
      <c r="M63" s="399"/>
      <c r="N63" s="400">
        <f>D79/G7</f>
        <v>843.59818736354691</v>
      </c>
      <c r="O63" s="357"/>
      <c r="S63" s="344" t="s">
        <v>18</v>
      </c>
      <c r="T63" s="922">
        <f t="shared" si="8"/>
        <v>284628.57142857148</v>
      </c>
      <c r="U63" s="1439">
        <v>1833225</v>
      </c>
      <c r="V63" s="335">
        <f t="shared" si="9"/>
        <v>-1548596.4285714286</v>
      </c>
    </row>
    <row r="64" spans="2:22" ht="17" thickBot="1">
      <c r="B64" s="306"/>
      <c r="C64" s="324" t="s">
        <v>29</v>
      </c>
      <c r="D64" s="317">
        <f>bud_detail!F171</f>
        <v>400000</v>
      </c>
      <c r="E64" s="309">
        <f t="shared" si="5"/>
        <v>16.105653084232564</v>
      </c>
      <c r="F64" s="310">
        <f t="shared" si="6"/>
        <v>44444.444444444445</v>
      </c>
      <c r="G64" s="311">
        <f>IF(D64=0,0,D64/$D$39)</f>
        <v>1.4641502803847788E-2</v>
      </c>
      <c r="H64" s="388" t="str">
        <f>LEFT((D59/SUM($D$49:$D$50))*100,4)&amp;T("% of Base Hard Costs")</f>
        <v>1.00% of Base Hard Costs</v>
      </c>
      <c r="I64" s="321"/>
      <c r="J64" s="348"/>
      <c r="O64" s="357"/>
      <c r="S64" s="344" t="s">
        <v>34</v>
      </c>
      <c r="T64" s="922">
        <f t="shared" si="8"/>
        <v>138830.26</v>
      </c>
      <c r="U64" s="1439">
        <v>751000</v>
      </c>
      <c r="V64" s="335">
        <f t="shared" si="9"/>
        <v>-612169.74</v>
      </c>
    </row>
    <row r="65" spans="2:25" ht="16">
      <c r="B65" s="306"/>
      <c r="C65" s="324" t="s">
        <v>522</v>
      </c>
      <c r="D65" s="317">
        <f>bud_detail!F194</f>
        <v>346377.62945574586</v>
      </c>
      <c r="E65" s="309">
        <f t="shared" si="5"/>
        <v>13.946594840382746</v>
      </c>
      <c r="F65" s="310">
        <f t="shared" si="6"/>
        <v>38486.403272860654</v>
      </c>
      <c r="G65" s="311">
        <f t="shared" si="7"/>
        <v>1.2678722582166131E-2</v>
      </c>
      <c r="H65" s="388" t="str">
        <f>T("of Gross Revenues")</f>
        <v>of Gross Revenues</v>
      </c>
      <c r="I65" s="321"/>
      <c r="J65" s="348"/>
      <c r="K65" s="986" t="s">
        <v>538</v>
      </c>
      <c r="L65" s="224"/>
      <c r="M65" s="224"/>
      <c r="N65" s="225"/>
      <c r="O65" s="357"/>
      <c r="S65" s="344" t="s">
        <v>46</v>
      </c>
      <c r="T65" s="922">
        <f t="shared" si="8"/>
        <v>50000</v>
      </c>
      <c r="U65" s="1439">
        <v>290000</v>
      </c>
      <c r="V65" s="335">
        <f t="shared" si="9"/>
        <v>-240000</v>
      </c>
    </row>
    <row r="66" spans="2:25" ht="16">
      <c r="B66" s="306"/>
      <c r="C66" s="324" t="s">
        <v>127</v>
      </c>
      <c r="D66" s="346">
        <f>SUM(bud_detail!F197:F200)-D67</f>
        <v>1917619.5405867069</v>
      </c>
      <c r="E66" s="309">
        <f t="shared" si="5"/>
        <v>77.211287670587325</v>
      </c>
      <c r="F66" s="310">
        <f t="shared" si="6"/>
        <v>213068.83784296745</v>
      </c>
      <c r="G66" s="311">
        <f t="shared" si="7"/>
        <v>7.0192079700533941E-2</v>
      </c>
      <c r="H66" s="388" t="str">
        <f t="shared" ref="H66:H78" si="10">T("of Gross Revenues")</f>
        <v>of Gross Revenues</v>
      </c>
      <c r="I66" s="321"/>
      <c r="J66" s="348"/>
      <c r="K66" s="336" t="s">
        <v>485</v>
      </c>
      <c r="L66" s="1442" t="str">
        <f>T("(")&amp;ROUND(M66*G6,0)&amp;T(" units)")</f>
        <v>(3 units)</v>
      </c>
      <c r="M66" s="455">
        <f>sales!J32</f>
        <v>0.3</v>
      </c>
      <c r="N66" s="456">
        <f>M66*ResSales</f>
        <v>8195880</v>
      </c>
      <c r="O66" s="357"/>
      <c r="S66" s="344" t="s">
        <v>213</v>
      </c>
      <c r="T66" s="922">
        <f t="shared" si="8"/>
        <v>286000</v>
      </c>
      <c r="U66" s="1439">
        <v>767340</v>
      </c>
      <c r="V66" s="335">
        <f t="shared" si="9"/>
        <v>-481340</v>
      </c>
      <c r="X66" s="392"/>
    </row>
    <row r="67" spans="2:25" ht="16">
      <c r="B67" s="306"/>
      <c r="C67" s="324" t="s">
        <v>486</v>
      </c>
      <c r="D67" s="317">
        <f>reserves!BY127</f>
        <v>28700</v>
      </c>
      <c r="E67" s="309">
        <f t="shared" si="5"/>
        <v>1.1555806087936866</v>
      </c>
      <c r="F67" s="310">
        <f t="shared" si="6"/>
        <v>3188.8888888888887</v>
      </c>
      <c r="G67" s="311">
        <f>IF(D67=0,0,D67/$D$39)</f>
        <v>1.0505278261760786E-3</v>
      </c>
      <c r="H67" s="388" t="str">
        <f t="shared" si="10"/>
        <v>of Gross Revenues</v>
      </c>
      <c r="I67" s="321"/>
      <c r="J67" s="348"/>
      <c r="K67" s="239" t="s">
        <v>327</v>
      </c>
      <c r="L67" s="219"/>
      <c r="M67" s="1138">
        <v>0</v>
      </c>
      <c r="N67" s="462">
        <f>M67*$D$39*(1-SUM(bud_detail!D312:D313))</f>
        <v>0</v>
      </c>
      <c r="O67" s="357"/>
      <c r="S67" s="344" t="s">
        <v>29</v>
      </c>
      <c r="T67" s="922">
        <f t="shared" si="8"/>
        <v>400000</v>
      </c>
      <c r="U67" s="1439">
        <v>1148222</v>
      </c>
      <c r="V67" s="335">
        <f t="shared" si="9"/>
        <v>-748222</v>
      </c>
    </row>
    <row r="68" spans="2:25" ht="16">
      <c r="B68" s="306"/>
      <c r="C68" s="324" t="s">
        <v>23</v>
      </c>
      <c r="D68" s="317">
        <f>bud_detail!F217</f>
        <v>96435</v>
      </c>
      <c r="E68" s="309">
        <f t="shared" si="5"/>
        <v>3.8828716379449189</v>
      </c>
      <c r="F68" s="310">
        <f t="shared" si="6"/>
        <v>10715</v>
      </c>
      <c r="G68" s="311">
        <f>IF(D68=0,0,D68/$D$39)</f>
        <v>3.5298833072226533E-3</v>
      </c>
      <c r="H68" s="388" t="str">
        <f t="shared" si="10"/>
        <v>of Gross Revenues</v>
      </c>
      <c r="I68" s="321"/>
      <c r="J68" s="348"/>
      <c r="K68" s="465" t="s">
        <v>520</v>
      </c>
      <c r="L68" s="229"/>
      <c r="M68" s="250"/>
      <c r="N68" s="466">
        <f>SUM(N66:N67)</f>
        <v>8195880</v>
      </c>
      <c r="O68" s="357"/>
      <c r="S68" s="344" t="s">
        <v>522</v>
      </c>
      <c r="T68" s="922">
        <f t="shared" si="8"/>
        <v>346377.62945574586</v>
      </c>
      <c r="U68" s="1439">
        <v>2674581</v>
      </c>
      <c r="V68" s="335">
        <f t="shared" si="9"/>
        <v>-2328203.3705442543</v>
      </c>
      <c r="X68" s="335"/>
    </row>
    <row r="69" spans="2:25" ht="16">
      <c r="B69" s="306"/>
      <c r="C69" s="324" t="s">
        <v>24</v>
      </c>
      <c r="D69" s="317">
        <f>bud_detail!F241</f>
        <v>0</v>
      </c>
      <c r="E69" s="309">
        <f t="shared" si="5"/>
        <v>0</v>
      </c>
      <c r="F69" s="310">
        <f t="shared" si="6"/>
        <v>0</v>
      </c>
      <c r="G69" s="311">
        <f t="shared" si="7"/>
        <v>0</v>
      </c>
      <c r="H69" s="388" t="str">
        <f t="shared" si="10"/>
        <v>of Gross Revenues</v>
      </c>
      <c r="I69" s="321"/>
      <c r="J69" s="348"/>
      <c r="K69" s="239" t="s">
        <v>6</v>
      </c>
      <c r="L69" s="219"/>
      <c r="M69" s="250"/>
      <c r="N69" s="462">
        <f>-N49-N48</f>
        <v>-3278352</v>
      </c>
      <c r="O69" s="357"/>
      <c r="S69" s="344" t="s">
        <v>127</v>
      </c>
      <c r="T69" s="922">
        <f t="shared" si="8"/>
        <v>1917619.5405867069</v>
      </c>
      <c r="U69" s="208">
        <v>6563719</v>
      </c>
      <c r="V69" s="335">
        <f t="shared" si="9"/>
        <v>-4646099.4594132928</v>
      </c>
      <c r="X69" s="335"/>
    </row>
    <row r="70" spans="2:25" ht="16">
      <c r="B70" s="306"/>
      <c r="C70" s="324" t="s">
        <v>533</v>
      </c>
      <c r="D70" s="317">
        <f>bud_detail!F272-D71</f>
        <v>154073.82342159434</v>
      </c>
      <c r="E70" s="309">
        <f t="shared" si="5"/>
        <v>6.2036488734737611</v>
      </c>
      <c r="F70" s="310">
        <f t="shared" si="6"/>
        <v>17119.313713510481</v>
      </c>
      <c r="G70" s="311">
        <f t="shared" si="7"/>
        <v>5.6396807940670554E-3</v>
      </c>
      <c r="H70" s="388" t="str">
        <f t="shared" si="10"/>
        <v>of Gross Revenues</v>
      </c>
      <c r="I70" s="321"/>
      <c r="J70" s="348"/>
      <c r="K70" s="239" t="s">
        <v>515</v>
      </c>
      <c r="L70" s="250"/>
      <c r="M70" s="250"/>
      <c r="N70" s="462">
        <f>-SUMIF('Development Cash Flow'!$A$6:$A$126,"post dev",'Development Cash Flow'!$U$6:$U$126)-SUMIF('Development Cash Flow'!$A$6:$A$126,"post dev",'Development Cash Flow'!$V$6:$V$126)-SUMIF('Development Cash Flow'!$A$6:$A$126,"post dev",'Development Cash Flow'!$X$6:$X$126)-SUMIF('Development Cash Flow'!$A$6:$A$126,"post dev",'Development Cash Flow'!$AC$6:$AC$126)</f>
        <v>-50000</v>
      </c>
      <c r="O70" s="357"/>
      <c r="S70" s="344" t="s">
        <v>486</v>
      </c>
      <c r="T70" s="922">
        <f t="shared" si="8"/>
        <v>28700</v>
      </c>
      <c r="U70" s="208">
        <v>0</v>
      </c>
      <c r="V70" s="335">
        <f t="shared" si="9"/>
        <v>28700</v>
      </c>
      <c r="X70" s="335"/>
    </row>
    <row r="71" spans="2:25" ht="16">
      <c r="B71" s="306"/>
      <c r="C71" s="324" t="s">
        <v>483</v>
      </c>
      <c r="D71" s="317">
        <f>+bud_detail!F267</f>
        <v>0</v>
      </c>
      <c r="E71" s="309">
        <f t="shared" ref="E71" si="11">IF(D71=0,0,D71/$G$7)</f>
        <v>0</v>
      </c>
      <c r="F71" s="310">
        <f t="shared" ref="F71" si="12">IF(D71=0,0,D71/$G$6)</f>
        <v>0</v>
      </c>
      <c r="G71" s="311">
        <f t="shared" ref="G71" si="13">IF(D71=0,0,D71/$D$39)</f>
        <v>0</v>
      </c>
      <c r="H71" s="388" t="str">
        <f>T("Construction Loan/")&amp;TEXT(financing!E16,"0.00%")&amp;T(" &amp; Bonded Deposits/")&amp;TEXT(financing!E12,"0.00%")</f>
        <v>Construction Loan/11.00% &amp; Bonded Deposits/1.50%</v>
      </c>
      <c r="I71" s="321"/>
      <c r="J71" s="348"/>
      <c r="K71" s="239" t="s">
        <v>511</v>
      </c>
      <c r="L71" s="219"/>
      <c r="M71" s="250"/>
      <c r="N71" s="462">
        <f>-SUMIF('Development Cash Flow'!$A$6:$A$126,"post dev",'Development Cash Flow'!$O$6:$O$126)</f>
        <v>0</v>
      </c>
      <c r="O71" s="357"/>
      <c r="S71" s="344" t="s">
        <v>23</v>
      </c>
      <c r="T71" s="922">
        <f t="shared" si="8"/>
        <v>96435</v>
      </c>
      <c r="U71" s="208">
        <v>564000</v>
      </c>
      <c r="V71" s="335">
        <f t="shared" si="9"/>
        <v>-467565</v>
      </c>
      <c r="X71" s="335"/>
    </row>
    <row r="72" spans="2:25" ht="16">
      <c r="B72" s="306"/>
      <c r="C72" s="324" t="s">
        <v>47</v>
      </c>
      <c r="D72" s="317">
        <f>bud_detail!F297</f>
        <v>221681.75646843188</v>
      </c>
      <c r="E72" s="309">
        <f>IF(D72=0,0,D72/$G$7)</f>
        <v>8.9258236619597309</v>
      </c>
      <c r="F72" s="310">
        <f>IF(D72=0,0,D72/$G$6)</f>
        <v>24631.30627427021</v>
      </c>
      <c r="G72" s="311">
        <f>IF(D72=0,0,D72/$D$39)</f>
        <v>8.1143851472361191E-3</v>
      </c>
      <c r="H72" s="388" t="str">
        <f t="shared" si="10"/>
        <v>of Gross Revenues</v>
      </c>
      <c r="I72" s="321"/>
      <c r="J72" s="348"/>
      <c r="K72" s="239" t="s">
        <v>20</v>
      </c>
      <c r="L72" s="219"/>
      <c r="M72" s="250"/>
      <c r="N72" s="462">
        <f>-N66*sales!M46</f>
        <v>-655670.4</v>
      </c>
      <c r="O72" s="357"/>
      <c r="S72" s="344" t="s">
        <v>24</v>
      </c>
      <c r="T72" s="922">
        <f t="shared" si="8"/>
        <v>0</v>
      </c>
      <c r="U72" s="208">
        <v>2164000</v>
      </c>
      <c r="V72" s="335">
        <f t="shared" si="9"/>
        <v>-2164000</v>
      </c>
    </row>
    <row r="73" spans="2:25" ht="16">
      <c r="B73" s="306"/>
      <c r="C73" s="260" t="s">
        <v>48</v>
      </c>
      <c r="D73" s="317">
        <f>bud_detail!F307</f>
        <v>150000</v>
      </c>
      <c r="E73" s="309">
        <f>IF(D73=0,0,D73/$G$7)</f>
        <v>6.0396199065872125</v>
      </c>
      <c r="F73" s="310">
        <f>IF(D73=0,0,D73/$G$6)</f>
        <v>16666.666666666668</v>
      </c>
      <c r="G73" s="311">
        <f>IF(D73=0,0,D73/$D$39)</f>
        <v>5.4905635514429204E-3</v>
      </c>
      <c r="H73" s="388"/>
      <c r="I73" s="321"/>
      <c r="J73" s="348"/>
      <c r="K73" s="465" t="s">
        <v>481</v>
      </c>
      <c r="L73" s="482"/>
      <c r="M73" s="406"/>
      <c r="N73" s="466">
        <f>SUM(N68:N72)</f>
        <v>4211857.5999999996</v>
      </c>
      <c r="O73" s="357"/>
      <c r="S73" s="344" t="s">
        <v>533</v>
      </c>
      <c r="T73" s="922">
        <f t="shared" si="8"/>
        <v>154073.82342159434</v>
      </c>
      <c r="U73" s="208">
        <v>2044200</v>
      </c>
      <c r="V73" s="335">
        <f t="shared" si="9"/>
        <v>-1890126.1765784058</v>
      </c>
      <c r="X73" s="208"/>
    </row>
    <row r="74" spans="2:25" ht="17" thickBot="1">
      <c r="B74" s="306"/>
      <c r="C74" s="324" t="s">
        <v>20</v>
      </c>
      <c r="D74" s="317">
        <f>bud_detail!F320</f>
        <v>2186000</v>
      </c>
      <c r="E74" s="309">
        <f t="shared" si="5"/>
        <v>88.017394105330965</v>
      </c>
      <c r="F74" s="310">
        <f t="shared" si="6"/>
        <v>242888.88888888888</v>
      </c>
      <c r="G74" s="311">
        <f t="shared" si="7"/>
        <v>8.0015812823028151E-2</v>
      </c>
      <c r="H74" s="388" t="str">
        <f t="shared" si="10"/>
        <v>of Gross Revenues</v>
      </c>
      <c r="I74" s="321"/>
      <c r="J74" s="348"/>
      <c r="K74" s="486" t="s">
        <v>482</v>
      </c>
      <c r="L74" s="487"/>
      <c r="M74" s="488"/>
      <c r="N74" s="489">
        <f>IFERROR(N73/$N$46,"N/A")</f>
        <v>0.3504325231122466</v>
      </c>
      <c r="O74" s="357"/>
      <c r="S74" s="344" t="s">
        <v>483</v>
      </c>
      <c r="T74" s="922">
        <f t="shared" si="8"/>
        <v>0</v>
      </c>
      <c r="U74" s="208">
        <v>8287080</v>
      </c>
      <c r="V74" s="335">
        <f t="shared" si="9"/>
        <v>-8287080</v>
      </c>
      <c r="X74" s="391"/>
    </row>
    <row r="75" spans="2:25" ht="17" thickBot="1">
      <c r="B75" s="306" t="s">
        <v>8</v>
      </c>
      <c r="C75" s="324" t="s">
        <v>544</v>
      </c>
      <c r="D75" s="317">
        <f>bud_detail!F325</f>
        <v>546392</v>
      </c>
      <c r="E75" s="309">
        <f t="shared" si="5"/>
        <v>22</v>
      </c>
      <c r="F75" s="310">
        <f t="shared" si="6"/>
        <v>60710.222222222219</v>
      </c>
      <c r="G75" s="311">
        <f t="shared" si="7"/>
        <v>0.02</v>
      </c>
      <c r="H75" s="388" t="str">
        <f t="shared" si="10"/>
        <v>of Gross Revenues</v>
      </c>
      <c r="I75" s="321"/>
      <c r="J75" s="348"/>
      <c r="O75" s="357"/>
      <c r="S75" s="344" t="s">
        <v>47</v>
      </c>
      <c r="T75" s="922">
        <f t="shared" si="8"/>
        <v>221681.75646843188</v>
      </c>
      <c r="U75" s="208">
        <v>910000</v>
      </c>
      <c r="V75" s="335">
        <f t="shared" si="9"/>
        <v>-688318.24353156809</v>
      </c>
    </row>
    <row r="76" spans="2:25" ht="16">
      <c r="B76" s="306" t="s">
        <v>8</v>
      </c>
      <c r="C76" s="260" t="s">
        <v>25</v>
      </c>
      <c r="D76" s="317">
        <f>bud_detail!F327</f>
        <v>137000</v>
      </c>
      <c r="E76" s="309">
        <f t="shared" si="5"/>
        <v>5.5161861813496538</v>
      </c>
      <c r="F76" s="310">
        <f t="shared" si="6"/>
        <v>15222.222222222223</v>
      </c>
      <c r="G76" s="311">
        <f t="shared" si="7"/>
        <v>5.014714710317867E-3</v>
      </c>
      <c r="H76" s="388" t="str">
        <f t="shared" si="10"/>
        <v>of Gross Revenues</v>
      </c>
      <c r="I76" s="321"/>
      <c r="J76" s="348"/>
      <c r="K76" s="402" t="s">
        <v>505</v>
      </c>
      <c r="L76" s="403"/>
      <c r="M76" s="404" t="s">
        <v>506</v>
      </c>
      <c r="N76" s="405" t="s">
        <v>507</v>
      </c>
      <c r="O76" s="357"/>
      <c r="S76" s="228" t="s">
        <v>48</v>
      </c>
      <c r="T76" s="922">
        <f t="shared" si="8"/>
        <v>150000</v>
      </c>
      <c r="U76" s="208">
        <v>1400000</v>
      </c>
      <c r="V76" s="335">
        <f t="shared" si="9"/>
        <v>-1250000</v>
      </c>
      <c r="X76" s="335"/>
      <c r="Y76" s="335"/>
    </row>
    <row r="77" spans="2:25" ht="16">
      <c r="B77" s="328"/>
      <c r="C77" s="329" t="s">
        <v>49</v>
      </c>
      <c r="D77" s="365">
        <f>SUM(D57:D76)</f>
        <v>7653204.5813610507</v>
      </c>
      <c r="E77" s="366">
        <f>IF(D77=0,0,D77/$G$7)</f>
        <v>308.14964492515099</v>
      </c>
      <c r="F77" s="367">
        <f t="shared" si="6"/>
        <v>850356.0645956723</v>
      </c>
      <c r="G77" s="368">
        <f>IF(D77=0,0,D77/$D$39)</f>
        <v>0.28013604084104637</v>
      </c>
      <c r="H77" s="388" t="str">
        <f t="shared" si="10"/>
        <v>of Gross Revenues</v>
      </c>
      <c r="I77" s="321"/>
      <c r="J77" s="312"/>
      <c r="K77" s="336" t="str">
        <f>+general!B20</f>
        <v>Project Start Date</v>
      </c>
      <c r="L77" s="406"/>
      <c r="M77" s="407">
        <v>0</v>
      </c>
      <c r="N77" s="408">
        <f>+general!D20</f>
        <v>46235</v>
      </c>
      <c r="O77" s="313"/>
      <c r="S77" s="344" t="s">
        <v>20</v>
      </c>
      <c r="T77" s="922">
        <f t="shared" si="8"/>
        <v>2186000</v>
      </c>
      <c r="U77" s="208">
        <v>11394735</v>
      </c>
      <c r="V77" s="335">
        <f t="shared" si="9"/>
        <v>-9208735</v>
      </c>
    </row>
    <row r="78" spans="2:25" ht="16">
      <c r="B78" s="239"/>
      <c r="C78" s="344"/>
      <c r="D78" s="317"/>
      <c r="E78" s="345"/>
      <c r="F78" s="346"/>
      <c r="G78" s="347"/>
      <c r="H78" s="388" t="str">
        <f t="shared" si="10"/>
        <v>of Gross Revenues</v>
      </c>
      <c r="I78" s="321"/>
      <c r="J78" s="348"/>
      <c r="K78" s="239" t="str">
        <f>+general!B21</f>
        <v>Land/L. Loan Closing Date</v>
      </c>
      <c r="L78" s="219"/>
      <c r="M78" s="411">
        <f>+(YEAR(N78)-YEAR($N$77))*12+(MONTH(N78)-MONTH($N$77))</f>
        <v>0</v>
      </c>
      <c r="N78" s="412">
        <f>+general!D21</f>
        <v>46235</v>
      </c>
      <c r="O78" s="357"/>
      <c r="S78" s="344" t="s">
        <v>544</v>
      </c>
      <c r="T78" s="922">
        <f t="shared" si="8"/>
        <v>546392</v>
      </c>
      <c r="U78" s="208">
        <v>4765071</v>
      </c>
      <c r="V78" s="335">
        <f t="shared" si="9"/>
        <v>-4218679</v>
      </c>
    </row>
    <row r="79" spans="2:25" ht="16">
      <c r="B79" s="239"/>
      <c r="C79" s="417" t="s">
        <v>50</v>
      </c>
      <c r="D79" s="418">
        <f>+D46+D54+D77</f>
        <v>20951604.581361052</v>
      </c>
      <c r="E79" s="419">
        <f>IF(D79=0,0,D79/$G$7)</f>
        <v>843.59818736354691</v>
      </c>
      <c r="F79" s="420">
        <f>IF(D79=0,0,D79/$G$6)</f>
        <v>2327956.0645956723</v>
      </c>
      <c r="G79" s="421">
        <f>IF(D79=0,0,D79/$D$39)</f>
        <v>0.76690744305776992</v>
      </c>
      <c r="H79" s="388" t="str">
        <f>T("IH@")&amp;ROUND(((bud_detail!$J$312)*100),0)&amp;T("%, Outside@ ")&amp;ROUND(((bud_detail!$J$313)*100),0)&amp;T("%")</f>
        <v>IH@3%, Outside@ 5%</v>
      </c>
      <c r="I79" s="321"/>
      <c r="J79" s="348"/>
      <c r="K79" s="415" t="str">
        <f>+general!B23</f>
        <v>Const. Loan Closing Date</v>
      </c>
      <c r="L79" s="355"/>
      <c r="M79" s="411">
        <f>+(YEAR(N79)-YEAR($N$77))*12+(MONTH(N79)-MONTH($N$77))</f>
        <v>18</v>
      </c>
      <c r="N79" s="416">
        <f>+general!D23</f>
        <v>46812</v>
      </c>
      <c r="O79" s="357"/>
      <c r="S79" s="228" t="s">
        <v>25</v>
      </c>
      <c r="T79" s="922">
        <f t="shared" si="8"/>
        <v>137000</v>
      </c>
      <c r="U79" s="208">
        <v>2071770</v>
      </c>
      <c r="V79" s="335">
        <f t="shared" si="9"/>
        <v>-1934770</v>
      </c>
    </row>
    <row r="80" spans="2:25" ht="16">
      <c r="B80" s="336"/>
      <c r="C80" s="424"/>
      <c r="D80" s="425"/>
      <c r="E80" s="426"/>
      <c r="F80" s="427"/>
      <c r="G80" s="428"/>
      <c r="H80" s="401" t="str">
        <f>T("of Gross Revenues/")&amp;TEXT(D75/(D79),"0.00%")&amp;T(" of total costs")</f>
        <v>of Gross Revenues/2.61% of total costs</v>
      </c>
      <c r="I80" s="321"/>
      <c r="J80" s="348"/>
      <c r="K80" s="239" t="str">
        <f>+general!B24</f>
        <v>Construction Start Date</v>
      </c>
      <c r="L80" s="348"/>
      <c r="M80" s="411">
        <f>+(YEAR(N80)-YEAR($N$77))*12+(MONTH(N80)-MONTH($N$77))</f>
        <v>18</v>
      </c>
      <c r="N80" s="412">
        <f>+general!D24</f>
        <v>46812</v>
      </c>
      <c r="O80" s="357"/>
      <c r="T80" s="296"/>
    </row>
    <row r="81" spans="2:22" ht="17" thickBot="1">
      <c r="B81" s="263"/>
      <c r="C81" s="432" t="s">
        <v>51</v>
      </c>
      <c r="D81" s="433">
        <f>+D39-D79</f>
        <v>6367995.4186389484</v>
      </c>
      <c r="E81" s="434">
        <f>IF(D81=0,0,D81/$G$7)</f>
        <v>256.40181263645309</v>
      </c>
      <c r="F81" s="435">
        <f>IF(D81=0,0,D81/$G$6)</f>
        <v>707555.04651543871</v>
      </c>
      <c r="G81" s="436">
        <f>D81/$D$39</f>
        <v>0.23309255694223005</v>
      </c>
      <c r="H81" s="388" t="str">
        <f>T("of Gross Revenues/")&amp;LEFT(bud_detail!$E$327*100,4)&amp;T("% of soft costs")</f>
        <v>of Gross Revenues/0.5% of soft costs</v>
      </c>
      <c r="I81" s="321"/>
      <c r="J81" s="348"/>
      <c r="K81" s="415" t="str">
        <f>+general!B27</f>
        <v>Final Month of Construction</v>
      </c>
      <c r="L81" s="431"/>
      <c r="M81" s="411">
        <f>+(YEAR(N81)-YEAR($N$77))*12+(MONTH(N81)-MONTH($N$77))</f>
        <v>41</v>
      </c>
      <c r="N81" s="416">
        <f>+general!D27</f>
        <v>47514</v>
      </c>
      <c r="O81" s="357"/>
      <c r="T81" s="335">
        <f>SUM(T60:T79)</f>
        <v>7653204.5813610507</v>
      </c>
      <c r="U81" s="335">
        <f>SUM(U60:U79)</f>
        <v>51505943</v>
      </c>
      <c r="V81" s="335">
        <f>SUM(V60:V79)</f>
        <v>-43852738.418638952</v>
      </c>
    </row>
    <row r="82" spans="2:22" ht="17" thickBot="1">
      <c r="B82" s="239"/>
      <c r="C82" s="442"/>
      <c r="D82" s="264"/>
      <c r="E82" s="264"/>
      <c r="F82" s="264"/>
      <c r="G82" s="264"/>
      <c r="H82" s="409"/>
      <c r="I82" s="410"/>
      <c r="J82" s="219"/>
      <c r="K82" s="263" t="str">
        <f>+general!B28</f>
        <v>Final Unit Closing</v>
      </c>
      <c r="L82" s="439"/>
      <c r="M82" s="440">
        <f>+(YEAR(N82)-YEAR($N$77))*12+(MONTH(N82)-MONTH($N$77))</f>
        <v>44</v>
      </c>
      <c r="N82" s="441">
        <f>+general!D28</f>
        <v>47603</v>
      </c>
      <c r="O82" s="226"/>
    </row>
    <row r="83" spans="2:22" ht="17" thickBot="1">
      <c r="B83" s="443"/>
      <c r="C83" s="444"/>
      <c r="D83" s="444"/>
      <c r="E83" s="445"/>
      <c r="F83" s="446" t="s">
        <v>417</v>
      </c>
      <c r="G83" s="447" t="s">
        <v>418</v>
      </c>
      <c r="H83" s="413"/>
      <c r="I83" s="414"/>
      <c r="J83" s="219"/>
      <c r="O83" s="226"/>
    </row>
    <row r="84" spans="2:22" ht="18" thickTop="1" thickBot="1">
      <c r="B84" s="449"/>
      <c r="C84" s="450"/>
      <c r="D84" s="450"/>
      <c r="E84" s="451" t="s">
        <v>75</v>
      </c>
      <c r="F84" s="452">
        <f>reserves!BL136</f>
        <v>8505104.948681403</v>
      </c>
      <c r="G84" s="453">
        <f>+reserves!BN139</f>
        <v>6236995.4186389428</v>
      </c>
      <c r="H84" s="422"/>
      <c r="I84" s="423"/>
      <c r="J84" s="219"/>
      <c r="K84" s="986" t="s">
        <v>5144</v>
      </c>
      <c r="L84" s="1141"/>
      <c r="M84" s="1141"/>
      <c r="N84" s="282"/>
      <c r="O84" s="226"/>
      <c r="R84" s="335">
        <f>D79-165777810</f>
        <v>-144826205.41863894</v>
      </c>
    </row>
    <row r="85" spans="2:22" ht="17" thickBot="1">
      <c r="B85" s="457"/>
      <c r="C85" s="458"/>
      <c r="D85" s="458"/>
      <c r="E85" s="459" t="s">
        <v>68</v>
      </c>
      <c r="F85" s="460">
        <f>reserves!BK136</f>
        <v>0.29059866070747375</v>
      </c>
      <c r="G85" s="461">
        <f>+reserves!BN137</f>
        <v>0.44054588675498962</v>
      </c>
      <c r="H85" s="429"/>
      <c r="I85" s="430"/>
      <c r="J85" s="219"/>
      <c r="K85" s="1499" t="s">
        <v>5145</v>
      </c>
      <c r="L85" s="1500" t="s">
        <v>288</v>
      </c>
      <c r="M85" s="1501" t="s">
        <v>5107</v>
      </c>
      <c r="N85" s="1502" t="s">
        <v>5150</v>
      </c>
      <c r="O85" s="226"/>
      <c r="Q85" s="335"/>
      <c r="R85" s="335"/>
    </row>
    <row r="86" spans="2:22" ht="16">
      <c r="B86" s="457"/>
      <c r="C86" s="458"/>
      <c r="D86" s="458"/>
      <c r="E86" s="459" t="s">
        <v>69</v>
      </c>
      <c r="F86" s="463">
        <f>D39/(D79-D66)</f>
        <v>1.4353063712867444</v>
      </c>
      <c r="G86" s="464">
        <f>(G84+reserves!$S$128)/reserves!$S$128</f>
        <v>2.5592488546597356</v>
      </c>
      <c r="H86" s="437"/>
      <c r="I86" s="438"/>
      <c r="J86" s="219"/>
      <c r="K86" s="1486">
        <f>Sensitivity!B8</f>
        <v>1525</v>
      </c>
      <c r="L86" s="1512">
        <f>Sensitivity!H8</f>
        <v>17946140.383724339</v>
      </c>
      <c r="M86" s="1513">
        <f>Sensitivity!D8</f>
        <v>0.29622586316991611</v>
      </c>
      <c r="N86" s="1514">
        <f>Sensitivity!N8</f>
        <v>6.3013258828989818</v>
      </c>
      <c r="O86" s="226"/>
    </row>
    <row r="87" spans="2:22" ht="17" thickBot="1">
      <c r="B87" s="467"/>
      <c r="C87" s="468"/>
      <c r="D87" s="468"/>
      <c r="E87" s="469" t="s">
        <v>70</v>
      </c>
      <c r="F87" s="470">
        <f>F84/D39</f>
        <v>0.31131879488284614</v>
      </c>
      <c r="G87" s="471">
        <f>G84/$D$39</f>
        <v>0.2282974647739697</v>
      </c>
      <c r="H87" s="264"/>
      <c r="I87" s="264"/>
      <c r="J87" s="219"/>
      <c r="K87" s="1509">
        <f>Sensitivity!B9</f>
        <v>1500</v>
      </c>
      <c r="L87" s="1510">
        <f>Sensitivity!H9</f>
        <v>16701235.082817793</v>
      </c>
      <c r="M87" s="1489">
        <f>Sensitivity!D9</f>
        <v>0.28256890420129926</v>
      </c>
      <c r="N87" s="1511">
        <f>Sensitivity!N9</f>
        <v>5.8749385055827155</v>
      </c>
      <c r="O87" s="226"/>
      <c r="Q87" s="335"/>
    </row>
    <row r="88" spans="2:22" ht="17" thickBot="1">
      <c r="B88" s="472"/>
      <c r="C88" s="473"/>
      <c r="D88" s="473"/>
      <c r="E88" s="473"/>
      <c r="F88" s="474" t="s">
        <v>76</v>
      </c>
      <c r="G88" s="475">
        <f>D39/D79-1</f>
        <v>0.30393831622347611</v>
      </c>
      <c r="H88" s="448"/>
      <c r="I88" s="448"/>
      <c r="J88" s="219"/>
      <c r="K88" s="1487">
        <f>Sensitivity!B10</f>
        <v>1475</v>
      </c>
      <c r="L88" s="1488">
        <f>Sensitivity!H10</f>
        <v>15453337.287188306</v>
      </c>
      <c r="M88" s="1489">
        <f>Sensitivity!D10</f>
        <v>0.26815966000860364</v>
      </c>
      <c r="N88" s="1490">
        <f>Sensitivity!N10</f>
        <v>5.4574893285994008</v>
      </c>
      <c r="O88" s="226"/>
      <c r="Q88" s="335"/>
    </row>
    <row r="89" spans="2:22" ht="17" thickBot="1">
      <c r="B89" s="239"/>
      <c r="C89" s="264"/>
      <c r="D89" s="264"/>
      <c r="E89" s="264"/>
      <c r="F89" s="477"/>
      <c r="G89" s="478"/>
      <c r="H89" s="448"/>
      <c r="I89" s="448"/>
      <c r="J89" s="219"/>
      <c r="K89" s="1487">
        <f>Sensitivity!B11</f>
        <v>1450</v>
      </c>
      <c r="L89" s="1491">
        <f>Sensitivity!H11</f>
        <v>14219795.000608519</v>
      </c>
      <c r="M89" s="1492">
        <f>Sensitivity!D11</f>
        <v>0.25324769924369245</v>
      </c>
      <c r="N89" s="1490">
        <f>Sensitivity!N11</f>
        <v>4.8329765392474737</v>
      </c>
      <c r="O89" s="357"/>
      <c r="Q89" s="454"/>
    </row>
    <row r="90" spans="2:22" ht="17">
      <c r="B90" s="479"/>
      <c r="C90" s="989" t="s">
        <v>509</v>
      </c>
      <c r="D90" s="222"/>
      <c r="E90" s="222"/>
      <c r="F90" s="222"/>
      <c r="G90" s="223"/>
      <c r="H90" s="448"/>
      <c r="I90" s="448"/>
      <c r="J90" s="239"/>
      <c r="K90" s="1487">
        <f>Sensitivity!B12</f>
        <v>1425</v>
      </c>
      <c r="L90" s="1488">
        <f>Sensitivity!H12</f>
        <v>12971472.030323848</v>
      </c>
      <c r="M90" s="1497">
        <f>Sensitivity!D12</f>
        <v>0.23725933517901213</v>
      </c>
      <c r="N90" s="1490">
        <f>Sensitivity!N12</f>
        <v>4.2428680075809622</v>
      </c>
      <c r="O90" s="226"/>
      <c r="Q90" s="335"/>
    </row>
    <row r="91" spans="2:22" ht="16">
      <c r="B91" s="239"/>
      <c r="C91" s="336"/>
      <c r="D91" s="480" t="str">
        <f>financing!B8</f>
        <v>OG Group</v>
      </c>
      <c r="E91" s="480" t="str">
        <f>financing!B7</f>
        <v>TBD</v>
      </c>
      <c r="F91" s="480" t="str">
        <f>financing!B9</f>
        <v>TBD</v>
      </c>
      <c r="G91" s="481" t="s">
        <v>21</v>
      </c>
      <c r="H91" s="448"/>
      <c r="I91" s="448"/>
      <c r="J91" s="219"/>
      <c r="K91" s="1487">
        <f>Sensitivity!B13</f>
        <v>1400</v>
      </c>
      <c r="L91" s="1488">
        <f>Sensitivity!H13</f>
        <v>11722305.438819103</v>
      </c>
      <c r="M91" s="1497">
        <f>Sensitivity!D13</f>
        <v>0.22036686948498629</v>
      </c>
      <c r="N91" s="1490">
        <f>Sensitivity!N13</f>
        <v>3.9305763597047796</v>
      </c>
      <c r="O91" s="226"/>
      <c r="Q91" s="335"/>
    </row>
    <row r="92" spans="2:22" ht="17" thickBot="1">
      <c r="B92" s="239"/>
      <c r="C92" s="483" t="s">
        <v>158</v>
      </c>
      <c r="D92" s="484">
        <f>SUM(D93)/SUM($G$93)</f>
        <v>0.10000000000000005</v>
      </c>
      <c r="E92" s="484">
        <f>SUM(E93)/SUM($G$93)</f>
        <v>0.89999999999999991</v>
      </c>
      <c r="F92" s="484">
        <f>SUM(F93)/SUM($G$93)</f>
        <v>0</v>
      </c>
      <c r="G92" s="485">
        <f t="shared" ref="G92:G97" si="14">SUM(D92:F92)</f>
        <v>1</v>
      </c>
      <c r="H92" s="448"/>
      <c r="I92" s="448"/>
      <c r="J92" s="219"/>
      <c r="K92" s="1493">
        <f>Sensitivity!B14</f>
        <v>1375</v>
      </c>
      <c r="L92" s="1494">
        <f>Sensitivity!H14</f>
        <v>10474845.64745485</v>
      </c>
      <c r="M92" s="1495">
        <f>Sensitivity!D14</f>
        <v>0.20254212280720463</v>
      </c>
      <c r="N92" s="1515">
        <f>Sensitivity!N14</f>
        <v>3.6187114118637145</v>
      </c>
      <c r="O92" s="226"/>
      <c r="Q92" s="335"/>
      <c r="R92" s="213">
        <v>20.74</v>
      </c>
    </row>
    <row r="93" spans="2:22" ht="17" thickBot="1">
      <c r="B93" s="239"/>
      <c r="C93" s="490" t="s">
        <v>155</v>
      </c>
      <c r="D93" s="236">
        <f>+SUM('New Waterfall'!S8:S38)</f>
        <v>-399999.99999999994</v>
      </c>
      <c r="E93" s="236">
        <f>+SUM('New Waterfall'!R8:R38)</f>
        <v>-3599999.9999999977</v>
      </c>
      <c r="F93" s="236">
        <f>+SUM('New Waterfall'!T8:T38)</f>
        <v>0</v>
      </c>
      <c r="G93" s="253">
        <f>SUM(D93:F93)</f>
        <v>-3999999.9999999977</v>
      </c>
      <c r="H93" s="448"/>
      <c r="I93" s="448"/>
      <c r="J93" s="219"/>
      <c r="K93" s="1503" t="s">
        <v>5146</v>
      </c>
      <c r="L93" s="1504" t="s">
        <v>288</v>
      </c>
      <c r="M93" s="1505" t="s">
        <v>5107</v>
      </c>
      <c r="N93" s="1506" t="s">
        <v>5150</v>
      </c>
      <c r="O93" s="491"/>
      <c r="Q93" s="476"/>
      <c r="R93" s="213">
        <v>26.17</v>
      </c>
    </row>
    <row r="94" spans="2:22" ht="17" outlineLevel="1" thickBot="1">
      <c r="B94" s="239"/>
      <c r="C94" s="490" t="s">
        <v>156</v>
      </c>
      <c r="D94" s="236">
        <f>-MIN(D93,SUM('New Waterfall'!$S$8:$S$38))</f>
        <v>399999.99999999994</v>
      </c>
      <c r="E94" s="236">
        <f>-MIN(E93,SUM('New Waterfall'!$R$8:$R$38))</f>
        <v>3599999.9999999977</v>
      </c>
      <c r="F94" s="236">
        <f>-MIN(F93,SUM('New Waterfall'!$T$8:$T$38))</f>
        <v>0</v>
      </c>
      <c r="G94" s="253">
        <f t="shared" si="14"/>
        <v>3999999.9999999977</v>
      </c>
      <c r="H94" s="264"/>
      <c r="I94" s="264"/>
      <c r="J94" s="219"/>
      <c r="K94" s="1486">
        <f>Sensitivity!B19</f>
        <v>1490</v>
      </c>
      <c r="L94" s="1512">
        <f>Sensitivity!H19</f>
        <v>11605925.061689705</v>
      </c>
      <c r="M94" s="1513">
        <f>Sensitivity!D19</f>
        <v>0.20669593474039871</v>
      </c>
      <c r="N94" s="1516">
        <f>Sensitivity!N19</f>
        <v>3.9014812654224271</v>
      </c>
      <c r="O94" s="226"/>
    </row>
    <row r="95" spans="2:22" ht="17" outlineLevel="1" thickBot="1">
      <c r="B95" s="239"/>
      <c r="C95" s="490" t="str">
        <f>IF(D106="Yes","Pre-promote Distributions","Distributions")</f>
        <v>Pre-promote Distributions</v>
      </c>
      <c r="D95" s="236">
        <f>+'New Waterfall'!S82</f>
        <v>106150.77681029215</v>
      </c>
      <c r="E95" s="236">
        <f>+'New Waterfall'!R82</f>
        <v>955356.9912926316</v>
      </c>
      <c r="F95" s="236">
        <f>+'New Waterfall'!T82</f>
        <v>0</v>
      </c>
      <c r="G95" s="253">
        <f t="shared" si="14"/>
        <v>1061507.7681029239</v>
      </c>
      <c r="H95" s="219"/>
      <c r="I95" s="219"/>
      <c r="J95" s="219"/>
      <c r="K95" s="1487">
        <f>Sensitivity!B20</f>
        <v>1480</v>
      </c>
      <c r="L95" s="1488">
        <f>Sensitivity!H20</f>
        <v>12254563.275406793</v>
      </c>
      <c r="M95" s="1497">
        <f>Sensitivity!D20</f>
        <v>0.21824786887576153</v>
      </c>
      <c r="N95" s="1496">
        <f>Sensitivity!N20</f>
        <v>4.0636408188516979</v>
      </c>
      <c r="O95" s="226"/>
      <c r="Q95" s="392"/>
    </row>
    <row r="96" spans="2:22" ht="16" outlineLevel="1">
      <c r="B96" s="239"/>
      <c r="C96" s="490" t="s">
        <v>148</v>
      </c>
      <c r="D96" s="236">
        <f>+'New Waterfall'!S83</f>
        <v>5175487.6505360212</v>
      </c>
      <c r="E96" s="236">
        <f>+'New Waterfall'!R83</f>
        <v>0</v>
      </c>
      <c r="F96" s="236">
        <f>+'New Waterfall'!T83</f>
        <v>0</v>
      </c>
      <c r="G96" s="253">
        <f>SUM(D96:F96)</f>
        <v>5175487.6505360212</v>
      </c>
      <c r="H96" s="219"/>
      <c r="I96" s="219"/>
      <c r="J96" s="219"/>
      <c r="K96" s="1487">
        <f>Sensitivity!B21</f>
        <v>1470</v>
      </c>
      <c r="L96" s="1488">
        <f>Sensitivity!H21</f>
        <v>12913239.158872306</v>
      </c>
      <c r="M96" s="1497">
        <f>Sensitivity!D21</f>
        <v>0.22997856907416872</v>
      </c>
      <c r="N96" s="1496">
        <f>Sensitivity!N21</f>
        <v>4.228309789718077</v>
      </c>
      <c r="O96" s="226"/>
      <c r="R96" s="987" t="s">
        <v>508</v>
      </c>
      <c r="S96" s="224"/>
      <c r="T96" s="224"/>
      <c r="U96" s="225"/>
    </row>
    <row r="97" spans="2:21" ht="16" outlineLevel="1">
      <c r="B97" s="239"/>
      <c r="C97" s="490" t="s">
        <v>157</v>
      </c>
      <c r="D97" s="236">
        <f>IF($D$105="Yes",bud_detail!$F$325*financing!D$42,0)</f>
        <v>0</v>
      </c>
      <c r="E97" s="236">
        <f>IF($D$105="Yes",bud_detail!$F$325*financing!C$42,0)</f>
        <v>0</v>
      </c>
      <c r="F97" s="236">
        <f>IF($D$105="Yes",bud_detail!$F$325*financing!E$42,0)</f>
        <v>0</v>
      </c>
      <c r="G97" s="253">
        <f t="shared" si="14"/>
        <v>0</v>
      </c>
      <c r="H97" s="219"/>
      <c r="I97" s="219"/>
      <c r="J97" s="219"/>
      <c r="K97" s="1487">
        <f>Sensitivity!B22</f>
        <v>1460</v>
      </c>
      <c r="L97" s="1488">
        <f>Sensitivity!H22</f>
        <v>13560387.660829119</v>
      </c>
      <c r="M97" s="1497">
        <f>Sensitivity!D22</f>
        <v>0.24150397216067956</v>
      </c>
      <c r="N97" s="1496">
        <f>Sensitivity!N22</f>
        <v>4.3900969152072769</v>
      </c>
      <c r="O97" s="226"/>
      <c r="R97" s="492" t="s">
        <v>162</v>
      </c>
      <c r="S97" s="493" t="s">
        <v>163</v>
      </c>
      <c r="T97" s="482"/>
      <c r="U97" s="494" t="s">
        <v>148</v>
      </c>
    </row>
    <row r="98" spans="2:21" ht="16" outlineLevel="1">
      <c r="B98" s="239"/>
      <c r="C98" s="500" t="s">
        <v>81</v>
      </c>
      <c r="D98" s="501">
        <f>SUM(D93:D97)</f>
        <v>5281638.4273463134</v>
      </c>
      <c r="E98" s="501">
        <f>SUM(E93:E97)</f>
        <v>955356.9912926316</v>
      </c>
      <c r="F98" s="501">
        <f>SUM(F93:F97)</f>
        <v>0</v>
      </c>
      <c r="G98" s="502">
        <f>SUM(G93:G97)</f>
        <v>6236995.4186389446</v>
      </c>
      <c r="H98" s="219"/>
      <c r="I98" s="219"/>
      <c r="J98" s="219"/>
      <c r="K98" s="1487">
        <f>Sensitivity!B23</f>
        <v>1450</v>
      </c>
      <c r="L98" s="1488">
        <f>Sensitivity!H23</f>
        <v>14219795.000608675</v>
      </c>
      <c r="M98" s="1497">
        <f>Sensitivity!D23</f>
        <v>0.25324769924369517</v>
      </c>
      <c r="N98" s="1496">
        <f>Sensitivity!N23</f>
        <v>4.832976539247519</v>
      </c>
      <c r="O98" s="226"/>
      <c r="R98" s="495">
        <v>0</v>
      </c>
      <c r="S98" s="496">
        <f>financing!C35</f>
        <v>0.1</v>
      </c>
      <c r="T98" s="496"/>
      <c r="U98" s="497" t="s">
        <v>493</v>
      </c>
    </row>
    <row r="99" spans="2:21" ht="16" outlineLevel="1">
      <c r="B99" s="239"/>
      <c r="C99" s="500" t="s">
        <v>159</v>
      </c>
      <c r="D99" s="503">
        <f>IFERROR(SUM(D94:D97)/-SUM(D93),0)</f>
        <v>14.204096068365786</v>
      </c>
      <c r="E99" s="503">
        <f>IFERROR(SUM(E94:E97)/-SUM(E93),0)</f>
        <v>1.2653769420257313</v>
      </c>
      <c r="F99" s="503">
        <f>IFERROR(SUM(F94:F97)/-SUM(F93),0)</f>
        <v>0</v>
      </c>
      <c r="G99" s="504">
        <f>IFERROR(SUM(G94:G97)/-SUM(G93),0)</f>
        <v>2.5592488546597374</v>
      </c>
      <c r="H99" s="219"/>
      <c r="I99" s="219"/>
      <c r="J99" s="219"/>
      <c r="K99" s="1487">
        <f>Sensitivity!B24</f>
        <v>1440</v>
      </c>
      <c r="L99" s="1488">
        <f>Sensitivity!H24</f>
        <v>14865308.772189431</v>
      </c>
      <c r="M99" s="1497">
        <f>Sensitivity!D24</f>
        <v>0.26474398856966291</v>
      </c>
      <c r="N99" s="1496">
        <f>Sensitivity!N24</f>
        <v>5.260101091844458</v>
      </c>
      <c r="O99" s="226"/>
      <c r="R99" s="498">
        <f>IF(OR(S98=0,S98&gt;=1),0,S98+0.0001)</f>
        <v>0.10010000000000001</v>
      </c>
      <c r="S99" s="496">
        <f>financing!C36</f>
        <v>10</v>
      </c>
      <c r="T99" s="496"/>
      <c r="U99" s="499">
        <f>financing!F36</f>
        <v>0.99999990000000005</v>
      </c>
    </row>
    <row r="100" spans="2:21" ht="16" outlineLevel="1">
      <c r="B100" s="239"/>
      <c r="C100" s="500" t="s">
        <v>153</v>
      </c>
      <c r="D100" s="505">
        <f>+'New Waterfall'!S80</f>
        <v>1.6040495753288273</v>
      </c>
      <c r="E100" s="505">
        <f>+'New Waterfall'!R80</f>
        <v>0.10000004172325136</v>
      </c>
      <c r="F100" s="505">
        <f>+'New Waterfall'!T80</f>
        <v>0</v>
      </c>
      <c r="G100" s="506">
        <f>+'New Waterfall'!Q80</f>
        <v>0.44054588675498962</v>
      </c>
      <c r="H100" s="219"/>
      <c r="I100" s="219"/>
      <c r="J100" s="219"/>
      <c r="K100" s="1487">
        <f>Sensitivity!B25</f>
        <v>1430</v>
      </c>
      <c r="L100" s="1488">
        <f>Sensitivity!H25</f>
        <v>15522992.664306976</v>
      </c>
      <c r="M100" s="1497">
        <f>Sensitivity!D25</f>
        <v>0.27645702188000792</v>
      </c>
      <c r="N100" s="1496">
        <f>Sensitivity!N25</f>
        <v>5.4723165393071849</v>
      </c>
      <c r="O100" s="226"/>
      <c r="R100" s="498">
        <f>IF(OR(S99=0,S99&gt;=1),0,S99+0.0001)</f>
        <v>0</v>
      </c>
      <c r="S100" s="496">
        <f>financing!C37</f>
        <v>0</v>
      </c>
      <c r="T100" s="496"/>
      <c r="U100" s="499">
        <f>financing!F37</f>
        <v>0</v>
      </c>
    </row>
    <row r="101" spans="2:21" ht="17" outlineLevel="1" thickBot="1">
      <c r="B101" s="239"/>
      <c r="C101" s="507" t="s">
        <v>164</v>
      </c>
      <c r="D101" s="508"/>
      <c r="E101" s="508"/>
      <c r="F101" s="509"/>
      <c r="G101" s="510">
        <f>G88</f>
        <v>0.30393831622347611</v>
      </c>
      <c r="H101" s="219"/>
      <c r="I101" s="219"/>
      <c r="J101" s="219"/>
      <c r="K101" s="1493">
        <f>Sensitivity!B26</f>
        <v>1420</v>
      </c>
      <c r="L101" s="1494">
        <f>Sensitivity!H26</f>
        <v>16168568.83583957</v>
      </c>
      <c r="M101" s="1495">
        <f>Sensitivity!D26</f>
        <v>0.28795442251905962</v>
      </c>
      <c r="N101" s="1498">
        <f>Sensitivity!N26</f>
        <v>5.6833805452791299</v>
      </c>
      <c r="O101" s="491"/>
      <c r="R101" s="498">
        <f>IF(OR(S100=0,S100&gt;=1),0,S100+0.0001)</f>
        <v>0</v>
      </c>
      <c r="S101" s="496">
        <f>financing!C38</f>
        <v>0</v>
      </c>
      <c r="T101" s="496"/>
      <c r="U101" s="499">
        <f>financing!F38</f>
        <v>0</v>
      </c>
    </row>
    <row r="102" spans="2:21" ht="17" outlineLevel="1" thickBot="1">
      <c r="B102" s="263"/>
      <c r="C102" s="514"/>
      <c r="D102" s="515"/>
      <c r="E102" s="515"/>
      <c r="F102" s="516"/>
      <c r="G102" s="517"/>
      <c r="H102" s="219"/>
      <c r="I102" s="219"/>
      <c r="J102" s="516"/>
      <c r="K102" s="439"/>
      <c r="L102" s="439"/>
      <c r="M102" s="439"/>
      <c r="N102" s="518"/>
      <c r="O102" s="519"/>
      <c r="R102" s="498">
        <f>IF(OR(S101=0,S101&gt;=1),0,S101+0.0001)</f>
        <v>0</v>
      </c>
      <c r="S102" s="496">
        <f>financing!C39</f>
        <v>0</v>
      </c>
      <c r="T102" s="496"/>
      <c r="U102" s="499">
        <f>financing!F39</f>
        <v>0</v>
      </c>
    </row>
    <row r="103" spans="2:21" ht="17" outlineLevel="1" thickBot="1">
      <c r="C103" s="375"/>
      <c r="D103" s="335"/>
      <c r="E103" s="335"/>
      <c r="G103" s="314"/>
      <c r="H103" s="219"/>
      <c r="I103" s="219"/>
      <c r="K103" s="213"/>
      <c r="L103" s="213"/>
      <c r="M103" s="213"/>
      <c r="N103" s="213"/>
      <c r="O103" s="213"/>
      <c r="R103" s="511">
        <f>IF(OR(S102=0,S102&gt;=1),0,S102+0.0001)</f>
        <v>0</v>
      </c>
      <c r="S103" s="512">
        <f>financing!C40</f>
        <v>0</v>
      </c>
      <c r="T103" s="512"/>
      <c r="U103" s="513">
        <f>financing!F40</f>
        <v>0</v>
      </c>
    </row>
    <row r="104" spans="2:21" ht="16" outlineLevel="1">
      <c r="C104" s="375"/>
      <c r="D104" s="335"/>
      <c r="E104" s="335"/>
      <c r="H104" s="219"/>
      <c r="I104" s="219"/>
      <c r="O104" s="213"/>
    </row>
    <row r="105" spans="2:21" ht="16" outlineLevel="1">
      <c r="C105" s="520" t="s">
        <v>160</v>
      </c>
      <c r="D105" s="521" t="s">
        <v>546</v>
      </c>
      <c r="E105" s="335"/>
      <c r="F105" s="392"/>
      <c r="H105" s="219"/>
      <c r="I105" s="219"/>
      <c r="O105" s="213"/>
    </row>
    <row r="106" spans="2:21" ht="16" outlineLevel="1">
      <c r="C106" s="520" t="s">
        <v>161</v>
      </c>
      <c r="D106" s="521" t="s">
        <v>510</v>
      </c>
      <c r="E106" s="335"/>
      <c r="H106" s="219"/>
      <c r="I106" s="219"/>
      <c r="O106" s="213"/>
    </row>
    <row r="107" spans="2:21" ht="16.5" customHeight="1" thickBot="1">
      <c r="E107" s="335"/>
      <c r="H107" s="516"/>
      <c r="I107" s="516"/>
      <c r="O107" s="213"/>
    </row>
    <row r="108" spans="2:21">
      <c r="C108" s="522" t="s">
        <v>185</v>
      </c>
      <c r="D108" s="522"/>
      <c r="E108" s="522"/>
      <c r="O108" s="213"/>
    </row>
    <row r="109" spans="2:21">
      <c r="C109" s="522" t="s">
        <v>287</v>
      </c>
      <c r="D109" s="522">
        <f>IF(ABS($D$79-DevBud1)&lt;1,"",1)</f>
        <v>1</v>
      </c>
      <c r="E109" s="522"/>
      <c r="O109" s="213"/>
    </row>
    <row r="110" spans="2:21">
      <c r="C110" s="522" t="s">
        <v>5037</v>
      </c>
      <c r="D110" s="522" t="str">
        <f>IF(ISNUMBER(D39),"",1)</f>
        <v/>
      </c>
      <c r="E110" s="522"/>
    </row>
    <row r="111" spans="2:21">
      <c r="C111" s="522" t="s">
        <v>211</v>
      </c>
      <c r="D111" s="522" t="str">
        <f>IF(AND(D105="Yes",D106="Yes"),IF(ABS(G98-#REF!-bud_detail!F325)&lt;1,"",1),"")</f>
        <v/>
      </c>
      <c r="E111" s="522"/>
    </row>
    <row r="113" spans="11:14">
      <c r="K113" s="213"/>
      <c r="L113" s="213"/>
      <c r="M113" s="213"/>
      <c r="N113" s="213"/>
    </row>
    <row r="114" spans="11:14">
      <c r="K114" s="213"/>
      <c r="L114" s="213"/>
      <c r="M114" s="213"/>
      <c r="N114" s="213"/>
    </row>
    <row r="115" spans="11:14">
      <c r="K115" s="213"/>
      <c r="L115" s="213"/>
      <c r="M115" s="213"/>
      <c r="N115" s="213"/>
    </row>
    <row r="116" spans="11:14">
      <c r="K116" s="213"/>
      <c r="L116" s="213"/>
      <c r="M116" s="213"/>
      <c r="N116" s="213"/>
    </row>
    <row r="117" spans="11:14">
      <c r="K117" s="213"/>
      <c r="L117" s="213"/>
      <c r="M117" s="213"/>
      <c r="N117" s="213"/>
    </row>
    <row r="125" spans="11:14">
      <c r="K125" s="213"/>
      <c r="L125" s="213"/>
      <c r="M125" s="213"/>
      <c r="N125" s="213"/>
    </row>
    <row r="126" spans="11:14">
      <c r="K126" s="213"/>
      <c r="L126" s="213"/>
      <c r="M126" s="213"/>
      <c r="N126" s="213"/>
    </row>
    <row r="128" spans="11:14">
      <c r="K128" s="213"/>
      <c r="L128" s="213"/>
      <c r="M128" s="213"/>
      <c r="N128" s="213"/>
    </row>
    <row r="129" spans="11:14">
      <c r="K129" s="213"/>
      <c r="L129" s="213"/>
      <c r="M129" s="213"/>
      <c r="N129" s="213"/>
    </row>
    <row r="130" spans="11:14">
      <c r="K130" s="213"/>
      <c r="L130" s="213"/>
      <c r="M130" s="213"/>
      <c r="N130" s="213"/>
    </row>
    <row r="131" spans="11:14">
      <c r="K131" s="213"/>
      <c r="L131" s="213"/>
      <c r="M131" s="213"/>
      <c r="N131" s="213"/>
    </row>
    <row r="132" spans="11:14">
      <c r="K132" s="213"/>
      <c r="L132" s="213"/>
      <c r="M132" s="213"/>
      <c r="N132" s="213"/>
    </row>
    <row r="135" spans="11:14">
      <c r="K135" s="213"/>
      <c r="L135" s="213"/>
      <c r="M135" s="213"/>
      <c r="N135" s="213"/>
    </row>
    <row r="136" spans="11:14">
      <c r="K136" s="213"/>
      <c r="L136" s="213"/>
      <c r="M136" s="213"/>
      <c r="N136" s="213"/>
    </row>
    <row r="137" spans="11:14">
      <c r="K137" s="213"/>
      <c r="L137" s="213"/>
      <c r="M137" s="213"/>
      <c r="N137" s="213"/>
    </row>
    <row r="138" spans="11:14">
      <c r="K138" s="213"/>
      <c r="L138" s="213"/>
      <c r="M138" s="213"/>
      <c r="N138" s="213"/>
    </row>
    <row r="139" spans="11:14">
      <c r="K139" s="213"/>
      <c r="L139" s="213"/>
      <c r="M139" s="213"/>
      <c r="N139" s="213"/>
    </row>
    <row r="140" spans="11:14">
      <c r="K140" s="213"/>
      <c r="L140" s="213"/>
      <c r="M140" s="213"/>
      <c r="N140" s="213"/>
    </row>
    <row r="141" spans="11:14">
      <c r="K141" s="213"/>
      <c r="L141" s="213"/>
      <c r="M141" s="213"/>
      <c r="N141" s="213"/>
    </row>
    <row r="142" spans="11:14">
      <c r="K142" s="213"/>
      <c r="L142" s="213"/>
      <c r="M142" s="213"/>
      <c r="N142" s="213"/>
    </row>
    <row r="143" spans="11:14">
      <c r="K143" s="213"/>
      <c r="L143" s="213"/>
      <c r="M143" s="213"/>
      <c r="N143" s="213"/>
    </row>
    <row r="144" spans="11:14">
      <c r="K144" s="213"/>
      <c r="L144" s="213"/>
      <c r="M144" s="213"/>
      <c r="N144" s="213"/>
    </row>
    <row r="145" spans="11:14">
      <c r="K145" s="213"/>
      <c r="L145" s="213"/>
      <c r="M145" s="213"/>
      <c r="N145" s="213"/>
    </row>
    <row r="146" spans="11:14">
      <c r="K146" s="213"/>
      <c r="L146" s="213"/>
      <c r="M146" s="213"/>
      <c r="N146" s="213"/>
    </row>
    <row r="147" spans="11:14">
      <c r="K147" s="213"/>
      <c r="L147" s="213"/>
      <c r="M147" s="213"/>
      <c r="N147" s="213"/>
    </row>
    <row r="171" spans="2:15">
      <c r="B171" s="523"/>
      <c r="E171" s="523"/>
      <c r="F171" s="523"/>
      <c r="K171" s="213"/>
      <c r="L171" s="213"/>
      <c r="M171" s="213"/>
      <c r="N171" s="213"/>
      <c r="O171" s="213"/>
    </row>
    <row r="172" spans="2:15">
      <c r="C172" s="523"/>
      <c r="D172" s="523"/>
      <c r="K172" s="213"/>
      <c r="L172" s="213"/>
      <c r="M172" s="213"/>
      <c r="N172" s="213"/>
      <c r="O172" s="213"/>
    </row>
    <row r="183" spans="2:7">
      <c r="B183" s="523"/>
      <c r="E183" s="523"/>
      <c r="F183" s="523"/>
      <c r="G183" s="523"/>
    </row>
    <row r="184" spans="2:7">
      <c r="C184" s="523"/>
      <c r="D184" s="523"/>
    </row>
    <row r="192" spans="2:7">
      <c r="B192" s="523"/>
      <c r="E192" s="523"/>
      <c r="F192" s="523"/>
      <c r="G192" s="523"/>
    </row>
    <row r="193" spans="2:7">
      <c r="C193" s="523"/>
      <c r="D193" s="523"/>
    </row>
    <row r="199" spans="2:7">
      <c r="B199" s="523"/>
      <c r="E199" s="523"/>
      <c r="F199" s="523"/>
      <c r="G199" s="523"/>
    </row>
    <row r="200" spans="2:7">
      <c r="C200" s="523"/>
      <c r="D200" s="523"/>
    </row>
    <row r="201" spans="2:7">
      <c r="B201" s="371"/>
      <c r="E201" s="371"/>
      <c r="F201" s="371"/>
      <c r="G201" s="371"/>
    </row>
    <row r="202" spans="2:7">
      <c r="C202" s="371"/>
      <c r="D202" s="371"/>
    </row>
  </sheetData>
  <mergeCells count="29">
    <mergeCell ref="H46:I46"/>
    <mergeCell ref="B5:E5"/>
    <mergeCell ref="H20:I20"/>
    <mergeCell ref="H21:I21"/>
    <mergeCell ref="H23:I23"/>
    <mergeCell ref="H45:I45"/>
    <mergeCell ref="H43:I43"/>
    <mergeCell ref="H22:I22"/>
    <mergeCell ref="H24:I24"/>
    <mergeCell ref="H44:I44"/>
    <mergeCell ref="H25:I25"/>
    <mergeCell ref="H26:I26"/>
    <mergeCell ref="H42:I42"/>
    <mergeCell ref="B2:N2"/>
    <mergeCell ref="H60:I60"/>
    <mergeCell ref="H61:I61"/>
    <mergeCell ref="H50:I50"/>
    <mergeCell ref="H52:I52"/>
    <mergeCell ref="H49:I49"/>
    <mergeCell ref="H51:I51"/>
    <mergeCell ref="H59:I59"/>
    <mergeCell ref="H53:I53"/>
    <mergeCell ref="H54:I54"/>
    <mergeCell ref="H55:I55"/>
    <mergeCell ref="H56:I56"/>
    <mergeCell ref="H57:I57"/>
    <mergeCell ref="H58:I58"/>
    <mergeCell ref="B3:O3"/>
    <mergeCell ref="H47:I47"/>
  </mergeCells>
  <conditionalFormatting sqref="K86:K92">
    <cfRule type="expression" dxfId="116" priority="34">
      <formula>$K86=ResSales/$G$7</formula>
    </cfRule>
  </conditionalFormatting>
  <conditionalFormatting sqref="M86:M92 M94:M101">
    <cfRule type="expression" dxfId="115" priority="1143">
      <formula>$M86=$G$81</formula>
    </cfRule>
  </conditionalFormatting>
  <printOptions horizontalCentered="1"/>
  <pageMargins left="0.25" right="0.25" top="0.3" bottom="0.25" header="0.17" footer="0.17"/>
  <pageSetup scale="44" orientation="portrait" r:id="rId1"/>
  <headerFooter alignWithMargins="0"/>
  <rowBreaks count="1" manualBreakCount="1">
    <brk id="141" min="1" max="14" man="1"/>
  </row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8" id="{A7436F5D-1F1D-4EBD-A068-55B2E125E5C5}">
            <xm:f>$N86=Sensitivity!$N$11</xm:f>
            <x14:dxf>
              <font>
                <b/>
                <i val="0"/>
              </font>
              <fill>
                <patternFill>
                  <bgColor theme="6" tint="0.39994506668294322"/>
                </patternFill>
              </fill>
            </x14:dxf>
          </x14:cfRule>
          <xm:sqref>N86:N91</xm:sqref>
        </x14:conditionalFormatting>
        <x14:conditionalFormatting xmlns:xm="http://schemas.microsoft.com/office/excel/2006/main">
          <x14:cfRule type="expression" priority="24" id="{159C516B-D3A9-485A-BC1E-5E3690C872B9}">
            <xm:f>$K94=Sensitivity!$B$23</xm:f>
            <x14:dxf>
              <font>
                <b/>
                <i val="0"/>
              </font>
              <fill>
                <patternFill>
                  <bgColor theme="6" tint="0.39994506668294322"/>
                </patternFill>
              </fill>
            </x14:dxf>
          </x14:cfRule>
          <xm:sqref>K94:K99</xm:sqref>
        </x14:conditionalFormatting>
        <x14:conditionalFormatting xmlns:xm="http://schemas.microsoft.com/office/excel/2006/main">
          <x14:cfRule type="expression" priority="22" id="{402860A7-C4D6-41B7-8946-9B74D99C990B}">
            <xm:f>$L94=Sensitivity!$H$23</xm:f>
            <x14:dxf>
              <font>
                <b/>
                <i val="0"/>
              </font>
              <fill>
                <patternFill>
                  <bgColor theme="6" tint="0.39994506668294322"/>
                </patternFill>
              </fill>
            </x14:dxf>
          </x14:cfRule>
          <xm:sqref>L94:L99</xm:sqref>
        </x14:conditionalFormatting>
        <x14:conditionalFormatting xmlns:xm="http://schemas.microsoft.com/office/excel/2006/main">
          <x14:cfRule type="expression" priority="20" id="{E9CD0BAE-A6B7-4F48-987F-942C33356461}">
            <xm:f>$M94=Sensitivity!$D$23</xm:f>
            <x14:dxf>
              <font>
                <b/>
                <i val="0"/>
              </font>
              <fill>
                <patternFill>
                  <bgColor theme="6" tint="0.39994506668294322"/>
                </patternFill>
              </fill>
            </x14:dxf>
          </x14:cfRule>
          <xm:sqref>M94:M99</xm:sqref>
        </x14:conditionalFormatting>
        <x14:conditionalFormatting xmlns:xm="http://schemas.microsoft.com/office/excel/2006/main">
          <x14:cfRule type="expression" priority="18" id="{5A8E5833-9940-45AC-89A4-B17321749ACA}">
            <xm:f>$N94=Sensitivity!$N$23</xm:f>
            <x14:dxf>
              <font>
                <b/>
                <i val="0"/>
              </font>
              <fill>
                <patternFill>
                  <bgColor theme="6" tint="0.39994506668294322"/>
                </patternFill>
              </fill>
            </x14:dxf>
          </x14:cfRule>
          <xm:sqref>N94:N99</xm:sqref>
        </x14:conditionalFormatting>
        <x14:conditionalFormatting xmlns:xm="http://schemas.microsoft.com/office/excel/2006/main">
          <x14:cfRule type="expression" priority="11" id="{CFAE6615-A316-4454-A4AA-BF76EA0A24D6}">
            <xm:f>$N92=Sensitivity!$N$11</xm:f>
            <x14:dxf>
              <font>
                <b/>
                <i val="0"/>
              </font>
              <fill>
                <patternFill>
                  <bgColor theme="6" tint="0.39994506668294322"/>
                </patternFill>
              </fill>
            </x14:dxf>
          </x14:cfRule>
          <xm:sqref>N92</xm:sqref>
        </x14:conditionalFormatting>
        <x14:conditionalFormatting xmlns:xm="http://schemas.microsoft.com/office/excel/2006/main">
          <x14:cfRule type="expression" priority="4" id="{A10409A6-4D0C-4909-B4E0-16B3DCFB8738}">
            <xm:f>$K100=Sensitivity!$B$23</xm:f>
            <x14:dxf>
              <font>
                <b/>
                <i val="0"/>
              </font>
              <fill>
                <patternFill>
                  <bgColor theme="6" tint="0.39994506668294322"/>
                </patternFill>
              </fill>
            </x14:dxf>
          </x14:cfRule>
          <xm:sqref>K100:K101</xm:sqref>
        </x14:conditionalFormatting>
        <x14:conditionalFormatting xmlns:xm="http://schemas.microsoft.com/office/excel/2006/main">
          <x14:cfRule type="expression" priority="3" id="{36EF225D-4BA4-4FBB-ACC6-9036569CF4FF}">
            <xm:f>$L100=Sensitivity!$H$23</xm:f>
            <x14:dxf>
              <font>
                <b/>
                <i val="0"/>
              </font>
              <fill>
                <patternFill>
                  <bgColor theme="6" tint="0.39994506668294322"/>
                </patternFill>
              </fill>
            </x14:dxf>
          </x14:cfRule>
          <xm:sqref>L100:L101</xm:sqref>
        </x14:conditionalFormatting>
        <x14:conditionalFormatting xmlns:xm="http://schemas.microsoft.com/office/excel/2006/main">
          <x14:cfRule type="expression" priority="2" id="{8D2BD8F9-C1AF-4658-847C-D9E95C368D7B}">
            <xm:f>$M100=Sensitivity!$D$23</xm:f>
            <x14:dxf>
              <font>
                <b/>
                <i val="0"/>
              </font>
              <fill>
                <patternFill>
                  <bgColor theme="6" tint="0.39994506668294322"/>
                </patternFill>
              </fill>
            </x14:dxf>
          </x14:cfRule>
          <xm:sqref>M100:M101</xm:sqref>
        </x14:conditionalFormatting>
        <x14:conditionalFormatting xmlns:xm="http://schemas.microsoft.com/office/excel/2006/main">
          <x14:cfRule type="expression" priority="1" id="{A1C9EE89-3714-494D-AAF5-E3D79174740A}">
            <xm:f>$N100=Sensitivity!$N$23</xm:f>
            <x14:dxf>
              <font>
                <b/>
                <i val="0"/>
              </font>
              <fill>
                <patternFill>
                  <bgColor theme="6" tint="0.39994506668294322"/>
                </patternFill>
              </fill>
            </x14:dxf>
          </x14:cfRule>
          <xm:sqref>N100:N101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1061E-EDD3-4CFE-B13C-E2E9FC5E6AE0}">
  <sheetPr codeName="Sheet6">
    <tabColor theme="6" tint="-0.499984740745262"/>
    <pageSetUpPr autoPageBreaks="0" fitToPage="1"/>
  </sheetPr>
  <dimension ref="A1:CQ256"/>
  <sheetViews>
    <sheetView workbookViewId="0">
      <selection activeCell="S81" sqref="S81"/>
    </sheetView>
  </sheetViews>
  <sheetFormatPr baseColWidth="10" defaultColWidth="9" defaultRowHeight="15" outlineLevelRow="2" outlineLevelCol="1"/>
  <cols>
    <col min="1" max="2" width="4" style="1155" customWidth="1"/>
    <col min="3" max="3" width="18.5" style="1155" bestFit="1" customWidth="1"/>
    <col min="4" max="4" width="12" style="1155" customWidth="1"/>
    <col min="5" max="5" width="16" style="1155" bestFit="1" customWidth="1"/>
    <col min="6" max="6" width="15.83203125" style="1155" bestFit="1" customWidth="1"/>
    <col min="7" max="7" width="12" style="1155" customWidth="1"/>
    <col min="8" max="8" width="15" style="1155" hidden="1" customWidth="1" outlineLevel="1"/>
    <col min="9" max="9" width="12.83203125" style="1155" hidden="1" customWidth="1" outlineLevel="1"/>
    <col min="10" max="10" width="11.5" style="1155" hidden="1" customWidth="1" outlineLevel="1"/>
    <col min="11" max="11" width="9.83203125" style="1272" hidden="1" customWidth="1" outlineLevel="1"/>
    <col min="12" max="12" width="7.83203125" style="1272" hidden="1" customWidth="1" outlineLevel="1"/>
    <col min="13" max="13" width="9.83203125" style="1272" hidden="1" customWidth="1" outlineLevel="1"/>
    <col min="14" max="14" width="2.83203125" style="1155" customWidth="1" collapsed="1"/>
    <col min="15" max="15" width="19.5" style="1155" customWidth="1"/>
    <col min="16" max="16" width="12.33203125" style="1155" customWidth="1"/>
    <col min="17" max="17" width="15.83203125" style="1155" customWidth="1"/>
    <col min="18" max="18" width="27.33203125" style="1158" bestFit="1" customWidth="1"/>
    <col min="19" max="19" width="23.83203125" style="1158" bestFit="1" customWidth="1"/>
    <col min="20" max="20" width="15" style="1157" customWidth="1"/>
    <col min="21" max="21" width="3.5" style="1157" customWidth="1"/>
    <col min="22" max="22" width="15.33203125" style="1157" hidden="1" customWidth="1" outlineLevel="1"/>
    <col min="23" max="23" width="13.6640625" style="1157" hidden="1" customWidth="1" outlineLevel="1"/>
    <col min="24" max="24" width="17.5" style="1157" hidden="1" customWidth="1" outlineLevel="1"/>
    <col min="25" max="25" width="21.83203125" style="1157" hidden="1" customWidth="1" outlineLevel="1"/>
    <col min="26" max="26" width="1.5" style="1155" customWidth="1" collapsed="1"/>
    <col min="27" max="27" width="14" style="1155" customWidth="1"/>
    <col min="28" max="28" width="17.33203125" style="1155" customWidth="1"/>
    <col min="29" max="29" width="17.5" style="1155" customWidth="1"/>
    <col min="30" max="30" width="15.83203125" style="1155" customWidth="1"/>
    <col min="31" max="31" width="21.83203125" style="1155" customWidth="1"/>
    <col min="32" max="32" width="12" style="1155" customWidth="1"/>
    <col min="33" max="33" width="15.33203125" style="1155" hidden="1" customWidth="1" outlineLevel="1"/>
    <col min="34" max="34" width="13.6640625" style="1155" hidden="1" customWidth="1" outlineLevel="1"/>
    <col min="35" max="35" width="12.33203125" style="1155" hidden="1" customWidth="1" outlineLevel="1"/>
    <col min="36" max="36" width="21.83203125" style="1155" hidden="1" customWidth="1" outlineLevel="1"/>
    <col min="37" max="37" width="11" style="1155" hidden="1" customWidth="1" outlineLevel="1"/>
    <col min="38" max="38" width="9.33203125" style="1155" bestFit="1" customWidth="1" collapsed="1"/>
    <col min="39" max="39" width="15.33203125" style="1155" customWidth="1"/>
    <col min="40" max="40" width="13.5" style="1155" customWidth="1"/>
    <col min="41" max="41" width="11.5" style="1155" customWidth="1"/>
    <col min="42" max="42" width="21.83203125" style="1155" customWidth="1"/>
    <col min="43" max="43" width="11.33203125" style="1155" customWidth="1"/>
    <col min="44" max="44" width="15.33203125" style="1155" hidden="1" customWidth="1" outlineLevel="1"/>
    <col min="45" max="45" width="13.6640625" style="1155" hidden="1" customWidth="1" outlineLevel="1"/>
    <col min="46" max="46" width="12.33203125" style="1155" hidden="1" customWidth="1" outlineLevel="1"/>
    <col min="47" max="47" width="21.83203125" style="1155" hidden="1" customWidth="1" outlineLevel="1"/>
    <col min="48" max="48" width="11" style="1155" hidden="1" customWidth="1" outlineLevel="1"/>
    <col min="49" max="49" width="8.1640625" style="1155" customWidth="1" collapsed="1"/>
    <col min="50" max="50" width="15.33203125" style="1155" customWidth="1"/>
    <col min="51" max="51" width="13.1640625" style="1155" customWidth="1"/>
    <col min="52" max="52" width="11.5" style="1155" customWidth="1"/>
    <col min="53" max="53" width="21.83203125" style="1155" customWidth="1"/>
    <col min="54" max="54" width="11.33203125" style="1155" customWidth="1"/>
    <col min="55" max="55" width="15.33203125" style="1155" hidden="1" customWidth="1" outlineLevel="1"/>
    <col min="56" max="56" width="22" style="1155" hidden="1" customWidth="1" outlineLevel="1"/>
    <col min="57" max="57" width="19.83203125" style="1155" hidden="1" customWidth="1" outlineLevel="1"/>
    <col min="58" max="58" width="21.83203125" style="1155" hidden="1" customWidth="1" outlineLevel="1"/>
    <col min="59" max="59" width="11" style="1155" hidden="1" customWidth="1" outlineLevel="1"/>
    <col min="60" max="60" width="8.1640625" style="1155" customWidth="1" collapsed="1"/>
    <col min="61" max="61" width="15.33203125" style="1155" bestFit="1" customWidth="1"/>
    <col min="62" max="62" width="13.5" style="1155" customWidth="1"/>
    <col min="63" max="63" width="11.5" style="1155" bestFit="1" customWidth="1"/>
    <col min="64" max="64" width="21.83203125" style="1155" bestFit="1" customWidth="1"/>
    <col min="65" max="65" width="11.33203125" style="1155" customWidth="1"/>
    <col min="66" max="66" width="15.33203125" style="1155" hidden="1" customWidth="1" outlineLevel="1"/>
    <col min="67" max="67" width="7.5" style="1155" hidden="1" customWidth="1" outlineLevel="1"/>
    <col min="68" max="68" width="11.5" style="1155" hidden="1" customWidth="1" outlineLevel="1"/>
    <col min="69" max="69" width="21.83203125" style="1155" hidden="1" customWidth="1" outlineLevel="1"/>
    <col min="70" max="70" width="11" style="1155" hidden="1" customWidth="1" outlineLevel="1"/>
    <col min="71" max="71" width="8.1640625" style="1155" customWidth="1" collapsed="1"/>
    <col min="72" max="72" width="15.33203125" style="1155" bestFit="1" customWidth="1"/>
    <col min="73" max="73" width="10.5" style="1155" customWidth="1"/>
    <col min="74" max="74" width="11.5" style="1155" bestFit="1" customWidth="1"/>
    <col min="75" max="75" width="21.83203125" style="1155" bestFit="1" customWidth="1"/>
    <col min="76" max="76" width="11.33203125" style="1155" customWidth="1"/>
    <col min="77" max="77" width="15.33203125" style="1155" hidden="1" customWidth="1" outlineLevel="1"/>
    <col min="78" max="78" width="7.5" style="1155" hidden="1" customWidth="1" outlineLevel="1"/>
    <col min="79" max="79" width="11.5" style="1155" hidden="1" customWidth="1" outlineLevel="1"/>
    <col min="80" max="80" width="21.83203125" style="1155" hidden="1" customWidth="1" outlineLevel="1"/>
    <col min="81" max="81" width="11" style="1155" hidden="1" customWidth="1" outlineLevel="1"/>
    <col min="82" max="82" width="8.1640625" style="1155" customWidth="1" collapsed="1"/>
    <col min="83" max="83" width="15.33203125" style="1155" bestFit="1" customWidth="1"/>
    <col min="84" max="84" width="12.33203125" style="1155" customWidth="1"/>
    <col min="85" max="85" width="11.5" style="1155" bestFit="1" customWidth="1"/>
    <col min="86" max="86" width="21.83203125" style="1155" bestFit="1" customWidth="1"/>
    <col min="87" max="87" width="11" style="1155" bestFit="1" customWidth="1"/>
    <col min="88" max="88" width="15.33203125" style="1156" hidden="1" customWidth="1" outlineLevel="1"/>
    <col min="89" max="89" width="7.5" style="1156" hidden="1" customWidth="1" outlineLevel="1"/>
    <col min="90" max="90" width="11.5" style="1156" hidden="1" customWidth="1" outlineLevel="1"/>
    <col min="91" max="91" width="21.83203125" style="1156" hidden="1" customWidth="1" outlineLevel="1"/>
    <col min="92" max="92" width="11" style="1155" customWidth="1" collapsed="1"/>
    <col min="93" max="93" width="9" style="1155"/>
    <col min="94" max="94" width="12.5" style="1155" bestFit="1" customWidth="1"/>
    <col min="95" max="16384" width="9" style="1155"/>
  </cols>
  <sheetData>
    <row r="1" spans="1:86">
      <c r="A1" s="1259"/>
      <c r="B1" s="1259"/>
    </row>
    <row r="2" spans="1:86">
      <c r="C2" s="1160" t="s">
        <v>5098</v>
      </c>
      <c r="D2" s="1160"/>
    </row>
    <row r="3" spans="1:86" ht="16" thickBot="1">
      <c r="C3" s="1256" t="str">
        <f ca="1">"Distributions - Updated as of "&amp;TEXT(TODAY(),"mm/dd/yyyy")</f>
        <v>Distributions - Updated as of 05/08/2026</v>
      </c>
      <c r="D3" s="1256"/>
      <c r="E3" s="1256"/>
      <c r="F3" s="1258"/>
      <c r="G3" s="1257"/>
      <c r="H3" s="1256"/>
      <c r="I3" s="1256"/>
      <c r="J3" s="1256"/>
      <c r="K3" s="1273"/>
      <c r="L3" s="1273"/>
      <c r="M3" s="1273"/>
      <c r="N3" s="1256"/>
      <c r="O3" s="1256"/>
      <c r="P3" s="1256"/>
      <c r="Q3" s="1256"/>
      <c r="R3" s="1255"/>
      <c r="S3" s="1255"/>
      <c r="T3" s="1254"/>
      <c r="U3" s="1246"/>
      <c r="V3" s="1246"/>
      <c r="W3" s="1246"/>
      <c r="X3" s="1246"/>
      <c r="Y3" s="1246"/>
    </row>
    <row r="4" spans="1:86" ht="8.25" customHeight="1"/>
    <row r="5" spans="1:86">
      <c r="C5" s="1232" t="s">
        <v>179</v>
      </c>
      <c r="D5" s="1205"/>
      <c r="E5" s="1231"/>
      <c r="F5" s="1231"/>
      <c r="G5" s="1231"/>
      <c r="H5" s="738"/>
      <c r="I5" s="1181" t="s">
        <v>5097</v>
      </c>
      <c r="J5" s="1181"/>
      <c r="K5" s="1274"/>
      <c r="L5" s="1274"/>
      <c r="M5" s="1274"/>
      <c r="O5" s="1181" t="s">
        <v>180</v>
      </c>
      <c r="P5" s="1181"/>
      <c r="Q5" s="1181"/>
      <c r="R5" s="1181"/>
      <c r="S5" s="1181"/>
      <c r="T5" s="1181"/>
      <c r="U5" s="1253"/>
      <c r="V5" s="1253"/>
      <c r="W5" s="1253"/>
      <c r="X5" s="1253"/>
      <c r="Y5" s="1253"/>
      <c r="AA5" s="1658" t="s">
        <v>453</v>
      </c>
      <c r="AB5" s="1658"/>
      <c r="AC5" s="1658"/>
      <c r="AD5" s="1658"/>
      <c r="AE5" s="1658"/>
      <c r="AF5" s="1178"/>
      <c r="AG5" s="1178"/>
      <c r="AH5" s="1178"/>
      <c r="AI5" s="1178"/>
      <c r="AJ5" s="1178"/>
      <c r="AL5" s="1658" t="s">
        <v>454</v>
      </c>
      <c r="AM5" s="1658"/>
      <c r="AN5" s="1658"/>
      <c r="AO5" s="1658"/>
      <c r="AP5" s="1658"/>
      <c r="AQ5" s="1178"/>
      <c r="AR5" s="1178"/>
      <c r="AS5" s="1178"/>
      <c r="AT5" s="1178"/>
      <c r="AU5" s="1178"/>
      <c r="AW5" s="1658" t="s">
        <v>455</v>
      </c>
      <c r="AX5" s="1658"/>
      <c r="AY5" s="1658"/>
      <c r="AZ5" s="1658"/>
      <c r="BA5" s="1658"/>
      <c r="BB5" s="1178"/>
      <c r="BC5" s="1178"/>
      <c r="BD5" s="1178"/>
      <c r="BE5" s="1178"/>
      <c r="BF5" s="1178"/>
      <c r="BH5" s="1658" t="s">
        <v>456</v>
      </c>
      <c r="BI5" s="1658"/>
      <c r="BJ5" s="1658"/>
      <c r="BK5" s="1658"/>
      <c r="BL5" s="1658"/>
      <c r="BM5" s="1178"/>
      <c r="BN5" s="1178"/>
      <c r="BO5" s="1178"/>
      <c r="BP5" s="1178"/>
      <c r="BQ5" s="1178"/>
      <c r="BS5" s="1658" t="s">
        <v>459</v>
      </c>
      <c r="BT5" s="1658"/>
      <c r="BU5" s="1658"/>
      <c r="BV5" s="1658"/>
      <c r="BW5" s="1658"/>
      <c r="BX5" s="1178"/>
      <c r="BY5" s="1178"/>
      <c r="BZ5" s="1178"/>
      <c r="CA5" s="1178"/>
      <c r="CB5" s="1178"/>
      <c r="CD5" s="1658" t="s">
        <v>461</v>
      </c>
      <c r="CE5" s="1658"/>
      <c r="CF5" s="1658"/>
      <c r="CG5" s="1658"/>
      <c r="CH5" s="1658"/>
    </row>
    <row r="6" spans="1:86" ht="7.5" customHeight="1">
      <c r="H6" s="1236"/>
      <c r="I6" s="1236"/>
      <c r="J6" s="1236"/>
    </row>
    <row r="7" spans="1:86">
      <c r="C7" s="1235" t="s">
        <v>5096</v>
      </c>
      <c r="D7" s="1235" t="s">
        <v>134</v>
      </c>
      <c r="E7" s="1252" t="s">
        <v>5095</v>
      </c>
      <c r="F7" s="1252" t="str">
        <f>+financing!E6</f>
        <v>Peak Equity</v>
      </c>
      <c r="G7" s="1252" t="str">
        <f>+financing!F6</f>
        <v>Total</v>
      </c>
      <c r="H7" s="1239"/>
      <c r="I7" s="1251" t="s">
        <v>181</v>
      </c>
      <c r="J7" s="1250" t="s">
        <v>21</v>
      </c>
      <c r="K7" s="1275" t="str">
        <f>R7</f>
        <v>TBD</v>
      </c>
      <c r="L7" s="1275" t="str">
        <f>S7</f>
        <v>OG Group</v>
      </c>
      <c r="M7" s="1275" t="str">
        <f>T7</f>
        <v>TBD</v>
      </c>
      <c r="O7" s="1186" t="s">
        <v>134</v>
      </c>
      <c r="P7" s="1245" t="s">
        <v>181</v>
      </c>
      <c r="Q7" s="1245" t="s">
        <v>188</v>
      </c>
      <c r="R7" s="1249" t="str">
        <f>'New Waterfall'!C8</f>
        <v>TBD</v>
      </c>
      <c r="S7" s="1248" t="str">
        <f>'New Waterfall'!C9</f>
        <v>OG Group</v>
      </c>
      <c r="T7" s="1247" t="str">
        <f>'New Waterfall'!C10</f>
        <v>TBD</v>
      </c>
      <c r="U7" s="1246"/>
      <c r="V7" s="1246"/>
      <c r="W7" s="1246"/>
      <c r="X7" s="1246"/>
      <c r="Y7" s="1246"/>
      <c r="AA7" s="1186" t="s">
        <v>197</v>
      </c>
      <c r="AB7" s="1245" t="str">
        <f>Q7</f>
        <v>Total Equity</v>
      </c>
      <c r="AC7" s="1245" t="str">
        <f>R7</f>
        <v>TBD</v>
      </c>
      <c r="AD7" s="1245" t="str">
        <f>S7</f>
        <v>OG Group</v>
      </c>
      <c r="AE7" s="1245" t="str">
        <f>T7</f>
        <v>TBD</v>
      </c>
      <c r="AF7" s="1219"/>
      <c r="AG7" s="1219"/>
      <c r="AH7" s="1219"/>
      <c r="AI7" s="1219"/>
      <c r="AJ7" s="1219"/>
      <c r="AL7" s="1186" t="s">
        <v>197</v>
      </c>
      <c r="AM7" s="1245" t="str">
        <f>AB7</f>
        <v>Total Equity</v>
      </c>
      <c r="AN7" s="1245" t="str">
        <f>AC7</f>
        <v>TBD</v>
      </c>
      <c r="AO7" s="1245" t="str">
        <f>AD7</f>
        <v>OG Group</v>
      </c>
      <c r="AP7" s="1245" t="str">
        <f>AE7</f>
        <v>TBD</v>
      </c>
      <c r="AQ7" s="1219"/>
      <c r="AR7" s="1219"/>
      <c r="AS7" s="1219"/>
      <c r="AT7" s="1219"/>
      <c r="AU7" s="1219"/>
      <c r="AW7" s="1186" t="s">
        <v>197</v>
      </c>
      <c r="AX7" s="1245" t="str">
        <f>AM7</f>
        <v>Total Equity</v>
      </c>
      <c r="AY7" s="1245" t="str">
        <f>AN7</f>
        <v>TBD</v>
      </c>
      <c r="AZ7" s="1245" t="str">
        <f>AO7</f>
        <v>OG Group</v>
      </c>
      <c r="BA7" s="1245" t="str">
        <f>AP7</f>
        <v>TBD</v>
      </c>
      <c r="BB7" s="1219"/>
      <c r="BC7" s="1219"/>
      <c r="BD7" s="1219"/>
      <c r="BE7" s="1219"/>
      <c r="BF7" s="1219"/>
      <c r="BH7" s="1186" t="s">
        <v>197</v>
      </c>
      <c r="BI7" s="1245" t="str">
        <f>AX7</f>
        <v>Total Equity</v>
      </c>
      <c r="BJ7" s="1245" t="str">
        <f>AY7</f>
        <v>TBD</v>
      </c>
      <c r="BK7" s="1245" t="str">
        <f>AZ7</f>
        <v>OG Group</v>
      </c>
      <c r="BL7" s="1245" t="str">
        <f>BA7</f>
        <v>TBD</v>
      </c>
      <c r="BM7" s="1219"/>
      <c r="BN7" s="1219"/>
      <c r="BO7" s="1219"/>
      <c r="BP7" s="1219"/>
      <c r="BQ7" s="1219"/>
      <c r="BS7" s="1186" t="s">
        <v>197</v>
      </c>
      <c r="BT7" s="1245" t="str">
        <f>BI7</f>
        <v>Total Equity</v>
      </c>
      <c r="BU7" s="1245" t="str">
        <f>BJ7</f>
        <v>TBD</v>
      </c>
      <c r="BV7" s="1245" t="str">
        <f>BK7</f>
        <v>OG Group</v>
      </c>
      <c r="BW7" s="1245" t="str">
        <f>BL7</f>
        <v>TBD</v>
      </c>
      <c r="BX7" s="1219"/>
      <c r="BY7" s="1219"/>
      <c r="BZ7" s="1219"/>
      <c r="CA7" s="1219"/>
      <c r="CB7" s="1219"/>
      <c r="CD7" s="1186" t="s">
        <v>197</v>
      </c>
      <c r="CE7" s="1245" t="str">
        <f>BT7</f>
        <v>Total Equity</v>
      </c>
      <c r="CF7" s="1245" t="str">
        <f>BU7</f>
        <v>TBD</v>
      </c>
      <c r="CG7" s="1245" t="str">
        <f>BV7</f>
        <v>OG Group</v>
      </c>
      <c r="CH7" s="1245" t="str">
        <f>BW7</f>
        <v>TBD</v>
      </c>
    </row>
    <row r="8" spans="1:86">
      <c r="C8" s="1242" t="str">
        <f>+financing!B7</f>
        <v>TBD</v>
      </c>
      <c r="D8" s="1242" t="s">
        <v>5099</v>
      </c>
      <c r="E8" s="1260">
        <f>+financing!D7</f>
        <v>0.9</v>
      </c>
      <c r="F8" s="1241">
        <f>+financing!E7</f>
        <v>3600000</v>
      </c>
      <c r="G8" s="1241">
        <f>+financing!F7</f>
        <v>3600000</v>
      </c>
      <c r="H8" s="1240"/>
      <c r="I8" s="1244">
        <f t="shared" ref="I8:I19" si="0">P8</f>
        <v>46235</v>
      </c>
      <c r="J8" s="1225">
        <f>SUM(Q$8:Q8)</f>
        <v>-777318.5</v>
      </c>
      <c r="K8" s="391">
        <f>SUM(R$8:R8)/$J8</f>
        <v>0.9</v>
      </c>
      <c r="L8" s="391">
        <f>SUM(S$8:S8)/$J8</f>
        <v>0.1</v>
      </c>
      <c r="M8" s="391">
        <f>SUM(T$8:T8)/$J8</f>
        <v>0</v>
      </c>
      <c r="O8" s="1193" t="s">
        <v>5100</v>
      </c>
      <c r="P8" s="1244">
        <f>general!D22</f>
        <v>46235</v>
      </c>
      <c r="Q8" s="1225">
        <f>IF(P8=P7,0,-VLOOKUP(P8,reserves!$D$6:$S$66,MATCH(reserves!$S$5,reserves!$D$5:$BH$5,0),FALSE))</f>
        <v>-777318.5</v>
      </c>
      <c r="R8" s="1264">
        <f>+Q8*$E$8</f>
        <v>-699586.65</v>
      </c>
      <c r="S8" s="1264">
        <f>+Q8*$E$9</f>
        <v>-77731.850000000006</v>
      </c>
      <c r="T8" s="1264">
        <f>+Q8*$E$10</f>
        <v>0</v>
      </c>
      <c r="U8" s="1225"/>
      <c r="V8" s="1225"/>
      <c r="W8" s="1225"/>
      <c r="X8" s="1225"/>
      <c r="Y8" s="1225"/>
      <c r="Z8" s="1225">
        <v>1E-8</v>
      </c>
      <c r="AA8" s="1203">
        <f t="shared" ref="AA8:AA19" si="1">$P8</f>
        <v>46235</v>
      </c>
      <c r="AB8" s="1243">
        <f>AC8+AD8+AE8</f>
        <v>-777318.5</v>
      </c>
      <c r="AC8" s="1213">
        <f t="shared" ref="AC8:AC19" si="2">R8</f>
        <v>-699586.65</v>
      </c>
      <c r="AD8" s="1213">
        <f t="shared" ref="AD8:AD19" si="3">S8</f>
        <v>-77731.850000000006</v>
      </c>
      <c r="AE8" s="1215">
        <f t="shared" ref="AE8:AE19" si="4">T8</f>
        <v>0</v>
      </c>
      <c r="AF8" s="1172"/>
      <c r="AG8" s="1172"/>
      <c r="AH8" s="1172"/>
      <c r="AI8" s="1172"/>
      <c r="AJ8" s="1172"/>
      <c r="AL8" s="1203">
        <f t="shared" ref="AL8:AL19" si="5">$P8</f>
        <v>46235</v>
      </c>
      <c r="AM8" s="1243">
        <f t="shared" ref="AM8:AM19" si="6">Q8</f>
        <v>-777318.5</v>
      </c>
      <c r="AN8" s="1213">
        <f t="shared" ref="AN8:AN19" si="7">R8</f>
        <v>-699586.65</v>
      </c>
      <c r="AO8" s="1213">
        <f t="shared" ref="AO8:AO19" si="8">S8</f>
        <v>-77731.850000000006</v>
      </c>
      <c r="AP8" s="1215">
        <f t="shared" ref="AP8:AP19" si="9">T8</f>
        <v>0</v>
      </c>
      <c r="AQ8" s="1172"/>
      <c r="AR8" s="1172"/>
      <c r="AS8" s="1172"/>
      <c r="AT8" s="1172"/>
      <c r="AU8" s="1172"/>
      <c r="AW8" s="1203">
        <f t="shared" ref="AW8:AW19" si="10">$P8</f>
        <v>46235</v>
      </c>
      <c r="AX8" s="1243">
        <f t="shared" ref="AX8:AX19" si="11">Q8</f>
        <v>-777318.5</v>
      </c>
      <c r="AY8" s="1213">
        <f t="shared" ref="AY8:AY19" si="12">R8</f>
        <v>-699586.65</v>
      </c>
      <c r="AZ8" s="1213">
        <f t="shared" ref="AZ8:AZ19" si="13">S8</f>
        <v>-77731.850000000006</v>
      </c>
      <c r="BA8" s="1215">
        <f t="shared" ref="BA8:BA19" si="14">T8</f>
        <v>0</v>
      </c>
      <c r="BB8" s="1172"/>
      <c r="BC8" s="1172"/>
      <c r="BD8" s="1172"/>
      <c r="BE8" s="1172"/>
      <c r="BF8" s="1172"/>
      <c r="BH8" s="1203">
        <f t="shared" ref="BH8:BH19" si="15">$P8</f>
        <v>46235</v>
      </c>
      <c r="BI8" s="1243">
        <f t="shared" ref="BI8:BI19" si="16">AB8</f>
        <v>-777318.5</v>
      </c>
      <c r="BJ8" s="1213">
        <f t="shared" ref="BJ8:BJ19" si="17">AC8</f>
        <v>-699586.65</v>
      </c>
      <c r="BK8" s="1213">
        <f t="shared" ref="BK8:BK19" si="18">AD8</f>
        <v>-77731.850000000006</v>
      </c>
      <c r="BL8" s="1215">
        <f t="shared" ref="BL8:BL19" si="19">AE8</f>
        <v>0</v>
      </c>
      <c r="BM8" s="1172"/>
      <c r="BN8" s="1172"/>
      <c r="BO8" s="1172"/>
      <c r="BP8" s="1172"/>
      <c r="BQ8" s="1172"/>
      <c r="BS8" s="1203">
        <f t="shared" ref="BS8:BS19" si="20">$P8</f>
        <v>46235</v>
      </c>
      <c r="BT8" s="1243">
        <f t="shared" ref="BT8:BT19" si="21">AM8</f>
        <v>-777318.5</v>
      </c>
      <c r="BU8" s="1213">
        <f t="shared" ref="BU8:BU19" si="22">AN8</f>
        <v>-699586.65</v>
      </c>
      <c r="BV8" s="1213">
        <f t="shared" ref="BV8:BV19" si="23">AO8</f>
        <v>-77731.850000000006</v>
      </c>
      <c r="BW8" s="1215">
        <f t="shared" ref="BW8:BW19" si="24">AP8</f>
        <v>0</v>
      </c>
      <c r="BX8" s="1172"/>
      <c r="BY8" s="1172"/>
      <c r="BZ8" s="1172"/>
      <c r="CA8" s="1172"/>
      <c r="CB8" s="1172"/>
      <c r="CD8" s="1203">
        <f t="shared" ref="CD8:CD19" si="25">$P8</f>
        <v>46235</v>
      </c>
      <c r="CE8" s="1243">
        <f t="shared" ref="CE8:CE19" si="26">AX8</f>
        <v>-777318.5</v>
      </c>
      <c r="CF8" s="1213">
        <f t="shared" ref="CF8:CF19" si="27">AY8</f>
        <v>-699586.65</v>
      </c>
      <c r="CG8" s="1213">
        <f t="shared" ref="CG8:CG19" si="28">AZ8</f>
        <v>-77731.850000000006</v>
      </c>
      <c r="CH8" s="1215">
        <f t="shared" ref="CH8:CH19" si="29">BA8</f>
        <v>0</v>
      </c>
    </row>
    <row r="9" spans="1:86">
      <c r="C9" s="1242" t="str">
        <f>+financing!B8</f>
        <v>OG Group</v>
      </c>
      <c r="D9" s="1242" t="s">
        <v>146</v>
      </c>
      <c r="E9" s="1260">
        <f>+financing!D8</f>
        <v>0.1</v>
      </c>
      <c r="F9" s="1241">
        <f>+financing!E8</f>
        <v>400000</v>
      </c>
      <c r="G9" s="1241">
        <f>+financing!F8</f>
        <v>400000</v>
      </c>
      <c r="H9" s="1240"/>
      <c r="I9" s="1218">
        <f t="shared" si="0"/>
        <v>46295</v>
      </c>
      <c r="J9" s="1195">
        <f>SUM(Q$8:Q9)</f>
        <v>-809054.56043027446</v>
      </c>
      <c r="K9" s="391">
        <f>SUM(R$8:R9)/$J9</f>
        <v>0.9</v>
      </c>
      <c r="L9" s="391">
        <f>SUM(S$8:S9)/$J9</f>
        <v>0.10000000000000002</v>
      </c>
      <c r="M9" s="391">
        <f>SUM(T$8:T9)/$J9</f>
        <v>0</v>
      </c>
      <c r="O9" s="1182" t="str">
        <f>INDEX(reserves!$A$6:$D$126,MATCH(P9,reserves!$D$6:$D$126,0),1)</f>
        <v>Pred</v>
      </c>
      <c r="P9" s="1218">
        <f>EOMONTH(P8,1)</f>
        <v>46295</v>
      </c>
      <c r="Q9" s="1195">
        <f>IF(P9=P8,0,-VLOOKUP(P9,reserves!$D$6:$S$66,MATCH(reserves!$S$5,reserves!$D$5:$BH$5,0),FALSE))</f>
        <v>-31736.060430274469</v>
      </c>
      <c r="R9" s="1265">
        <f t="shared" ref="R9:R38" si="30">+Q9*$E$8</f>
        <v>-28562.454387247024</v>
      </c>
      <c r="S9" s="1265">
        <f t="shared" ref="S9:S38" si="31">+Q9*$E$9</f>
        <v>-3173.606043027447</v>
      </c>
      <c r="T9" s="1265">
        <f t="shared" ref="T9:T38" si="32">+Q9*$E$10</f>
        <v>0</v>
      </c>
      <c r="U9" s="1162"/>
      <c r="V9" s="1162"/>
      <c r="W9" s="1162"/>
      <c r="X9" s="1162"/>
      <c r="Y9" s="1162"/>
      <c r="AA9" s="1203">
        <f t="shared" si="1"/>
        <v>46295</v>
      </c>
      <c r="AB9" s="1217">
        <f t="shared" ref="AB9:AB19" si="33">Q9</f>
        <v>-31736.060430274469</v>
      </c>
      <c r="AC9" s="1202">
        <f t="shared" si="2"/>
        <v>-28562.454387247024</v>
      </c>
      <c r="AD9" s="1202">
        <f t="shared" si="3"/>
        <v>-3173.606043027447</v>
      </c>
      <c r="AE9" s="1172">
        <f t="shared" si="4"/>
        <v>0</v>
      </c>
      <c r="AF9" s="1172"/>
      <c r="AG9" s="1172"/>
      <c r="AH9" s="1172"/>
      <c r="AI9" s="1172"/>
      <c r="AJ9" s="1172"/>
      <c r="AL9" s="1203">
        <f t="shared" si="5"/>
        <v>46295</v>
      </c>
      <c r="AM9" s="1217">
        <f t="shared" si="6"/>
        <v>-31736.060430274469</v>
      </c>
      <c r="AN9" s="1202">
        <f t="shared" si="7"/>
        <v>-28562.454387247024</v>
      </c>
      <c r="AO9" s="1202">
        <f t="shared" si="8"/>
        <v>-3173.606043027447</v>
      </c>
      <c r="AP9" s="1172">
        <f t="shared" si="9"/>
        <v>0</v>
      </c>
      <c r="AQ9" s="1172"/>
      <c r="AR9" s="1172"/>
      <c r="AS9" s="1172"/>
      <c r="AT9" s="1172"/>
      <c r="AU9" s="1172"/>
      <c r="AW9" s="1203">
        <f t="shared" si="10"/>
        <v>46295</v>
      </c>
      <c r="AX9" s="1217">
        <f t="shared" si="11"/>
        <v>-31736.060430274469</v>
      </c>
      <c r="AY9" s="1202">
        <f t="shared" si="12"/>
        <v>-28562.454387247024</v>
      </c>
      <c r="AZ9" s="1202">
        <f t="shared" si="13"/>
        <v>-3173.606043027447</v>
      </c>
      <c r="BA9" s="1172">
        <f t="shared" si="14"/>
        <v>0</v>
      </c>
      <c r="BB9" s="1172"/>
      <c r="BC9" s="1172"/>
      <c r="BD9" s="1172"/>
      <c r="BE9" s="1172"/>
      <c r="BF9" s="1172"/>
      <c r="BH9" s="1203">
        <f t="shared" si="15"/>
        <v>46295</v>
      </c>
      <c r="BI9" s="1217">
        <f t="shared" si="16"/>
        <v>-31736.060430274469</v>
      </c>
      <c r="BJ9" s="1202">
        <f t="shared" si="17"/>
        <v>-28562.454387247024</v>
      </c>
      <c r="BK9" s="1202">
        <f t="shared" si="18"/>
        <v>-3173.606043027447</v>
      </c>
      <c r="BL9" s="1172">
        <f t="shared" si="19"/>
        <v>0</v>
      </c>
      <c r="BM9" s="1172"/>
      <c r="BN9" s="1172"/>
      <c r="BO9" s="1172"/>
      <c r="BP9" s="1172"/>
      <c r="BQ9" s="1172"/>
      <c r="BS9" s="1203">
        <f t="shared" si="20"/>
        <v>46295</v>
      </c>
      <c r="BT9" s="1217">
        <f t="shared" si="21"/>
        <v>-31736.060430274469</v>
      </c>
      <c r="BU9" s="1202">
        <f t="shared" si="22"/>
        <v>-28562.454387247024</v>
      </c>
      <c r="BV9" s="1202">
        <f t="shared" si="23"/>
        <v>-3173.606043027447</v>
      </c>
      <c r="BW9" s="1172">
        <f t="shared" si="24"/>
        <v>0</v>
      </c>
      <c r="BX9" s="1172"/>
      <c r="BY9" s="1172"/>
      <c r="BZ9" s="1172"/>
      <c r="CA9" s="1172"/>
      <c r="CB9" s="1172"/>
      <c r="CD9" s="1203">
        <f t="shared" si="25"/>
        <v>46295</v>
      </c>
      <c r="CE9" s="1217">
        <f t="shared" si="26"/>
        <v>-31736.060430274469</v>
      </c>
      <c r="CF9" s="1202">
        <f t="shared" si="27"/>
        <v>-28562.454387247024</v>
      </c>
      <c r="CG9" s="1202">
        <f t="shared" si="28"/>
        <v>-3173.606043027447</v>
      </c>
      <c r="CH9" s="1172">
        <f t="shared" si="29"/>
        <v>0</v>
      </c>
    </row>
    <row r="10" spans="1:86">
      <c r="C10" s="1242" t="str">
        <f>+financing!B9</f>
        <v>TBD</v>
      </c>
      <c r="D10" s="1242" t="s">
        <v>466</v>
      </c>
      <c r="E10" s="1260">
        <f>+financing!D9</f>
        <v>0</v>
      </c>
      <c r="F10" s="1241">
        <f>+financing!E9</f>
        <v>0</v>
      </c>
      <c r="G10" s="1241">
        <f>+financing!F9</f>
        <v>0</v>
      </c>
      <c r="H10" s="1240"/>
      <c r="I10" s="1218">
        <f t="shared" si="0"/>
        <v>46326</v>
      </c>
      <c r="J10" s="1195">
        <f>SUM(Q$8:Q10)</f>
        <v>-840790.62086054892</v>
      </c>
      <c r="K10" s="391">
        <f>SUM(R$8:R10)/$J10</f>
        <v>0.89999999999999991</v>
      </c>
      <c r="L10" s="391">
        <f>SUM(S$8:S10)/$J10</f>
        <v>0.10000000000000002</v>
      </c>
      <c r="M10" s="391">
        <f>SUM(T$8:T10)/$J10</f>
        <v>0</v>
      </c>
      <c r="O10" s="1182" t="str">
        <f>INDEX(reserves!$A$6:$D$126,MATCH(P10,reserves!$D$6:$D$126,0),1)</f>
        <v>Pred</v>
      </c>
      <c r="P10" s="1218">
        <f t="shared" ref="P10:P19" si="34">EOMONTH(P9,1)</f>
        <v>46326</v>
      </c>
      <c r="Q10" s="1195">
        <f>IF(P10=P9,0,-VLOOKUP(P10,reserves!$D$6:$S$66,MATCH(reserves!$S$5,reserves!$D$5:$BH$5,0),FALSE))</f>
        <v>-31736.060430274469</v>
      </c>
      <c r="R10" s="1265">
        <f t="shared" si="30"/>
        <v>-28562.454387247024</v>
      </c>
      <c r="S10" s="1265">
        <f t="shared" si="31"/>
        <v>-3173.606043027447</v>
      </c>
      <c r="T10" s="1265">
        <f t="shared" si="32"/>
        <v>0</v>
      </c>
      <c r="U10" s="1162"/>
      <c r="V10" s="1162"/>
      <c r="W10" s="1162"/>
      <c r="X10" s="1162"/>
      <c r="Y10" s="1162"/>
      <c r="AA10" s="1203">
        <f t="shared" si="1"/>
        <v>46326</v>
      </c>
      <c r="AB10" s="1217">
        <f t="shared" si="33"/>
        <v>-31736.060430274469</v>
      </c>
      <c r="AC10" s="1202">
        <f t="shared" si="2"/>
        <v>-28562.454387247024</v>
      </c>
      <c r="AD10" s="1202">
        <f t="shared" si="3"/>
        <v>-3173.606043027447</v>
      </c>
      <c r="AE10" s="1172">
        <f t="shared" si="4"/>
        <v>0</v>
      </c>
      <c r="AF10" s="1172"/>
      <c r="AG10" s="1172"/>
      <c r="AH10" s="1172"/>
      <c r="AI10" s="1172"/>
      <c r="AJ10" s="1172"/>
      <c r="AL10" s="1203">
        <f t="shared" si="5"/>
        <v>46326</v>
      </c>
      <c r="AM10" s="1217">
        <f t="shared" si="6"/>
        <v>-31736.060430274469</v>
      </c>
      <c r="AN10" s="1202">
        <f t="shared" si="7"/>
        <v>-28562.454387247024</v>
      </c>
      <c r="AO10" s="1202">
        <f t="shared" si="8"/>
        <v>-3173.606043027447</v>
      </c>
      <c r="AP10" s="1172">
        <f t="shared" si="9"/>
        <v>0</v>
      </c>
      <c r="AQ10" s="1172"/>
      <c r="AR10" s="1172"/>
      <c r="AS10" s="1172"/>
      <c r="AT10" s="1172"/>
      <c r="AU10" s="1172"/>
      <c r="AW10" s="1203">
        <f t="shared" si="10"/>
        <v>46326</v>
      </c>
      <c r="AX10" s="1217">
        <f t="shared" si="11"/>
        <v>-31736.060430274469</v>
      </c>
      <c r="AY10" s="1202">
        <f t="shared" si="12"/>
        <v>-28562.454387247024</v>
      </c>
      <c r="AZ10" s="1202">
        <f t="shared" si="13"/>
        <v>-3173.606043027447</v>
      </c>
      <c r="BA10" s="1172">
        <f t="shared" si="14"/>
        <v>0</v>
      </c>
      <c r="BB10" s="1172"/>
      <c r="BC10" s="1172"/>
      <c r="BD10" s="1172"/>
      <c r="BE10" s="1172"/>
      <c r="BF10" s="1172"/>
      <c r="BH10" s="1203">
        <f t="shared" si="15"/>
        <v>46326</v>
      </c>
      <c r="BI10" s="1217">
        <f t="shared" si="16"/>
        <v>-31736.060430274469</v>
      </c>
      <c r="BJ10" s="1202">
        <f t="shared" si="17"/>
        <v>-28562.454387247024</v>
      </c>
      <c r="BK10" s="1202">
        <f t="shared" si="18"/>
        <v>-3173.606043027447</v>
      </c>
      <c r="BL10" s="1172">
        <f t="shared" si="19"/>
        <v>0</v>
      </c>
      <c r="BM10" s="1172"/>
      <c r="BN10" s="1172"/>
      <c r="BO10" s="1172"/>
      <c r="BP10" s="1172"/>
      <c r="BQ10" s="1172"/>
      <c r="BS10" s="1203">
        <f t="shared" si="20"/>
        <v>46326</v>
      </c>
      <c r="BT10" s="1217">
        <f t="shared" si="21"/>
        <v>-31736.060430274469</v>
      </c>
      <c r="BU10" s="1202">
        <f t="shared" si="22"/>
        <v>-28562.454387247024</v>
      </c>
      <c r="BV10" s="1202">
        <f t="shared" si="23"/>
        <v>-3173.606043027447</v>
      </c>
      <c r="BW10" s="1172">
        <f t="shared" si="24"/>
        <v>0</v>
      </c>
      <c r="BX10" s="1172"/>
      <c r="BY10" s="1172"/>
      <c r="BZ10" s="1172"/>
      <c r="CA10" s="1172"/>
      <c r="CB10" s="1172"/>
      <c r="CD10" s="1203">
        <f t="shared" si="25"/>
        <v>46326</v>
      </c>
      <c r="CE10" s="1217">
        <f t="shared" si="26"/>
        <v>-31736.060430274469</v>
      </c>
      <c r="CF10" s="1202">
        <f t="shared" si="27"/>
        <v>-28562.454387247024</v>
      </c>
      <c r="CG10" s="1202">
        <f t="shared" si="28"/>
        <v>-3173.606043027447</v>
      </c>
      <c r="CH10" s="1172">
        <f t="shared" si="29"/>
        <v>0</v>
      </c>
    </row>
    <row r="11" spans="1:86">
      <c r="C11" s="738"/>
      <c r="D11" s="738"/>
      <c r="E11" s="738"/>
      <c r="F11" s="738"/>
      <c r="G11" s="852"/>
      <c r="H11" s="1240"/>
      <c r="I11" s="1218">
        <f t="shared" si="0"/>
        <v>46356</v>
      </c>
      <c r="J11" s="1195">
        <f>SUM(Q$8:Q11)</f>
        <v>-906574.30033844244</v>
      </c>
      <c r="K11" s="391">
        <f>SUM(R$8:R11)/$J11</f>
        <v>0.89999999999999991</v>
      </c>
      <c r="L11" s="391">
        <f>SUM(S$8:S11)/$J11</f>
        <v>0.10000000000000002</v>
      </c>
      <c r="M11" s="391">
        <f>SUM(T$8:T11)/$J11</f>
        <v>0</v>
      </c>
      <c r="O11" s="1182" t="str">
        <f>INDEX(reserves!$A$6:$D$126,MATCH(P11,reserves!$D$6:$D$126,0),1)</f>
        <v>Pred</v>
      </c>
      <c r="P11" s="1218">
        <f t="shared" si="34"/>
        <v>46356</v>
      </c>
      <c r="Q11" s="1195">
        <f>IF(P11=P10,0,-VLOOKUP(P11,reserves!$D$6:$S$66,MATCH(reserves!$S$5,reserves!$D$5:$BH$5,0),FALSE))</f>
        <v>-65783.679477893515</v>
      </c>
      <c r="R11" s="1265">
        <f t="shared" si="30"/>
        <v>-59205.311530104162</v>
      </c>
      <c r="S11" s="1265">
        <f t="shared" si="31"/>
        <v>-6578.367947789352</v>
      </c>
      <c r="T11" s="1265">
        <f t="shared" si="32"/>
        <v>0</v>
      </c>
      <c r="U11" s="1162"/>
      <c r="V11" s="1162"/>
      <c r="W11" s="1162"/>
      <c r="X11" s="1162"/>
      <c r="Y11" s="1162"/>
      <c r="AA11" s="1203">
        <f t="shared" si="1"/>
        <v>46356</v>
      </c>
      <c r="AB11" s="1217">
        <f t="shared" si="33"/>
        <v>-65783.679477893515</v>
      </c>
      <c r="AC11" s="1202">
        <f t="shared" si="2"/>
        <v>-59205.311530104162</v>
      </c>
      <c r="AD11" s="1202">
        <f t="shared" si="3"/>
        <v>-6578.367947789352</v>
      </c>
      <c r="AE11" s="1172">
        <f t="shared" si="4"/>
        <v>0</v>
      </c>
      <c r="AF11" s="1172"/>
      <c r="AG11" s="1172"/>
      <c r="AH11" s="1172"/>
      <c r="AI11" s="1172"/>
      <c r="AJ11" s="1172"/>
      <c r="AL11" s="1203">
        <f t="shared" si="5"/>
        <v>46356</v>
      </c>
      <c r="AM11" s="1217">
        <f t="shared" si="6"/>
        <v>-65783.679477893515</v>
      </c>
      <c r="AN11" s="1202">
        <f t="shared" si="7"/>
        <v>-59205.311530104162</v>
      </c>
      <c r="AO11" s="1202">
        <f t="shared" si="8"/>
        <v>-6578.367947789352</v>
      </c>
      <c r="AP11" s="1172">
        <f t="shared" si="9"/>
        <v>0</v>
      </c>
      <c r="AQ11" s="1172"/>
      <c r="AR11" s="1172"/>
      <c r="AS11" s="1172"/>
      <c r="AT11" s="1172"/>
      <c r="AU11" s="1172"/>
      <c r="AW11" s="1203">
        <f t="shared" si="10"/>
        <v>46356</v>
      </c>
      <c r="AX11" s="1217">
        <f t="shared" si="11"/>
        <v>-65783.679477893515</v>
      </c>
      <c r="AY11" s="1202">
        <f t="shared" si="12"/>
        <v>-59205.311530104162</v>
      </c>
      <c r="AZ11" s="1202">
        <f t="shared" si="13"/>
        <v>-6578.367947789352</v>
      </c>
      <c r="BA11" s="1172">
        <f t="shared" si="14"/>
        <v>0</v>
      </c>
      <c r="BB11" s="1172"/>
      <c r="BC11" s="1172"/>
      <c r="BD11" s="1172"/>
      <c r="BE11" s="1172"/>
      <c r="BF11" s="1172"/>
      <c r="BH11" s="1203">
        <f t="shared" si="15"/>
        <v>46356</v>
      </c>
      <c r="BI11" s="1217">
        <f t="shared" si="16"/>
        <v>-65783.679477893515</v>
      </c>
      <c r="BJ11" s="1202">
        <f t="shared" si="17"/>
        <v>-59205.311530104162</v>
      </c>
      <c r="BK11" s="1202">
        <f t="shared" si="18"/>
        <v>-6578.367947789352</v>
      </c>
      <c r="BL11" s="1172">
        <f t="shared" si="19"/>
        <v>0</v>
      </c>
      <c r="BM11" s="1172"/>
      <c r="BN11" s="1172"/>
      <c r="BO11" s="1172"/>
      <c r="BP11" s="1172"/>
      <c r="BQ11" s="1172"/>
      <c r="BS11" s="1203">
        <f t="shared" si="20"/>
        <v>46356</v>
      </c>
      <c r="BT11" s="1217">
        <f t="shared" si="21"/>
        <v>-65783.679477893515</v>
      </c>
      <c r="BU11" s="1202">
        <f t="shared" si="22"/>
        <v>-59205.311530104162</v>
      </c>
      <c r="BV11" s="1202">
        <f t="shared" si="23"/>
        <v>-6578.367947789352</v>
      </c>
      <c r="BW11" s="1172">
        <f t="shared" si="24"/>
        <v>0</v>
      </c>
      <c r="BX11" s="1172"/>
      <c r="BY11" s="1172"/>
      <c r="BZ11" s="1172"/>
      <c r="CA11" s="1172"/>
      <c r="CB11" s="1172"/>
      <c r="CD11" s="1203">
        <f t="shared" si="25"/>
        <v>46356</v>
      </c>
      <c r="CE11" s="1217">
        <f t="shared" si="26"/>
        <v>-65783.679477893515</v>
      </c>
      <c r="CF11" s="1202">
        <f t="shared" si="27"/>
        <v>-59205.311530104162</v>
      </c>
      <c r="CG11" s="1202">
        <f t="shared" si="28"/>
        <v>-6578.367947789352</v>
      </c>
      <c r="CH11" s="1172">
        <f t="shared" si="29"/>
        <v>0</v>
      </c>
    </row>
    <row r="12" spans="1:86">
      <c r="C12" s="1235" t="s">
        <v>5094</v>
      </c>
      <c r="D12" s="1234" t="str">
        <f>+C8</f>
        <v>TBD</v>
      </c>
      <c r="E12" s="1234" t="str">
        <f>+C9</f>
        <v>OG Group</v>
      </c>
      <c r="F12" s="1234" t="str">
        <f>+C10</f>
        <v>TBD</v>
      </c>
      <c r="G12" s="1234" t="s">
        <v>148</v>
      </c>
      <c r="H12" s="1240"/>
      <c r="I12" s="1218">
        <f t="shared" si="0"/>
        <v>46387</v>
      </c>
      <c r="J12" s="1195">
        <f>SUM(Q$8:Q12)</f>
        <v>-938310.3607687169</v>
      </c>
      <c r="K12" s="391">
        <f>SUM(R$8:R12)/$J12</f>
        <v>0.89999999999999991</v>
      </c>
      <c r="L12" s="391">
        <f>SUM(S$8:S12)/$J12</f>
        <v>0.10000000000000002</v>
      </c>
      <c r="M12" s="391">
        <f>SUM(T$8:T12)/$J12</f>
        <v>0</v>
      </c>
      <c r="O12" s="1182" t="str">
        <f>INDEX(reserves!$A$6:$D$126,MATCH(P12,reserves!$D$6:$D$126,0),1)</f>
        <v>Pred</v>
      </c>
      <c r="P12" s="1218">
        <f t="shared" si="34"/>
        <v>46387</v>
      </c>
      <c r="Q12" s="1195">
        <f>IF(P12=P11,0,-VLOOKUP(P12,reserves!$D$6:$S$66,MATCH(reserves!$S$5,reserves!$D$5:$BH$5,0),FALSE))</f>
        <v>-31736.060430274469</v>
      </c>
      <c r="R12" s="1265">
        <f t="shared" si="30"/>
        <v>-28562.454387247024</v>
      </c>
      <c r="S12" s="1265">
        <f t="shared" si="31"/>
        <v>-3173.606043027447</v>
      </c>
      <c r="T12" s="1265">
        <f t="shared" si="32"/>
        <v>0</v>
      </c>
      <c r="U12" s="1162"/>
      <c r="V12" s="1162"/>
      <c r="W12" s="1162"/>
      <c r="X12" s="1162"/>
      <c r="Y12" s="1162"/>
      <c r="AA12" s="1203">
        <f t="shared" si="1"/>
        <v>46387</v>
      </c>
      <c r="AB12" s="1217">
        <f t="shared" si="33"/>
        <v>-31736.060430274469</v>
      </c>
      <c r="AC12" s="1202">
        <f t="shared" si="2"/>
        <v>-28562.454387247024</v>
      </c>
      <c r="AD12" s="1202">
        <f t="shared" si="3"/>
        <v>-3173.606043027447</v>
      </c>
      <c r="AE12" s="1172">
        <f t="shared" si="4"/>
        <v>0</v>
      </c>
      <c r="AF12" s="1172"/>
      <c r="AG12" s="1172"/>
      <c r="AH12" s="1172"/>
      <c r="AI12" s="1172"/>
      <c r="AJ12" s="1172"/>
      <c r="AL12" s="1203">
        <f t="shared" si="5"/>
        <v>46387</v>
      </c>
      <c r="AM12" s="1217">
        <f t="shared" si="6"/>
        <v>-31736.060430274469</v>
      </c>
      <c r="AN12" s="1202">
        <f t="shared" si="7"/>
        <v>-28562.454387247024</v>
      </c>
      <c r="AO12" s="1202">
        <f t="shared" si="8"/>
        <v>-3173.606043027447</v>
      </c>
      <c r="AP12" s="1172">
        <f t="shared" si="9"/>
        <v>0</v>
      </c>
      <c r="AQ12" s="1172"/>
      <c r="AR12" s="1172"/>
      <c r="AS12" s="1172"/>
      <c r="AT12" s="1172"/>
      <c r="AU12" s="1172"/>
      <c r="AW12" s="1203">
        <f t="shared" si="10"/>
        <v>46387</v>
      </c>
      <c r="AX12" s="1217">
        <f t="shared" si="11"/>
        <v>-31736.060430274469</v>
      </c>
      <c r="AY12" s="1202">
        <f t="shared" si="12"/>
        <v>-28562.454387247024</v>
      </c>
      <c r="AZ12" s="1202">
        <f t="shared" si="13"/>
        <v>-3173.606043027447</v>
      </c>
      <c r="BA12" s="1172">
        <f t="shared" si="14"/>
        <v>0</v>
      </c>
      <c r="BB12" s="1172"/>
      <c r="BC12" s="1172"/>
      <c r="BD12" s="1172"/>
      <c r="BE12" s="1172"/>
      <c r="BF12" s="1172"/>
      <c r="BH12" s="1203">
        <f t="shared" si="15"/>
        <v>46387</v>
      </c>
      <c r="BI12" s="1217">
        <f t="shared" si="16"/>
        <v>-31736.060430274469</v>
      </c>
      <c r="BJ12" s="1202">
        <f t="shared" si="17"/>
        <v>-28562.454387247024</v>
      </c>
      <c r="BK12" s="1202">
        <f t="shared" si="18"/>
        <v>-3173.606043027447</v>
      </c>
      <c r="BL12" s="1172">
        <f t="shared" si="19"/>
        <v>0</v>
      </c>
      <c r="BM12" s="1172"/>
      <c r="BN12" s="1172"/>
      <c r="BO12" s="1172"/>
      <c r="BP12" s="1172"/>
      <c r="BQ12" s="1172"/>
      <c r="BS12" s="1203">
        <f t="shared" si="20"/>
        <v>46387</v>
      </c>
      <c r="BT12" s="1217">
        <f t="shared" si="21"/>
        <v>-31736.060430274469</v>
      </c>
      <c r="BU12" s="1202">
        <f t="shared" si="22"/>
        <v>-28562.454387247024</v>
      </c>
      <c r="BV12" s="1202">
        <f t="shared" si="23"/>
        <v>-3173.606043027447</v>
      </c>
      <c r="BW12" s="1172">
        <f t="shared" si="24"/>
        <v>0</v>
      </c>
      <c r="BX12" s="1172"/>
      <c r="BY12" s="1172"/>
      <c r="BZ12" s="1172"/>
      <c r="CA12" s="1172"/>
      <c r="CB12" s="1172"/>
      <c r="CD12" s="1203">
        <f t="shared" si="25"/>
        <v>46387</v>
      </c>
      <c r="CE12" s="1217">
        <f t="shared" si="26"/>
        <v>-31736.060430274469</v>
      </c>
      <c r="CF12" s="1202">
        <f t="shared" si="27"/>
        <v>-28562.454387247024</v>
      </c>
      <c r="CG12" s="1202">
        <f t="shared" si="28"/>
        <v>-3173.606043027447</v>
      </c>
      <c r="CH12" s="1172">
        <f t="shared" si="29"/>
        <v>0</v>
      </c>
    </row>
    <row r="13" spans="1:86">
      <c r="C13" s="1238" t="s">
        <v>265</v>
      </c>
      <c r="D13" s="1261">
        <f>IF($E$8=0,0,+financing!C35)</f>
        <v>0.1</v>
      </c>
      <c r="E13" s="1261">
        <f>IF($E$9=0,0,+financing!D35)</f>
        <v>0.1</v>
      </c>
      <c r="F13" s="1261">
        <f>IF($E$10=0,0,+financing!E35)</f>
        <v>0</v>
      </c>
      <c r="G13" s="1261">
        <f>+financing!F35</f>
        <v>0</v>
      </c>
      <c r="H13" s="1239"/>
      <c r="I13" s="1218">
        <f t="shared" si="0"/>
        <v>46418</v>
      </c>
      <c r="J13" s="1195">
        <f>SUM(Q$8:Q13)</f>
        <v>-970046.42119899136</v>
      </c>
      <c r="K13" s="391">
        <f>SUM(R$8:R13)/$J13</f>
        <v>0.89999999999999991</v>
      </c>
      <c r="L13" s="391">
        <f>SUM(S$8:S13)/$J13</f>
        <v>0.10000000000000002</v>
      </c>
      <c r="M13" s="391">
        <f>SUM(T$8:T13)/$J13</f>
        <v>0</v>
      </c>
      <c r="O13" s="1182" t="str">
        <f>INDEX(reserves!$A$6:$D$126,MATCH(P13,reserves!$D$6:$D$126,0),1)</f>
        <v>Pred</v>
      </c>
      <c r="P13" s="1218">
        <f t="shared" si="34"/>
        <v>46418</v>
      </c>
      <c r="Q13" s="1195">
        <f>IF(P13=P12,0,-VLOOKUP(P13,reserves!$D$6:$S$66,MATCH(reserves!$S$5,reserves!$D$5:$BH$5,0),FALSE))</f>
        <v>-31736.060430274469</v>
      </c>
      <c r="R13" s="1265">
        <f t="shared" si="30"/>
        <v>-28562.454387247024</v>
      </c>
      <c r="S13" s="1265">
        <f t="shared" si="31"/>
        <v>-3173.606043027447</v>
      </c>
      <c r="T13" s="1265">
        <f t="shared" si="32"/>
        <v>0</v>
      </c>
      <c r="U13" s="1162"/>
      <c r="V13" s="1162"/>
      <c r="W13" s="1162"/>
      <c r="X13" s="1162"/>
      <c r="Y13" s="1162"/>
      <c r="AA13" s="1203">
        <f t="shared" si="1"/>
        <v>46418</v>
      </c>
      <c r="AB13" s="1217">
        <f t="shared" si="33"/>
        <v>-31736.060430274469</v>
      </c>
      <c r="AC13" s="1202">
        <f t="shared" si="2"/>
        <v>-28562.454387247024</v>
      </c>
      <c r="AD13" s="1202">
        <f t="shared" si="3"/>
        <v>-3173.606043027447</v>
      </c>
      <c r="AE13" s="1172">
        <f t="shared" si="4"/>
        <v>0</v>
      </c>
      <c r="AF13" s="1172"/>
      <c r="AG13" s="1172"/>
      <c r="AH13" s="1172"/>
      <c r="AI13" s="1172"/>
      <c r="AJ13" s="1172"/>
      <c r="AL13" s="1203">
        <f t="shared" si="5"/>
        <v>46418</v>
      </c>
      <c r="AM13" s="1217">
        <f t="shared" si="6"/>
        <v>-31736.060430274469</v>
      </c>
      <c r="AN13" s="1202">
        <f t="shared" si="7"/>
        <v>-28562.454387247024</v>
      </c>
      <c r="AO13" s="1202">
        <f t="shared" si="8"/>
        <v>-3173.606043027447</v>
      </c>
      <c r="AP13" s="1172">
        <f t="shared" si="9"/>
        <v>0</v>
      </c>
      <c r="AQ13" s="1172"/>
      <c r="AR13" s="1172"/>
      <c r="AS13" s="1172"/>
      <c r="AT13" s="1172"/>
      <c r="AU13" s="1172"/>
      <c r="AW13" s="1203">
        <f t="shared" si="10"/>
        <v>46418</v>
      </c>
      <c r="AX13" s="1217">
        <f t="shared" si="11"/>
        <v>-31736.060430274469</v>
      </c>
      <c r="AY13" s="1202">
        <f t="shared" si="12"/>
        <v>-28562.454387247024</v>
      </c>
      <c r="AZ13" s="1202">
        <f t="shared" si="13"/>
        <v>-3173.606043027447</v>
      </c>
      <c r="BA13" s="1172">
        <f t="shared" si="14"/>
        <v>0</v>
      </c>
      <c r="BB13" s="1172"/>
      <c r="BC13" s="1172"/>
      <c r="BD13" s="1172"/>
      <c r="BE13" s="1172"/>
      <c r="BF13" s="1172"/>
      <c r="BH13" s="1203">
        <f t="shared" si="15"/>
        <v>46418</v>
      </c>
      <c r="BI13" s="1217">
        <f t="shared" si="16"/>
        <v>-31736.060430274469</v>
      </c>
      <c r="BJ13" s="1202">
        <f t="shared" si="17"/>
        <v>-28562.454387247024</v>
      </c>
      <c r="BK13" s="1202">
        <f t="shared" si="18"/>
        <v>-3173.606043027447</v>
      </c>
      <c r="BL13" s="1172">
        <f t="shared" si="19"/>
        <v>0</v>
      </c>
      <c r="BM13" s="1172"/>
      <c r="BN13" s="1172"/>
      <c r="BO13" s="1172"/>
      <c r="BP13" s="1172"/>
      <c r="BQ13" s="1172"/>
      <c r="BS13" s="1203">
        <f t="shared" si="20"/>
        <v>46418</v>
      </c>
      <c r="BT13" s="1217">
        <f t="shared" si="21"/>
        <v>-31736.060430274469</v>
      </c>
      <c r="BU13" s="1202">
        <f t="shared" si="22"/>
        <v>-28562.454387247024</v>
      </c>
      <c r="BV13" s="1202">
        <f t="shared" si="23"/>
        <v>-3173.606043027447</v>
      </c>
      <c r="BW13" s="1172">
        <f t="shared" si="24"/>
        <v>0</v>
      </c>
      <c r="BX13" s="1172"/>
      <c r="BY13" s="1172"/>
      <c r="BZ13" s="1172"/>
      <c r="CA13" s="1172"/>
      <c r="CB13" s="1172"/>
      <c r="CD13" s="1203">
        <f t="shared" si="25"/>
        <v>46418</v>
      </c>
      <c r="CE13" s="1217">
        <f t="shared" si="26"/>
        <v>-31736.060430274469</v>
      </c>
      <c r="CF13" s="1202">
        <f t="shared" si="27"/>
        <v>-28562.454387247024</v>
      </c>
      <c r="CG13" s="1202">
        <f t="shared" si="28"/>
        <v>-3173.606043027447</v>
      </c>
      <c r="CH13" s="1172">
        <f t="shared" si="29"/>
        <v>0</v>
      </c>
    </row>
    <row r="14" spans="1:86">
      <c r="C14" s="1238" t="s">
        <v>266</v>
      </c>
      <c r="D14" s="1261">
        <f>+financing!C36</f>
        <v>10</v>
      </c>
      <c r="E14" s="1261">
        <f>+financing!D36</f>
        <v>10</v>
      </c>
      <c r="F14" s="1261">
        <f>IF($E$10=0,0,+financing!E36)</f>
        <v>0</v>
      </c>
      <c r="G14" s="1261">
        <f>+financing!F36</f>
        <v>0.99999990000000005</v>
      </c>
      <c r="H14" s="1239"/>
      <c r="I14" s="1218">
        <f t="shared" si="0"/>
        <v>46446</v>
      </c>
      <c r="J14" s="1195">
        <f>SUM(Q$8:Q14)</f>
        <v>-1001782.4816292658</v>
      </c>
      <c r="K14" s="391">
        <f>SUM(R$8:R14)/$J14</f>
        <v>0.8999999999999998</v>
      </c>
      <c r="L14" s="391">
        <f>SUM(S$8:S14)/$J14</f>
        <v>0.10000000000000003</v>
      </c>
      <c r="M14" s="391">
        <f>SUM(T$8:T14)/$J14</f>
        <v>0</v>
      </c>
      <c r="O14" s="1182" t="str">
        <f>INDEX(reserves!$A$6:$D$126,MATCH(P14,reserves!$D$6:$D$126,0),1)</f>
        <v>Pred</v>
      </c>
      <c r="P14" s="1218">
        <f t="shared" si="34"/>
        <v>46446</v>
      </c>
      <c r="Q14" s="1195">
        <f>IF(P14=P13,0,-VLOOKUP(P14,reserves!$D$6:$S$66,MATCH(reserves!$S$5,reserves!$D$5:$BH$5,0),FALSE))</f>
        <v>-31736.060430274469</v>
      </c>
      <c r="R14" s="1265">
        <f t="shared" si="30"/>
        <v>-28562.454387247024</v>
      </c>
      <c r="S14" s="1265">
        <f t="shared" si="31"/>
        <v>-3173.606043027447</v>
      </c>
      <c r="T14" s="1265">
        <f t="shared" si="32"/>
        <v>0</v>
      </c>
      <c r="U14" s="1162"/>
      <c r="V14" s="1162"/>
      <c r="W14" s="1162"/>
      <c r="X14" s="1162"/>
      <c r="Y14" s="1162"/>
      <c r="AA14" s="1203">
        <f t="shared" si="1"/>
        <v>46446</v>
      </c>
      <c r="AB14" s="1217">
        <f t="shared" si="33"/>
        <v>-31736.060430274469</v>
      </c>
      <c r="AC14" s="1202">
        <f t="shared" si="2"/>
        <v>-28562.454387247024</v>
      </c>
      <c r="AD14" s="1202">
        <f t="shared" si="3"/>
        <v>-3173.606043027447</v>
      </c>
      <c r="AE14" s="1172">
        <f t="shared" si="4"/>
        <v>0</v>
      </c>
      <c r="AF14" s="1172"/>
      <c r="AG14" s="1172"/>
      <c r="AH14" s="1172"/>
      <c r="AI14" s="1172"/>
      <c r="AJ14" s="1172"/>
      <c r="AL14" s="1203">
        <f t="shared" si="5"/>
        <v>46446</v>
      </c>
      <c r="AM14" s="1217">
        <f t="shared" si="6"/>
        <v>-31736.060430274469</v>
      </c>
      <c r="AN14" s="1202">
        <f t="shared" si="7"/>
        <v>-28562.454387247024</v>
      </c>
      <c r="AO14" s="1202">
        <f t="shared" si="8"/>
        <v>-3173.606043027447</v>
      </c>
      <c r="AP14" s="1172">
        <f t="shared" si="9"/>
        <v>0</v>
      </c>
      <c r="AQ14" s="1172"/>
      <c r="AR14" s="1172"/>
      <c r="AS14" s="1172"/>
      <c r="AT14" s="1172"/>
      <c r="AU14" s="1172"/>
      <c r="AW14" s="1203">
        <f t="shared" si="10"/>
        <v>46446</v>
      </c>
      <c r="AX14" s="1217">
        <f t="shared" si="11"/>
        <v>-31736.060430274469</v>
      </c>
      <c r="AY14" s="1202">
        <f t="shared" si="12"/>
        <v>-28562.454387247024</v>
      </c>
      <c r="AZ14" s="1202">
        <f t="shared" si="13"/>
        <v>-3173.606043027447</v>
      </c>
      <c r="BA14" s="1172">
        <f t="shared" si="14"/>
        <v>0</v>
      </c>
      <c r="BB14" s="1172"/>
      <c r="BC14" s="1172"/>
      <c r="BD14" s="1172"/>
      <c r="BE14" s="1172"/>
      <c r="BF14" s="1172"/>
      <c r="BH14" s="1203">
        <f t="shared" si="15"/>
        <v>46446</v>
      </c>
      <c r="BI14" s="1217">
        <f t="shared" si="16"/>
        <v>-31736.060430274469</v>
      </c>
      <c r="BJ14" s="1202">
        <f t="shared" si="17"/>
        <v>-28562.454387247024</v>
      </c>
      <c r="BK14" s="1202">
        <f t="shared" si="18"/>
        <v>-3173.606043027447</v>
      </c>
      <c r="BL14" s="1172">
        <f t="shared" si="19"/>
        <v>0</v>
      </c>
      <c r="BM14" s="1172"/>
      <c r="BN14" s="1172"/>
      <c r="BO14" s="1172"/>
      <c r="BP14" s="1172"/>
      <c r="BQ14" s="1172"/>
      <c r="BS14" s="1203">
        <f t="shared" si="20"/>
        <v>46446</v>
      </c>
      <c r="BT14" s="1217">
        <f t="shared" si="21"/>
        <v>-31736.060430274469</v>
      </c>
      <c r="BU14" s="1202">
        <f t="shared" si="22"/>
        <v>-28562.454387247024</v>
      </c>
      <c r="BV14" s="1202">
        <f t="shared" si="23"/>
        <v>-3173.606043027447</v>
      </c>
      <c r="BW14" s="1172">
        <f t="shared" si="24"/>
        <v>0</v>
      </c>
      <c r="BX14" s="1172"/>
      <c r="BY14" s="1172"/>
      <c r="BZ14" s="1172"/>
      <c r="CA14" s="1172"/>
      <c r="CB14" s="1172"/>
      <c r="CD14" s="1203">
        <f t="shared" si="25"/>
        <v>46446</v>
      </c>
      <c r="CE14" s="1217">
        <f t="shared" si="26"/>
        <v>-31736.060430274469</v>
      </c>
      <c r="CF14" s="1202">
        <f t="shared" si="27"/>
        <v>-28562.454387247024</v>
      </c>
      <c r="CG14" s="1202">
        <f t="shared" si="28"/>
        <v>-3173.606043027447</v>
      </c>
      <c r="CH14" s="1172">
        <f t="shared" si="29"/>
        <v>0</v>
      </c>
    </row>
    <row r="15" spans="1:86">
      <c r="C15" s="1238" t="s">
        <v>267</v>
      </c>
      <c r="D15" s="1261">
        <f>+financing!C37</f>
        <v>0</v>
      </c>
      <c r="E15" s="1261">
        <f>+financing!D37</f>
        <v>0</v>
      </c>
      <c r="F15" s="1261">
        <f>IF($E$10=0,0,+financing!E37)</f>
        <v>0</v>
      </c>
      <c r="G15" s="1261">
        <f>+financing!F37</f>
        <v>0</v>
      </c>
      <c r="H15" s="1236"/>
      <c r="I15" s="1218">
        <f t="shared" si="0"/>
        <v>46477</v>
      </c>
      <c r="J15" s="1195">
        <f>SUM(Q$8:Q15)</f>
        <v>-1033518.5420595403</v>
      </c>
      <c r="K15" s="391">
        <f>SUM(R$8:R15)/$J15</f>
        <v>0.8999999999999998</v>
      </c>
      <c r="L15" s="391">
        <f>SUM(S$8:S15)/$J15</f>
        <v>0.10000000000000003</v>
      </c>
      <c r="M15" s="391">
        <f>SUM(T$8:T15)/$J15</f>
        <v>0</v>
      </c>
      <c r="O15" s="1182" t="str">
        <f>INDEX(reserves!$A$6:$D$126,MATCH(P15,reserves!$D$6:$D$126,0),1)</f>
        <v>Pred</v>
      </c>
      <c r="P15" s="1218">
        <f t="shared" si="34"/>
        <v>46477</v>
      </c>
      <c r="Q15" s="1195">
        <f>IF(P15=P14,0,-VLOOKUP(P15,reserves!$D$6:$S$66,MATCH(reserves!$S$5,reserves!$D$5:$BH$5,0),FALSE))</f>
        <v>-31736.060430274469</v>
      </c>
      <c r="R15" s="1265">
        <f t="shared" si="30"/>
        <v>-28562.454387247024</v>
      </c>
      <c r="S15" s="1265">
        <f t="shared" si="31"/>
        <v>-3173.606043027447</v>
      </c>
      <c r="T15" s="1265">
        <f t="shared" si="32"/>
        <v>0</v>
      </c>
      <c r="U15" s="1162"/>
      <c r="V15" s="1162"/>
      <c r="W15" s="1162"/>
      <c r="X15" s="1162"/>
      <c r="Y15" s="1162"/>
      <c r="AA15" s="1203">
        <f t="shared" si="1"/>
        <v>46477</v>
      </c>
      <c r="AB15" s="1217">
        <f t="shared" si="33"/>
        <v>-31736.060430274469</v>
      </c>
      <c r="AC15" s="1202">
        <f t="shared" si="2"/>
        <v>-28562.454387247024</v>
      </c>
      <c r="AD15" s="1202">
        <f t="shared" si="3"/>
        <v>-3173.606043027447</v>
      </c>
      <c r="AE15" s="1172">
        <f t="shared" si="4"/>
        <v>0</v>
      </c>
      <c r="AF15" s="1172"/>
      <c r="AG15" s="1172"/>
      <c r="AH15" s="1172"/>
      <c r="AI15" s="1172"/>
      <c r="AJ15" s="1172"/>
      <c r="AL15" s="1203">
        <f t="shared" si="5"/>
        <v>46477</v>
      </c>
      <c r="AM15" s="1217">
        <f t="shared" si="6"/>
        <v>-31736.060430274469</v>
      </c>
      <c r="AN15" s="1202">
        <f t="shared" si="7"/>
        <v>-28562.454387247024</v>
      </c>
      <c r="AO15" s="1202">
        <f t="shared" si="8"/>
        <v>-3173.606043027447</v>
      </c>
      <c r="AP15" s="1172">
        <f t="shared" si="9"/>
        <v>0</v>
      </c>
      <c r="AQ15" s="1172"/>
      <c r="AR15" s="1172"/>
      <c r="AS15" s="1172"/>
      <c r="AT15" s="1172"/>
      <c r="AU15" s="1172"/>
      <c r="AW15" s="1203">
        <f t="shared" si="10"/>
        <v>46477</v>
      </c>
      <c r="AX15" s="1217">
        <f t="shared" si="11"/>
        <v>-31736.060430274469</v>
      </c>
      <c r="AY15" s="1202">
        <f t="shared" si="12"/>
        <v>-28562.454387247024</v>
      </c>
      <c r="AZ15" s="1202">
        <f t="shared" si="13"/>
        <v>-3173.606043027447</v>
      </c>
      <c r="BA15" s="1172">
        <f t="shared" si="14"/>
        <v>0</v>
      </c>
      <c r="BB15" s="1172"/>
      <c r="BC15" s="1172"/>
      <c r="BD15" s="1172"/>
      <c r="BE15" s="1172"/>
      <c r="BF15" s="1172"/>
      <c r="BH15" s="1203">
        <f t="shared" si="15"/>
        <v>46477</v>
      </c>
      <c r="BI15" s="1217">
        <f t="shared" si="16"/>
        <v>-31736.060430274469</v>
      </c>
      <c r="BJ15" s="1202">
        <f t="shared" si="17"/>
        <v>-28562.454387247024</v>
      </c>
      <c r="BK15" s="1202">
        <f t="shared" si="18"/>
        <v>-3173.606043027447</v>
      </c>
      <c r="BL15" s="1172">
        <f t="shared" si="19"/>
        <v>0</v>
      </c>
      <c r="BM15" s="1172"/>
      <c r="BN15" s="1172"/>
      <c r="BO15" s="1172"/>
      <c r="BP15" s="1172"/>
      <c r="BQ15" s="1172"/>
      <c r="BS15" s="1203">
        <f t="shared" si="20"/>
        <v>46477</v>
      </c>
      <c r="BT15" s="1217">
        <f t="shared" si="21"/>
        <v>-31736.060430274469</v>
      </c>
      <c r="BU15" s="1202">
        <f t="shared" si="22"/>
        <v>-28562.454387247024</v>
      </c>
      <c r="BV15" s="1202">
        <f t="shared" si="23"/>
        <v>-3173.606043027447</v>
      </c>
      <c r="BW15" s="1172">
        <f t="shared" si="24"/>
        <v>0</v>
      </c>
      <c r="BX15" s="1172"/>
      <c r="BY15" s="1172"/>
      <c r="BZ15" s="1172"/>
      <c r="CA15" s="1172"/>
      <c r="CB15" s="1172"/>
      <c r="CD15" s="1203">
        <f t="shared" si="25"/>
        <v>46477</v>
      </c>
      <c r="CE15" s="1217">
        <f t="shared" si="26"/>
        <v>-31736.060430274469</v>
      </c>
      <c r="CF15" s="1202">
        <f t="shared" si="27"/>
        <v>-28562.454387247024</v>
      </c>
      <c r="CG15" s="1202">
        <f t="shared" si="28"/>
        <v>-3173.606043027447</v>
      </c>
      <c r="CH15" s="1172">
        <f t="shared" si="29"/>
        <v>0</v>
      </c>
    </row>
    <row r="16" spans="1:86">
      <c r="B16" s="1191"/>
      <c r="C16" s="1238" t="s">
        <v>447</v>
      </c>
      <c r="D16" s="1261">
        <f>+financing!C38</f>
        <v>0</v>
      </c>
      <c r="E16" s="1261">
        <f>+financing!D38</f>
        <v>0</v>
      </c>
      <c r="F16" s="1261">
        <f>IF($E$10=0,0,+financing!E38)</f>
        <v>0</v>
      </c>
      <c r="G16" s="1261">
        <f>+financing!F38</f>
        <v>0</v>
      </c>
      <c r="I16" s="1218">
        <f t="shared" si="0"/>
        <v>46507</v>
      </c>
      <c r="J16" s="1195">
        <f>SUM(Q$8:Q16)</f>
        <v>-1065254.6024898149</v>
      </c>
      <c r="K16" s="391">
        <f>SUM(R$8:R16)/$J16</f>
        <v>0.89999999999999969</v>
      </c>
      <c r="L16" s="391">
        <f>SUM(S$8:S16)/$J16</f>
        <v>0.10000000000000003</v>
      </c>
      <c r="M16" s="391">
        <f>SUM(T$8:T16)/$J16</f>
        <v>0</v>
      </c>
      <c r="O16" s="1182" t="str">
        <f>INDEX(reserves!$A$6:$D$126,MATCH(P16,reserves!$D$6:$D$126,0),1)</f>
        <v>Pred</v>
      </c>
      <c r="P16" s="1218">
        <f t="shared" si="34"/>
        <v>46507</v>
      </c>
      <c r="Q16" s="1195">
        <f>IF(P16=P15,0,-VLOOKUP(P16,reserves!$D$6:$S$66,MATCH(reserves!$S$5,reserves!$D$5:$BH$5,0),FALSE))</f>
        <v>-31736.060430274469</v>
      </c>
      <c r="R16" s="1265">
        <f t="shared" si="30"/>
        <v>-28562.454387247024</v>
      </c>
      <c r="S16" s="1265">
        <f t="shared" si="31"/>
        <v>-3173.606043027447</v>
      </c>
      <c r="T16" s="1265">
        <f t="shared" si="32"/>
        <v>0</v>
      </c>
      <c r="U16" s="1162"/>
      <c r="V16" s="1162"/>
      <c r="W16" s="1162"/>
      <c r="X16" s="1162"/>
      <c r="Y16" s="1162"/>
      <c r="AA16" s="1203">
        <f t="shared" si="1"/>
        <v>46507</v>
      </c>
      <c r="AB16" s="1217">
        <f t="shared" si="33"/>
        <v>-31736.060430274469</v>
      </c>
      <c r="AC16" s="1202">
        <f t="shared" si="2"/>
        <v>-28562.454387247024</v>
      </c>
      <c r="AD16" s="1202">
        <f t="shared" si="3"/>
        <v>-3173.606043027447</v>
      </c>
      <c r="AE16" s="1172">
        <f t="shared" si="4"/>
        <v>0</v>
      </c>
      <c r="AF16" s="1172"/>
      <c r="AG16" s="1172"/>
      <c r="AH16" s="1172"/>
      <c r="AI16" s="1172"/>
      <c r="AJ16" s="1172"/>
      <c r="AL16" s="1203">
        <f t="shared" si="5"/>
        <v>46507</v>
      </c>
      <c r="AM16" s="1217">
        <f t="shared" si="6"/>
        <v>-31736.060430274469</v>
      </c>
      <c r="AN16" s="1202">
        <f t="shared" si="7"/>
        <v>-28562.454387247024</v>
      </c>
      <c r="AO16" s="1202">
        <f t="shared" si="8"/>
        <v>-3173.606043027447</v>
      </c>
      <c r="AP16" s="1172">
        <f t="shared" si="9"/>
        <v>0</v>
      </c>
      <c r="AQ16" s="1172"/>
      <c r="AR16" s="1172"/>
      <c r="AS16" s="1172"/>
      <c r="AT16" s="1172"/>
      <c r="AU16" s="1172"/>
      <c r="AW16" s="1203">
        <f t="shared" si="10"/>
        <v>46507</v>
      </c>
      <c r="AX16" s="1217">
        <f t="shared" si="11"/>
        <v>-31736.060430274469</v>
      </c>
      <c r="AY16" s="1202">
        <f t="shared" si="12"/>
        <v>-28562.454387247024</v>
      </c>
      <c r="AZ16" s="1202">
        <f t="shared" si="13"/>
        <v>-3173.606043027447</v>
      </c>
      <c r="BA16" s="1172">
        <f t="shared" si="14"/>
        <v>0</v>
      </c>
      <c r="BB16" s="1172"/>
      <c r="BC16" s="1172"/>
      <c r="BD16" s="1172"/>
      <c r="BE16" s="1172"/>
      <c r="BF16" s="1172"/>
      <c r="BH16" s="1203">
        <f t="shared" si="15"/>
        <v>46507</v>
      </c>
      <c r="BI16" s="1217">
        <f t="shared" si="16"/>
        <v>-31736.060430274469</v>
      </c>
      <c r="BJ16" s="1202">
        <f t="shared" si="17"/>
        <v>-28562.454387247024</v>
      </c>
      <c r="BK16" s="1202">
        <f t="shared" si="18"/>
        <v>-3173.606043027447</v>
      </c>
      <c r="BL16" s="1172">
        <f t="shared" si="19"/>
        <v>0</v>
      </c>
      <c r="BM16" s="1172"/>
      <c r="BN16" s="1172"/>
      <c r="BO16" s="1172"/>
      <c r="BP16" s="1172"/>
      <c r="BQ16" s="1172"/>
      <c r="BS16" s="1203">
        <f t="shared" si="20"/>
        <v>46507</v>
      </c>
      <c r="BT16" s="1217">
        <f t="shared" si="21"/>
        <v>-31736.060430274469</v>
      </c>
      <c r="BU16" s="1202">
        <f t="shared" si="22"/>
        <v>-28562.454387247024</v>
      </c>
      <c r="BV16" s="1202">
        <f t="shared" si="23"/>
        <v>-3173.606043027447</v>
      </c>
      <c r="BW16" s="1172">
        <f t="shared" si="24"/>
        <v>0</v>
      </c>
      <c r="BX16" s="1172"/>
      <c r="BY16" s="1172"/>
      <c r="BZ16" s="1172"/>
      <c r="CA16" s="1172"/>
      <c r="CB16" s="1172"/>
      <c r="CD16" s="1203">
        <f t="shared" si="25"/>
        <v>46507</v>
      </c>
      <c r="CE16" s="1217">
        <f t="shared" si="26"/>
        <v>-31736.060430274469</v>
      </c>
      <c r="CF16" s="1202">
        <f t="shared" si="27"/>
        <v>-28562.454387247024</v>
      </c>
      <c r="CG16" s="1202">
        <f t="shared" si="28"/>
        <v>-3173.606043027447</v>
      </c>
      <c r="CH16" s="1172">
        <f t="shared" si="29"/>
        <v>0</v>
      </c>
    </row>
    <row r="17" spans="3:86">
      <c r="C17" s="1238" t="s">
        <v>448</v>
      </c>
      <c r="D17" s="1261">
        <f>+financing!C39</f>
        <v>0</v>
      </c>
      <c r="E17" s="1261">
        <f>+financing!D39</f>
        <v>0</v>
      </c>
      <c r="F17" s="1261">
        <f>IF($E$10=0,0,+financing!E39)</f>
        <v>0</v>
      </c>
      <c r="G17" s="1261">
        <f>+financing!F39</f>
        <v>0</v>
      </c>
      <c r="H17" s="1187"/>
      <c r="I17" s="1218">
        <f t="shared" si="0"/>
        <v>46538</v>
      </c>
      <c r="J17" s="1195">
        <f>SUM(Q$8:Q17)</f>
        <v>-1096990.6629200894</v>
      </c>
      <c r="K17" s="391">
        <f>SUM(R$8:R17)/$J17</f>
        <v>0.89999999999999958</v>
      </c>
      <c r="L17" s="391">
        <f>SUM(S$8:S17)/$J17</f>
        <v>0.10000000000000002</v>
      </c>
      <c r="M17" s="391">
        <f>SUM(T$8:T17)/$J17</f>
        <v>0</v>
      </c>
      <c r="O17" s="1182" t="str">
        <f>INDEX(reserves!$A$6:$D$126,MATCH(P17,reserves!$D$6:$D$126,0),1)</f>
        <v>Pred</v>
      </c>
      <c r="P17" s="1218">
        <f t="shared" si="34"/>
        <v>46538</v>
      </c>
      <c r="Q17" s="1195">
        <f>IF(P17=P16,0,-VLOOKUP(P17,reserves!$D$6:$S$66,MATCH(reserves!$S$5,reserves!$D$5:$BH$5,0),FALSE))</f>
        <v>-31736.060430274469</v>
      </c>
      <c r="R17" s="1265">
        <f t="shared" si="30"/>
        <v>-28562.454387247024</v>
      </c>
      <c r="S17" s="1265">
        <f t="shared" si="31"/>
        <v>-3173.606043027447</v>
      </c>
      <c r="T17" s="1265">
        <f t="shared" si="32"/>
        <v>0</v>
      </c>
      <c r="U17" s="1162"/>
      <c r="V17" s="1162"/>
      <c r="W17" s="1162"/>
      <c r="X17" s="1162"/>
      <c r="Y17" s="1162"/>
      <c r="AA17" s="1203">
        <f t="shared" si="1"/>
        <v>46538</v>
      </c>
      <c r="AB17" s="1217">
        <f t="shared" si="33"/>
        <v>-31736.060430274469</v>
      </c>
      <c r="AC17" s="1202">
        <f t="shared" si="2"/>
        <v>-28562.454387247024</v>
      </c>
      <c r="AD17" s="1202">
        <f t="shared" si="3"/>
        <v>-3173.606043027447</v>
      </c>
      <c r="AE17" s="1172">
        <f t="shared" si="4"/>
        <v>0</v>
      </c>
      <c r="AF17" s="1172"/>
      <c r="AG17" s="1172"/>
      <c r="AH17" s="1172"/>
      <c r="AI17" s="1172"/>
      <c r="AJ17" s="1172"/>
      <c r="AL17" s="1203">
        <f t="shared" si="5"/>
        <v>46538</v>
      </c>
      <c r="AM17" s="1217">
        <f t="shared" si="6"/>
        <v>-31736.060430274469</v>
      </c>
      <c r="AN17" s="1202">
        <f t="shared" si="7"/>
        <v>-28562.454387247024</v>
      </c>
      <c r="AO17" s="1202">
        <f t="shared" si="8"/>
        <v>-3173.606043027447</v>
      </c>
      <c r="AP17" s="1172">
        <f t="shared" si="9"/>
        <v>0</v>
      </c>
      <c r="AQ17" s="1172"/>
      <c r="AR17" s="1172"/>
      <c r="AS17" s="1172"/>
      <c r="AT17" s="1172"/>
      <c r="AU17" s="1172"/>
      <c r="AW17" s="1203">
        <f t="shared" si="10"/>
        <v>46538</v>
      </c>
      <c r="AX17" s="1217">
        <f t="shared" si="11"/>
        <v>-31736.060430274469</v>
      </c>
      <c r="AY17" s="1202">
        <f t="shared" si="12"/>
        <v>-28562.454387247024</v>
      </c>
      <c r="AZ17" s="1202">
        <f t="shared" si="13"/>
        <v>-3173.606043027447</v>
      </c>
      <c r="BA17" s="1172">
        <f t="shared" si="14"/>
        <v>0</v>
      </c>
      <c r="BB17" s="1172"/>
      <c r="BC17" s="1172"/>
      <c r="BD17" s="1172"/>
      <c r="BE17" s="1172"/>
      <c r="BF17" s="1172"/>
      <c r="BH17" s="1203">
        <f t="shared" si="15"/>
        <v>46538</v>
      </c>
      <c r="BI17" s="1217">
        <f t="shared" si="16"/>
        <v>-31736.060430274469</v>
      </c>
      <c r="BJ17" s="1202">
        <f t="shared" si="17"/>
        <v>-28562.454387247024</v>
      </c>
      <c r="BK17" s="1202">
        <f t="shared" si="18"/>
        <v>-3173.606043027447</v>
      </c>
      <c r="BL17" s="1172">
        <f t="shared" si="19"/>
        <v>0</v>
      </c>
      <c r="BM17" s="1172"/>
      <c r="BN17" s="1172"/>
      <c r="BO17" s="1172"/>
      <c r="BP17" s="1172"/>
      <c r="BQ17" s="1172"/>
      <c r="BS17" s="1203">
        <f t="shared" si="20"/>
        <v>46538</v>
      </c>
      <c r="BT17" s="1217">
        <f t="shared" si="21"/>
        <v>-31736.060430274469</v>
      </c>
      <c r="BU17" s="1202">
        <f t="shared" si="22"/>
        <v>-28562.454387247024</v>
      </c>
      <c r="BV17" s="1202">
        <f t="shared" si="23"/>
        <v>-3173.606043027447</v>
      </c>
      <c r="BW17" s="1172">
        <f t="shared" si="24"/>
        <v>0</v>
      </c>
      <c r="BX17" s="1172"/>
      <c r="BY17" s="1172"/>
      <c r="BZ17" s="1172"/>
      <c r="CA17" s="1172"/>
      <c r="CB17" s="1172"/>
      <c r="CD17" s="1203">
        <f t="shared" si="25"/>
        <v>46538</v>
      </c>
      <c r="CE17" s="1217">
        <f t="shared" si="26"/>
        <v>-31736.060430274469</v>
      </c>
      <c r="CF17" s="1202">
        <f t="shared" si="27"/>
        <v>-28562.454387247024</v>
      </c>
      <c r="CG17" s="1202">
        <f t="shared" si="28"/>
        <v>-3173.606043027447</v>
      </c>
      <c r="CH17" s="1172">
        <f t="shared" si="29"/>
        <v>0</v>
      </c>
    </row>
    <row r="18" spans="3:86">
      <c r="C18" s="1238" t="s">
        <v>449</v>
      </c>
      <c r="D18" s="1262">
        <f>+financing!C40</f>
        <v>0</v>
      </c>
      <c r="E18" s="1262">
        <f>+financing!D40</f>
        <v>0</v>
      </c>
      <c r="F18" s="1262">
        <f>IF($E$10=0,0,+financing!E40)</f>
        <v>0</v>
      </c>
      <c r="G18" s="1262">
        <f>+financing!F40</f>
        <v>0</v>
      </c>
      <c r="H18" s="1236"/>
      <c r="I18" s="1218">
        <f t="shared" si="0"/>
        <v>46568</v>
      </c>
      <c r="J18" s="1195">
        <f>SUM(Q$8:Q18)</f>
        <v>-1128726.723350364</v>
      </c>
      <c r="K18" s="391">
        <f>SUM(R$8:R18)/$J18</f>
        <v>0.89999999999999947</v>
      </c>
      <c r="L18" s="391">
        <f>SUM(S$8:S18)/$J18</f>
        <v>0.10000000000000002</v>
      </c>
      <c r="M18" s="391">
        <f>SUM(T$8:T18)/$J18</f>
        <v>0</v>
      </c>
      <c r="N18" s="1172"/>
      <c r="O18" s="1182" t="str">
        <f>INDEX(reserves!$A$6:$D$126,MATCH(P18,reserves!$D$6:$D$126,0),1)</f>
        <v>Pred</v>
      </c>
      <c r="P18" s="1218">
        <f t="shared" si="34"/>
        <v>46568</v>
      </c>
      <c r="Q18" s="1195">
        <f>IF(P18=P17,0,-VLOOKUP(P18,reserves!$D$6:$S$66,MATCH(reserves!$S$5,reserves!$D$5:$BH$5,0),FALSE))</f>
        <v>-31736.060430274469</v>
      </c>
      <c r="R18" s="1265">
        <f t="shared" si="30"/>
        <v>-28562.454387247024</v>
      </c>
      <c r="S18" s="1265">
        <f t="shared" si="31"/>
        <v>-3173.606043027447</v>
      </c>
      <c r="T18" s="1265">
        <f t="shared" si="32"/>
        <v>0</v>
      </c>
      <c r="U18" s="1162"/>
      <c r="V18" s="1162"/>
      <c r="W18" s="1162"/>
      <c r="X18" s="1162"/>
      <c r="Y18" s="1162"/>
      <c r="AA18" s="1203">
        <f t="shared" si="1"/>
        <v>46568</v>
      </c>
      <c r="AB18" s="1217">
        <f t="shared" si="33"/>
        <v>-31736.060430274469</v>
      </c>
      <c r="AC18" s="1202">
        <f t="shared" si="2"/>
        <v>-28562.454387247024</v>
      </c>
      <c r="AD18" s="1202">
        <f t="shared" si="3"/>
        <v>-3173.606043027447</v>
      </c>
      <c r="AE18" s="1172">
        <f t="shared" si="4"/>
        <v>0</v>
      </c>
      <c r="AF18" s="1172"/>
      <c r="AG18" s="1172"/>
      <c r="AH18" s="1172"/>
      <c r="AI18" s="1172"/>
      <c r="AJ18" s="1172"/>
      <c r="AL18" s="1203">
        <f t="shared" si="5"/>
        <v>46568</v>
      </c>
      <c r="AM18" s="1217">
        <f t="shared" si="6"/>
        <v>-31736.060430274469</v>
      </c>
      <c r="AN18" s="1202">
        <f t="shared" si="7"/>
        <v>-28562.454387247024</v>
      </c>
      <c r="AO18" s="1202">
        <f t="shared" si="8"/>
        <v>-3173.606043027447</v>
      </c>
      <c r="AP18" s="1172">
        <f t="shared" si="9"/>
        <v>0</v>
      </c>
      <c r="AQ18" s="1172"/>
      <c r="AR18" s="1172"/>
      <c r="AS18" s="1172"/>
      <c r="AT18" s="1172"/>
      <c r="AU18" s="1172"/>
      <c r="AW18" s="1203">
        <f t="shared" si="10"/>
        <v>46568</v>
      </c>
      <c r="AX18" s="1217">
        <f t="shared" si="11"/>
        <v>-31736.060430274469</v>
      </c>
      <c r="AY18" s="1202">
        <f t="shared" si="12"/>
        <v>-28562.454387247024</v>
      </c>
      <c r="AZ18" s="1202">
        <f t="shared" si="13"/>
        <v>-3173.606043027447</v>
      </c>
      <c r="BA18" s="1172">
        <f t="shared" si="14"/>
        <v>0</v>
      </c>
      <c r="BB18" s="1172"/>
      <c r="BC18" s="1172"/>
      <c r="BD18" s="1172"/>
      <c r="BE18" s="1172"/>
      <c r="BF18" s="1172"/>
      <c r="BH18" s="1203">
        <f t="shared" si="15"/>
        <v>46568</v>
      </c>
      <c r="BI18" s="1217">
        <f t="shared" si="16"/>
        <v>-31736.060430274469</v>
      </c>
      <c r="BJ18" s="1202">
        <f t="shared" si="17"/>
        <v>-28562.454387247024</v>
      </c>
      <c r="BK18" s="1202">
        <f t="shared" si="18"/>
        <v>-3173.606043027447</v>
      </c>
      <c r="BL18" s="1172">
        <f t="shared" si="19"/>
        <v>0</v>
      </c>
      <c r="BM18" s="1172"/>
      <c r="BN18" s="1172"/>
      <c r="BO18" s="1172"/>
      <c r="BP18" s="1172"/>
      <c r="BQ18" s="1172"/>
      <c r="BS18" s="1203">
        <f t="shared" si="20"/>
        <v>46568</v>
      </c>
      <c r="BT18" s="1217">
        <f t="shared" si="21"/>
        <v>-31736.060430274469</v>
      </c>
      <c r="BU18" s="1202">
        <f t="shared" si="22"/>
        <v>-28562.454387247024</v>
      </c>
      <c r="BV18" s="1202">
        <f t="shared" si="23"/>
        <v>-3173.606043027447</v>
      </c>
      <c r="BW18" s="1172">
        <f t="shared" si="24"/>
        <v>0</v>
      </c>
      <c r="BX18" s="1172"/>
      <c r="BY18" s="1172"/>
      <c r="BZ18" s="1172"/>
      <c r="CA18" s="1172"/>
      <c r="CB18" s="1172"/>
      <c r="CD18" s="1203">
        <f t="shared" si="25"/>
        <v>46568</v>
      </c>
      <c r="CE18" s="1217">
        <f t="shared" si="26"/>
        <v>-31736.060430274469</v>
      </c>
      <c r="CF18" s="1202">
        <f t="shared" si="27"/>
        <v>-28562.454387247024</v>
      </c>
      <c r="CG18" s="1202">
        <f t="shared" si="28"/>
        <v>-3173.606043027447</v>
      </c>
      <c r="CH18" s="1172">
        <f t="shared" si="29"/>
        <v>0</v>
      </c>
    </row>
    <row r="19" spans="3:86">
      <c r="C19" s="738" t="s">
        <v>272</v>
      </c>
      <c r="D19" s="738"/>
      <c r="E19" s="738"/>
      <c r="F19" s="738"/>
      <c r="G19" s="1237">
        <f>'New Waterfall'!$Q$83/'New Waterfall'!$Q$84</f>
        <v>0.82980462596931537</v>
      </c>
      <c r="H19" s="1236"/>
      <c r="I19" s="1218">
        <f t="shared" si="0"/>
        <v>46599</v>
      </c>
      <c r="J19" s="1195">
        <f>SUM(Q$8:Q19)</f>
        <v>-1160462.7837806386</v>
      </c>
      <c r="K19" s="391">
        <f>SUM(R$8:R19)/$J19</f>
        <v>0.89999999999999936</v>
      </c>
      <c r="L19" s="391">
        <f>SUM(S$8:S19)/$J19</f>
        <v>0.1</v>
      </c>
      <c r="M19" s="391">
        <f>SUM(T$8:T19)/$J19</f>
        <v>0</v>
      </c>
      <c r="O19" s="1182" t="str">
        <f>INDEX(reserves!$A$6:$D$126,MATCH(P19,reserves!$D$6:$D$126,0),1)</f>
        <v>Pred</v>
      </c>
      <c r="P19" s="1218">
        <f t="shared" si="34"/>
        <v>46599</v>
      </c>
      <c r="Q19" s="1195">
        <f>IF(P19=P18,0,-VLOOKUP(P19,reserves!$D$6:$S$66,MATCH(reserves!$S$5,reserves!$D$5:$BH$5,0),FALSE))</f>
        <v>-31736.060430274469</v>
      </c>
      <c r="R19" s="1265">
        <f t="shared" si="30"/>
        <v>-28562.454387247024</v>
      </c>
      <c r="S19" s="1265">
        <f t="shared" si="31"/>
        <v>-3173.606043027447</v>
      </c>
      <c r="T19" s="1265">
        <f t="shared" si="32"/>
        <v>0</v>
      </c>
      <c r="U19" s="1162"/>
      <c r="V19" s="1162"/>
      <c r="W19" s="1162"/>
      <c r="X19" s="1162"/>
      <c r="Y19" s="1162"/>
      <c r="AA19" s="1203">
        <f t="shared" si="1"/>
        <v>46599</v>
      </c>
      <c r="AB19" s="1217">
        <f t="shared" si="33"/>
        <v>-31736.060430274469</v>
      </c>
      <c r="AC19" s="1202">
        <f t="shared" si="2"/>
        <v>-28562.454387247024</v>
      </c>
      <c r="AD19" s="1202">
        <f t="shared" si="3"/>
        <v>-3173.606043027447</v>
      </c>
      <c r="AE19" s="1172">
        <f t="shared" si="4"/>
        <v>0</v>
      </c>
      <c r="AF19" s="1172"/>
      <c r="AG19" s="1172"/>
      <c r="AH19" s="1172"/>
      <c r="AI19" s="1172"/>
      <c r="AJ19" s="1172"/>
      <c r="AL19" s="1203">
        <f t="shared" si="5"/>
        <v>46599</v>
      </c>
      <c r="AM19" s="1217">
        <f t="shared" si="6"/>
        <v>-31736.060430274469</v>
      </c>
      <c r="AN19" s="1202">
        <f t="shared" si="7"/>
        <v>-28562.454387247024</v>
      </c>
      <c r="AO19" s="1202">
        <f t="shared" si="8"/>
        <v>-3173.606043027447</v>
      </c>
      <c r="AP19" s="1172">
        <f t="shared" si="9"/>
        <v>0</v>
      </c>
      <c r="AQ19" s="1172"/>
      <c r="AR19" s="1172"/>
      <c r="AS19" s="1172"/>
      <c r="AT19" s="1172"/>
      <c r="AU19" s="1172"/>
      <c r="AW19" s="1203">
        <f t="shared" si="10"/>
        <v>46599</v>
      </c>
      <c r="AX19" s="1217">
        <f t="shared" si="11"/>
        <v>-31736.060430274469</v>
      </c>
      <c r="AY19" s="1202">
        <f t="shared" si="12"/>
        <v>-28562.454387247024</v>
      </c>
      <c r="AZ19" s="1202">
        <f t="shared" si="13"/>
        <v>-3173.606043027447</v>
      </c>
      <c r="BA19" s="1172">
        <f t="shared" si="14"/>
        <v>0</v>
      </c>
      <c r="BB19" s="1172"/>
      <c r="BC19" s="1172"/>
      <c r="BD19" s="1172"/>
      <c r="BE19" s="1172"/>
      <c r="BF19" s="1172"/>
      <c r="BH19" s="1203">
        <f t="shared" si="15"/>
        <v>46599</v>
      </c>
      <c r="BI19" s="1217">
        <f t="shared" si="16"/>
        <v>-31736.060430274469</v>
      </c>
      <c r="BJ19" s="1202">
        <f t="shared" si="17"/>
        <v>-28562.454387247024</v>
      </c>
      <c r="BK19" s="1202">
        <f t="shared" si="18"/>
        <v>-3173.606043027447</v>
      </c>
      <c r="BL19" s="1172">
        <f t="shared" si="19"/>
        <v>0</v>
      </c>
      <c r="BM19" s="1172"/>
      <c r="BN19" s="1172"/>
      <c r="BO19" s="1172"/>
      <c r="BP19" s="1172"/>
      <c r="BQ19" s="1172"/>
      <c r="BS19" s="1203">
        <f t="shared" si="20"/>
        <v>46599</v>
      </c>
      <c r="BT19" s="1217">
        <f t="shared" si="21"/>
        <v>-31736.060430274469</v>
      </c>
      <c r="BU19" s="1202">
        <f t="shared" si="22"/>
        <v>-28562.454387247024</v>
      </c>
      <c r="BV19" s="1202">
        <f t="shared" si="23"/>
        <v>-3173.606043027447</v>
      </c>
      <c r="BW19" s="1172">
        <f t="shared" si="24"/>
        <v>0</v>
      </c>
      <c r="BX19" s="1172"/>
      <c r="BY19" s="1172"/>
      <c r="BZ19" s="1172"/>
      <c r="CA19" s="1172"/>
      <c r="CB19" s="1172"/>
      <c r="CD19" s="1203">
        <f t="shared" si="25"/>
        <v>46599</v>
      </c>
      <c r="CE19" s="1217">
        <f t="shared" si="26"/>
        <v>-31736.060430274469</v>
      </c>
      <c r="CF19" s="1202">
        <f t="shared" si="27"/>
        <v>-28562.454387247024</v>
      </c>
      <c r="CG19" s="1202">
        <f t="shared" si="28"/>
        <v>-3173.606043027447</v>
      </c>
      <c r="CH19" s="1172">
        <f t="shared" si="29"/>
        <v>0</v>
      </c>
    </row>
    <row r="20" spans="3:86">
      <c r="C20" s="738"/>
      <c r="D20" s="738"/>
      <c r="E20" s="738"/>
      <c r="F20" s="738"/>
      <c r="G20" s="1237"/>
      <c r="H20" s="1236"/>
      <c r="I20" s="1218">
        <f t="shared" ref="I20:I37" si="35">P20</f>
        <v>46630</v>
      </c>
      <c r="J20" s="1195">
        <f>SUM(Q$8:Q20)</f>
        <v>-1192198.8442109132</v>
      </c>
      <c r="K20" s="391">
        <f>SUM(R$8:R20)/$J20</f>
        <v>0.89999999999999925</v>
      </c>
      <c r="L20" s="391">
        <f>SUM(S$8:S20)/$J20</f>
        <v>0.1</v>
      </c>
      <c r="M20" s="391">
        <f>SUM(T$8:T20)/$J20</f>
        <v>0</v>
      </c>
      <c r="O20" s="1182" t="str">
        <f>INDEX(reserves!$A$6:$D$126,MATCH(P20,reserves!$D$6:$D$126,0),1)</f>
        <v>Pred</v>
      </c>
      <c r="P20" s="1218">
        <f t="shared" ref="P20:P38" si="36">EOMONTH(P19,1)</f>
        <v>46630</v>
      </c>
      <c r="Q20" s="1195">
        <f>IF(P20=P19,0,-VLOOKUP(P20,reserves!$D$6:$S$66,MATCH(reserves!$S$5,reserves!$D$5:$BH$5,0),FALSE))</f>
        <v>-31736.060430274469</v>
      </c>
      <c r="R20" s="1265">
        <f t="shared" si="30"/>
        <v>-28562.454387247024</v>
      </c>
      <c r="S20" s="1265">
        <f t="shared" si="31"/>
        <v>-3173.606043027447</v>
      </c>
      <c r="T20" s="1265">
        <f t="shared" si="32"/>
        <v>0</v>
      </c>
      <c r="U20" s="1162"/>
      <c r="V20" s="1162"/>
      <c r="W20" s="1162"/>
      <c r="X20" s="1162"/>
      <c r="Y20" s="1162"/>
      <c r="AA20" s="1203">
        <f t="shared" ref="AA20:AA38" si="37">$P20</f>
        <v>46630</v>
      </c>
      <c r="AB20" s="1217">
        <f t="shared" ref="AB20:AB38" si="38">Q20</f>
        <v>-31736.060430274469</v>
      </c>
      <c r="AC20" s="1202">
        <f t="shared" ref="AC20:AC38" si="39">R20</f>
        <v>-28562.454387247024</v>
      </c>
      <c r="AD20" s="1202">
        <f t="shared" ref="AD20:AD38" si="40">S20</f>
        <v>-3173.606043027447</v>
      </c>
      <c r="AE20" s="1172">
        <f t="shared" ref="AE20:AE38" si="41">T20</f>
        <v>0</v>
      </c>
      <c r="AF20" s="1172"/>
      <c r="AG20" s="1172"/>
      <c r="AH20" s="1172"/>
      <c r="AI20" s="1172"/>
      <c r="AJ20" s="1172"/>
      <c r="AL20" s="1203">
        <f t="shared" ref="AL20:AL38" si="42">$P20</f>
        <v>46630</v>
      </c>
      <c r="AM20" s="1217">
        <f t="shared" ref="AM20:AM38" si="43">Q20</f>
        <v>-31736.060430274469</v>
      </c>
      <c r="AN20" s="1202">
        <f t="shared" ref="AN20:AN38" si="44">R20</f>
        <v>-28562.454387247024</v>
      </c>
      <c r="AO20" s="1202">
        <f t="shared" ref="AO20:AO38" si="45">S20</f>
        <v>-3173.606043027447</v>
      </c>
      <c r="AP20" s="1172">
        <f t="shared" ref="AP20:AP38" si="46">T20</f>
        <v>0</v>
      </c>
      <c r="AQ20" s="1172"/>
      <c r="AR20" s="1172"/>
      <c r="AS20" s="1172"/>
      <c r="AT20" s="1172"/>
      <c r="AU20" s="1172"/>
      <c r="AW20" s="1203">
        <f t="shared" ref="AW20:AW38" si="47">$P20</f>
        <v>46630</v>
      </c>
      <c r="AX20" s="1217">
        <f t="shared" ref="AX20:AX38" si="48">Q20</f>
        <v>-31736.060430274469</v>
      </c>
      <c r="AY20" s="1202">
        <f t="shared" ref="AY20:AY38" si="49">R20</f>
        <v>-28562.454387247024</v>
      </c>
      <c r="AZ20" s="1202">
        <f t="shared" ref="AZ20:AZ38" si="50">S20</f>
        <v>-3173.606043027447</v>
      </c>
      <c r="BA20" s="1172">
        <f t="shared" ref="BA20:BA38" si="51">T20</f>
        <v>0</v>
      </c>
      <c r="BB20" s="1172"/>
      <c r="BC20" s="1172"/>
      <c r="BD20" s="1172"/>
      <c r="BE20" s="1172"/>
      <c r="BF20" s="1172"/>
      <c r="BH20" s="1203">
        <f t="shared" ref="BH20:BH38" si="52">$P20</f>
        <v>46630</v>
      </c>
      <c r="BI20" s="1217">
        <f t="shared" ref="BI20:BI38" si="53">AB20</f>
        <v>-31736.060430274469</v>
      </c>
      <c r="BJ20" s="1202">
        <f t="shared" ref="BJ20:BJ38" si="54">AC20</f>
        <v>-28562.454387247024</v>
      </c>
      <c r="BK20" s="1202">
        <f t="shared" ref="BK20:BK38" si="55">AD20</f>
        <v>-3173.606043027447</v>
      </c>
      <c r="BL20" s="1172">
        <f t="shared" ref="BL20:BL38" si="56">AE20</f>
        <v>0</v>
      </c>
      <c r="BM20" s="1172"/>
      <c r="BN20" s="1172"/>
      <c r="BO20" s="1172"/>
      <c r="BP20" s="1172"/>
      <c r="BQ20" s="1172"/>
      <c r="BS20" s="1203">
        <f t="shared" ref="BS20:BS38" si="57">$P20</f>
        <v>46630</v>
      </c>
      <c r="BT20" s="1217">
        <f t="shared" ref="BT20:BT38" si="58">AM20</f>
        <v>-31736.060430274469</v>
      </c>
      <c r="BU20" s="1202">
        <f t="shared" ref="BU20:BU38" si="59">AN20</f>
        <v>-28562.454387247024</v>
      </c>
      <c r="BV20" s="1202">
        <f t="shared" ref="BV20:BV38" si="60">AO20</f>
        <v>-3173.606043027447</v>
      </c>
      <c r="BW20" s="1172">
        <f t="shared" ref="BW20:BW38" si="61">AP20</f>
        <v>0</v>
      </c>
      <c r="BX20" s="1172"/>
      <c r="BY20" s="1172"/>
      <c r="BZ20" s="1172"/>
      <c r="CA20" s="1172"/>
      <c r="CB20" s="1172"/>
      <c r="CD20" s="1203">
        <f t="shared" ref="CD20:CD38" si="62">$P20</f>
        <v>46630</v>
      </c>
      <c r="CE20" s="1217">
        <f t="shared" ref="CE20:CE38" si="63">AX20</f>
        <v>-31736.060430274469</v>
      </c>
      <c r="CF20" s="1202">
        <f t="shared" ref="CF20:CF38" si="64">AY20</f>
        <v>-28562.454387247024</v>
      </c>
      <c r="CG20" s="1202">
        <f t="shared" ref="CG20:CG38" si="65">AZ20</f>
        <v>-3173.606043027447</v>
      </c>
      <c r="CH20" s="1172">
        <f t="shared" ref="CH20:CH38" si="66">BA20</f>
        <v>0</v>
      </c>
    </row>
    <row r="21" spans="3:86">
      <c r="C21" s="738"/>
      <c r="D21" s="738"/>
      <c r="E21" s="738"/>
      <c r="F21" s="738"/>
      <c r="G21" s="738"/>
      <c r="H21" s="1236"/>
      <c r="I21" s="1218">
        <f t="shared" si="35"/>
        <v>46660</v>
      </c>
      <c r="J21" s="1195">
        <f>SUM(Q$8:Q21)</f>
        <v>-1223934.9046411877</v>
      </c>
      <c r="K21" s="391">
        <f>SUM(R$8:R21)/$J21</f>
        <v>0.89999999999999925</v>
      </c>
      <c r="L21" s="391">
        <f>SUM(S$8:S21)/$J21</f>
        <v>0.1</v>
      </c>
      <c r="M21" s="391">
        <f>SUM(T$8:T21)/$J21</f>
        <v>0</v>
      </c>
      <c r="O21" s="1182" t="str">
        <f>INDEX(reserves!$A$6:$D$126,MATCH(P21,reserves!$D$6:$D$126,0),1)</f>
        <v>Pred</v>
      </c>
      <c r="P21" s="1218">
        <f t="shared" si="36"/>
        <v>46660</v>
      </c>
      <c r="Q21" s="1195">
        <f>IF(P21=P20,0,-VLOOKUP(P21,reserves!$D$6:$S$66,MATCH(reserves!$S$5,reserves!$D$5:$BH$5,0),FALSE))</f>
        <v>-31736.060430274469</v>
      </c>
      <c r="R21" s="1265">
        <f t="shared" si="30"/>
        <v>-28562.454387247024</v>
      </c>
      <c r="S21" s="1265">
        <f t="shared" si="31"/>
        <v>-3173.606043027447</v>
      </c>
      <c r="T21" s="1265">
        <f t="shared" si="32"/>
        <v>0</v>
      </c>
      <c r="U21" s="1162"/>
      <c r="V21" s="1162"/>
      <c r="W21" s="1162"/>
      <c r="X21" s="1162"/>
      <c r="Y21" s="1162"/>
      <c r="AA21" s="1203">
        <f t="shared" si="37"/>
        <v>46660</v>
      </c>
      <c r="AB21" s="1217">
        <f t="shared" si="38"/>
        <v>-31736.060430274469</v>
      </c>
      <c r="AC21" s="1202">
        <f t="shared" si="39"/>
        <v>-28562.454387247024</v>
      </c>
      <c r="AD21" s="1202">
        <f t="shared" si="40"/>
        <v>-3173.606043027447</v>
      </c>
      <c r="AE21" s="1172">
        <f t="shared" si="41"/>
        <v>0</v>
      </c>
      <c r="AF21" s="1172"/>
      <c r="AG21" s="1172"/>
      <c r="AH21" s="1172"/>
      <c r="AI21" s="1172"/>
      <c r="AJ21" s="1172"/>
      <c r="AL21" s="1203">
        <f t="shared" si="42"/>
        <v>46660</v>
      </c>
      <c r="AM21" s="1217">
        <f t="shared" si="43"/>
        <v>-31736.060430274469</v>
      </c>
      <c r="AN21" s="1202">
        <f t="shared" si="44"/>
        <v>-28562.454387247024</v>
      </c>
      <c r="AO21" s="1202">
        <f t="shared" si="45"/>
        <v>-3173.606043027447</v>
      </c>
      <c r="AP21" s="1172">
        <f t="shared" si="46"/>
        <v>0</v>
      </c>
      <c r="AQ21" s="1172"/>
      <c r="AR21" s="1172"/>
      <c r="AS21" s="1172"/>
      <c r="AT21" s="1172"/>
      <c r="AU21" s="1172"/>
      <c r="AW21" s="1203">
        <f t="shared" si="47"/>
        <v>46660</v>
      </c>
      <c r="AX21" s="1217">
        <f t="shared" si="48"/>
        <v>-31736.060430274469</v>
      </c>
      <c r="AY21" s="1202">
        <f t="shared" si="49"/>
        <v>-28562.454387247024</v>
      </c>
      <c r="AZ21" s="1202">
        <f t="shared" si="50"/>
        <v>-3173.606043027447</v>
      </c>
      <c r="BA21" s="1172">
        <f t="shared" si="51"/>
        <v>0</v>
      </c>
      <c r="BB21" s="1172"/>
      <c r="BC21" s="1172"/>
      <c r="BD21" s="1172"/>
      <c r="BE21" s="1172"/>
      <c r="BF21" s="1172"/>
      <c r="BH21" s="1203">
        <f t="shared" si="52"/>
        <v>46660</v>
      </c>
      <c r="BI21" s="1217">
        <f t="shared" si="53"/>
        <v>-31736.060430274469</v>
      </c>
      <c r="BJ21" s="1202">
        <f t="shared" si="54"/>
        <v>-28562.454387247024</v>
      </c>
      <c r="BK21" s="1202">
        <f t="shared" si="55"/>
        <v>-3173.606043027447</v>
      </c>
      <c r="BL21" s="1172">
        <f t="shared" si="56"/>
        <v>0</v>
      </c>
      <c r="BM21" s="1172"/>
      <c r="BN21" s="1172"/>
      <c r="BO21" s="1172"/>
      <c r="BP21" s="1172"/>
      <c r="BQ21" s="1172"/>
      <c r="BS21" s="1203">
        <f t="shared" si="57"/>
        <v>46660</v>
      </c>
      <c r="BT21" s="1217">
        <f t="shared" si="58"/>
        <v>-31736.060430274469</v>
      </c>
      <c r="BU21" s="1202">
        <f t="shared" si="59"/>
        <v>-28562.454387247024</v>
      </c>
      <c r="BV21" s="1202">
        <f t="shared" si="60"/>
        <v>-3173.606043027447</v>
      </c>
      <c r="BW21" s="1172">
        <f t="shared" si="61"/>
        <v>0</v>
      </c>
      <c r="BX21" s="1172"/>
      <c r="BY21" s="1172"/>
      <c r="BZ21" s="1172"/>
      <c r="CA21" s="1172"/>
      <c r="CB21" s="1172"/>
      <c r="CD21" s="1203">
        <f t="shared" si="62"/>
        <v>46660</v>
      </c>
      <c r="CE21" s="1217">
        <f t="shared" si="63"/>
        <v>-31736.060430274469</v>
      </c>
      <c r="CF21" s="1202">
        <f t="shared" si="64"/>
        <v>-28562.454387247024</v>
      </c>
      <c r="CG21" s="1202">
        <f t="shared" si="65"/>
        <v>-3173.606043027447</v>
      </c>
      <c r="CH21" s="1172">
        <f t="shared" si="66"/>
        <v>0</v>
      </c>
    </row>
    <row r="22" spans="3:86">
      <c r="C22" s="1235" t="s">
        <v>5093</v>
      </c>
      <c r="D22" s="1234" t="str">
        <f>$C$8</f>
        <v>TBD</v>
      </c>
      <c r="E22" s="1234" t="str">
        <f>$C$9</f>
        <v>OG Group</v>
      </c>
      <c r="F22" s="1234" t="str">
        <f>$C$10</f>
        <v>TBD</v>
      </c>
      <c r="G22" s="1234"/>
      <c r="H22" s="1236"/>
      <c r="I22" s="1218">
        <f t="shared" si="35"/>
        <v>46691</v>
      </c>
      <c r="J22" s="1195">
        <f>SUM(Q$8:Q22)</f>
        <v>-1255670.9650714623</v>
      </c>
      <c r="K22" s="391">
        <f>SUM(R$8:R22)/$J22</f>
        <v>0.89999999999999925</v>
      </c>
      <c r="L22" s="391">
        <f>SUM(S$8:S22)/$J22</f>
        <v>9.9999999999999992E-2</v>
      </c>
      <c r="M22" s="391">
        <f>SUM(T$8:T22)/$J22</f>
        <v>0</v>
      </c>
      <c r="O22" s="1182" t="str">
        <f>INDEX(reserves!$A$6:$D$126,MATCH(P22,reserves!$D$6:$D$126,0),1)</f>
        <v>Pred</v>
      </c>
      <c r="P22" s="1218">
        <f t="shared" si="36"/>
        <v>46691</v>
      </c>
      <c r="Q22" s="1195">
        <f>IF(P22=P21,0,-VLOOKUP(P22,reserves!$D$6:$S$66,MATCH(reserves!$S$5,reserves!$D$5:$BH$5,0),FALSE))</f>
        <v>-31736.060430274469</v>
      </c>
      <c r="R22" s="1265">
        <f t="shared" si="30"/>
        <v>-28562.454387247024</v>
      </c>
      <c r="S22" s="1265">
        <f t="shared" si="31"/>
        <v>-3173.606043027447</v>
      </c>
      <c r="T22" s="1265">
        <f t="shared" si="32"/>
        <v>0</v>
      </c>
      <c r="U22" s="1162"/>
      <c r="V22" s="1162"/>
      <c r="W22" s="1162"/>
      <c r="X22" s="1162"/>
      <c r="Y22" s="1162"/>
      <c r="AA22" s="1203">
        <f t="shared" si="37"/>
        <v>46691</v>
      </c>
      <c r="AB22" s="1217">
        <f t="shared" si="38"/>
        <v>-31736.060430274469</v>
      </c>
      <c r="AC22" s="1202">
        <f t="shared" si="39"/>
        <v>-28562.454387247024</v>
      </c>
      <c r="AD22" s="1202">
        <f t="shared" si="40"/>
        <v>-3173.606043027447</v>
      </c>
      <c r="AE22" s="1172">
        <f t="shared" si="41"/>
        <v>0</v>
      </c>
      <c r="AF22" s="1172"/>
      <c r="AG22" s="1172"/>
      <c r="AH22" s="1172"/>
      <c r="AI22" s="1172"/>
      <c r="AJ22" s="1172"/>
      <c r="AL22" s="1203">
        <f t="shared" si="42"/>
        <v>46691</v>
      </c>
      <c r="AM22" s="1217">
        <f t="shared" si="43"/>
        <v>-31736.060430274469</v>
      </c>
      <c r="AN22" s="1202">
        <f t="shared" si="44"/>
        <v>-28562.454387247024</v>
      </c>
      <c r="AO22" s="1202">
        <f t="shared" si="45"/>
        <v>-3173.606043027447</v>
      </c>
      <c r="AP22" s="1172">
        <f t="shared" si="46"/>
        <v>0</v>
      </c>
      <c r="AQ22" s="1172"/>
      <c r="AR22" s="1172"/>
      <c r="AS22" s="1172"/>
      <c r="AT22" s="1172"/>
      <c r="AU22" s="1172"/>
      <c r="AW22" s="1203">
        <f t="shared" si="47"/>
        <v>46691</v>
      </c>
      <c r="AX22" s="1217">
        <f t="shared" si="48"/>
        <v>-31736.060430274469</v>
      </c>
      <c r="AY22" s="1202">
        <f t="shared" si="49"/>
        <v>-28562.454387247024</v>
      </c>
      <c r="AZ22" s="1202">
        <f t="shared" si="50"/>
        <v>-3173.606043027447</v>
      </c>
      <c r="BA22" s="1172">
        <f t="shared" si="51"/>
        <v>0</v>
      </c>
      <c r="BB22" s="1172"/>
      <c r="BC22" s="1172"/>
      <c r="BD22" s="1172"/>
      <c r="BE22" s="1172"/>
      <c r="BF22" s="1172"/>
      <c r="BH22" s="1203">
        <f t="shared" si="52"/>
        <v>46691</v>
      </c>
      <c r="BI22" s="1217">
        <f t="shared" si="53"/>
        <v>-31736.060430274469</v>
      </c>
      <c r="BJ22" s="1202">
        <f t="shared" si="54"/>
        <v>-28562.454387247024</v>
      </c>
      <c r="BK22" s="1202">
        <f t="shared" si="55"/>
        <v>-3173.606043027447</v>
      </c>
      <c r="BL22" s="1172">
        <f t="shared" si="56"/>
        <v>0</v>
      </c>
      <c r="BM22" s="1172"/>
      <c r="BN22" s="1172"/>
      <c r="BO22" s="1172"/>
      <c r="BP22" s="1172"/>
      <c r="BQ22" s="1172"/>
      <c r="BS22" s="1203">
        <f t="shared" si="57"/>
        <v>46691</v>
      </c>
      <c r="BT22" s="1217">
        <f t="shared" si="58"/>
        <v>-31736.060430274469</v>
      </c>
      <c r="BU22" s="1202">
        <f t="shared" si="59"/>
        <v>-28562.454387247024</v>
      </c>
      <c r="BV22" s="1202">
        <f t="shared" si="60"/>
        <v>-3173.606043027447</v>
      </c>
      <c r="BW22" s="1172">
        <f t="shared" si="61"/>
        <v>0</v>
      </c>
      <c r="BX22" s="1172"/>
      <c r="BY22" s="1172"/>
      <c r="BZ22" s="1172"/>
      <c r="CA22" s="1172"/>
      <c r="CB22" s="1172"/>
      <c r="CD22" s="1203">
        <f t="shared" si="62"/>
        <v>46691</v>
      </c>
      <c r="CE22" s="1217">
        <f t="shared" si="63"/>
        <v>-31736.060430274469</v>
      </c>
      <c r="CF22" s="1202">
        <f t="shared" si="64"/>
        <v>-28562.454387247024</v>
      </c>
      <c r="CG22" s="1202">
        <f t="shared" si="65"/>
        <v>-3173.606043027447</v>
      </c>
      <c r="CH22" s="1172">
        <f t="shared" si="66"/>
        <v>0</v>
      </c>
    </row>
    <row r="23" spans="3:86">
      <c r="C23" s="738" t="s">
        <v>5092</v>
      </c>
      <c r="D23" s="1233">
        <f>+financing!C41</f>
        <v>0</v>
      </c>
      <c r="E23" s="1263">
        <f>+financing!D41</f>
        <v>1</v>
      </c>
      <c r="F23" s="1263">
        <f>+financing!E41</f>
        <v>0</v>
      </c>
      <c r="H23" s="1236"/>
      <c r="I23" s="1218">
        <f t="shared" si="35"/>
        <v>46721</v>
      </c>
      <c r="J23" s="1195">
        <f>SUM(Q$8:Q23)</f>
        <v>-1369121.3112160226</v>
      </c>
      <c r="K23" s="391">
        <f>SUM(R$8:R23)/$J23</f>
        <v>0.89999999999999925</v>
      </c>
      <c r="L23" s="391">
        <f>SUM(S$8:S23)/$J23</f>
        <v>0.1</v>
      </c>
      <c r="M23" s="391">
        <f>SUM(T$8:T23)/$J23</f>
        <v>0</v>
      </c>
      <c r="O23" s="1182" t="str">
        <f>INDEX(reserves!$A$6:$D$126,MATCH(P23,reserves!$D$6:$D$126,0),1)</f>
        <v>Pred</v>
      </c>
      <c r="P23" s="1218">
        <f t="shared" si="36"/>
        <v>46721</v>
      </c>
      <c r="Q23" s="1195">
        <f>IF(P23=P22,0,-VLOOKUP(P23,reserves!$D$6:$S$66,MATCH(reserves!$S$5,reserves!$D$5:$BH$5,0),FALSE))</f>
        <v>-113450.34614456019</v>
      </c>
      <c r="R23" s="1265">
        <f t="shared" si="30"/>
        <v>-102105.31153010417</v>
      </c>
      <c r="S23" s="1265">
        <f t="shared" si="31"/>
        <v>-11345.034614456019</v>
      </c>
      <c r="T23" s="1265">
        <f t="shared" si="32"/>
        <v>0</v>
      </c>
      <c r="U23" s="1162"/>
      <c r="V23" s="1162"/>
      <c r="W23" s="1162"/>
      <c r="X23" s="1162"/>
      <c r="Y23" s="1162"/>
      <c r="AA23" s="1203">
        <f t="shared" si="37"/>
        <v>46721</v>
      </c>
      <c r="AB23" s="1217">
        <f t="shared" si="38"/>
        <v>-113450.34614456019</v>
      </c>
      <c r="AC23" s="1202">
        <f t="shared" si="39"/>
        <v>-102105.31153010417</v>
      </c>
      <c r="AD23" s="1202">
        <f t="shared" si="40"/>
        <v>-11345.034614456019</v>
      </c>
      <c r="AE23" s="1172">
        <f t="shared" si="41"/>
        <v>0</v>
      </c>
      <c r="AF23" s="1172"/>
      <c r="AG23" s="1172"/>
      <c r="AH23" s="1172"/>
      <c r="AI23" s="1172"/>
      <c r="AJ23" s="1172"/>
      <c r="AL23" s="1203">
        <f t="shared" si="42"/>
        <v>46721</v>
      </c>
      <c r="AM23" s="1217">
        <f t="shared" si="43"/>
        <v>-113450.34614456019</v>
      </c>
      <c r="AN23" s="1202">
        <f t="shared" si="44"/>
        <v>-102105.31153010417</v>
      </c>
      <c r="AO23" s="1202">
        <f t="shared" si="45"/>
        <v>-11345.034614456019</v>
      </c>
      <c r="AP23" s="1172">
        <f t="shared" si="46"/>
        <v>0</v>
      </c>
      <c r="AQ23" s="1172"/>
      <c r="AR23" s="1172"/>
      <c r="AS23" s="1172"/>
      <c r="AT23" s="1172"/>
      <c r="AU23" s="1172"/>
      <c r="AW23" s="1203">
        <f t="shared" si="47"/>
        <v>46721</v>
      </c>
      <c r="AX23" s="1217">
        <f t="shared" si="48"/>
        <v>-113450.34614456019</v>
      </c>
      <c r="AY23" s="1202">
        <f t="shared" si="49"/>
        <v>-102105.31153010417</v>
      </c>
      <c r="AZ23" s="1202">
        <f t="shared" si="50"/>
        <v>-11345.034614456019</v>
      </c>
      <c r="BA23" s="1172">
        <f t="shared" si="51"/>
        <v>0</v>
      </c>
      <c r="BB23" s="1172"/>
      <c r="BC23" s="1172"/>
      <c r="BD23" s="1172"/>
      <c r="BE23" s="1172"/>
      <c r="BF23" s="1172"/>
      <c r="BH23" s="1203">
        <f t="shared" si="52"/>
        <v>46721</v>
      </c>
      <c r="BI23" s="1217">
        <f t="shared" si="53"/>
        <v>-113450.34614456019</v>
      </c>
      <c r="BJ23" s="1202">
        <f t="shared" si="54"/>
        <v>-102105.31153010417</v>
      </c>
      <c r="BK23" s="1202">
        <f t="shared" si="55"/>
        <v>-11345.034614456019</v>
      </c>
      <c r="BL23" s="1172">
        <f t="shared" si="56"/>
        <v>0</v>
      </c>
      <c r="BM23" s="1172"/>
      <c r="BN23" s="1172"/>
      <c r="BO23" s="1172"/>
      <c r="BP23" s="1172"/>
      <c r="BQ23" s="1172"/>
      <c r="BS23" s="1203">
        <f t="shared" si="57"/>
        <v>46721</v>
      </c>
      <c r="BT23" s="1217">
        <f t="shared" si="58"/>
        <v>-113450.34614456019</v>
      </c>
      <c r="BU23" s="1202">
        <f t="shared" si="59"/>
        <v>-102105.31153010417</v>
      </c>
      <c r="BV23" s="1202">
        <f t="shared" si="60"/>
        <v>-11345.034614456019</v>
      </c>
      <c r="BW23" s="1172">
        <f t="shared" si="61"/>
        <v>0</v>
      </c>
      <c r="BX23" s="1172"/>
      <c r="BY23" s="1172"/>
      <c r="BZ23" s="1172"/>
      <c r="CA23" s="1172"/>
      <c r="CB23" s="1172"/>
      <c r="CD23" s="1203">
        <f t="shared" si="62"/>
        <v>46721</v>
      </c>
      <c r="CE23" s="1217">
        <f t="shared" si="63"/>
        <v>-113450.34614456019</v>
      </c>
      <c r="CF23" s="1202">
        <f t="shared" si="64"/>
        <v>-102105.31153010417</v>
      </c>
      <c r="CG23" s="1202">
        <f t="shared" si="65"/>
        <v>-11345.034614456019</v>
      </c>
      <c r="CH23" s="1172">
        <f t="shared" si="66"/>
        <v>0</v>
      </c>
    </row>
    <row r="24" spans="3:86">
      <c r="C24" s="738"/>
      <c r="D24" s="738"/>
      <c r="E24" s="738"/>
      <c r="F24" s="738"/>
      <c r="G24" s="738"/>
      <c r="H24" s="1236"/>
      <c r="I24" s="1218">
        <f t="shared" si="35"/>
        <v>46752</v>
      </c>
      <c r="J24" s="1195">
        <f>SUM(Q$8:Q24)</f>
        <v>-1400857.3716462972</v>
      </c>
      <c r="K24" s="391">
        <f>SUM(R$8:R24)/$J24</f>
        <v>0.89999999999999925</v>
      </c>
      <c r="L24" s="391">
        <f>SUM(S$8:S24)/$J24</f>
        <v>9.9999999999999992E-2</v>
      </c>
      <c r="M24" s="391">
        <f>SUM(T$8:T24)/$J24</f>
        <v>0</v>
      </c>
      <c r="O24" s="1182" t="str">
        <f>INDEX(reserves!$A$6:$D$126,MATCH(P24,reserves!$D$6:$D$126,0),1)</f>
        <v>Pred</v>
      </c>
      <c r="P24" s="1218">
        <f t="shared" si="36"/>
        <v>46752</v>
      </c>
      <c r="Q24" s="1195">
        <f>IF(P24=P23,0,-VLOOKUP(P24,reserves!$D$6:$S$66,MATCH(reserves!$S$5,reserves!$D$5:$BH$5,0),FALSE))</f>
        <v>-31736.060430274469</v>
      </c>
      <c r="R24" s="1265">
        <f t="shared" si="30"/>
        <v>-28562.454387247024</v>
      </c>
      <c r="S24" s="1265">
        <f t="shared" si="31"/>
        <v>-3173.606043027447</v>
      </c>
      <c r="T24" s="1265">
        <f t="shared" si="32"/>
        <v>0</v>
      </c>
      <c r="U24" s="1162"/>
      <c r="V24" s="1162"/>
      <c r="W24" s="1162"/>
      <c r="X24" s="1162"/>
      <c r="Y24" s="1162"/>
      <c r="AA24" s="1203">
        <f t="shared" si="37"/>
        <v>46752</v>
      </c>
      <c r="AB24" s="1217">
        <f t="shared" si="38"/>
        <v>-31736.060430274469</v>
      </c>
      <c r="AC24" s="1202">
        <f t="shared" si="39"/>
        <v>-28562.454387247024</v>
      </c>
      <c r="AD24" s="1202">
        <f t="shared" si="40"/>
        <v>-3173.606043027447</v>
      </c>
      <c r="AE24" s="1172">
        <f t="shared" si="41"/>
        <v>0</v>
      </c>
      <c r="AF24" s="1172"/>
      <c r="AG24" s="1172"/>
      <c r="AH24" s="1172"/>
      <c r="AI24" s="1172"/>
      <c r="AJ24" s="1172"/>
      <c r="AL24" s="1203">
        <f t="shared" si="42"/>
        <v>46752</v>
      </c>
      <c r="AM24" s="1217">
        <f t="shared" si="43"/>
        <v>-31736.060430274469</v>
      </c>
      <c r="AN24" s="1202">
        <f t="shared" si="44"/>
        <v>-28562.454387247024</v>
      </c>
      <c r="AO24" s="1202">
        <f t="shared" si="45"/>
        <v>-3173.606043027447</v>
      </c>
      <c r="AP24" s="1172">
        <f t="shared" si="46"/>
        <v>0</v>
      </c>
      <c r="AQ24" s="1172"/>
      <c r="AR24" s="1172"/>
      <c r="AS24" s="1172"/>
      <c r="AT24" s="1172"/>
      <c r="AU24" s="1172"/>
      <c r="AW24" s="1203">
        <f t="shared" si="47"/>
        <v>46752</v>
      </c>
      <c r="AX24" s="1217">
        <f t="shared" si="48"/>
        <v>-31736.060430274469</v>
      </c>
      <c r="AY24" s="1202">
        <f t="shared" si="49"/>
        <v>-28562.454387247024</v>
      </c>
      <c r="AZ24" s="1202">
        <f t="shared" si="50"/>
        <v>-3173.606043027447</v>
      </c>
      <c r="BA24" s="1172">
        <f t="shared" si="51"/>
        <v>0</v>
      </c>
      <c r="BB24" s="1172"/>
      <c r="BC24" s="1172"/>
      <c r="BD24" s="1172"/>
      <c r="BE24" s="1172"/>
      <c r="BF24" s="1172"/>
      <c r="BH24" s="1203">
        <f t="shared" si="52"/>
        <v>46752</v>
      </c>
      <c r="BI24" s="1217">
        <f t="shared" si="53"/>
        <v>-31736.060430274469</v>
      </c>
      <c r="BJ24" s="1202">
        <f t="shared" si="54"/>
        <v>-28562.454387247024</v>
      </c>
      <c r="BK24" s="1202">
        <f t="shared" si="55"/>
        <v>-3173.606043027447</v>
      </c>
      <c r="BL24" s="1172">
        <f t="shared" si="56"/>
        <v>0</v>
      </c>
      <c r="BM24" s="1172"/>
      <c r="BN24" s="1172"/>
      <c r="BO24" s="1172"/>
      <c r="BP24" s="1172"/>
      <c r="BQ24" s="1172"/>
      <c r="BS24" s="1203">
        <f t="shared" si="57"/>
        <v>46752</v>
      </c>
      <c r="BT24" s="1217">
        <f t="shared" si="58"/>
        <v>-31736.060430274469</v>
      </c>
      <c r="BU24" s="1202">
        <f t="shared" si="59"/>
        <v>-28562.454387247024</v>
      </c>
      <c r="BV24" s="1202">
        <f t="shared" si="60"/>
        <v>-3173.606043027447</v>
      </c>
      <c r="BW24" s="1172">
        <f t="shared" si="61"/>
        <v>0</v>
      </c>
      <c r="BX24" s="1172"/>
      <c r="BY24" s="1172"/>
      <c r="BZ24" s="1172"/>
      <c r="CA24" s="1172"/>
      <c r="CB24" s="1172"/>
      <c r="CD24" s="1203">
        <f t="shared" si="62"/>
        <v>46752</v>
      </c>
      <c r="CE24" s="1217">
        <f t="shared" si="63"/>
        <v>-31736.060430274469</v>
      </c>
      <c r="CF24" s="1202">
        <f t="shared" si="64"/>
        <v>-28562.454387247024</v>
      </c>
      <c r="CG24" s="1202">
        <f t="shared" si="65"/>
        <v>-3173.606043027447</v>
      </c>
      <c r="CH24" s="1172">
        <f t="shared" si="66"/>
        <v>0</v>
      </c>
    </row>
    <row r="25" spans="3:86">
      <c r="C25" s="1232" t="s">
        <v>209</v>
      </c>
      <c r="D25" s="1205"/>
      <c r="E25" s="1231"/>
      <c r="F25" s="1231"/>
      <c r="G25" s="1231"/>
      <c r="H25" s="1236"/>
      <c r="I25" s="1218">
        <f t="shared" si="35"/>
        <v>46783</v>
      </c>
      <c r="J25" s="1195">
        <f>SUM(Q$8:Q25)</f>
        <v>-1432593.4320765717</v>
      </c>
      <c r="K25" s="391">
        <f>SUM(R$8:R25)/$J25</f>
        <v>0.89999999999999925</v>
      </c>
      <c r="L25" s="391">
        <f>SUM(S$8:S25)/$J25</f>
        <v>9.9999999999999992E-2</v>
      </c>
      <c r="M25" s="391">
        <f>SUM(T$8:T25)/$J25</f>
        <v>0</v>
      </c>
      <c r="O25" s="1182" t="str">
        <f>INDEX(reserves!$A$6:$D$126,MATCH(P25,reserves!$D$6:$D$126,0),1)</f>
        <v>Pred</v>
      </c>
      <c r="P25" s="1218">
        <f t="shared" si="36"/>
        <v>46783</v>
      </c>
      <c r="Q25" s="1195">
        <f>IF(P25=P24,0,-VLOOKUP(P25,reserves!$D$6:$S$66,MATCH(reserves!$S$5,reserves!$D$5:$BH$5,0),FALSE))</f>
        <v>-31736.060430274469</v>
      </c>
      <c r="R25" s="1265">
        <f t="shared" si="30"/>
        <v>-28562.454387247024</v>
      </c>
      <c r="S25" s="1265">
        <f t="shared" si="31"/>
        <v>-3173.606043027447</v>
      </c>
      <c r="T25" s="1265">
        <f t="shared" si="32"/>
        <v>0</v>
      </c>
      <c r="U25" s="1162"/>
      <c r="V25" s="1162"/>
      <c r="W25" s="1162"/>
      <c r="X25" s="1162"/>
      <c r="Y25" s="1162"/>
      <c r="AA25" s="1203">
        <f t="shared" si="37"/>
        <v>46783</v>
      </c>
      <c r="AB25" s="1217">
        <f t="shared" si="38"/>
        <v>-31736.060430274469</v>
      </c>
      <c r="AC25" s="1202">
        <f t="shared" si="39"/>
        <v>-28562.454387247024</v>
      </c>
      <c r="AD25" s="1202">
        <f t="shared" si="40"/>
        <v>-3173.606043027447</v>
      </c>
      <c r="AE25" s="1172">
        <f t="shared" si="41"/>
        <v>0</v>
      </c>
      <c r="AF25" s="1172"/>
      <c r="AG25" s="1172"/>
      <c r="AH25" s="1172"/>
      <c r="AI25" s="1172"/>
      <c r="AJ25" s="1172"/>
      <c r="AL25" s="1203">
        <f t="shared" si="42"/>
        <v>46783</v>
      </c>
      <c r="AM25" s="1217">
        <f t="shared" si="43"/>
        <v>-31736.060430274469</v>
      </c>
      <c r="AN25" s="1202">
        <f t="shared" si="44"/>
        <v>-28562.454387247024</v>
      </c>
      <c r="AO25" s="1202">
        <f t="shared" si="45"/>
        <v>-3173.606043027447</v>
      </c>
      <c r="AP25" s="1172">
        <f t="shared" si="46"/>
        <v>0</v>
      </c>
      <c r="AQ25" s="1172"/>
      <c r="AR25" s="1172"/>
      <c r="AS25" s="1172"/>
      <c r="AT25" s="1172"/>
      <c r="AU25" s="1172"/>
      <c r="AW25" s="1203">
        <f t="shared" si="47"/>
        <v>46783</v>
      </c>
      <c r="AX25" s="1217">
        <f t="shared" si="48"/>
        <v>-31736.060430274469</v>
      </c>
      <c r="AY25" s="1202">
        <f t="shared" si="49"/>
        <v>-28562.454387247024</v>
      </c>
      <c r="AZ25" s="1202">
        <f t="shared" si="50"/>
        <v>-3173.606043027447</v>
      </c>
      <c r="BA25" s="1172">
        <f t="shared" si="51"/>
        <v>0</v>
      </c>
      <c r="BB25" s="1172"/>
      <c r="BC25" s="1172"/>
      <c r="BD25" s="1172"/>
      <c r="BE25" s="1172"/>
      <c r="BF25" s="1172"/>
      <c r="BH25" s="1203">
        <f t="shared" si="52"/>
        <v>46783</v>
      </c>
      <c r="BI25" s="1217">
        <f t="shared" si="53"/>
        <v>-31736.060430274469</v>
      </c>
      <c r="BJ25" s="1202">
        <f t="shared" si="54"/>
        <v>-28562.454387247024</v>
      </c>
      <c r="BK25" s="1202">
        <f t="shared" si="55"/>
        <v>-3173.606043027447</v>
      </c>
      <c r="BL25" s="1172">
        <f t="shared" si="56"/>
        <v>0</v>
      </c>
      <c r="BM25" s="1172"/>
      <c r="BN25" s="1172"/>
      <c r="BO25" s="1172"/>
      <c r="BP25" s="1172"/>
      <c r="BQ25" s="1172"/>
      <c r="BS25" s="1203">
        <f t="shared" si="57"/>
        <v>46783</v>
      </c>
      <c r="BT25" s="1217">
        <f t="shared" si="58"/>
        <v>-31736.060430274469</v>
      </c>
      <c r="BU25" s="1202">
        <f t="shared" si="59"/>
        <v>-28562.454387247024</v>
      </c>
      <c r="BV25" s="1202">
        <f t="shared" si="60"/>
        <v>-3173.606043027447</v>
      </c>
      <c r="BW25" s="1172">
        <f t="shared" si="61"/>
        <v>0</v>
      </c>
      <c r="BX25" s="1172"/>
      <c r="BY25" s="1172"/>
      <c r="BZ25" s="1172"/>
      <c r="CA25" s="1172"/>
      <c r="CB25" s="1172"/>
      <c r="CD25" s="1203">
        <f t="shared" si="62"/>
        <v>46783</v>
      </c>
      <c r="CE25" s="1217">
        <f t="shared" si="63"/>
        <v>-31736.060430274469</v>
      </c>
      <c r="CF25" s="1202">
        <f t="shared" si="64"/>
        <v>-28562.454387247024</v>
      </c>
      <c r="CG25" s="1202">
        <f t="shared" si="65"/>
        <v>-3173.606043027447</v>
      </c>
      <c r="CH25" s="1172">
        <f t="shared" si="66"/>
        <v>0</v>
      </c>
    </row>
    <row r="26" spans="3:86">
      <c r="C26" s="1160" t="s">
        <v>176</v>
      </c>
      <c r="D26" s="1219" t="s">
        <v>210</v>
      </c>
      <c r="E26" s="1230" t="str">
        <f>+C8</f>
        <v>TBD</v>
      </c>
      <c r="F26" s="1230" t="str">
        <f>+C9</f>
        <v>OG Group</v>
      </c>
      <c r="G26" s="1230" t="str">
        <f>+C10</f>
        <v>TBD</v>
      </c>
      <c r="H26" s="1236"/>
      <c r="I26" s="1218">
        <f t="shared" si="35"/>
        <v>46812</v>
      </c>
      <c r="J26" s="1195">
        <f>SUM(Q$8:Q26)</f>
        <v>-2983423.5413352144</v>
      </c>
      <c r="K26" s="391">
        <f>SUM(R$8:R26)/$J26</f>
        <v>0.89999999999999958</v>
      </c>
      <c r="L26" s="391">
        <f>SUM(S$8:S26)/$J26</f>
        <v>0.1</v>
      </c>
      <c r="M26" s="391">
        <f>SUM(T$8:T26)/$J26</f>
        <v>0</v>
      </c>
      <c r="O26" s="1182" t="str">
        <f>INDEX(reserves!$A$6:$D$126,MATCH(P26,reserves!$D$6:$D$126,0),1)</f>
        <v>Dev</v>
      </c>
      <c r="P26" s="1218">
        <f t="shared" si="36"/>
        <v>46812</v>
      </c>
      <c r="Q26" s="1195">
        <f>IF(P26=P25,0,-VLOOKUP(P26,reserves!$D$6:$S$66,MATCH(reserves!$S$5,reserves!$D$5:$BH$5,0),FALSE))</f>
        <v>-1550830.1092586427</v>
      </c>
      <c r="R26" s="1265">
        <f t="shared" si="30"/>
        <v>-1395747.0983327783</v>
      </c>
      <c r="S26" s="1265">
        <f t="shared" si="31"/>
        <v>-155083.01092586428</v>
      </c>
      <c r="T26" s="1265">
        <f t="shared" si="32"/>
        <v>0</v>
      </c>
      <c r="U26" s="1162"/>
      <c r="V26" s="1162"/>
      <c r="W26" s="1162"/>
      <c r="X26" s="1162"/>
      <c r="Y26" s="1162"/>
      <c r="AA26" s="1203">
        <f t="shared" si="37"/>
        <v>46812</v>
      </c>
      <c r="AB26" s="1217">
        <f t="shared" si="38"/>
        <v>-1550830.1092586427</v>
      </c>
      <c r="AC26" s="1202">
        <f t="shared" si="39"/>
        <v>-1395747.0983327783</v>
      </c>
      <c r="AD26" s="1202">
        <f t="shared" si="40"/>
        <v>-155083.01092586428</v>
      </c>
      <c r="AE26" s="1172">
        <f t="shared" si="41"/>
        <v>0</v>
      </c>
      <c r="AF26" s="1172"/>
      <c r="AG26" s="1172"/>
      <c r="AH26" s="1172"/>
      <c r="AI26" s="1172"/>
      <c r="AJ26" s="1172"/>
      <c r="AL26" s="1203">
        <f t="shared" si="42"/>
        <v>46812</v>
      </c>
      <c r="AM26" s="1217">
        <f t="shared" si="43"/>
        <v>-1550830.1092586427</v>
      </c>
      <c r="AN26" s="1202">
        <f t="shared" si="44"/>
        <v>-1395747.0983327783</v>
      </c>
      <c r="AO26" s="1202">
        <f t="shared" si="45"/>
        <v>-155083.01092586428</v>
      </c>
      <c r="AP26" s="1172">
        <f t="shared" si="46"/>
        <v>0</v>
      </c>
      <c r="AQ26" s="1172"/>
      <c r="AR26" s="1172"/>
      <c r="AS26" s="1172"/>
      <c r="AT26" s="1172"/>
      <c r="AU26" s="1172"/>
      <c r="AW26" s="1203">
        <f t="shared" si="47"/>
        <v>46812</v>
      </c>
      <c r="AX26" s="1217">
        <f t="shared" si="48"/>
        <v>-1550830.1092586427</v>
      </c>
      <c r="AY26" s="1202">
        <f t="shared" si="49"/>
        <v>-1395747.0983327783</v>
      </c>
      <c r="AZ26" s="1202">
        <f t="shared" si="50"/>
        <v>-155083.01092586428</v>
      </c>
      <c r="BA26" s="1172">
        <f t="shared" si="51"/>
        <v>0</v>
      </c>
      <c r="BB26" s="1172"/>
      <c r="BC26" s="1172"/>
      <c r="BD26" s="1172"/>
      <c r="BE26" s="1172"/>
      <c r="BF26" s="1172"/>
      <c r="BH26" s="1203">
        <f t="shared" si="52"/>
        <v>46812</v>
      </c>
      <c r="BI26" s="1217">
        <f t="shared" si="53"/>
        <v>-1550830.1092586427</v>
      </c>
      <c r="BJ26" s="1202">
        <f t="shared" si="54"/>
        <v>-1395747.0983327783</v>
      </c>
      <c r="BK26" s="1202">
        <f t="shared" si="55"/>
        <v>-155083.01092586428</v>
      </c>
      <c r="BL26" s="1172">
        <f t="shared" si="56"/>
        <v>0</v>
      </c>
      <c r="BM26" s="1172"/>
      <c r="BN26" s="1172"/>
      <c r="BO26" s="1172"/>
      <c r="BP26" s="1172"/>
      <c r="BQ26" s="1172"/>
      <c r="BS26" s="1203">
        <f t="shared" si="57"/>
        <v>46812</v>
      </c>
      <c r="BT26" s="1217">
        <f t="shared" si="58"/>
        <v>-1550830.1092586427</v>
      </c>
      <c r="BU26" s="1202">
        <f t="shared" si="59"/>
        <v>-1395747.0983327783</v>
      </c>
      <c r="BV26" s="1202">
        <f t="shared" si="60"/>
        <v>-155083.01092586428</v>
      </c>
      <c r="BW26" s="1172">
        <f t="shared" si="61"/>
        <v>0</v>
      </c>
      <c r="BX26" s="1172"/>
      <c r="BY26" s="1172"/>
      <c r="BZ26" s="1172"/>
      <c r="CA26" s="1172"/>
      <c r="CB26" s="1172"/>
      <c r="CD26" s="1203">
        <f t="shared" si="62"/>
        <v>46812</v>
      </c>
      <c r="CE26" s="1217">
        <f t="shared" si="63"/>
        <v>-1550830.1092586427</v>
      </c>
      <c r="CF26" s="1202">
        <f t="shared" si="64"/>
        <v>-1395747.0983327783</v>
      </c>
      <c r="CG26" s="1202">
        <f t="shared" si="65"/>
        <v>-155083.01092586428</v>
      </c>
      <c r="CH26" s="1172">
        <f t="shared" si="66"/>
        <v>0</v>
      </c>
    </row>
    <row r="27" spans="3:86">
      <c r="C27" s="1193" t="s">
        <v>156</v>
      </c>
      <c r="D27" s="1229">
        <f>MIN(-SUM(Q8:Q38),SUM(AB39:AB58))</f>
        <v>4000000</v>
      </c>
      <c r="E27" s="1229">
        <f>MIN(-SUM(R8:R38),SUM(AC39:AC58))</f>
        <v>3599999.9999999977</v>
      </c>
      <c r="F27" s="1229">
        <f>MIN(-SUM(S8:S38),SUM(AD39:AD58))</f>
        <v>399999.99999999994</v>
      </c>
      <c r="G27" s="1229">
        <f>MIN(-SUM(T8:T38),SUM(AE39:AE58))</f>
        <v>0</v>
      </c>
      <c r="H27" s="1236"/>
      <c r="I27" s="1218">
        <f t="shared" si="35"/>
        <v>46843</v>
      </c>
      <c r="J27" s="1195">
        <f>SUM(Q$8:Q27)</f>
        <v>-3185817.8882091008</v>
      </c>
      <c r="K27" s="391">
        <f>SUM(R$8:R27)/$J27</f>
        <v>0.89999999999999947</v>
      </c>
      <c r="L27" s="391">
        <f>SUM(S$8:S27)/$J27</f>
        <v>9.9999999999999992E-2</v>
      </c>
      <c r="M27" s="391">
        <f>SUM(T$8:T27)/$J27</f>
        <v>0</v>
      </c>
      <c r="O27" s="1182" t="str">
        <f>INDEX(reserves!$A$6:$D$126,MATCH(P27,reserves!$D$6:$D$126,0),1)</f>
        <v>Dev</v>
      </c>
      <c r="P27" s="1218">
        <f t="shared" si="36"/>
        <v>46843</v>
      </c>
      <c r="Q27" s="1195">
        <f>IF(P27=P26,0,-VLOOKUP(P27,reserves!$D$6:$S$66,MATCH(reserves!$S$5,reserves!$D$5:$BH$5,0),FALSE))</f>
        <v>-202394.34687388618</v>
      </c>
      <c r="R27" s="1265">
        <f t="shared" si="30"/>
        <v>-182154.91218649756</v>
      </c>
      <c r="S27" s="1265">
        <f t="shared" si="31"/>
        <v>-20239.434687388621</v>
      </c>
      <c r="T27" s="1265">
        <f t="shared" si="32"/>
        <v>0</v>
      </c>
      <c r="U27" s="1162"/>
      <c r="V27" s="1162"/>
      <c r="W27" s="1162"/>
      <c r="X27" s="1162"/>
      <c r="Y27" s="1162"/>
      <c r="AA27" s="1203">
        <f t="shared" si="37"/>
        <v>46843</v>
      </c>
      <c r="AB27" s="1217">
        <f t="shared" si="38"/>
        <v>-202394.34687388618</v>
      </c>
      <c r="AC27" s="1202">
        <f t="shared" si="39"/>
        <v>-182154.91218649756</v>
      </c>
      <c r="AD27" s="1202">
        <f t="shared" si="40"/>
        <v>-20239.434687388621</v>
      </c>
      <c r="AE27" s="1172">
        <f t="shared" si="41"/>
        <v>0</v>
      </c>
      <c r="AF27" s="1172"/>
      <c r="AG27" s="1172"/>
      <c r="AH27" s="1172"/>
      <c r="AI27" s="1172"/>
      <c r="AJ27" s="1172"/>
      <c r="AL27" s="1203">
        <f t="shared" si="42"/>
        <v>46843</v>
      </c>
      <c r="AM27" s="1217">
        <f t="shared" si="43"/>
        <v>-202394.34687388618</v>
      </c>
      <c r="AN27" s="1202">
        <f t="shared" si="44"/>
        <v>-182154.91218649756</v>
      </c>
      <c r="AO27" s="1202">
        <f t="shared" si="45"/>
        <v>-20239.434687388621</v>
      </c>
      <c r="AP27" s="1172">
        <f t="shared" si="46"/>
        <v>0</v>
      </c>
      <c r="AQ27" s="1172"/>
      <c r="AR27" s="1172"/>
      <c r="AS27" s="1172"/>
      <c r="AT27" s="1172"/>
      <c r="AU27" s="1172"/>
      <c r="AW27" s="1203">
        <f t="shared" si="47"/>
        <v>46843</v>
      </c>
      <c r="AX27" s="1217">
        <f t="shared" si="48"/>
        <v>-202394.34687388618</v>
      </c>
      <c r="AY27" s="1202">
        <f t="shared" si="49"/>
        <v>-182154.91218649756</v>
      </c>
      <c r="AZ27" s="1202">
        <f t="shared" si="50"/>
        <v>-20239.434687388621</v>
      </c>
      <c r="BA27" s="1172">
        <f t="shared" si="51"/>
        <v>0</v>
      </c>
      <c r="BB27" s="1172"/>
      <c r="BC27" s="1172"/>
      <c r="BD27" s="1172"/>
      <c r="BE27" s="1172"/>
      <c r="BF27" s="1172"/>
      <c r="BH27" s="1203">
        <f t="shared" si="52"/>
        <v>46843</v>
      </c>
      <c r="BI27" s="1217">
        <f t="shared" si="53"/>
        <v>-202394.34687388618</v>
      </c>
      <c r="BJ27" s="1202">
        <f t="shared" si="54"/>
        <v>-182154.91218649756</v>
      </c>
      <c r="BK27" s="1202">
        <f t="shared" si="55"/>
        <v>-20239.434687388621</v>
      </c>
      <c r="BL27" s="1172">
        <f t="shared" si="56"/>
        <v>0</v>
      </c>
      <c r="BM27" s="1172"/>
      <c r="BN27" s="1172"/>
      <c r="BO27" s="1172"/>
      <c r="BP27" s="1172"/>
      <c r="BQ27" s="1172"/>
      <c r="BS27" s="1203">
        <f t="shared" si="57"/>
        <v>46843</v>
      </c>
      <c r="BT27" s="1217">
        <f t="shared" si="58"/>
        <v>-202394.34687388618</v>
      </c>
      <c r="BU27" s="1202">
        <f t="shared" si="59"/>
        <v>-182154.91218649756</v>
      </c>
      <c r="BV27" s="1202">
        <f t="shared" si="60"/>
        <v>-20239.434687388621</v>
      </c>
      <c r="BW27" s="1172">
        <f t="shared" si="61"/>
        <v>0</v>
      </c>
      <c r="BX27" s="1172"/>
      <c r="BY27" s="1172"/>
      <c r="BZ27" s="1172"/>
      <c r="CA27" s="1172"/>
      <c r="CB27" s="1172"/>
      <c r="CD27" s="1203">
        <f t="shared" si="62"/>
        <v>46843</v>
      </c>
      <c r="CE27" s="1217">
        <f t="shared" si="63"/>
        <v>-202394.34687388618</v>
      </c>
      <c r="CF27" s="1202">
        <f t="shared" si="64"/>
        <v>-182154.91218649756</v>
      </c>
      <c r="CG27" s="1202">
        <f t="shared" si="65"/>
        <v>-20239.434687388621</v>
      </c>
      <c r="CH27" s="1172">
        <f t="shared" si="66"/>
        <v>0</v>
      </c>
    </row>
    <row r="28" spans="3:86">
      <c r="C28" s="1155" t="s">
        <v>265</v>
      </c>
      <c r="D28" s="1227">
        <f>SUM(AB39:AB58)+SUM(Q8:Q38)</f>
        <v>1061507.2505541053</v>
      </c>
      <c r="E28" s="1227">
        <f>SUM(AC39:AC58)+SUM(R8:R38)</f>
        <v>955356.52549869707</v>
      </c>
      <c r="F28" s="1227">
        <f>SUM(AD39:AD58)+SUM(S8:S38)</f>
        <v>106150.72505541053</v>
      </c>
      <c r="G28" s="1227">
        <f>SUM(AE39:AE58)+SUM(T8:T38)</f>
        <v>0</v>
      </c>
      <c r="H28" s="1236"/>
      <c r="I28" s="1218">
        <f t="shared" si="35"/>
        <v>46873</v>
      </c>
      <c r="J28" s="1195">
        <f>SUM(Q$8:Q28)</f>
        <v>-3404683.0722284745</v>
      </c>
      <c r="K28" s="391">
        <f>SUM(R$8:R28)/$J28</f>
        <v>0.89999999999999947</v>
      </c>
      <c r="L28" s="391">
        <f>SUM(S$8:S28)/$J28</f>
        <v>9.9999999999999978E-2</v>
      </c>
      <c r="M28" s="391">
        <f>SUM(T$8:T28)/$J28</f>
        <v>0</v>
      </c>
      <c r="O28" s="1182" t="str">
        <f>INDEX(reserves!$A$6:$D$126,MATCH(P28,reserves!$D$6:$D$126,0),1)</f>
        <v>Dev</v>
      </c>
      <c r="P28" s="1218">
        <f t="shared" si="36"/>
        <v>46873</v>
      </c>
      <c r="Q28" s="1195">
        <f>IF(P28=P27,0,-VLOOKUP(P28,reserves!$D$6:$S$66,MATCH(reserves!$S$5,reserves!$D$5:$BH$5,0),FALSE))</f>
        <v>-218865.1840193735</v>
      </c>
      <c r="R28" s="1265">
        <f t="shared" si="30"/>
        <v>-196978.66561743614</v>
      </c>
      <c r="S28" s="1265">
        <f t="shared" si="31"/>
        <v>-21886.518401937352</v>
      </c>
      <c r="T28" s="1265">
        <f t="shared" si="32"/>
        <v>0</v>
      </c>
      <c r="U28" s="1162"/>
      <c r="V28" s="1162"/>
      <c r="W28" s="1162"/>
      <c r="X28" s="1162"/>
      <c r="Y28" s="1162"/>
      <c r="AA28" s="1203">
        <f t="shared" si="37"/>
        <v>46873</v>
      </c>
      <c r="AB28" s="1217">
        <f t="shared" si="38"/>
        <v>-218865.1840193735</v>
      </c>
      <c r="AC28" s="1202">
        <f t="shared" si="39"/>
        <v>-196978.66561743614</v>
      </c>
      <c r="AD28" s="1202">
        <f t="shared" si="40"/>
        <v>-21886.518401937352</v>
      </c>
      <c r="AE28" s="1172">
        <f t="shared" si="41"/>
        <v>0</v>
      </c>
      <c r="AF28" s="1172"/>
      <c r="AG28" s="1172"/>
      <c r="AH28" s="1172"/>
      <c r="AI28" s="1172"/>
      <c r="AJ28" s="1172"/>
      <c r="AL28" s="1203">
        <f t="shared" si="42"/>
        <v>46873</v>
      </c>
      <c r="AM28" s="1217">
        <f t="shared" si="43"/>
        <v>-218865.1840193735</v>
      </c>
      <c r="AN28" s="1202">
        <f t="shared" si="44"/>
        <v>-196978.66561743614</v>
      </c>
      <c r="AO28" s="1202">
        <f t="shared" si="45"/>
        <v>-21886.518401937352</v>
      </c>
      <c r="AP28" s="1172">
        <f t="shared" si="46"/>
        <v>0</v>
      </c>
      <c r="AQ28" s="1172"/>
      <c r="AR28" s="1172"/>
      <c r="AS28" s="1172"/>
      <c r="AT28" s="1172"/>
      <c r="AU28" s="1172"/>
      <c r="AW28" s="1203">
        <f t="shared" si="47"/>
        <v>46873</v>
      </c>
      <c r="AX28" s="1217">
        <f t="shared" si="48"/>
        <v>-218865.1840193735</v>
      </c>
      <c r="AY28" s="1202">
        <f t="shared" si="49"/>
        <v>-196978.66561743614</v>
      </c>
      <c r="AZ28" s="1202">
        <f t="shared" si="50"/>
        <v>-21886.518401937352</v>
      </c>
      <c r="BA28" s="1172">
        <f t="shared" si="51"/>
        <v>0</v>
      </c>
      <c r="BB28" s="1172"/>
      <c r="BC28" s="1172"/>
      <c r="BD28" s="1172"/>
      <c r="BE28" s="1172"/>
      <c r="BF28" s="1172"/>
      <c r="BH28" s="1203">
        <f t="shared" si="52"/>
        <v>46873</v>
      </c>
      <c r="BI28" s="1217">
        <f t="shared" si="53"/>
        <v>-218865.1840193735</v>
      </c>
      <c r="BJ28" s="1202">
        <f t="shared" si="54"/>
        <v>-196978.66561743614</v>
      </c>
      <c r="BK28" s="1202">
        <f t="shared" si="55"/>
        <v>-21886.518401937352</v>
      </c>
      <c r="BL28" s="1172">
        <f t="shared" si="56"/>
        <v>0</v>
      </c>
      <c r="BM28" s="1172"/>
      <c r="BN28" s="1172"/>
      <c r="BO28" s="1172"/>
      <c r="BP28" s="1172"/>
      <c r="BQ28" s="1172"/>
      <c r="BS28" s="1203">
        <f t="shared" si="57"/>
        <v>46873</v>
      </c>
      <c r="BT28" s="1217">
        <f t="shared" si="58"/>
        <v>-218865.1840193735</v>
      </c>
      <c r="BU28" s="1202">
        <f t="shared" si="59"/>
        <v>-196978.66561743614</v>
      </c>
      <c r="BV28" s="1202">
        <f t="shared" si="60"/>
        <v>-21886.518401937352</v>
      </c>
      <c r="BW28" s="1172">
        <f t="shared" si="61"/>
        <v>0</v>
      </c>
      <c r="BX28" s="1172"/>
      <c r="BY28" s="1172"/>
      <c r="BZ28" s="1172"/>
      <c r="CA28" s="1172"/>
      <c r="CB28" s="1172"/>
      <c r="CD28" s="1203">
        <f t="shared" si="62"/>
        <v>46873</v>
      </c>
      <c r="CE28" s="1217">
        <f t="shared" si="63"/>
        <v>-218865.1840193735</v>
      </c>
      <c r="CF28" s="1202">
        <f t="shared" si="64"/>
        <v>-196978.66561743614</v>
      </c>
      <c r="CG28" s="1202">
        <f t="shared" si="65"/>
        <v>-21886.518401937352</v>
      </c>
      <c r="CH28" s="1172">
        <f t="shared" si="66"/>
        <v>0</v>
      </c>
    </row>
    <row r="29" spans="3:86">
      <c r="C29" s="1155" t="s">
        <v>5091</v>
      </c>
      <c r="D29" s="1227">
        <f>SUM($AF$86:$AF$105)</f>
        <v>0</v>
      </c>
      <c r="E29" s="1227">
        <f>D29*D$23</f>
        <v>0</v>
      </c>
      <c r="F29" s="1227">
        <f>D29*E$23</f>
        <v>0</v>
      </c>
      <c r="G29" s="1227">
        <f>D29*F$23</f>
        <v>0</v>
      </c>
      <c r="H29" s="1236"/>
      <c r="I29" s="1218">
        <f t="shared" si="35"/>
        <v>46904</v>
      </c>
      <c r="J29" s="1195">
        <f>SUM(Q$8:Q29)</f>
        <v>-3639381.7376011405</v>
      </c>
      <c r="K29" s="391">
        <f>SUM(R$8:R29)/$J29</f>
        <v>0.89999999999999947</v>
      </c>
      <c r="L29" s="391">
        <f>SUM(S$8:S29)/$J29</f>
        <v>9.9999999999999978E-2</v>
      </c>
      <c r="M29" s="391">
        <f>SUM(T$8:T29)/$J29</f>
        <v>0</v>
      </c>
      <c r="O29" s="1182" t="str">
        <f>INDEX(reserves!$A$6:$D$126,MATCH(P29,reserves!$D$6:$D$126,0),1)</f>
        <v>Dev</v>
      </c>
      <c r="P29" s="1218">
        <f t="shared" si="36"/>
        <v>46904</v>
      </c>
      <c r="Q29" s="1195">
        <f>IF(P29=P28,0,-VLOOKUP(P29,reserves!$D$6:$S$66,MATCH(reserves!$S$5,reserves!$D$5:$BH$5,0),FALSE))</f>
        <v>-234698.66537266574</v>
      </c>
      <c r="R29" s="1265">
        <f t="shared" si="30"/>
        <v>-211228.79883539918</v>
      </c>
      <c r="S29" s="1265">
        <f t="shared" si="31"/>
        <v>-23469.866537266575</v>
      </c>
      <c r="T29" s="1265">
        <f t="shared" si="32"/>
        <v>0</v>
      </c>
      <c r="U29" s="1162"/>
      <c r="V29" s="1162"/>
      <c r="W29" s="1162"/>
      <c r="X29" s="1162"/>
      <c r="Y29" s="1162"/>
      <c r="AA29" s="1203">
        <f t="shared" si="37"/>
        <v>46904</v>
      </c>
      <c r="AB29" s="1217">
        <f t="shared" si="38"/>
        <v>-234698.66537266574</v>
      </c>
      <c r="AC29" s="1202">
        <f t="shared" si="39"/>
        <v>-211228.79883539918</v>
      </c>
      <c r="AD29" s="1202">
        <f t="shared" si="40"/>
        <v>-23469.866537266575</v>
      </c>
      <c r="AE29" s="1172">
        <f t="shared" si="41"/>
        <v>0</v>
      </c>
      <c r="AF29" s="1172"/>
      <c r="AG29" s="1172"/>
      <c r="AH29" s="1172"/>
      <c r="AI29" s="1172"/>
      <c r="AJ29" s="1172"/>
      <c r="AL29" s="1203">
        <f t="shared" si="42"/>
        <v>46904</v>
      </c>
      <c r="AM29" s="1217">
        <f t="shared" si="43"/>
        <v>-234698.66537266574</v>
      </c>
      <c r="AN29" s="1202">
        <f t="shared" si="44"/>
        <v>-211228.79883539918</v>
      </c>
      <c r="AO29" s="1202">
        <f t="shared" si="45"/>
        <v>-23469.866537266575</v>
      </c>
      <c r="AP29" s="1172">
        <f t="shared" si="46"/>
        <v>0</v>
      </c>
      <c r="AQ29" s="1172"/>
      <c r="AR29" s="1172"/>
      <c r="AS29" s="1172"/>
      <c r="AT29" s="1172"/>
      <c r="AU29" s="1172"/>
      <c r="AW29" s="1203">
        <f t="shared" si="47"/>
        <v>46904</v>
      </c>
      <c r="AX29" s="1217">
        <f t="shared" si="48"/>
        <v>-234698.66537266574</v>
      </c>
      <c r="AY29" s="1202">
        <f t="shared" si="49"/>
        <v>-211228.79883539918</v>
      </c>
      <c r="AZ29" s="1202">
        <f t="shared" si="50"/>
        <v>-23469.866537266575</v>
      </c>
      <c r="BA29" s="1172">
        <f t="shared" si="51"/>
        <v>0</v>
      </c>
      <c r="BB29" s="1172"/>
      <c r="BC29" s="1172"/>
      <c r="BD29" s="1172"/>
      <c r="BE29" s="1172"/>
      <c r="BF29" s="1172"/>
      <c r="BH29" s="1203">
        <f t="shared" si="52"/>
        <v>46904</v>
      </c>
      <c r="BI29" s="1217">
        <f t="shared" si="53"/>
        <v>-234698.66537266574</v>
      </c>
      <c r="BJ29" s="1202">
        <f t="shared" si="54"/>
        <v>-211228.79883539918</v>
      </c>
      <c r="BK29" s="1202">
        <f t="shared" si="55"/>
        <v>-23469.866537266575</v>
      </c>
      <c r="BL29" s="1172">
        <f t="shared" si="56"/>
        <v>0</v>
      </c>
      <c r="BM29" s="1172"/>
      <c r="BN29" s="1172"/>
      <c r="BO29" s="1172"/>
      <c r="BP29" s="1172"/>
      <c r="BQ29" s="1172"/>
      <c r="BS29" s="1203">
        <f t="shared" si="57"/>
        <v>46904</v>
      </c>
      <c r="BT29" s="1217">
        <f t="shared" si="58"/>
        <v>-234698.66537266574</v>
      </c>
      <c r="BU29" s="1202">
        <f t="shared" si="59"/>
        <v>-211228.79883539918</v>
      </c>
      <c r="BV29" s="1202">
        <f t="shared" si="60"/>
        <v>-23469.866537266575</v>
      </c>
      <c r="BW29" s="1172">
        <f t="shared" si="61"/>
        <v>0</v>
      </c>
      <c r="BX29" s="1172"/>
      <c r="BY29" s="1172"/>
      <c r="BZ29" s="1172"/>
      <c r="CA29" s="1172"/>
      <c r="CB29" s="1172"/>
      <c r="CD29" s="1203">
        <f t="shared" si="62"/>
        <v>46904</v>
      </c>
      <c r="CE29" s="1217">
        <f t="shared" si="63"/>
        <v>-234698.66537266574</v>
      </c>
      <c r="CF29" s="1202">
        <f t="shared" si="64"/>
        <v>-211228.79883539918</v>
      </c>
      <c r="CG29" s="1202">
        <f t="shared" si="65"/>
        <v>-23469.866537266575</v>
      </c>
      <c r="CH29" s="1172">
        <f t="shared" si="66"/>
        <v>0</v>
      </c>
    </row>
    <row r="30" spans="3:86">
      <c r="C30" s="1155" t="s">
        <v>5090</v>
      </c>
      <c r="D30" s="1227">
        <f>SUM(AM39:AM58)-SUM(D27,D28)</f>
        <v>0.51754881627857685</v>
      </c>
      <c r="E30" s="1227">
        <f>SUM(AN39:AN58)-SUM(E27,E28)</f>
        <v>0.46579393465071917</v>
      </c>
      <c r="F30" s="1227">
        <f>SUM(AO39:AO58)-SUM(F27,F28)</f>
        <v>5.1754881686065346E-2</v>
      </c>
      <c r="G30" s="1227">
        <f>SUM(AP39:AP58)-SUM(G27,G28)</f>
        <v>0</v>
      </c>
      <c r="H30" s="1236"/>
      <c r="I30" s="1218">
        <f t="shared" si="35"/>
        <v>46934</v>
      </c>
      <c r="J30" s="1195">
        <f>SUM(Q$8:Q30)</f>
        <v>-3776316.0172536569</v>
      </c>
      <c r="K30" s="391">
        <f>SUM(R$8:R30)/$J30</f>
        <v>0.89999999999999947</v>
      </c>
      <c r="L30" s="391">
        <f>SUM(S$8:S30)/$J30</f>
        <v>9.9999999999999978E-2</v>
      </c>
      <c r="M30" s="391">
        <f>SUM(T$8:T30)/$J30</f>
        <v>0</v>
      </c>
      <c r="O30" s="1182" t="str">
        <f>INDEX(reserves!$A$6:$D$126,MATCH(P30,reserves!$D$6:$D$126,0),1)</f>
        <v>Dev</v>
      </c>
      <c r="P30" s="1218">
        <f t="shared" si="36"/>
        <v>46934</v>
      </c>
      <c r="Q30" s="1195">
        <f>IF(P30=P29,0,-VLOOKUP(P30,reserves!$D$6:$S$66,MATCH(reserves!$S$5,reserves!$D$5:$BH$5,0),FALSE))</f>
        <v>-136934.27965251642</v>
      </c>
      <c r="R30" s="1265">
        <f t="shared" si="30"/>
        <v>-123240.85168726477</v>
      </c>
      <c r="S30" s="1265">
        <f t="shared" si="31"/>
        <v>-13693.427965251642</v>
      </c>
      <c r="T30" s="1265">
        <f t="shared" si="32"/>
        <v>0</v>
      </c>
      <c r="U30" s="1162"/>
      <c r="V30" s="1162"/>
      <c r="W30" s="1162"/>
      <c r="X30" s="1162"/>
      <c r="Y30" s="1162"/>
      <c r="AA30" s="1203">
        <f t="shared" si="37"/>
        <v>46934</v>
      </c>
      <c r="AB30" s="1217">
        <f t="shared" si="38"/>
        <v>-136934.27965251642</v>
      </c>
      <c r="AC30" s="1202">
        <f t="shared" si="39"/>
        <v>-123240.85168726477</v>
      </c>
      <c r="AD30" s="1202">
        <f t="shared" si="40"/>
        <v>-13693.427965251642</v>
      </c>
      <c r="AE30" s="1172">
        <f t="shared" si="41"/>
        <v>0</v>
      </c>
      <c r="AF30" s="1172"/>
      <c r="AG30" s="1172"/>
      <c r="AH30" s="1172"/>
      <c r="AI30" s="1172"/>
      <c r="AJ30" s="1172"/>
      <c r="AL30" s="1203">
        <f t="shared" si="42"/>
        <v>46934</v>
      </c>
      <c r="AM30" s="1217">
        <f t="shared" si="43"/>
        <v>-136934.27965251642</v>
      </c>
      <c r="AN30" s="1202">
        <f t="shared" si="44"/>
        <v>-123240.85168726477</v>
      </c>
      <c r="AO30" s="1202">
        <f t="shared" si="45"/>
        <v>-13693.427965251642</v>
      </c>
      <c r="AP30" s="1172">
        <f t="shared" si="46"/>
        <v>0</v>
      </c>
      <c r="AQ30" s="1172"/>
      <c r="AR30" s="1172"/>
      <c r="AS30" s="1172"/>
      <c r="AT30" s="1172"/>
      <c r="AU30" s="1172"/>
      <c r="AW30" s="1203">
        <f t="shared" si="47"/>
        <v>46934</v>
      </c>
      <c r="AX30" s="1217">
        <f t="shared" si="48"/>
        <v>-136934.27965251642</v>
      </c>
      <c r="AY30" s="1202">
        <f t="shared" si="49"/>
        <v>-123240.85168726477</v>
      </c>
      <c r="AZ30" s="1202">
        <f t="shared" si="50"/>
        <v>-13693.427965251642</v>
      </c>
      <c r="BA30" s="1172">
        <f t="shared" si="51"/>
        <v>0</v>
      </c>
      <c r="BB30" s="1172"/>
      <c r="BC30" s="1172"/>
      <c r="BD30" s="1172"/>
      <c r="BE30" s="1172"/>
      <c r="BF30" s="1172"/>
      <c r="BH30" s="1203">
        <f t="shared" si="52"/>
        <v>46934</v>
      </c>
      <c r="BI30" s="1217">
        <f t="shared" si="53"/>
        <v>-136934.27965251642</v>
      </c>
      <c r="BJ30" s="1202">
        <f t="shared" si="54"/>
        <v>-123240.85168726477</v>
      </c>
      <c r="BK30" s="1202">
        <f t="shared" si="55"/>
        <v>-13693.427965251642</v>
      </c>
      <c r="BL30" s="1172">
        <f t="shared" si="56"/>
        <v>0</v>
      </c>
      <c r="BM30" s="1172"/>
      <c r="BN30" s="1172"/>
      <c r="BO30" s="1172"/>
      <c r="BP30" s="1172"/>
      <c r="BQ30" s="1172"/>
      <c r="BS30" s="1203">
        <f t="shared" si="57"/>
        <v>46934</v>
      </c>
      <c r="BT30" s="1217">
        <f t="shared" si="58"/>
        <v>-136934.27965251642</v>
      </c>
      <c r="BU30" s="1202">
        <f t="shared" si="59"/>
        <v>-123240.85168726477</v>
      </c>
      <c r="BV30" s="1202">
        <f t="shared" si="60"/>
        <v>-13693.427965251642</v>
      </c>
      <c r="BW30" s="1172">
        <f t="shared" si="61"/>
        <v>0</v>
      </c>
      <c r="BX30" s="1172"/>
      <c r="BY30" s="1172"/>
      <c r="BZ30" s="1172"/>
      <c r="CA30" s="1172"/>
      <c r="CB30" s="1172"/>
      <c r="CD30" s="1203">
        <f t="shared" si="62"/>
        <v>46934</v>
      </c>
      <c r="CE30" s="1217">
        <f t="shared" si="63"/>
        <v>-136934.27965251642</v>
      </c>
      <c r="CF30" s="1202">
        <f t="shared" si="64"/>
        <v>-123240.85168726477</v>
      </c>
      <c r="CG30" s="1202">
        <f t="shared" si="65"/>
        <v>-13693.427965251642</v>
      </c>
      <c r="CH30" s="1172">
        <f t="shared" si="66"/>
        <v>0</v>
      </c>
    </row>
    <row r="31" spans="3:86">
      <c r="C31" s="1155" t="s">
        <v>5089</v>
      </c>
      <c r="D31" s="1224">
        <f>SUM($AQ$86:$AQ$105)</f>
        <v>5175487.6505360212</v>
      </c>
      <c r="E31" s="1227">
        <f>D31*D$23</f>
        <v>0</v>
      </c>
      <c r="F31" s="1227">
        <f>D31*E$23</f>
        <v>5175487.6505360212</v>
      </c>
      <c r="G31" s="1227">
        <f>D31*F$23</f>
        <v>0</v>
      </c>
      <c r="H31" s="1236"/>
      <c r="I31" s="1218">
        <f t="shared" si="35"/>
        <v>46965</v>
      </c>
      <c r="J31" s="1195">
        <f>SUM(Q$8:Q31)</f>
        <v>-4000000</v>
      </c>
      <c r="K31" s="391">
        <f>SUM(R$8:R31)/$J31</f>
        <v>0.89999999999999947</v>
      </c>
      <c r="L31" s="391">
        <f>SUM(S$8:S31)/$J31</f>
        <v>9.9999999999999992E-2</v>
      </c>
      <c r="M31" s="391">
        <f>SUM(T$8:T31)/$J31</f>
        <v>0</v>
      </c>
      <c r="O31" s="1182" t="str">
        <f>INDEX(reserves!$A$6:$D$126,MATCH(P31,reserves!$D$6:$D$126,0),1)</f>
        <v>Dev</v>
      </c>
      <c r="P31" s="1218">
        <f t="shared" si="36"/>
        <v>46965</v>
      </c>
      <c r="Q31" s="1195">
        <f>IF(P31=P30,0,-VLOOKUP(P31,reserves!$D$6:$S$66,MATCH(reserves!$S$5,reserves!$D$5:$BH$5,0),FALSE))</f>
        <v>-223683.98274634313</v>
      </c>
      <c r="R31" s="1265">
        <f t="shared" si="30"/>
        <v>-201315.58447170883</v>
      </c>
      <c r="S31" s="1265">
        <f t="shared" si="31"/>
        <v>-22368.398274634314</v>
      </c>
      <c r="T31" s="1265">
        <f t="shared" si="32"/>
        <v>0</v>
      </c>
      <c r="U31" s="1162"/>
      <c r="V31" s="1162"/>
      <c r="W31" s="1162"/>
      <c r="X31" s="1162"/>
      <c r="Y31" s="1162"/>
      <c r="AA31" s="1203">
        <f t="shared" si="37"/>
        <v>46965</v>
      </c>
      <c r="AB31" s="1217">
        <f t="shared" si="38"/>
        <v>-223683.98274634313</v>
      </c>
      <c r="AC31" s="1202">
        <f t="shared" si="39"/>
        <v>-201315.58447170883</v>
      </c>
      <c r="AD31" s="1202">
        <f t="shared" si="40"/>
        <v>-22368.398274634314</v>
      </c>
      <c r="AE31" s="1172">
        <f t="shared" si="41"/>
        <v>0</v>
      </c>
      <c r="AF31" s="1172"/>
      <c r="AG31" s="1172"/>
      <c r="AH31" s="1172"/>
      <c r="AI31" s="1172"/>
      <c r="AJ31" s="1172"/>
      <c r="AL31" s="1203">
        <f t="shared" si="42"/>
        <v>46965</v>
      </c>
      <c r="AM31" s="1217">
        <f t="shared" si="43"/>
        <v>-223683.98274634313</v>
      </c>
      <c r="AN31" s="1202">
        <f t="shared" si="44"/>
        <v>-201315.58447170883</v>
      </c>
      <c r="AO31" s="1202">
        <f t="shared" si="45"/>
        <v>-22368.398274634314</v>
      </c>
      <c r="AP31" s="1172">
        <f t="shared" si="46"/>
        <v>0</v>
      </c>
      <c r="AQ31" s="1172"/>
      <c r="AR31" s="1172"/>
      <c r="AS31" s="1172"/>
      <c r="AT31" s="1172"/>
      <c r="AU31" s="1172"/>
      <c r="AW31" s="1203">
        <f t="shared" si="47"/>
        <v>46965</v>
      </c>
      <c r="AX31" s="1217">
        <f t="shared" si="48"/>
        <v>-223683.98274634313</v>
      </c>
      <c r="AY31" s="1202">
        <f t="shared" si="49"/>
        <v>-201315.58447170883</v>
      </c>
      <c r="AZ31" s="1202">
        <f t="shared" si="50"/>
        <v>-22368.398274634314</v>
      </c>
      <c r="BA31" s="1172">
        <f t="shared" si="51"/>
        <v>0</v>
      </c>
      <c r="BB31" s="1172"/>
      <c r="BC31" s="1172"/>
      <c r="BD31" s="1172"/>
      <c r="BE31" s="1172"/>
      <c r="BF31" s="1172"/>
      <c r="BH31" s="1203">
        <f t="shared" si="52"/>
        <v>46965</v>
      </c>
      <c r="BI31" s="1217">
        <f t="shared" si="53"/>
        <v>-223683.98274634313</v>
      </c>
      <c r="BJ31" s="1202">
        <f t="shared" si="54"/>
        <v>-201315.58447170883</v>
      </c>
      <c r="BK31" s="1202">
        <f t="shared" si="55"/>
        <v>-22368.398274634314</v>
      </c>
      <c r="BL31" s="1172">
        <f t="shared" si="56"/>
        <v>0</v>
      </c>
      <c r="BM31" s="1172"/>
      <c r="BN31" s="1172"/>
      <c r="BO31" s="1172"/>
      <c r="BP31" s="1172"/>
      <c r="BQ31" s="1172"/>
      <c r="BS31" s="1203">
        <f t="shared" si="57"/>
        <v>46965</v>
      </c>
      <c r="BT31" s="1217">
        <f t="shared" si="58"/>
        <v>-223683.98274634313</v>
      </c>
      <c r="BU31" s="1202">
        <f t="shared" si="59"/>
        <v>-201315.58447170883</v>
      </c>
      <c r="BV31" s="1202">
        <f t="shared" si="60"/>
        <v>-22368.398274634314</v>
      </c>
      <c r="BW31" s="1172">
        <f t="shared" si="61"/>
        <v>0</v>
      </c>
      <c r="BX31" s="1172"/>
      <c r="BY31" s="1172"/>
      <c r="BZ31" s="1172"/>
      <c r="CA31" s="1172"/>
      <c r="CB31" s="1172"/>
      <c r="CD31" s="1203">
        <f t="shared" si="62"/>
        <v>46965</v>
      </c>
      <c r="CE31" s="1217">
        <f t="shared" si="63"/>
        <v>-223683.98274634313</v>
      </c>
      <c r="CF31" s="1202">
        <f t="shared" si="64"/>
        <v>-201315.58447170883</v>
      </c>
      <c r="CG31" s="1202">
        <f t="shared" si="65"/>
        <v>-22368.398274634314</v>
      </c>
      <c r="CH31" s="1172">
        <f t="shared" si="66"/>
        <v>0</v>
      </c>
    </row>
    <row r="32" spans="3:86">
      <c r="C32" s="1155" t="s">
        <v>267</v>
      </c>
      <c r="D32" s="1227">
        <f>SUM(AX39:AX58)-SUM(D27:D28,D30)</f>
        <v>0</v>
      </c>
      <c r="E32" s="1227">
        <f>SUM(AY39:AY58)-SUM(E27:E28,E30)</f>
        <v>0</v>
      </c>
      <c r="F32" s="1227">
        <f>SUM(AZ39:AZ58)-SUM(F27:F28,F30)</f>
        <v>0</v>
      </c>
      <c r="G32" s="1227">
        <f>SUM(BA39:BA58)-SUM(G27:G28,G30)</f>
        <v>0</v>
      </c>
      <c r="H32" s="1236"/>
      <c r="I32" s="1218">
        <f t="shared" si="35"/>
        <v>46996</v>
      </c>
      <c r="J32" s="1195">
        <f>SUM(Q$8:Q32)</f>
        <v>-4000000</v>
      </c>
      <c r="K32" s="391">
        <f>SUM(R$8:R32)/$J32</f>
        <v>0.89999999999999947</v>
      </c>
      <c r="L32" s="391">
        <f>SUM(S$8:S32)/$J32</f>
        <v>9.9999999999999992E-2</v>
      </c>
      <c r="M32" s="391">
        <f>SUM(T$8:T32)/$J32</f>
        <v>0</v>
      </c>
      <c r="O32" s="1182" t="str">
        <f>INDEX(reserves!$A$6:$D$126,MATCH(P32,reserves!$D$6:$D$126,0),1)</f>
        <v>Dev</v>
      </c>
      <c r="P32" s="1218">
        <f t="shared" si="36"/>
        <v>46996</v>
      </c>
      <c r="Q32" s="1195">
        <f>IF(P32=P31,0,-VLOOKUP(P32,reserves!$D$6:$S$66,MATCH(reserves!$S$5,reserves!$D$5:$BH$5,0),FALSE))</f>
        <v>0</v>
      </c>
      <c r="R32" s="1265">
        <f t="shared" si="30"/>
        <v>0</v>
      </c>
      <c r="S32" s="1265">
        <f t="shared" si="31"/>
        <v>0</v>
      </c>
      <c r="T32" s="1265">
        <f t="shared" si="32"/>
        <v>0</v>
      </c>
      <c r="U32" s="1162"/>
      <c r="V32" s="1162"/>
      <c r="W32" s="1162"/>
      <c r="X32" s="1162"/>
      <c r="Y32" s="1162"/>
      <c r="AA32" s="1203">
        <f t="shared" si="37"/>
        <v>46996</v>
      </c>
      <c r="AB32" s="1217">
        <f t="shared" si="38"/>
        <v>0</v>
      </c>
      <c r="AC32" s="1202">
        <f t="shared" si="39"/>
        <v>0</v>
      </c>
      <c r="AD32" s="1202">
        <f t="shared" si="40"/>
        <v>0</v>
      </c>
      <c r="AE32" s="1172">
        <f t="shared" si="41"/>
        <v>0</v>
      </c>
      <c r="AF32" s="1172"/>
      <c r="AG32" s="1172"/>
      <c r="AH32" s="1172"/>
      <c r="AI32" s="1172"/>
      <c r="AJ32" s="1172"/>
      <c r="AL32" s="1203">
        <f t="shared" si="42"/>
        <v>46996</v>
      </c>
      <c r="AM32" s="1217">
        <f t="shared" si="43"/>
        <v>0</v>
      </c>
      <c r="AN32" s="1202">
        <f t="shared" si="44"/>
        <v>0</v>
      </c>
      <c r="AO32" s="1202">
        <f t="shared" si="45"/>
        <v>0</v>
      </c>
      <c r="AP32" s="1172">
        <f t="shared" si="46"/>
        <v>0</v>
      </c>
      <c r="AQ32" s="1172"/>
      <c r="AR32" s="1172"/>
      <c r="AS32" s="1172"/>
      <c r="AT32" s="1172"/>
      <c r="AU32" s="1172"/>
      <c r="AW32" s="1203">
        <f t="shared" si="47"/>
        <v>46996</v>
      </c>
      <c r="AX32" s="1217">
        <f t="shared" si="48"/>
        <v>0</v>
      </c>
      <c r="AY32" s="1202">
        <f t="shared" si="49"/>
        <v>0</v>
      </c>
      <c r="AZ32" s="1202">
        <f t="shared" si="50"/>
        <v>0</v>
      </c>
      <c r="BA32" s="1172">
        <f t="shared" si="51"/>
        <v>0</v>
      </c>
      <c r="BB32" s="1172"/>
      <c r="BC32" s="1172"/>
      <c r="BD32" s="1172"/>
      <c r="BE32" s="1172"/>
      <c r="BF32" s="1172"/>
      <c r="BH32" s="1203">
        <f t="shared" si="52"/>
        <v>46996</v>
      </c>
      <c r="BI32" s="1217">
        <f t="shared" si="53"/>
        <v>0</v>
      </c>
      <c r="BJ32" s="1202">
        <f t="shared" si="54"/>
        <v>0</v>
      </c>
      <c r="BK32" s="1202">
        <f t="shared" si="55"/>
        <v>0</v>
      </c>
      <c r="BL32" s="1172">
        <f t="shared" si="56"/>
        <v>0</v>
      </c>
      <c r="BM32" s="1172"/>
      <c r="BN32" s="1172"/>
      <c r="BO32" s="1172"/>
      <c r="BP32" s="1172"/>
      <c r="BQ32" s="1172"/>
      <c r="BS32" s="1203">
        <f t="shared" si="57"/>
        <v>46996</v>
      </c>
      <c r="BT32" s="1217">
        <f t="shared" si="58"/>
        <v>0</v>
      </c>
      <c r="BU32" s="1202">
        <f t="shared" si="59"/>
        <v>0</v>
      </c>
      <c r="BV32" s="1202">
        <f t="shared" si="60"/>
        <v>0</v>
      </c>
      <c r="BW32" s="1172">
        <f t="shared" si="61"/>
        <v>0</v>
      </c>
      <c r="BX32" s="1172"/>
      <c r="BY32" s="1172"/>
      <c r="BZ32" s="1172"/>
      <c r="CA32" s="1172"/>
      <c r="CB32" s="1172"/>
      <c r="CD32" s="1203">
        <f t="shared" si="62"/>
        <v>46996</v>
      </c>
      <c r="CE32" s="1217">
        <f t="shared" si="63"/>
        <v>0</v>
      </c>
      <c r="CF32" s="1202">
        <f t="shared" si="64"/>
        <v>0</v>
      </c>
      <c r="CG32" s="1202">
        <f t="shared" si="65"/>
        <v>0</v>
      </c>
      <c r="CH32" s="1172">
        <f t="shared" si="66"/>
        <v>0</v>
      </c>
    </row>
    <row r="33" spans="3:86">
      <c r="C33" s="1155" t="s">
        <v>5088</v>
      </c>
      <c r="D33" s="1227">
        <f>SUM($BB$86:$BB$105)</f>
        <v>0</v>
      </c>
      <c r="E33" s="1227">
        <f>D33*D$23</f>
        <v>0</v>
      </c>
      <c r="F33" s="1227">
        <f>D33*E$23</f>
        <v>0</v>
      </c>
      <c r="G33" s="1227">
        <f>D33*F$23</f>
        <v>0</v>
      </c>
      <c r="H33" s="1236"/>
      <c r="I33" s="1218">
        <f t="shared" si="35"/>
        <v>47026</v>
      </c>
      <c r="J33" s="1195">
        <f>SUM(Q$8:Q33)</f>
        <v>-4000000</v>
      </c>
      <c r="K33" s="391">
        <f>SUM(R$8:R33)/$J33</f>
        <v>0.89999999999999947</v>
      </c>
      <c r="L33" s="391">
        <f>SUM(S$8:S33)/$J33</f>
        <v>9.9999999999999992E-2</v>
      </c>
      <c r="M33" s="391">
        <f>SUM(T$8:T33)/$J33</f>
        <v>0</v>
      </c>
      <c r="O33" s="1182" t="str">
        <f>INDEX(reserves!$A$6:$D$126,MATCH(P33,reserves!$D$6:$D$126,0),1)</f>
        <v>Dev</v>
      </c>
      <c r="P33" s="1218">
        <f t="shared" si="36"/>
        <v>47026</v>
      </c>
      <c r="Q33" s="1195">
        <f>IF(P33=P32,0,-VLOOKUP(P33,reserves!$D$6:$S$66,MATCH(reserves!$S$5,reserves!$D$5:$BH$5,0),FALSE))</f>
        <v>0</v>
      </c>
      <c r="R33" s="1265">
        <f t="shared" si="30"/>
        <v>0</v>
      </c>
      <c r="S33" s="1265">
        <f t="shared" si="31"/>
        <v>0</v>
      </c>
      <c r="T33" s="1265">
        <f t="shared" si="32"/>
        <v>0</v>
      </c>
      <c r="U33" s="1162"/>
      <c r="V33" s="1162"/>
      <c r="W33" s="1162"/>
      <c r="X33" s="1162"/>
      <c r="Y33" s="1162"/>
      <c r="AA33" s="1203">
        <f t="shared" si="37"/>
        <v>47026</v>
      </c>
      <c r="AB33" s="1217">
        <f t="shared" si="38"/>
        <v>0</v>
      </c>
      <c r="AC33" s="1202">
        <f t="shared" si="39"/>
        <v>0</v>
      </c>
      <c r="AD33" s="1202">
        <f t="shared" si="40"/>
        <v>0</v>
      </c>
      <c r="AE33" s="1172">
        <f t="shared" si="41"/>
        <v>0</v>
      </c>
      <c r="AF33" s="1172"/>
      <c r="AG33" s="1172"/>
      <c r="AH33" s="1172"/>
      <c r="AI33" s="1172"/>
      <c r="AJ33" s="1172"/>
      <c r="AL33" s="1203">
        <f t="shared" si="42"/>
        <v>47026</v>
      </c>
      <c r="AM33" s="1217">
        <f t="shared" si="43"/>
        <v>0</v>
      </c>
      <c r="AN33" s="1202">
        <f t="shared" si="44"/>
        <v>0</v>
      </c>
      <c r="AO33" s="1202">
        <f t="shared" si="45"/>
        <v>0</v>
      </c>
      <c r="AP33" s="1172">
        <f t="shared" si="46"/>
        <v>0</v>
      </c>
      <c r="AQ33" s="1172"/>
      <c r="AR33" s="1172"/>
      <c r="AS33" s="1172"/>
      <c r="AT33" s="1172"/>
      <c r="AU33" s="1172"/>
      <c r="AW33" s="1203">
        <f t="shared" si="47"/>
        <v>47026</v>
      </c>
      <c r="AX33" s="1217">
        <f t="shared" si="48"/>
        <v>0</v>
      </c>
      <c r="AY33" s="1202">
        <f t="shared" si="49"/>
        <v>0</v>
      </c>
      <c r="AZ33" s="1202">
        <f t="shared" si="50"/>
        <v>0</v>
      </c>
      <c r="BA33" s="1172">
        <f t="shared" si="51"/>
        <v>0</v>
      </c>
      <c r="BB33" s="1172"/>
      <c r="BC33" s="1172"/>
      <c r="BD33" s="1172"/>
      <c r="BE33" s="1172"/>
      <c r="BF33" s="1172"/>
      <c r="BH33" s="1203">
        <f t="shared" si="52"/>
        <v>47026</v>
      </c>
      <c r="BI33" s="1217">
        <f t="shared" si="53"/>
        <v>0</v>
      </c>
      <c r="BJ33" s="1202">
        <f t="shared" si="54"/>
        <v>0</v>
      </c>
      <c r="BK33" s="1202">
        <f t="shared" si="55"/>
        <v>0</v>
      </c>
      <c r="BL33" s="1172">
        <f t="shared" si="56"/>
        <v>0</v>
      </c>
      <c r="BM33" s="1172"/>
      <c r="BN33" s="1172"/>
      <c r="BO33" s="1172"/>
      <c r="BP33" s="1172"/>
      <c r="BQ33" s="1172"/>
      <c r="BS33" s="1203">
        <f t="shared" si="57"/>
        <v>47026</v>
      </c>
      <c r="BT33" s="1217">
        <f t="shared" si="58"/>
        <v>0</v>
      </c>
      <c r="BU33" s="1202">
        <f t="shared" si="59"/>
        <v>0</v>
      </c>
      <c r="BV33" s="1202">
        <f t="shared" si="60"/>
        <v>0</v>
      </c>
      <c r="BW33" s="1172">
        <f t="shared" si="61"/>
        <v>0</v>
      </c>
      <c r="BX33" s="1172"/>
      <c r="BY33" s="1172"/>
      <c r="BZ33" s="1172"/>
      <c r="CA33" s="1172"/>
      <c r="CB33" s="1172"/>
      <c r="CD33" s="1203">
        <f t="shared" si="62"/>
        <v>47026</v>
      </c>
      <c r="CE33" s="1217">
        <f t="shared" si="63"/>
        <v>0</v>
      </c>
      <c r="CF33" s="1202">
        <f t="shared" si="64"/>
        <v>0</v>
      </c>
      <c r="CG33" s="1202">
        <f t="shared" si="65"/>
        <v>0</v>
      </c>
      <c r="CH33" s="1172">
        <f t="shared" si="66"/>
        <v>0</v>
      </c>
    </row>
    <row r="34" spans="3:86">
      <c r="C34" s="1155" t="s">
        <v>447</v>
      </c>
      <c r="D34" s="1227">
        <f>SUM(BI39:BI58)-SUM(D27:D28,D30,D32)</f>
        <v>0</v>
      </c>
      <c r="E34" s="1227">
        <f>SUM(BJ39:BJ58)-SUM(E27:E28,E30,E32)</f>
        <v>0</v>
      </c>
      <c r="F34" s="1227">
        <f>SUM(BK39:BK58)-SUM(F27:F28,F30,F32)</f>
        <v>0</v>
      </c>
      <c r="G34" s="1227">
        <f>SUM(BL39:BL58)-SUM(G27:G28,G30,G32)</f>
        <v>0</v>
      </c>
      <c r="H34" s="1236"/>
      <c r="I34" s="1218">
        <f t="shared" si="35"/>
        <v>47057</v>
      </c>
      <c r="J34" s="1195">
        <f>SUM(Q$8:Q34)</f>
        <v>-4000000</v>
      </c>
      <c r="K34" s="391">
        <f>SUM(R$8:R34)/$J34</f>
        <v>0.89999999999999947</v>
      </c>
      <c r="L34" s="391">
        <f>SUM(S$8:S34)/$J34</f>
        <v>9.9999999999999992E-2</v>
      </c>
      <c r="M34" s="391">
        <f>SUM(T$8:T34)/$J34</f>
        <v>0</v>
      </c>
      <c r="O34" s="1182" t="str">
        <f>INDEX(reserves!$A$6:$D$126,MATCH(P34,reserves!$D$6:$D$126,0),1)</f>
        <v>Dev</v>
      </c>
      <c r="P34" s="1218">
        <f t="shared" si="36"/>
        <v>47057</v>
      </c>
      <c r="Q34" s="1195">
        <f>IF(P34=P33,0,-VLOOKUP(P34,reserves!$D$6:$S$66,MATCH(reserves!$S$5,reserves!$D$5:$BH$5,0),FALSE))</f>
        <v>0</v>
      </c>
      <c r="R34" s="1265">
        <f t="shared" si="30"/>
        <v>0</v>
      </c>
      <c r="S34" s="1265">
        <f t="shared" si="31"/>
        <v>0</v>
      </c>
      <c r="T34" s="1265">
        <f t="shared" si="32"/>
        <v>0</v>
      </c>
      <c r="U34" s="1162"/>
      <c r="V34" s="1162"/>
      <c r="W34" s="1162"/>
      <c r="X34" s="1162"/>
      <c r="Y34" s="1162"/>
      <c r="AA34" s="1203">
        <f t="shared" si="37"/>
        <v>47057</v>
      </c>
      <c r="AB34" s="1217">
        <f t="shared" si="38"/>
        <v>0</v>
      </c>
      <c r="AC34" s="1202">
        <f t="shared" si="39"/>
        <v>0</v>
      </c>
      <c r="AD34" s="1202">
        <f t="shared" si="40"/>
        <v>0</v>
      </c>
      <c r="AE34" s="1172">
        <f t="shared" si="41"/>
        <v>0</v>
      </c>
      <c r="AF34" s="1172"/>
      <c r="AG34" s="1172"/>
      <c r="AH34" s="1172"/>
      <c r="AI34" s="1172"/>
      <c r="AJ34" s="1172"/>
      <c r="AL34" s="1203">
        <f t="shared" si="42"/>
        <v>47057</v>
      </c>
      <c r="AM34" s="1217">
        <f t="shared" si="43"/>
        <v>0</v>
      </c>
      <c r="AN34" s="1202">
        <f t="shared" si="44"/>
        <v>0</v>
      </c>
      <c r="AO34" s="1202">
        <f t="shared" si="45"/>
        <v>0</v>
      </c>
      <c r="AP34" s="1172">
        <f t="shared" si="46"/>
        <v>0</v>
      </c>
      <c r="AQ34" s="1172"/>
      <c r="AR34" s="1172"/>
      <c r="AS34" s="1172"/>
      <c r="AT34" s="1172"/>
      <c r="AU34" s="1172"/>
      <c r="AW34" s="1203">
        <f t="shared" si="47"/>
        <v>47057</v>
      </c>
      <c r="AX34" s="1217">
        <f t="shared" si="48"/>
        <v>0</v>
      </c>
      <c r="AY34" s="1202">
        <f t="shared" si="49"/>
        <v>0</v>
      </c>
      <c r="AZ34" s="1202">
        <f t="shared" si="50"/>
        <v>0</v>
      </c>
      <c r="BA34" s="1172">
        <f t="shared" si="51"/>
        <v>0</v>
      </c>
      <c r="BB34" s="1172"/>
      <c r="BC34" s="1172"/>
      <c r="BD34" s="1172"/>
      <c r="BE34" s="1172"/>
      <c r="BF34" s="1172"/>
      <c r="BH34" s="1203">
        <f t="shared" si="52"/>
        <v>47057</v>
      </c>
      <c r="BI34" s="1217">
        <f t="shared" si="53"/>
        <v>0</v>
      </c>
      <c r="BJ34" s="1202">
        <f t="shared" si="54"/>
        <v>0</v>
      </c>
      <c r="BK34" s="1202">
        <f t="shared" si="55"/>
        <v>0</v>
      </c>
      <c r="BL34" s="1172">
        <f t="shared" si="56"/>
        <v>0</v>
      </c>
      <c r="BM34" s="1172"/>
      <c r="BN34" s="1172"/>
      <c r="BO34" s="1172"/>
      <c r="BP34" s="1172"/>
      <c r="BQ34" s="1172"/>
      <c r="BS34" s="1203">
        <f t="shared" si="57"/>
        <v>47057</v>
      </c>
      <c r="BT34" s="1217">
        <f t="shared" si="58"/>
        <v>0</v>
      </c>
      <c r="BU34" s="1202">
        <f t="shared" si="59"/>
        <v>0</v>
      </c>
      <c r="BV34" s="1202">
        <f t="shared" si="60"/>
        <v>0</v>
      </c>
      <c r="BW34" s="1172">
        <f t="shared" si="61"/>
        <v>0</v>
      </c>
      <c r="BX34" s="1172"/>
      <c r="BY34" s="1172"/>
      <c r="BZ34" s="1172"/>
      <c r="CA34" s="1172"/>
      <c r="CB34" s="1172"/>
      <c r="CD34" s="1203">
        <f t="shared" si="62"/>
        <v>47057</v>
      </c>
      <c r="CE34" s="1217">
        <f t="shared" si="63"/>
        <v>0</v>
      </c>
      <c r="CF34" s="1202">
        <f t="shared" si="64"/>
        <v>0</v>
      </c>
      <c r="CG34" s="1202">
        <f t="shared" si="65"/>
        <v>0</v>
      </c>
      <c r="CH34" s="1172">
        <f t="shared" si="66"/>
        <v>0</v>
      </c>
    </row>
    <row r="35" spans="3:86">
      <c r="C35" s="1155" t="s">
        <v>5087</v>
      </c>
      <c r="D35" s="1227">
        <f>SUM($BM$86:$BM$105)</f>
        <v>0</v>
      </c>
      <c r="E35" s="1227">
        <f>D35*D$23</f>
        <v>0</v>
      </c>
      <c r="F35" s="1227">
        <f>D35*E$23</f>
        <v>0</v>
      </c>
      <c r="G35" s="1227">
        <f>D35*F$23</f>
        <v>0</v>
      </c>
      <c r="H35" s="1236"/>
      <c r="I35" s="1218">
        <f t="shared" si="35"/>
        <v>47087</v>
      </c>
      <c r="J35" s="1195">
        <f>SUM(Q$8:Q35)</f>
        <v>-4000000</v>
      </c>
      <c r="K35" s="391">
        <f>SUM(R$8:R35)/$J35</f>
        <v>0.89999999999999947</v>
      </c>
      <c r="L35" s="391">
        <f>SUM(S$8:S35)/$J35</f>
        <v>9.9999999999999992E-2</v>
      </c>
      <c r="M35" s="391">
        <f>SUM(T$8:T35)/$J35</f>
        <v>0</v>
      </c>
      <c r="O35" s="1182" t="str">
        <f>INDEX(reserves!$A$6:$D$126,MATCH(P35,reserves!$D$6:$D$126,0),1)</f>
        <v>Dev</v>
      </c>
      <c r="P35" s="1218">
        <f t="shared" si="36"/>
        <v>47087</v>
      </c>
      <c r="Q35" s="1195">
        <f>IF(P35=P34,0,-VLOOKUP(P35,reserves!$D$6:$S$66,MATCH(reserves!$S$5,reserves!$D$5:$BH$5,0),FALSE))</f>
        <v>0</v>
      </c>
      <c r="R35" s="1265">
        <f t="shared" si="30"/>
        <v>0</v>
      </c>
      <c r="S35" s="1265">
        <f t="shared" si="31"/>
        <v>0</v>
      </c>
      <c r="T35" s="1265">
        <f t="shared" si="32"/>
        <v>0</v>
      </c>
      <c r="U35" s="1162"/>
      <c r="V35" s="1162"/>
      <c r="W35" s="1162"/>
      <c r="X35" s="1162"/>
      <c r="Y35" s="1162"/>
      <c r="AA35" s="1203">
        <f t="shared" si="37"/>
        <v>47087</v>
      </c>
      <c r="AB35" s="1217">
        <f t="shared" si="38"/>
        <v>0</v>
      </c>
      <c r="AC35" s="1202">
        <f t="shared" si="39"/>
        <v>0</v>
      </c>
      <c r="AD35" s="1202">
        <f t="shared" si="40"/>
        <v>0</v>
      </c>
      <c r="AE35" s="1172">
        <f t="shared" si="41"/>
        <v>0</v>
      </c>
      <c r="AF35" s="1172"/>
      <c r="AG35" s="1172"/>
      <c r="AH35" s="1172"/>
      <c r="AI35" s="1172"/>
      <c r="AJ35" s="1172"/>
      <c r="AL35" s="1203">
        <f t="shared" si="42"/>
        <v>47087</v>
      </c>
      <c r="AM35" s="1217">
        <f t="shared" si="43"/>
        <v>0</v>
      </c>
      <c r="AN35" s="1202">
        <f t="shared" si="44"/>
        <v>0</v>
      </c>
      <c r="AO35" s="1202">
        <f t="shared" si="45"/>
        <v>0</v>
      </c>
      <c r="AP35" s="1172">
        <f t="shared" si="46"/>
        <v>0</v>
      </c>
      <c r="AQ35" s="1172"/>
      <c r="AR35" s="1172"/>
      <c r="AS35" s="1172"/>
      <c r="AT35" s="1172"/>
      <c r="AU35" s="1172"/>
      <c r="AW35" s="1203">
        <f t="shared" si="47"/>
        <v>47087</v>
      </c>
      <c r="AX35" s="1217">
        <f t="shared" si="48"/>
        <v>0</v>
      </c>
      <c r="AY35" s="1202">
        <f t="shared" si="49"/>
        <v>0</v>
      </c>
      <c r="AZ35" s="1202">
        <f t="shared" si="50"/>
        <v>0</v>
      </c>
      <c r="BA35" s="1172">
        <f t="shared" si="51"/>
        <v>0</v>
      </c>
      <c r="BB35" s="1172"/>
      <c r="BC35" s="1172"/>
      <c r="BD35" s="1172"/>
      <c r="BE35" s="1172"/>
      <c r="BF35" s="1172"/>
      <c r="BH35" s="1203">
        <f t="shared" si="52"/>
        <v>47087</v>
      </c>
      <c r="BI35" s="1217">
        <f t="shared" si="53"/>
        <v>0</v>
      </c>
      <c r="BJ35" s="1202">
        <f t="shared" si="54"/>
        <v>0</v>
      </c>
      <c r="BK35" s="1202">
        <f t="shared" si="55"/>
        <v>0</v>
      </c>
      <c r="BL35" s="1172">
        <f t="shared" si="56"/>
        <v>0</v>
      </c>
      <c r="BM35" s="1172"/>
      <c r="BN35" s="1172"/>
      <c r="BO35" s="1172"/>
      <c r="BP35" s="1172"/>
      <c r="BQ35" s="1172"/>
      <c r="BS35" s="1203">
        <f t="shared" si="57"/>
        <v>47087</v>
      </c>
      <c r="BT35" s="1217">
        <f t="shared" si="58"/>
        <v>0</v>
      </c>
      <c r="BU35" s="1202">
        <f t="shared" si="59"/>
        <v>0</v>
      </c>
      <c r="BV35" s="1202">
        <f t="shared" si="60"/>
        <v>0</v>
      </c>
      <c r="BW35" s="1172">
        <f t="shared" si="61"/>
        <v>0</v>
      </c>
      <c r="BX35" s="1172"/>
      <c r="BY35" s="1172"/>
      <c r="BZ35" s="1172"/>
      <c r="CA35" s="1172"/>
      <c r="CB35" s="1172"/>
      <c r="CD35" s="1203">
        <f t="shared" si="62"/>
        <v>47087</v>
      </c>
      <c r="CE35" s="1217">
        <f t="shared" si="63"/>
        <v>0</v>
      </c>
      <c r="CF35" s="1202">
        <f t="shared" si="64"/>
        <v>0</v>
      </c>
      <c r="CG35" s="1202">
        <f t="shared" si="65"/>
        <v>0</v>
      </c>
      <c r="CH35" s="1172">
        <f t="shared" si="66"/>
        <v>0</v>
      </c>
    </row>
    <row r="36" spans="3:86">
      <c r="C36" s="1155" t="s">
        <v>448</v>
      </c>
      <c r="D36" s="1227">
        <f>SUM(BT39:BT58)-SUM(D27:D28,D30,D32,D34)</f>
        <v>0</v>
      </c>
      <c r="E36" s="1227">
        <f>SUM(BU39:BU58)-SUM(E27:E28,E30,E32,E34)</f>
        <v>0</v>
      </c>
      <c r="F36" s="1227">
        <f>SUM(BV39:BV58)-SUM(F27:F28,F30,F32,F34)</f>
        <v>0</v>
      </c>
      <c r="G36" s="1227">
        <f>SUM(BW39:BW58)-SUM(G27:G28,G30,G32,G34)</f>
        <v>0</v>
      </c>
      <c r="H36" s="1236"/>
      <c r="I36" s="1218">
        <f t="shared" si="35"/>
        <v>47118</v>
      </c>
      <c r="J36" s="1195">
        <f>SUM(Q$8:Q36)</f>
        <v>-4000000</v>
      </c>
      <c r="K36" s="391">
        <f>SUM(R$8:R36)/$J36</f>
        <v>0.89999999999999947</v>
      </c>
      <c r="L36" s="391">
        <f>SUM(S$8:S36)/$J36</f>
        <v>9.9999999999999992E-2</v>
      </c>
      <c r="M36" s="391">
        <f>SUM(T$8:T36)/$J36</f>
        <v>0</v>
      </c>
      <c r="O36" s="1182" t="str">
        <f>INDEX(reserves!$A$6:$D$126,MATCH(P36,reserves!$D$6:$D$126,0),1)</f>
        <v>Dev</v>
      </c>
      <c r="P36" s="1218">
        <f t="shared" si="36"/>
        <v>47118</v>
      </c>
      <c r="Q36" s="1195">
        <f>IF(P36=P35,0,-VLOOKUP(P36,reserves!$D$6:$S$66,MATCH(reserves!$S$5,reserves!$D$5:$BH$5,0),FALSE))</f>
        <v>0</v>
      </c>
      <c r="R36" s="1265">
        <f t="shared" si="30"/>
        <v>0</v>
      </c>
      <c r="S36" s="1265">
        <f t="shared" si="31"/>
        <v>0</v>
      </c>
      <c r="T36" s="1265">
        <f t="shared" si="32"/>
        <v>0</v>
      </c>
      <c r="U36" s="1162"/>
      <c r="V36" s="1162"/>
      <c r="W36" s="1162"/>
      <c r="X36" s="1162"/>
      <c r="Y36" s="1162"/>
      <c r="AA36" s="1203">
        <f t="shared" si="37"/>
        <v>47118</v>
      </c>
      <c r="AB36" s="1217">
        <f t="shared" si="38"/>
        <v>0</v>
      </c>
      <c r="AC36" s="1202">
        <f t="shared" si="39"/>
        <v>0</v>
      </c>
      <c r="AD36" s="1202">
        <f t="shared" si="40"/>
        <v>0</v>
      </c>
      <c r="AE36" s="1172">
        <f t="shared" si="41"/>
        <v>0</v>
      </c>
      <c r="AF36" s="1172"/>
      <c r="AG36" s="1172"/>
      <c r="AH36" s="1172"/>
      <c r="AI36" s="1172"/>
      <c r="AJ36" s="1172"/>
      <c r="AL36" s="1203">
        <f t="shared" si="42"/>
        <v>47118</v>
      </c>
      <c r="AM36" s="1217">
        <f t="shared" si="43"/>
        <v>0</v>
      </c>
      <c r="AN36" s="1202">
        <f t="shared" si="44"/>
        <v>0</v>
      </c>
      <c r="AO36" s="1202">
        <f t="shared" si="45"/>
        <v>0</v>
      </c>
      <c r="AP36" s="1172">
        <f t="shared" si="46"/>
        <v>0</v>
      </c>
      <c r="AQ36" s="1172"/>
      <c r="AR36" s="1172"/>
      <c r="AS36" s="1172"/>
      <c r="AT36" s="1172"/>
      <c r="AU36" s="1172"/>
      <c r="AW36" s="1203">
        <f t="shared" si="47"/>
        <v>47118</v>
      </c>
      <c r="AX36" s="1217">
        <f t="shared" si="48"/>
        <v>0</v>
      </c>
      <c r="AY36" s="1202">
        <f t="shared" si="49"/>
        <v>0</v>
      </c>
      <c r="AZ36" s="1202">
        <f t="shared" si="50"/>
        <v>0</v>
      </c>
      <c r="BA36" s="1172">
        <f t="shared" si="51"/>
        <v>0</v>
      </c>
      <c r="BB36" s="1172"/>
      <c r="BC36" s="1172"/>
      <c r="BD36" s="1172"/>
      <c r="BE36" s="1172"/>
      <c r="BF36" s="1172"/>
      <c r="BH36" s="1203">
        <f t="shared" si="52"/>
        <v>47118</v>
      </c>
      <c r="BI36" s="1217">
        <f t="shared" si="53"/>
        <v>0</v>
      </c>
      <c r="BJ36" s="1202">
        <f t="shared" si="54"/>
        <v>0</v>
      </c>
      <c r="BK36" s="1202">
        <f t="shared" si="55"/>
        <v>0</v>
      </c>
      <c r="BL36" s="1172">
        <f t="shared" si="56"/>
        <v>0</v>
      </c>
      <c r="BM36" s="1172"/>
      <c r="BN36" s="1172"/>
      <c r="BO36" s="1172"/>
      <c r="BP36" s="1172"/>
      <c r="BQ36" s="1172"/>
      <c r="BS36" s="1203">
        <f t="shared" si="57"/>
        <v>47118</v>
      </c>
      <c r="BT36" s="1217">
        <f t="shared" si="58"/>
        <v>0</v>
      </c>
      <c r="BU36" s="1202">
        <f t="shared" si="59"/>
        <v>0</v>
      </c>
      <c r="BV36" s="1202">
        <f t="shared" si="60"/>
        <v>0</v>
      </c>
      <c r="BW36" s="1172">
        <f t="shared" si="61"/>
        <v>0</v>
      </c>
      <c r="BX36" s="1172"/>
      <c r="BY36" s="1172"/>
      <c r="BZ36" s="1172"/>
      <c r="CA36" s="1172"/>
      <c r="CB36" s="1172"/>
      <c r="CD36" s="1203">
        <f t="shared" si="62"/>
        <v>47118</v>
      </c>
      <c r="CE36" s="1217">
        <f t="shared" si="63"/>
        <v>0</v>
      </c>
      <c r="CF36" s="1202">
        <f t="shared" si="64"/>
        <v>0</v>
      </c>
      <c r="CG36" s="1202">
        <f t="shared" si="65"/>
        <v>0</v>
      </c>
      <c r="CH36" s="1172">
        <f t="shared" si="66"/>
        <v>0</v>
      </c>
    </row>
    <row r="37" spans="3:86">
      <c r="C37" s="1155" t="s">
        <v>5086</v>
      </c>
      <c r="D37" s="1227">
        <f>SUM($BX$86:$BX$105)</f>
        <v>0</v>
      </c>
      <c r="E37" s="1227">
        <f>D37*D$23</f>
        <v>0</v>
      </c>
      <c r="F37" s="1227">
        <f>D37*E$23</f>
        <v>0</v>
      </c>
      <c r="G37" s="1227">
        <f>D37*F$23</f>
        <v>0</v>
      </c>
      <c r="I37" s="1218">
        <f t="shared" si="35"/>
        <v>47149</v>
      </c>
      <c r="J37" s="1195">
        <f>SUM(Q$8:Q37)</f>
        <v>-4000000</v>
      </c>
      <c r="K37" s="391">
        <f>SUM(R$8:R37)/$J37</f>
        <v>0.89999999999999947</v>
      </c>
      <c r="L37" s="391">
        <f>SUM(S$8:S37)/$J37</f>
        <v>9.9999999999999992E-2</v>
      </c>
      <c r="M37" s="391">
        <f>SUM(T$8:T37)/$J37</f>
        <v>0</v>
      </c>
      <c r="O37" s="1182" t="str">
        <f>INDEX(reserves!$A$6:$D$126,MATCH(P37,reserves!$D$6:$D$126,0),1)</f>
        <v>Dev</v>
      </c>
      <c r="P37" s="1218">
        <f t="shared" si="36"/>
        <v>47149</v>
      </c>
      <c r="Q37" s="1195">
        <f>IF(P37=P36,0,-VLOOKUP(P37,reserves!$D$6:$S$66,MATCH(reserves!$S$5,reserves!$D$5:$BH$5,0),FALSE))</f>
        <v>0</v>
      </c>
      <c r="R37" s="1265">
        <f t="shared" si="30"/>
        <v>0</v>
      </c>
      <c r="S37" s="1265">
        <f t="shared" si="31"/>
        <v>0</v>
      </c>
      <c r="T37" s="1265">
        <f t="shared" si="32"/>
        <v>0</v>
      </c>
      <c r="U37" s="1162"/>
      <c r="V37" s="1162"/>
      <c r="W37" s="1162"/>
      <c r="X37" s="1162"/>
      <c r="Y37" s="1162"/>
      <c r="AA37" s="1203">
        <f t="shared" si="37"/>
        <v>47149</v>
      </c>
      <c r="AB37" s="1217">
        <f t="shared" si="38"/>
        <v>0</v>
      </c>
      <c r="AC37" s="1202">
        <f t="shared" si="39"/>
        <v>0</v>
      </c>
      <c r="AD37" s="1202">
        <f t="shared" si="40"/>
        <v>0</v>
      </c>
      <c r="AE37" s="1172">
        <f t="shared" si="41"/>
        <v>0</v>
      </c>
      <c r="AF37" s="1172"/>
      <c r="AG37" s="1172"/>
      <c r="AH37" s="1172"/>
      <c r="AI37" s="1172"/>
      <c r="AJ37" s="1172"/>
      <c r="AL37" s="1203">
        <f t="shared" si="42"/>
        <v>47149</v>
      </c>
      <c r="AM37" s="1217">
        <f t="shared" si="43"/>
        <v>0</v>
      </c>
      <c r="AN37" s="1202">
        <f t="shared" si="44"/>
        <v>0</v>
      </c>
      <c r="AO37" s="1202">
        <f t="shared" si="45"/>
        <v>0</v>
      </c>
      <c r="AP37" s="1172">
        <f t="shared" si="46"/>
        <v>0</v>
      </c>
      <c r="AQ37" s="1172"/>
      <c r="AR37" s="1172"/>
      <c r="AS37" s="1172"/>
      <c r="AT37" s="1172"/>
      <c r="AU37" s="1172"/>
      <c r="AW37" s="1203">
        <f t="shared" si="47"/>
        <v>47149</v>
      </c>
      <c r="AX37" s="1217">
        <f t="shared" si="48"/>
        <v>0</v>
      </c>
      <c r="AY37" s="1202">
        <f t="shared" si="49"/>
        <v>0</v>
      </c>
      <c r="AZ37" s="1202">
        <f t="shared" si="50"/>
        <v>0</v>
      </c>
      <c r="BA37" s="1172">
        <f t="shared" si="51"/>
        <v>0</v>
      </c>
      <c r="BB37" s="1172"/>
      <c r="BC37" s="1172"/>
      <c r="BD37" s="1172"/>
      <c r="BE37" s="1172"/>
      <c r="BF37" s="1172"/>
      <c r="BH37" s="1203">
        <f t="shared" si="52"/>
        <v>47149</v>
      </c>
      <c r="BI37" s="1217">
        <f t="shared" si="53"/>
        <v>0</v>
      </c>
      <c r="BJ37" s="1202">
        <f t="shared" si="54"/>
        <v>0</v>
      </c>
      <c r="BK37" s="1202">
        <f t="shared" si="55"/>
        <v>0</v>
      </c>
      <c r="BL37" s="1172">
        <f t="shared" si="56"/>
        <v>0</v>
      </c>
      <c r="BM37" s="1172"/>
      <c r="BN37" s="1172"/>
      <c r="BO37" s="1172"/>
      <c r="BP37" s="1172"/>
      <c r="BQ37" s="1172"/>
      <c r="BS37" s="1203">
        <f t="shared" si="57"/>
        <v>47149</v>
      </c>
      <c r="BT37" s="1217">
        <f t="shared" si="58"/>
        <v>0</v>
      </c>
      <c r="BU37" s="1202">
        <f t="shared" si="59"/>
        <v>0</v>
      </c>
      <c r="BV37" s="1202">
        <f t="shared" si="60"/>
        <v>0</v>
      </c>
      <c r="BW37" s="1172">
        <f t="shared" si="61"/>
        <v>0</v>
      </c>
      <c r="BX37" s="1172"/>
      <c r="BY37" s="1172"/>
      <c r="BZ37" s="1172"/>
      <c r="CA37" s="1172"/>
      <c r="CB37" s="1172"/>
      <c r="CD37" s="1203">
        <f t="shared" si="62"/>
        <v>47149</v>
      </c>
      <c r="CE37" s="1217">
        <f t="shared" si="63"/>
        <v>0</v>
      </c>
      <c r="CF37" s="1202">
        <f t="shared" si="64"/>
        <v>0</v>
      </c>
      <c r="CG37" s="1202">
        <f t="shared" si="65"/>
        <v>0</v>
      </c>
      <c r="CH37" s="1172">
        <f t="shared" si="66"/>
        <v>0</v>
      </c>
    </row>
    <row r="38" spans="3:86">
      <c r="C38" s="1155" t="s">
        <v>449</v>
      </c>
      <c r="D38" s="1227">
        <f>SUM(CE39:CE58)-SUM(D27:D28,D30,D32,D34,D36)</f>
        <v>0</v>
      </c>
      <c r="E38" s="1227">
        <f>SUM(CF39:CF58)-SUM(E27:E28,E30,E32,E34,E36)</f>
        <v>0</v>
      </c>
      <c r="F38" s="1227">
        <f>SUM(CG39:CG58)-SUM(F27:F28,F30,F32,F34,F36)</f>
        <v>0</v>
      </c>
      <c r="G38" s="1227">
        <f>SUM(CH39:CH58)-SUM(G27:G28,G30,G32,G34,G36)</f>
        <v>0</v>
      </c>
      <c r="I38" s="1270">
        <f t="shared" ref="I38:I78" si="67">P38</f>
        <v>47177</v>
      </c>
      <c r="J38" s="1271">
        <f>SUM(Q$8:Q38)</f>
        <v>-4000000</v>
      </c>
      <c r="K38" s="1276">
        <f>SUM(R$8:R38)/$J38</f>
        <v>0.89999999999999947</v>
      </c>
      <c r="L38" s="1276">
        <f>SUM(S$8:S38)/$J38</f>
        <v>9.9999999999999992E-2</v>
      </c>
      <c r="M38" s="1276">
        <f>SUM(T$8:T38)/$J38</f>
        <v>0</v>
      </c>
      <c r="O38" s="1182" t="str">
        <f>INDEX(reserves!$A$6:$D$126,MATCH(P38,reserves!$D$6:$D$126,0),1)</f>
        <v>Dev</v>
      </c>
      <c r="P38" s="1218">
        <f t="shared" si="36"/>
        <v>47177</v>
      </c>
      <c r="Q38" s="1195">
        <f>IF(P38=P37,0,-VLOOKUP(P38,reserves!$D$6:$S$66,MATCH(reserves!$S$5,reserves!$D$5:$BH$5,0),FALSE))</f>
        <v>0</v>
      </c>
      <c r="R38" s="1265">
        <f t="shared" si="30"/>
        <v>0</v>
      </c>
      <c r="S38" s="1265">
        <f t="shared" si="31"/>
        <v>0</v>
      </c>
      <c r="T38" s="1265">
        <f t="shared" si="32"/>
        <v>0</v>
      </c>
      <c r="U38" s="1162"/>
      <c r="V38" s="1162"/>
      <c r="W38" s="1162"/>
      <c r="X38" s="1162"/>
      <c r="Y38" s="1162"/>
      <c r="AA38" s="1203">
        <f t="shared" si="37"/>
        <v>47177</v>
      </c>
      <c r="AB38" s="1217">
        <f t="shared" si="38"/>
        <v>0</v>
      </c>
      <c r="AC38" s="1202">
        <f t="shared" si="39"/>
        <v>0</v>
      </c>
      <c r="AD38" s="1202">
        <f t="shared" si="40"/>
        <v>0</v>
      </c>
      <c r="AE38" s="1172">
        <f t="shared" si="41"/>
        <v>0</v>
      </c>
      <c r="AF38" s="1172"/>
      <c r="AG38" s="1172"/>
      <c r="AH38" s="1172"/>
      <c r="AI38" s="1172"/>
      <c r="AJ38" s="1172"/>
      <c r="AL38" s="1203">
        <f t="shared" si="42"/>
        <v>47177</v>
      </c>
      <c r="AM38" s="1217">
        <f t="shared" si="43"/>
        <v>0</v>
      </c>
      <c r="AN38" s="1202">
        <f t="shared" si="44"/>
        <v>0</v>
      </c>
      <c r="AO38" s="1202">
        <f t="shared" si="45"/>
        <v>0</v>
      </c>
      <c r="AP38" s="1172">
        <f t="shared" si="46"/>
        <v>0</v>
      </c>
      <c r="AQ38" s="1172"/>
      <c r="AR38" s="1172"/>
      <c r="AS38" s="1172"/>
      <c r="AT38" s="1172"/>
      <c r="AU38" s="1172"/>
      <c r="AW38" s="1203">
        <f t="shared" si="47"/>
        <v>47177</v>
      </c>
      <c r="AX38" s="1217">
        <f t="shared" si="48"/>
        <v>0</v>
      </c>
      <c r="AY38" s="1202">
        <f t="shared" si="49"/>
        <v>0</v>
      </c>
      <c r="AZ38" s="1202">
        <f t="shared" si="50"/>
        <v>0</v>
      </c>
      <c r="BA38" s="1172">
        <f t="shared" si="51"/>
        <v>0</v>
      </c>
      <c r="BB38" s="1172"/>
      <c r="BC38" s="1172"/>
      <c r="BD38" s="1172"/>
      <c r="BE38" s="1172"/>
      <c r="BF38" s="1172"/>
      <c r="BH38" s="1203">
        <f t="shared" si="52"/>
        <v>47177</v>
      </c>
      <c r="BI38" s="1217">
        <f t="shared" si="53"/>
        <v>0</v>
      </c>
      <c r="BJ38" s="1202">
        <f t="shared" si="54"/>
        <v>0</v>
      </c>
      <c r="BK38" s="1202">
        <f t="shared" si="55"/>
        <v>0</v>
      </c>
      <c r="BL38" s="1172">
        <f t="shared" si="56"/>
        <v>0</v>
      </c>
      <c r="BM38" s="1172"/>
      <c r="BN38" s="1172"/>
      <c r="BO38" s="1172"/>
      <c r="BP38" s="1172"/>
      <c r="BQ38" s="1172"/>
      <c r="BS38" s="1203">
        <f t="shared" si="57"/>
        <v>47177</v>
      </c>
      <c r="BT38" s="1217">
        <f t="shared" si="58"/>
        <v>0</v>
      </c>
      <c r="BU38" s="1202">
        <f t="shared" si="59"/>
        <v>0</v>
      </c>
      <c r="BV38" s="1202">
        <f t="shared" si="60"/>
        <v>0</v>
      </c>
      <c r="BW38" s="1172">
        <f t="shared" si="61"/>
        <v>0</v>
      </c>
      <c r="BX38" s="1172"/>
      <c r="BY38" s="1172"/>
      <c r="BZ38" s="1172"/>
      <c r="CA38" s="1172"/>
      <c r="CB38" s="1172"/>
      <c r="CD38" s="1203">
        <f t="shared" si="62"/>
        <v>47177</v>
      </c>
      <c r="CE38" s="1217">
        <f t="shared" si="63"/>
        <v>0</v>
      </c>
      <c r="CF38" s="1202">
        <f t="shared" si="64"/>
        <v>0</v>
      </c>
      <c r="CG38" s="1202">
        <f t="shared" si="65"/>
        <v>0</v>
      </c>
      <c r="CH38" s="1172">
        <f t="shared" si="66"/>
        <v>0</v>
      </c>
    </row>
    <row r="39" spans="3:86">
      <c r="C39" s="1155" t="s">
        <v>5085</v>
      </c>
      <c r="D39" s="1227">
        <f>SUM(CI86:CI105)</f>
        <v>0</v>
      </c>
      <c r="E39" s="1227">
        <f>D39*D$23</f>
        <v>0</v>
      </c>
      <c r="F39" s="1227">
        <f>D39*E$23</f>
        <v>0</v>
      </c>
      <c r="G39" s="1227">
        <f>D39*F$23</f>
        <v>0</v>
      </c>
      <c r="H39" s="738"/>
      <c r="I39" s="1218">
        <f t="shared" si="67"/>
        <v>47542</v>
      </c>
      <c r="J39" s="1195">
        <f>SUM(Q$8:Q39)</f>
        <v>-4000000</v>
      </c>
      <c r="K39" s="391">
        <f>SUM(R$8:R39)/$J39</f>
        <v>0.89999999999999947</v>
      </c>
      <c r="L39" s="391">
        <f>SUM(S$8:S39)/$J39</f>
        <v>9.9999999999999992E-2</v>
      </c>
      <c r="M39" s="391">
        <f>SUM(T$8:T39)/$J39</f>
        <v>0</v>
      </c>
      <c r="O39" s="1193" t="str">
        <f>C71</f>
        <v>Distribution1</v>
      </c>
      <c r="P39" s="1201">
        <f>+VLOOKUP(sales!C50,reserves!$C$6:$D$126,2,FALSE)</f>
        <v>47542</v>
      </c>
      <c r="Q39" s="1200">
        <f t="shared" ref="Q39:Q78" si="68">+R39+S39+T39</f>
        <v>0</v>
      </c>
      <c r="R39" s="1216">
        <f t="shared" ref="R39:T58" si="69">R86</f>
        <v>0</v>
      </c>
      <c r="S39" s="1216">
        <f t="shared" si="69"/>
        <v>0</v>
      </c>
      <c r="T39" s="1200">
        <f t="shared" si="69"/>
        <v>0</v>
      </c>
      <c r="U39" s="1200"/>
      <c r="V39" s="1200"/>
      <c r="W39" s="1200"/>
      <c r="X39" s="1200"/>
      <c r="Y39" s="1200"/>
      <c r="Z39" s="1193"/>
      <c r="AA39" s="1214">
        <f t="shared" ref="AA39:AA58" si="70">$P39</f>
        <v>47542</v>
      </c>
      <c r="AB39" s="1213">
        <f t="shared" ref="AB39:AB58" si="71">SUM(AC39:AE39)</f>
        <v>0</v>
      </c>
      <c r="AC39" s="1213">
        <f t="shared" ref="AC39:AD58" si="72">AC86</f>
        <v>0</v>
      </c>
      <c r="AD39" s="1213">
        <f t="shared" si="72"/>
        <v>0</v>
      </c>
      <c r="AE39" s="1215">
        <f t="shared" ref="AE39:AE58" si="73">SUM(AE86)</f>
        <v>0</v>
      </c>
      <c r="AF39" s="1215"/>
      <c r="AG39" s="1215"/>
      <c r="AH39" s="1215"/>
      <c r="AI39" s="1215"/>
      <c r="AJ39" s="1215"/>
      <c r="AK39" s="1193"/>
      <c r="AL39" s="1214">
        <f t="shared" ref="AL39:AL58" si="74">$P39</f>
        <v>47542</v>
      </c>
      <c r="AM39" s="1213">
        <f t="shared" ref="AM39:AM58" si="75">SUM(AN39:AP39)</f>
        <v>0</v>
      </c>
      <c r="AN39" s="1213">
        <f t="shared" ref="AN39:AN58" si="76">SUM(AC39,AN86)</f>
        <v>0</v>
      </c>
      <c r="AO39" s="1213">
        <f t="shared" ref="AO39:AO58" si="77">SUM(AD39,AO86)</f>
        <v>0</v>
      </c>
      <c r="AP39" s="1215">
        <f t="shared" ref="AP39:AP58" si="78">SUM(AE39,AP86)</f>
        <v>0</v>
      </c>
      <c r="AQ39" s="1215"/>
      <c r="AR39" s="1215"/>
      <c r="AS39" s="1215"/>
      <c r="AT39" s="1215"/>
      <c r="AU39" s="1215"/>
      <c r="AV39" s="1193"/>
      <c r="AW39" s="1214">
        <f t="shared" ref="AW39:AW58" si="79">$P39</f>
        <v>47542</v>
      </c>
      <c r="AX39" s="1213">
        <f t="shared" ref="AX39:AX58" si="80">SUM(AY39:BA39)</f>
        <v>0</v>
      </c>
      <c r="AY39" s="1213">
        <f t="shared" ref="AY39:AY58" si="81">SUM(AN39,AY86)</f>
        <v>0</v>
      </c>
      <c r="AZ39" s="1213">
        <f t="shared" ref="AZ39:AZ58" si="82">SUM(AO39,AZ86)</f>
        <v>0</v>
      </c>
      <c r="BA39" s="1215">
        <f t="shared" ref="BA39:BA58" si="83">SUM(AP39,BA86)</f>
        <v>0</v>
      </c>
      <c r="BB39" s="1215"/>
      <c r="BC39" s="1215"/>
      <c r="BD39" s="1215"/>
      <c r="BE39" s="1215"/>
      <c r="BF39" s="1215"/>
      <c r="BG39" s="1193"/>
      <c r="BH39" s="1214">
        <f t="shared" ref="BH39:BH58" si="84">$P39</f>
        <v>47542</v>
      </c>
      <c r="BI39" s="1213">
        <f t="shared" ref="BI39:BI58" si="85">SUM(BJ39:BL39)</f>
        <v>0</v>
      </c>
      <c r="BJ39" s="1213">
        <f t="shared" ref="BJ39:BJ58" si="86">SUM(AY39,BJ86)</f>
        <v>0</v>
      </c>
      <c r="BK39" s="1213">
        <f t="shared" ref="BK39:BK58" si="87">SUM(AZ39,BK86)</f>
        <v>0</v>
      </c>
      <c r="BL39" s="1213">
        <f t="shared" ref="BL39:BL58" si="88">SUM(BA39,BL86)</f>
        <v>0</v>
      </c>
      <c r="BM39" s="1213"/>
      <c r="BN39" s="1213"/>
      <c r="BO39" s="1213"/>
      <c r="BP39" s="1213"/>
      <c r="BQ39" s="1213"/>
      <c r="BR39" s="1193"/>
      <c r="BS39" s="1214">
        <f t="shared" ref="BS39:BS58" si="89">$P39</f>
        <v>47542</v>
      </c>
      <c r="BT39" s="1213">
        <f t="shared" ref="BT39:BT58" si="90">SUM(BU39:BW39)</f>
        <v>0</v>
      </c>
      <c r="BU39" s="1213">
        <f t="shared" ref="BU39:BU58" si="91">SUM(BJ39,BU86)</f>
        <v>0</v>
      </c>
      <c r="BV39" s="1213">
        <f t="shared" ref="BV39:BV58" si="92">SUM(BK39,BV86)</f>
        <v>0</v>
      </c>
      <c r="BW39" s="1213">
        <f t="shared" ref="BW39:BW58" si="93">SUM(BL39,BW86)</f>
        <v>0</v>
      </c>
      <c r="BX39" s="1213"/>
      <c r="BY39" s="1213"/>
      <c r="BZ39" s="1213"/>
      <c r="CA39" s="1213"/>
      <c r="CB39" s="1213"/>
      <c r="CC39" s="1193"/>
      <c r="CD39" s="1214">
        <f t="shared" ref="CD39:CD58" si="94">$P39</f>
        <v>47542</v>
      </c>
      <c r="CE39" s="1213">
        <f t="shared" ref="CE39:CE58" si="95">SUM(CF39:CH39)</f>
        <v>0</v>
      </c>
      <c r="CF39" s="1213">
        <f t="shared" ref="CF39:CF58" si="96">SUM(BU39,CF86)</f>
        <v>0</v>
      </c>
      <c r="CG39" s="1213">
        <f t="shared" ref="CG39:CG58" si="97">SUM(BV39,CG86)</f>
        <v>0</v>
      </c>
      <c r="CH39" s="1213">
        <f t="shared" ref="CH39:CH58" si="98">SUM(BW39,CH86)</f>
        <v>0</v>
      </c>
    </row>
    <row r="40" spans="3:86">
      <c r="C40" s="1190" t="s">
        <v>183</v>
      </c>
      <c r="D40" s="1226">
        <f>SUM(D27:D39)</f>
        <v>10236995.418638943</v>
      </c>
      <c r="E40" s="1226">
        <f>SUM(E27:E39)</f>
        <v>4555356.9912926294</v>
      </c>
      <c r="F40" s="1226">
        <f>SUM(F27:F39)</f>
        <v>5681638.4273463134</v>
      </c>
      <c r="G40" s="1226">
        <f>SUM(G27:G39)</f>
        <v>0</v>
      </c>
      <c r="H40" s="738"/>
      <c r="I40" s="1218">
        <f t="shared" si="67"/>
        <v>47573</v>
      </c>
      <c r="J40" s="1195">
        <f>SUM(Q$8:Q40)</f>
        <v>1061507.3501188485</v>
      </c>
      <c r="K40" s="391">
        <f>SUM(R$8:R40)/$J40</f>
        <v>0.90000000000000213</v>
      </c>
      <c r="L40" s="391">
        <f>SUM(S$8:S40)/$J40</f>
        <v>0.10000000000000003</v>
      </c>
      <c r="M40" s="391">
        <f>SUM(T$8:T40)/$J40</f>
        <v>0</v>
      </c>
      <c r="O40" s="1155" t="s">
        <v>190</v>
      </c>
      <c r="P40" s="1165">
        <f t="shared" ref="P40:P48" si="99">D72</f>
        <v>47573</v>
      </c>
      <c r="Q40" s="1162">
        <f t="shared" si="68"/>
        <v>5061507.3501188485</v>
      </c>
      <c r="R40" s="1162">
        <f t="shared" si="69"/>
        <v>4555356.6151069636</v>
      </c>
      <c r="S40" s="1162">
        <f t="shared" si="69"/>
        <v>506150.73501188483</v>
      </c>
      <c r="T40" s="1162">
        <f t="shared" si="69"/>
        <v>0</v>
      </c>
      <c r="U40" s="1162"/>
      <c r="V40" s="1162"/>
      <c r="W40" s="1162"/>
      <c r="X40" s="1162"/>
      <c r="Y40" s="1162"/>
      <c r="AA40" s="1203">
        <f t="shared" si="70"/>
        <v>47573</v>
      </c>
      <c r="AB40" s="1202">
        <f t="shared" si="71"/>
        <v>5061507.2505541053</v>
      </c>
      <c r="AC40" s="1202">
        <f t="shared" si="72"/>
        <v>4555356.5254986947</v>
      </c>
      <c r="AD40" s="1202">
        <f t="shared" si="72"/>
        <v>506150.72505541047</v>
      </c>
      <c r="AE40" s="1172">
        <f t="shared" si="73"/>
        <v>0</v>
      </c>
      <c r="AF40" s="1172"/>
      <c r="AG40" s="1172"/>
      <c r="AH40" s="1172"/>
      <c r="AI40" s="1172"/>
      <c r="AJ40" s="1172"/>
      <c r="AL40" s="1203">
        <f t="shared" si="74"/>
        <v>47573</v>
      </c>
      <c r="AM40" s="1202">
        <f t="shared" si="75"/>
        <v>5061507.3501188485</v>
      </c>
      <c r="AN40" s="1202">
        <f t="shared" si="76"/>
        <v>4555356.6151069636</v>
      </c>
      <c r="AO40" s="1202">
        <f t="shared" si="77"/>
        <v>506150.73501188483</v>
      </c>
      <c r="AP40" s="1172">
        <f t="shared" si="78"/>
        <v>0</v>
      </c>
      <c r="AQ40" s="1172"/>
      <c r="AR40" s="1172"/>
      <c r="AS40" s="1172"/>
      <c r="AT40" s="1172"/>
      <c r="AU40" s="1172"/>
      <c r="AW40" s="1203">
        <f t="shared" si="79"/>
        <v>47573</v>
      </c>
      <c r="AX40" s="1202">
        <f t="shared" si="80"/>
        <v>5061507.3501188485</v>
      </c>
      <c r="AY40" s="1202">
        <f t="shared" si="81"/>
        <v>4555356.6151069636</v>
      </c>
      <c r="AZ40" s="1202">
        <f t="shared" si="82"/>
        <v>506150.73501188483</v>
      </c>
      <c r="BA40" s="1172">
        <f t="shared" si="83"/>
        <v>0</v>
      </c>
      <c r="BB40" s="1172"/>
      <c r="BC40" s="1172"/>
      <c r="BD40" s="1172"/>
      <c r="BE40" s="1172"/>
      <c r="BF40" s="1172"/>
      <c r="BH40" s="1203">
        <f t="shared" si="84"/>
        <v>47573</v>
      </c>
      <c r="BI40" s="1202">
        <f t="shared" si="85"/>
        <v>5061507.3501188485</v>
      </c>
      <c r="BJ40" s="1202">
        <f t="shared" si="86"/>
        <v>4555356.6151069636</v>
      </c>
      <c r="BK40" s="1202">
        <f t="shared" si="87"/>
        <v>506150.73501188483</v>
      </c>
      <c r="BL40" s="1202">
        <f t="shared" si="88"/>
        <v>0</v>
      </c>
      <c r="BM40" s="1202"/>
      <c r="BN40" s="1202"/>
      <c r="BO40" s="1202"/>
      <c r="BP40" s="1202"/>
      <c r="BQ40" s="1202"/>
      <c r="BS40" s="1203">
        <f t="shared" si="89"/>
        <v>47573</v>
      </c>
      <c r="BT40" s="1202">
        <f t="shared" si="90"/>
        <v>5061507.3501188485</v>
      </c>
      <c r="BU40" s="1202">
        <f t="shared" si="91"/>
        <v>4555356.6151069636</v>
      </c>
      <c r="BV40" s="1202">
        <f t="shared" si="92"/>
        <v>506150.73501188483</v>
      </c>
      <c r="BW40" s="1202">
        <f t="shared" si="93"/>
        <v>0</v>
      </c>
      <c r="BX40" s="1202"/>
      <c r="BY40" s="1202"/>
      <c r="BZ40" s="1202"/>
      <c r="CA40" s="1202"/>
      <c r="CB40" s="1202"/>
      <c r="CD40" s="1203">
        <f t="shared" si="94"/>
        <v>47573</v>
      </c>
      <c r="CE40" s="1202">
        <f t="shared" si="95"/>
        <v>5061507.3501188485</v>
      </c>
      <c r="CF40" s="1202">
        <f t="shared" si="96"/>
        <v>4555356.6151069636</v>
      </c>
      <c r="CG40" s="1202">
        <f t="shared" si="97"/>
        <v>506150.73501188483</v>
      </c>
      <c r="CH40" s="1202">
        <f t="shared" si="98"/>
        <v>0</v>
      </c>
    </row>
    <row r="41" spans="3:86">
      <c r="C41" s="1155" t="s">
        <v>64</v>
      </c>
      <c r="D41" s="1224">
        <f>-SUM(G8:G10)</f>
        <v>-4000000</v>
      </c>
      <c r="E41" s="1224">
        <f>-G8</f>
        <v>-3600000</v>
      </c>
      <c r="F41" s="1224">
        <f>-G9</f>
        <v>-400000</v>
      </c>
      <c r="G41" s="1224">
        <f>-G10</f>
        <v>0</v>
      </c>
      <c r="H41" s="738"/>
      <c r="I41" s="1218">
        <f t="shared" si="67"/>
        <v>47603</v>
      </c>
      <c r="J41" s="1195">
        <f>SUM(Q$8:Q41)</f>
        <v>1061507.7681029215</v>
      </c>
      <c r="K41" s="391">
        <f>SUM(R$8:R41)/$J41</f>
        <v>0.90000000000000213</v>
      </c>
      <c r="L41" s="391">
        <f>SUM(S$8:S41)/$J41</f>
        <v>0.10000000000000003</v>
      </c>
      <c r="M41" s="391">
        <f>SUM(T$8:T41)/$J41</f>
        <v>0</v>
      </c>
      <c r="O41" s="1155" t="s">
        <v>191</v>
      </c>
      <c r="P41" s="1165">
        <f t="shared" si="99"/>
        <v>47603</v>
      </c>
      <c r="Q41" s="1162">
        <f t="shared" si="68"/>
        <v>0.41798407305032015</v>
      </c>
      <c r="R41" s="1162">
        <f t="shared" si="69"/>
        <v>0.37618566574528817</v>
      </c>
      <c r="S41" s="1162">
        <f t="shared" si="69"/>
        <v>4.1798407305032002E-2</v>
      </c>
      <c r="T41" s="1162">
        <f t="shared" si="69"/>
        <v>0</v>
      </c>
      <c r="U41" s="1162"/>
      <c r="V41" s="1162"/>
      <c r="W41" s="1162"/>
      <c r="X41" s="1162"/>
      <c r="Y41" s="1162"/>
      <c r="AA41" s="1203">
        <f t="shared" si="70"/>
        <v>47603</v>
      </c>
      <c r="AB41" s="1202">
        <f t="shared" si="71"/>
        <v>0</v>
      </c>
      <c r="AC41" s="1202">
        <f t="shared" si="72"/>
        <v>0</v>
      </c>
      <c r="AD41" s="1202">
        <f t="shared" si="72"/>
        <v>0</v>
      </c>
      <c r="AE41" s="1172">
        <f t="shared" si="73"/>
        <v>0</v>
      </c>
      <c r="AF41" s="1172"/>
      <c r="AG41" s="1172"/>
      <c r="AH41" s="1172"/>
      <c r="AI41" s="1172"/>
      <c r="AJ41" s="1172"/>
      <c r="AL41" s="1203">
        <f t="shared" si="74"/>
        <v>47603</v>
      </c>
      <c r="AM41" s="1202">
        <f t="shared" si="75"/>
        <v>0.41798407305032015</v>
      </c>
      <c r="AN41" s="1202">
        <f t="shared" si="76"/>
        <v>0.37618566574528817</v>
      </c>
      <c r="AO41" s="1202">
        <f t="shared" si="77"/>
        <v>4.1798407305032002E-2</v>
      </c>
      <c r="AP41" s="1172">
        <f t="shared" si="78"/>
        <v>0</v>
      </c>
      <c r="AQ41" s="1172"/>
      <c r="AR41" s="1172"/>
      <c r="AS41" s="1172"/>
      <c r="AT41" s="1172"/>
      <c r="AU41" s="1172"/>
      <c r="AW41" s="1203">
        <f t="shared" si="79"/>
        <v>47603</v>
      </c>
      <c r="AX41" s="1202">
        <f t="shared" si="80"/>
        <v>0.41798407305032015</v>
      </c>
      <c r="AY41" s="1202">
        <f t="shared" si="81"/>
        <v>0.37618566574528817</v>
      </c>
      <c r="AZ41" s="1202">
        <f t="shared" si="82"/>
        <v>4.1798407305032002E-2</v>
      </c>
      <c r="BA41" s="1172">
        <f t="shared" si="83"/>
        <v>0</v>
      </c>
      <c r="BB41" s="1172"/>
      <c r="BC41" s="1172"/>
      <c r="BD41" s="1172"/>
      <c r="BE41" s="1172"/>
      <c r="BF41" s="1172"/>
      <c r="BH41" s="1203">
        <f t="shared" si="84"/>
        <v>47603</v>
      </c>
      <c r="BI41" s="1202">
        <f t="shared" si="85"/>
        <v>0.41798407305032015</v>
      </c>
      <c r="BJ41" s="1202">
        <f t="shared" si="86"/>
        <v>0.37618566574528817</v>
      </c>
      <c r="BK41" s="1202">
        <f t="shared" si="87"/>
        <v>4.1798407305032002E-2</v>
      </c>
      <c r="BL41" s="1202">
        <f t="shared" si="88"/>
        <v>0</v>
      </c>
      <c r="BM41" s="1202"/>
      <c r="BN41" s="1202"/>
      <c r="BO41" s="1202"/>
      <c r="BP41" s="1202"/>
      <c r="BQ41" s="1202"/>
      <c r="BS41" s="1203">
        <f t="shared" si="89"/>
        <v>47603</v>
      </c>
      <c r="BT41" s="1202">
        <f t="shared" si="90"/>
        <v>0.41798407305032015</v>
      </c>
      <c r="BU41" s="1202">
        <f t="shared" si="91"/>
        <v>0.37618566574528817</v>
      </c>
      <c r="BV41" s="1202">
        <f t="shared" si="92"/>
        <v>4.1798407305032002E-2</v>
      </c>
      <c r="BW41" s="1202">
        <f t="shared" si="93"/>
        <v>0</v>
      </c>
      <c r="BX41" s="1202"/>
      <c r="BY41" s="1202"/>
      <c r="BZ41" s="1202"/>
      <c r="CA41" s="1202"/>
      <c r="CB41" s="1202"/>
      <c r="CD41" s="1203">
        <f t="shared" si="94"/>
        <v>47603</v>
      </c>
      <c r="CE41" s="1202">
        <f t="shared" si="95"/>
        <v>0.41798407305032015</v>
      </c>
      <c r="CF41" s="1202">
        <f t="shared" si="96"/>
        <v>0.37618566574528817</v>
      </c>
      <c r="CG41" s="1202">
        <f t="shared" si="97"/>
        <v>4.1798407305032002E-2</v>
      </c>
      <c r="CH41" s="1202">
        <f t="shared" si="98"/>
        <v>0</v>
      </c>
    </row>
    <row r="42" spans="3:86" ht="15" customHeight="1">
      <c r="C42" s="1208" t="s">
        <v>211</v>
      </c>
      <c r="D42" s="1223">
        <f>D40+D41</f>
        <v>6236995.4186389428</v>
      </c>
      <c r="E42" s="1223">
        <f>E40+E41</f>
        <v>955356.99129262939</v>
      </c>
      <c r="F42" s="1223">
        <f>F40+F41</f>
        <v>5281638.4273463134</v>
      </c>
      <c r="G42" s="1223">
        <f>G40+G41</f>
        <v>0</v>
      </c>
      <c r="H42" s="1228"/>
      <c r="I42" s="1218">
        <f t="shared" si="67"/>
        <v>47634</v>
      </c>
      <c r="J42" s="1195">
        <f>SUM(Q$8:Q42)</f>
        <v>1061507.7681029215</v>
      </c>
      <c r="K42" s="391">
        <f>SUM(R$8:R42)/$J42</f>
        <v>0.90000000000000213</v>
      </c>
      <c r="L42" s="391">
        <f>SUM(S$8:S42)/$J42</f>
        <v>0.10000000000000003</v>
      </c>
      <c r="M42" s="391">
        <f>SUM(T$8:T42)/$J42</f>
        <v>0</v>
      </c>
      <c r="O42" s="1155" t="s">
        <v>192</v>
      </c>
      <c r="P42" s="1165">
        <f t="shared" si="99"/>
        <v>47634</v>
      </c>
      <c r="Q42" s="1162">
        <f t="shared" si="68"/>
        <v>0</v>
      </c>
      <c r="R42" s="1194">
        <f t="shared" si="69"/>
        <v>0</v>
      </c>
      <c r="S42" s="1194">
        <f t="shared" si="69"/>
        <v>0</v>
      </c>
      <c r="T42" s="1162">
        <f t="shared" si="69"/>
        <v>0</v>
      </c>
      <c r="U42" s="1162"/>
      <c r="V42" s="1162"/>
      <c r="W42" s="1162"/>
      <c r="X42" s="1162"/>
      <c r="Y42" s="1162"/>
      <c r="AA42" s="1203">
        <f t="shared" si="70"/>
        <v>47634</v>
      </c>
      <c r="AB42" s="1202">
        <f t="shared" si="71"/>
        <v>0</v>
      </c>
      <c r="AC42" s="1202">
        <f t="shared" si="72"/>
        <v>0</v>
      </c>
      <c r="AD42" s="1202">
        <f t="shared" si="72"/>
        <v>0</v>
      </c>
      <c r="AE42" s="1172">
        <f t="shared" si="73"/>
        <v>0</v>
      </c>
      <c r="AF42" s="1172"/>
      <c r="AG42" s="1172"/>
      <c r="AH42" s="1172"/>
      <c r="AI42" s="1172"/>
      <c r="AJ42" s="1172"/>
      <c r="AL42" s="1203">
        <f t="shared" si="74"/>
        <v>47634</v>
      </c>
      <c r="AM42" s="1202">
        <f t="shared" si="75"/>
        <v>0</v>
      </c>
      <c r="AN42" s="1202">
        <f t="shared" si="76"/>
        <v>0</v>
      </c>
      <c r="AO42" s="1202">
        <f t="shared" si="77"/>
        <v>0</v>
      </c>
      <c r="AP42" s="1172">
        <f t="shared" si="78"/>
        <v>0</v>
      </c>
      <c r="AQ42" s="1172"/>
      <c r="AR42" s="1172"/>
      <c r="AS42" s="1172"/>
      <c r="AT42" s="1172"/>
      <c r="AU42" s="1172"/>
      <c r="AW42" s="1203">
        <f t="shared" si="79"/>
        <v>47634</v>
      </c>
      <c r="AX42" s="1202">
        <f t="shared" si="80"/>
        <v>0</v>
      </c>
      <c r="AY42" s="1202">
        <f t="shared" si="81"/>
        <v>0</v>
      </c>
      <c r="AZ42" s="1202">
        <f t="shared" si="82"/>
        <v>0</v>
      </c>
      <c r="BA42" s="1172">
        <f t="shared" si="83"/>
        <v>0</v>
      </c>
      <c r="BB42" s="1172"/>
      <c r="BC42" s="1172"/>
      <c r="BD42" s="1172"/>
      <c r="BE42" s="1172"/>
      <c r="BF42" s="1172"/>
      <c r="BH42" s="1203">
        <f t="shared" si="84"/>
        <v>47634</v>
      </c>
      <c r="BI42" s="1202">
        <f t="shared" si="85"/>
        <v>0</v>
      </c>
      <c r="BJ42" s="1202">
        <f t="shared" si="86"/>
        <v>0</v>
      </c>
      <c r="BK42" s="1202">
        <f t="shared" si="87"/>
        <v>0</v>
      </c>
      <c r="BL42" s="1202">
        <f t="shared" si="88"/>
        <v>0</v>
      </c>
      <c r="BM42" s="1202"/>
      <c r="BN42" s="1202"/>
      <c r="BO42" s="1202"/>
      <c r="BP42" s="1202"/>
      <c r="BQ42" s="1202"/>
      <c r="BS42" s="1203">
        <f t="shared" si="89"/>
        <v>47634</v>
      </c>
      <c r="BT42" s="1202">
        <f t="shared" si="90"/>
        <v>0</v>
      </c>
      <c r="BU42" s="1202">
        <f t="shared" si="91"/>
        <v>0</v>
      </c>
      <c r="BV42" s="1202">
        <f t="shared" si="92"/>
        <v>0</v>
      </c>
      <c r="BW42" s="1202">
        <f t="shared" si="93"/>
        <v>0</v>
      </c>
      <c r="BX42" s="1202"/>
      <c r="BY42" s="1202"/>
      <c r="BZ42" s="1202"/>
      <c r="CA42" s="1202"/>
      <c r="CB42" s="1202"/>
      <c r="CD42" s="1203">
        <f t="shared" si="94"/>
        <v>47634</v>
      </c>
      <c r="CE42" s="1202">
        <f t="shared" si="95"/>
        <v>0</v>
      </c>
      <c r="CF42" s="1202">
        <f t="shared" si="96"/>
        <v>0</v>
      </c>
      <c r="CG42" s="1202">
        <f t="shared" si="97"/>
        <v>0</v>
      </c>
      <c r="CH42" s="1202">
        <f t="shared" si="98"/>
        <v>0</v>
      </c>
    </row>
    <row r="43" spans="3:86" ht="15" customHeight="1">
      <c r="C43" s="1206" t="s">
        <v>153</v>
      </c>
      <c r="D43" s="1222">
        <f t="shared" ref="D43:G44" si="100">Q80</f>
        <v>0.44054588675498962</v>
      </c>
      <c r="E43" s="1222">
        <f t="shared" si="100"/>
        <v>0.10000004172325136</v>
      </c>
      <c r="F43" s="1222">
        <f t="shared" si="100"/>
        <v>1.6040495753288273</v>
      </c>
      <c r="G43" s="1222">
        <f t="shared" si="100"/>
        <v>0</v>
      </c>
      <c r="H43" s="1228"/>
      <c r="I43" s="1218">
        <f t="shared" si="67"/>
        <v>47664</v>
      </c>
      <c r="J43" s="1195">
        <f>SUM(Q$8:Q43)</f>
        <v>1061507.7681029215</v>
      </c>
      <c r="K43" s="391">
        <f>SUM(R$8:R43)/$J43</f>
        <v>0.90000000000000213</v>
      </c>
      <c r="L43" s="391">
        <f>SUM(S$8:S43)/$J43</f>
        <v>0.10000000000000003</v>
      </c>
      <c r="M43" s="391">
        <f>SUM(T$8:T43)/$J43</f>
        <v>0</v>
      </c>
      <c r="O43" s="1155" t="s">
        <v>193</v>
      </c>
      <c r="P43" s="1165">
        <f t="shared" si="99"/>
        <v>47664</v>
      </c>
      <c r="Q43" s="1162">
        <f t="shared" si="68"/>
        <v>0</v>
      </c>
      <c r="R43" s="1162">
        <f t="shared" si="69"/>
        <v>0</v>
      </c>
      <c r="S43" s="1162">
        <f t="shared" si="69"/>
        <v>0</v>
      </c>
      <c r="T43" s="1162">
        <f t="shared" si="69"/>
        <v>0</v>
      </c>
      <c r="U43" s="1162"/>
      <c r="V43" s="1162"/>
      <c r="W43" s="1162"/>
      <c r="X43" s="1162"/>
      <c r="Y43" s="1162"/>
      <c r="AA43" s="1203">
        <f t="shared" si="70"/>
        <v>47664</v>
      </c>
      <c r="AB43" s="1202">
        <f t="shared" si="71"/>
        <v>0</v>
      </c>
      <c r="AC43" s="1202">
        <f t="shared" si="72"/>
        <v>0</v>
      </c>
      <c r="AD43" s="1202">
        <f t="shared" si="72"/>
        <v>0</v>
      </c>
      <c r="AE43" s="1172">
        <f t="shared" si="73"/>
        <v>0</v>
      </c>
      <c r="AF43" s="1172"/>
      <c r="AG43" s="1172"/>
      <c r="AH43" s="1172"/>
      <c r="AI43" s="1172"/>
      <c r="AJ43" s="1172"/>
      <c r="AL43" s="1203">
        <f t="shared" si="74"/>
        <v>47664</v>
      </c>
      <c r="AM43" s="1202">
        <f t="shared" si="75"/>
        <v>0</v>
      </c>
      <c r="AN43" s="1202">
        <f t="shared" si="76"/>
        <v>0</v>
      </c>
      <c r="AO43" s="1202">
        <f t="shared" si="77"/>
        <v>0</v>
      </c>
      <c r="AP43" s="1172">
        <f t="shared" si="78"/>
        <v>0</v>
      </c>
      <c r="AQ43" s="1172"/>
      <c r="AR43" s="1172"/>
      <c r="AS43" s="1172"/>
      <c r="AT43" s="1172"/>
      <c r="AU43" s="1172"/>
      <c r="AW43" s="1203">
        <f t="shared" si="79"/>
        <v>47664</v>
      </c>
      <c r="AX43" s="1202">
        <f t="shared" si="80"/>
        <v>0</v>
      </c>
      <c r="AY43" s="1202">
        <f t="shared" si="81"/>
        <v>0</v>
      </c>
      <c r="AZ43" s="1202">
        <f t="shared" si="82"/>
        <v>0</v>
      </c>
      <c r="BA43" s="1172">
        <f t="shared" si="83"/>
        <v>0</v>
      </c>
      <c r="BB43" s="1172"/>
      <c r="BC43" s="1172"/>
      <c r="BD43" s="1172"/>
      <c r="BE43" s="1172"/>
      <c r="BF43" s="1172"/>
      <c r="BH43" s="1203">
        <f t="shared" si="84"/>
        <v>47664</v>
      </c>
      <c r="BI43" s="1202">
        <f t="shared" si="85"/>
        <v>0</v>
      </c>
      <c r="BJ43" s="1202">
        <f t="shared" si="86"/>
        <v>0</v>
      </c>
      <c r="BK43" s="1202">
        <f t="shared" si="87"/>
        <v>0</v>
      </c>
      <c r="BL43" s="1202">
        <f t="shared" si="88"/>
        <v>0</v>
      </c>
      <c r="BM43" s="1202"/>
      <c r="BN43" s="1202"/>
      <c r="BO43" s="1202"/>
      <c r="BP43" s="1202"/>
      <c r="BQ43" s="1202"/>
      <c r="BS43" s="1203">
        <f t="shared" si="89"/>
        <v>47664</v>
      </c>
      <c r="BT43" s="1202">
        <f t="shared" si="90"/>
        <v>0</v>
      </c>
      <c r="BU43" s="1202">
        <f t="shared" si="91"/>
        <v>0</v>
      </c>
      <c r="BV43" s="1202">
        <f t="shared" si="92"/>
        <v>0</v>
      </c>
      <c r="BW43" s="1202">
        <f t="shared" si="93"/>
        <v>0</v>
      </c>
      <c r="BX43" s="1202"/>
      <c r="BY43" s="1202"/>
      <c r="BZ43" s="1202"/>
      <c r="CA43" s="1202"/>
      <c r="CB43" s="1202"/>
      <c r="CD43" s="1203">
        <f t="shared" si="94"/>
        <v>47664</v>
      </c>
      <c r="CE43" s="1202">
        <f t="shared" si="95"/>
        <v>0</v>
      </c>
      <c r="CF43" s="1202">
        <f t="shared" si="96"/>
        <v>0</v>
      </c>
      <c r="CG43" s="1202">
        <f t="shared" si="97"/>
        <v>0</v>
      </c>
      <c r="CH43" s="1202">
        <f t="shared" si="98"/>
        <v>0</v>
      </c>
    </row>
    <row r="44" spans="3:86" ht="15" customHeight="1">
      <c r="C44" s="1206" t="s">
        <v>184</v>
      </c>
      <c r="D44" s="1269">
        <f t="shared" si="100"/>
        <v>2.5592488546597356</v>
      </c>
      <c r="E44" s="1269">
        <f t="shared" si="100"/>
        <v>1.2653769420257313</v>
      </c>
      <c r="F44" s="1269">
        <f t="shared" si="100"/>
        <v>14.204096068365786</v>
      </c>
      <c r="G44" s="1269">
        <f t="shared" si="100"/>
        <v>0</v>
      </c>
      <c r="H44" s="1228"/>
      <c r="I44" s="1218">
        <f t="shared" si="67"/>
        <v>47695</v>
      </c>
      <c r="J44" s="1195">
        <f>SUM(Q$8:Q44)</f>
        <v>1061507.7681029215</v>
      </c>
      <c r="K44" s="391">
        <f>SUM(R$8:R44)/$J44</f>
        <v>0.90000000000000213</v>
      </c>
      <c r="L44" s="391">
        <f>SUM(S$8:S44)/$J44</f>
        <v>0.10000000000000003</v>
      </c>
      <c r="M44" s="391">
        <f>SUM(T$8:T44)/$J44</f>
        <v>0</v>
      </c>
      <c r="O44" s="1155" t="s">
        <v>5083</v>
      </c>
      <c r="P44" s="1165">
        <f t="shared" si="99"/>
        <v>47695</v>
      </c>
      <c r="Q44" s="1162">
        <f t="shared" si="68"/>
        <v>0</v>
      </c>
      <c r="R44" s="1162">
        <f t="shared" si="69"/>
        <v>0</v>
      </c>
      <c r="S44" s="1162">
        <f t="shared" si="69"/>
        <v>0</v>
      </c>
      <c r="T44" s="1162">
        <f t="shared" si="69"/>
        <v>0</v>
      </c>
      <c r="U44" s="1162"/>
      <c r="V44" s="1162"/>
      <c r="W44" s="1162"/>
      <c r="X44" s="1162"/>
      <c r="Y44" s="1162"/>
      <c r="AA44" s="1203">
        <f t="shared" si="70"/>
        <v>47695</v>
      </c>
      <c r="AB44" s="1202">
        <f t="shared" si="71"/>
        <v>0</v>
      </c>
      <c r="AC44" s="1202">
        <f t="shared" si="72"/>
        <v>0</v>
      </c>
      <c r="AD44" s="1202">
        <f t="shared" si="72"/>
        <v>0</v>
      </c>
      <c r="AE44" s="1172">
        <f t="shared" si="73"/>
        <v>0</v>
      </c>
      <c r="AF44" s="1172"/>
      <c r="AG44" s="1172"/>
      <c r="AH44" s="1172"/>
      <c r="AI44" s="1172"/>
      <c r="AJ44" s="1172"/>
      <c r="AL44" s="1203">
        <f t="shared" si="74"/>
        <v>47695</v>
      </c>
      <c r="AM44" s="1202">
        <f t="shared" si="75"/>
        <v>0</v>
      </c>
      <c r="AN44" s="1202">
        <f t="shared" si="76"/>
        <v>0</v>
      </c>
      <c r="AO44" s="1202">
        <f t="shared" si="77"/>
        <v>0</v>
      </c>
      <c r="AP44" s="1172">
        <f t="shared" si="78"/>
        <v>0</v>
      </c>
      <c r="AQ44" s="1172"/>
      <c r="AR44" s="1172"/>
      <c r="AS44" s="1172"/>
      <c r="AT44" s="1172"/>
      <c r="AU44" s="1172"/>
      <c r="AW44" s="1203">
        <f t="shared" si="79"/>
        <v>47695</v>
      </c>
      <c r="AX44" s="1202">
        <f t="shared" si="80"/>
        <v>0</v>
      </c>
      <c r="AY44" s="1202">
        <f t="shared" si="81"/>
        <v>0</v>
      </c>
      <c r="AZ44" s="1202">
        <f t="shared" si="82"/>
        <v>0</v>
      </c>
      <c r="BA44" s="1172">
        <f t="shared" si="83"/>
        <v>0</v>
      </c>
      <c r="BB44" s="1172"/>
      <c r="BC44" s="1172"/>
      <c r="BD44" s="1172"/>
      <c r="BE44" s="1172"/>
      <c r="BF44" s="1172"/>
      <c r="BH44" s="1203">
        <f t="shared" si="84"/>
        <v>47695</v>
      </c>
      <c r="BI44" s="1202">
        <f t="shared" si="85"/>
        <v>0</v>
      </c>
      <c r="BJ44" s="1202">
        <f t="shared" si="86"/>
        <v>0</v>
      </c>
      <c r="BK44" s="1202">
        <f t="shared" si="87"/>
        <v>0</v>
      </c>
      <c r="BL44" s="1202">
        <f t="shared" si="88"/>
        <v>0</v>
      </c>
      <c r="BM44" s="1202"/>
      <c r="BN44" s="1202"/>
      <c r="BO44" s="1202"/>
      <c r="BP44" s="1202"/>
      <c r="BQ44" s="1202"/>
      <c r="BS44" s="1203">
        <f t="shared" si="89"/>
        <v>47695</v>
      </c>
      <c r="BT44" s="1202">
        <f t="shared" si="90"/>
        <v>0</v>
      </c>
      <c r="BU44" s="1202">
        <f t="shared" si="91"/>
        <v>0</v>
      </c>
      <c r="BV44" s="1202">
        <f t="shared" si="92"/>
        <v>0</v>
      </c>
      <c r="BW44" s="1202">
        <f t="shared" si="93"/>
        <v>0</v>
      </c>
      <c r="BX44" s="1202"/>
      <c r="BY44" s="1202"/>
      <c r="BZ44" s="1202"/>
      <c r="CA44" s="1202"/>
      <c r="CB44" s="1202"/>
      <c r="CD44" s="1203">
        <f t="shared" si="94"/>
        <v>47695</v>
      </c>
      <c r="CE44" s="1202">
        <f t="shared" si="95"/>
        <v>0</v>
      </c>
      <c r="CF44" s="1202">
        <f t="shared" si="96"/>
        <v>0</v>
      </c>
      <c r="CG44" s="1202">
        <f t="shared" si="97"/>
        <v>0</v>
      </c>
      <c r="CH44" s="1202">
        <f t="shared" si="98"/>
        <v>0</v>
      </c>
    </row>
    <row r="45" spans="3:86" ht="15" customHeight="1">
      <c r="C45" s="1206"/>
      <c r="D45" s="1196"/>
      <c r="E45" s="1196"/>
      <c r="F45" s="1196"/>
      <c r="G45" s="1196"/>
      <c r="H45" s="1228"/>
      <c r="I45" s="1218">
        <f t="shared" si="67"/>
        <v>47726</v>
      </c>
      <c r="J45" s="1195">
        <f>SUM(Q$8:Q45)</f>
        <v>1061507.7681029215</v>
      </c>
      <c r="K45" s="391">
        <f>SUM(R$8:R45)/$J45</f>
        <v>0.90000000000000213</v>
      </c>
      <c r="L45" s="391">
        <f>SUM(S$8:S45)/$J45</f>
        <v>0.10000000000000003</v>
      </c>
      <c r="M45" s="391">
        <f>SUM(T$8:T45)/$J45</f>
        <v>0</v>
      </c>
      <c r="O45" s="1155" t="s">
        <v>5082</v>
      </c>
      <c r="P45" s="1165">
        <f t="shared" si="99"/>
        <v>47726</v>
      </c>
      <c r="Q45" s="1162">
        <f t="shared" si="68"/>
        <v>0</v>
      </c>
      <c r="R45" s="1162">
        <f t="shared" si="69"/>
        <v>0</v>
      </c>
      <c r="S45" s="1162">
        <f t="shared" si="69"/>
        <v>0</v>
      </c>
      <c r="T45" s="1162">
        <f t="shared" si="69"/>
        <v>0</v>
      </c>
      <c r="U45" s="1162"/>
      <c r="V45" s="1194"/>
      <c r="W45" s="1162"/>
      <c r="X45" s="1162"/>
      <c r="Y45" s="1162"/>
      <c r="AA45" s="1203">
        <f t="shared" si="70"/>
        <v>47726</v>
      </c>
      <c r="AB45" s="1202">
        <f t="shared" si="71"/>
        <v>0</v>
      </c>
      <c r="AC45" s="1202">
        <f t="shared" si="72"/>
        <v>0</v>
      </c>
      <c r="AD45" s="1202">
        <f t="shared" si="72"/>
        <v>0</v>
      </c>
      <c r="AE45" s="1172">
        <f t="shared" si="73"/>
        <v>0</v>
      </c>
      <c r="AF45" s="1172"/>
      <c r="AG45" s="1172"/>
      <c r="AH45" s="1172"/>
      <c r="AI45" s="1172"/>
      <c r="AJ45" s="1172"/>
      <c r="AL45" s="1203">
        <f t="shared" si="74"/>
        <v>47726</v>
      </c>
      <c r="AM45" s="1202">
        <f t="shared" si="75"/>
        <v>0</v>
      </c>
      <c r="AN45" s="1202">
        <f t="shared" si="76"/>
        <v>0</v>
      </c>
      <c r="AO45" s="1202">
        <f t="shared" si="77"/>
        <v>0</v>
      </c>
      <c r="AP45" s="1172">
        <f t="shared" si="78"/>
        <v>0</v>
      </c>
      <c r="AQ45" s="1172"/>
      <c r="AR45" s="1172"/>
      <c r="AS45" s="1172"/>
      <c r="AT45" s="1172"/>
      <c r="AU45" s="1172"/>
      <c r="AW45" s="1203">
        <f t="shared" si="79"/>
        <v>47726</v>
      </c>
      <c r="AX45" s="1202">
        <f t="shared" si="80"/>
        <v>0</v>
      </c>
      <c r="AY45" s="1202">
        <f t="shared" si="81"/>
        <v>0</v>
      </c>
      <c r="AZ45" s="1202">
        <f t="shared" si="82"/>
        <v>0</v>
      </c>
      <c r="BA45" s="1172">
        <f t="shared" si="83"/>
        <v>0</v>
      </c>
      <c r="BB45" s="1172"/>
      <c r="BC45" s="1172"/>
      <c r="BD45" s="1172"/>
      <c r="BE45" s="1172"/>
      <c r="BF45" s="1172"/>
      <c r="BH45" s="1203">
        <f t="shared" si="84"/>
        <v>47726</v>
      </c>
      <c r="BI45" s="1202">
        <f t="shared" si="85"/>
        <v>0</v>
      </c>
      <c r="BJ45" s="1202">
        <f t="shared" si="86"/>
        <v>0</v>
      </c>
      <c r="BK45" s="1202">
        <f t="shared" si="87"/>
        <v>0</v>
      </c>
      <c r="BL45" s="1202">
        <f t="shared" si="88"/>
        <v>0</v>
      </c>
      <c r="BM45" s="1202"/>
      <c r="BN45" s="1202"/>
      <c r="BO45" s="1202"/>
      <c r="BP45" s="1202"/>
      <c r="BQ45" s="1202"/>
      <c r="BS45" s="1203">
        <f t="shared" si="89"/>
        <v>47726</v>
      </c>
      <c r="BT45" s="1202">
        <f t="shared" si="90"/>
        <v>0</v>
      </c>
      <c r="BU45" s="1202">
        <f t="shared" si="91"/>
        <v>0</v>
      </c>
      <c r="BV45" s="1202">
        <f t="shared" si="92"/>
        <v>0</v>
      </c>
      <c r="BW45" s="1202">
        <f t="shared" si="93"/>
        <v>0</v>
      </c>
      <c r="BX45" s="1202"/>
      <c r="BY45" s="1202"/>
      <c r="BZ45" s="1202"/>
      <c r="CA45" s="1202"/>
      <c r="CB45" s="1202"/>
      <c r="CD45" s="1203">
        <f t="shared" si="94"/>
        <v>47726</v>
      </c>
      <c r="CE45" s="1202">
        <f t="shared" si="95"/>
        <v>0</v>
      </c>
      <c r="CF45" s="1202">
        <f t="shared" si="96"/>
        <v>0</v>
      </c>
      <c r="CG45" s="1202">
        <f t="shared" si="97"/>
        <v>0</v>
      </c>
      <c r="CH45" s="1202">
        <f t="shared" si="98"/>
        <v>0</v>
      </c>
    </row>
    <row r="46" spans="3:86" ht="15" customHeight="1" outlineLevel="1">
      <c r="C46" s="1206" t="s">
        <v>176</v>
      </c>
      <c r="D46" s="1221" t="str">
        <f>D26</f>
        <v>All Equity</v>
      </c>
      <c r="E46" s="1221" t="str">
        <f>E26</f>
        <v>TBD</v>
      </c>
      <c r="F46" s="1221" t="str">
        <f>F26</f>
        <v>OG Group</v>
      </c>
      <c r="G46" s="1221" t="str">
        <f>G26</f>
        <v>TBD</v>
      </c>
      <c r="H46" s="1228"/>
      <c r="I46" s="1218">
        <f t="shared" si="67"/>
        <v>47756</v>
      </c>
      <c r="J46" s="1195">
        <f>SUM(Q$8:Q46)</f>
        <v>1061507.7681029215</v>
      </c>
      <c r="K46" s="391">
        <f>SUM(R$8:R46)/$J46</f>
        <v>0.90000000000000213</v>
      </c>
      <c r="L46" s="391">
        <f>SUM(S$8:S46)/$J46</f>
        <v>0.10000000000000003</v>
      </c>
      <c r="M46" s="391">
        <f>SUM(T$8:T46)/$J46</f>
        <v>0</v>
      </c>
      <c r="O46" s="1155" t="s">
        <v>5081</v>
      </c>
      <c r="P46" s="1165">
        <f t="shared" si="99"/>
        <v>47756</v>
      </c>
      <c r="Q46" s="1162">
        <f t="shared" si="68"/>
        <v>0</v>
      </c>
      <c r="R46" s="1162">
        <f t="shared" si="69"/>
        <v>0</v>
      </c>
      <c r="S46" s="1162">
        <f t="shared" si="69"/>
        <v>0</v>
      </c>
      <c r="T46" s="1162">
        <f t="shared" si="69"/>
        <v>0</v>
      </c>
      <c r="U46" s="1162"/>
      <c r="V46" s="1162"/>
      <c r="W46" s="1162"/>
      <c r="X46" s="1162"/>
      <c r="Y46" s="1162"/>
      <c r="AA46" s="1203">
        <f t="shared" si="70"/>
        <v>47756</v>
      </c>
      <c r="AB46" s="1202">
        <f t="shared" si="71"/>
        <v>0</v>
      </c>
      <c r="AC46" s="1202">
        <f t="shared" si="72"/>
        <v>0</v>
      </c>
      <c r="AD46" s="1202">
        <f t="shared" si="72"/>
        <v>0</v>
      </c>
      <c r="AE46" s="1172">
        <f t="shared" si="73"/>
        <v>0</v>
      </c>
      <c r="AF46" s="1172"/>
      <c r="AG46" s="1172"/>
      <c r="AH46" s="1172"/>
      <c r="AI46" s="1172"/>
      <c r="AJ46" s="1172"/>
      <c r="AL46" s="1203">
        <f t="shared" si="74"/>
        <v>47756</v>
      </c>
      <c r="AM46" s="1202">
        <f t="shared" si="75"/>
        <v>0</v>
      </c>
      <c r="AN46" s="1202">
        <f t="shared" si="76"/>
        <v>0</v>
      </c>
      <c r="AO46" s="1202">
        <f t="shared" si="77"/>
        <v>0</v>
      </c>
      <c r="AP46" s="1172">
        <f t="shared" si="78"/>
        <v>0</v>
      </c>
      <c r="AQ46" s="1172"/>
      <c r="AR46" s="1172"/>
      <c r="AS46" s="1172"/>
      <c r="AT46" s="1172"/>
      <c r="AU46" s="1172"/>
      <c r="AW46" s="1203">
        <f t="shared" si="79"/>
        <v>47756</v>
      </c>
      <c r="AX46" s="1202">
        <f t="shared" si="80"/>
        <v>0</v>
      </c>
      <c r="AY46" s="1202">
        <f t="shared" si="81"/>
        <v>0</v>
      </c>
      <c r="AZ46" s="1202">
        <f t="shared" si="82"/>
        <v>0</v>
      </c>
      <c r="BA46" s="1172">
        <f t="shared" si="83"/>
        <v>0</v>
      </c>
      <c r="BB46" s="1172"/>
      <c r="BC46" s="1172"/>
      <c r="BD46" s="1172"/>
      <c r="BE46" s="1172"/>
      <c r="BF46" s="1172"/>
      <c r="BH46" s="1203">
        <f t="shared" si="84"/>
        <v>47756</v>
      </c>
      <c r="BI46" s="1202">
        <f t="shared" si="85"/>
        <v>0</v>
      </c>
      <c r="BJ46" s="1202">
        <f t="shared" si="86"/>
        <v>0</v>
      </c>
      <c r="BK46" s="1202">
        <f t="shared" si="87"/>
        <v>0</v>
      </c>
      <c r="BL46" s="1202">
        <f t="shared" si="88"/>
        <v>0</v>
      </c>
      <c r="BM46" s="1202"/>
      <c r="BN46" s="1202"/>
      <c r="BO46" s="1202"/>
      <c r="BP46" s="1202"/>
      <c r="BQ46" s="1202"/>
      <c r="BS46" s="1203">
        <f t="shared" si="89"/>
        <v>47756</v>
      </c>
      <c r="BT46" s="1202">
        <f t="shared" si="90"/>
        <v>0</v>
      </c>
      <c r="BU46" s="1202">
        <f t="shared" si="91"/>
        <v>0</v>
      </c>
      <c r="BV46" s="1202">
        <f t="shared" si="92"/>
        <v>0</v>
      </c>
      <c r="BW46" s="1202">
        <f t="shared" si="93"/>
        <v>0</v>
      </c>
      <c r="BX46" s="1202"/>
      <c r="BY46" s="1202"/>
      <c r="BZ46" s="1202"/>
      <c r="CA46" s="1202"/>
      <c r="CB46" s="1202"/>
      <c r="CD46" s="1203">
        <f t="shared" si="94"/>
        <v>47756</v>
      </c>
      <c r="CE46" s="1202">
        <f t="shared" si="95"/>
        <v>0</v>
      </c>
      <c r="CF46" s="1202">
        <f t="shared" si="96"/>
        <v>0</v>
      </c>
      <c r="CG46" s="1202">
        <f t="shared" si="97"/>
        <v>0</v>
      </c>
      <c r="CH46" s="1202">
        <f t="shared" si="98"/>
        <v>0</v>
      </c>
    </row>
    <row r="47" spans="3:86" ht="15" customHeight="1" outlineLevel="1">
      <c r="C47" s="1211" t="s">
        <v>156</v>
      </c>
      <c r="D47" s="1220">
        <f t="shared" ref="D47:G62" si="101">IFERROR(D27/$D27,"")</f>
        <v>1</v>
      </c>
      <c r="E47" s="1220">
        <f t="shared" si="101"/>
        <v>0.89999999999999947</v>
      </c>
      <c r="F47" s="1220">
        <f t="shared" si="101"/>
        <v>9.9999999999999992E-2</v>
      </c>
      <c r="G47" s="1220">
        <f t="shared" si="101"/>
        <v>0</v>
      </c>
      <c r="H47" s="1228"/>
      <c r="I47" s="1218">
        <f t="shared" si="67"/>
        <v>47787</v>
      </c>
      <c r="J47" s="1195">
        <f>SUM(Q$8:Q47)</f>
        <v>1061507.7681029215</v>
      </c>
      <c r="K47" s="391">
        <f>SUM(R$8:R47)/$J47</f>
        <v>0.90000000000000213</v>
      </c>
      <c r="L47" s="391">
        <f>SUM(S$8:S47)/$J47</f>
        <v>0.10000000000000003</v>
      </c>
      <c r="M47" s="391">
        <f>SUM(T$8:T47)/$J47</f>
        <v>0</v>
      </c>
      <c r="O47" s="1155" t="s">
        <v>5080</v>
      </c>
      <c r="P47" s="1165">
        <f t="shared" si="99"/>
        <v>47787</v>
      </c>
      <c r="Q47" s="1162">
        <f t="shared" si="68"/>
        <v>0</v>
      </c>
      <c r="R47" s="1162">
        <f t="shared" si="69"/>
        <v>0</v>
      </c>
      <c r="S47" s="1162">
        <f t="shared" si="69"/>
        <v>0</v>
      </c>
      <c r="T47" s="1162">
        <f t="shared" si="69"/>
        <v>0</v>
      </c>
      <c r="U47" s="1162"/>
      <c r="V47" s="1162"/>
      <c r="W47" s="1162"/>
      <c r="X47" s="1162"/>
      <c r="Y47" s="1162"/>
      <c r="AA47" s="1203">
        <f t="shared" si="70"/>
        <v>47787</v>
      </c>
      <c r="AB47" s="1202">
        <f t="shared" si="71"/>
        <v>0</v>
      </c>
      <c r="AC47" s="1202">
        <f t="shared" si="72"/>
        <v>0</v>
      </c>
      <c r="AD47" s="1202">
        <f t="shared" si="72"/>
        <v>0</v>
      </c>
      <c r="AE47" s="1172">
        <f t="shared" si="73"/>
        <v>0</v>
      </c>
      <c r="AF47" s="1172"/>
      <c r="AG47" s="1172"/>
      <c r="AH47" s="1172"/>
      <c r="AI47" s="1172"/>
      <c r="AJ47" s="1172"/>
      <c r="AL47" s="1203">
        <f t="shared" si="74"/>
        <v>47787</v>
      </c>
      <c r="AM47" s="1202">
        <f t="shared" si="75"/>
        <v>0</v>
      </c>
      <c r="AN47" s="1202">
        <f t="shared" si="76"/>
        <v>0</v>
      </c>
      <c r="AO47" s="1202">
        <f t="shared" si="77"/>
        <v>0</v>
      </c>
      <c r="AP47" s="1172">
        <f t="shared" si="78"/>
        <v>0</v>
      </c>
      <c r="AQ47" s="1172"/>
      <c r="AR47" s="1172"/>
      <c r="AS47" s="1172"/>
      <c r="AT47" s="1172"/>
      <c r="AU47" s="1172"/>
      <c r="AW47" s="1203">
        <f t="shared" si="79"/>
        <v>47787</v>
      </c>
      <c r="AX47" s="1202">
        <f t="shared" si="80"/>
        <v>0</v>
      </c>
      <c r="AY47" s="1202">
        <f t="shared" si="81"/>
        <v>0</v>
      </c>
      <c r="AZ47" s="1202">
        <f t="shared" si="82"/>
        <v>0</v>
      </c>
      <c r="BA47" s="1172">
        <f t="shared" si="83"/>
        <v>0</v>
      </c>
      <c r="BB47" s="1172"/>
      <c r="BC47" s="1172"/>
      <c r="BD47" s="1172"/>
      <c r="BE47" s="1172"/>
      <c r="BF47" s="1172"/>
      <c r="BH47" s="1203">
        <f t="shared" si="84"/>
        <v>47787</v>
      </c>
      <c r="BI47" s="1202">
        <f t="shared" si="85"/>
        <v>0</v>
      </c>
      <c r="BJ47" s="1202">
        <f t="shared" si="86"/>
        <v>0</v>
      </c>
      <c r="BK47" s="1202">
        <f t="shared" si="87"/>
        <v>0</v>
      </c>
      <c r="BL47" s="1202">
        <f t="shared" si="88"/>
        <v>0</v>
      </c>
      <c r="BM47" s="1202"/>
      <c r="BN47" s="1202"/>
      <c r="BO47" s="1202"/>
      <c r="BP47" s="1202"/>
      <c r="BQ47" s="1202"/>
      <c r="BS47" s="1203">
        <f t="shared" si="89"/>
        <v>47787</v>
      </c>
      <c r="BT47" s="1202">
        <f t="shared" si="90"/>
        <v>0</v>
      </c>
      <c r="BU47" s="1202">
        <f t="shared" si="91"/>
        <v>0</v>
      </c>
      <c r="BV47" s="1202">
        <f t="shared" si="92"/>
        <v>0</v>
      </c>
      <c r="BW47" s="1202">
        <f t="shared" si="93"/>
        <v>0</v>
      </c>
      <c r="BX47" s="1202"/>
      <c r="BY47" s="1202"/>
      <c r="BZ47" s="1202"/>
      <c r="CA47" s="1202"/>
      <c r="CB47" s="1202"/>
      <c r="CD47" s="1203">
        <f t="shared" si="94"/>
        <v>47787</v>
      </c>
      <c r="CE47" s="1202">
        <f t="shared" si="95"/>
        <v>0</v>
      </c>
      <c r="CF47" s="1202">
        <f t="shared" si="96"/>
        <v>0</v>
      </c>
      <c r="CG47" s="1202">
        <f t="shared" si="97"/>
        <v>0</v>
      </c>
      <c r="CH47" s="1202">
        <f t="shared" si="98"/>
        <v>0</v>
      </c>
    </row>
    <row r="48" spans="3:86" ht="15" customHeight="1" outlineLevel="1">
      <c r="C48" s="1206" t="s">
        <v>265</v>
      </c>
      <c r="D48" s="1187">
        <f t="shared" si="101"/>
        <v>1</v>
      </c>
      <c r="E48" s="1187">
        <f t="shared" si="101"/>
        <v>0.90000000000000224</v>
      </c>
      <c r="F48" s="1187">
        <f t="shared" si="101"/>
        <v>0.1</v>
      </c>
      <c r="G48" s="1187">
        <f t="shared" si="101"/>
        <v>0</v>
      </c>
      <c r="I48" s="1218">
        <f t="shared" si="67"/>
        <v>47817</v>
      </c>
      <c r="J48" s="1195">
        <f>SUM(Q$8:Q48)</f>
        <v>1061507.7681029215</v>
      </c>
      <c r="K48" s="391">
        <f>SUM(R$8:R48)/$J48</f>
        <v>0.90000000000000213</v>
      </c>
      <c r="L48" s="391">
        <f>SUM(S$8:S48)/$J48</f>
        <v>0.10000000000000003</v>
      </c>
      <c r="M48" s="391">
        <f>SUM(T$8:T48)/$J48</f>
        <v>0</v>
      </c>
      <c r="O48" s="1155" t="s">
        <v>5079</v>
      </c>
      <c r="P48" s="1165">
        <f t="shared" si="99"/>
        <v>47817</v>
      </c>
      <c r="Q48" s="1162">
        <f t="shared" si="68"/>
        <v>0</v>
      </c>
      <c r="R48" s="1162">
        <f t="shared" si="69"/>
        <v>0</v>
      </c>
      <c r="S48" s="1162">
        <f t="shared" si="69"/>
        <v>0</v>
      </c>
      <c r="T48" s="1162">
        <f t="shared" si="69"/>
        <v>0</v>
      </c>
      <c r="U48" s="1162"/>
      <c r="V48" s="1162"/>
      <c r="W48" s="1162"/>
      <c r="X48" s="1162"/>
      <c r="Y48" s="1162"/>
      <c r="AA48" s="1203">
        <f t="shared" si="70"/>
        <v>47817</v>
      </c>
      <c r="AB48" s="1202">
        <f t="shared" si="71"/>
        <v>0</v>
      </c>
      <c r="AC48" s="1202">
        <f t="shared" si="72"/>
        <v>0</v>
      </c>
      <c r="AD48" s="1202">
        <f t="shared" si="72"/>
        <v>0</v>
      </c>
      <c r="AE48" s="1172">
        <f t="shared" si="73"/>
        <v>0</v>
      </c>
      <c r="AF48" s="1172"/>
      <c r="AG48" s="1172"/>
      <c r="AH48" s="1172"/>
      <c r="AI48" s="1172"/>
      <c r="AJ48" s="1172"/>
      <c r="AL48" s="1203">
        <f t="shared" si="74"/>
        <v>47817</v>
      </c>
      <c r="AM48" s="1202">
        <f t="shared" si="75"/>
        <v>0</v>
      </c>
      <c r="AN48" s="1202">
        <f t="shared" si="76"/>
        <v>0</v>
      </c>
      <c r="AO48" s="1202">
        <f t="shared" si="77"/>
        <v>0</v>
      </c>
      <c r="AP48" s="1172">
        <f t="shared" si="78"/>
        <v>0</v>
      </c>
      <c r="AQ48" s="1172"/>
      <c r="AR48" s="1172"/>
      <c r="AS48" s="1172"/>
      <c r="AT48" s="1172"/>
      <c r="AU48" s="1172"/>
      <c r="AW48" s="1203">
        <f t="shared" si="79"/>
        <v>47817</v>
      </c>
      <c r="AX48" s="1202">
        <f t="shared" si="80"/>
        <v>0</v>
      </c>
      <c r="AY48" s="1202">
        <f t="shared" si="81"/>
        <v>0</v>
      </c>
      <c r="AZ48" s="1202">
        <f t="shared" si="82"/>
        <v>0</v>
      </c>
      <c r="BA48" s="1172">
        <f t="shared" si="83"/>
        <v>0</v>
      </c>
      <c r="BB48" s="1172"/>
      <c r="BC48" s="1172"/>
      <c r="BD48" s="1172"/>
      <c r="BE48" s="1172"/>
      <c r="BF48" s="1172"/>
      <c r="BH48" s="1203">
        <f t="shared" si="84"/>
        <v>47817</v>
      </c>
      <c r="BI48" s="1202">
        <f t="shared" si="85"/>
        <v>0</v>
      </c>
      <c r="BJ48" s="1202">
        <f t="shared" si="86"/>
        <v>0</v>
      </c>
      <c r="BK48" s="1202">
        <f t="shared" si="87"/>
        <v>0</v>
      </c>
      <c r="BL48" s="1202">
        <f t="shared" si="88"/>
        <v>0</v>
      </c>
      <c r="BM48" s="1202"/>
      <c r="BN48" s="1202"/>
      <c r="BO48" s="1202"/>
      <c r="BP48" s="1202"/>
      <c r="BQ48" s="1202"/>
      <c r="BS48" s="1203">
        <f t="shared" si="89"/>
        <v>47817</v>
      </c>
      <c r="BT48" s="1202">
        <f t="shared" si="90"/>
        <v>0</v>
      </c>
      <c r="BU48" s="1202">
        <f t="shared" si="91"/>
        <v>0</v>
      </c>
      <c r="BV48" s="1202">
        <f t="shared" si="92"/>
        <v>0</v>
      </c>
      <c r="BW48" s="1202">
        <f t="shared" si="93"/>
        <v>0</v>
      </c>
      <c r="BX48" s="1202"/>
      <c r="BY48" s="1202"/>
      <c r="BZ48" s="1202"/>
      <c r="CA48" s="1202"/>
      <c r="CB48" s="1202"/>
      <c r="CD48" s="1203">
        <f t="shared" si="94"/>
        <v>47817</v>
      </c>
      <c r="CE48" s="1202">
        <f t="shared" si="95"/>
        <v>0</v>
      </c>
      <c r="CF48" s="1202">
        <f t="shared" si="96"/>
        <v>0</v>
      </c>
      <c r="CG48" s="1202">
        <f t="shared" si="97"/>
        <v>0</v>
      </c>
      <c r="CH48" s="1202">
        <f t="shared" si="98"/>
        <v>0</v>
      </c>
    </row>
    <row r="49" spans="3:86" ht="15" customHeight="1" outlineLevel="1">
      <c r="C49" s="1206" t="s">
        <v>5091</v>
      </c>
      <c r="D49" s="1187" t="str">
        <f t="shared" si="101"/>
        <v/>
      </c>
      <c r="E49" s="1187" t="str">
        <f t="shared" si="101"/>
        <v/>
      </c>
      <c r="F49" s="1187" t="str">
        <f t="shared" si="101"/>
        <v/>
      </c>
      <c r="G49" s="1187" t="str">
        <f t="shared" si="101"/>
        <v/>
      </c>
      <c r="H49" s="738"/>
      <c r="I49" s="1218">
        <f t="shared" si="67"/>
        <v>47848</v>
      </c>
      <c r="J49" s="1195">
        <f>SUM(Q$8:Q49)</f>
        <v>1061507.7681029215</v>
      </c>
      <c r="K49" s="391">
        <f>SUM(R$8:R49)/$J49</f>
        <v>0.90000000000000213</v>
      </c>
      <c r="L49" s="391">
        <f>SUM(S$8:S49)/$J49</f>
        <v>0.10000000000000003</v>
      </c>
      <c r="M49" s="391">
        <f>SUM(T$8:T49)/$J49</f>
        <v>0</v>
      </c>
      <c r="O49" s="1155" t="s">
        <v>5077</v>
      </c>
      <c r="P49" s="1165">
        <f>EOMONTH(P48,1)</f>
        <v>47848</v>
      </c>
      <c r="Q49" s="1162">
        <f t="shared" si="68"/>
        <v>0</v>
      </c>
      <c r="R49" s="1162">
        <f t="shared" si="69"/>
        <v>0</v>
      </c>
      <c r="S49" s="1162">
        <f t="shared" si="69"/>
        <v>0</v>
      </c>
      <c r="T49" s="1162">
        <f t="shared" si="69"/>
        <v>0</v>
      </c>
      <c r="U49" s="1162"/>
      <c r="V49" s="1162"/>
      <c r="W49" s="1162"/>
      <c r="X49" s="1162"/>
      <c r="Y49" s="1162"/>
      <c r="AA49" s="1203">
        <f t="shared" si="70"/>
        <v>47848</v>
      </c>
      <c r="AB49" s="1202">
        <f t="shared" si="71"/>
        <v>0</v>
      </c>
      <c r="AC49" s="1202">
        <f t="shared" si="72"/>
        <v>0</v>
      </c>
      <c r="AD49" s="1202">
        <f t="shared" si="72"/>
        <v>0</v>
      </c>
      <c r="AE49" s="1172">
        <f t="shared" si="73"/>
        <v>0</v>
      </c>
      <c r="AF49" s="1172"/>
      <c r="AG49" s="1172"/>
      <c r="AH49" s="1172"/>
      <c r="AI49" s="1172"/>
      <c r="AJ49" s="1172"/>
      <c r="AL49" s="1203">
        <f t="shared" si="74"/>
        <v>47848</v>
      </c>
      <c r="AM49" s="1202">
        <f t="shared" si="75"/>
        <v>0</v>
      </c>
      <c r="AN49" s="1202">
        <f t="shared" si="76"/>
        <v>0</v>
      </c>
      <c r="AO49" s="1202">
        <f t="shared" si="77"/>
        <v>0</v>
      </c>
      <c r="AP49" s="1172">
        <f t="shared" si="78"/>
        <v>0</v>
      </c>
      <c r="AQ49" s="1172"/>
      <c r="AR49" s="1172"/>
      <c r="AS49" s="1172"/>
      <c r="AT49" s="1172"/>
      <c r="AU49" s="1172"/>
      <c r="AW49" s="1203">
        <f t="shared" si="79"/>
        <v>47848</v>
      </c>
      <c r="AX49" s="1202">
        <f t="shared" si="80"/>
        <v>0</v>
      </c>
      <c r="AY49" s="1202">
        <f t="shared" si="81"/>
        <v>0</v>
      </c>
      <c r="AZ49" s="1202">
        <f t="shared" si="82"/>
        <v>0</v>
      </c>
      <c r="BA49" s="1172">
        <f t="shared" si="83"/>
        <v>0</v>
      </c>
      <c r="BB49" s="1172"/>
      <c r="BC49" s="1172"/>
      <c r="BD49" s="1172"/>
      <c r="BE49" s="1172"/>
      <c r="BF49" s="1172"/>
      <c r="BH49" s="1203">
        <f t="shared" si="84"/>
        <v>47848</v>
      </c>
      <c r="BI49" s="1202">
        <f t="shared" si="85"/>
        <v>0</v>
      </c>
      <c r="BJ49" s="1202">
        <f t="shared" si="86"/>
        <v>0</v>
      </c>
      <c r="BK49" s="1202">
        <f t="shared" si="87"/>
        <v>0</v>
      </c>
      <c r="BL49" s="1202">
        <f t="shared" si="88"/>
        <v>0</v>
      </c>
      <c r="BM49" s="1202"/>
      <c r="BN49" s="1202"/>
      <c r="BO49" s="1202"/>
      <c r="BP49" s="1202"/>
      <c r="BQ49" s="1202"/>
      <c r="BS49" s="1203">
        <f t="shared" si="89"/>
        <v>47848</v>
      </c>
      <c r="BT49" s="1202">
        <f t="shared" si="90"/>
        <v>0</v>
      </c>
      <c r="BU49" s="1202">
        <f t="shared" si="91"/>
        <v>0</v>
      </c>
      <c r="BV49" s="1202">
        <f t="shared" si="92"/>
        <v>0</v>
      </c>
      <c r="BW49" s="1202">
        <f t="shared" si="93"/>
        <v>0</v>
      </c>
      <c r="BX49" s="1202"/>
      <c r="BY49" s="1202"/>
      <c r="BZ49" s="1202"/>
      <c r="CA49" s="1202"/>
      <c r="CB49" s="1202"/>
      <c r="CD49" s="1203">
        <f t="shared" si="94"/>
        <v>47848</v>
      </c>
      <c r="CE49" s="1202">
        <f t="shared" si="95"/>
        <v>0</v>
      </c>
      <c r="CF49" s="1202">
        <f t="shared" si="96"/>
        <v>0</v>
      </c>
      <c r="CG49" s="1202">
        <f t="shared" si="97"/>
        <v>0</v>
      </c>
      <c r="CH49" s="1202">
        <f t="shared" si="98"/>
        <v>0</v>
      </c>
    </row>
    <row r="50" spans="3:86" ht="15" customHeight="1" outlineLevel="2">
      <c r="C50" s="1206" t="s">
        <v>5090</v>
      </c>
      <c r="D50" s="1187">
        <f t="shared" si="101"/>
        <v>1</v>
      </c>
      <c r="E50" s="1187">
        <f t="shared" si="101"/>
        <v>0.9</v>
      </c>
      <c r="F50" s="1187">
        <f t="shared" si="101"/>
        <v>0.10000000011246796</v>
      </c>
      <c r="G50" s="1187">
        <f t="shared" si="101"/>
        <v>0</v>
      </c>
      <c r="I50" s="1218">
        <f t="shared" si="67"/>
        <v>47879</v>
      </c>
      <c r="J50" s="1195">
        <f>SUM(Q$8:Q50)</f>
        <v>1061507.7681029215</v>
      </c>
      <c r="K50" s="391">
        <f>SUM(R$8:R50)/$J50</f>
        <v>0.90000000000000213</v>
      </c>
      <c r="L50" s="391">
        <f>SUM(S$8:S50)/$J50</f>
        <v>0.10000000000000003</v>
      </c>
      <c r="M50" s="391">
        <f>SUM(T$8:T50)/$J50</f>
        <v>0</v>
      </c>
      <c r="O50" s="1155" t="s">
        <v>5075</v>
      </c>
      <c r="P50" s="1165">
        <f t="shared" ref="P50:P58" si="102">+EOMONTH(P49,1)</f>
        <v>47879</v>
      </c>
      <c r="Q50" s="1162">
        <f t="shared" si="68"/>
        <v>0</v>
      </c>
      <c r="R50" s="1162">
        <f t="shared" si="69"/>
        <v>0</v>
      </c>
      <c r="S50" s="1162">
        <f t="shared" si="69"/>
        <v>0</v>
      </c>
      <c r="T50" s="1162">
        <f t="shared" si="69"/>
        <v>0</v>
      </c>
      <c r="U50" s="1162"/>
      <c r="V50" s="1162"/>
      <c r="W50" s="1162"/>
      <c r="X50" s="1162"/>
      <c r="Y50" s="1162"/>
      <c r="AA50" s="1203">
        <f t="shared" si="70"/>
        <v>47879</v>
      </c>
      <c r="AB50" s="1202">
        <f t="shared" si="71"/>
        <v>0</v>
      </c>
      <c r="AC50" s="1202">
        <f t="shared" si="72"/>
        <v>0</v>
      </c>
      <c r="AD50" s="1202">
        <f t="shared" si="72"/>
        <v>0</v>
      </c>
      <c r="AE50" s="1172">
        <f t="shared" si="73"/>
        <v>0</v>
      </c>
      <c r="AF50" s="1172"/>
      <c r="AG50" s="1172"/>
      <c r="AH50" s="1172"/>
      <c r="AI50" s="1172"/>
      <c r="AJ50" s="1172"/>
      <c r="AL50" s="1203">
        <f t="shared" si="74"/>
        <v>47879</v>
      </c>
      <c r="AM50" s="1202">
        <f t="shared" si="75"/>
        <v>0</v>
      </c>
      <c r="AN50" s="1202">
        <f t="shared" si="76"/>
        <v>0</v>
      </c>
      <c r="AO50" s="1202">
        <f t="shared" si="77"/>
        <v>0</v>
      </c>
      <c r="AP50" s="1172">
        <f t="shared" si="78"/>
        <v>0</v>
      </c>
      <c r="AQ50" s="1172"/>
      <c r="AR50" s="1172"/>
      <c r="AS50" s="1172"/>
      <c r="AT50" s="1172"/>
      <c r="AU50" s="1172"/>
      <c r="AW50" s="1203">
        <f t="shared" si="79"/>
        <v>47879</v>
      </c>
      <c r="AX50" s="1202">
        <f t="shared" si="80"/>
        <v>0</v>
      </c>
      <c r="AY50" s="1202">
        <f t="shared" si="81"/>
        <v>0</v>
      </c>
      <c r="AZ50" s="1202">
        <f t="shared" si="82"/>
        <v>0</v>
      </c>
      <c r="BA50" s="1172">
        <f t="shared" si="83"/>
        <v>0</v>
      </c>
      <c r="BB50" s="1172"/>
      <c r="BC50" s="1172"/>
      <c r="BD50" s="1172"/>
      <c r="BE50" s="1172"/>
      <c r="BF50" s="1172"/>
      <c r="BH50" s="1203">
        <f t="shared" si="84"/>
        <v>47879</v>
      </c>
      <c r="BI50" s="1202">
        <f t="shared" si="85"/>
        <v>0</v>
      </c>
      <c r="BJ50" s="1202">
        <f t="shared" si="86"/>
        <v>0</v>
      </c>
      <c r="BK50" s="1202">
        <f t="shared" si="87"/>
        <v>0</v>
      </c>
      <c r="BL50" s="1202">
        <f t="shared" si="88"/>
        <v>0</v>
      </c>
      <c r="BM50" s="1202"/>
      <c r="BN50" s="1202"/>
      <c r="BO50" s="1202"/>
      <c r="BP50" s="1202"/>
      <c r="BQ50" s="1202"/>
      <c r="BS50" s="1203">
        <f t="shared" si="89"/>
        <v>47879</v>
      </c>
      <c r="BT50" s="1202">
        <f t="shared" si="90"/>
        <v>0</v>
      </c>
      <c r="BU50" s="1202">
        <f t="shared" si="91"/>
        <v>0</v>
      </c>
      <c r="BV50" s="1202">
        <f t="shared" si="92"/>
        <v>0</v>
      </c>
      <c r="BW50" s="1202">
        <f t="shared" si="93"/>
        <v>0</v>
      </c>
      <c r="BX50" s="1202"/>
      <c r="BY50" s="1202"/>
      <c r="BZ50" s="1202"/>
      <c r="CA50" s="1202"/>
      <c r="CB50" s="1202"/>
      <c r="CD50" s="1203">
        <f t="shared" si="94"/>
        <v>47879</v>
      </c>
      <c r="CE50" s="1202">
        <f t="shared" si="95"/>
        <v>0</v>
      </c>
      <c r="CF50" s="1202">
        <f t="shared" si="96"/>
        <v>0</v>
      </c>
      <c r="CG50" s="1202">
        <f t="shared" si="97"/>
        <v>0</v>
      </c>
      <c r="CH50" s="1202">
        <f t="shared" si="98"/>
        <v>0</v>
      </c>
    </row>
    <row r="51" spans="3:86" ht="15" customHeight="1" outlineLevel="2">
      <c r="C51" s="1206" t="s">
        <v>5089</v>
      </c>
      <c r="D51" s="1187">
        <f t="shared" si="101"/>
        <v>1</v>
      </c>
      <c r="E51" s="1187">
        <f t="shared" si="101"/>
        <v>0</v>
      </c>
      <c r="F51" s="1187">
        <f t="shared" si="101"/>
        <v>1</v>
      </c>
      <c r="G51" s="1187">
        <f t="shared" si="101"/>
        <v>0</v>
      </c>
      <c r="H51" s="1182"/>
      <c r="I51" s="1218">
        <f t="shared" si="67"/>
        <v>47907</v>
      </c>
      <c r="J51" s="1195">
        <f>SUM(Q$8:Q51)</f>
        <v>1061507.7681029215</v>
      </c>
      <c r="K51" s="391">
        <f>SUM(R$8:R51)/$J51</f>
        <v>0.90000000000000213</v>
      </c>
      <c r="L51" s="391">
        <f>SUM(S$8:S51)/$J51</f>
        <v>0.10000000000000003</v>
      </c>
      <c r="M51" s="391">
        <f>SUM(T$8:T51)/$J51</f>
        <v>0</v>
      </c>
      <c r="O51" s="1155" t="s">
        <v>5073</v>
      </c>
      <c r="P51" s="1165">
        <f t="shared" si="102"/>
        <v>47907</v>
      </c>
      <c r="Q51" s="1162">
        <f t="shared" si="68"/>
        <v>0</v>
      </c>
      <c r="R51" s="1162">
        <f t="shared" si="69"/>
        <v>0</v>
      </c>
      <c r="S51" s="1162">
        <f t="shared" si="69"/>
        <v>0</v>
      </c>
      <c r="T51" s="1162">
        <f t="shared" si="69"/>
        <v>0</v>
      </c>
      <c r="U51" s="1162"/>
      <c r="V51" s="1162"/>
      <c r="W51" s="1162"/>
      <c r="X51" s="1162"/>
      <c r="Y51" s="1162"/>
      <c r="AA51" s="1203">
        <f t="shared" si="70"/>
        <v>47907</v>
      </c>
      <c r="AB51" s="1202">
        <f t="shared" si="71"/>
        <v>0</v>
      </c>
      <c r="AC51" s="1202">
        <f t="shared" si="72"/>
        <v>0</v>
      </c>
      <c r="AD51" s="1202">
        <f t="shared" si="72"/>
        <v>0</v>
      </c>
      <c r="AE51" s="1172">
        <f t="shared" si="73"/>
        <v>0</v>
      </c>
      <c r="AF51" s="1172"/>
      <c r="AG51" s="1172"/>
      <c r="AH51" s="1172"/>
      <c r="AI51" s="1172"/>
      <c r="AJ51" s="1172"/>
      <c r="AL51" s="1203">
        <f t="shared" si="74"/>
        <v>47907</v>
      </c>
      <c r="AM51" s="1202">
        <f t="shared" si="75"/>
        <v>0</v>
      </c>
      <c r="AN51" s="1202">
        <f t="shared" si="76"/>
        <v>0</v>
      </c>
      <c r="AO51" s="1202">
        <f t="shared" si="77"/>
        <v>0</v>
      </c>
      <c r="AP51" s="1172">
        <f t="shared" si="78"/>
        <v>0</v>
      </c>
      <c r="AQ51" s="1172"/>
      <c r="AR51" s="1172"/>
      <c r="AS51" s="1172"/>
      <c r="AT51" s="1172"/>
      <c r="AU51" s="1172"/>
      <c r="AW51" s="1203">
        <f t="shared" si="79"/>
        <v>47907</v>
      </c>
      <c r="AX51" s="1202">
        <f t="shared" si="80"/>
        <v>0</v>
      </c>
      <c r="AY51" s="1202">
        <f t="shared" si="81"/>
        <v>0</v>
      </c>
      <c r="AZ51" s="1202">
        <f t="shared" si="82"/>
        <v>0</v>
      </c>
      <c r="BA51" s="1172">
        <f t="shared" si="83"/>
        <v>0</v>
      </c>
      <c r="BB51" s="1172"/>
      <c r="BC51" s="1172"/>
      <c r="BD51" s="1172"/>
      <c r="BE51" s="1172"/>
      <c r="BF51" s="1172"/>
      <c r="BH51" s="1203">
        <f t="shared" si="84"/>
        <v>47907</v>
      </c>
      <c r="BI51" s="1202">
        <f t="shared" si="85"/>
        <v>0</v>
      </c>
      <c r="BJ51" s="1202">
        <f t="shared" si="86"/>
        <v>0</v>
      </c>
      <c r="BK51" s="1202">
        <f t="shared" si="87"/>
        <v>0</v>
      </c>
      <c r="BL51" s="1202">
        <f t="shared" si="88"/>
        <v>0</v>
      </c>
      <c r="BM51" s="1202"/>
      <c r="BN51" s="1202"/>
      <c r="BO51" s="1202"/>
      <c r="BP51" s="1202"/>
      <c r="BQ51" s="1202"/>
      <c r="BS51" s="1203">
        <f t="shared" si="89"/>
        <v>47907</v>
      </c>
      <c r="BT51" s="1202">
        <f t="shared" si="90"/>
        <v>0</v>
      </c>
      <c r="BU51" s="1202">
        <f t="shared" si="91"/>
        <v>0</v>
      </c>
      <c r="BV51" s="1202">
        <f t="shared" si="92"/>
        <v>0</v>
      </c>
      <c r="BW51" s="1202">
        <f t="shared" si="93"/>
        <v>0</v>
      </c>
      <c r="BX51" s="1202"/>
      <c r="BY51" s="1202"/>
      <c r="BZ51" s="1202"/>
      <c r="CA51" s="1202"/>
      <c r="CB51" s="1202"/>
      <c r="CD51" s="1203">
        <f t="shared" si="94"/>
        <v>47907</v>
      </c>
      <c r="CE51" s="1202">
        <f t="shared" si="95"/>
        <v>0</v>
      </c>
      <c r="CF51" s="1202">
        <f t="shared" si="96"/>
        <v>0</v>
      </c>
      <c r="CG51" s="1202">
        <f t="shared" si="97"/>
        <v>0</v>
      </c>
      <c r="CH51" s="1202">
        <f t="shared" si="98"/>
        <v>0</v>
      </c>
    </row>
    <row r="52" spans="3:86" ht="15" customHeight="1" outlineLevel="2">
      <c r="C52" s="1206" t="s">
        <v>267</v>
      </c>
      <c r="D52" s="1187" t="str">
        <f t="shared" si="101"/>
        <v/>
      </c>
      <c r="E52" s="1187" t="str">
        <f t="shared" si="101"/>
        <v/>
      </c>
      <c r="F52" s="1187" t="str">
        <f t="shared" si="101"/>
        <v/>
      </c>
      <c r="G52" s="1187" t="str">
        <f t="shared" si="101"/>
        <v/>
      </c>
      <c r="H52" s="1182"/>
      <c r="I52" s="1218">
        <f t="shared" si="67"/>
        <v>47938</v>
      </c>
      <c r="J52" s="1195">
        <f>SUM(Q$8:Q52)</f>
        <v>1061507.7681029215</v>
      </c>
      <c r="K52" s="391">
        <f>SUM(R$8:R52)/$J52</f>
        <v>0.90000000000000213</v>
      </c>
      <c r="L52" s="391">
        <f>SUM(S$8:S52)/$J52</f>
        <v>0.10000000000000003</v>
      </c>
      <c r="M52" s="391">
        <f>SUM(T$8:T52)/$J52</f>
        <v>0</v>
      </c>
      <c r="O52" s="1155" t="s">
        <v>5071</v>
      </c>
      <c r="P52" s="1165">
        <f t="shared" si="102"/>
        <v>47938</v>
      </c>
      <c r="Q52" s="1162">
        <f t="shared" si="68"/>
        <v>0</v>
      </c>
      <c r="R52" s="1162">
        <f t="shared" si="69"/>
        <v>0</v>
      </c>
      <c r="S52" s="1162">
        <f t="shared" si="69"/>
        <v>0</v>
      </c>
      <c r="T52" s="1162">
        <f t="shared" si="69"/>
        <v>0</v>
      </c>
      <c r="U52" s="1162"/>
      <c r="V52" s="1162"/>
      <c r="W52" s="1162"/>
      <c r="X52" s="1162"/>
      <c r="Y52" s="1162"/>
      <c r="AA52" s="1203">
        <f t="shared" si="70"/>
        <v>47938</v>
      </c>
      <c r="AB52" s="1202">
        <f t="shared" si="71"/>
        <v>0</v>
      </c>
      <c r="AC52" s="1202">
        <f t="shared" si="72"/>
        <v>0</v>
      </c>
      <c r="AD52" s="1202">
        <f t="shared" si="72"/>
        <v>0</v>
      </c>
      <c r="AE52" s="1172">
        <f t="shared" si="73"/>
        <v>0</v>
      </c>
      <c r="AF52" s="1172"/>
      <c r="AG52" s="1172"/>
      <c r="AH52" s="1172"/>
      <c r="AI52" s="1172"/>
      <c r="AJ52" s="1172"/>
      <c r="AL52" s="1203">
        <f t="shared" si="74"/>
        <v>47938</v>
      </c>
      <c r="AM52" s="1202">
        <f t="shared" si="75"/>
        <v>0</v>
      </c>
      <c r="AN52" s="1202">
        <f t="shared" si="76"/>
        <v>0</v>
      </c>
      <c r="AO52" s="1202">
        <f t="shared" si="77"/>
        <v>0</v>
      </c>
      <c r="AP52" s="1172">
        <f t="shared" si="78"/>
        <v>0</v>
      </c>
      <c r="AQ52" s="1172"/>
      <c r="AR52" s="1172"/>
      <c r="AS52" s="1172"/>
      <c r="AT52" s="1172"/>
      <c r="AU52" s="1172"/>
      <c r="AW52" s="1203">
        <f t="shared" si="79"/>
        <v>47938</v>
      </c>
      <c r="AX52" s="1202">
        <f t="shared" si="80"/>
        <v>0</v>
      </c>
      <c r="AY52" s="1202">
        <f t="shared" si="81"/>
        <v>0</v>
      </c>
      <c r="AZ52" s="1202">
        <f t="shared" si="82"/>
        <v>0</v>
      </c>
      <c r="BA52" s="1172">
        <f t="shared" si="83"/>
        <v>0</v>
      </c>
      <c r="BB52" s="1172"/>
      <c r="BC52" s="1172"/>
      <c r="BD52" s="1172"/>
      <c r="BE52" s="1172"/>
      <c r="BF52" s="1172"/>
      <c r="BH52" s="1203">
        <f t="shared" si="84"/>
        <v>47938</v>
      </c>
      <c r="BI52" s="1202">
        <f t="shared" si="85"/>
        <v>0</v>
      </c>
      <c r="BJ52" s="1202">
        <f t="shared" si="86"/>
        <v>0</v>
      </c>
      <c r="BK52" s="1202">
        <f t="shared" si="87"/>
        <v>0</v>
      </c>
      <c r="BL52" s="1202">
        <f t="shared" si="88"/>
        <v>0</v>
      </c>
      <c r="BM52" s="1202"/>
      <c r="BN52" s="1202"/>
      <c r="BO52" s="1202"/>
      <c r="BP52" s="1202"/>
      <c r="BQ52" s="1202"/>
      <c r="BS52" s="1203">
        <f t="shared" si="89"/>
        <v>47938</v>
      </c>
      <c r="BT52" s="1202">
        <f t="shared" si="90"/>
        <v>0</v>
      </c>
      <c r="BU52" s="1202">
        <f t="shared" si="91"/>
        <v>0</v>
      </c>
      <c r="BV52" s="1202">
        <f t="shared" si="92"/>
        <v>0</v>
      </c>
      <c r="BW52" s="1202">
        <f t="shared" si="93"/>
        <v>0</v>
      </c>
      <c r="BX52" s="1202"/>
      <c r="BY52" s="1202"/>
      <c r="BZ52" s="1202"/>
      <c r="CA52" s="1202"/>
      <c r="CB52" s="1202"/>
      <c r="CD52" s="1203">
        <f t="shared" si="94"/>
        <v>47938</v>
      </c>
      <c r="CE52" s="1202">
        <f t="shared" si="95"/>
        <v>0</v>
      </c>
      <c r="CF52" s="1202">
        <f t="shared" si="96"/>
        <v>0</v>
      </c>
      <c r="CG52" s="1202">
        <f t="shared" si="97"/>
        <v>0</v>
      </c>
      <c r="CH52" s="1202">
        <f t="shared" si="98"/>
        <v>0</v>
      </c>
    </row>
    <row r="53" spans="3:86" ht="15" customHeight="1" outlineLevel="2">
      <c r="C53" s="1206" t="s">
        <v>5088</v>
      </c>
      <c r="D53" s="1187" t="str">
        <f t="shared" si="101"/>
        <v/>
      </c>
      <c r="E53" s="1187" t="str">
        <f t="shared" si="101"/>
        <v/>
      </c>
      <c r="F53" s="1187" t="str">
        <f t="shared" si="101"/>
        <v/>
      </c>
      <c r="G53" s="1187" t="str">
        <f t="shared" si="101"/>
        <v/>
      </c>
      <c r="H53" s="1182"/>
      <c r="I53" s="1218">
        <f t="shared" si="67"/>
        <v>47968</v>
      </c>
      <c r="J53" s="1195">
        <f>SUM(Q$8:Q53)</f>
        <v>1061507.7681029215</v>
      </c>
      <c r="K53" s="391">
        <f>SUM(R$8:R53)/$J53</f>
        <v>0.90000000000000213</v>
      </c>
      <c r="L53" s="391">
        <f>SUM(S$8:S53)/$J53</f>
        <v>0.10000000000000003</v>
      </c>
      <c r="M53" s="391">
        <f>SUM(T$8:T53)/$J53</f>
        <v>0</v>
      </c>
      <c r="O53" s="1155" t="s">
        <v>5069</v>
      </c>
      <c r="P53" s="1165">
        <f t="shared" si="102"/>
        <v>47968</v>
      </c>
      <c r="Q53" s="1162">
        <f t="shared" si="68"/>
        <v>0</v>
      </c>
      <c r="R53" s="1162">
        <f t="shared" si="69"/>
        <v>0</v>
      </c>
      <c r="S53" s="1162">
        <f t="shared" si="69"/>
        <v>0</v>
      </c>
      <c r="T53" s="1162">
        <f t="shared" si="69"/>
        <v>0</v>
      </c>
      <c r="U53" s="1162"/>
      <c r="V53" s="1162"/>
      <c r="W53" s="1162"/>
      <c r="X53" s="1162"/>
      <c r="Y53" s="1162"/>
      <c r="AA53" s="1203">
        <f t="shared" si="70"/>
        <v>47968</v>
      </c>
      <c r="AB53" s="1202">
        <f t="shared" si="71"/>
        <v>0</v>
      </c>
      <c r="AC53" s="1202">
        <f t="shared" si="72"/>
        <v>0</v>
      </c>
      <c r="AD53" s="1202">
        <f t="shared" si="72"/>
        <v>0</v>
      </c>
      <c r="AE53" s="1172">
        <f t="shared" si="73"/>
        <v>0</v>
      </c>
      <c r="AF53" s="1172"/>
      <c r="AG53" s="1172"/>
      <c r="AH53" s="1172"/>
      <c r="AI53" s="1172"/>
      <c r="AJ53" s="1172"/>
      <c r="AL53" s="1203">
        <f t="shared" si="74"/>
        <v>47968</v>
      </c>
      <c r="AM53" s="1202">
        <f t="shared" si="75"/>
        <v>0</v>
      </c>
      <c r="AN53" s="1202">
        <f t="shared" si="76"/>
        <v>0</v>
      </c>
      <c r="AO53" s="1202">
        <f t="shared" si="77"/>
        <v>0</v>
      </c>
      <c r="AP53" s="1172">
        <f t="shared" si="78"/>
        <v>0</v>
      </c>
      <c r="AQ53" s="1172"/>
      <c r="AR53" s="1172"/>
      <c r="AS53" s="1172"/>
      <c r="AT53" s="1172"/>
      <c r="AU53" s="1172"/>
      <c r="AW53" s="1203">
        <f t="shared" si="79"/>
        <v>47968</v>
      </c>
      <c r="AX53" s="1202">
        <f t="shared" si="80"/>
        <v>0</v>
      </c>
      <c r="AY53" s="1202">
        <f t="shared" si="81"/>
        <v>0</v>
      </c>
      <c r="AZ53" s="1202">
        <f t="shared" si="82"/>
        <v>0</v>
      </c>
      <c r="BA53" s="1172">
        <f t="shared" si="83"/>
        <v>0</v>
      </c>
      <c r="BB53" s="1172"/>
      <c r="BC53" s="1172"/>
      <c r="BD53" s="1172"/>
      <c r="BE53" s="1172"/>
      <c r="BF53" s="1172"/>
      <c r="BH53" s="1203">
        <f t="shared" si="84"/>
        <v>47968</v>
      </c>
      <c r="BI53" s="1202">
        <f t="shared" si="85"/>
        <v>0</v>
      </c>
      <c r="BJ53" s="1202">
        <f t="shared" si="86"/>
        <v>0</v>
      </c>
      <c r="BK53" s="1202">
        <f t="shared" si="87"/>
        <v>0</v>
      </c>
      <c r="BL53" s="1202">
        <f t="shared" si="88"/>
        <v>0</v>
      </c>
      <c r="BM53" s="1202"/>
      <c r="BN53" s="1202"/>
      <c r="BO53" s="1202"/>
      <c r="BP53" s="1202"/>
      <c r="BQ53" s="1202"/>
      <c r="BS53" s="1203">
        <f t="shared" si="89"/>
        <v>47968</v>
      </c>
      <c r="BT53" s="1202">
        <f t="shared" si="90"/>
        <v>0</v>
      </c>
      <c r="BU53" s="1202">
        <f t="shared" si="91"/>
        <v>0</v>
      </c>
      <c r="BV53" s="1202">
        <f t="shared" si="92"/>
        <v>0</v>
      </c>
      <c r="BW53" s="1202">
        <f t="shared" si="93"/>
        <v>0</v>
      </c>
      <c r="BX53" s="1202"/>
      <c r="BY53" s="1202"/>
      <c r="BZ53" s="1202"/>
      <c r="CA53" s="1202"/>
      <c r="CB53" s="1202"/>
      <c r="CD53" s="1203">
        <f t="shared" si="94"/>
        <v>47968</v>
      </c>
      <c r="CE53" s="1202">
        <f t="shared" si="95"/>
        <v>0</v>
      </c>
      <c r="CF53" s="1202">
        <f t="shared" si="96"/>
        <v>0</v>
      </c>
      <c r="CG53" s="1202">
        <f t="shared" si="97"/>
        <v>0</v>
      </c>
      <c r="CH53" s="1202">
        <f t="shared" si="98"/>
        <v>0</v>
      </c>
    </row>
    <row r="54" spans="3:86" ht="15" customHeight="1" outlineLevel="1">
      <c r="C54" s="1206" t="s">
        <v>447</v>
      </c>
      <c r="D54" s="1187" t="str">
        <f t="shared" si="101"/>
        <v/>
      </c>
      <c r="E54" s="1187" t="str">
        <f t="shared" si="101"/>
        <v/>
      </c>
      <c r="F54" s="1187" t="str">
        <f t="shared" si="101"/>
        <v/>
      </c>
      <c r="G54" s="1187" t="str">
        <f t="shared" si="101"/>
        <v/>
      </c>
      <c r="I54" s="1218">
        <f t="shared" si="67"/>
        <v>47999</v>
      </c>
      <c r="J54" s="1195">
        <f>SUM(Q$8:Q54)</f>
        <v>1061507.7681029215</v>
      </c>
      <c r="K54" s="391">
        <f>SUM(R$8:R54)/$J54</f>
        <v>0.90000000000000213</v>
      </c>
      <c r="L54" s="391">
        <f>SUM(S$8:S54)/$J54</f>
        <v>0.10000000000000003</v>
      </c>
      <c r="M54" s="391">
        <f>SUM(T$8:T54)/$J54</f>
        <v>0</v>
      </c>
      <c r="O54" s="1155" t="s">
        <v>5067</v>
      </c>
      <c r="P54" s="1165">
        <f t="shared" si="102"/>
        <v>47999</v>
      </c>
      <c r="Q54" s="1162">
        <f t="shared" si="68"/>
        <v>0</v>
      </c>
      <c r="R54" s="1162">
        <f t="shared" si="69"/>
        <v>0</v>
      </c>
      <c r="S54" s="1162">
        <f t="shared" si="69"/>
        <v>0</v>
      </c>
      <c r="T54" s="1162">
        <f t="shared" si="69"/>
        <v>0</v>
      </c>
      <c r="U54" s="1162"/>
      <c r="V54" s="1162"/>
      <c r="W54" s="1162"/>
      <c r="X54" s="1162"/>
      <c r="Y54" s="1162"/>
      <c r="AA54" s="1203">
        <f t="shared" si="70"/>
        <v>47999</v>
      </c>
      <c r="AB54" s="1202">
        <f t="shared" si="71"/>
        <v>0</v>
      </c>
      <c r="AC54" s="1202">
        <f t="shared" si="72"/>
        <v>0</v>
      </c>
      <c r="AD54" s="1202">
        <f t="shared" si="72"/>
        <v>0</v>
      </c>
      <c r="AE54" s="1172">
        <f t="shared" si="73"/>
        <v>0</v>
      </c>
      <c r="AF54" s="1172"/>
      <c r="AG54" s="1172"/>
      <c r="AH54" s="1172"/>
      <c r="AI54" s="1172"/>
      <c r="AJ54" s="1172"/>
      <c r="AL54" s="1203">
        <f t="shared" si="74"/>
        <v>47999</v>
      </c>
      <c r="AM54" s="1202">
        <f t="shared" si="75"/>
        <v>0</v>
      </c>
      <c r="AN54" s="1202">
        <f t="shared" si="76"/>
        <v>0</v>
      </c>
      <c r="AO54" s="1202">
        <f t="shared" si="77"/>
        <v>0</v>
      </c>
      <c r="AP54" s="1172">
        <f t="shared" si="78"/>
        <v>0</v>
      </c>
      <c r="AQ54" s="1172"/>
      <c r="AR54" s="1172"/>
      <c r="AS54" s="1172"/>
      <c r="AT54" s="1172"/>
      <c r="AU54" s="1172"/>
      <c r="AW54" s="1203">
        <f t="shared" si="79"/>
        <v>47999</v>
      </c>
      <c r="AX54" s="1202">
        <f t="shared" si="80"/>
        <v>0</v>
      </c>
      <c r="AY54" s="1202">
        <f t="shared" si="81"/>
        <v>0</v>
      </c>
      <c r="AZ54" s="1202">
        <f t="shared" si="82"/>
        <v>0</v>
      </c>
      <c r="BA54" s="1172">
        <f t="shared" si="83"/>
        <v>0</v>
      </c>
      <c r="BB54" s="1172"/>
      <c r="BC54" s="1172"/>
      <c r="BD54" s="1172"/>
      <c r="BE54" s="1172"/>
      <c r="BF54" s="1172"/>
      <c r="BH54" s="1203">
        <f t="shared" si="84"/>
        <v>47999</v>
      </c>
      <c r="BI54" s="1202">
        <f t="shared" si="85"/>
        <v>0</v>
      </c>
      <c r="BJ54" s="1202">
        <f t="shared" si="86"/>
        <v>0</v>
      </c>
      <c r="BK54" s="1202">
        <f t="shared" si="87"/>
        <v>0</v>
      </c>
      <c r="BL54" s="1202">
        <f t="shared" si="88"/>
        <v>0</v>
      </c>
      <c r="BM54" s="1202"/>
      <c r="BN54" s="1202"/>
      <c r="BO54" s="1202"/>
      <c r="BP54" s="1202"/>
      <c r="BQ54" s="1202"/>
      <c r="BS54" s="1203">
        <f t="shared" si="89"/>
        <v>47999</v>
      </c>
      <c r="BT54" s="1202">
        <f t="shared" si="90"/>
        <v>0</v>
      </c>
      <c r="BU54" s="1202">
        <f t="shared" si="91"/>
        <v>0</v>
      </c>
      <c r="BV54" s="1202">
        <f t="shared" si="92"/>
        <v>0</v>
      </c>
      <c r="BW54" s="1202">
        <f t="shared" si="93"/>
        <v>0</v>
      </c>
      <c r="BX54" s="1202"/>
      <c r="BY54" s="1202"/>
      <c r="BZ54" s="1202"/>
      <c r="CA54" s="1202"/>
      <c r="CB54" s="1202"/>
      <c r="CD54" s="1203">
        <f t="shared" si="94"/>
        <v>47999</v>
      </c>
      <c r="CE54" s="1202">
        <f t="shared" si="95"/>
        <v>0</v>
      </c>
      <c r="CF54" s="1202">
        <f t="shared" si="96"/>
        <v>0</v>
      </c>
      <c r="CG54" s="1202">
        <f t="shared" si="97"/>
        <v>0</v>
      </c>
      <c r="CH54" s="1202">
        <f t="shared" si="98"/>
        <v>0</v>
      </c>
    </row>
    <row r="55" spans="3:86" ht="15" customHeight="1" outlineLevel="1">
      <c r="C55" s="1206" t="s">
        <v>5087</v>
      </c>
      <c r="D55" s="1187" t="str">
        <f t="shared" si="101"/>
        <v/>
      </c>
      <c r="E55" s="1187" t="str">
        <f t="shared" si="101"/>
        <v/>
      </c>
      <c r="F55" s="1187" t="str">
        <f t="shared" si="101"/>
        <v/>
      </c>
      <c r="G55" s="1187" t="str">
        <f t="shared" si="101"/>
        <v/>
      </c>
      <c r="I55" s="1218">
        <f t="shared" si="67"/>
        <v>48029</v>
      </c>
      <c r="J55" s="1195">
        <f>SUM(Q$8:Q55)</f>
        <v>1061507.7681029215</v>
      </c>
      <c r="K55" s="391">
        <f>SUM(R$8:R55)/$J55</f>
        <v>0.90000000000000213</v>
      </c>
      <c r="L55" s="391">
        <f>SUM(S$8:S55)/$J55</f>
        <v>0.10000000000000003</v>
      </c>
      <c r="M55" s="391">
        <f>SUM(T$8:T55)/$J55</f>
        <v>0</v>
      </c>
      <c r="O55" s="1155" t="s">
        <v>5065</v>
      </c>
      <c r="P55" s="1165">
        <f t="shared" si="102"/>
        <v>48029</v>
      </c>
      <c r="Q55" s="1162">
        <f t="shared" si="68"/>
        <v>0</v>
      </c>
      <c r="R55" s="1162">
        <f t="shared" si="69"/>
        <v>0</v>
      </c>
      <c r="S55" s="1162">
        <f t="shared" si="69"/>
        <v>0</v>
      </c>
      <c r="T55" s="1162">
        <f t="shared" si="69"/>
        <v>0</v>
      </c>
      <c r="U55" s="1162"/>
      <c r="V55" s="1162"/>
      <c r="W55" s="1162"/>
      <c r="X55" s="1162"/>
      <c r="Y55" s="1162"/>
      <c r="AA55" s="1203">
        <f t="shared" si="70"/>
        <v>48029</v>
      </c>
      <c r="AB55" s="1202">
        <f t="shared" si="71"/>
        <v>0</v>
      </c>
      <c r="AC55" s="1202">
        <f t="shared" si="72"/>
        <v>0</v>
      </c>
      <c r="AD55" s="1202">
        <f t="shared" si="72"/>
        <v>0</v>
      </c>
      <c r="AE55" s="1172">
        <f t="shared" si="73"/>
        <v>0</v>
      </c>
      <c r="AF55" s="1172"/>
      <c r="AG55" s="1172"/>
      <c r="AH55" s="1172"/>
      <c r="AI55" s="1172"/>
      <c r="AJ55" s="1172"/>
      <c r="AL55" s="1203">
        <f t="shared" si="74"/>
        <v>48029</v>
      </c>
      <c r="AM55" s="1202">
        <f t="shared" si="75"/>
        <v>0</v>
      </c>
      <c r="AN55" s="1202">
        <f t="shared" si="76"/>
        <v>0</v>
      </c>
      <c r="AO55" s="1202">
        <f t="shared" si="77"/>
        <v>0</v>
      </c>
      <c r="AP55" s="1172">
        <f t="shared" si="78"/>
        <v>0</v>
      </c>
      <c r="AQ55" s="1172"/>
      <c r="AR55" s="1172"/>
      <c r="AS55" s="1172"/>
      <c r="AT55" s="1172"/>
      <c r="AU55" s="1172"/>
      <c r="AW55" s="1203">
        <f t="shared" si="79"/>
        <v>48029</v>
      </c>
      <c r="AX55" s="1202">
        <f t="shared" si="80"/>
        <v>0</v>
      </c>
      <c r="AY55" s="1202">
        <f t="shared" si="81"/>
        <v>0</v>
      </c>
      <c r="AZ55" s="1202">
        <f t="shared" si="82"/>
        <v>0</v>
      </c>
      <c r="BA55" s="1172">
        <f t="shared" si="83"/>
        <v>0</v>
      </c>
      <c r="BB55" s="1172"/>
      <c r="BC55" s="1172"/>
      <c r="BD55" s="1172"/>
      <c r="BE55" s="1172"/>
      <c r="BF55" s="1172"/>
      <c r="BH55" s="1203">
        <f t="shared" si="84"/>
        <v>48029</v>
      </c>
      <c r="BI55" s="1202">
        <f t="shared" si="85"/>
        <v>0</v>
      </c>
      <c r="BJ55" s="1202">
        <f t="shared" si="86"/>
        <v>0</v>
      </c>
      <c r="BK55" s="1202">
        <f t="shared" si="87"/>
        <v>0</v>
      </c>
      <c r="BL55" s="1202">
        <f t="shared" si="88"/>
        <v>0</v>
      </c>
      <c r="BM55" s="1202"/>
      <c r="BN55" s="1202"/>
      <c r="BO55" s="1202"/>
      <c r="BP55" s="1202"/>
      <c r="BQ55" s="1202"/>
      <c r="BS55" s="1203">
        <f t="shared" si="89"/>
        <v>48029</v>
      </c>
      <c r="BT55" s="1202">
        <f t="shared" si="90"/>
        <v>0</v>
      </c>
      <c r="BU55" s="1202">
        <f t="shared" si="91"/>
        <v>0</v>
      </c>
      <c r="BV55" s="1202">
        <f t="shared" si="92"/>
        <v>0</v>
      </c>
      <c r="BW55" s="1202">
        <f t="shared" si="93"/>
        <v>0</v>
      </c>
      <c r="BX55" s="1202"/>
      <c r="BY55" s="1202"/>
      <c r="BZ55" s="1202"/>
      <c r="CA55" s="1202"/>
      <c r="CB55" s="1202"/>
      <c r="CD55" s="1203">
        <f t="shared" si="94"/>
        <v>48029</v>
      </c>
      <c r="CE55" s="1202">
        <f t="shared" si="95"/>
        <v>0</v>
      </c>
      <c r="CF55" s="1202">
        <f t="shared" si="96"/>
        <v>0</v>
      </c>
      <c r="CG55" s="1202">
        <f t="shared" si="97"/>
        <v>0</v>
      </c>
      <c r="CH55" s="1202">
        <f t="shared" si="98"/>
        <v>0</v>
      </c>
    </row>
    <row r="56" spans="3:86" ht="15" customHeight="1" outlineLevel="1">
      <c r="C56" s="1206" t="s">
        <v>448</v>
      </c>
      <c r="D56" s="1187" t="str">
        <f t="shared" si="101"/>
        <v/>
      </c>
      <c r="E56" s="1187" t="str">
        <f t="shared" si="101"/>
        <v/>
      </c>
      <c r="F56" s="1187" t="str">
        <f t="shared" si="101"/>
        <v/>
      </c>
      <c r="G56" s="1187" t="str">
        <f t="shared" si="101"/>
        <v/>
      </c>
      <c r="H56" s="738"/>
      <c r="I56" s="1218">
        <f t="shared" si="67"/>
        <v>48060</v>
      </c>
      <c r="J56" s="1195">
        <f>SUM(Q$8:Q56)</f>
        <v>1061507.7681029215</v>
      </c>
      <c r="K56" s="391">
        <f>SUM(R$8:R56)/$J56</f>
        <v>0.90000000000000213</v>
      </c>
      <c r="L56" s="391">
        <f>SUM(S$8:S56)/$J56</f>
        <v>0.10000000000000003</v>
      </c>
      <c r="M56" s="391">
        <f>SUM(T$8:T56)/$J56</f>
        <v>0</v>
      </c>
      <c r="O56" s="1155" t="s">
        <v>5063</v>
      </c>
      <c r="P56" s="1165">
        <f t="shared" si="102"/>
        <v>48060</v>
      </c>
      <c r="Q56" s="1162">
        <f t="shared" si="68"/>
        <v>0</v>
      </c>
      <c r="R56" s="1162">
        <f t="shared" si="69"/>
        <v>0</v>
      </c>
      <c r="S56" s="1162">
        <f t="shared" si="69"/>
        <v>0</v>
      </c>
      <c r="T56" s="1162">
        <f t="shared" si="69"/>
        <v>0</v>
      </c>
      <c r="U56" s="1162"/>
      <c r="V56" s="1162"/>
      <c r="W56" s="1162"/>
      <c r="X56" s="1162"/>
      <c r="Y56" s="1162"/>
      <c r="AA56" s="1203">
        <f t="shared" si="70"/>
        <v>48060</v>
      </c>
      <c r="AB56" s="1202">
        <f t="shared" si="71"/>
        <v>0</v>
      </c>
      <c r="AC56" s="1202">
        <f t="shared" si="72"/>
        <v>0</v>
      </c>
      <c r="AD56" s="1202">
        <f t="shared" si="72"/>
        <v>0</v>
      </c>
      <c r="AE56" s="1172">
        <f t="shared" si="73"/>
        <v>0</v>
      </c>
      <c r="AF56" s="1172"/>
      <c r="AG56" s="1172"/>
      <c r="AH56" s="1172"/>
      <c r="AI56" s="1172"/>
      <c r="AJ56" s="1172"/>
      <c r="AL56" s="1203">
        <f t="shared" si="74"/>
        <v>48060</v>
      </c>
      <c r="AM56" s="1202">
        <f t="shared" si="75"/>
        <v>0</v>
      </c>
      <c r="AN56" s="1202">
        <f t="shared" si="76"/>
        <v>0</v>
      </c>
      <c r="AO56" s="1202">
        <f t="shared" si="77"/>
        <v>0</v>
      </c>
      <c r="AP56" s="1172">
        <f t="shared" si="78"/>
        <v>0</v>
      </c>
      <c r="AQ56" s="1172"/>
      <c r="AR56" s="1172"/>
      <c r="AS56" s="1172"/>
      <c r="AT56" s="1172"/>
      <c r="AU56" s="1172"/>
      <c r="AW56" s="1203">
        <f t="shared" si="79"/>
        <v>48060</v>
      </c>
      <c r="AX56" s="1202">
        <f t="shared" si="80"/>
        <v>0</v>
      </c>
      <c r="AY56" s="1202">
        <f t="shared" si="81"/>
        <v>0</v>
      </c>
      <c r="AZ56" s="1202">
        <f t="shared" si="82"/>
        <v>0</v>
      </c>
      <c r="BA56" s="1172">
        <f t="shared" si="83"/>
        <v>0</v>
      </c>
      <c r="BB56" s="1172"/>
      <c r="BC56" s="1172"/>
      <c r="BD56" s="1172"/>
      <c r="BE56" s="1172"/>
      <c r="BF56" s="1172"/>
      <c r="BH56" s="1203">
        <f t="shared" si="84"/>
        <v>48060</v>
      </c>
      <c r="BI56" s="1202">
        <f t="shared" si="85"/>
        <v>0</v>
      </c>
      <c r="BJ56" s="1202">
        <f t="shared" si="86"/>
        <v>0</v>
      </c>
      <c r="BK56" s="1202">
        <f t="shared" si="87"/>
        <v>0</v>
      </c>
      <c r="BL56" s="1202">
        <f t="shared" si="88"/>
        <v>0</v>
      </c>
      <c r="BM56" s="1202"/>
      <c r="BN56" s="1202"/>
      <c r="BO56" s="1202"/>
      <c r="BP56" s="1202"/>
      <c r="BQ56" s="1202"/>
      <c r="BS56" s="1203">
        <f t="shared" si="89"/>
        <v>48060</v>
      </c>
      <c r="BT56" s="1202">
        <f t="shared" si="90"/>
        <v>0</v>
      </c>
      <c r="BU56" s="1202">
        <f t="shared" si="91"/>
        <v>0</v>
      </c>
      <c r="BV56" s="1202">
        <f t="shared" si="92"/>
        <v>0</v>
      </c>
      <c r="BW56" s="1202">
        <f t="shared" si="93"/>
        <v>0</v>
      </c>
      <c r="BX56" s="1202"/>
      <c r="BY56" s="1202"/>
      <c r="BZ56" s="1202"/>
      <c r="CA56" s="1202"/>
      <c r="CB56" s="1202"/>
      <c r="CD56" s="1203">
        <f t="shared" si="94"/>
        <v>48060</v>
      </c>
      <c r="CE56" s="1202">
        <f t="shared" si="95"/>
        <v>0</v>
      </c>
      <c r="CF56" s="1202">
        <f t="shared" si="96"/>
        <v>0</v>
      </c>
      <c r="CG56" s="1202">
        <f t="shared" si="97"/>
        <v>0</v>
      </c>
      <c r="CH56" s="1202">
        <f t="shared" si="98"/>
        <v>0</v>
      </c>
    </row>
    <row r="57" spans="3:86" ht="15" customHeight="1" outlineLevel="1">
      <c r="C57" s="1206" t="s">
        <v>5086</v>
      </c>
      <c r="D57" s="1187" t="str">
        <f t="shared" si="101"/>
        <v/>
      </c>
      <c r="E57" s="1187" t="str">
        <f t="shared" si="101"/>
        <v/>
      </c>
      <c r="F57" s="1187" t="str">
        <f t="shared" si="101"/>
        <v/>
      </c>
      <c r="G57" s="1187" t="str">
        <f t="shared" si="101"/>
        <v/>
      </c>
      <c r="I57" s="1218">
        <f t="shared" si="67"/>
        <v>48091</v>
      </c>
      <c r="J57" s="1195">
        <f>SUM(Q$8:Q57)</f>
        <v>1061507.7681029215</v>
      </c>
      <c r="K57" s="391">
        <f>SUM(R$8:R57)/$J57</f>
        <v>0.90000000000000213</v>
      </c>
      <c r="L57" s="391">
        <f>SUM(S$8:S57)/$J57</f>
        <v>0.10000000000000003</v>
      </c>
      <c r="M57" s="391">
        <f>SUM(T$8:T57)/$J57</f>
        <v>0</v>
      </c>
      <c r="O57" s="1155" t="s">
        <v>5061</v>
      </c>
      <c r="P57" s="1165">
        <f t="shared" si="102"/>
        <v>48091</v>
      </c>
      <c r="Q57" s="1162">
        <f t="shared" si="68"/>
        <v>0</v>
      </c>
      <c r="R57" s="1162">
        <f t="shared" si="69"/>
        <v>0</v>
      </c>
      <c r="S57" s="1162">
        <f t="shared" si="69"/>
        <v>0</v>
      </c>
      <c r="T57" s="1162">
        <f t="shared" si="69"/>
        <v>0</v>
      </c>
      <c r="U57" s="1162"/>
      <c r="V57" s="1162"/>
      <c r="W57" s="1162"/>
      <c r="X57" s="1162"/>
      <c r="Y57" s="1162"/>
      <c r="AA57" s="1203">
        <f t="shared" si="70"/>
        <v>48091</v>
      </c>
      <c r="AB57" s="1202">
        <f t="shared" si="71"/>
        <v>0</v>
      </c>
      <c r="AC57" s="1202">
        <f t="shared" si="72"/>
        <v>0</v>
      </c>
      <c r="AD57" s="1202">
        <f t="shared" si="72"/>
        <v>0</v>
      </c>
      <c r="AE57" s="1172">
        <f t="shared" si="73"/>
        <v>0</v>
      </c>
      <c r="AF57" s="1172"/>
      <c r="AG57" s="1172"/>
      <c r="AH57" s="1172"/>
      <c r="AI57" s="1172"/>
      <c r="AJ57" s="1172"/>
      <c r="AL57" s="1203">
        <f t="shared" si="74"/>
        <v>48091</v>
      </c>
      <c r="AM57" s="1202">
        <f t="shared" si="75"/>
        <v>0</v>
      </c>
      <c r="AN57" s="1202">
        <f t="shared" si="76"/>
        <v>0</v>
      </c>
      <c r="AO57" s="1202">
        <f t="shared" si="77"/>
        <v>0</v>
      </c>
      <c r="AP57" s="1172">
        <f t="shared" si="78"/>
        <v>0</v>
      </c>
      <c r="AQ57" s="1172"/>
      <c r="AR57" s="1172"/>
      <c r="AS57" s="1172"/>
      <c r="AT57" s="1172"/>
      <c r="AU57" s="1172"/>
      <c r="AW57" s="1203">
        <f t="shared" si="79"/>
        <v>48091</v>
      </c>
      <c r="AX57" s="1202">
        <f t="shared" si="80"/>
        <v>0</v>
      </c>
      <c r="AY57" s="1202">
        <f t="shared" si="81"/>
        <v>0</v>
      </c>
      <c r="AZ57" s="1202">
        <f t="shared" si="82"/>
        <v>0</v>
      </c>
      <c r="BA57" s="1172">
        <f t="shared" si="83"/>
        <v>0</v>
      </c>
      <c r="BB57" s="1172"/>
      <c r="BC57" s="1172"/>
      <c r="BD57" s="1172"/>
      <c r="BE57" s="1172"/>
      <c r="BF57" s="1172"/>
      <c r="BH57" s="1203">
        <f t="shared" si="84"/>
        <v>48091</v>
      </c>
      <c r="BI57" s="1202">
        <f t="shared" si="85"/>
        <v>0</v>
      </c>
      <c r="BJ57" s="1202">
        <f t="shared" si="86"/>
        <v>0</v>
      </c>
      <c r="BK57" s="1202">
        <f t="shared" si="87"/>
        <v>0</v>
      </c>
      <c r="BL57" s="1202">
        <f t="shared" si="88"/>
        <v>0</v>
      </c>
      <c r="BM57" s="1202"/>
      <c r="BN57" s="1202"/>
      <c r="BO57" s="1202"/>
      <c r="BP57" s="1202"/>
      <c r="BQ57" s="1202"/>
      <c r="BS57" s="1203">
        <f t="shared" si="89"/>
        <v>48091</v>
      </c>
      <c r="BT57" s="1202">
        <f t="shared" si="90"/>
        <v>0</v>
      </c>
      <c r="BU57" s="1202">
        <f t="shared" si="91"/>
        <v>0</v>
      </c>
      <c r="BV57" s="1202">
        <f t="shared" si="92"/>
        <v>0</v>
      </c>
      <c r="BW57" s="1202">
        <f t="shared" si="93"/>
        <v>0</v>
      </c>
      <c r="BX57" s="1202"/>
      <c r="BY57" s="1202"/>
      <c r="BZ57" s="1202"/>
      <c r="CA57" s="1202"/>
      <c r="CB57" s="1202"/>
      <c r="CD57" s="1203">
        <f t="shared" si="94"/>
        <v>48091</v>
      </c>
      <c r="CE57" s="1202">
        <f t="shared" si="95"/>
        <v>0</v>
      </c>
      <c r="CF57" s="1202">
        <f t="shared" si="96"/>
        <v>0</v>
      </c>
      <c r="CG57" s="1202">
        <f t="shared" si="97"/>
        <v>0</v>
      </c>
      <c r="CH57" s="1202">
        <f t="shared" si="98"/>
        <v>0</v>
      </c>
    </row>
    <row r="58" spans="3:86" ht="15" customHeight="1" outlineLevel="1">
      <c r="C58" s="1206" t="s">
        <v>449</v>
      </c>
      <c r="D58" s="1187" t="str">
        <f t="shared" si="101"/>
        <v/>
      </c>
      <c r="E58" s="1187" t="str">
        <f t="shared" si="101"/>
        <v/>
      </c>
      <c r="F58" s="1187" t="str">
        <f t="shared" si="101"/>
        <v/>
      </c>
      <c r="G58" s="1187" t="str">
        <f t="shared" si="101"/>
        <v/>
      </c>
      <c r="I58" s="1270">
        <f t="shared" si="67"/>
        <v>48121</v>
      </c>
      <c r="J58" s="1271">
        <f>SUM(Q$8:Q58)</f>
        <v>1061507.7681029215</v>
      </c>
      <c r="K58" s="1276">
        <f>SUM(R$8:R58)/$J58</f>
        <v>0.90000000000000213</v>
      </c>
      <c r="L58" s="1276">
        <f>SUM(S$8:S58)/$J58</f>
        <v>0.10000000000000003</v>
      </c>
      <c r="M58" s="1276">
        <f>SUM(T$8:T58)/$J58</f>
        <v>0</v>
      </c>
      <c r="O58" s="1155" t="s">
        <v>5059</v>
      </c>
      <c r="P58" s="1165">
        <f t="shared" si="102"/>
        <v>48121</v>
      </c>
      <c r="Q58" s="1162">
        <f t="shared" si="68"/>
        <v>0</v>
      </c>
      <c r="R58" s="1162">
        <f t="shared" si="69"/>
        <v>0</v>
      </c>
      <c r="S58" s="1162">
        <f t="shared" si="69"/>
        <v>0</v>
      </c>
      <c r="T58" s="1162">
        <f t="shared" si="69"/>
        <v>0</v>
      </c>
      <c r="U58" s="1162"/>
      <c r="V58" s="1162"/>
      <c r="W58" s="1162"/>
      <c r="X58" s="1162"/>
      <c r="Y58" s="1162"/>
      <c r="AA58" s="1203">
        <f t="shared" si="70"/>
        <v>48121</v>
      </c>
      <c r="AB58" s="1202">
        <f t="shared" si="71"/>
        <v>0</v>
      </c>
      <c r="AC58" s="1202">
        <f t="shared" si="72"/>
        <v>0</v>
      </c>
      <c r="AD58" s="1202">
        <f t="shared" si="72"/>
        <v>0</v>
      </c>
      <c r="AE58" s="1172">
        <f t="shared" si="73"/>
        <v>0</v>
      </c>
      <c r="AF58" s="1172"/>
      <c r="AG58" s="1172"/>
      <c r="AH58" s="1172"/>
      <c r="AI58" s="1172"/>
      <c r="AJ58" s="1172"/>
      <c r="AL58" s="1203">
        <f t="shared" si="74"/>
        <v>48121</v>
      </c>
      <c r="AM58" s="1202">
        <f t="shared" si="75"/>
        <v>0</v>
      </c>
      <c r="AN58" s="1202">
        <f t="shared" si="76"/>
        <v>0</v>
      </c>
      <c r="AO58" s="1202">
        <f t="shared" si="77"/>
        <v>0</v>
      </c>
      <c r="AP58" s="1172">
        <f t="shared" si="78"/>
        <v>0</v>
      </c>
      <c r="AQ58" s="1172"/>
      <c r="AR58" s="1172"/>
      <c r="AS58" s="1172"/>
      <c r="AT58" s="1172"/>
      <c r="AU58" s="1172"/>
      <c r="AW58" s="1203">
        <f t="shared" si="79"/>
        <v>48121</v>
      </c>
      <c r="AX58" s="1202">
        <f t="shared" si="80"/>
        <v>0</v>
      </c>
      <c r="AY58" s="1202">
        <f t="shared" si="81"/>
        <v>0</v>
      </c>
      <c r="AZ58" s="1202">
        <f t="shared" si="82"/>
        <v>0</v>
      </c>
      <c r="BA58" s="1172">
        <f t="shared" si="83"/>
        <v>0</v>
      </c>
      <c r="BB58" s="1172"/>
      <c r="BC58" s="1172"/>
      <c r="BD58" s="1172"/>
      <c r="BE58" s="1172"/>
      <c r="BF58" s="1172"/>
      <c r="BH58" s="1203">
        <f t="shared" si="84"/>
        <v>48121</v>
      </c>
      <c r="BI58" s="1202">
        <f t="shared" si="85"/>
        <v>0</v>
      </c>
      <c r="BJ58" s="1202">
        <f t="shared" si="86"/>
        <v>0</v>
      </c>
      <c r="BK58" s="1202">
        <f t="shared" si="87"/>
        <v>0</v>
      </c>
      <c r="BL58" s="1202">
        <f t="shared" si="88"/>
        <v>0</v>
      </c>
      <c r="BM58" s="1202"/>
      <c r="BN58" s="1202"/>
      <c r="BO58" s="1202"/>
      <c r="BP58" s="1202"/>
      <c r="BQ58" s="1202"/>
      <c r="BS58" s="1203">
        <f t="shared" si="89"/>
        <v>48121</v>
      </c>
      <c r="BT58" s="1202">
        <f t="shared" si="90"/>
        <v>0</v>
      </c>
      <c r="BU58" s="1202">
        <f t="shared" si="91"/>
        <v>0</v>
      </c>
      <c r="BV58" s="1202">
        <f t="shared" si="92"/>
        <v>0</v>
      </c>
      <c r="BW58" s="1202">
        <f t="shared" si="93"/>
        <v>0</v>
      </c>
      <c r="BX58" s="1202"/>
      <c r="BY58" s="1202"/>
      <c r="BZ58" s="1202"/>
      <c r="CA58" s="1202"/>
      <c r="CB58" s="1202"/>
      <c r="CD58" s="1203">
        <f t="shared" si="94"/>
        <v>48121</v>
      </c>
      <c r="CE58" s="1202">
        <f t="shared" si="95"/>
        <v>0</v>
      </c>
      <c r="CF58" s="1202">
        <f t="shared" si="96"/>
        <v>0</v>
      </c>
      <c r="CG58" s="1202">
        <f t="shared" si="97"/>
        <v>0</v>
      </c>
      <c r="CH58" s="1202">
        <f t="shared" si="98"/>
        <v>0</v>
      </c>
    </row>
    <row r="59" spans="3:86" ht="15" customHeight="1" outlineLevel="1">
      <c r="C59" s="1206" t="s">
        <v>5085</v>
      </c>
      <c r="D59" s="1187" t="str">
        <f t="shared" si="101"/>
        <v/>
      </c>
      <c r="E59" s="1187" t="str">
        <f t="shared" si="101"/>
        <v/>
      </c>
      <c r="F59" s="1187" t="str">
        <f t="shared" si="101"/>
        <v/>
      </c>
      <c r="G59" s="1187" t="str">
        <f t="shared" si="101"/>
        <v/>
      </c>
      <c r="I59" s="1218">
        <f t="shared" si="67"/>
        <v>47542</v>
      </c>
      <c r="J59" s="1195">
        <f>SUM(Q$8:Q59)</f>
        <v>1061507.7681029215</v>
      </c>
      <c r="K59" s="391">
        <f>SUM(R$8:R59)/$J59</f>
        <v>0.90000000000000213</v>
      </c>
      <c r="L59" s="391">
        <f>SUM(S$8:S59)/$J59</f>
        <v>0.10000000000000003</v>
      </c>
      <c r="M59" s="391">
        <f>SUM(T$8:T59)/$J59</f>
        <v>0</v>
      </c>
      <c r="O59" s="1193" t="s">
        <v>201</v>
      </c>
      <c r="P59" s="1201">
        <f t="shared" ref="P59:P78" si="103">+P39</f>
        <v>47542</v>
      </c>
      <c r="Q59" s="1200">
        <f t="shared" si="68"/>
        <v>0</v>
      </c>
      <c r="R59" s="1200">
        <f t="shared" ref="R59:R78" si="104">D$23*($AF86+$AQ86+$BB86+$BM86+$BX86+$CI86)</f>
        <v>0</v>
      </c>
      <c r="S59" s="1200">
        <f t="shared" ref="S59:S78" si="105">E$23*($AF86+$AQ86+$BB86+$BM86+$BX86+$CI86)</f>
        <v>0</v>
      </c>
      <c r="T59" s="1200">
        <f t="shared" ref="T59:T78" si="106">F$23*($AF86+$AQ86+$BB86+$BM86+$BX86+$CI86)</f>
        <v>0</v>
      </c>
      <c r="U59" s="1162"/>
      <c r="V59" s="1162"/>
      <c r="W59" s="1162"/>
      <c r="X59" s="1162"/>
      <c r="Y59" s="1162"/>
      <c r="AA59" s="1181" t="s">
        <v>198</v>
      </c>
      <c r="AB59" s="1198">
        <f>SUM(AB8:AB58)</f>
        <v>1061507.2505541053</v>
      </c>
      <c r="AC59" s="1198">
        <f>SUM(AC8:AC58)</f>
        <v>955356.52549869707</v>
      </c>
      <c r="AD59" s="1198">
        <f>SUM(AD8:AD58)</f>
        <v>106150.72505541053</v>
      </c>
      <c r="AE59" s="1198">
        <f>SUM(AE8:AE58)</f>
        <v>0</v>
      </c>
      <c r="AF59" s="1199"/>
      <c r="AG59" s="1199"/>
      <c r="AH59" s="1199"/>
      <c r="AI59" s="1199"/>
      <c r="AJ59" s="1199"/>
      <c r="AL59" s="1181" t="s">
        <v>199</v>
      </c>
      <c r="AM59" s="1198">
        <f>SUM(AM8:AM58)</f>
        <v>1061507.7681029215</v>
      </c>
      <c r="AN59" s="1198">
        <f>SUM(AN8:AN58)</f>
        <v>955356.9912926316</v>
      </c>
      <c r="AO59" s="1198">
        <f>SUM(AO8:AO58)</f>
        <v>106150.77681029218</v>
      </c>
      <c r="AP59" s="1198">
        <f>SUM(AP8:AP58)</f>
        <v>0</v>
      </c>
      <c r="AQ59" s="1199"/>
      <c r="AR59" s="1199"/>
      <c r="AS59" s="1199"/>
      <c r="AT59" s="1199"/>
      <c r="AU59" s="1199"/>
      <c r="AW59" s="1181" t="s">
        <v>457</v>
      </c>
      <c r="AX59" s="1198">
        <f>SUM(AX8:AX58)</f>
        <v>1061507.7681029215</v>
      </c>
      <c r="AY59" s="1198">
        <f>SUM(AY8:AY58)</f>
        <v>955356.9912926316</v>
      </c>
      <c r="AZ59" s="1198">
        <f>SUM(AZ8:AZ58)</f>
        <v>106150.77681029218</v>
      </c>
      <c r="BA59" s="1198">
        <f>SUM(BA8:BA58)</f>
        <v>0</v>
      </c>
      <c r="BB59" s="1199"/>
      <c r="BC59" s="1199"/>
      <c r="BD59" s="1199"/>
      <c r="BE59" s="1199"/>
      <c r="BF59" s="1199"/>
      <c r="BH59" s="1181" t="s">
        <v>458</v>
      </c>
      <c r="BI59" s="1198">
        <f>SUM(BI8:BI58)</f>
        <v>1061507.7681029215</v>
      </c>
      <c r="BJ59" s="1198">
        <f>SUM(BJ8:BJ58)</f>
        <v>955356.9912926316</v>
      </c>
      <c r="BK59" s="1198">
        <f>SUM(BK8:BK58)</f>
        <v>106150.77681029218</v>
      </c>
      <c r="BL59" s="1198">
        <f>SUM(BL8:BL58)</f>
        <v>0</v>
      </c>
      <c r="BM59" s="1199"/>
      <c r="BN59" s="1199"/>
      <c r="BO59" s="1199"/>
      <c r="BP59" s="1199"/>
      <c r="BQ59" s="1199"/>
      <c r="BS59" s="1181" t="s">
        <v>460</v>
      </c>
      <c r="BT59" s="1198">
        <f>SUM(BT8:BT58)</f>
        <v>1061507.7681029215</v>
      </c>
      <c r="BU59" s="1198">
        <f>SUM(BU8:BU58)</f>
        <v>955356.9912926316</v>
      </c>
      <c r="BV59" s="1198">
        <f>SUM(BV8:BV58)</f>
        <v>106150.77681029218</v>
      </c>
      <c r="BW59" s="1198">
        <f>SUM(BW8:BW58)</f>
        <v>0</v>
      </c>
      <c r="BX59" s="1199"/>
      <c r="BY59" s="1199"/>
      <c r="BZ59" s="1199"/>
      <c r="CA59" s="1199"/>
      <c r="CB59" s="1199"/>
      <c r="CD59" s="1181" t="s">
        <v>462</v>
      </c>
      <c r="CE59" s="1198">
        <f>SUM(CE8:CE58)</f>
        <v>1061507.7681029215</v>
      </c>
      <c r="CF59" s="1198">
        <f>SUM(CF8:CF58)</f>
        <v>955356.9912926316</v>
      </c>
      <c r="CG59" s="1198">
        <f>SUM(CG8:CG58)</f>
        <v>106150.77681029218</v>
      </c>
      <c r="CH59" s="1198">
        <f>SUM(CH8:CH58)</f>
        <v>0</v>
      </c>
    </row>
    <row r="60" spans="3:86" ht="15" customHeight="1" outlineLevel="1">
      <c r="C60" s="1211" t="s">
        <v>183</v>
      </c>
      <c r="D60" s="1210">
        <f t="shared" si="101"/>
        <v>1</v>
      </c>
      <c r="E60" s="1210">
        <f t="shared" si="101"/>
        <v>0.44498964832967425</v>
      </c>
      <c r="F60" s="1210">
        <f t="shared" si="101"/>
        <v>0.55501035167032575</v>
      </c>
      <c r="G60" s="1210">
        <f t="shared" si="101"/>
        <v>0</v>
      </c>
      <c r="I60" s="1218">
        <f t="shared" si="67"/>
        <v>47573</v>
      </c>
      <c r="J60" s="1195">
        <f>SUM(Q$8:Q60)</f>
        <v>2057155.1032896822</v>
      </c>
      <c r="K60" s="391">
        <f>SUM(R$8:R60)/$J60</f>
        <v>0.4644068839364035</v>
      </c>
      <c r="L60" s="391">
        <f>SUM(S$8:S60)/$J60</f>
        <v>0.53559311606359761</v>
      </c>
      <c r="M60" s="391">
        <f>SUM(T$8:T60)/$J60</f>
        <v>0</v>
      </c>
      <c r="O60" s="1155" t="s">
        <v>202</v>
      </c>
      <c r="P60" s="1165">
        <f t="shared" si="103"/>
        <v>47573</v>
      </c>
      <c r="Q60" s="1162">
        <f t="shared" si="68"/>
        <v>995647.33518676064</v>
      </c>
      <c r="R60" s="1162">
        <f t="shared" si="104"/>
        <v>0</v>
      </c>
      <c r="S60" s="1162">
        <f t="shared" si="105"/>
        <v>995647.33518676064</v>
      </c>
      <c r="T60" s="1162">
        <f t="shared" si="106"/>
        <v>0</v>
      </c>
      <c r="U60" s="1162"/>
      <c r="V60" s="1162"/>
      <c r="W60" s="1162"/>
      <c r="X60" s="1162"/>
      <c r="Y60" s="1162"/>
      <c r="AA60" s="1155" t="s">
        <v>153</v>
      </c>
      <c r="AB60" s="1197">
        <f>XIRR(AB8:AB58,$AA$8:$AA$58)</f>
        <v>9.9999994039535522E-2</v>
      </c>
      <c r="AC60" s="1197">
        <f>IFERROR(XIRR(AC8:AC58,$AA$8:$AA$58),0)</f>
        <v>0.10000000596046449</v>
      </c>
      <c r="AD60" s="1197">
        <f>IFERROR(XIRR(AD8:AD58,$AA$8:$AA$58),0)</f>
        <v>0.10000000596046449</v>
      </c>
      <c r="AE60" s="1197">
        <f>IFERROR(XIRR(AE8:AE58,$AA$8:$AA$58),0)</f>
        <v>0</v>
      </c>
      <c r="AF60" s="1197"/>
      <c r="AG60" s="1197"/>
      <c r="AH60" s="1197"/>
      <c r="AI60" s="1197"/>
      <c r="AJ60" s="1197"/>
      <c r="AL60" s="1155" t="s">
        <v>153</v>
      </c>
      <c r="AM60" s="1197">
        <f>XIRR(AM8:AM58,$AA$8:$AA$58)</f>
        <v>0.10000004172325136</v>
      </c>
      <c r="AN60" s="1197">
        <f>IFERROR(XIRR(AN8:AN58,$AA$8:$AA$58),0)</f>
        <v>0.10000004172325136</v>
      </c>
      <c r="AO60" s="1197">
        <f>XIRR(AO8:AO58,$AA$8:$AA$58)</f>
        <v>0.10000004172325136</v>
      </c>
      <c r="AP60" s="1197">
        <f>IFERROR(XIRR(AP8:AP58,$AA$8:$AA$58),0)</f>
        <v>0</v>
      </c>
      <c r="AQ60" s="1197"/>
      <c r="AR60" s="1197"/>
      <c r="AS60" s="1197"/>
      <c r="AT60" s="1197"/>
      <c r="AU60" s="1197"/>
      <c r="AW60" s="1155" t="s">
        <v>153</v>
      </c>
      <c r="AX60" s="1197">
        <f>XIRR(AX8:AX58,$AA$8:$AA$58)</f>
        <v>0.10000004172325136</v>
      </c>
      <c r="AY60" s="1197">
        <f>IFERROR(XIRR(AY8:AY58,$AA$8:$AA$58),0)</f>
        <v>0.10000004172325136</v>
      </c>
      <c r="AZ60" s="1197">
        <f>XIRR(AZ8:AZ58,$AA$8:$AA$58)</f>
        <v>0.10000004172325136</v>
      </c>
      <c r="BA60" s="1197">
        <f>IFERROR(XIRR(BA8:BA58,$AA$8:$AA$58),0)</f>
        <v>0</v>
      </c>
      <c r="BB60" s="1197"/>
      <c r="BC60" s="1197"/>
      <c r="BD60" s="1197"/>
      <c r="BE60" s="1197"/>
      <c r="BF60" s="1197"/>
      <c r="BH60" s="1155" t="s">
        <v>153</v>
      </c>
      <c r="BI60" s="1197">
        <f>XIRR(BI8:BI58,$AA$8:$AA$58)</f>
        <v>0.10000004172325136</v>
      </c>
      <c r="BJ60" s="1197">
        <f>IFERROR(XIRR(BJ8:BJ58,$AA$8:$AA$58),0)</f>
        <v>0.10000004172325136</v>
      </c>
      <c r="BK60" s="1197">
        <f>XIRR(BK8:BK58,$AA$8:$AA$58)</f>
        <v>0.10000004172325136</v>
      </c>
      <c r="BL60" s="1197">
        <f>IFERROR(XIRR(BL8:BL58,$AA$8:$AA$58),0)</f>
        <v>0</v>
      </c>
      <c r="BM60" s="1197"/>
      <c r="BN60" s="1197"/>
      <c r="BO60" s="1197"/>
      <c r="BP60" s="1197"/>
      <c r="BQ60" s="1197"/>
      <c r="BS60" s="1155" t="s">
        <v>153</v>
      </c>
      <c r="BT60" s="1197">
        <f>XIRR(BT8:BT58,$AA$8:$AA$58)</f>
        <v>0.10000004172325136</v>
      </c>
      <c r="BU60" s="1197">
        <f>IFERROR(XIRR(BU8:BU58,$AA$8:$AA$58),0)</f>
        <v>0.10000004172325136</v>
      </c>
      <c r="BV60" s="1197">
        <f>XIRR(BV8:BV58,$AA$8:$AA$58)</f>
        <v>0.10000004172325136</v>
      </c>
      <c r="BW60" s="1197">
        <f>IFERROR(XIRR(BW8:BW58,$AA$8:$AA$58),0)</f>
        <v>0</v>
      </c>
      <c r="BX60" s="1197"/>
      <c r="BY60" s="1197"/>
      <c r="BZ60" s="1197"/>
      <c r="CA60" s="1197"/>
      <c r="CB60" s="1197"/>
      <c r="CD60" s="1155" t="s">
        <v>153</v>
      </c>
      <c r="CE60" s="1197">
        <f>XIRR(CE8:CE58,$AA$8:$AA$58)</f>
        <v>0.10000004172325136</v>
      </c>
      <c r="CF60" s="1197">
        <f>IFERROR(XIRR(CF8:CF58,$AA$8:$AA$58),0)</f>
        <v>0.10000004172325136</v>
      </c>
      <c r="CG60" s="1197">
        <f>XIRR(CG8:CG58,$AA$8:$AA$58)</f>
        <v>0.10000004172325136</v>
      </c>
      <c r="CH60" s="1197">
        <f>IFERROR(XIRR(CH8:CH58,$AA$8:$AA$58),0)</f>
        <v>0</v>
      </c>
    </row>
    <row r="61" spans="3:86" ht="15" customHeight="1" outlineLevel="1">
      <c r="C61" s="1209" t="s">
        <v>64</v>
      </c>
      <c r="D61" s="1187">
        <f t="shared" si="101"/>
        <v>1</v>
      </c>
      <c r="E61" s="1187">
        <f t="shared" si="101"/>
        <v>0.9</v>
      </c>
      <c r="F61" s="1187">
        <f t="shared" si="101"/>
        <v>0.1</v>
      </c>
      <c r="G61" s="1187">
        <f t="shared" si="101"/>
        <v>0</v>
      </c>
      <c r="I61" s="1218">
        <f t="shared" si="67"/>
        <v>47603</v>
      </c>
      <c r="J61" s="1195">
        <f>SUM(Q$8:Q61)</f>
        <v>6236995.4186389428</v>
      </c>
      <c r="K61" s="391">
        <f>SUM(R$8:R61)/$J61</f>
        <v>0.15317583662761655</v>
      </c>
      <c r="L61" s="391">
        <f>SUM(S$8:S61)/$J61</f>
        <v>0.84682416337238375</v>
      </c>
      <c r="M61" s="391">
        <f>SUM(T$8:T61)/$J61</f>
        <v>0</v>
      </c>
      <c r="O61" s="1155" t="s">
        <v>203</v>
      </c>
      <c r="P61" s="1165">
        <f t="shared" si="103"/>
        <v>47603</v>
      </c>
      <c r="Q61" s="1162">
        <f t="shared" si="68"/>
        <v>4179840.3153492608</v>
      </c>
      <c r="R61" s="1162">
        <f t="shared" si="104"/>
        <v>0</v>
      </c>
      <c r="S61" s="1162">
        <f t="shared" si="105"/>
        <v>4179840.3153492608</v>
      </c>
      <c r="T61" s="1162">
        <f t="shared" si="106"/>
        <v>0</v>
      </c>
      <c r="U61" s="1162"/>
      <c r="V61" s="1162"/>
      <c r="W61" s="1162"/>
      <c r="X61" s="1162"/>
      <c r="Y61" s="1162"/>
      <c r="AA61" s="1155" t="s">
        <v>184</v>
      </c>
      <c r="AB61" s="1196">
        <f>-SUM(AB39:AB58)/SUM(AB8:AB38)</f>
        <v>1.2653768126385263</v>
      </c>
      <c r="AC61" s="1196">
        <f>IFERROR(-SUM(AC39:AC58)/SUM(AC8:AC38),0)</f>
        <v>1.2653768126385272</v>
      </c>
      <c r="AD61" s="1196">
        <f>-SUM(AD39:AD58)/SUM(AD8:AD38)</f>
        <v>1.2653768126385263</v>
      </c>
      <c r="AE61" s="1196">
        <f>IFERROR(-SUM(AE39:AE58)/SUM(AE8:AE38),0)</f>
        <v>0</v>
      </c>
      <c r="AF61" s="1196"/>
      <c r="AG61" s="1196"/>
      <c r="AH61" s="1196"/>
      <c r="AI61" s="1196"/>
      <c r="AJ61" s="1196"/>
      <c r="AL61" s="1155" t="s">
        <v>184</v>
      </c>
      <c r="AM61" s="1196">
        <f>-SUM(AM39:AM58)/SUM(AM8:AM38)</f>
        <v>1.2653769420257304</v>
      </c>
      <c r="AN61" s="1196">
        <f>IFERROR(-SUM(AN39:AN58)/SUM(AN8:AN38),0)</f>
        <v>1.2653769420257313</v>
      </c>
      <c r="AO61" s="1196">
        <f>-SUM(AO39:AO58)/SUM(AO8:AO38)</f>
        <v>1.2653769420257306</v>
      </c>
      <c r="AP61" s="1196">
        <f>IFERROR(-SUM(AP39:AP58)/SUM(AP8:AP38),0)</f>
        <v>0</v>
      </c>
      <c r="AQ61" s="1196"/>
      <c r="AR61" s="1196"/>
      <c r="AS61" s="1196"/>
      <c r="AT61" s="1196"/>
      <c r="AU61" s="1196"/>
      <c r="AW61" s="1155" t="s">
        <v>184</v>
      </c>
      <c r="AX61" s="1196">
        <f>-SUM(AX39:AX58)/SUM(AX8:AX38)</f>
        <v>1.2653769420257304</v>
      </c>
      <c r="AY61" s="1196">
        <f>IFERROR(-SUM(AY39:AY58)/SUM(AY8:AY38),0)</f>
        <v>1.2653769420257313</v>
      </c>
      <c r="AZ61" s="1196">
        <f>-SUM(AZ39:AZ58)/SUM(AZ8:AZ38)</f>
        <v>1.2653769420257306</v>
      </c>
      <c r="BA61" s="1196">
        <f>IFERROR(-SUM(BA39:BA58)/SUM(BA8:BA38),0)</f>
        <v>0</v>
      </c>
      <c r="BB61" s="1196"/>
      <c r="BC61" s="1196"/>
      <c r="BD61" s="1196"/>
      <c r="BE61" s="1196"/>
      <c r="BF61" s="1196"/>
      <c r="BH61" s="1155" t="s">
        <v>184</v>
      </c>
      <c r="BI61" s="1196">
        <f>-SUM(BI39:BI58)/SUM(BI8:BI38)</f>
        <v>1.2653769420257304</v>
      </c>
      <c r="BJ61" s="1196">
        <f>IFERROR(-SUM(BJ39:BJ58)/SUM(BJ8:BJ38),0)</f>
        <v>1.2653769420257313</v>
      </c>
      <c r="BK61" s="1196">
        <f>-SUM(BK39:BK58)/SUM(BK8:BK38)</f>
        <v>1.2653769420257306</v>
      </c>
      <c r="BL61" s="1196">
        <f>IFERROR(-SUM(BL39:BL58)/SUM(BL8:BL38),0)</f>
        <v>0</v>
      </c>
      <c r="BM61" s="1196"/>
      <c r="BN61" s="1196"/>
      <c r="BO61" s="1196"/>
      <c r="BP61" s="1196"/>
      <c r="BQ61" s="1196"/>
      <c r="BS61" s="1155" t="s">
        <v>184</v>
      </c>
      <c r="BT61" s="1196">
        <f>-SUM(BT39:BT58)/SUM(BT8:BT38)</f>
        <v>1.2653769420257304</v>
      </c>
      <c r="BU61" s="1196">
        <f>IFERROR(-SUM(BU39:BU58)/SUM(BU8:BU38),0)</f>
        <v>1.2653769420257313</v>
      </c>
      <c r="BV61" s="1196">
        <f>-SUM(BV39:BV58)/SUM(BV8:BV38)</f>
        <v>1.2653769420257306</v>
      </c>
      <c r="BW61" s="1196">
        <f>IFERROR(-SUM(BW39:BW58)/SUM(BW8:BW38),0)</f>
        <v>0</v>
      </c>
      <c r="BX61" s="1196"/>
      <c r="BY61" s="1196"/>
      <c r="BZ61" s="1196"/>
      <c r="CA61" s="1196"/>
      <c r="CB61" s="1196"/>
      <c r="CD61" s="1155" t="s">
        <v>184</v>
      </c>
      <c r="CE61" s="1196">
        <f>-SUM(CE39:CE58)/SUM(CE8:CE38)</f>
        <v>1.2653769420257304</v>
      </c>
      <c r="CF61" s="1196">
        <f>IFERROR(-SUM(CF39:CF58)/SUM(CF8:CF38),0)</f>
        <v>1.2653769420257313</v>
      </c>
      <c r="CG61" s="1196">
        <f>-SUM(CG39:CG58)/SUM(CG8:CG38)</f>
        <v>1.2653769420257306</v>
      </c>
      <c r="CH61" s="1196">
        <f>IFERROR(-SUM(CH39:CH58)/SUM(CH8:CH38),0)</f>
        <v>0</v>
      </c>
    </row>
    <row r="62" spans="3:86" ht="15" customHeight="1" outlineLevel="1">
      <c r="C62" s="1208" t="str">
        <f>C42</f>
        <v>Profit</v>
      </c>
      <c r="D62" s="1207">
        <f t="shared" si="101"/>
        <v>1</v>
      </c>
      <c r="E62" s="1207">
        <f t="shared" si="101"/>
        <v>0.15317583662761619</v>
      </c>
      <c r="F62" s="1207">
        <f t="shared" si="101"/>
        <v>0.84682416337238375</v>
      </c>
      <c r="G62" s="1207">
        <f t="shared" si="101"/>
        <v>0</v>
      </c>
      <c r="H62" s="738"/>
      <c r="I62" s="1218">
        <f t="shared" si="67"/>
        <v>47634</v>
      </c>
      <c r="J62" s="1195">
        <f>SUM(Q$8:Q62)</f>
        <v>6236995.4186389428</v>
      </c>
      <c r="K62" s="391">
        <f>SUM(R$8:R62)/$J62</f>
        <v>0.15317583662761655</v>
      </c>
      <c r="L62" s="391">
        <f>SUM(S$8:S62)/$J62</f>
        <v>0.84682416337238375</v>
      </c>
      <c r="M62" s="391">
        <f>SUM(T$8:T62)/$J62</f>
        <v>0</v>
      </c>
      <c r="O62" s="1155" t="s">
        <v>204</v>
      </c>
      <c r="P62" s="1165">
        <f t="shared" si="103"/>
        <v>47634</v>
      </c>
      <c r="Q62" s="1162">
        <f t="shared" si="68"/>
        <v>0</v>
      </c>
      <c r="R62" s="1162">
        <f t="shared" si="104"/>
        <v>0</v>
      </c>
      <c r="S62" s="1194">
        <f t="shared" si="105"/>
        <v>0</v>
      </c>
      <c r="T62" s="1162">
        <f t="shared" si="106"/>
        <v>0</v>
      </c>
      <c r="U62" s="1162"/>
      <c r="V62" s="1162"/>
      <c r="W62" s="1162"/>
      <c r="X62" s="1162"/>
      <c r="Y62" s="1162"/>
    </row>
    <row r="63" spans="3:86" ht="15" customHeight="1" outlineLevel="1">
      <c r="C63" s="1206"/>
      <c r="D63" s="1187"/>
      <c r="E63" s="1187"/>
      <c r="F63" s="1187"/>
      <c r="G63" s="1187"/>
      <c r="H63" s="1219"/>
      <c r="I63" s="1218">
        <f t="shared" si="67"/>
        <v>47664</v>
      </c>
      <c r="J63" s="1195">
        <f>SUM(Q$8:Q63)</f>
        <v>6236995.4186389428</v>
      </c>
      <c r="K63" s="391">
        <f>SUM(R$8:R63)/$J63</f>
        <v>0.15317583662761655</v>
      </c>
      <c r="L63" s="391">
        <f>SUM(S$8:S63)/$J63</f>
        <v>0.84682416337238375</v>
      </c>
      <c r="M63" s="391">
        <f>SUM(T$8:T63)/$J63</f>
        <v>0</v>
      </c>
      <c r="O63" s="1155" t="s">
        <v>205</v>
      </c>
      <c r="P63" s="1165">
        <f t="shared" si="103"/>
        <v>47664</v>
      </c>
      <c r="Q63" s="1162">
        <f t="shared" si="68"/>
        <v>0</v>
      </c>
      <c r="R63" s="1162">
        <f t="shared" si="104"/>
        <v>0</v>
      </c>
      <c r="S63" s="1162">
        <f t="shared" si="105"/>
        <v>0</v>
      </c>
      <c r="T63" s="1162">
        <f t="shared" si="106"/>
        <v>0</v>
      </c>
      <c r="U63" s="1162"/>
      <c r="V63" s="1162"/>
      <c r="W63" s="1162"/>
      <c r="X63" s="1162"/>
      <c r="Y63" s="1162"/>
    </row>
    <row r="64" spans="3:86" ht="15" customHeight="1" outlineLevel="1">
      <c r="C64" s="1206"/>
      <c r="D64" s="1187"/>
      <c r="E64" s="1187"/>
      <c r="F64" s="1187"/>
      <c r="G64" s="1187"/>
      <c r="H64" s="1196"/>
      <c r="I64" s="1218">
        <f t="shared" si="67"/>
        <v>47695</v>
      </c>
      <c r="J64" s="1195">
        <f>SUM(Q$8:Q64)</f>
        <v>6236995.4186389428</v>
      </c>
      <c r="K64" s="391">
        <f>SUM(R$8:R64)/$J64</f>
        <v>0.15317583662761655</v>
      </c>
      <c r="L64" s="391">
        <f>SUM(S$8:S64)/$J64</f>
        <v>0.84682416337238375</v>
      </c>
      <c r="M64" s="391">
        <f>SUM(T$8:T64)/$J64</f>
        <v>0</v>
      </c>
      <c r="O64" s="1155" t="s">
        <v>5078</v>
      </c>
      <c r="P64" s="1165">
        <f t="shared" si="103"/>
        <v>47695</v>
      </c>
      <c r="Q64" s="1162">
        <f t="shared" si="68"/>
        <v>0</v>
      </c>
      <c r="R64" s="1162">
        <f t="shared" si="104"/>
        <v>0</v>
      </c>
      <c r="S64" s="1162">
        <f t="shared" si="105"/>
        <v>0</v>
      </c>
      <c r="T64" s="1162">
        <f t="shared" si="106"/>
        <v>0</v>
      </c>
      <c r="U64" s="1162"/>
      <c r="V64" s="1162"/>
      <c r="W64" s="1162"/>
      <c r="X64" s="1162"/>
      <c r="Y64" s="1162"/>
    </row>
    <row r="65" spans="2:92" ht="15" customHeight="1">
      <c r="C65" s="1206"/>
      <c r="D65" s="1196"/>
      <c r="E65" s="1196"/>
      <c r="F65" s="1196"/>
      <c r="G65" s="1196"/>
      <c r="H65" s="1196"/>
      <c r="I65" s="1218">
        <f t="shared" si="67"/>
        <v>47726</v>
      </c>
      <c r="J65" s="1195">
        <f>SUM(Q$8:Q65)</f>
        <v>6236995.4186389428</v>
      </c>
      <c r="K65" s="391">
        <f>SUM(R$8:R65)/$J65</f>
        <v>0.15317583662761655</v>
      </c>
      <c r="L65" s="391">
        <f>SUM(S$8:S65)/$J65</f>
        <v>0.84682416337238375</v>
      </c>
      <c r="M65" s="391">
        <f>SUM(T$8:T65)/$J65</f>
        <v>0</v>
      </c>
      <c r="O65" s="1155" t="s">
        <v>5076</v>
      </c>
      <c r="P65" s="1165">
        <f t="shared" si="103"/>
        <v>47726</v>
      </c>
      <c r="Q65" s="1162">
        <f t="shared" si="68"/>
        <v>0</v>
      </c>
      <c r="R65" s="1162">
        <f t="shared" si="104"/>
        <v>0</v>
      </c>
      <c r="S65" s="1162">
        <f t="shared" si="105"/>
        <v>0</v>
      </c>
      <c r="T65" s="1162">
        <f t="shared" si="106"/>
        <v>0</v>
      </c>
      <c r="U65" s="1162"/>
      <c r="V65" s="1194"/>
      <c r="W65" s="1162"/>
      <c r="X65" s="1162"/>
      <c r="Y65" s="1162"/>
    </row>
    <row r="66" spans="2:92" ht="15" customHeight="1">
      <c r="C66" s="1206"/>
      <c r="D66" s="1196"/>
      <c r="E66" s="1196"/>
      <c r="F66" s="1196"/>
      <c r="G66" s="1196"/>
      <c r="H66" s="1196"/>
      <c r="I66" s="1218">
        <f t="shared" si="67"/>
        <v>47756</v>
      </c>
      <c r="J66" s="1195">
        <f>SUM(Q$8:Q66)</f>
        <v>6236995.4186389428</v>
      </c>
      <c r="K66" s="391">
        <f>SUM(R$8:R66)/$J66</f>
        <v>0.15317583662761655</v>
      </c>
      <c r="L66" s="391">
        <f>SUM(S$8:S66)/$J66</f>
        <v>0.84682416337238375</v>
      </c>
      <c r="M66" s="391">
        <f>SUM(T$8:T66)/$J66</f>
        <v>0</v>
      </c>
      <c r="O66" s="1155" t="s">
        <v>5074</v>
      </c>
      <c r="P66" s="1165">
        <f t="shared" si="103"/>
        <v>47756</v>
      </c>
      <c r="Q66" s="1162">
        <f t="shared" si="68"/>
        <v>0</v>
      </c>
      <c r="R66" s="1162">
        <f t="shared" si="104"/>
        <v>0</v>
      </c>
      <c r="S66" s="1162">
        <f t="shared" si="105"/>
        <v>0</v>
      </c>
      <c r="T66" s="1162">
        <f t="shared" si="106"/>
        <v>0</v>
      </c>
      <c r="U66" s="1162"/>
      <c r="V66" s="1162"/>
      <c r="W66" s="1162"/>
      <c r="X66" s="1162"/>
      <c r="Y66" s="1162"/>
    </row>
    <row r="67" spans="2:92" ht="15" customHeight="1">
      <c r="C67" s="1206"/>
      <c r="D67" s="1196"/>
      <c r="E67" s="1196"/>
      <c r="F67" s="1196"/>
      <c r="G67" s="1196"/>
      <c r="H67" s="1196"/>
      <c r="I67" s="1218">
        <f t="shared" si="67"/>
        <v>47787</v>
      </c>
      <c r="J67" s="1195">
        <f>SUM(Q$8:Q67)</f>
        <v>6236995.4186389428</v>
      </c>
      <c r="K67" s="391">
        <f>SUM(R$8:R67)/$J67</f>
        <v>0.15317583662761655</v>
      </c>
      <c r="L67" s="391">
        <f>SUM(S$8:S67)/$J67</f>
        <v>0.84682416337238375</v>
      </c>
      <c r="M67" s="391">
        <f>SUM(T$8:T67)/$J67</f>
        <v>0</v>
      </c>
      <c r="O67" s="1155" t="s">
        <v>5072</v>
      </c>
      <c r="P67" s="1165">
        <f t="shared" si="103"/>
        <v>47787</v>
      </c>
      <c r="Q67" s="1162">
        <f t="shared" si="68"/>
        <v>0</v>
      </c>
      <c r="R67" s="1162">
        <f t="shared" si="104"/>
        <v>0</v>
      </c>
      <c r="S67" s="1162">
        <f t="shared" si="105"/>
        <v>0</v>
      </c>
      <c r="T67" s="1162">
        <f t="shared" si="106"/>
        <v>0</v>
      </c>
      <c r="U67" s="1162"/>
      <c r="V67" s="1162"/>
      <c r="W67" s="1162"/>
      <c r="X67" s="1162"/>
      <c r="Y67" s="1162"/>
    </row>
    <row r="68" spans="2:92" ht="15" customHeight="1">
      <c r="C68" s="1206"/>
      <c r="D68" s="1196"/>
      <c r="E68" s="1196"/>
      <c r="F68" s="1196"/>
      <c r="G68" s="1196"/>
      <c r="I68" s="1218">
        <f t="shared" si="67"/>
        <v>47817</v>
      </c>
      <c r="J68" s="1195">
        <f>SUM(Q$8:Q68)</f>
        <v>6236995.4186389428</v>
      </c>
      <c r="K68" s="391">
        <f>SUM(R$8:R68)/$J68</f>
        <v>0.15317583662761655</v>
      </c>
      <c r="L68" s="391">
        <f>SUM(S$8:S68)/$J68</f>
        <v>0.84682416337238375</v>
      </c>
      <c r="M68" s="391">
        <f>SUM(T$8:T68)/$J68</f>
        <v>0</v>
      </c>
      <c r="O68" s="1155" t="s">
        <v>5070</v>
      </c>
      <c r="P68" s="1165">
        <f t="shared" si="103"/>
        <v>47817</v>
      </c>
      <c r="Q68" s="1162">
        <f t="shared" si="68"/>
        <v>0</v>
      </c>
      <c r="R68" s="1162">
        <f t="shared" si="104"/>
        <v>0</v>
      </c>
      <c r="S68" s="1162">
        <f t="shared" si="105"/>
        <v>0</v>
      </c>
      <c r="T68" s="1162">
        <f t="shared" si="106"/>
        <v>0</v>
      </c>
      <c r="U68" s="1162"/>
      <c r="V68" s="1162"/>
      <c r="W68" s="1162"/>
      <c r="X68" s="1162"/>
      <c r="Y68" s="1162"/>
    </row>
    <row r="69" spans="2:92" ht="15" customHeight="1">
      <c r="C69" s="1206"/>
      <c r="D69" s="1196"/>
      <c r="E69" s="1196"/>
      <c r="F69" s="1196"/>
      <c r="G69" s="1196"/>
      <c r="I69" s="1218">
        <f t="shared" si="67"/>
        <v>47848</v>
      </c>
      <c r="J69" s="1195">
        <f>SUM(Q$8:Q69)</f>
        <v>6236995.4186389428</v>
      </c>
      <c r="K69" s="391">
        <f>SUM(R$8:R69)/$J69</f>
        <v>0.15317583662761655</v>
      </c>
      <c r="L69" s="391">
        <f>SUM(S$8:S69)/$J69</f>
        <v>0.84682416337238375</v>
      </c>
      <c r="M69" s="391">
        <f>SUM(T$8:T69)/$J69</f>
        <v>0</v>
      </c>
      <c r="O69" s="1155" t="s">
        <v>5068</v>
      </c>
      <c r="P69" s="1165">
        <f t="shared" si="103"/>
        <v>47848</v>
      </c>
      <c r="Q69" s="1162">
        <f t="shared" si="68"/>
        <v>0</v>
      </c>
      <c r="R69" s="1162">
        <f t="shared" si="104"/>
        <v>0</v>
      </c>
      <c r="S69" s="1162">
        <f t="shared" si="105"/>
        <v>0</v>
      </c>
      <c r="T69" s="1162">
        <f t="shared" si="106"/>
        <v>0</v>
      </c>
      <c r="U69" s="1162"/>
      <c r="V69" s="1162"/>
      <c r="W69" s="1162"/>
      <c r="X69" s="1162"/>
      <c r="Y69" s="1162"/>
    </row>
    <row r="70" spans="2:92" ht="15" customHeight="1" outlineLevel="1">
      <c r="C70" s="1205"/>
      <c r="D70" s="1205" t="s">
        <v>181</v>
      </c>
      <c r="E70" s="1205" t="s">
        <v>5084</v>
      </c>
      <c r="F70" s="1204" t="s">
        <v>21</v>
      </c>
      <c r="I70" s="1218">
        <f t="shared" si="67"/>
        <v>47879</v>
      </c>
      <c r="J70" s="1195">
        <f>SUM(Q$8:Q70)</f>
        <v>6236995.4186389428</v>
      </c>
      <c r="K70" s="391">
        <f>SUM(R$8:R70)/$J70</f>
        <v>0.15317583662761655</v>
      </c>
      <c r="L70" s="391">
        <f>SUM(S$8:S70)/$J70</f>
        <v>0.84682416337238375</v>
      </c>
      <c r="M70" s="391">
        <f>SUM(T$8:T70)/$J70</f>
        <v>0</v>
      </c>
      <c r="O70" s="1155" t="s">
        <v>5066</v>
      </c>
      <c r="P70" s="1165">
        <f t="shared" si="103"/>
        <v>47879</v>
      </c>
      <c r="Q70" s="1162">
        <f t="shared" si="68"/>
        <v>0</v>
      </c>
      <c r="R70" s="1162">
        <f t="shared" si="104"/>
        <v>0</v>
      </c>
      <c r="S70" s="1162">
        <f t="shared" si="105"/>
        <v>0</v>
      </c>
      <c r="T70" s="1162">
        <f t="shared" si="106"/>
        <v>0</v>
      </c>
      <c r="U70" s="1162"/>
      <c r="V70" s="1162"/>
      <c r="W70" s="1162"/>
      <c r="X70" s="1162"/>
      <c r="Y70" s="1162"/>
    </row>
    <row r="71" spans="2:92" ht="15" customHeight="1" outlineLevel="1">
      <c r="C71" s="1155" t="s">
        <v>189</v>
      </c>
      <c r="D71" s="1267">
        <f>+VLOOKUP(sales!C50,reserves!$C$6:$D$66,2,FALSE)</f>
        <v>47542</v>
      </c>
      <c r="E71" s="1268" cm="1">
        <f t="array" ref="E71">SUMPRODUCT(--(D71=reserves!$D$6:$D$66),(reserves!$AJ$6:$AJ$66))</f>
        <v>0</v>
      </c>
      <c r="F71" s="1266">
        <f t="shared" ref="F71:F90" si="107">E71</f>
        <v>0</v>
      </c>
      <c r="I71" s="1218">
        <f t="shared" si="67"/>
        <v>47907</v>
      </c>
      <c r="J71" s="1195">
        <f>SUM(Q$8:Q71)</f>
        <v>6236995.4186389428</v>
      </c>
      <c r="K71" s="391">
        <f>SUM(R$8:R71)/$J71</f>
        <v>0.15317583662761655</v>
      </c>
      <c r="L71" s="391">
        <f>SUM(S$8:S71)/$J71</f>
        <v>0.84682416337238375</v>
      </c>
      <c r="M71" s="391">
        <f>SUM(T$8:T71)/$J71</f>
        <v>0</v>
      </c>
      <c r="O71" s="1155" t="s">
        <v>5064</v>
      </c>
      <c r="P71" s="1165">
        <f t="shared" si="103"/>
        <v>47907</v>
      </c>
      <c r="Q71" s="1162">
        <f t="shared" si="68"/>
        <v>0</v>
      </c>
      <c r="R71" s="1162">
        <f t="shared" si="104"/>
        <v>0</v>
      </c>
      <c r="S71" s="1162">
        <f t="shared" si="105"/>
        <v>0</v>
      </c>
      <c r="T71" s="1162">
        <f t="shared" si="106"/>
        <v>0</v>
      </c>
      <c r="U71" s="1162"/>
      <c r="V71" s="1162"/>
      <c r="W71" s="1162"/>
      <c r="X71" s="1162"/>
      <c r="Y71" s="1162"/>
    </row>
    <row r="72" spans="2:92" ht="15" customHeight="1" outlineLevel="1">
      <c r="C72" s="1155" t="s">
        <v>190</v>
      </c>
      <c r="D72" s="1267">
        <f>EOMONTH(D71,1)</f>
        <v>47573</v>
      </c>
      <c r="E72" s="1268" cm="1">
        <f t="array" ref="E72">SUMPRODUCT(--(D72=reserves!$D$6:$D$66),(reserves!$AJ$6:$AJ$66))</f>
        <v>6057154.6853056094</v>
      </c>
      <c r="F72" s="1266">
        <f t="shared" si="107"/>
        <v>6057154.6853056094</v>
      </c>
      <c r="I72" s="1218">
        <f t="shared" si="67"/>
        <v>47938</v>
      </c>
      <c r="J72" s="1195">
        <f>SUM(Q$8:Q72)</f>
        <v>6236995.4186389428</v>
      </c>
      <c r="K72" s="391">
        <f>SUM(R$8:R72)/$J72</f>
        <v>0.15317583662761655</v>
      </c>
      <c r="L72" s="391">
        <f>SUM(S$8:S72)/$J72</f>
        <v>0.84682416337238375</v>
      </c>
      <c r="M72" s="391">
        <f>SUM(T$8:T72)/$J72</f>
        <v>0</v>
      </c>
      <c r="O72" s="1155" t="s">
        <v>5062</v>
      </c>
      <c r="P72" s="1165">
        <f t="shared" si="103"/>
        <v>47938</v>
      </c>
      <c r="Q72" s="1162">
        <f t="shared" si="68"/>
        <v>0</v>
      </c>
      <c r="R72" s="1162">
        <f t="shared" si="104"/>
        <v>0</v>
      </c>
      <c r="S72" s="1162">
        <f t="shared" si="105"/>
        <v>0</v>
      </c>
      <c r="T72" s="1162">
        <f t="shared" si="106"/>
        <v>0</v>
      </c>
      <c r="U72" s="1162"/>
      <c r="V72" s="1162"/>
      <c r="W72" s="1162"/>
      <c r="X72" s="1162"/>
      <c r="Y72" s="1162"/>
    </row>
    <row r="73" spans="2:92" ht="15" customHeight="1" outlineLevel="1">
      <c r="B73" s="1212"/>
      <c r="C73" s="1155" t="s">
        <v>191</v>
      </c>
      <c r="D73" s="1267">
        <f t="shared" ref="D73:D90" si="108">EOMONTH(D72,1)</f>
        <v>47603</v>
      </c>
      <c r="E73" s="1268" cm="1">
        <f t="array" ref="E73">SUMPRODUCT(--(D73=reserves!$D$6:$D$66),(reserves!$AJ$6:$AJ$66))</f>
        <v>4179840.7333333339</v>
      </c>
      <c r="F73" s="1266">
        <f t="shared" si="107"/>
        <v>4179840.7333333339</v>
      </c>
      <c r="I73" s="1218">
        <f t="shared" si="67"/>
        <v>47968</v>
      </c>
      <c r="J73" s="1195">
        <f>SUM(Q$8:Q73)</f>
        <v>6236995.4186389428</v>
      </c>
      <c r="K73" s="391">
        <f>SUM(R$8:R73)/$J73</f>
        <v>0.15317583662761655</v>
      </c>
      <c r="L73" s="391">
        <f>SUM(S$8:S73)/$J73</f>
        <v>0.84682416337238375</v>
      </c>
      <c r="M73" s="391">
        <f>SUM(T$8:T73)/$J73</f>
        <v>0</v>
      </c>
      <c r="O73" s="1155" t="s">
        <v>5060</v>
      </c>
      <c r="P73" s="1165">
        <f t="shared" si="103"/>
        <v>47968</v>
      </c>
      <c r="Q73" s="1162">
        <f t="shared" si="68"/>
        <v>0</v>
      </c>
      <c r="R73" s="1162">
        <f t="shared" si="104"/>
        <v>0</v>
      </c>
      <c r="S73" s="1162">
        <f t="shared" si="105"/>
        <v>0</v>
      </c>
      <c r="T73" s="1162">
        <f t="shared" si="106"/>
        <v>0</v>
      </c>
      <c r="U73" s="1162"/>
      <c r="V73" s="1162"/>
      <c r="W73" s="1162"/>
      <c r="X73" s="1162"/>
      <c r="Y73" s="1162"/>
    </row>
    <row r="74" spans="2:92" ht="15" customHeight="1" outlineLevel="1">
      <c r="C74" s="1155" t="s">
        <v>192</v>
      </c>
      <c r="D74" s="1267">
        <f t="shared" si="108"/>
        <v>47634</v>
      </c>
      <c r="E74" s="1268" cm="1">
        <f t="array" ref="E74">SUMPRODUCT(--(D74=reserves!$D$6:$D$66),(reserves!$AJ$6:$AJ$66))</f>
        <v>0</v>
      </c>
      <c r="F74" s="1266">
        <f t="shared" si="107"/>
        <v>0</v>
      </c>
      <c r="I74" s="1218">
        <f t="shared" si="67"/>
        <v>47999</v>
      </c>
      <c r="J74" s="1195">
        <f>SUM(Q$8:Q74)</f>
        <v>6236995.4186389428</v>
      </c>
      <c r="K74" s="391">
        <f>SUM(R$8:R74)/$J74</f>
        <v>0.15317583662761655</v>
      </c>
      <c r="L74" s="391">
        <f>SUM(S$8:S74)/$J74</f>
        <v>0.84682416337238375</v>
      </c>
      <c r="M74" s="391">
        <f>SUM(T$8:T74)/$J74</f>
        <v>0</v>
      </c>
      <c r="O74" s="1155" t="s">
        <v>5058</v>
      </c>
      <c r="P74" s="1165">
        <f t="shared" si="103"/>
        <v>47999</v>
      </c>
      <c r="Q74" s="1162">
        <f t="shared" si="68"/>
        <v>0</v>
      </c>
      <c r="R74" s="1162">
        <f t="shared" si="104"/>
        <v>0</v>
      </c>
      <c r="S74" s="1162">
        <f t="shared" si="105"/>
        <v>0</v>
      </c>
      <c r="T74" s="1162">
        <f t="shared" si="106"/>
        <v>0</v>
      </c>
      <c r="U74" s="1162"/>
      <c r="V74" s="1162"/>
      <c r="W74" s="1162"/>
      <c r="X74" s="1162"/>
      <c r="Y74" s="1162"/>
    </row>
    <row r="75" spans="2:92" ht="15" customHeight="1" outlineLevel="1">
      <c r="C75" s="1155" t="s">
        <v>193</v>
      </c>
      <c r="D75" s="1267">
        <f t="shared" si="108"/>
        <v>47664</v>
      </c>
      <c r="E75" s="1268" cm="1">
        <f t="array" ref="E75">SUMPRODUCT(--(D75=reserves!$D$6:$D$66),(reserves!$AJ$6:$AJ$66))</f>
        <v>0</v>
      </c>
      <c r="F75" s="1266">
        <f t="shared" si="107"/>
        <v>0</v>
      </c>
      <c r="I75" s="1218">
        <f t="shared" si="67"/>
        <v>48029</v>
      </c>
      <c r="J75" s="1195">
        <f>SUM(Q$8:Q75)</f>
        <v>6236995.4186389428</v>
      </c>
      <c r="K75" s="391">
        <f>SUM(R$8:R75)/$J75</f>
        <v>0.15317583662761655</v>
      </c>
      <c r="L75" s="391">
        <f>SUM(S$8:S75)/$J75</f>
        <v>0.84682416337238375</v>
      </c>
      <c r="M75" s="391">
        <f>SUM(T$8:T75)/$J75</f>
        <v>0</v>
      </c>
      <c r="O75" s="1155" t="s">
        <v>5057</v>
      </c>
      <c r="P75" s="1165">
        <f t="shared" si="103"/>
        <v>48029</v>
      </c>
      <c r="Q75" s="1162">
        <f t="shared" si="68"/>
        <v>0</v>
      </c>
      <c r="R75" s="1162">
        <f t="shared" si="104"/>
        <v>0</v>
      </c>
      <c r="S75" s="1162">
        <f t="shared" si="105"/>
        <v>0</v>
      </c>
      <c r="T75" s="1162">
        <f t="shared" si="106"/>
        <v>0</v>
      </c>
      <c r="U75" s="1162"/>
      <c r="V75" s="1162"/>
      <c r="W75" s="1162"/>
      <c r="X75" s="1162"/>
      <c r="Y75" s="1162"/>
    </row>
    <row r="76" spans="2:92" ht="15" customHeight="1" outlineLevel="1">
      <c r="C76" s="1155" t="s">
        <v>5083</v>
      </c>
      <c r="D76" s="1267">
        <f t="shared" si="108"/>
        <v>47695</v>
      </c>
      <c r="E76" s="1268" cm="1">
        <f t="array" ref="E76">SUMPRODUCT(--(D76=reserves!$D$6:$D$66),(reserves!$AJ$6:$AJ$66))</f>
        <v>0</v>
      </c>
      <c r="F76" s="1266">
        <f t="shared" si="107"/>
        <v>0</v>
      </c>
      <c r="I76" s="1218">
        <f t="shared" si="67"/>
        <v>48060</v>
      </c>
      <c r="J76" s="1195">
        <f>SUM(Q$8:Q76)</f>
        <v>6236995.4186389428</v>
      </c>
      <c r="K76" s="391">
        <f>SUM(R$8:R76)/$J76</f>
        <v>0.15317583662761655</v>
      </c>
      <c r="L76" s="391">
        <f>SUM(S$8:S76)/$J76</f>
        <v>0.84682416337238375</v>
      </c>
      <c r="M76" s="391">
        <f>SUM(T$8:T76)/$J76</f>
        <v>0</v>
      </c>
      <c r="O76" s="1155" t="s">
        <v>5056</v>
      </c>
      <c r="P76" s="1165">
        <f t="shared" si="103"/>
        <v>48060</v>
      </c>
      <c r="Q76" s="1162">
        <f t="shared" si="68"/>
        <v>0</v>
      </c>
      <c r="R76" s="1162">
        <f t="shared" si="104"/>
        <v>0</v>
      </c>
      <c r="S76" s="1162">
        <f t="shared" si="105"/>
        <v>0</v>
      </c>
      <c r="T76" s="1162">
        <f t="shared" si="106"/>
        <v>0</v>
      </c>
      <c r="U76" s="1162"/>
      <c r="V76" s="1162"/>
      <c r="W76" s="1162"/>
      <c r="X76" s="1162"/>
      <c r="Y76" s="1162"/>
    </row>
    <row r="77" spans="2:92" ht="15" customHeight="1" outlineLevel="1">
      <c r="C77" s="1155" t="s">
        <v>5082</v>
      </c>
      <c r="D77" s="1267">
        <f t="shared" si="108"/>
        <v>47726</v>
      </c>
      <c r="E77" s="1268" cm="1">
        <f t="array" ref="E77">SUMPRODUCT(--(D77=reserves!$D$6:$D$66),(reserves!$AJ$6:$AJ$66))</f>
        <v>0</v>
      </c>
      <c r="F77" s="1266">
        <f t="shared" si="107"/>
        <v>0</v>
      </c>
      <c r="I77" s="1218">
        <f t="shared" si="67"/>
        <v>48091</v>
      </c>
      <c r="J77" s="1195">
        <f>SUM(Q$8:Q77)</f>
        <v>6236995.4186389428</v>
      </c>
      <c r="K77" s="391">
        <f>SUM(R$8:R77)/$J77</f>
        <v>0.15317583662761655</v>
      </c>
      <c r="L77" s="391">
        <f>SUM(S$8:S77)/$J77</f>
        <v>0.84682416337238375</v>
      </c>
      <c r="M77" s="391">
        <f>SUM(T$8:T77)/$J77</f>
        <v>0</v>
      </c>
      <c r="O77" s="1155" t="s">
        <v>5055</v>
      </c>
      <c r="P77" s="1165">
        <f t="shared" si="103"/>
        <v>48091</v>
      </c>
      <c r="Q77" s="1162">
        <f t="shared" si="68"/>
        <v>0</v>
      </c>
      <c r="R77" s="1162">
        <f t="shared" si="104"/>
        <v>0</v>
      </c>
      <c r="S77" s="1162">
        <f t="shared" si="105"/>
        <v>0</v>
      </c>
      <c r="T77" s="1162">
        <f t="shared" si="106"/>
        <v>0</v>
      </c>
      <c r="U77" s="1162"/>
      <c r="V77" s="1162"/>
      <c r="W77" s="1162"/>
      <c r="X77" s="1162"/>
      <c r="Y77" s="1162"/>
    </row>
    <row r="78" spans="2:92" ht="15" customHeight="1" outlineLevel="1">
      <c r="C78" s="1155" t="s">
        <v>5081</v>
      </c>
      <c r="D78" s="1267">
        <f t="shared" si="108"/>
        <v>47756</v>
      </c>
      <c r="E78" s="1268" cm="1">
        <f t="array" ref="E78">SUMPRODUCT(--(D78=reserves!$D$6:$D$66),(reserves!$AJ$6:$AJ$66))</f>
        <v>0</v>
      </c>
      <c r="F78" s="1266">
        <f t="shared" si="107"/>
        <v>0</v>
      </c>
      <c r="I78" s="1218">
        <f t="shared" si="67"/>
        <v>48121</v>
      </c>
      <c r="J78" s="1195">
        <f>SUM(Q$8:Q78)</f>
        <v>6236995.4186389428</v>
      </c>
      <c r="K78" s="391">
        <f>SUM(R$8:R78)/$J78</f>
        <v>0.15317583662761655</v>
      </c>
      <c r="L78" s="391">
        <f>SUM(S$8:S78)/$J78</f>
        <v>0.84682416337238375</v>
      </c>
      <c r="M78" s="391">
        <f>SUM(T$8:T78)/$J78</f>
        <v>0</v>
      </c>
      <c r="O78" s="1155" t="s">
        <v>5054</v>
      </c>
      <c r="P78" s="1165">
        <f t="shared" si="103"/>
        <v>48121</v>
      </c>
      <c r="Q78" s="1162">
        <f t="shared" si="68"/>
        <v>0</v>
      </c>
      <c r="R78" s="1162">
        <f t="shared" si="104"/>
        <v>0</v>
      </c>
      <c r="S78" s="1162">
        <f t="shared" si="105"/>
        <v>0</v>
      </c>
      <c r="T78" s="1162">
        <f t="shared" si="106"/>
        <v>0</v>
      </c>
      <c r="U78" s="1162"/>
      <c r="V78" s="1162"/>
      <c r="W78" s="1162"/>
      <c r="X78" s="1162"/>
      <c r="Y78" s="1162"/>
      <c r="AZ78" s="1191"/>
      <c r="CN78" s="1160"/>
    </row>
    <row r="79" spans="2:92" ht="15" customHeight="1">
      <c r="C79" s="1155" t="s">
        <v>5080</v>
      </c>
      <c r="D79" s="1267">
        <f t="shared" si="108"/>
        <v>47787</v>
      </c>
      <c r="E79" s="1268" cm="1">
        <f t="array" ref="E79">SUMPRODUCT(--(D79=reserves!$D$6:$D$66),(reserves!$AJ$6:$AJ$66))</f>
        <v>0</v>
      </c>
      <c r="F79" s="1266">
        <f t="shared" si="107"/>
        <v>0</v>
      </c>
      <c r="I79" s="1165"/>
      <c r="J79" s="1195"/>
      <c r="K79" s="391"/>
      <c r="L79" s="391"/>
      <c r="M79" s="391"/>
      <c r="O79" s="1181" t="s">
        <v>200</v>
      </c>
      <c r="P79" s="1181"/>
      <c r="Q79" s="1161">
        <f>SUM(Q39:Q78)</f>
        <v>10236995.418638943</v>
      </c>
      <c r="R79" s="1161">
        <f>SUM(R39:R78)</f>
        <v>4555356.9912926294</v>
      </c>
      <c r="S79" s="1161">
        <f>SUM(S39:S78)</f>
        <v>5681638.4273463134</v>
      </c>
      <c r="T79" s="1161">
        <f>SUM(T39:T78)</f>
        <v>0</v>
      </c>
      <c r="U79" s="1180"/>
      <c r="V79" s="1180"/>
      <c r="W79" s="1180"/>
      <c r="X79" s="1180"/>
      <c r="Y79" s="1180"/>
      <c r="AA79" s="1172"/>
    </row>
    <row r="80" spans="2:92" ht="15" customHeight="1">
      <c r="C80" s="1155" t="s">
        <v>5079</v>
      </c>
      <c r="D80" s="1267">
        <f t="shared" si="108"/>
        <v>47817</v>
      </c>
      <c r="E80" s="1268" cm="1">
        <f t="array" ref="E80">SUMPRODUCT(--(D80=reserves!$D$6:$D$66),(reserves!$AJ$6:$AJ$66))</f>
        <v>0</v>
      </c>
      <c r="F80" s="1266">
        <f t="shared" si="107"/>
        <v>0</v>
      </c>
      <c r="I80" s="1165"/>
      <c r="J80" s="1195"/>
      <c r="K80" s="391"/>
      <c r="L80" s="391"/>
      <c r="M80" s="391"/>
      <c r="O80" s="1190" t="s">
        <v>153</v>
      </c>
      <c r="P80" s="1190"/>
      <c r="Q80" s="1164">
        <f>XIRR(Q8:Q78,$P8:$P78,0.2)</f>
        <v>0.44054588675498962</v>
      </c>
      <c r="R80" s="1164">
        <f>IF('New Waterfall'!$E$8=0,0,XIRR(R8:R78,$P8:$P78))</f>
        <v>0.10000004172325136</v>
      </c>
      <c r="S80" s="1189">
        <f>IF('New Waterfall'!$E$7=0,0,XIRR(S8:S78,$P8:$P78))</f>
        <v>1.6040495753288273</v>
      </c>
      <c r="T80" s="1164">
        <f>IF('New Waterfall'!$E$10=0,0,XIRR(T8:T78,$P8:$P78))</f>
        <v>0</v>
      </c>
      <c r="U80" s="1188"/>
      <c r="V80" s="1188"/>
      <c r="W80" s="1188"/>
      <c r="X80" s="1188"/>
      <c r="Y80" s="1188"/>
      <c r="BA80" s="1187"/>
      <c r="BB80" s="1187"/>
    </row>
    <row r="81" spans="3:95" ht="15" customHeight="1">
      <c r="C81" s="1155" t="s">
        <v>5077</v>
      </c>
      <c r="D81" s="1267">
        <f t="shared" si="108"/>
        <v>47848</v>
      </c>
      <c r="E81" s="1268" cm="1">
        <f t="array" ref="E81">SUMPRODUCT(--(D81=reserves!$D$6:$D$66),(reserves!$AJ$6:$AJ$66))</f>
        <v>0</v>
      </c>
      <c r="F81" s="1266">
        <f t="shared" si="107"/>
        <v>0</v>
      </c>
      <c r="I81" s="1165"/>
      <c r="J81" s="1195"/>
      <c r="K81" s="391"/>
      <c r="L81" s="391"/>
      <c r="M81" s="391"/>
      <c r="O81" s="1186" t="s">
        <v>184</v>
      </c>
      <c r="P81" s="1186"/>
      <c r="Q81" s="1185">
        <f>IF(Q80=0,0,-SUM(Q39:Q78)/SUM(Q8:Q38))</f>
        <v>2.5592488546597356</v>
      </c>
      <c r="R81" s="1184">
        <f>IF(R80=0,0,-SUM(R39:R78)/SUM(R8:R38))</f>
        <v>1.2653769420257313</v>
      </c>
      <c r="S81" s="1184">
        <f>IF(S80=0,0,-SUM(S39:S78)/SUM(S8:S38))</f>
        <v>14.204096068365786</v>
      </c>
      <c r="T81" s="1184">
        <f>IF(T80=0,0,-SUM(T39:T78)/SUM(T8:T38))</f>
        <v>0</v>
      </c>
      <c r="U81" s="1183"/>
      <c r="V81" s="1183"/>
      <c r="W81" s="1183"/>
      <c r="X81" s="1183"/>
      <c r="Y81" s="1183"/>
      <c r="AX81" s="1182"/>
      <c r="AY81" s="1182"/>
      <c r="AZ81" s="1182"/>
      <c r="BB81" s="1182"/>
    </row>
    <row r="82" spans="3:95" ht="15" customHeight="1">
      <c r="C82" s="1155" t="s">
        <v>5075</v>
      </c>
      <c r="D82" s="1267">
        <f t="shared" si="108"/>
        <v>47879</v>
      </c>
      <c r="E82" s="1268" cm="1">
        <f t="array" ref="E82">SUMPRODUCT(--(D82=reserves!$D$6:$D$66),(reserves!$AJ$6:$AJ$66))</f>
        <v>0</v>
      </c>
      <c r="F82" s="1266">
        <f t="shared" si="107"/>
        <v>0</v>
      </c>
      <c r="I82" s="1165"/>
      <c r="J82" s="1195"/>
      <c r="K82" s="391"/>
      <c r="L82" s="391"/>
      <c r="M82" s="391"/>
      <c r="O82" s="1155" t="s">
        <v>207</v>
      </c>
      <c r="Q82" s="1162">
        <f>Q84-Q83</f>
        <v>1061507.7681029215</v>
      </c>
      <c r="R82" s="1162">
        <f>R84-R83</f>
        <v>955356.9912926316</v>
      </c>
      <c r="S82" s="1162">
        <f>S84-S83</f>
        <v>106150.77681029215</v>
      </c>
      <c r="T82" s="1162">
        <f>T84-T83</f>
        <v>0</v>
      </c>
      <c r="U82" s="1162"/>
      <c r="V82" s="1162"/>
      <c r="W82" s="1162"/>
      <c r="X82" s="1162"/>
      <c r="Y82" s="1162"/>
    </row>
    <row r="83" spans="3:95" ht="15" customHeight="1" outlineLevel="1">
      <c r="C83" s="1155" t="s">
        <v>5073</v>
      </c>
      <c r="D83" s="1267">
        <f t="shared" si="108"/>
        <v>47907</v>
      </c>
      <c r="E83" s="1268" cm="1">
        <f t="array" ref="E83">SUMPRODUCT(--(D83=reserves!$D$6:$D$66),(reserves!$AJ$6:$AJ$66))</f>
        <v>0</v>
      </c>
      <c r="F83" s="1266">
        <f t="shared" si="107"/>
        <v>0</v>
      </c>
      <c r="I83" s="1165"/>
      <c r="J83" s="1195"/>
      <c r="K83" s="391"/>
      <c r="L83" s="391"/>
      <c r="M83" s="391"/>
      <c r="O83" s="1160" t="s">
        <v>148</v>
      </c>
      <c r="P83" s="1160"/>
      <c r="Q83" s="1159">
        <f>SUM(CN$86:CN$105)</f>
        <v>5175487.6505360212</v>
      </c>
      <c r="R83" s="1159">
        <f>SUM(CO$86:CO$105)</f>
        <v>0</v>
      </c>
      <c r="S83" s="1159">
        <f>SUM(CP$86:CP$105)</f>
        <v>5175487.6505360212</v>
      </c>
      <c r="T83" s="1159">
        <f>SUM(CQ$86:CQ$105)</f>
        <v>0</v>
      </c>
      <c r="U83" s="1159"/>
      <c r="V83" s="1159"/>
      <c r="W83" s="1159"/>
      <c r="X83" s="1159"/>
      <c r="Y83" s="1159"/>
      <c r="AA83" s="1172"/>
    </row>
    <row r="84" spans="3:95" ht="15" customHeight="1" outlineLevel="1">
      <c r="C84" s="1155" t="s">
        <v>5071</v>
      </c>
      <c r="D84" s="1267">
        <f t="shared" si="108"/>
        <v>47938</v>
      </c>
      <c r="E84" s="1268" cm="1">
        <f t="array" ref="E84">SUMPRODUCT(--(D84=reserves!$D$6:$D$66),(reserves!$AJ$6:$AJ$66))</f>
        <v>0</v>
      </c>
      <c r="F84" s="1266">
        <f t="shared" si="107"/>
        <v>0</v>
      </c>
      <c r="I84" s="1165"/>
      <c r="J84" s="1195"/>
      <c r="K84" s="391"/>
      <c r="L84" s="391"/>
      <c r="M84" s="391"/>
      <c r="O84" s="1181" t="s">
        <v>208</v>
      </c>
      <c r="P84" s="1181"/>
      <c r="Q84" s="1161">
        <f>SUM(Q8:Q78)</f>
        <v>6236995.4186389428</v>
      </c>
      <c r="R84" s="1161">
        <f>SUM(R8:R78)</f>
        <v>955356.9912926316</v>
      </c>
      <c r="S84" s="1161">
        <f>SUM(S8:S78)</f>
        <v>5281638.4273463134</v>
      </c>
      <c r="T84" s="1161">
        <f>SUM(T8:T78)</f>
        <v>0</v>
      </c>
      <c r="U84" s="1180"/>
      <c r="V84" s="1658" t="s">
        <v>5048</v>
      </c>
      <c r="W84" s="1658"/>
      <c r="X84" s="1658"/>
      <c r="Y84" s="1658"/>
      <c r="AA84" s="1658" t="s">
        <v>5053</v>
      </c>
      <c r="AB84" s="1658"/>
      <c r="AC84" s="1658"/>
      <c r="AD84" s="1658"/>
      <c r="AE84" s="1658"/>
      <c r="AF84" s="1178"/>
      <c r="AG84" s="1658" t="s">
        <v>5048</v>
      </c>
      <c r="AH84" s="1658"/>
      <c r="AI84" s="1658"/>
      <c r="AJ84" s="1658"/>
      <c r="AL84" s="1658" t="s">
        <v>5052</v>
      </c>
      <c r="AM84" s="1658"/>
      <c r="AN84" s="1658"/>
      <c r="AO84" s="1658"/>
      <c r="AP84" s="1658"/>
      <c r="AQ84" s="1179"/>
      <c r="AR84" s="1658" t="s">
        <v>5048</v>
      </c>
      <c r="AS84" s="1658"/>
      <c r="AT84" s="1658"/>
      <c r="AU84" s="1658"/>
      <c r="AW84" s="1658" t="s">
        <v>5051</v>
      </c>
      <c r="AX84" s="1658"/>
      <c r="AY84" s="1658"/>
      <c r="AZ84" s="1658"/>
      <c r="BA84" s="1658"/>
      <c r="BB84" s="1179"/>
      <c r="BC84" s="1658" t="s">
        <v>5048</v>
      </c>
      <c r="BD84" s="1658"/>
      <c r="BE84" s="1658"/>
      <c r="BF84" s="1658"/>
      <c r="BH84" s="1658" t="s">
        <v>5050</v>
      </c>
      <c r="BI84" s="1658"/>
      <c r="BJ84" s="1658"/>
      <c r="BK84" s="1658"/>
      <c r="BL84" s="1658"/>
      <c r="BM84" s="1179"/>
      <c r="BN84" s="1658" t="s">
        <v>5048</v>
      </c>
      <c r="BO84" s="1658"/>
      <c r="BP84" s="1658"/>
      <c r="BQ84" s="1658"/>
      <c r="BS84" s="1658" t="s">
        <v>5049</v>
      </c>
      <c r="BT84" s="1658"/>
      <c r="BU84" s="1658"/>
      <c r="BV84" s="1658"/>
      <c r="BW84" s="1658"/>
      <c r="BX84" s="1178"/>
      <c r="BY84" s="1658" t="s">
        <v>5048</v>
      </c>
      <c r="BZ84" s="1658"/>
      <c r="CA84" s="1658"/>
      <c r="CB84" s="1658"/>
      <c r="CD84" s="1658" t="s">
        <v>5047</v>
      </c>
      <c r="CE84" s="1658"/>
      <c r="CF84" s="1658"/>
      <c r="CG84" s="1658"/>
      <c r="CH84" s="1658"/>
      <c r="CI84" s="1178"/>
    </row>
    <row r="85" spans="3:95" ht="15" customHeight="1" outlineLevel="1">
      <c r="C85" s="1155" t="s">
        <v>5069</v>
      </c>
      <c r="D85" s="1267">
        <f t="shared" si="108"/>
        <v>47968</v>
      </c>
      <c r="E85" s="1268" cm="1">
        <f t="array" ref="E85">SUMPRODUCT(--(D85=reserves!$D$6:$D$66),(reserves!$AJ$6:$AJ$66))</f>
        <v>0</v>
      </c>
      <c r="F85" s="1266">
        <f t="shared" si="107"/>
        <v>0</v>
      </c>
      <c r="I85" s="1165"/>
      <c r="J85" s="1195"/>
      <c r="K85" s="391"/>
      <c r="L85" s="391"/>
      <c r="M85" s="391"/>
      <c r="P85" s="1160" t="str">
        <f>P$7</f>
        <v>Date</v>
      </c>
      <c r="Q85" s="1160" t="str">
        <f>Q$7</f>
        <v>Total Equity</v>
      </c>
      <c r="R85" s="1160" t="str">
        <f>R$7</f>
        <v>TBD</v>
      </c>
      <c r="S85" s="1160" t="str">
        <f>S$7</f>
        <v>OG Group</v>
      </c>
      <c r="T85" s="1160" t="str">
        <f>T$7</f>
        <v>TBD</v>
      </c>
      <c r="V85" s="1160" t="str">
        <f>Q85</f>
        <v>Total Equity</v>
      </c>
      <c r="W85" s="1160" t="str">
        <f>R85</f>
        <v>TBD</v>
      </c>
      <c r="X85" s="1160" t="str">
        <f>S85</f>
        <v>OG Group</v>
      </c>
      <c r="Y85" s="1160" t="str">
        <f>T85</f>
        <v>TBD</v>
      </c>
      <c r="AA85" s="1160" t="str">
        <f>AA$7</f>
        <v>Dates</v>
      </c>
      <c r="AB85" s="1160" t="str">
        <f>AB$7</f>
        <v>Total Equity</v>
      </c>
      <c r="AC85" s="1160" t="str">
        <f>AC$7</f>
        <v>TBD</v>
      </c>
      <c r="AD85" s="1160" t="str">
        <f>AD$7</f>
        <v>OG Group</v>
      </c>
      <c r="AE85" s="1160" t="str">
        <f>AE$7</f>
        <v>TBD</v>
      </c>
      <c r="AF85" s="1160" t="s">
        <v>148</v>
      </c>
      <c r="AG85" s="1160" t="str">
        <f>AB85</f>
        <v>Total Equity</v>
      </c>
      <c r="AH85" s="1160" t="str">
        <f>AC85</f>
        <v>TBD</v>
      </c>
      <c r="AI85" s="1160" t="str">
        <f>AD85</f>
        <v>OG Group</v>
      </c>
      <c r="AJ85" s="1160" t="str">
        <f>AE85</f>
        <v>TBD</v>
      </c>
      <c r="AL85" s="1160" t="str">
        <f>AL$7</f>
        <v>Dates</v>
      </c>
      <c r="AM85" s="1160" t="str">
        <f>AM$7</f>
        <v>Total Equity</v>
      </c>
      <c r="AN85" s="1160" t="str">
        <f>AN$7</f>
        <v>TBD</v>
      </c>
      <c r="AO85" s="1160" t="str">
        <f>AO$7</f>
        <v>OG Group</v>
      </c>
      <c r="AP85" s="1160" t="str">
        <f>AP$7</f>
        <v>TBD</v>
      </c>
      <c r="AQ85" s="1160" t="s">
        <v>148</v>
      </c>
      <c r="AR85" s="1160" t="str">
        <f>AM85</f>
        <v>Total Equity</v>
      </c>
      <c r="AS85" s="1160" t="str">
        <f>AN85</f>
        <v>TBD</v>
      </c>
      <c r="AT85" s="1160" t="str">
        <f>AO85</f>
        <v>OG Group</v>
      </c>
      <c r="AU85" s="1160" t="str">
        <f>AP85</f>
        <v>TBD</v>
      </c>
      <c r="AW85" s="1160" t="str">
        <f>AW$7</f>
        <v>Dates</v>
      </c>
      <c r="AX85" s="1160" t="str">
        <f>AX$7</f>
        <v>Total Equity</v>
      </c>
      <c r="AY85" s="1160" t="str">
        <f>AY$7</f>
        <v>TBD</v>
      </c>
      <c r="AZ85" s="1160" t="str">
        <f>AZ$7</f>
        <v>OG Group</v>
      </c>
      <c r="BA85" s="1160" t="str">
        <f>BA$7</f>
        <v>TBD</v>
      </c>
      <c r="BB85" s="1160" t="s">
        <v>148</v>
      </c>
      <c r="BC85" s="1160" t="str">
        <f>AX85</f>
        <v>Total Equity</v>
      </c>
      <c r="BD85" s="1160" t="str">
        <f>AY85</f>
        <v>TBD</v>
      </c>
      <c r="BE85" s="1160" t="str">
        <f>AZ85</f>
        <v>OG Group</v>
      </c>
      <c r="BF85" s="1160" t="str">
        <f>BA85</f>
        <v>TBD</v>
      </c>
      <c r="BH85" s="1160" t="str">
        <f>BH$7</f>
        <v>Dates</v>
      </c>
      <c r="BI85" s="1160" t="str">
        <f>BI$7</f>
        <v>Total Equity</v>
      </c>
      <c r="BJ85" s="1160" t="str">
        <f>BJ$7</f>
        <v>TBD</v>
      </c>
      <c r="BK85" s="1160" t="str">
        <f>BK$7</f>
        <v>OG Group</v>
      </c>
      <c r="BL85" s="1160" t="str">
        <f>BL$7</f>
        <v>TBD</v>
      </c>
      <c r="BM85" s="1160" t="s">
        <v>148</v>
      </c>
      <c r="BN85" s="1160" t="str">
        <f>BI85</f>
        <v>Total Equity</v>
      </c>
      <c r="BO85" s="1160" t="str">
        <f>BJ85</f>
        <v>TBD</v>
      </c>
      <c r="BP85" s="1160" t="str">
        <f>BK85</f>
        <v>OG Group</v>
      </c>
      <c r="BQ85" s="1160" t="str">
        <f>BL85</f>
        <v>TBD</v>
      </c>
      <c r="BS85" s="1160" t="str">
        <f>BS$7</f>
        <v>Dates</v>
      </c>
      <c r="BT85" s="1160" t="str">
        <f>BT$7</f>
        <v>Total Equity</v>
      </c>
      <c r="BU85" s="1160" t="str">
        <f>BU$7</f>
        <v>TBD</v>
      </c>
      <c r="BV85" s="1160" t="str">
        <f>BV$7</f>
        <v>OG Group</v>
      </c>
      <c r="BW85" s="1160" t="str">
        <f>BW$7</f>
        <v>TBD</v>
      </c>
      <c r="BX85" s="1160" t="s">
        <v>148</v>
      </c>
      <c r="BY85" s="1160" t="str">
        <f>BT85</f>
        <v>Total Equity</v>
      </c>
      <c r="BZ85" s="1160" t="str">
        <f>BU85</f>
        <v>TBD</v>
      </c>
      <c r="CA85" s="1160" t="str">
        <f>BV85</f>
        <v>OG Group</v>
      </c>
      <c r="CB85" s="1160" t="str">
        <f>BW85</f>
        <v>TBD</v>
      </c>
      <c r="CD85" s="1160" t="str">
        <f>CD$7</f>
        <v>Dates</v>
      </c>
      <c r="CE85" s="1160" t="str">
        <f>CE$7</f>
        <v>Total Equity</v>
      </c>
      <c r="CF85" s="1160" t="str">
        <f>CF$7</f>
        <v>TBD</v>
      </c>
      <c r="CG85" s="1160" t="str">
        <f>CG$7</f>
        <v>OG Group</v>
      </c>
      <c r="CH85" s="1160" t="str">
        <f>CH$7</f>
        <v>TBD</v>
      </c>
      <c r="CI85" s="1160" t="s">
        <v>148</v>
      </c>
      <c r="CN85" s="1177" t="s">
        <v>206</v>
      </c>
      <c r="CO85" s="1160">
        <f>CK85</f>
        <v>0</v>
      </c>
      <c r="CP85" s="1160">
        <f>CL85</f>
        <v>0</v>
      </c>
      <c r="CQ85" s="1160">
        <f>CM85</f>
        <v>0</v>
      </c>
    </row>
    <row r="86" spans="3:95" outlineLevel="1">
      <c r="C86" s="1155" t="s">
        <v>5067</v>
      </c>
      <c r="D86" s="1267">
        <f t="shared" si="108"/>
        <v>47999</v>
      </c>
      <c r="E86" s="1268" cm="1">
        <f t="array" ref="E86">SUMPRODUCT(--(D86=reserves!$D$6:$D$66),(reserves!$AJ$6:$AJ$66))</f>
        <v>0</v>
      </c>
      <c r="F86" s="1266">
        <f t="shared" si="107"/>
        <v>0</v>
      </c>
      <c r="I86" s="1165"/>
      <c r="J86" s="1195"/>
      <c r="K86" s="391"/>
      <c r="L86" s="391"/>
      <c r="M86" s="391"/>
      <c r="O86" s="1169">
        <v>1</v>
      </c>
      <c r="P86" s="1168">
        <f t="shared" ref="P86:P105" si="109">P39</f>
        <v>47542</v>
      </c>
      <c r="Q86" s="1159">
        <f>+'New Waterfall'!F71</f>
        <v>0</v>
      </c>
      <c r="R86" s="1159">
        <f t="shared" ref="R86:R105" si="110">SUM(,AC86,AN86,AY86,BJ86,BU86,CF86)</f>
        <v>0</v>
      </c>
      <c r="S86" s="1159">
        <f t="shared" ref="S86:S105" si="111">SUM(,AD86,AO86,AZ86,BK86,BV86,CG86)</f>
        <v>0</v>
      </c>
      <c r="T86" s="1159">
        <f t="shared" ref="T86:T105" si="112">SUM(,AE86,AP86,BA86,BL86,BW86,CH86)</f>
        <v>0</v>
      </c>
      <c r="U86" s="1155"/>
      <c r="V86" s="1162">
        <f t="shared" ref="V86:V105" si="113">+Q86</f>
        <v>0</v>
      </c>
      <c r="W86" s="1162">
        <f>IF($G$8=0,0,MAX(0,(IF('New Waterfall'!$D$13=0,0,-XNPV('New Waterfall'!$D$13,R$8:$R38,$P$8:$P38))*(1+'New Waterfall'!$D$13)^(($P86-$P$8)/365))))</f>
        <v>4518630.5022205068</v>
      </c>
      <c r="X86" s="1162">
        <f>IF($G$9=0,0,MAX(0,(IF('New Waterfall'!$E$13=0,0,-XNPV('New Waterfall'!$E$13,S$8:$S38,$P$8:$P38))*(1+'New Waterfall'!$E$13)^(($P86-$P$8)/365))))</f>
        <v>502070.05580227851</v>
      </c>
      <c r="Y86" s="1162">
        <f>IF($G$10=0,0,MAX(0,(IF('New Waterfall'!$E$13=0,0,-XNPV('New Waterfall'!$E$13,$T$8:T38,$P$8:$P38))*(1+'New Waterfall'!$E$13)^(($P86-$P$8)/365))))</f>
        <v>0</v>
      </c>
      <c r="AA86" s="1155" t="s">
        <v>194</v>
      </c>
      <c r="AB86" s="1162">
        <f t="shared" ref="AB86:AB105" si="114">SUM(AC86:AE86,AF86)</f>
        <v>0</v>
      </c>
      <c r="AC86" s="1162">
        <f t="shared" ref="AC86:AC105" si="115">+IF(SUM($W86:$Y86,$AF86)&gt;$V86,W86/SUM($W86:$Y86)*($V86-$AF86),W86)</f>
        <v>0</v>
      </c>
      <c r="AD86" s="1162">
        <f t="shared" ref="AD86:AD105" si="116">+IF(SUM($W86:$Y86,$AF86)&gt;$V86,X86/SUM($W86:$Y86)*($V86-$AF86),X86)</f>
        <v>0</v>
      </c>
      <c r="AE86" s="1162">
        <f t="shared" ref="AE86:AE105" si="117">+IF(SUM($W86:$Y86,$AF86)&gt;$V86,Y86/SUM($W86:$Y86)*($V86-$AF86),Y86)</f>
        <v>0</v>
      </c>
      <c r="AF86" s="1167">
        <f>IF(SUM(W86:Y86)/(1-'New Waterfall'!$G$13)&lt;'New Waterfall'!Q86,SUM('New Waterfall'!W86:Y86)/(1-'New Waterfall'!$G$13),'New Waterfall'!Q86)*'New Waterfall'!$G$13</f>
        <v>0</v>
      </c>
      <c r="AG86" s="1162">
        <f t="shared" ref="AG86:AG105" si="118">+Q86-AB86</f>
        <v>0</v>
      </c>
      <c r="AH86" s="1162">
        <f>IF($G$8=0,0,MAX(0,(IF('New Waterfall'!$D$14=0,0,-XNPV('New Waterfall'!$D$14,$R$8:$R38,$P$8:$P38))*(1+'New Waterfall'!$D$14)^(($P86-$P$8)/365))-SUM(AC86)))</f>
        <v>4621579048.2253122</v>
      </c>
      <c r="AI86" s="1176">
        <f>IF($G$9=0,0,MAX(0,(IF('New Waterfall'!$E$14=0,0,-XNPV('New Waterfall'!$E$14,$S$8:$S38,$P$8:$P38))*(1+'New Waterfall'!$E$14)^(($P86-$P$8)/365))-SUM(AD86)))</f>
        <v>513508783.13614553</v>
      </c>
      <c r="AJ86" s="1176">
        <f>IF($G$10=0,0,MAX(0,(IF('New Waterfall'!$F$14=0,0,-XNPV('New Waterfall'!$F$14,$T$8:$T38,$P$8:$P38))*(1+'New Waterfall'!$F$14)^(($P86-$P$8)/365))-SUM(AE86)))</f>
        <v>0</v>
      </c>
      <c r="AL86" s="1155" t="s">
        <v>195</v>
      </c>
      <c r="AM86" s="1162">
        <f t="shared" ref="AM86:AM105" si="119">SUM(AN86:AP86,AQ86)</f>
        <v>0</v>
      </c>
      <c r="AN86" s="1162">
        <f t="shared" ref="AN86:AN105" si="120">+IF(SUM($AH86:$AJ86,$AQ86)&gt;$AG86,AH86/SUM($AH86:$AJ86)*($AG86-$AQ86),AH86)</f>
        <v>0</v>
      </c>
      <c r="AO86" s="1162">
        <f t="shared" ref="AO86:AO105" si="121">+IF(SUM($AH86:$AJ86,$AQ86)&gt;$AG86,AI86/SUM($AH86:$AJ86)*($AG86-$AQ86),AI86)</f>
        <v>0</v>
      </c>
      <c r="AP86" s="1162">
        <f t="shared" ref="AP86:AP105" si="122">+IF(SUM($AH86:$AJ86,$AQ86)&gt;$AG86,AJ86/SUM($AH86:$AJ86)*($AG86-$AQ86),AJ86)</f>
        <v>0</v>
      </c>
      <c r="AQ86" s="1167">
        <f>IF(SUM(AH86:AJ86)/(1-'New Waterfall'!$G$14)&lt;'New Waterfall'!AG86,SUM('New Waterfall'!AH86:AJ86)/(1-'New Waterfall'!$G$14),'New Waterfall'!AG86)*'New Waterfall'!$G$14</f>
        <v>0</v>
      </c>
      <c r="AR86" s="1162">
        <f t="shared" ref="AR86:AR105" si="123">+AG86-AM86</f>
        <v>0</v>
      </c>
      <c r="AS86" s="1162">
        <f>IF($G$8=0,0,MAX(0,(IF('New Waterfall'!$D$15=0,0,-XNPV('New Waterfall'!$D$15,$R$8:$R38,$P$8:$P38))*(1+'New Waterfall'!$D$15)^(($P86-$P$8)/365))-SUM(AN86,AC86)))</f>
        <v>0</v>
      </c>
      <c r="AT86" s="1176">
        <f>IF($G$9=0,0,MAX(0,(IF('New Waterfall'!$E$15=0,0,-XNPV('New Waterfall'!$E$15,$S$8:$S38,$P$8:$P38))*(1+'New Waterfall'!$E$15)^(($P86-$P$8)/365))-SUM(AO86,AD86)))</f>
        <v>0</v>
      </c>
      <c r="AU86" s="1176">
        <f>IF($G$10=0,0,MAX(0,(IF('New Waterfall'!$F$15=0,0,-XNPV('New Waterfall'!$F$15,$T$8:$T38,$P$8:$P38))*(1+'New Waterfall'!$F$15)^(($P86-$P$8)/365))-SUM(AP86,AE86)))</f>
        <v>0</v>
      </c>
      <c r="AW86" s="1155" t="s">
        <v>196</v>
      </c>
      <c r="AX86" s="1162">
        <f t="shared" ref="AX86:AX105" si="124">SUM(AY86:BA86,BB86)</f>
        <v>0</v>
      </c>
      <c r="AY86" s="1162">
        <f t="shared" ref="AY86:AY105" si="125">+IF(SUM($AS86:$AU86,$BB86)&gt;$AR86,AS86/SUM($AS86:$AU86)*($AR86-$BB86),AS86)</f>
        <v>0</v>
      </c>
      <c r="AZ86" s="1162">
        <f t="shared" ref="AZ86:AZ105" si="126">+IF(SUM($AS86:$AU86,$BB86)&gt;$AR86,AT86/SUM($AS86:$AU86)*($AR86-$BB86),AT86)</f>
        <v>0</v>
      </c>
      <c r="BA86" s="1162">
        <f t="shared" ref="BA86:BA105" si="127">+IF(SUM($AS86:$AU86,$BB86)&gt;$AR86,AU86/SUM($AS86:$AU86)*($AR86-$BB86),AU86)</f>
        <v>0</v>
      </c>
      <c r="BB86" s="1167">
        <f>IF(SUM(AS86:AU86)/(1-'New Waterfall'!$G$15)&lt;'New Waterfall'!AR86,SUM('New Waterfall'!AS86:AU86)/(1-'New Waterfall'!$G$15),'New Waterfall'!AR86)*'New Waterfall'!$G$15</f>
        <v>0</v>
      </c>
      <c r="BC86" s="1162">
        <f t="shared" ref="BC86:BC105" si="128">+AR86-AX86</f>
        <v>0</v>
      </c>
      <c r="BD86" s="1162">
        <f>IF($G$8=0,0,MAX(0,(IF('New Waterfall'!$D$16=0,0,-XNPV('New Waterfall'!$D$16,$R$8:$R38,$P$8:$P38))*(1+'New Waterfall'!$D$16)^(($P86-$P$8)/365))-SUM(AY86,AN86,AC86)))</f>
        <v>0</v>
      </c>
      <c r="BE86" s="1176">
        <f>IF($G$9=0,0,MAX(0,(IF('New Waterfall'!$E$16=0,0,-XNPV('New Waterfall'!$E$16,$S$8:$S38,$P$8:$P38))*(1+'New Waterfall'!$E$16)^(($P86-$P$8)/365))-SUM(AZ86,AO86,AD86)))</f>
        <v>0</v>
      </c>
      <c r="BF86" s="1176">
        <f>IF($G$10=0,0,MAX(0,(IF('New Waterfall'!$F$16=0,0,-XNPV('New Waterfall'!$F$16,$T$8:$T38,$P$8:$P38))*(1+'New Waterfall'!$F$16)^(($P86-$P$8)/365))-SUM(BA86,AP86,AE86)))</f>
        <v>0</v>
      </c>
      <c r="BH86" s="1155" t="s">
        <v>450</v>
      </c>
      <c r="BI86" s="1162">
        <f t="shared" ref="BI86:BI105" si="129">SUM(BJ86:BL86,BM86)</f>
        <v>0</v>
      </c>
      <c r="BJ86" s="1162">
        <f t="shared" ref="BJ86:BJ105" si="130">+IF(SUM($BD86:$BF86,$BM86)&gt;$BC86,BD86/SUM($BD86:$BF86)*($BC86-$BM86),BD86)</f>
        <v>0</v>
      </c>
      <c r="BK86" s="1162">
        <f t="shared" ref="BK86:BK105" si="131">+IF(SUM($BD86:$BF86,$BM86)&gt;$BC86,BE86/SUM($BD86:$BF86)*($BC86-$BM86),BE86)</f>
        <v>0</v>
      </c>
      <c r="BL86" s="1162">
        <f t="shared" ref="BL86:BL105" si="132">+IF(SUM($BD86:$BF86,$BM86)&gt;$BC86,BF86/SUM($BD86:$BF86)*($BC86-$BM86),BF86)</f>
        <v>0</v>
      </c>
      <c r="BM86" s="1167">
        <f>IF(SUM(BD86:BF86)/(1-'New Waterfall'!$G$16)&lt;'New Waterfall'!BC86,SUM('New Waterfall'!BD86:BF86)/(1-'New Waterfall'!$G$16),'New Waterfall'!BC86)*'New Waterfall'!$G$16</f>
        <v>0</v>
      </c>
      <c r="BN86" s="1162">
        <f t="shared" ref="BN86:BN105" si="133">+BC86-BI86</f>
        <v>0</v>
      </c>
      <c r="BO86" s="1162">
        <f>IF($G$8=0,0,MAX(0,(IF('New Waterfall'!$D$17=0,0,-XNPV('New Waterfall'!$D$17,$R$8:$R38,$P$8:$P38))*(1+'New Waterfall'!$D$17)^(($P86-$P$8)/365))-SUM(BJ86,AY86,AN86,AC86)))</f>
        <v>0</v>
      </c>
      <c r="BP86" s="1162">
        <f>IF($G$9=0,0,MAX(0,(IF('New Waterfall'!$E$17=0,0,-XNPV('New Waterfall'!$E$17,$S$8:$S38,$P$8:$P38))*(1+'New Waterfall'!$E$17)^(($P86-$P$8)/365))-SUM(BK86,AZ86,AO86,AD86)))</f>
        <v>0</v>
      </c>
      <c r="BQ86" s="1162">
        <f>IF($G$10=0,0,MAX(0,(IF('New Waterfall'!$F$17=0,0,-XNPV('New Waterfall'!$F$17,$T$8:$T38,$P$8:$P38))*(1+'New Waterfall'!$F$17)^(($P86-$P$8)/365))-SUM(BL86,BA86,AP86,AE86)))</f>
        <v>0</v>
      </c>
      <c r="BS86" s="1155" t="s">
        <v>451</v>
      </c>
      <c r="BT86" s="1162">
        <f t="shared" ref="BT86:BT105" si="134">SUM(BU86:BW86,BX86)</f>
        <v>0</v>
      </c>
      <c r="BU86" s="1162">
        <f t="shared" ref="BU86:BU105" si="135">+IF(SUM($BO86:$BQ86,$BX86)&gt;$BN86,BO86/SUM($BO86:$BQ86)*($BN86-$BX86),BO86)</f>
        <v>0</v>
      </c>
      <c r="BV86" s="1162">
        <f t="shared" ref="BV86:BV105" si="136">+IF(SUM($BO86:$BQ86,$BX86)&gt;$BN86,BP86/SUM($BO86:$BQ86)*($BN86-$BX86),BP86)</f>
        <v>0</v>
      </c>
      <c r="BW86" s="1162">
        <f t="shared" ref="BW86:BW105" si="137">+IF(SUM($BO86:$BQ86,$BX86)&gt;$BN86,BQ86/SUM($BO86:$BQ86)*($BN86-$BX86),BQ86)</f>
        <v>0</v>
      </c>
      <c r="BX86" s="1167">
        <f>IF(SUM(BO86:BQ86)/(1-'New Waterfall'!$G$17)&lt;'New Waterfall'!BN86,SUM('New Waterfall'!BO86:BQ86)/(1-'New Waterfall'!$G$17),'New Waterfall'!BN86)*'New Waterfall'!$G$17</f>
        <v>0</v>
      </c>
      <c r="BY86" s="1162">
        <f t="shared" ref="BY86:BY105" si="138">+BN86-BT86</f>
        <v>0</v>
      </c>
      <c r="BZ86" s="1162">
        <f>IF($G$8=0,0,MAX(0,(IF('New Waterfall'!$D$18=0,0,-XNPV('New Waterfall'!$D$18,$R$8:$R38,$P$8:$P38))*(1+'New Waterfall'!$D$18)^(($P86-$P$8)/365))-SUM(BU86,BJ86,AY86,AN86,AC86)))</f>
        <v>0</v>
      </c>
      <c r="CA86" s="1162">
        <f>IF($G$9=0,0,MAX(0,(IF('New Waterfall'!$E$18=0,0,-XNPV('New Waterfall'!$E$18,$S$8:$S38,$P$8:$P38))*(1+'New Waterfall'!$E$18)^(($P86-$P$8)/365))-SUM(BV86,BK86,AZ86,AO86,AD86)))</f>
        <v>0</v>
      </c>
      <c r="CB86" s="1162">
        <f>IF($G$10=0,0,MAX(0,(IF('New Waterfall'!$F$18=0,0,-XNPV('New Waterfall'!$F$18,$T$8:$T38,$P$8:$P38))*(1+'New Waterfall'!$F$18)^(($P86-$P$8)/365))-SUM(BW86,BL86,BA86,AP86,AE86)))</f>
        <v>0</v>
      </c>
      <c r="CD86" s="1155" t="s">
        <v>452</v>
      </c>
      <c r="CE86" s="1162">
        <f t="shared" ref="CE86:CE105" si="139">SUM(CF86:CH86,CI86)</f>
        <v>0</v>
      </c>
      <c r="CF86" s="1162">
        <f t="shared" ref="CF86:CF105" si="140">+IF(SUM($BZ86:$CB86,$CI86)&gt;$BY86,BZ86/SUM($BZ86:$CB86)*($BY86-$CI86),BZ86)</f>
        <v>0</v>
      </c>
      <c r="CG86" s="1162">
        <f t="shared" ref="CG86:CG105" si="141">+IF(SUM($BZ86:$CB86,$CI86)&gt;$BY86,CA86/SUM($BZ86:$CB86)*($BY86-$CI86),CA86)</f>
        <v>0</v>
      </c>
      <c r="CH86" s="1162">
        <f t="shared" ref="CH86:CH105" si="142">+IF(SUM($BZ86:$CB86,$CI86)&gt;$BY86,CB86/SUM($BZ86:$CB86)*($BY86-$CI86),CB86)</f>
        <v>0</v>
      </c>
      <c r="CI86" s="1167">
        <f>BY86*'New Waterfall'!$G$18</f>
        <v>0</v>
      </c>
      <c r="CN86" s="1171">
        <f t="shared" ref="CN86:CN105" si="143">CI86+BX86+BM86+BB86+AQ86+AF86</f>
        <v>0</v>
      </c>
      <c r="CO86" s="1170">
        <f t="shared" ref="CO86:CO105" si="144">$CN86*D$23</f>
        <v>0</v>
      </c>
      <c r="CP86" s="1170">
        <f t="shared" ref="CP86:CP105" si="145">$CN86*E$23</f>
        <v>0</v>
      </c>
      <c r="CQ86" s="1170">
        <f t="shared" ref="CQ86:CQ105" si="146">$CN86*F$23</f>
        <v>0</v>
      </c>
    </row>
    <row r="87" spans="3:95" outlineLevel="1">
      <c r="C87" s="1155" t="s">
        <v>5065</v>
      </c>
      <c r="D87" s="1267">
        <f t="shared" si="108"/>
        <v>48029</v>
      </c>
      <c r="E87" s="1268" cm="1">
        <f t="array" ref="E87">SUMPRODUCT(--(D87=reserves!$D$6:$D$66),(reserves!$AJ$6:$AJ$66))</f>
        <v>0</v>
      </c>
      <c r="F87" s="1266">
        <f t="shared" si="107"/>
        <v>0</v>
      </c>
      <c r="I87" s="1165"/>
      <c r="J87" s="1195"/>
      <c r="K87" s="391"/>
      <c r="L87" s="391"/>
      <c r="M87" s="391"/>
      <c r="O87" s="1169">
        <v>2</v>
      </c>
      <c r="P87" s="1168">
        <f t="shared" si="109"/>
        <v>47573</v>
      </c>
      <c r="Q87" s="1159">
        <f>+'New Waterfall'!F72</f>
        <v>6057154.6853056094</v>
      </c>
      <c r="R87" s="1159">
        <f t="shared" si="110"/>
        <v>4555356.6151069636</v>
      </c>
      <c r="S87" s="1159">
        <f t="shared" si="111"/>
        <v>506150.73501188483</v>
      </c>
      <c r="T87" s="1159">
        <f t="shared" si="112"/>
        <v>0</v>
      </c>
      <c r="U87" s="1155"/>
      <c r="V87" s="1162">
        <f t="shared" si="113"/>
        <v>6057154.6853056094</v>
      </c>
      <c r="W87" s="1162">
        <f>IF($G$8=0,0,MAX(0,(IF('New Waterfall'!$D$13=0,0,-XNPV('New Waterfall'!$D$13,R$8:$R39,$P$8:$P39))*(1+'New Waterfall'!$D$13)^(($P87-$P$8)/365))))</f>
        <v>4555356.5254986947</v>
      </c>
      <c r="X87" s="1162">
        <f>IF($G$9=0,0,MAX(0,(IF('New Waterfall'!$E$13=0,0,-XNPV('New Waterfall'!$E$13,S$8:$S39,$P$8:$P39))*(1+'New Waterfall'!$E$13)^(($P87-$P$8)/365))))</f>
        <v>506150.72505541047</v>
      </c>
      <c r="Y87" s="1162">
        <f>IF($G$10=0,0,MAX(0,(IF('New Waterfall'!$E$13=0,0,-XNPV('New Waterfall'!$E$13,$T$8:T39,$P$8:$P39))*(1+'New Waterfall'!$E$13)^(($P87-$P$8)/365))))</f>
        <v>0</v>
      </c>
      <c r="AA87" s="1155" t="s">
        <v>194</v>
      </c>
      <c r="AB87" s="1162">
        <f t="shared" si="114"/>
        <v>5061507.2505541053</v>
      </c>
      <c r="AC87" s="1162">
        <f t="shared" si="115"/>
        <v>4555356.5254986947</v>
      </c>
      <c r="AD87" s="1162">
        <f t="shared" si="116"/>
        <v>506150.72505541047</v>
      </c>
      <c r="AE87" s="1162">
        <f t="shared" si="117"/>
        <v>0</v>
      </c>
      <c r="AF87" s="1167">
        <f>IF(SUM(W87:Y87)/(1-'New Waterfall'!$G$13)&lt;'New Waterfall'!Q87,SUM('New Waterfall'!W87:Y87)/(1-'New Waterfall'!$G$13),'New Waterfall'!Q87)*'New Waterfall'!$G$13</f>
        <v>0</v>
      </c>
      <c r="AG87" s="1162">
        <f t="shared" si="118"/>
        <v>995647.4347515041</v>
      </c>
      <c r="AH87" s="1162">
        <f>IF($G$8=0,0,MAX(0,(IF('New Waterfall'!$D$14=0,0,-XNPV('New Waterfall'!$D$14,$R$8:$R39,$P$8:$P39))*(1+'New Waterfall'!$D$14)^(($P87-$P$8)/365))-SUM(AC87)))</f>
        <v>5660934099.8507481</v>
      </c>
      <c r="AI87" s="1162">
        <f>IF($G$9=0,0,MAX(0,(IF('New Waterfall'!$E$14=0,0,-XNPV('New Waterfall'!$E$14,$S$8:$S39,$P$8:$P39))*(1+'New Waterfall'!$E$14)^(($P87-$P$8)/365))-SUM(AD87)))</f>
        <v>628992677.76119387</v>
      </c>
      <c r="AJ87" s="1162">
        <f>IF($G$10=0,0,MAX(0,(IF('New Waterfall'!$F$14=0,0,-XNPV('New Waterfall'!$F$14,$T$8:$T39,$P$8:$P39))*(1+'New Waterfall'!$F$14)^(($P87-$P$8)/365))-SUM(AE87)))</f>
        <v>0</v>
      </c>
      <c r="AL87" s="1155" t="s">
        <v>195</v>
      </c>
      <c r="AM87" s="1162">
        <f t="shared" si="119"/>
        <v>995647.4347515041</v>
      </c>
      <c r="AN87" s="1162">
        <f t="shared" si="120"/>
        <v>8.9608269114978614E-2</v>
      </c>
      <c r="AO87" s="1162">
        <f t="shared" si="121"/>
        <v>9.9564743461087301E-3</v>
      </c>
      <c r="AP87" s="1162">
        <f t="shared" si="122"/>
        <v>0</v>
      </c>
      <c r="AQ87" s="1167">
        <f>IF(SUM(AH87:AJ87)/(1-'New Waterfall'!$G$14)&lt;'New Waterfall'!AG87,SUM('New Waterfall'!AH87:AJ87)/(1-'New Waterfall'!$G$14),'New Waterfall'!AG87)*'New Waterfall'!$G$14</f>
        <v>995647.33518676064</v>
      </c>
      <c r="AR87" s="1162">
        <f t="shared" si="123"/>
        <v>0</v>
      </c>
      <c r="AS87" s="1162">
        <f>IF($G$8=0,0,MAX(0,(IF('New Waterfall'!$D$15=0,0,-XNPV('New Waterfall'!$D$15,$R$8:$R39,$P$8:$P39))*(1+'New Waterfall'!$D$15)^(($P87-$P$8)/365))-SUM(AN87,AC87)))</f>
        <v>0</v>
      </c>
      <c r="AT87" s="1162">
        <f>IF($G$9=0,0,MAX(0,(IF('New Waterfall'!$E$15=0,0,-XNPV('New Waterfall'!$E$15,$S$8:$S39,$P$8:$P39))*(1+'New Waterfall'!$E$15)^(($P87-$P$8)/365))-SUM(AO87,AD87)))</f>
        <v>0</v>
      </c>
      <c r="AU87" s="1162">
        <f>IF($G$10=0,0,MAX(0,(IF('New Waterfall'!$F$15=0,0,-XNPV('New Waterfall'!$F$15,$T$8:$T39,$P$8:$P39))*(1+'New Waterfall'!$F$15)^(($P87-$P$8)/365))-SUM(AP87,AE87)))</f>
        <v>0</v>
      </c>
      <c r="AW87" s="1155" t="s">
        <v>196</v>
      </c>
      <c r="AX87" s="1162">
        <f t="shared" si="124"/>
        <v>0</v>
      </c>
      <c r="AY87" s="1162">
        <f t="shared" si="125"/>
        <v>0</v>
      </c>
      <c r="AZ87" s="1162">
        <f t="shared" si="126"/>
        <v>0</v>
      </c>
      <c r="BA87" s="1162">
        <f t="shared" si="127"/>
        <v>0</v>
      </c>
      <c r="BB87" s="1167">
        <f>IF(SUM(AS87:AU87)/(1-'New Waterfall'!$G$15)&lt;'New Waterfall'!AR87,SUM('New Waterfall'!AS87:AU87)/(1-'New Waterfall'!$G$15),'New Waterfall'!AR87)*'New Waterfall'!$G$15</f>
        <v>0</v>
      </c>
      <c r="BC87" s="1162">
        <f t="shared" si="128"/>
        <v>0</v>
      </c>
      <c r="BD87" s="1162">
        <f>IF($G$8=0,0,MAX(0,(IF('New Waterfall'!$D$16=0,0,-XNPV('New Waterfall'!$D$16,$R$8:$R39,$P$8:$P39))*(1+'New Waterfall'!$D$16)^(($P87-$P$8)/365))-SUM(AY87,AN87,AC87)))</f>
        <v>0</v>
      </c>
      <c r="BE87" s="1162">
        <f>IF($G$9=0,0,MAX(0,(IF('New Waterfall'!$E$16=0,0,-XNPV('New Waterfall'!$E$16,$S$8:$S39,$P$8:$P39))*(1+'New Waterfall'!$E$16)^(($P87-$P$8)/365))-SUM(AZ87,AO87,AD87)))</f>
        <v>0</v>
      </c>
      <c r="BF87" s="1162">
        <f>IF($G$10=0,0,MAX(0,(IF('New Waterfall'!$F$16=0,0,-XNPV('New Waterfall'!$F$16,$T$8:$T39,$P$8:$P39))*(1+'New Waterfall'!$F$16)^(($P87-$P$8)/365))-SUM(BA87,AP87,AE87)))</f>
        <v>0</v>
      </c>
      <c r="BH87" s="1155" t="s">
        <v>450</v>
      </c>
      <c r="BI87" s="1162">
        <f t="shared" si="129"/>
        <v>0</v>
      </c>
      <c r="BJ87" s="1162">
        <f t="shared" si="130"/>
        <v>0</v>
      </c>
      <c r="BK87" s="1162">
        <f t="shared" si="131"/>
        <v>0</v>
      </c>
      <c r="BL87" s="1162">
        <f t="shared" si="132"/>
        <v>0</v>
      </c>
      <c r="BM87" s="1167">
        <f>IF(SUM(BD87:BF87)/(1-'New Waterfall'!$G$16)&lt;'New Waterfall'!BC87,SUM('New Waterfall'!BD87:BF87)/(1-'New Waterfall'!$G$16),'New Waterfall'!BC87)*'New Waterfall'!$G$16</f>
        <v>0</v>
      </c>
      <c r="BN87" s="1162">
        <f t="shared" si="133"/>
        <v>0</v>
      </c>
      <c r="BO87" s="1162">
        <f>IF($G$8=0,0,MAX(0,(IF('New Waterfall'!$D$17=0,0,-XNPV('New Waterfall'!$D$17,$R$8:$R39,$P$8:$P39))*(1+'New Waterfall'!$D$17)^(($P87-$P$8)/365))-SUM(BJ87,AY87,AN87,AC87)))</f>
        <v>0</v>
      </c>
      <c r="BP87" s="1162">
        <f>IF($G$9=0,0,MAX(0,(IF('New Waterfall'!$E$17=0,0,-XNPV('New Waterfall'!$E$17,$S$8:$S39,$P$8:$P39))*(1+'New Waterfall'!$E$17)^(($P87-$P$8)/365))-SUM(BK87,AZ87,AO87,AD87)))</f>
        <v>0</v>
      </c>
      <c r="BQ87" s="1162">
        <f>IF($G$10=0,0,MAX(0,(IF('New Waterfall'!$F$17=0,0,-XNPV('New Waterfall'!$F$17,$T$8:$T39,$P$8:$P39))*(1+'New Waterfall'!$F$17)^(($P87-$P$8)/365))-SUM(BL87,BA87,AP87,AE87)))</f>
        <v>0</v>
      </c>
      <c r="BS87" s="1155" t="s">
        <v>451</v>
      </c>
      <c r="BT87" s="1162">
        <f t="shared" si="134"/>
        <v>0</v>
      </c>
      <c r="BU87" s="1162">
        <f t="shared" si="135"/>
        <v>0</v>
      </c>
      <c r="BV87" s="1162">
        <f t="shared" si="136"/>
        <v>0</v>
      </c>
      <c r="BW87" s="1162">
        <f t="shared" si="137"/>
        <v>0</v>
      </c>
      <c r="BX87" s="1167">
        <f>IF(SUM(BO87:BQ87)/(1-'New Waterfall'!$G$17)&lt;'New Waterfall'!BN87,SUM('New Waterfall'!BO87:BQ87)/(1-'New Waterfall'!$G$17),'New Waterfall'!BN87)*'New Waterfall'!$G$17</f>
        <v>0</v>
      </c>
      <c r="BY87" s="1162">
        <f t="shared" si="138"/>
        <v>0</v>
      </c>
      <c r="BZ87" s="1162">
        <f>IF($G$8=0,0,MAX(0,(IF('New Waterfall'!$D$18=0,0,-XNPV('New Waterfall'!$D$18,$R$8:$R39,$P$8:$P39))*(1+'New Waterfall'!$D$18)^(($P87-$P$8)/365))-SUM(BU87,BJ87,AY87,AN87,AC87)))</f>
        <v>0</v>
      </c>
      <c r="CA87" s="1162">
        <f>IF($G$9=0,0,MAX(0,(IF('New Waterfall'!$E$18=0,0,-XNPV('New Waterfall'!$E$18,$S$8:$S39,$P$8:$P39))*(1+'New Waterfall'!$E$18)^(($P87-$P$8)/365))-SUM(BV87,BK87,AZ87,AO87,AD87)))</f>
        <v>0</v>
      </c>
      <c r="CB87" s="1162">
        <f>IF($G$10=0,0,MAX(0,(IF('New Waterfall'!$F$18=0,0,-XNPV('New Waterfall'!$F$18,$T$8:$T39,$P$8:$P39))*(1+'New Waterfall'!$F$18)^(($P87-$P$8)/365))-SUM(BW87,BL87,BA87,AP87,AE87)))</f>
        <v>0</v>
      </c>
      <c r="CD87" s="1155" t="s">
        <v>452</v>
      </c>
      <c r="CE87" s="1162">
        <f t="shared" si="139"/>
        <v>0</v>
      </c>
      <c r="CF87" s="1162">
        <f t="shared" si="140"/>
        <v>0</v>
      </c>
      <c r="CG87" s="1162">
        <f t="shared" si="141"/>
        <v>0</v>
      </c>
      <c r="CH87" s="1162">
        <f t="shared" si="142"/>
        <v>0</v>
      </c>
      <c r="CI87" s="1167">
        <f>BY87*'New Waterfall'!$G$18</f>
        <v>0</v>
      </c>
      <c r="CN87" s="1171">
        <f t="shared" si="143"/>
        <v>995647.33518676064</v>
      </c>
      <c r="CO87" s="1170">
        <f t="shared" si="144"/>
        <v>0</v>
      </c>
      <c r="CP87" s="1170">
        <f t="shared" si="145"/>
        <v>995647.33518676064</v>
      </c>
      <c r="CQ87" s="1170">
        <f t="shared" si="146"/>
        <v>0</v>
      </c>
    </row>
    <row r="88" spans="3:95" outlineLevel="1">
      <c r="C88" s="1155" t="s">
        <v>5063</v>
      </c>
      <c r="D88" s="1267">
        <f t="shared" si="108"/>
        <v>48060</v>
      </c>
      <c r="E88" s="1268" cm="1">
        <f t="array" ref="E88">SUMPRODUCT(--(D88=reserves!$D$6:$D$66),(reserves!$AJ$6:$AJ$66))</f>
        <v>0</v>
      </c>
      <c r="F88" s="1266">
        <f t="shared" si="107"/>
        <v>0</v>
      </c>
      <c r="I88" s="1165"/>
      <c r="J88" s="1195"/>
      <c r="K88" s="391"/>
      <c r="L88" s="391"/>
      <c r="M88" s="391"/>
      <c r="O88" s="1169">
        <v>3</v>
      </c>
      <c r="P88" s="1168">
        <f t="shared" si="109"/>
        <v>47603</v>
      </c>
      <c r="Q88" s="1159">
        <f>+'New Waterfall'!F73</f>
        <v>4179840.7333333339</v>
      </c>
      <c r="R88" s="1159">
        <f t="shared" si="110"/>
        <v>0.37618566574528817</v>
      </c>
      <c r="S88" s="1159">
        <f t="shared" si="111"/>
        <v>4.1798407305032002E-2</v>
      </c>
      <c r="T88" s="1159">
        <f t="shared" si="112"/>
        <v>0</v>
      </c>
      <c r="U88" s="1155"/>
      <c r="V88" s="1162">
        <f t="shared" si="113"/>
        <v>4179840.7333333339</v>
      </c>
      <c r="W88" s="1162">
        <f>IF($G$8=0,0,MAX(0,(IF('New Waterfall'!$D$13=0,0,-XNPV('New Waterfall'!$D$13,R$8:$R40,$P$8:$P40))*(1+'New Waterfall'!$D$13)^(($P88-$P$8)/365))))</f>
        <v>0</v>
      </c>
      <c r="X88" s="1162">
        <f>IF($G$9=0,0,MAX(0,(IF('New Waterfall'!$E$13=0,0,-XNPV('New Waterfall'!$E$13,S$8:$S40,$P$8:$P40))*(1+'New Waterfall'!$E$13)^(($P88-$P$8)/365))))</f>
        <v>0</v>
      </c>
      <c r="Y88" s="1162">
        <f>IF($G$10=0,0,MAX(0,(IF('New Waterfall'!$E$13=0,0,-XNPV('New Waterfall'!$E$13,$T$8:T40,$P$8:$P40))*(1+'New Waterfall'!$E$13)^(($P88-$P$8)/365))))</f>
        <v>0</v>
      </c>
      <c r="AA88" s="1155" t="s">
        <v>194</v>
      </c>
      <c r="AB88" s="1162">
        <f t="shared" si="114"/>
        <v>0</v>
      </c>
      <c r="AC88" s="1162">
        <f t="shared" si="115"/>
        <v>0</v>
      </c>
      <c r="AD88" s="1162">
        <f t="shared" si="116"/>
        <v>0</v>
      </c>
      <c r="AE88" s="1162">
        <f t="shared" si="117"/>
        <v>0</v>
      </c>
      <c r="AF88" s="1167">
        <f>IF(SUM(W88:Y88)/(1-'New Waterfall'!$G$13)&lt;'New Waterfall'!Q88,SUM('New Waterfall'!W88:Y88)/(1-'New Waterfall'!$G$13),'New Waterfall'!Q88)*'New Waterfall'!$G$13</f>
        <v>0</v>
      </c>
      <c r="AG88" s="1162">
        <f t="shared" si="118"/>
        <v>4179840.7333333339</v>
      </c>
      <c r="AH88" s="1162">
        <f>IF($G$8=0,0,MAX(0,(IF('New Waterfall'!$D$14=0,0,-XNPV('New Waterfall'!$D$14,$R$8:$R40,$P$8:$P40))*(1+'New Waterfall'!$D$14)^(($P88-$P$8)/365))-SUM(AC88)))</f>
        <v>6894170480.3374748</v>
      </c>
      <c r="AI88" s="1162">
        <f>IF($G$9=0,0,MAX(0,(IF('New Waterfall'!$E$14=0,0,-XNPV('New Waterfall'!$E$14,$S$8:$S40,$P$8:$P40))*(1+'New Waterfall'!$E$14)^(($P88-$P$8)/365))-SUM(AD88)))</f>
        <v>766018942.25971913</v>
      </c>
      <c r="AJ88" s="1162">
        <f>IF($G$10=0,0,MAX(0,(IF('New Waterfall'!$F$14=0,0,-XNPV('New Waterfall'!$F$14,$T$8:$T40,$P$8:$P40))*(1+'New Waterfall'!$F$14)^(($P88-$P$8)/365))-SUM(AE88)))</f>
        <v>0</v>
      </c>
      <c r="AL88" s="1155" t="s">
        <v>195</v>
      </c>
      <c r="AM88" s="1162">
        <f t="shared" si="119"/>
        <v>4179840.7333333339</v>
      </c>
      <c r="AN88" s="1162">
        <f t="shared" si="120"/>
        <v>0.37618566574528817</v>
      </c>
      <c r="AO88" s="1162">
        <f t="shared" si="121"/>
        <v>4.1798407305032002E-2</v>
      </c>
      <c r="AP88" s="1162">
        <f t="shared" si="122"/>
        <v>0</v>
      </c>
      <c r="AQ88" s="1167">
        <f>IF(SUM(AH88:AJ88)/(1-'New Waterfall'!$G$14)&lt;'New Waterfall'!AG88,SUM('New Waterfall'!AH88:AJ88)/(1-'New Waterfall'!$G$14),'New Waterfall'!AG88)*'New Waterfall'!$G$14</f>
        <v>4179840.3153492608</v>
      </c>
      <c r="AR88" s="1162">
        <f t="shared" si="123"/>
        <v>0</v>
      </c>
      <c r="AS88" s="1162">
        <f>IF($G$8=0,0,MAX(0,(IF('New Waterfall'!$D$15=0,0,-XNPV('New Waterfall'!$D$15,$R$8:$R40,$P$8:$P40))*(1+'New Waterfall'!$D$15)^(($P88-$P$8)/365))-SUM(AN88,AC88)))</f>
        <v>0</v>
      </c>
      <c r="AT88" s="1162">
        <f>IF($G$9=0,0,MAX(0,(IF('New Waterfall'!$E$15=0,0,-XNPV('New Waterfall'!$E$15,$S$8:$S40,$P$8:$P40))*(1+'New Waterfall'!$E$15)^(($P88-$P$8)/365))-SUM(AO88,AD88)))</f>
        <v>0</v>
      </c>
      <c r="AU88" s="1162">
        <f>IF($G$10=0,0,MAX(0,(IF('New Waterfall'!$F$15=0,0,-XNPV('New Waterfall'!$F$15,$T$8:$T40,$P$8:$P40))*(1+'New Waterfall'!$F$15)^(($P88-$P$8)/365))-SUM(AP88,AE88)))</f>
        <v>0</v>
      </c>
      <c r="AW88" s="1155" t="s">
        <v>196</v>
      </c>
      <c r="AX88" s="1162">
        <f t="shared" si="124"/>
        <v>0</v>
      </c>
      <c r="AY88" s="1162">
        <f t="shared" si="125"/>
        <v>0</v>
      </c>
      <c r="AZ88" s="1162">
        <f t="shared" si="126"/>
        <v>0</v>
      </c>
      <c r="BA88" s="1162">
        <f t="shared" si="127"/>
        <v>0</v>
      </c>
      <c r="BB88" s="1167">
        <f>IF(SUM(AS88:AU88)/(1-'New Waterfall'!$G$15)&lt;'New Waterfall'!AR88,SUM('New Waterfall'!AS88:AU88)/(1-'New Waterfall'!$G$15),'New Waterfall'!AR88)*'New Waterfall'!$G$15</f>
        <v>0</v>
      </c>
      <c r="BC88" s="1162">
        <f t="shared" si="128"/>
        <v>0</v>
      </c>
      <c r="BD88" s="1162">
        <f>IF($G$8=0,0,MAX(0,(IF('New Waterfall'!$D$16=0,0,-XNPV('New Waterfall'!$D$16,$R$8:$R40,$P$8:$P40))*(1+'New Waterfall'!$D$16)^(($P88-$P$8)/365))-SUM(AY88,AN88,AC88)))</f>
        <v>0</v>
      </c>
      <c r="BE88" s="1162">
        <f>IF($G$9=0,0,MAX(0,(IF('New Waterfall'!$E$16=0,0,-XNPV('New Waterfall'!$E$16,$S$8:$S40,$P$8:$P40))*(1+'New Waterfall'!$E$16)^(($P88-$P$8)/365))-SUM(AZ88,AO88,AD88)))</f>
        <v>0</v>
      </c>
      <c r="BF88" s="1162">
        <f>IF($G$10=0,0,MAX(0,(IF('New Waterfall'!$F$16=0,0,-XNPV('New Waterfall'!$F$16,$T$8:$T40,$P$8:$P40))*(1+'New Waterfall'!$F$16)^(($P88-$P$8)/365))-SUM(BA88,AP88,AE88)))</f>
        <v>0</v>
      </c>
      <c r="BH88" s="1155" t="s">
        <v>450</v>
      </c>
      <c r="BI88" s="1162">
        <f t="shared" si="129"/>
        <v>0</v>
      </c>
      <c r="BJ88" s="1162">
        <f t="shared" si="130"/>
        <v>0</v>
      </c>
      <c r="BK88" s="1162">
        <f t="shared" si="131"/>
        <v>0</v>
      </c>
      <c r="BL88" s="1162">
        <f t="shared" si="132"/>
        <v>0</v>
      </c>
      <c r="BM88" s="1167">
        <f>IF(SUM(BD88:BF88)/(1-'New Waterfall'!$G$16)&lt;'New Waterfall'!BC88,SUM('New Waterfall'!BD88:BF88)/(1-'New Waterfall'!$G$16),'New Waterfall'!BC88)*'New Waterfall'!$G$16</f>
        <v>0</v>
      </c>
      <c r="BN88" s="1162">
        <f t="shared" si="133"/>
        <v>0</v>
      </c>
      <c r="BO88" s="1162">
        <f>IF($G$8=0,0,MAX(0,(IF('New Waterfall'!$D$17=0,0,-XNPV('New Waterfall'!$D$17,$R$8:$R40,$P$8:$P40))*(1+'New Waterfall'!$D$17)^(($P88-$P$8)/365))-SUM(BJ88,AY88,AN88,AC88)))</f>
        <v>0</v>
      </c>
      <c r="BP88" s="1162">
        <f>IF($G$9=0,0,MAX(0,(IF('New Waterfall'!$E$17=0,0,-XNPV('New Waterfall'!$E$17,$S$8:$S40,$P$8:$P40))*(1+'New Waterfall'!$E$17)^(($P88-$P$8)/365))-SUM(BK88,AZ88,AO88,AD88)))</f>
        <v>0</v>
      </c>
      <c r="BQ88" s="1162">
        <f>IF($G$10=0,0,MAX(0,(IF('New Waterfall'!$F$17=0,0,-XNPV('New Waterfall'!$F$17,$T$8:$T40,$P$8:$P40))*(1+'New Waterfall'!$F$17)^(($P88-$P$8)/365))-SUM(BL88,BA88,AP88,AE88)))</f>
        <v>0</v>
      </c>
      <c r="BS88" s="1155" t="s">
        <v>451</v>
      </c>
      <c r="BT88" s="1162">
        <f t="shared" si="134"/>
        <v>0</v>
      </c>
      <c r="BU88" s="1162">
        <f t="shared" si="135"/>
        <v>0</v>
      </c>
      <c r="BV88" s="1162">
        <f t="shared" si="136"/>
        <v>0</v>
      </c>
      <c r="BW88" s="1162">
        <f t="shared" si="137"/>
        <v>0</v>
      </c>
      <c r="BX88" s="1167">
        <f>IF(SUM(BO88:BQ88)/(1-'New Waterfall'!$G$17)&lt;'New Waterfall'!BN88,SUM('New Waterfall'!BO88:BQ88)/(1-'New Waterfall'!$G$17),'New Waterfall'!BN88)*'New Waterfall'!$G$17</f>
        <v>0</v>
      </c>
      <c r="BY88" s="1162">
        <f t="shared" si="138"/>
        <v>0</v>
      </c>
      <c r="BZ88" s="1162">
        <f>IF($G$8=0,0,MAX(0,(IF('New Waterfall'!$D$18=0,0,-XNPV('New Waterfall'!$D$18,$R$8:$R40,$P$8:$P40))*(1+'New Waterfall'!$D$18)^(($P88-$P$8)/365))-SUM(BU88,BJ88,AY88,AN88,AC88)))</f>
        <v>0</v>
      </c>
      <c r="CA88" s="1162">
        <f>IF($G$9=0,0,MAX(0,(IF('New Waterfall'!$E$18=0,0,-XNPV('New Waterfall'!$E$18,$S$8:$S40,$P$8:$P40))*(1+'New Waterfall'!$E$18)^(($P88-$P$8)/365))-SUM(BV88,BK88,AZ88,AO88,AD88)))</f>
        <v>0</v>
      </c>
      <c r="CB88" s="1162">
        <f>IF($G$10=0,0,MAX(0,(IF('New Waterfall'!$F$18=0,0,-XNPV('New Waterfall'!$F$18,$T$8:$T40,$P$8:$P40))*(1+'New Waterfall'!$F$18)^(($P88-$P$8)/365))-SUM(BW88,BL88,BA88,AP88,AE88)))</f>
        <v>0</v>
      </c>
      <c r="CD88" s="1155" t="s">
        <v>452</v>
      </c>
      <c r="CE88" s="1162">
        <f t="shared" si="139"/>
        <v>0</v>
      </c>
      <c r="CF88" s="1162">
        <f t="shared" si="140"/>
        <v>0</v>
      </c>
      <c r="CG88" s="1162">
        <f t="shared" si="141"/>
        <v>0</v>
      </c>
      <c r="CH88" s="1162">
        <f t="shared" si="142"/>
        <v>0</v>
      </c>
      <c r="CI88" s="1167">
        <f>BY88*'New Waterfall'!$G$18</f>
        <v>0</v>
      </c>
      <c r="CN88" s="1171">
        <f t="shared" si="143"/>
        <v>4179840.3153492608</v>
      </c>
      <c r="CO88" s="1170">
        <f t="shared" si="144"/>
        <v>0</v>
      </c>
      <c r="CP88" s="1170">
        <f t="shared" si="145"/>
        <v>4179840.3153492608</v>
      </c>
      <c r="CQ88" s="1170">
        <f t="shared" si="146"/>
        <v>0</v>
      </c>
    </row>
    <row r="89" spans="3:95" outlineLevel="1">
      <c r="C89" s="1155" t="s">
        <v>5061</v>
      </c>
      <c r="D89" s="1267">
        <f t="shared" si="108"/>
        <v>48091</v>
      </c>
      <c r="E89" s="1268" cm="1">
        <f t="array" ref="E89">SUMPRODUCT(--(D89=reserves!$D$6:$D$66),(reserves!$AJ$6:$AJ$66))</f>
        <v>0</v>
      </c>
      <c r="F89" s="1266">
        <f t="shared" si="107"/>
        <v>0</v>
      </c>
      <c r="I89" s="1165"/>
      <c r="J89" s="1195"/>
      <c r="K89" s="391"/>
      <c r="L89" s="391"/>
      <c r="M89" s="391"/>
      <c r="O89" s="1169">
        <v>4</v>
      </c>
      <c r="P89" s="1168">
        <f t="shared" si="109"/>
        <v>47634</v>
      </c>
      <c r="Q89" s="1159">
        <f>+'New Waterfall'!F74</f>
        <v>0</v>
      </c>
      <c r="R89" s="1159">
        <f t="shared" si="110"/>
        <v>0</v>
      </c>
      <c r="S89" s="1159">
        <f t="shared" si="111"/>
        <v>0</v>
      </c>
      <c r="T89" s="1159">
        <f t="shared" si="112"/>
        <v>0</v>
      </c>
      <c r="U89" s="1155"/>
      <c r="V89" s="1162">
        <f t="shared" si="113"/>
        <v>0</v>
      </c>
      <c r="W89" s="1162">
        <f>IF($G$8=0,0,MAX(0,(IF('New Waterfall'!$D$13=0,0,-XNPV('New Waterfall'!$D$13,R$8:$R41,$P$8:$P41))*(1+'New Waterfall'!$D$13)^(($P89-$P$8)/365))))</f>
        <v>0</v>
      </c>
      <c r="X89" s="1162">
        <f>IF($G$9=0,0,MAX(0,(IF('New Waterfall'!$E$13=0,0,-XNPV('New Waterfall'!$E$13,S$8:$S41,$P$8:$P41))*(1+'New Waterfall'!$E$13)^(($P89-$P$8)/365))))</f>
        <v>0</v>
      </c>
      <c r="Y89" s="1162">
        <f>IF($G$10=0,0,MAX(0,(IF('New Waterfall'!$E$13=0,0,-XNPV('New Waterfall'!$E$13,$T$8:T41,$P$8:$P41))*(1+'New Waterfall'!$E$13)^(($P89-$P$8)/365))))</f>
        <v>0</v>
      </c>
      <c r="AA89" s="1155" t="s">
        <v>194</v>
      </c>
      <c r="AB89" s="1162">
        <f t="shared" si="114"/>
        <v>0</v>
      </c>
      <c r="AC89" s="1162">
        <f t="shared" si="115"/>
        <v>0</v>
      </c>
      <c r="AD89" s="1162">
        <f t="shared" si="116"/>
        <v>0</v>
      </c>
      <c r="AE89" s="1162">
        <f t="shared" si="117"/>
        <v>0</v>
      </c>
      <c r="AF89" s="1167">
        <f>IF(SUM(W89:Y89)/(1-'New Waterfall'!$G$13)&lt;'New Waterfall'!Q89,SUM('New Waterfall'!W89:Y89)/(1-'New Waterfall'!$G$13),'New Waterfall'!Q89)*'New Waterfall'!$G$13</f>
        <v>0</v>
      </c>
      <c r="AG89" s="1162">
        <f t="shared" si="118"/>
        <v>0</v>
      </c>
      <c r="AH89" s="1162">
        <f>IF($G$8=0,0,MAX(0,(IF('New Waterfall'!$D$14=0,0,-XNPV('New Waterfall'!$D$14,$R$8:$R41,$P$8:$P41))*(1+'New Waterfall'!$D$14)^(($P89-$P$8)/365))-SUM(AC89)))</f>
        <v>8451408005.1664724</v>
      </c>
      <c r="AI89" s="1162">
        <f>IF($G$9=0,0,MAX(0,(IF('New Waterfall'!$E$14=0,0,-XNPV('New Waterfall'!$E$14,$S$8:$S41,$P$8:$P41))*(1+'New Waterfall'!$E$14)^(($P89-$P$8)/365))-SUM(AD89)))</f>
        <v>939045333.90738535</v>
      </c>
      <c r="AJ89" s="1162">
        <f>IF($G$10=0,0,MAX(0,(IF('New Waterfall'!$F$14=0,0,-XNPV('New Waterfall'!$F$14,$T$8:$T41,$P$8:$P41))*(1+'New Waterfall'!$F$14)^(($P89-$P$8)/365))-SUM(AE89)))</f>
        <v>0</v>
      </c>
      <c r="AL89" s="1155" t="s">
        <v>195</v>
      </c>
      <c r="AM89" s="1162">
        <f t="shared" si="119"/>
        <v>0</v>
      </c>
      <c r="AN89" s="1162">
        <f t="shared" si="120"/>
        <v>0</v>
      </c>
      <c r="AO89" s="1162">
        <f t="shared" si="121"/>
        <v>0</v>
      </c>
      <c r="AP89" s="1162">
        <f t="shared" si="122"/>
        <v>0</v>
      </c>
      <c r="AQ89" s="1167">
        <f>IF(SUM(AH89:AJ89)/(1-'New Waterfall'!$G$14)&lt;'New Waterfall'!AG89,SUM('New Waterfall'!AH89:AJ89)/(1-'New Waterfall'!$G$14),'New Waterfall'!AG89)*'New Waterfall'!$G$14</f>
        <v>0</v>
      </c>
      <c r="AR89" s="1162">
        <f t="shared" si="123"/>
        <v>0</v>
      </c>
      <c r="AS89" s="1162">
        <f>IF($G$8=0,0,MAX(0,(IF('New Waterfall'!$D$15=0,0,-XNPV('New Waterfall'!$D$15,$R$8:$R41,$P$8:$P41))*(1+'New Waterfall'!$D$15)^(($P89-$P$8)/365))-SUM(AN89,AC89)))</f>
        <v>0</v>
      </c>
      <c r="AT89" s="1162">
        <f>IF($G$9=0,0,MAX(0,(IF('New Waterfall'!$E$15=0,0,-XNPV('New Waterfall'!$E$15,$S$8:$S41,$P$8:$P41))*(1+'New Waterfall'!$E$15)^(($P89-$P$8)/365))-SUM(AO89,AD89)))</f>
        <v>0</v>
      </c>
      <c r="AU89" s="1162">
        <f>IF($G$10=0,0,MAX(0,(IF('New Waterfall'!$F$15=0,0,-XNPV('New Waterfall'!$F$15,$T$8:$T41,$P$8:$P41))*(1+'New Waterfall'!$F$15)^(($P89-$P$8)/365))-SUM(AP89,AE89)))</f>
        <v>0</v>
      </c>
      <c r="AW89" s="1155" t="s">
        <v>196</v>
      </c>
      <c r="AX89" s="1162">
        <f t="shared" si="124"/>
        <v>0</v>
      </c>
      <c r="AY89" s="1162">
        <f t="shared" si="125"/>
        <v>0</v>
      </c>
      <c r="AZ89" s="1162">
        <f t="shared" si="126"/>
        <v>0</v>
      </c>
      <c r="BA89" s="1162">
        <f t="shared" si="127"/>
        <v>0</v>
      </c>
      <c r="BB89" s="1167">
        <f>IF(SUM(AS89:AU89)/(1-'New Waterfall'!$G$15)&lt;'New Waterfall'!AR89,SUM('New Waterfall'!AS89:AU89)/(1-'New Waterfall'!$G$15),'New Waterfall'!AR89)*'New Waterfall'!$G$15</f>
        <v>0</v>
      </c>
      <c r="BC89" s="1162">
        <f t="shared" si="128"/>
        <v>0</v>
      </c>
      <c r="BD89" s="1162">
        <f>IF($G$8=0,0,MAX(0,(IF('New Waterfall'!$D$16=0,0,-XNPV('New Waterfall'!$D$16,$R$8:$R41,$P$8:$P41))*(1+'New Waterfall'!$D$16)^(($P89-$P$8)/365))-SUM(AY89,AN89,AC89)))</f>
        <v>0</v>
      </c>
      <c r="BE89" s="1162">
        <f>IF($G$9=0,0,MAX(0,(IF('New Waterfall'!$E$16=0,0,-XNPV('New Waterfall'!$E$16,$S$8:$S41,$P$8:$P41))*(1+'New Waterfall'!$E$16)^(($P89-$P$8)/365))-SUM(AZ89,AO89,AD89)))</f>
        <v>0</v>
      </c>
      <c r="BF89" s="1162">
        <f>IF($G$10=0,0,MAX(0,(IF('New Waterfall'!$F$16=0,0,-XNPV('New Waterfall'!$F$16,$T$8:$T41,$P$8:$P41))*(1+'New Waterfall'!$F$16)^(($P89-$P$8)/365))-SUM(BA89,AP89,AE89)))</f>
        <v>0</v>
      </c>
      <c r="BH89" s="1155" t="s">
        <v>450</v>
      </c>
      <c r="BI89" s="1162">
        <f t="shared" si="129"/>
        <v>0</v>
      </c>
      <c r="BJ89" s="1162">
        <f t="shared" si="130"/>
        <v>0</v>
      </c>
      <c r="BK89" s="1162">
        <f t="shared" si="131"/>
        <v>0</v>
      </c>
      <c r="BL89" s="1162">
        <f t="shared" si="132"/>
        <v>0</v>
      </c>
      <c r="BM89" s="1167">
        <f>IF(SUM(BD89:BF89)/(1-'New Waterfall'!$G$16)&lt;'New Waterfall'!BC89,SUM('New Waterfall'!BD89:BF89)/(1-'New Waterfall'!$G$16),'New Waterfall'!BC89)*'New Waterfall'!$G$16</f>
        <v>0</v>
      </c>
      <c r="BN89" s="1162">
        <f t="shared" si="133"/>
        <v>0</v>
      </c>
      <c r="BO89" s="1162">
        <f>IF($G$8=0,0,MAX(0,(IF('New Waterfall'!$D$17=0,0,-XNPV('New Waterfall'!$D$17,$R$8:$R41,$P$8:$P41))*(1+'New Waterfall'!$D$17)^(($P89-$P$8)/365))-SUM(BJ89,AY89,AN89,AC89)))</f>
        <v>0</v>
      </c>
      <c r="BP89" s="1162">
        <f>IF($G$9=0,0,MAX(0,(IF('New Waterfall'!$E$17=0,0,-XNPV('New Waterfall'!$E$17,$S$8:$S41,$P$8:$P41))*(1+'New Waterfall'!$E$17)^(($P89-$P$8)/365))-SUM(BK89,AZ89,AO89,AD89)))</f>
        <v>0</v>
      </c>
      <c r="BQ89" s="1162">
        <f>IF($G$10=0,0,MAX(0,(IF('New Waterfall'!$F$17=0,0,-XNPV('New Waterfall'!$F$17,$T$8:$T41,$P$8:$P41))*(1+'New Waterfall'!$F$17)^(($P89-$P$8)/365))-SUM(BL89,BA89,AP89,AE89)))</f>
        <v>0</v>
      </c>
      <c r="BS89" s="1155" t="s">
        <v>451</v>
      </c>
      <c r="BT89" s="1162">
        <f t="shared" si="134"/>
        <v>0</v>
      </c>
      <c r="BU89" s="1162">
        <f t="shared" si="135"/>
        <v>0</v>
      </c>
      <c r="BV89" s="1162">
        <f t="shared" si="136"/>
        <v>0</v>
      </c>
      <c r="BW89" s="1162">
        <f t="shared" si="137"/>
        <v>0</v>
      </c>
      <c r="BX89" s="1167">
        <f>IF(SUM(BO89:BQ89)/(1-'New Waterfall'!$G$17)&lt;'New Waterfall'!BN89,SUM('New Waterfall'!BO89:BQ89)/(1-'New Waterfall'!$G$17),'New Waterfall'!BN89)*'New Waterfall'!$G$17</f>
        <v>0</v>
      </c>
      <c r="BY89" s="1162">
        <f t="shared" si="138"/>
        <v>0</v>
      </c>
      <c r="BZ89" s="1162">
        <f>IF($G$8=0,0,MAX(0,(IF('New Waterfall'!$D$18=0,0,-XNPV('New Waterfall'!$D$18,$R$8:$R41,$P$8:$P41))*(1+'New Waterfall'!$D$18)^(($P89-$P$8)/365))-SUM(BU89,BJ89,AY89,AN89,AC89)))</f>
        <v>0</v>
      </c>
      <c r="CA89" s="1162">
        <f>IF($G$9=0,0,MAX(0,(IF('New Waterfall'!$E$18=0,0,-XNPV('New Waterfall'!$E$18,$S$8:$S41,$P$8:$P41))*(1+'New Waterfall'!$E$18)^(($P89-$P$8)/365))-SUM(BV89,BK89,AZ89,AO89,AD89)))</f>
        <v>0</v>
      </c>
      <c r="CB89" s="1162">
        <f>IF($G$10=0,0,MAX(0,(IF('New Waterfall'!$F$18=0,0,-XNPV('New Waterfall'!$F$18,$T$8:$T41,$P$8:$P41))*(1+'New Waterfall'!$F$18)^(($P89-$P$8)/365))-SUM(BW89,BL89,BA89,AP89,AE89)))</f>
        <v>0</v>
      </c>
      <c r="CD89" s="1155" t="s">
        <v>452</v>
      </c>
      <c r="CE89" s="1162">
        <f t="shared" si="139"/>
        <v>0</v>
      </c>
      <c r="CF89" s="1162">
        <f t="shared" si="140"/>
        <v>0</v>
      </c>
      <c r="CG89" s="1162">
        <f t="shared" si="141"/>
        <v>0</v>
      </c>
      <c r="CH89" s="1162">
        <f t="shared" si="142"/>
        <v>0</v>
      </c>
      <c r="CI89" s="1167">
        <f>BY89*'New Waterfall'!$G$18</f>
        <v>0</v>
      </c>
      <c r="CN89" s="1171">
        <f t="shared" si="143"/>
        <v>0</v>
      </c>
      <c r="CO89" s="1170">
        <f t="shared" si="144"/>
        <v>0</v>
      </c>
      <c r="CP89" s="1170">
        <f t="shared" si="145"/>
        <v>0</v>
      </c>
      <c r="CQ89" s="1170">
        <f t="shared" si="146"/>
        <v>0</v>
      </c>
    </row>
    <row r="90" spans="3:95" outlineLevel="1">
      <c r="C90" s="1155" t="s">
        <v>5059</v>
      </c>
      <c r="D90" s="1267">
        <f t="shared" si="108"/>
        <v>48121</v>
      </c>
      <c r="E90" s="1268" cm="1">
        <f t="array" ref="E90">SUMPRODUCT(--(D90=reserves!$D$6:$D$66),(reserves!$AJ$6:$AJ$66))</f>
        <v>0</v>
      </c>
      <c r="F90" s="1266">
        <f t="shared" si="107"/>
        <v>0</v>
      </c>
      <c r="I90" s="1165"/>
      <c r="J90" s="1195"/>
      <c r="K90" s="391"/>
      <c r="L90" s="391"/>
      <c r="M90" s="391"/>
      <c r="O90" s="1169">
        <v>5</v>
      </c>
      <c r="P90" s="1168">
        <f t="shared" si="109"/>
        <v>47664</v>
      </c>
      <c r="Q90" s="1159">
        <f>+'New Waterfall'!F75</f>
        <v>0</v>
      </c>
      <c r="R90" s="1159">
        <f t="shared" si="110"/>
        <v>0</v>
      </c>
      <c r="S90" s="1159">
        <f t="shared" si="111"/>
        <v>0</v>
      </c>
      <c r="T90" s="1159">
        <f t="shared" si="112"/>
        <v>0</v>
      </c>
      <c r="U90" s="1155"/>
      <c r="V90" s="1162">
        <f t="shared" si="113"/>
        <v>0</v>
      </c>
      <c r="W90" s="1162">
        <f>IF($G$8=0,0,MAX(0,(IF('New Waterfall'!$D$13=0,0,-XNPV('New Waterfall'!$D$13,R$8:$R42,$P$8:$P42))*(1+'New Waterfall'!$D$13)^(($P90-$P$8)/365))))</f>
        <v>0</v>
      </c>
      <c r="X90" s="1162">
        <f>IF($G$9=0,0,MAX(0,(IF('New Waterfall'!$E$13=0,0,-XNPV('New Waterfall'!$E$13,S$8:$S42,$P$8:$P42))*(1+'New Waterfall'!$E$13)^(($P90-$P$8)/365))))</f>
        <v>0</v>
      </c>
      <c r="Y90" s="1162">
        <f>IF($G$10=0,0,MAX(0,(IF('New Waterfall'!$E$13=0,0,-XNPV('New Waterfall'!$E$13,$T$8:T42,$P$8:$P42))*(1+'New Waterfall'!$E$13)^(($P90-$P$8)/365))))</f>
        <v>0</v>
      </c>
      <c r="AA90" s="1155" t="s">
        <v>194</v>
      </c>
      <c r="AB90" s="1162">
        <f t="shared" si="114"/>
        <v>0</v>
      </c>
      <c r="AC90" s="1162">
        <f t="shared" si="115"/>
        <v>0</v>
      </c>
      <c r="AD90" s="1162">
        <f t="shared" si="116"/>
        <v>0</v>
      </c>
      <c r="AE90" s="1162">
        <f t="shared" si="117"/>
        <v>0</v>
      </c>
      <c r="AF90" s="1167">
        <f>IF(SUM(W90:Y90)/(1-'New Waterfall'!$G$13)&lt;'New Waterfall'!Q90,SUM('New Waterfall'!W90:Y90)/(1-'New Waterfall'!$G$13),'New Waterfall'!Q90)*'New Waterfall'!$G$13</f>
        <v>0</v>
      </c>
      <c r="AG90" s="1162">
        <f t="shared" si="118"/>
        <v>0</v>
      </c>
      <c r="AH90" s="1162">
        <f>IF($G$8=0,0,MAX(0,(IF('New Waterfall'!$D$14=0,0,-XNPV('New Waterfall'!$D$14,$R$8:$R42,$P$8:$P42))*(1+'New Waterfall'!$D$14)^(($P90-$P$8)/365))-SUM(AC90)))</f>
        <v>10292550056.176226</v>
      </c>
      <c r="AI90" s="1162">
        <f>IF($G$9=0,0,MAX(0,(IF('New Waterfall'!$E$14=0,0,-XNPV('New Waterfall'!$E$14,$S$8:$S42,$P$8:$P42))*(1+'New Waterfall'!$E$14)^(($P90-$P$8)/365))-SUM(AD90)))</f>
        <v>1143616672.908469</v>
      </c>
      <c r="AJ90" s="1162">
        <f>IF($G$10=0,0,MAX(0,(IF('New Waterfall'!$F$14=0,0,-XNPV('New Waterfall'!$F$14,$T$8:$T42,$P$8:$P42))*(1+'New Waterfall'!$F$14)^(($P90-$P$8)/365))-SUM(AE90)))</f>
        <v>0</v>
      </c>
      <c r="AL90" s="1155" t="s">
        <v>195</v>
      </c>
      <c r="AM90" s="1162">
        <f t="shared" si="119"/>
        <v>0</v>
      </c>
      <c r="AN90" s="1162">
        <f t="shared" si="120"/>
        <v>0</v>
      </c>
      <c r="AO90" s="1162">
        <f t="shared" si="121"/>
        <v>0</v>
      </c>
      <c r="AP90" s="1162">
        <f t="shared" si="122"/>
        <v>0</v>
      </c>
      <c r="AQ90" s="1167">
        <f>IF(SUM(AH90:AJ90)/(1-'New Waterfall'!$G$14)&lt;'New Waterfall'!AG90,SUM('New Waterfall'!AH90:AJ90)/(1-'New Waterfall'!$G$14),'New Waterfall'!AG90)*'New Waterfall'!$G$14</f>
        <v>0</v>
      </c>
      <c r="AR90" s="1162">
        <f t="shared" si="123"/>
        <v>0</v>
      </c>
      <c r="AS90" s="1162">
        <f>IF($G$8=0,0,MAX(0,(IF('New Waterfall'!$D$15=0,0,-XNPV('New Waterfall'!$D$15,$R$8:$R42,$P$8:$P42))*(1+'New Waterfall'!$D$15)^(($P90-$P$8)/365))-SUM(AN90,AC90)))</f>
        <v>0</v>
      </c>
      <c r="AT90" s="1162">
        <f>IF($G$9=0,0,MAX(0,(IF('New Waterfall'!$E$15=0,0,-XNPV('New Waterfall'!$E$15,$S$8:$S42,$P$8:$P42))*(1+'New Waterfall'!$E$15)^(($P90-$P$8)/365))-SUM(AO90,AD90)))</f>
        <v>0</v>
      </c>
      <c r="AU90" s="1162">
        <f>IF($G$10=0,0,MAX(0,(IF('New Waterfall'!$F$15=0,0,-XNPV('New Waterfall'!$F$15,$T$8:$T42,$P$8:$P42))*(1+'New Waterfall'!$F$15)^(($P90-$P$8)/365))-SUM(AP90,AE90)))</f>
        <v>0</v>
      </c>
      <c r="AW90" s="1155" t="s">
        <v>196</v>
      </c>
      <c r="AX90" s="1162">
        <f t="shared" si="124"/>
        <v>0</v>
      </c>
      <c r="AY90" s="1162">
        <f t="shared" si="125"/>
        <v>0</v>
      </c>
      <c r="AZ90" s="1162">
        <f t="shared" si="126"/>
        <v>0</v>
      </c>
      <c r="BA90" s="1162">
        <f t="shared" si="127"/>
        <v>0</v>
      </c>
      <c r="BB90" s="1167">
        <f>IF(SUM(AS90:AU90)/(1-'New Waterfall'!$G$15)&lt;'New Waterfall'!AR90,SUM('New Waterfall'!AS90:AU90)/(1-'New Waterfall'!$G$15),'New Waterfall'!AR90)*'New Waterfall'!$G$15</f>
        <v>0</v>
      </c>
      <c r="BC90" s="1162">
        <f t="shared" si="128"/>
        <v>0</v>
      </c>
      <c r="BD90" s="1162">
        <f>IF($G$8=0,0,MAX(0,(IF('New Waterfall'!$D$16=0,0,-XNPV('New Waterfall'!$D$16,$R$8:$R42,$P$8:$P42))*(1+'New Waterfall'!$D$16)^(($P90-$P$8)/365))-SUM(AY90,AN90,AC90)))</f>
        <v>0</v>
      </c>
      <c r="BE90" s="1162">
        <f>IF($G$9=0,0,MAX(0,(IF('New Waterfall'!$E$16=0,0,-XNPV('New Waterfall'!$E$16,$S$8:$S42,$P$8:$P42))*(1+'New Waterfall'!$E$16)^(($P90-$P$8)/365))-SUM(AZ90,AO90,AD90)))</f>
        <v>0</v>
      </c>
      <c r="BF90" s="1162">
        <f>IF($G$10=0,0,MAX(0,(IF('New Waterfall'!$F$16=0,0,-XNPV('New Waterfall'!$F$16,$T$8:$T42,$P$8:$P42))*(1+'New Waterfall'!$F$16)^(($P90-$P$8)/365))-SUM(BA90,AP90,AE90)))</f>
        <v>0</v>
      </c>
      <c r="BH90" s="1155" t="s">
        <v>450</v>
      </c>
      <c r="BI90" s="1162">
        <f t="shared" si="129"/>
        <v>0</v>
      </c>
      <c r="BJ90" s="1162">
        <f t="shared" si="130"/>
        <v>0</v>
      </c>
      <c r="BK90" s="1162">
        <f t="shared" si="131"/>
        <v>0</v>
      </c>
      <c r="BL90" s="1162">
        <f t="shared" si="132"/>
        <v>0</v>
      </c>
      <c r="BM90" s="1167">
        <f>IF(SUM(BD90:BF90)/(1-'New Waterfall'!$G$16)&lt;'New Waterfall'!BC90,SUM('New Waterfall'!BD90:BF90)/(1-'New Waterfall'!$G$16),'New Waterfall'!BC90)*'New Waterfall'!$G$16</f>
        <v>0</v>
      </c>
      <c r="BN90" s="1162">
        <f t="shared" si="133"/>
        <v>0</v>
      </c>
      <c r="BO90" s="1162">
        <f>IF($G$8=0,0,MAX(0,(IF('New Waterfall'!$D$17=0,0,-XNPV('New Waterfall'!$D$17,$R$8:$R42,$P$8:$P42))*(1+'New Waterfall'!$D$17)^(($P90-$P$8)/365))-SUM(BJ90,AY90,AN90,AC90)))</f>
        <v>0</v>
      </c>
      <c r="BP90" s="1162">
        <f>IF($G$9=0,0,MAX(0,(IF('New Waterfall'!$E$17=0,0,-XNPV('New Waterfall'!$E$17,$S$8:$S42,$P$8:$P42))*(1+'New Waterfall'!$E$17)^(($P90-$P$8)/365))-SUM(BK90,AZ90,AO90,AD90)))</f>
        <v>0</v>
      </c>
      <c r="BQ90" s="1162">
        <f>IF($G$10=0,0,MAX(0,(IF('New Waterfall'!$F$17=0,0,-XNPV('New Waterfall'!$F$17,$T$8:$T42,$P$8:$P42))*(1+'New Waterfall'!$F$17)^(($P90-$P$8)/365))-SUM(BL90,BA90,AP90,AE90)))</f>
        <v>0</v>
      </c>
      <c r="BS90" s="1155" t="s">
        <v>451</v>
      </c>
      <c r="BT90" s="1162">
        <f t="shared" si="134"/>
        <v>0</v>
      </c>
      <c r="BU90" s="1162">
        <f t="shared" si="135"/>
        <v>0</v>
      </c>
      <c r="BV90" s="1162">
        <f t="shared" si="136"/>
        <v>0</v>
      </c>
      <c r="BW90" s="1162">
        <f t="shared" si="137"/>
        <v>0</v>
      </c>
      <c r="BX90" s="1167">
        <f>IF(SUM(BO90:BQ90)/(1-'New Waterfall'!$G$17)&lt;'New Waterfall'!BN90,SUM('New Waterfall'!BO90:BQ90)/(1-'New Waterfall'!$G$17),'New Waterfall'!BN90)*'New Waterfall'!$G$17</f>
        <v>0</v>
      </c>
      <c r="BY90" s="1162">
        <f t="shared" si="138"/>
        <v>0</v>
      </c>
      <c r="BZ90" s="1162">
        <f>IF($G$8=0,0,MAX(0,(IF('New Waterfall'!$D$18=0,0,-XNPV('New Waterfall'!$D$18,$R$8:$R42,$P$8:$P42))*(1+'New Waterfall'!$D$18)^(($P90-$P$8)/365))-SUM(BU90,BJ90,AY90,AN90,AC90)))</f>
        <v>0</v>
      </c>
      <c r="CA90" s="1162">
        <f>IF($G$9=0,0,MAX(0,(IF('New Waterfall'!$E$18=0,0,-XNPV('New Waterfall'!$E$18,$S$8:$S42,$P$8:$P42))*(1+'New Waterfall'!$E$18)^(($P90-$P$8)/365))-SUM(BV90,BK90,AZ90,AO90,AD90)))</f>
        <v>0</v>
      </c>
      <c r="CB90" s="1162">
        <f>IF($G$10=0,0,MAX(0,(IF('New Waterfall'!$F$18=0,0,-XNPV('New Waterfall'!$F$18,$T$8:$T42,$P$8:$P42))*(1+'New Waterfall'!$F$18)^(($P90-$P$8)/365))-SUM(BW90,BL90,BA90,AP90,AE90)))</f>
        <v>0</v>
      </c>
      <c r="CD90" s="1155" t="s">
        <v>452</v>
      </c>
      <c r="CE90" s="1162">
        <f t="shared" si="139"/>
        <v>0</v>
      </c>
      <c r="CF90" s="1162">
        <f t="shared" si="140"/>
        <v>0</v>
      </c>
      <c r="CG90" s="1162">
        <f t="shared" si="141"/>
        <v>0</v>
      </c>
      <c r="CH90" s="1162">
        <f t="shared" si="142"/>
        <v>0</v>
      </c>
      <c r="CI90" s="1167">
        <f>BY90*'New Waterfall'!$G$18</f>
        <v>0</v>
      </c>
      <c r="CN90" s="1171">
        <f t="shared" si="143"/>
        <v>0</v>
      </c>
      <c r="CO90" s="1170">
        <f t="shared" si="144"/>
        <v>0</v>
      </c>
      <c r="CP90" s="1170">
        <f t="shared" si="145"/>
        <v>0</v>
      </c>
      <c r="CQ90" s="1170">
        <f t="shared" si="146"/>
        <v>0</v>
      </c>
    </row>
    <row r="91" spans="3:95" outlineLevel="1">
      <c r="E91" s="1182">
        <f>SUM(E71:E90)</f>
        <v>10236995.418638943</v>
      </c>
      <c r="F91" s="1182">
        <f>SUM(F71:F90)</f>
        <v>10236995.418638943</v>
      </c>
      <c r="I91" s="1165"/>
      <c r="J91" s="1195"/>
      <c r="K91" s="391"/>
      <c r="L91" s="391"/>
      <c r="M91" s="391"/>
      <c r="O91" s="1169">
        <v>6</v>
      </c>
      <c r="P91" s="1168">
        <f t="shared" si="109"/>
        <v>47695</v>
      </c>
      <c r="Q91" s="1159">
        <f>+'New Waterfall'!F76</f>
        <v>0</v>
      </c>
      <c r="R91" s="1159">
        <f t="shared" si="110"/>
        <v>0</v>
      </c>
      <c r="S91" s="1159">
        <f t="shared" si="111"/>
        <v>0</v>
      </c>
      <c r="T91" s="1159">
        <f t="shared" si="112"/>
        <v>0</v>
      </c>
      <c r="U91" s="1155"/>
      <c r="V91" s="1162">
        <f t="shared" si="113"/>
        <v>0</v>
      </c>
      <c r="W91" s="1162">
        <f>IF($G$8=0,0,MAX(0,(IF('New Waterfall'!$D$13=0,0,-XNPV('New Waterfall'!$D$13,R$8:$R43,$P$8:$P43))*(1+'New Waterfall'!$D$13)^(($P91-$P$8)/365))))</f>
        <v>0</v>
      </c>
      <c r="X91" s="1162">
        <f>IF($G$9=0,0,MAX(0,(IF('New Waterfall'!$E$13=0,0,-XNPV('New Waterfall'!$E$13,S$8:$S43,$P$8:$P43))*(1+'New Waterfall'!$E$13)^(($P91-$P$8)/365))))</f>
        <v>0</v>
      </c>
      <c r="Y91" s="1162">
        <f>IF($G$10=0,0,MAX(0,(IF('New Waterfall'!$E$13=0,0,-XNPV('New Waterfall'!$E$13,$T$8:T43,$P$8:$P43))*(1+'New Waterfall'!$E$13)^(($P91-$P$8)/365))))</f>
        <v>0</v>
      </c>
      <c r="AA91" s="1155" t="s">
        <v>194</v>
      </c>
      <c r="AB91" s="1162">
        <f t="shared" si="114"/>
        <v>0</v>
      </c>
      <c r="AC91" s="1162">
        <f t="shared" si="115"/>
        <v>0</v>
      </c>
      <c r="AD91" s="1162">
        <f t="shared" si="116"/>
        <v>0</v>
      </c>
      <c r="AE91" s="1162">
        <f t="shared" si="117"/>
        <v>0</v>
      </c>
      <c r="AF91" s="1167">
        <f>IF(SUM(W91:Y91)/(1-'New Waterfall'!$G$13)&lt;'New Waterfall'!Q91,SUM('New Waterfall'!W91:Y91)/(1-'New Waterfall'!$G$13),'New Waterfall'!Q91)*'New Waterfall'!$G$13</f>
        <v>0</v>
      </c>
      <c r="AG91" s="1162">
        <f t="shared" si="118"/>
        <v>0</v>
      </c>
      <c r="AH91" s="1162">
        <f>IF($G$8=0,0,MAX(0,(IF('New Waterfall'!$D$14=0,0,-XNPV('New Waterfall'!$D$14,$R$8:$R43,$P$8:$P43))*(1+'New Waterfall'!$D$14)^(($P91-$P$8)/365))-SUM(AC91)))</f>
        <v>12617404833.718721</v>
      </c>
      <c r="AI91" s="1162">
        <f>IF($G$9=0,0,MAX(0,(IF('New Waterfall'!$E$14=0,0,-XNPV('New Waterfall'!$E$14,$S$8:$S43,$P$8:$P43))*(1+'New Waterfall'!$E$14)^(($P91-$P$8)/365))-SUM(AD91)))</f>
        <v>1401933870.4131906</v>
      </c>
      <c r="AJ91" s="1162">
        <f>IF($G$10=0,0,MAX(0,(IF('New Waterfall'!$F$14=0,0,-XNPV('New Waterfall'!$F$14,$T$8:$T43,$P$8:$P43))*(1+'New Waterfall'!$F$14)^(($P91-$P$8)/365))-SUM(AE91)))</f>
        <v>0</v>
      </c>
      <c r="AL91" s="1155" t="s">
        <v>195</v>
      </c>
      <c r="AM91" s="1162">
        <f t="shared" si="119"/>
        <v>0</v>
      </c>
      <c r="AN91" s="1162">
        <f t="shared" si="120"/>
        <v>0</v>
      </c>
      <c r="AO91" s="1162">
        <f t="shared" si="121"/>
        <v>0</v>
      </c>
      <c r="AP91" s="1162">
        <f t="shared" si="122"/>
        <v>0</v>
      </c>
      <c r="AQ91" s="1167">
        <f>IF(SUM(AH91:AJ91)/(1-'New Waterfall'!$G$14)&lt;'New Waterfall'!AG91,SUM('New Waterfall'!AH91:AJ91)/(1-'New Waterfall'!$G$14),'New Waterfall'!AG91)*'New Waterfall'!$G$14</f>
        <v>0</v>
      </c>
      <c r="AR91" s="1162">
        <f t="shared" si="123"/>
        <v>0</v>
      </c>
      <c r="AS91" s="1162">
        <f>IF($G$8=0,0,MAX(0,(IF('New Waterfall'!$D$15=0,0,-XNPV('New Waterfall'!$D$15,$R$8:$R43,$P$8:$P43))*(1+'New Waterfall'!$D$15)^(($P91-$P$8)/365))-SUM(AN91,AC91)))</f>
        <v>0</v>
      </c>
      <c r="AT91" s="1162">
        <f>IF($G$9=0,0,MAX(0,(IF('New Waterfall'!$E$15=0,0,-XNPV('New Waterfall'!$E$15,$S$8:$S43,$P$8:$P43))*(1+'New Waterfall'!$E$15)^(($P91-$P$8)/365))-SUM(AO91,AD91)))</f>
        <v>0</v>
      </c>
      <c r="AU91" s="1162">
        <f>IF($G$10=0,0,MAX(0,(IF('New Waterfall'!$F$15=0,0,-XNPV('New Waterfall'!$F$15,$T$8:$T43,$P$8:$P43))*(1+'New Waterfall'!$F$15)^(($P91-$P$8)/365))-SUM(AP91,AE91)))</f>
        <v>0</v>
      </c>
      <c r="AW91" s="1155" t="s">
        <v>196</v>
      </c>
      <c r="AX91" s="1162">
        <f t="shared" si="124"/>
        <v>0</v>
      </c>
      <c r="AY91" s="1162">
        <f t="shared" si="125"/>
        <v>0</v>
      </c>
      <c r="AZ91" s="1162">
        <f t="shared" si="126"/>
        <v>0</v>
      </c>
      <c r="BA91" s="1162">
        <f t="shared" si="127"/>
        <v>0</v>
      </c>
      <c r="BB91" s="1167">
        <f>IF(SUM(AS91:AU91)/(1-'New Waterfall'!$G$15)&lt;'New Waterfall'!AR91,SUM('New Waterfall'!AS91:AU91)/(1-'New Waterfall'!$G$15),'New Waterfall'!AR91)*'New Waterfall'!$G$15</f>
        <v>0</v>
      </c>
      <c r="BC91" s="1162">
        <f t="shared" si="128"/>
        <v>0</v>
      </c>
      <c r="BD91" s="1162">
        <f>IF($G$8=0,0,MAX(0,(IF('New Waterfall'!$D$16=0,0,-XNPV('New Waterfall'!$D$16,$R$8:$R43,$P$8:$P43))*(1+'New Waterfall'!$D$16)^(($P91-$P$8)/365))-SUM(AY91,AN91,AC91)))</f>
        <v>0</v>
      </c>
      <c r="BE91" s="1162">
        <f>IF($G$9=0,0,MAX(0,(IF('New Waterfall'!$E$16=0,0,-XNPV('New Waterfall'!$E$16,$S$8:$S43,$P$8:$P43))*(1+'New Waterfall'!$E$16)^(($P91-$P$8)/365))-SUM(AZ91,AO91,AD91)))</f>
        <v>0</v>
      </c>
      <c r="BF91" s="1162">
        <f>IF($G$10=0,0,MAX(0,(IF('New Waterfall'!$F$16=0,0,-XNPV('New Waterfall'!$F$16,$T$8:$T43,$P$8:$P43))*(1+'New Waterfall'!$F$16)^(($P91-$P$8)/365))-SUM(BA91,AP91,AE91)))</f>
        <v>0</v>
      </c>
      <c r="BH91" s="1155" t="s">
        <v>450</v>
      </c>
      <c r="BI91" s="1162">
        <f t="shared" si="129"/>
        <v>0</v>
      </c>
      <c r="BJ91" s="1162">
        <f t="shared" si="130"/>
        <v>0</v>
      </c>
      <c r="BK91" s="1162">
        <f t="shared" si="131"/>
        <v>0</v>
      </c>
      <c r="BL91" s="1162">
        <f t="shared" si="132"/>
        <v>0</v>
      </c>
      <c r="BM91" s="1167">
        <f>IF(SUM(BD91:BF91)/(1-'New Waterfall'!$G$16)&lt;'New Waterfall'!BC91,SUM('New Waterfall'!BD91:BF91)/(1-'New Waterfall'!$G$16),'New Waterfall'!BC91)*'New Waterfall'!$G$16</f>
        <v>0</v>
      </c>
      <c r="BN91" s="1162">
        <f t="shared" si="133"/>
        <v>0</v>
      </c>
      <c r="BO91" s="1162">
        <f>IF($G$8=0,0,MAX(0,(IF('New Waterfall'!$D$17=0,0,-XNPV('New Waterfall'!$D$17,$R$8:$R43,$P$8:$P43))*(1+'New Waterfall'!$D$17)^(($P91-$P$8)/365))-SUM(BJ91,AY91,AN91,AC91)))</f>
        <v>0</v>
      </c>
      <c r="BP91" s="1162">
        <f>IF($G$9=0,0,MAX(0,(IF('New Waterfall'!$E$17=0,0,-XNPV('New Waterfall'!$E$17,$S$8:$S43,$P$8:$P43))*(1+'New Waterfall'!$E$17)^(($P91-$P$8)/365))-SUM(BK91,AZ91,AO91,AD91)))</f>
        <v>0</v>
      </c>
      <c r="BQ91" s="1162">
        <f>IF($G$10=0,0,MAX(0,(IF('New Waterfall'!$F$17=0,0,-XNPV('New Waterfall'!$F$17,$T$8:$T43,$P$8:$P43))*(1+'New Waterfall'!$F$17)^(($P91-$P$8)/365))-SUM(BL91,BA91,AP91,AE91)))</f>
        <v>0</v>
      </c>
      <c r="BS91" s="1155" t="s">
        <v>451</v>
      </c>
      <c r="BT91" s="1162">
        <f t="shared" si="134"/>
        <v>0</v>
      </c>
      <c r="BU91" s="1162">
        <f t="shared" si="135"/>
        <v>0</v>
      </c>
      <c r="BV91" s="1162">
        <f t="shared" si="136"/>
        <v>0</v>
      </c>
      <c r="BW91" s="1162">
        <f t="shared" si="137"/>
        <v>0</v>
      </c>
      <c r="BX91" s="1167">
        <f>IF(SUM(BO91:BQ91)/(1-'New Waterfall'!$G$17)&lt;'New Waterfall'!BN91,SUM('New Waterfall'!BO91:BQ91)/(1-'New Waterfall'!$G$17),'New Waterfall'!BN91)*'New Waterfall'!$G$17</f>
        <v>0</v>
      </c>
      <c r="BY91" s="1162">
        <f t="shared" si="138"/>
        <v>0</v>
      </c>
      <c r="BZ91" s="1162">
        <f>IF($G$8=0,0,MAX(0,(IF('New Waterfall'!$D$18=0,0,-XNPV('New Waterfall'!$D$18,$R$8:$R43,$P$8:$P43))*(1+'New Waterfall'!$D$18)^(($P91-$P$8)/365))-SUM(BU91,BJ91,AY91,AN91,AC91)))</f>
        <v>0</v>
      </c>
      <c r="CA91" s="1162">
        <f>IF($G$9=0,0,MAX(0,(IF('New Waterfall'!$E$18=0,0,-XNPV('New Waterfall'!$E$18,$S$8:$S43,$P$8:$P43))*(1+'New Waterfall'!$E$18)^(($P91-$P$8)/365))-SUM(BV91,BK91,AZ91,AO91,AD91)))</f>
        <v>0</v>
      </c>
      <c r="CB91" s="1162">
        <f>IF($G$10=0,0,MAX(0,(IF('New Waterfall'!$F$18=0,0,-XNPV('New Waterfall'!$F$18,$T$8:$T43,$P$8:$P43))*(1+'New Waterfall'!$F$18)^(($P91-$P$8)/365))-SUM(BW91,BL91,BA91,AP91,AE91)))</f>
        <v>0</v>
      </c>
      <c r="CD91" s="1155" t="s">
        <v>452</v>
      </c>
      <c r="CE91" s="1162">
        <f t="shared" si="139"/>
        <v>0</v>
      </c>
      <c r="CF91" s="1162">
        <f t="shared" si="140"/>
        <v>0</v>
      </c>
      <c r="CG91" s="1162">
        <f t="shared" si="141"/>
        <v>0</v>
      </c>
      <c r="CH91" s="1162">
        <f t="shared" si="142"/>
        <v>0</v>
      </c>
      <c r="CI91" s="1167">
        <f>BY91*'New Waterfall'!$G$18</f>
        <v>0</v>
      </c>
      <c r="CN91" s="1171">
        <f t="shared" si="143"/>
        <v>0</v>
      </c>
      <c r="CO91" s="1170">
        <f t="shared" si="144"/>
        <v>0</v>
      </c>
      <c r="CP91" s="1170">
        <f t="shared" si="145"/>
        <v>0</v>
      </c>
      <c r="CQ91" s="1170">
        <f t="shared" si="146"/>
        <v>0</v>
      </c>
    </row>
    <row r="92" spans="3:95" outlineLevel="1">
      <c r="E92" s="1182">
        <f>+F92:F92</f>
        <v>4000000</v>
      </c>
      <c r="F92" s="1182">
        <f>G8+G9+G10</f>
        <v>4000000</v>
      </c>
      <c r="G92" s="1182"/>
      <c r="I92" s="1165"/>
      <c r="J92" s="1195"/>
      <c r="K92" s="391"/>
      <c r="L92" s="391"/>
      <c r="M92" s="391"/>
      <c r="O92" s="1169">
        <v>7</v>
      </c>
      <c r="P92" s="1168">
        <f t="shared" si="109"/>
        <v>47726</v>
      </c>
      <c r="Q92" s="1159">
        <f>+'New Waterfall'!F77</f>
        <v>0</v>
      </c>
      <c r="R92" s="1159">
        <f t="shared" si="110"/>
        <v>0</v>
      </c>
      <c r="S92" s="1159">
        <f t="shared" si="111"/>
        <v>0</v>
      </c>
      <c r="T92" s="1159">
        <f t="shared" si="112"/>
        <v>0</v>
      </c>
      <c r="U92" s="1155"/>
      <c r="V92" s="1162">
        <f t="shared" si="113"/>
        <v>0</v>
      </c>
      <c r="W92" s="1162">
        <f>IF($G$8=0,0,MAX(0,(IF('New Waterfall'!$D$13=0,0,-XNPV('New Waterfall'!$D$13,R$8:$R44,$P$8:$P44))*(1+'New Waterfall'!$D$13)^(($P92-$P$8)/365))))</f>
        <v>0</v>
      </c>
      <c r="X92" s="1162">
        <f>IF($G$9=0,0,MAX(0,(IF('New Waterfall'!$E$13=0,0,-XNPV('New Waterfall'!$E$13,S$8:$S44,$P$8:$P44))*(1+'New Waterfall'!$E$13)^(($P92-$P$8)/365))))</f>
        <v>0</v>
      </c>
      <c r="Y92" s="1162">
        <f>IF($G$10=0,0,MAX(0,(IF('New Waterfall'!$E$13=0,0,-XNPV('New Waterfall'!$E$13,$T$8:T44,$P$8:$P44))*(1+'New Waterfall'!$E$13)^(($P92-$P$8)/365))))</f>
        <v>0</v>
      </c>
      <c r="AA92" s="1155" t="s">
        <v>194</v>
      </c>
      <c r="AB92" s="1162">
        <f t="shared" si="114"/>
        <v>0</v>
      </c>
      <c r="AC92" s="1162">
        <f t="shared" si="115"/>
        <v>0</v>
      </c>
      <c r="AD92" s="1162">
        <f t="shared" si="116"/>
        <v>0</v>
      </c>
      <c r="AE92" s="1162">
        <f t="shared" si="117"/>
        <v>0</v>
      </c>
      <c r="AF92" s="1167">
        <f>IF(SUM(W92:Y92)/(1-'New Waterfall'!$G$13)&lt;'New Waterfall'!Q92,SUM('New Waterfall'!W92:Y92)/(1-'New Waterfall'!$G$13),'New Waterfall'!Q92)*'New Waterfall'!$G$13</f>
        <v>0</v>
      </c>
      <c r="AG92" s="1162">
        <f t="shared" si="118"/>
        <v>0</v>
      </c>
      <c r="AH92" s="1162">
        <f>IF($G$8=0,0,MAX(0,(IF('New Waterfall'!$D$14=0,0,-XNPV('New Waterfall'!$D$14,$R$8:$R44,$P$8:$P44))*(1+'New Waterfall'!$D$14)^(($P92-$P$8)/365))-SUM(AC92)))</f>
        <v>15467391838.664766</v>
      </c>
      <c r="AI92" s="1162">
        <f>IF($G$9=0,0,MAX(0,(IF('New Waterfall'!$E$14=0,0,-XNPV('New Waterfall'!$E$14,$S$8:$S44,$P$8:$P44))*(1+'New Waterfall'!$E$14)^(($P92-$P$8)/365))-SUM(AD92)))</f>
        <v>1718599093.1849732</v>
      </c>
      <c r="AJ92" s="1162">
        <f>IF($G$10=0,0,MAX(0,(IF('New Waterfall'!$F$14=0,0,-XNPV('New Waterfall'!$F$14,$T$8:$T44,$P$8:$P44))*(1+'New Waterfall'!$F$14)^(($P92-$P$8)/365))-SUM(AE92)))</f>
        <v>0</v>
      </c>
      <c r="AL92" s="1155" t="s">
        <v>195</v>
      </c>
      <c r="AM92" s="1162">
        <f t="shared" si="119"/>
        <v>0</v>
      </c>
      <c r="AN92" s="1162">
        <f t="shared" si="120"/>
        <v>0</v>
      </c>
      <c r="AO92" s="1162">
        <f t="shared" si="121"/>
        <v>0</v>
      </c>
      <c r="AP92" s="1162">
        <f t="shared" si="122"/>
        <v>0</v>
      </c>
      <c r="AQ92" s="1167">
        <f>IF(SUM(AH92:AJ92)/(1-'New Waterfall'!$G$14)&lt;'New Waterfall'!AG92,SUM('New Waterfall'!AH92:AJ92)/(1-'New Waterfall'!$G$14),'New Waterfall'!AG92)*'New Waterfall'!$G$14</f>
        <v>0</v>
      </c>
      <c r="AR92" s="1162">
        <f t="shared" si="123"/>
        <v>0</v>
      </c>
      <c r="AS92" s="1162">
        <f>IF($G$8=0,0,MAX(0,(IF('New Waterfall'!$D$15=0,0,-XNPV('New Waterfall'!$D$15,$R$8:$R44,$P$8:$P44))*(1+'New Waterfall'!$D$15)^(($P92-$P$8)/365))-SUM(AN92,AC92)))</f>
        <v>0</v>
      </c>
      <c r="AT92" s="1162">
        <f>IF($G$9=0,0,MAX(0,(IF('New Waterfall'!$E$15=0,0,-XNPV('New Waterfall'!$E$15,$S$8:$S44,$P$8:$P44))*(1+'New Waterfall'!$E$15)^(($P92-$P$8)/365))-SUM(AO92,AD92)))</f>
        <v>0</v>
      </c>
      <c r="AU92" s="1162">
        <f>IF($G$10=0,0,MAX(0,(IF('New Waterfall'!$F$15=0,0,-XNPV('New Waterfall'!$F$15,$T$8:$T44,$P$8:$P44))*(1+'New Waterfall'!$F$15)^(($P92-$P$8)/365))-SUM(AP92,AE92)))</f>
        <v>0</v>
      </c>
      <c r="AW92" s="1155" t="s">
        <v>196</v>
      </c>
      <c r="AX92" s="1162">
        <f t="shared" si="124"/>
        <v>0</v>
      </c>
      <c r="AY92" s="1162">
        <f t="shared" si="125"/>
        <v>0</v>
      </c>
      <c r="AZ92" s="1162">
        <f t="shared" si="126"/>
        <v>0</v>
      </c>
      <c r="BA92" s="1162">
        <f t="shared" si="127"/>
        <v>0</v>
      </c>
      <c r="BB92" s="1167">
        <f>IF(SUM(AS92:AU92)/(1-'New Waterfall'!$G$15)&lt;'New Waterfall'!AR92,SUM('New Waterfall'!AS92:AU92)/(1-'New Waterfall'!$G$15),'New Waterfall'!AR92)*'New Waterfall'!$G$15</f>
        <v>0</v>
      </c>
      <c r="BC92" s="1162">
        <f t="shared" si="128"/>
        <v>0</v>
      </c>
      <c r="BD92" s="1162">
        <f>IF($G$8=0,0,MAX(0,(IF('New Waterfall'!$D$16=0,0,-XNPV('New Waterfall'!$D$16,$R$8:$R44,$P$8:$P44))*(1+'New Waterfall'!$D$16)^(($P92-$P$8)/365))-SUM(AY92,AN92,AC92)))</f>
        <v>0</v>
      </c>
      <c r="BE92" s="1162">
        <f>IF($G$9=0,0,MAX(0,(IF('New Waterfall'!$E$16=0,0,-XNPV('New Waterfall'!$E$16,$S$8:$S44,$P$8:$P44))*(1+'New Waterfall'!$E$16)^(($P92-$P$8)/365))-SUM(AZ92,AO92,AD92)))</f>
        <v>0</v>
      </c>
      <c r="BF92" s="1162">
        <f>IF($G$10=0,0,MAX(0,(IF('New Waterfall'!$F$16=0,0,-XNPV('New Waterfall'!$F$16,$T$8:$T44,$P$8:$P44))*(1+'New Waterfall'!$F$16)^(($P92-$P$8)/365))-SUM(BA92,AP92,AE92)))</f>
        <v>0</v>
      </c>
      <c r="BH92" s="1155" t="s">
        <v>450</v>
      </c>
      <c r="BI92" s="1162">
        <f t="shared" si="129"/>
        <v>0</v>
      </c>
      <c r="BJ92" s="1162">
        <f t="shared" si="130"/>
        <v>0</v>
      </c>
      <c r="BK92" s="1162">
        <f t="shared" si="131"/>
        <v>0</v>
      </c>
      <c r="BL92" s="1162">
        <f t="shared" si="132"/>
        <v>0</v>
      </c>
      <c r="BM92" s="1167">
        <f>IF(SUM(BD92:BF92)/(1-'New Waterfall'!$G$16)&lt;'New Waterfall'!BC92,SUM('New Waterfall'!BD92:BF92)/(1-'New Waterfall'!$G$16),'New Waterfall'!BC92)*'New Waterfall'!$G$16</f>
        <v>0</v>
      </c>
      <c r="BN92" s="1162">
        <f t="shared" si="133"/>
        <v>0</v>
      </c>
      <c r="BO92" s="1162">
        <f>IF($G$8=0,0,MAX(0,(IF('New Waterfall'!$D$17=0,0,-XNPV('New Waterfall'!$D$17,$R$8:$R44,$P$8:$P44))*(1+'New Waterfall'!$D$17)^(($P92-$P$8)/365))-SUM(BJ92,AY92,AN92,AC92)))</f>
        <v>0</v>
      </c>
      <c r="BP92" s="1162">
        <f>IF($G$9=0,0,MAX(0,(IF('New Waterfall'!$E$17=0,0,-XNPV('New Waterfall'!$E$17,$S$8:$S44,$P$8:$P44))*(1+'New Waterfall'!$E$17)^(($P92-$P$8)/365))-SUM(BK92,AZ92,AO92,AD92)))</f>
        <v>0</v>
      </c>
      <c r="BQ92" s="1162">
        <f>IF($G$10=0,0,MAX(0,(IF('New Waterfall'!$F$17=0,0,-XNPV('New Waterfall'!$F$17,$T$8:$T44,$P$8:$P44))*(1+'New Waterfall'!$F$17)^(($P92-$P$8)/365))-SUM(BL92,BA92,AP92,AE92)))</f>
        <v>0</v>
      </c>
      <c r="BS92" s="1155" t="s">
        <v>451</v>
      </c>
      <c r="BT92" s="1162">
        <f t="shared" si="134"/>
        <v>0</v>
      </c>
      <c r="BU92" s="1162">
        <f t="shared" si="135"/>
        <v>0</v>
      </c>
      <c r="BV92" s="1162">
        <f t="shared" si="136"/>
        <v>0</v>
      </c>
      <c r="BW92" s="1162">
        <f t="shared" si="137"/>
        <v>0</v>
      </c>
      <c r="BX92" s="1167">
        <f>IF(SUM(BO92:BQ92)/(1-'New Waterfall'!$G$17)&lt;'New Waterfall'!BN92,SUM('New Waterfall'!BO92:BQ92)/(1-'New Waterfall'!$G$17),'New Waterfall'!BN92)*'New Waterfall'!$G$17</f>
        <v>0</v>
      </c>
      <c r="BY92" s="1162">
        <f t="shared" si="138"/>
        <v>0</v>
      </c>
      <c r="BZ92" s="1162">
        <f>IF($G$8=0,0,MAX(0,(IF('New Waterfall'!$D$18=0,0,-XNPV('New Waterfall'!$D$18,$R$8:$R44,$P$8:$P44))*(1+'New Waterfall'!$D$18)^(($P92-$P$8)/365))-SUM(BU92,BJ92,AY92,AN92,AC92)))</f>
        <v>0</v>
      </c>
      <c r="CA92" s="1162">
        <f>IF($G$9=0,0,MAX(0,(IF('New Waterfall'!$E$18=0,0,-XNPV('New Waterfall'!$E$18,$S$8:$S44,$P$8:$P44))*(1+'New Waterfall'!$E$18)^(($P92-$P$8)/365))-SUM(BV92,BK92,AZ92,AO92,AD92)))</f>
        <v>0</v>
      </c>
      <c r="CB92" s="1162">
        <f>IF($G$10=0,0,MAX(0,(IF('New Waterfall'!$F$18=0,0,-XNPV('New Waterfall'!$F$18,$T$8:$T44,$P$8:$P44))*(1+'New Waterfall'!$F$18)^(($P92-$P$8)/365))-SUM(BW92,BL92,BA92,AP92,AE92)))</f>
        <v>0</v>
      </c>
      <c r="CD92" s="1155" t="s">
        <v>452</v>
      </c>
      <c r="CE92" s="1162">
        <f t="shared" si="139"/>
        <v>0</v>
      </c>
      <c r="CF92" s="1162">
        <f t="shared" si="140"/>
        <v>0</v>
      </c>
      <c r="CG92" s="1162">
        <f t="shared" si="141"/>
        <v>0</v>
      </c>
      <c r="CH92" s="1162">
        <f t="shared" si="142"/>
        <v>0</v>
      </c>
      <c r="CI92" s="1167">
        <f>BY92*'New Waterfall'!$G$18</f>
        <v>0</v>
      </c>
      <c r="CN92" s="1171">
        <f t="shared" si="143"/>
        <v>0</v>
      </c>
      <c r="CO92" s="1170">
        <f t="shared" si="144"/>
        <v>0</v>
      </c>
      <c r="CP92" s="1170">
        <f t="shared" si="145"/>
        <v>0</v>
      </c>
      <c r="CQ92" s="1170">
        <f t="shared" si="146"/>
        <v>0</v>
      </c>
    </row>
    <row r="93" spans="3:95" outlineLevel="1">
      <c r="C93" s="1193"/>
      <c r="D93" s="1193"/>
      <c r="E93" s="1192">
        <f>E91-E92</f>
        <v>6236995.4186389428</v>
      </c>
      <c r="F93" s="1192">
        <f>F91-F92</f>
        <v>6236995.4186389428</v>
      </c>
      <c r="I93" s="1165"/>
      <c r="J93" s="1195"/>
      <c r="K93" s="391"/>
      <c r="L93" s="391"/>
      <c r="M93" s="391"/>
      <c r="O93" s="1169">
        <v>8</v>
      </c>
      <c r="P93" s="1168">
        <f t="shared" si="109"/>
        <v>47756</v>
      </c>
      <c r="Q93" s="1159">
        <f>+'New Waterfall'!F78</f>
        <v>0</v>
      </c>
      <c r="R93" s="1159">
        <f t="shared" si="110"/>
        <v>0</v>
      </c>
      <c r="S93" s="1159">
        <f t="shared" si="111"/>
        <v>0</v>
      </c>
      <c r="T93" s="1159">
        <f t="shared" si="112"/>
        <v>0</v>
      </c>
      <c r="U93" s="1155"/>
      <c r="V93" s="1162">
        <f t="shared" si="113"/>
        <v>0</v>
      </c>
      <c r="W93" s="1162">
        <f>IF($G$8=0,0,MAX(0,(IF('New Waterfall'!$D$13=0,0,-XNPV('New Waterfall'!$D$13,R$8:$R45,$P$8:$P45))*(1+'New Waterfall'!$D$13)^(($P93-$P$8)/365))))</f>
        <v>0</v>
      </c>
      <c r="X93" s="1162">
        <f>IF($G$9=0,0,MAX(0,(IF('New Waterfall'!$E$13=0,0,-XNPV('New Waterfall'!$E$13,S$8:$S45,$P$8:$P45))*(1+'New Waterfall'!$E$13)^(($P93-$P$8)/365))))</f>
        <v>0</v>
      </c>
      <c r="Y93" s="1162">
        <f>IF($G$10=0,0,MAX(0,(IF('New Waterfall'!$E$13=0,0,-XNPV('New Waterfall'!$E$13,$T$8:T45,$P$8:$P45))*(1+'New Waterfall'!$E$13)^(($P93-$P$8)/365))))</f>
        <v>0</v>
      </c>
      <c r="AA93" s="1155" t="s">
        <v>194</v>
      </c>
      <c r="AB93" s="1162">
        <f t="shared" si="114"/>
        <v>0</v>
      </c>
      <c r="AC93" s="1162">
        <f t="shared" si="115"/>
        <v>0</v>
      </c>
      <c r="AD93" s="1162">
        <f t="shared" si="116"/>
        <v>0</v>
      </c>
      <c r="AE93" s="1162">
        <f t="shared" si="117"/>
        <v>0</v>
      </c>
      <c r="AF93" s="1167">
        <f>IF(SUM(W93:Y93)/(1-'New Waterfall'!$G$13)&lt;'New Waterfall'!Q93,SUM('New Waterfall'!W93:Y93)/(1-'New Waterfall'!$G$13),'New Waterfall'!Q93)*'New Waterfall'!$G$13</f>
        <v>0</v>
      </c>
      <c r="AG93" s="1162">
        <f t="shared" si="118"/>
        <v>0</v>
      </c>
      <c r="AH93" s="1162">
        <f>IF($G$8=0,0,MAX(0,(IF('New Waterfall'!$D$14=0,0,-XNPV('New Waterfall'!$D$14,$R$8:$R45,$P$8:$P45))*(1+'New Waterfall'!$D$14)^(($P93-$P$8)/365))-SUM(AC93)))</f>
        <v>18836968306.420425</v>
      </c>
      <c r="AI93" s="1162">
        <f>IF($G$9=0,0,MAX(0,(IF('New Waterfall'!$E$14=0,0,-XNPV('New Waterfall'!$E$14,$S$8:$S45,$P$8:$P45))*(1+'New Waterfall'!$E$14)^(($P93-$P$8)/365))-SUM(AD93)))</f>
        <v>2092996478.4911575</v>
      </c>
      <c r="AJ93" s="1162">
        <f>IF($G$10=0,0,MAX(0,(IF('New Waterfall'!$F$14=0,0,-XNPV('New Waterfall'!$F$14,$T$8:$T45,$P$8:$P45))*(1+'New Waterfall'!$F$14)^(($P93-$P$8)/365))-SUM(AE93)))</f>
        <v>0</v>
      </c>
      <c r="AL93" s="1155" t="s">
        <v>195</v>
      </c>
      <c r="AM93" s="1162">
        <f t="shared" si="119"/>
        <v>0</v>
      </c>
      <c r="AN93" s="1162">
        <f t="shared" si="120"/>
        <v>0</v>
      </c>
      <c r="AO93" s="1162">
        <f t="shared" si="121"/>
        <v>0</v>
      </c>
      <c r="AP93" s="1162">
        <f t="shared" si="122"/>
        <v>0</v>
      </c>
      <c r="AQ93" s="1167">
        <f>IF(SUM(AH93:AJ93)/(1-'New Waterfall'!$G$14)&lt;'New Waterfall'!AG93,SUM('New Waterfall'!AH93:AJ93)/(1-'New Waterfall'!$G$14),'New Waterfall'!AG93)*'New Waterfall'!$G$14</f>
        <v>0</v>
      </c>
      <c r="AR93" s="1162">
        <f t="shared" si="123"/>
        <v>0</v>
      </c>
      <c r="AS93" s="1162">
        <f>IF($G$8=0,0,MAX(0,(IF('New Waterfall'!$D$15=0,0,-XNPV('New Waterfall'!$D$15,$R$8:$R45,$P$8:$P45))*(1+'New Waterfall'!$D$15)^(($P93-$P$8)/365))-SUM(AN93,AC93)))</f>
        <v>0</v>
      </c>
      <c r="AT93" s="1162">
        <f>IF($G$9=0,0,MAX(0,(IF('New Waterfall'!$E$15=0,0,-XNPV('New Waterfall'!$E$15,$S$8:$S45,$P$8:$P45))*(1+'New Waterfall'!$E$15)^(($P93-$P$8)/365))-SUM(AO93,AD93)))</f>
        <v>0</v>
      </c>
      <c r="AU93" s="1162">
        <f>IF($G$10=0,0,MAX(0,(IF('New Waterfall'!$F$15=0,0,-XNPV('New Waterfall'!$F$15,$T$8:$T45,$P$8:$P45))*(1+'New Waterfall'!$F$15)^(($P93-$P$8)/365))-SUM(AP93,AE93)))</f>
        <v>0</v>
      </c>
      <c r="AW93" s="1155" t="s">
        <v>196</v>
      </c>
      <c r="AX93" s="1162">
        <f t="shared" si="124"/>
        <v>0</v>
      </c>
      <c r="AY93" s="1162">
        <f t="shared" si="125"/>
        <v>0</v>
      </c>
      <c r="AZ93" s="1162">
        <f t="shared" si="126"/>
        <v>0</v>
      </c>
      <c r="BA93" s="1162">
        <f t="shared" si="127"/>
        <v>0</v>
      </c>
      <c r="BB93" s="1167">
        <f>IF(SUM(AS93:AU93)/(1-'New Waterfall'!$G$15)&lt;'New Waterfall'!AR93,SUM('New Waterfall'!AS93:AU93)/(1-'New Waterfall'!$G$15),'New Waterfall'!AR93)*'New Waterfall'!$G$15</f>
        <v>0</v>
      </c>
      <c r="BC93" s="1162">
        <f t="shared" si="128"/>
        <v>0</v>
      </c>
      <c r="BD93" s="1162">
        <f>IF($G$8=0,0,MAX(0,(IF('New Waterfall'!$D$16=0,0,-XNPV('New Waterfall'!$D$16,$R$8:$R45,$P$8:$P45))*(1+'New Waterfall'!$D$16)^(($P93-$P$8)/365))-SUM(AY93,AN93,AC93)))</f>
        <v>0</v>
      </c>
      <c r="BE93" s="1162">
        <f>IF($G$9=0,0,MAX(0,(IF('New Waterfall'!$E$16=0,0,-XNPV('New Waterfall'!$E$16,$S$8:$S45,$P$8:$P45))*(1+'New Waterfall'!$E$16)^(($P93-$P$8)/365))-SUM(AZ93,AO93,AD93)))</f>
        <v>0</v>
      </c>
      <c r="BF93" s="1162">
        <f>IF($G$10=0,0,MAX(0,(IF('New Waterfall'!$F$16=0,0,-XNPV('New Waterfall'!$F$16,$T$8:$T45,$P$8:$P45))*(1+'New Waterfall'!$F$16)^(($P93-$P$8)/365))-SUM(BA93,AP93,AE93)))</f>
        <v>0</v>
      </c>
      <c r="BH93" s="1155" t="s">
        <v>450</v>
      </c>
      <c r="BI93" s="1162">
        <f t="shared" si="129"/>
        <v>0</v>
      </c>
      <c r="BJ93" s="1162">
        <f t="shared" si="130"/>
        <v>0</v>
      </c>
      <c r="BK93" s="1162">
        <f t="shared" si="131"/>
        <v>0</v>
      </c>
      <c r="BL93" s="1162">
        <f t="shared" si="132"/>
        <v>0</v>
      </c>
      <c r="BM93" s="1167">
        <f>IF(SUM(BD93:BF93)/(1-'New Waterfall'!$G$16)&lt;'New Waterfall'!BC93,SUM('New Waterfall'!BD93:BF93)/(1-'New Waterfall'!$G$16),'New Waterfall'!BC93)*'New Waterfall'!$G$16</f>
        <v>0</v>
      </c>
      <c r="BN93" s="1162">
        <f t="shared" si="133"/>
        <v>0</v>
      </c>
      <c r="BO93" s="1162">
        <f>IF($G$8=0,0,MAX(0,(IF('New Waterfall'!$D$17=0,0,-XNPV('New Waterfall'!$D$17,$R$8:$R45,$P$8:$P45))*(1+'New Waterfall'!$D$17)^(($P93-$P$8)/365))-SUM(BJ93,AY93,AN93,AC93)))</f>
        <v>0</v>
      </c>
      <c r="BP93" s="1162">
        <f>IF($G$9=0,0,MAX(0,(IF('New Waterfall'!$E$17=0,0,-XNPV('New Waterfall'!$E$17,$S$8:$S45,$P$8:$P45))*(1+'New Waterfall'!$E$17)^(($P93-$P$8)/365))-SUM(BK93,AZ93,AO93,AD93)))</f>
        <v>0</v>
      </c>
      <c r="BQ93" s="1162">
        <f>IF($G$10=0,0,MAX(0,(IF('New Waterfall'!$F$17=0,0,-XNPV('New Waterfall'!$F$17,$T$8:$T45,$P$8:$P45))*(1+'New Waterfall'!$F$17)^(($P93-$P$8)/365))-SUM(BL93,BA93,AP93,AE93)))</f>
        <v>0</v>
      </c>
      <c r="BS93" s="1155" t="s">
        <v>451</v>
      </c>
      <c r="BT93" s="1162">
        <f t="shared" si="134"/>
        <v>0</v>
      </c>
      <c r="BU93" s="1162">
        <f t="shared" si="135"/>
        <v>0</v>
      </c>
      <c r="BV93" s="1162">
        <f t="shared" si="136"/>
        <v>0</v>
      </c>
      <c r="BW93" s="1162">
        <f t="shared" si="137"/>
        <v>0</v>
      </c>
      <c r="BX93" s="1167">
        <f>IF(SUM(BO93:BQ93)/(1-'New Waterfall'!$G$17)&lt;'New Waterfall'!BN93,SUM('New Waterfall'!BO93:BQ93)/(1-'New Waterfall'!$G$17),'New Waterfall'!BN93)*'New Waterfall'!$G$17</f>
        <v>0</v>
      </c>
      <c r="BY93" s="1162">
        <f t="shared" si="138"/>
        <v>0</v>
      </c>
      <c r="BZ93" s="1162">
        <f>IF($G$8=0,0,MAX(0,(IF('New Waterfall'!$D$18=0,0,-XNPV('New Waterfall'!$D$18,$R$8:$R45,$P$8:$P45))*(1+'New Waterfall'!$D$18)^(($P93-$P$8)/365))-SUM(BU93,BJ93,AY93,AN93,AC93)))</f>
        <v>0</v>
      </c>
      <c r="CA93" s="1162">
        <f>IF($G$9=0,0,MAX(0,(IF('New Waterfall'!$E$18=0,0,-XNPV('New Waterfall'!$E$18,$S$8:$S45,$P$8:$P45))*(1+'New Waterfall'!$E$18)^(($P93-$P$8)/365))-SUM(BV93,BK93,AZ93,AO93,AD93)))</f>
        <v>0</v>
      </c>
      <c r="CB93" s="1162">
        <f>IF($G$10=0,0,MAX(0,(IF('New Waterfall'!$F$18=0,0,-XNPV('New Waterfall'!$F$18,$T$8:$T45,$P$8:$P45))*(1+'New Waterfall'!$F$18)^(($P93-$P$8)/365))-SUM(BW93,BL93,BA93,AP93,AE93)))</f>
        <v>0</v>
      </c>
      <c r="CD93" s="1155" t="s">
        <v>452</v>
      </c>
      <c r="CE93" s="1162">
        <f t="shared" si="139"/>
        <v>0</v>
      </c>
      <c r="CF93" s="1162">
        <f t="shared" si="140"/>
        <v>0</v>
      </c>
      <c r="CG93" s="1162">
        <f t="shared" si="141"/>
        <v>0</v>
      </c>
      <c r="CH93" s="1162">
        <f t="shared" si="142"/>
        <v>0</v>
      </c>
      <c r="CI93" s="1167">
        <f>BY93*'New Waterfall'!$G$18</f>
        <v>0</v>
      </c>
      <c r="CN93" s="1171">
        <f t="shared" si="143"/>
        <v>0</v>
      </c>
      <c r="CO93" s="1170">
        <f t="shared" si="144"/>
        <v>0</v>
      </c>
      <c r="CP93" s="1170">
        <f t="shared" si="145"/>
        <v>0</v>
      </c>
      <c r="CQ93" s="1170">
        <f t="shared" si="146"/>
        <v>0</v>
      </c>
    </row>
    <row r="94" spans="3:95" outlineLevel="1">
      <c r="E94" s="1182">
        <f>Q84</f>
        <v>6236995.4186389428</v>
      </c>
      <c r="F94" s="1182">
        <f>S84+R84+T84</f>
        <v>6236995.4186389446</v>
      </c>
      <c r="I94" s="1165"/>
      <c r="J94" s="1195"/>
      <c r="K94" s="391"/>
      <c r="L94" s="391"/>
      <c r="M94" s="391"/>
      <c r="O94" s="1169">
        <v>9</v>
      </c>
      <c r="P94" s="1168">
        <f t="shared" si="109"/>
        <v>47787</v>
      </c>
      <c r="Q94" s="1159">
        <f>+'New Waterfall'!F79</f>
        <v>0</v>
      </c>
      <c r="R94" s="1159">
        <f t="shared" si="110"/>
        <v>0</v>
      </c>
      <c r="S94" s="1159">
        <f t="shared" si="111"/>
        <v>0</v>
      </c>
      <c r="T94" s="1159">
        <f t="shared" si="112"/>
        <v>0</v>
      </c>
      <c r="U94" s="1155"/>
      <c r="V94" s="1162">
        <f t="shared" si="113"/>
        <v>0</v>
      </c>
      <c r="W94" s="1162">
        <f>IF($G$8=0,0,MAX(0,(IF('New Waterfall'!$D$13=0,0,-XNPV('New Waterfall'!$D$13,R$8:$R46,$P$8:$P46))*(1+'New Waterfall'!$D$13)^(($P94-$P$8)/365))))</f>
        <v>0</v>
      </c>
      <c r="X94" s="1162">
        <f>IF($G$9=0,0,MAX(0,(IF('New Waterfall'!$E$13=0,0,-XNPV('New Waterfall'!$E$13,S$8:$S46,$P$8:$P46))*(1+'New Waterfall'!$E$13)^(($P94-$P$8)/365))))</f>
        <v>0</v>
      </c>
      <c r="Y94" s="1162">
        <f>IF($G$10=0,0,MAX(0,(IF('New Waterfall'!$E$13=0,0,-XNPV('New Waterfall'!$E$13,$T$8:T46,$P$8:$P46))*(1+'New Waterfall'!$E$13)^(($P94-$P$8)/365))))</f>
        <v>0</v>
      </c>
      <c r="AA94" s="1155" t="s">
        <v>194</v>
      </c>
      <c r="AB94" s="1162">
        <f t="shared" si="114"/>
        <v>0</v>
      </c>
      <c r="AC94" s="1162">
        <f t="shared" si="115"/>
        <v>0</v>
      </c>
      <c r="AD94" s="1162">
        <f t="shared" si="116"/>
        <v>0</v>
      </c>
      <c r="AE94" s="1162">
        <f t="shared" si="117"/>
        <v>0</v>
      </c>
      <c r="AF94" s="1167">
        <f>IF(SUM(W94:Y94)/(1-'New Waterfall'!$G$13)&lt;'New Waterfall'!Q94,SUM('New Waterfall'!W94:Y94)/(1-'New Waterfall'!$G$13),'New Waterfall'!Q94)*'New Waterfall'!$G$13</f>
        <v>0</v>
      </c>
      <c r="AG94" s="1162">
        <f t="shared" si="118"/>
        <v>0</v>
      </c>
      <c r="AH94" s="1162">
        <f>IF($G$8=0,0,MAX(0,(IF('New Waterfall'!$D$14=0,0,-XNPV('New Waterfall'!$D$14,$R$8:$R46,$P$8:$P46))*(1+'New Waterfall'!$D$14)^(($P94-$P$8)/365))-SUM(AC94)))</f>
        <v>23091814338.023579</v>
      </c>
      <c r="AI94" s="1162">
        <f>IF($G$9=0,0,MAX(0,(IF('New Waterfall'!$E$14=0,0,-XNPV('New Waterfall'!$E$14,$S$8:$S46,$P$8:$P46))*(1+'New Waterfall'!$E$14)^(($P94-$P$8)/365))-SUM(AD94)))</f>
        <v>2565757148.6692853</v>
      </c>
      <c r="AJ94" s="1162">
        <f>IF($G$10=0,0,MAX(0,(IF('New Waterfall'!$F$14=0,0,-XNPV('New Waterfall'!$F$14,$T$8:$T46,$P$8:$P46))*(1+'New Waterfall'!$F$14)^(($P94-$P$8)/365))-SUM(AE94)))</f>
        <v>0</v>
      </c>
      <c r="AL94" s="1155" t="s">
        <v>195</v>
      </c>
      <c r="AM94" s="1162">
        <f t="shared" si="119"/>
        <v>0</v>
      </c>
      <c r="AN94" s="1162">
        <f t="shared" si="120"/>
        <v>0</v>
      </c>
      <c r="AO94" s="1162">
        <f t="shared" si="121"/>
        <v>0</v>
      </c>
      <c r="AP94" s="1162">
        <f t="shared" si="122"/>
        <v>0</v>
      </c>
      <c r="AQ94" s="1167">
        <f>IF(SUM(AH94:AJ94)/(1-'New Waterfall'!$G$14)&lt;'New Waterfall'!AG94,SUM('New Waterfall'!AH94:AJ94)/(1-'New Waterfall'!$G$14),'New Waterfall'!AG94)*'New Waterfall'!$G$14</f>
        <v>0</v>
      </c>
      <c r="AR94" s="1162">
        <f t="shared" si="123"/>
        <v>0</v>
      </c>
      <c r="AS94" s="1162">
        <f>IF($G$8=0,0,MAX(0,(IF('New Waterfall'!$D$15=0,0,-XNPV('New Waterfall'!$D$15,$R$8:$R46,$P$8:$P46))*(1+'New Waterfall'!$D$15)^(($P94-$P$8)/365))-SUM(AN94,AC94)))</f>
        <v>0</v>
      </c>
      <c r="AT94" s="1162">
        <f>IF($G$9=0,0,MAX(0,(IF('New Waterfall'!$E$15=0,0,-XNPV('New Waterfall'!$E$15,$S$8:$S46,$P$8:$P46))*(1+'New Waterfall'!$E$15)^(($P94-$P$8)/365))-SUM(AO94,AD94)))</f>
        <v>0</v>
      </c>
      <c r="AU94" s="1162">
        <f>IF($G$10=0,0,MAX(0,(IF('New Waterfall'!$F$15=0,0,-XNPV('New Waterfall'!$F$15,$T$8:$T46,$P$8:$P46))*(1+'New Waterfall'!$F$15)^(($P94-$P$8)/365))-SUM(AP94,AE94)))</f>
        <v>0</v>
      </c>
      <c r="AW94" s="1155" t="s">
        <v>196</v>
      </c>
      <c r="AX94" s="1162">
        <f t="shared" si="124"/>
        <v>0</v>
      </c>
      <c r="AY94" s="1162">
        <f t="shared" si="125"/>
        <v>0</v>
      </c>
      <c r="AZ94" s="1162">
        <f t="shared" si="126"/>
        <v>0</v>
      </c>
      <c r="BA94" s="1162">
        <f t="shared" si="127"/>
        <v>0</v>
      </c>
      <c r="BB94" s="1167">
        <f>IF(SUM(AS94:AU94)/(1-'New Waterfall'!$G$15)&lt;'New Waterfall'!AR94,SUM('New Waterfall'!AS94:AU94)/(1-'New Waterfall'!$G$15),'New Waterfall'!AR94)*'New Waterfall'!$G$15</f>
        <v>0</v>
      </c>
      <c r="BC94" s="1162">
        <f t="shared" si="128"/>
        <v>0</v>
      </c>
      <c r="BD94" s="1162">
        <f>IF($G$8=0,0,MAX(0,(IF('New Waterfall'!$D$16=0,0,-XNPV('New Waterfall'!$D$16,$R$8:$R46,$P$8:$P46))*(1+'New Waterfall'!$D$16)^(($P94-$P$8)/365))-SUM(AY94,AN94,AC94)))</f>
        <v>0</v>
      </c>
      <c r="BE94" s="1162">
        <f>IF($G$9=0,0,MAX(0,(IF('New Waterfall'!$E$16=0,0,-XNPV('New Waterfall'!$E$16,$S$8:$S46,$P$8:$P46))*(1+'New Waterfall'!$E$16)^(($P94-$P$8)/365))-SUM(AZ94,AO94,AD94)))</f>
        <v>0</v>
      </c>
      <c r="BF94" s="1162">
        <f>IF($G$10=0,0,MAX(0,(IF('New Waterfall'!$F$16=0,0,-XNPV('New Waterfall'!$F$16,$T$8:$T46,$P$8:$P46))*(1+'New Waterfall'!$F$16)^(($P94-$P$8)/365))-SUM(BA94,AP94,AE94)))</f>
        <v>0</v>
      </c>
      <c r="BH94" s="1155" t="s">
        <v>450</v>
      </c>
      <c r="BI94" s="1162">
        <f t="shared" si="129"/>
        <v>0</v>
      </c>
      <c r="BJ94" s="1162">
        <f t="shared" si="130"/>
        <v>0</v>
      </c>
      <c r="BK94" s="1162">
        <f t="shared" si="131"/>
        <v>0</v>
      </c>
      <c r="BL94" s="1162">
        <f t="shared" si="132"/>
        <v>0</v>
      </c>
      <c r="BM94" s="1167">
        <f>IF(SUM(BD94:BF94)/(1-'New Waterfall'!$G$16)&lt;'New Waterfall'!BC94,SUM('New Waterfall'!BD94:BF94)/(1-'New Waterfall'!$G$16),'New Waterfall'!BC94)*'New Waterfall'!$G$16</f>
        <v>0</v>
      </c>
      <c r="BN94" s="1162">
        <f t="shared" si="133"/>
        <v>0</v>
      </c>
      <c r="BO94" s="1162">
        <f>IF($G$8=0,0,MAX(0,(IF('New Waterfall'!$D$17=0,0,-XNPV('New Waterfall'!$D$17,$R$8:$R46,$P$8:$P46))*(1+'New Waterfall'!$D$17)^(($P94-$P$8)/365))-SUM(BJ94,AY94,AN94,AC94)))</f>
        <v>0</v>
      </c>
      <c r="BP94" s="1162">
        <f>IF($G$9=0,0,MAX(0,(IF('New Waterfall'!$E$17=0,0,-XNPV('New Waterfall'!$E$17,$S$8:$S46,$P$8:$P46))*(1+'New Waterfall'!$E$17)^(($P94-$P$8)/365))-SUM(BK94,AZ94,AO94,AD94)))</f>
        <v>0</v>
      </c>
      <c r="BQ94" s="1162">
        <f>IF($G$10=0,0,MAX(0,(IF('New Waterfall'!$F$17=0,0,-XNPV('New Waterfall'!$F$17,$T$8:$T46,$P$8:$P46))*(1+'New Waterfall'!$F$17)^(($P94-$P$8)/365))-SUM(BL94,BA94,AP94,AE94)))</f>
        <v>0</v>
      </c>
      <c r="BS94" s="1155" t="s">
        <v>451</v>
      </c>
      <c r="BT94" s="1162">
        <f t="shared" si="134"/>
        <v>0</v>
      </c>
      <c r="BU94" s="1162">
        <f t="shared" si="135"/>
        <v>0</v>
      </c>
      <c r="BV94" s="1162">
        <f t="shared" si="136"/>
        <v>0</v>
      </c>
      <c r="BW94" s="1162">
        <f t="shared" si="137"/>
        <v>0</v>
      </c>
      <c r="BX94" s="1167">
        <f>IF(SUM(BO94:BQ94)/(1-'New Waterfall'!$G$17)&lt;'New Waterfall'!BN94,SUM('New Waterfall'!BO94:BQ94)/(1-'New Waterfall'!$G$17),'New Waterfall'!BN94)*'New Waterfall'!$G$17</f>
        <v>0</v>
      </c>
      <c r="BY94" s="1162">
        <f t="shared" si="138"/>
        <v>0</v>
      </c>
      <c r="BZ94" s="1162">
        <f>IF($G$8=0,0,MAX(0,(IF('New Waterfall'!$D$18=0,0,-XNPV('New Waterfall'!$D$18,$R$8:$R46,$P$8:$P46))*(1+'New Waterfall'!$D$18)^(($P94-$P$8)/365))-SUM(BU94,BJ94,AY94,AN94,AC94)))</f>
        <v>0</v>
      </c>
      <c r="CA94" s="1162">
        <f>IF($G$9=0,0,MAX(0,(IF('New Waterfall'!$E$18=0,0,-XNPV('New Waterfall'!$E$18,$S$8:$S46,$P$8:$P46))*(1+'New Waterfall'!$E$18)^(($P94-$P$8)/365))-SUM(BV94,BK94,AZ94,AO94,AD94)))</f>
        <v>0</v>
      </c>
      <c r="CB94" s="1162">
        <f>IF($G$10=0,0,MAX(0,(IF('New Waterfall'!$F$18=0,0,-XNPV('New Waterfall'!$F$18,$T$8:$T46,$P$8:$P46))*(1+'New Waterfall'!$F$18)^(($P94-$P$8)/365))-SUM(BW94,BL94,BA94,AP94,AE94)))</f>
        <v>0</v>
      </c>
      <c r="CD94" s="1155" t="s">
        <v>452</v>
      </c>
      <c r="CE94" s="1162">
        <f t="shared" si="139"/>
        <v>0</v>
      </c>
      <c r="CF94" s="1162">
        <f t="shared" si="140"/>
        <v>0</v>
      </c>
      <c r="CG94" s="1162">
        <f t="shared" si="141"/>
        <v>0</v>
      </c>
      <c r="CH94" s="1162">
        <f t="shared" si="142"/>
        <v>0</v>
      </c>
      <c r="CI94" s="1167">
        <f>BY94*'New Waterfall'!$G$18</f>
        <v>0</v>
      </c>
      <c r="CN94" s="1171">
        <f t="shared" si="143"/>
        <v>0</v>
      </c>
      <c r="CO94" s="1170">
        <f t="shared" si="144"/>
        <v>0</v>
      </c>
      <c r="CP94" s="1170">
        <f t="shared" si="145"/>
        <v>0</v>
      </c>
      <c r="CQ94" s="1170">
        <f t="shared" si="146"/>
        <v>0</v>
      </c>
    </row>
    <row r="95" spans="3:95" outlineLevel="1">
      <c r="E95" s="1182">
        <f>E93-E94</f>
        <v>0</v>
      </c>
      <c r="F95" s="1182">
        <f>F93-F94</f>
        <v>0</v>
      </c>
      <c r="I95" s="1165"/>
      <c r="J95" s="1162"/>
      <c r="O95" s="1169">
        <v>10</v>
      </c>
      <c r="P95" s="1168">
        <f t="shared" si="109"/>
        <v>47817</v>
      </c>
      <c r="Q95" s="1159">
        <f>+'New Waterfall'!F80</f>
        <v>0</v>
      </c>
      <c r="R95" s="1159">
        <f t="shared" si="110"/>
        <v>0</v>
      </c>
      <c r="S95" s="1159">
        <f t="shared" si="111"/>
        <v>0</v>
      </c>
      <c r="T95" s="1159">
        <f t="shared" si="112"/>
        <v>0</v>
      </c>
      <c r="U95" s="1155"/>
      <c r="V95" s="1162">
        <f t="shared" si="113"/>
        <v>0</v>
      </c>
      <c r="W95" s="1162">
        <f>IF($G$8=0,0,MAX(0,(IF('New Waterfall'!$D$13=0,0,-XNPV('New Waterfall'!$D$13,R$8:$R47,$P$8:$P47))*(1+'New Waterfall'!$D$13)^(($P95-$P$8)/365))))</f>
        <v>0</v>
      </c>
      <c r="X95" s="1162">
        <f>IF($G$9=0,0,MAX(0,(IF('New Waterfall'!$E$13=0,0,-XNPV('New Waterfall'!$E$13,S$8:$S47,$P$8:$P47))*(1+'New Waterfall'!$E$13)^(($P95-$P$8)/365))))</f>
        <v>0</v>
      </c>
      <c r="Y95" s="1162">
        <f>IF($G$10=0,0,MAX(0,(IF('New Waterfall'!$E$13=0,0,-XNPV('New Waterfall'!$E$13,$T$8:T47,$P$8:$P47))*(1+'New Waterfall'!$E$13)^(($P95-$P$8)/365))))</f>
        <v>0</v>
      </c>
      <c r="AA95" s="1155" t="s">
        <v>194</v>
      </c>
      <c r="AB95" s="1162">
        <f t="shared" si="114"/>
        <v>0</v>
      </c>
      <c r="AC95" s="1162">
        <f t="shared" si="115"/>
        <v>0</v>
      </c>
      <c r="AD95" s="1162">
        <f t="shared" si="116"/>
        <v>0</v>
      </c>
      <c r="AE95" s="1162">
        <f t="shared" si="117"/>
        <v>0</v>
      </c>
      <c r="AF95" s="1167">
        <f>IF(SUM(W95:Y95)/(1-'New Waterfall'!$G$13)&lt;'New Waterfall'!Q95,SUM('New Waterfall'!W95:Y95)/(1-'New Waterfall'!$G$13),'New Waterfall'!Q95)*'New Waterfall'!$G$13</f>
        <v>0</v>
      </c>
      <c r="AG95" s="1162">
        <f t="shared" si="118"/>
        <v>0</v>
      </c>
      <c r="AH95" s="1162">
        <f>IF($G$8=0,0,MAX(0,(IF('New Waterfall'!$D$14=0,0,-XNPV('New Waterfall'!$D$14,$R$8:$R47,$P$8:$P47))*(1+'New Waterfall'!$D$14)^(($P95-$P$8)/365))-SUM(AC95)))</f>
        <v>28122373788.691971</v>
      </c>
      <c r="AI95" s="1162">
        <f>IF($G$9=0,0,MAX(0,(IF('New Waterfall'!$E$14=0,0,-XNPV('New Waterfall'!$E$14,$S$8:$S47,$P$8:$P47))*(1+'New Waterfall'!$E$14)^(($P95-$P$8)/365))-SUM(AD95)))</f>
        <v>3124708198.7435508</v>
      </c>
      <c r="AJ95" s="1162">
        <f>IF($G$10=0,0,MAX(0,(IF('New Waterfall'!$F$14=0,0,-XNPV('New Waterfall'!$F$14,$T$8:$T47,$P$8:$P47))*(1+'New Waterfall'!$F$14)^(($P95-$P$8)/365))-SUM(AE95)))</f>
        <v>0</v>
      </c>
      <c r="AL95" s="1155" t="s">
        <v>195</v>
      </c>
      <c r="AM95" s="1162">
        <f t="shared" si="119"/>
        <v>0</v>
      </c>
      <c r="AN95" s="1162">
        <f t="shared" si="120"/>
        <v>0</v>
      </c>
      <c r="AO95" s="1162">
        <f t="shared" si="121"/>
        <v>0</v>
      </c>
      <c r="AP95" s="1162">
        <f t="shared" si="122"/>
        <v>0</v>
      </c>
      <c r="AQ95" s="1167">
        <f>IF(SUM(AH95:AJ95)/(1-'New Waterfall'!$G$14)&lt;'New Waterfall'!AG95,SUM('New Waterfall'!AH95:AJ95)/(1-'New Waterfall'!$G$14),'New Waterfall'!AG95)*'New Waterfall'!$G$14</f>
        <v>0</v>
      </c>
      <c r="AR95" s="1162">
        <f t="shared" si="123"/>
        <v>0</v>
      </c>
      <c r="AS95" s="1162">
        <f>IF($G$8=0,0,MAX(0,(IF('New Waterfall'!$D$15=0,0,-XNPV('New Waterfall'!$D$15,$R$8:$R47,$P$8:$P47))*(1+'New Waterfall'!$D$15)^(($P95-$P$8)/365))-SUM(AN95,AC95)))</f>
        <v>0</v>
      </c>
      <c r="AT95" s="1162">
        <f>IF($G$9=0,0,MAX(0,(IF('New Waterfall'!$E$15=0,0,-XNPV('New Waterfall'!$E$15,$S$8:$S47,$P$8:$P47))*(1+'New Waterfall'!$E$15)^(($P95-$P$8)/365))-SUM(AO95,AD95)))</f>
        <v>0</v>
      </c>
      <c r="AU95" s="1162">
        <f>IF($G$10=0,0,MAX(0,(IF('New Waterfall'!$F$15=0,0,-XNPV('New Waterfall'!$F$15,$T$8:$T47,$P$8:$P47))*(1+'New Waterfall'!$F$15)^(($P95-$P$8)/365))-SUM(AP95,AE95)))</f>
        <v>0</v>
      </c>
      <c r="AW95" s="1155" t="s">
        <v>196</v>
      </c>
      <c r="AX95" s="1162">
        <f t="shared" si="124"/>
        <v>0</v>
      </c>
      <c r="AY95" s="1162">
        <f t="shared" si="125"/>
        <v>0</v>
      </c>
      <c r="AZ95" s="1162">
        <f t="shared" si="126"/>
        <v>0</v>
      </c>
      <c r="BA95" s="1162">
        <f t="shared" si="127"/>
        <v>0</v>
      </c>
      <c r="BB95" s="1167">
        <f>IF(SUM(AS95:AU95)/(1-'New Waterfall'!$G$15)&lt;'New Waterfall'!AR95,SUM('New Waterfall'!AS95:AU95)/(1-'New Waterfall'!$G$15),'New Waterfall'!AR95)*'New Waterfall'!$G$15</f>
        <v>0</v>
      </c>
      <c r="BC95" s="1162">
        <f t="shared" si="128"/>
        <v>0</v>
      </c>
      <c r="BD95" s="1162">
        <f>IF($G$8=0,0,MAX(0,(IF('New Waterfall'!$D$16=0,0,-XNPV('New Waterfall'!$D$16,$R$8:$R47,$P$8:$P47))*(1+'New Waterfall'!$D$16)^(($P95-$P$8)/365))-SUM(AY95,AN95,AC95)))</f>
        <v>0</v>
      </c>
      <c r="BE95" s="1162">
        <f>IF($G$9=0,0,MAX(0,(IF('New Waterfall'!$E$16=0,0,-XNPV('New Waterfall'!$E$16,$S$8:$S47,$P$8:$P47))*(1+'New Waterfall'!$E$16)^(($P95-$P$8)/365))-SUM(AZ95,AO95,AD95)))</f>
        <v>0</v>
      </c>
      <c r="BF95" s="1162">
        <f>IF($G$10=0,0,MAX(0,(IF('New Waterfall'!$F$16=0,0,-XNPV('New Waterfall'!$F$16,$T$8:$T47,$P$8:$P47))*(1+'New Waterfall'!$F$16)^(($P95-$P$8)/365))-SUM(BA95,AP95,AE95)))</f>
        <v>0</v>
      </c>
      <c r="BH95" s="1155" t="s">
        <v>450</v>
      </c>
      <c r="BI95" s="1162">
        <f t="shared" si="129"/>
        <v>0</v>
      </c>
      <c r="BJ95" s="1162">
        <f t="shared" si="130"/>
        <v>0</v>
      </c>
      <c r="BK95" s="1162">
        <f t="shared" si="131"/>
        <v>0</v>
      </c>
      <c r="BL95" s="1162">
        <f t="shared" si="132"/>
        <v>0</v>
      </c>
      <c r="BM95" s="1167">
        <f>IF(SUM(BD95:BF95)/(1-'New Waterfall'!$G$16)&lt;'New Waterfall'!BC95,SUM('New Waterfall'!BD95:BF95)/(1-'New Waterfall'!$G$16),'New Waterfall'!BC95)*'New Waterfall'!$G$16</f>
        <v>0</v>
      </c>
      <c r="BN95" s="1162">
        <f t="shared" si="133"/>
        <v>0</v>
      </c>
      <c r="BO95" s="1162">
        <f>IF($G$8=0,0,MAX(0,(IF('New Waterfall'!$D$17=0,0,-XNPV('New Waterfall'!$D$17,$R$8:$R47,$P$8:$P47))*(1+'New Waterfall'!$D$17)^(($P95-$P$8)/365))-SUM(BJ95,AY95,AN95,AC95)))</f>
        <v>0</v>
      </c>
      <c r="BP95" s="1162">
        <f>IF($G$9=0,0,MAX(0,(IF('New Waterfall'!$E$17=0,0,-XNPV('New Waterfall'!$E$17,$S$8:$S47,$P$8:$P47))*(1+'New Waterfall'!$E$17)^(($P95-$P$8)/365))-SUM(BK95,AZ95,AO95,AD95)))</f>
        <v>0</v>
      </c>
      <c r="BQ95" s="1162">
        <f>IF($G$10=0,0,MAX(0,(IF('New Waterfall'!$F$17=0,0,-XNPV('New Waterfall'!$F$17,$T$8:$T47,$P$8:$P47))*(1+'New Waterfall'!$F$17)^(($P95-$P$8)/365))-SUM(BL95,BA95,AP95,AE95)))</f>
        <v>0</v>
      </c>
      <c r="BS95" s="1155" t="s">
        <v>451</v>
      </c>
      <c r="BT95" s="1162">
        <f t="shared" si="134"/>
        <v>0</v>
      </c>
      <c r="BU95" s="1162">
        <f t="shared" si="135"/>
        <v>0</v>
      </c>
      <c r="BV95" s="1162">
        <f t="shared" si="136"/>
        <v>0</v>
      </c>
      <c r="BW95" s="1162">
        <f t="shared" si="137"/>
        <v>0</v>
      </c>
      <c r="BX95" s="1167">
        <f>IF(SUM(BO95:BQ95)/(1-'New Waterfall'!$G$17)&lt;'New Waterfall'!BN95,SUM('New Waterfall'!BO95:BQ95)/(1-'New Waterfall'!$G$17),'New Waterfall'!BN95)*'New Waterfall'!$G$17</f>
        <v>0</v>
      </c>
      <c r="BY95" s="1162">
        <f t="shared" si="138"/>
        <v>0</v>
      </c>
      <c r="BZ95" s="1162">
        <f>IF($G$8=0,0,MAX(0,(IF('New Waterfall'!$D$18=0,0,-XNPV('New Waterfall'!$D$18,$R$8:$R47,$P$8:$P47))*(1+'New Waterfall'!$D$18)^(($P95-$P$8)/365))-SUM(BU95,BJ95,AY95,AN95,AC95)))</f>
        <v>0</v>
      </c>
      <c r="CA95" s="1162">
        <f>IF($G$9=0,0,MAX(0,(IF('New Waterfall'!$E$18=0,0,-XNPV('New Waterfall'!$E$18,$S$8:$S47,$P$8:$P47))*(1+'New Waterfall'!$E$18)^(($P95-$P$8)/365))-SUM(BV95,BK95,AZ95,AO95,AD95)))</f>
        <v>0</v>
      </c>
      <c r="CB95" s="1162">
        <f>IF($G$10=0,0,MAX(0,(IF('New Waterfall'!$F$18=0,0,-XNPV('New Waterfall'!$F$18,$T$8:$T47,$P$8:$P47))*(1+'New Waterfall'!$F$18)^(($P95-$P$8)/365))-SUM(BW95,BL95,BA95,AP95,AE95)))</f>
        <v>0</v>
      </c>
      <c r="CD95" s="1155" t="s">
        <v>452</v>
      </c>
      <c r="CE95" s="1162">
        <f t="shared" si="139"/>
        <v>0</v>
      </c>
      <c r="CF95" s="1162">
        <f t="shared" si="140"/>
        <v>0</v>
      </c>
      <c r="CG95" s="1162">
        <f t="shared" si="141"/>
        <v>0</v>
      </c>
      <c r="CH95" s="1162">
        <f t="shared" si="142"/>
        <v>0</v>
      </c>
      <c r="CI95" s="1167">
        <f>BY95*'New Waterfall'!$G$18</f>
        <v>0</v>
      </c>
      <c r="CN95" s="1171">
        <f t="shared" si="143"/>
        <v>0</v>
      </c>
      <c r="CO95" s="1170">
        <f t="shared" si="144"/>
        <v>0</v>
      </c>
      <c r="CP95" s="1170">
        <f t="shared" si="145"/>
        <v>0</v>
      </c>
      <c r="CQ95" s="1170">
        <f t="shared" si="146"/>
        <v>0</v>
      </c>
    </row>
    <row r="96" spans="3:95" outlineLevel="1">
      <c r="I96" s="1165"/>
      <c r="J96" s="1162"/>
      <c r="O96" s="1169">
        <f t="shared" ref="O96:O105" si="147">O95+1</f>
        <v>11</v>
      </c>
      <c r="P96" s="1168">
        <f t="shared" si="109"/>
        <v>47848</v>
      </c>
      <c r="Q96" s="1159">
        <f>+'New Waterfall'!F81</f>
        <v>0</v>
      </c>
      <c r="R96" s="1159">
        <f t="shared" si="110"/>
        <v>0</v>
      </c>
      <c r="S96" s="1159">
        <f t="shared" si="111"/>
        <v>0</v>
      </c>
      <c r="T96" s="1159">
        <f t="shared" si="112"/>
        <v>0</v>
      </c>
      <c r="U96" s="1155"/>
      <c r="V96" s="1162">
        <f t="shared" si="113"/>
        <v>0</v>
      </c>
      <c r="W96" s="1162">
        <f>IF($G$8=0,0,MAX(0,(IF('New Waterfall'!$D$13=0,0,-XNPV('New Waterfall'!$D$13,R$8:$R48,$P$8:$P48))*(1+'New Waterfall'!$D$13)^(($P96-$P$8)/365))))</f>
        <v>0</v>
      </c>
      <c r="X96" s="1162">
        <f>IF($G$9=0,0,MAX(0,(IF('New Waterfall'!$E$13=0,0,-XNPV('New Waterfall'!$E$13,S$8:$S48,$P$8:$P48))*(1+'New Waterfall'!$E$13)^(($P96-$P$8)/365))))</f>
        <v>0</v>
      </c>
      <c r="Y96" s="1162">
        <f>IF($G$10=0,0,MAX(0,(IF('New Waterfall'!$E$13=0,0,-XNPV('New Waterfall'!$E$13,$T$8:T48,$P$8:$P48))*(1+'New Waterfall'!$E$13)^(($P96-$P$8)/365))))</f>
        <v>0</v>
      </c>
      <c r="AA96" s="1155" t="s">
        <v>194</v>
      </c>
      <c r="AB96" s="1162">
        <f t="shared" si="114"/>
        <v>0</v>
      </c>
      <c r="AC96" s="1162">
        <f t="shared" si="115"/>
        <v>0</v>
      </c>
      <c r="AD96" s="1162">
        <f t="shared" si="116"/>
        <v>0</v>
      </c>
      <c r="AE96" s="1162">
        <f t="shared" si="117"/>
        <v>0</v>
      </c>
      <c r="AF96" s="1167">
        <f>IF(SUM(W96:Y96)/(1-'New Waterfall'!$G$13)&lt;'New Waterfall'!Q96,SUM('New Waterfall'!W96:Y96)/(1-'New Waterfall'!$G$13),'New Waterfall'!Q96)*'New Waterfall'!$G$13</f>
        <v>0</v>
      </c>
      <c r="AG96" s="1162">
        <f t="shared" si="118"/>
        <v>0</v>
      </c>
      <c r="AH96" s="1162">
        <f>IF($G$8=0,0,MAX(0,(IF('New Waterfall'!$D$14=0,0,-XNPV('New Waterfall'!$D$14,$R$8:$R48,$P$8:$P48))*(1+'New Waterfall'!$D$14)^(($P96-$P$8)/365))-SUM(AC96)))</f>
        <v>34474583367.623672</v>
      </c>
      <c r="AI96" s="1162">
        <f>IF($G$9=0,0,MAX(0,(IF('New Waterfall'!$E$14=0,0,-XNPV('New Waterfall'!$E$14,$S$8:$S48,$P$8:$P48))*(1+'New Waterfall'!$E$14)^(($P96-$P$8)/365))-SUM(AD96)))</f>
        <v>3830509263.0692949</v>
      </c>
      <c r="AJ96" s="1162">
        <f>IF($G$10=0,0,MAX(0,(IF('New Waterfall'!$F$14=0,0,-XNPV('New Waterfall'!$F$14,$T$8:$T48,$P$8:$P48))*(1+'New Waterfall'!$F$14)^(($P96-$P$8)/365))-SUM(AE96)))</f>
        <v>0</v>
      </c>
      <c r="AL96" s="1155" t="s">
        <v>195</v>
      </c>
      <c r="AM96" s="1162">
        <f t="shared" si="119"/>
        <v>0</v>
      </c>
      <c r="AN96" s="1162">
        <f t="shared" si="120"/>
        <v>0</v>
      </c>
      <c r="AO96" s="1162">
        <f t="shared" si="121"/>
        <v>0</v>
      </c>
      <c r="AP96" s="1162">
        <f t="shared" si="122"/>
        <v>0</v>
      </c>
      <c r="AQ96" s="1167">
        <f>IF(SUM(AH96:AJ96)/(1-'New Waterfall'!$G$14)&lt;'New Waterfall'!AG96,SUM('New Waterfall'!AH96:AJ96)/(1-'New Waterfall'!$G$14),'New Waterfall'!AG96)*'New Waterfall'!$G$14</f>
        <v>0</v>
      </c>
      <c r="AR96" s="1162">
        <f t="shared" si="123"/>
        <v>0</v>
      </c>
      <c r="AS96" s="1162">
        <f>IF($G$8=0,0,MAX(0,(IF('New Waterfall'!$D$15=0,0,-XNPV('New Waterfall'!$D$15,$R$8:$R48,$P$8:$P48))*(1+'New Waterfall'!$D$15)^(($P96-$P$8)/365))-SUM(AN96,AC96)))</f>
        <v>0</v>
      </c>
      <c r="AT96" s="1162">
        <f>IF($G$9=0,0,MAX(0,(IF('New Waterfall'!$E$15=0,0,-XNPV('New Waterfall'!$E$15,$S$8:$S48,$P$8:$P48))*(1+'New Waterfall'!$E$15)^(($P96-$P$8)/365))-SUM(AO96,AD96)))</f>
        <v>0</v>
      </c>
      <c r="AU96" s="1162">
        <f>IF($G$10=0,0,MAX(0,(IF('New Waterfall'!$F$15=0,0,-XNPV('New Waterfall'!$F$15,$T$8:$T48,$P$8:$P48))*(1+'New Waterfall'!$F$15)^(($P96-$P$8)/365))-SUM(AP96,AE96)))</f>
        <v>0</v>
      </c>
      <c r="AW96" s="1155" t="s">
        <v>196</v>
      </c>
      <c r="AX96" s="1162">
        <f t="shared" si="124"/>
        <v>0</v>
      </c>
      <c r="AY96" s="1162">
        <f t="shared" si="125"/>
        <v>0</v>
      </c>
      <c r="AZ96" s="1162">
        <f t="shared" si="126"/>
        <v>0</v>
      </c>
      <c r="BA96" s="1162">
        <f t="shared" si="127"/>
        <v>0</v>
      </c>
      <c r="BB96" s="1167">
        <f>IF(SUM(AS96:AU96)/(1-'New Waterfall'!$G$15)&lt;'New Waterfall'!AR96,SUM('New Waterfall'!AS96:AU96)/(1-'New Waterfall'!$G$15),'New Waterfall'!AR96)*'New Waterfall'!$G$15</f>
        <v>0</v>
      </c>
      <c r="BC96" s="1162">
        <f t="shared" si="128"/>
        <v>0</v>
      </c>
      <c r="BD96" s="1162">
        <f>IF($G$8=0,0,MAX(0,(IF('New Waterfall'!$D$16=0,0,-XNPV('New Waterfall'!$D$16,$R$8:$R48,$P$8:$P48))*(1+'New Waterfall'!$D$16)^(($P96-$P$8)/365))-SUM(AY96,AN96,AC96)))</f>
        <v>0</v>
      </c>
      <c r="BE96" s="1162">
        <f>IF($G$9=0,0,MAX(0,(IF('New Waterfall'!$E$16=0,0,-XNPV('New Waterfall'!$E$16,$S$8:$S48,$P$8:$P48))*(1+'New Waterfall'!$E$16)^(($P96-$P$8)/365))-SUM(AZ96,AO96,AD96)))</f>
        <v>0</v>
      </c>
      <c r="BF96" s="1162">
        <f>IF($G$10=0,0,MAX(0,(IF('New Waterfall'!$F$16=0,0,-XNPV('New Waterfall'!$F$16,$T$8:$T48,$P$8:$P48))*(1+'New Waterfall'!$F$16)^(($P96-$P$8)/365))-SUM(BA96,AP96,AE96)))</f>
        <v>0</v>
      </c>
      <c r="BH96" s="1155" t="s">
        <v>450</v>
      </c>
      <c r="BI96" s="1162">
        <f t="shared" si="129"/>
        <v>0</v>
      </c>
      <c r="BJ96" s="1162">
        <f t="shared" si="130"/>
        <v>0</v>
      </c>
      <c r="BK96" s="1162">
        <f t="shared" si="131"/>
        <v>0</v>
      </c>
      <c r="BL96" s="1162">
        <f t="shared" si="132"/>
        <v>0</v>
      </c>
      <c r="BM96" s="1167">
        <f>IF(SUM(BD96:BF96)/(1-'New Waterfall'!$G$16)&lt;'New Waterfall'!BC96,SUM('New Waterfall'!BD96:BF96)/(1-'New Waterfall'!$G$16),'New Waterfall'!BC96)*'New Waterfall'!$G$16</f>
        <v>0</v>
      </c>
      <c r="BN96" s="1162">
        <f t="shared" si="133"/>
        <v>0</v>
      </c>
      <c r="BO96" s="1162">
        <f>IF($G$8=0,0,MAX(0,(IF('New Waterfall'!$D$17=0,0,-XNPV('New Waterfall'!$D$17,$R$8:$R48,$P$8:$P48))*(1+'New Waterfall'!$D$17)^(($P96-$P$8)/365))-SUM(BJ96,AY96,AN96,AC96)))</f>
        <v>0</v>
      </c>
      <c r="BP96" s="1162">
        <f>IF($G$9=0,0,MAX(0,(IF('New Waterfall'!$E$17=0,0,-XNPV('New Waterfall'!$E$17,$S$8:$S48,$P$8:$P48))*(1+'New Waterfall'!$E$17)^(($P96-$P$8)/365))-SUM(BK96,AZ96,AO96,AD96)))</f>
        <v>0</v>
      </c>
      <c r="BQ96" s="1162">
        <f>IF($G$10=0,0,MAX(0,(IF('New Waterfall'!$F$17=0,0,-XNPV('New Waterfall'!$F$17,$T$8:$T48,$P$8:$P48))*(1+'New Waterfall'!$F$17)^(($P96-$P$8)/365))-SUM(BL96,BA96,AP96,AE96)))</f>
        <v>0</v>
      </c>
      <c r="BS96" s="1155" t="s">
        <v>451</v>
      </c>
      <c r="BT96" s="1162">
        <f t="shared" si="134"/>
        <v>0</v>
      </c>
      <c r="BU96" s="1162">
        <f t="shared" si="135"/>
        <v>0</v>
      </c>
      <c r="BV96" s="1162">
        <f t="shared" si="136"/>
        <v>0</v>
      </c>
      <c r="BW96" s="1162">
        <f t="shared" si="137"/>
        <v>0</v>
      </c>
      <c r="BX96" s="1167">
        <f>IF(SUM(BO96:BQ96)/(1-'New Waterfall'!$G$17)&lt;'New Waterfall'!BN96,SUM('New Waterfall'!BO96:BQ96)/(1-'New Waterfall'!$G$17),'New Waterfall'!BN96)*'New Waterfall'!$G$17</f>
        <v>0</v>
      </c>
      <c r="BY96" s="1162">
        <f t="shared" si="138"/>
        <v>0</v>
      </c>
      <c r="BZ96" s="1162">
        <f>IF($G$8=0,0,MAX(0,(IF('New Waterfall'!$D$18=0,0,-XNPV('New Waterfall'!$D$18,$R$8:$R48,$P$8:$P48))*(1+'New Waterfall'!$D$18)^(($P96-$P$8)/365))-SUM(BU96,BJ96,AY96,AN96,AC96)))</f>
        <v>0</v>
      </c>
      <c r="CA96" s="1162">
        <f>IF($G$9=0,0,MAX(0,(IF('New Waterfall'!$E$18=0,0,-XNPV('New Waterfall'!$E$18,$S$8:$S48,$P$8:$P48))*(1+'New Waterfall'!$E$18)^(($P96-$P$8)/365))-SUM(BV96,BK96,AZ96,AO96,AD96)))</f>
        <v>0</v>
      </c>
      <c r="CB96" s="1162">
        <f>IF($G$10=0,0,MAX(0,(IF('New Waterfall'!$F$18=0,0,-XNPV('New Waterfall'!$F$18,$T$8:$T48,$P$8:$P48))*(1+'New Waterfall'!$F$18)^(($P96-$P$8)/365))-SUM(BW96,BL96,BA96,AP96,AE96)))</f>
        <v>0</v>
      </c>
      <c r="CD96" s="1155" t="s">
        <v>452</v>
      </c>
      <c r="CE96" s="1162">
        <f t="shared" si="139"/>
        <v>0</v>
      </c>
      <c r="CF96" s="1162">
        <f t="shared" si="140"/>
        <v>0</v>
      </c>
      <c r="CG96" s="1162">
        <f t="shared" si="141"/>
        <v>0</v>
      </c>
      <c r="CH96" s="1162">
        <f t="shared" si="142"/>
        <v>0</v>
      </c>
      <c r="CI96" s="1167">
        <f>BY96*'New Waterfall'!$G$18</f>
        <v>0</v>
      </c>
      <c r="CN96" s="1171">
        <f t="shared" si="143"/>
        <v>0</v>
      </c>
      <c r="CO96" s="1170">
        <f t="shared" si="144"/>
        <v>0</v>
      </c>
      <c r="CP96" s="1170">
        <f t="shared" si="145"/>
        <v>0</v>
      </c>
      <c r="CQ96" s="1170">
        <f t="shared" si="146"/>
        <v>0</v>
      </c>
    </row>
    <row r="97" spans="3:95" ht="15" customHeight="1" outlineLevel="1">
      <c r="C97" s="1173"/>
      <c r="D97" s="1173"/>
      <c r="E97" s="1173"/>
      <c r="F97" s="1173"/>
      <c r="G97" s="1173"/>
      <c r="I97" s="1165"/>
      <c r="J97" s="1162"/>
      <c r="O97" s="1169">
        <f t="shared" si="147"/>
        <v>12</v>
      </c>
      <c r="P97" s="1168">
        <f t="shared" si="109"/>
        <v>47879</v>
      </c>
      <c r="Q97" s="1159">
        <f>+'New Waterfall'!F82</f>
        <v>0</v>
      </c>
      <c r="R97" s="1159">
        <f t="shared" si="110"/>
        <v>0</v>
      </c>
      <c r="S97" s="1159">
        <f t="shared" si="111"/>
        <v>0</v>
      </c>
      <c r="T97" s="1159">
        <f t="shared" si="112"/>
        <v>0</v>
      </c>
      <c r="U97" s="1155"/>
      <c r="V97" s="1162">
        <f t="shared" si="113"/>
        <v>0</v>
      </c>
      <c r="W97" s="1162">
        <f>IF($G$8=0,0,MAX(0,(IF('New Waterfall'!$D$13=0,0,-XNPV('New Waterfall'!$D$13,R$8:$R49,$P$8:$P49))*(1+'New Waterfall'!$D$13)^(($P97-$P$8)/365))))</f>
        <v>0</v>
      </c>
      <c r="X97" s="1162">
        <f>IF($G$9=0,0,MAX(0,(IF('New Waterfall'!$E$13=0,0,-XNPV('New Waterfall'!$E$13,S$8:$S49,$P$8:$P49))*(1+'New Waterfall'!$E$13)^(($P97-$P$8)/365))))</f>
        <v>0</v>
      </c>
      <c r="Y97" s="1162">
        <f>IF($G$10=0,0,MAX(0,(IF('New Waterfall'!$E$13=0,0,-XNPV('New Waterfall'!$E$13,$T$8:T49,$P$8:$P49))*(1+'New Waterfall'!$E$13)^(($P97-$P$8)/365))))</f>
        <v>0</v>
      </c>
      <c r="AA97" s="1155" t="s">
        <v>194</v>
      </c>
      <c r="AB97" s="1162">
        <f t="shared" si="114"/>
        <v>0</v>
      </c>
      <c r="AC97" s="1162">
        <f t="shared" si="115"/>
        <v>0</v>
      </c>
      <c r="AD97" s="1162">
        <f t="shared" si="116"/>
        <v>0</v>
      </c>
      <c r="AE97" s="1162">
        <f t="shared" si="117"/>
        <v>0</v>
      </c>
      <c r="AF97" s="1167">
        <f>IF(SUM(W97:Y97)/(1-'New Waterfall'!$G$13)&lt;'New Waterfall'!Q97,SUM('New Waterfall'!W97:Y97)/(1-'New Waterfall'!$G$13),'New Waterfall'!Q97)*'New Waterfall'!$G$13</f>
        <v>0</v>
      </c>
      <c r="AG97" s="1162">
        <f t="shared" si="118"/>
        <v>0</v>
      </c>
      <c r="AH97" s="1162">
        <f>IF($G$8=0,0,MAX(0,(IF('New Waterfall'!$D$14=0,0,-XNPV('New Waterfall'!$D$14,$R$8:$R49,$P$8:$P49))*(1+'New Waterfall'!$D$14)^(($P97-$P$8)/365))-SUM(AC97)))</f>
        <v>42261613735.079865</v>
      </c>
      <c r="AI97" s="1162">
        <f>IF($G$9=0,0,MAX(0,(IF('New Waterfall'!$E$14=0,0,-XNPV('New Waterfall'!$E$14,$S$8:$S49,$P$8:$P49))*(1+'New Waterfall'!$E$14)^(($P97-$P$8)/365))-SUM(AD97)))</f>
        <v>4695734859.4533157</v>
      </c>
      <c r="AJ97" s="1162">
        <f>IF($G$10=0,0,MAX(0,(IF('New Waterfall'!$F$14=0,0,-XNPV('New Waterfall'!$F$14,$T$8:$T49,$P$8:$P49))*(1+'New Waterfall'!$F$14)^(($P97-$P$8)/365))-SUM(AE97)))</f>
        <v>0</v>
      </c>
      <c r="AL97" s="1155" t="s">
        <v>195</v>
      </c>
      <c r="AM97" s="1162">
        <f t="shared" si="119"/>
        <v>0</v>
      </c>
      <c r="AN97" s="1162">
        <f t="shared" si="120"/>
        <v>0</v>
      </c>
      <c r="AO97" s="1162">
        <f t="shared" si="121"/>
        <v>0</v>
      </c>
      <c r="AP97" s="1162">
        <f t="shared" si="122"/>
        <v>0</v>
      </c>
      <c r="AQ97" s="1167">
        <f>IF(SUM(AH97:AJ97)/(1-'New Waterfall'!$G$14)&lt;'New Waterfall'!AG97,SUM('New Waterfall'!AH97:AJ97)/(1-'New Waterfall'!$G$14),'New Waterfall'!AG97)*'New Waterfall'!$G$14</f>
        <v>0</v>
      </c>
      <c r="AR97" s="1162">
        <f t="shared" si="123"/>
        <v>0</v>
      </c>
      <c r="AS97" s="1162">
        <f>IF($G$8=0,0,MAX(0,(IF('New Waterfall'!$D$15=0,0,-XNPV('New Waterfall'!$D$15,$R$8:$R49,$P$8:$P49))*(1+'New Waterfall'!$D$15)^(($P97-$P$8)/365))-SUM(AN97,AC97)))</f>
        <v>0</v>
      </c>
      <c r="AT97" s="1162">
        <f>IF($G$9=0,0,MAX(0,(IF('New Waterfall'!$E$15=0,0,-XNPV('New Waterfall'!$E$15,$S$8:$S49,$P$8:$P49))*(1+'New Waterfall'!$E$15)^(($P97-$P$8)/365))-SUM(AO97,AD97)))</f>
        <v>0</v>
      </c>
      <c r="AU97" s="1162">
        <f>IF($G$10=0,0,MAX(0,(IF('New Waterfall'!$F$15=0,0,-XNPV('New Waterfall'!$F$15,$T$8:$T49,$P$8:$P49))*(1+'New Waterfall'!$F$15)^(($P97-$P$8)/365))-SUM(AP97,AE97)))</f>
        <v>0</v>
      </c>
      <c r="AW97" s="1155" t="s">
        <v>196</v>
      </c>
      <c r="AX97" s="1162">
        <f t="shared" si="124"/>
        <v>0</v>
      </c>
      <c r="AY97" s="1162">
        <f t="shared" si="125"/>
        <v>0</v>
      </c>
      <c r="AZ97" s="1162">
        <f t="shared" si="126"/>
        <v>0</v>
      </c>
      <c r="BA97" s="1162">
        <f t="shared" si="127"/>
        <v>0</v>
      </c>
      <c r="BB97" s="1167">
        <f>IF(SUM(AS97:AU97)/(1-'New Waterfall'!$G$15)&lt;'New Waterfall'!AR97,SUM('New Waterfall'!AS97:AU97)/(1-'New Waterfall'!$G$15),'New Waterfall'!AR97)*'New Waterfall'!$G$15</f>
        <v>0</v>
      </c>
      <c r="BC97" s="1162">
        <f t="shared" si="128"/>
        <v>0</v>
      </c>
      <c r="BD97" s="1162">
        <f>IF($G$8=0,0,MAX(0,(IF('New Waterfall'!$D$16=0,0,-XNPV('New Waterfall'!$D$16,$R$8:$R49,$P$8:$P49))*(1+'New Waterfall'!$D$16)^(($P97-$P$8)/365))-SUM(AY97,AN97,AC97)))</f>
        <v>0</v>
      </c>
      <c r="BE97" s="1162">
        <f>IF($G$9=0,0,MAX(0,(IF('New Waterfall'!$E$16=0,0,-XNPV('New Waterfall'!$E$16,$S$8:$S49,$P$8:$P49))*(1+'New Waterfall'!$E$16)^(($P97-$P$8)/365))-SUM(AZ97,AO97,AD97)))</f>
        <v>0</v>
      </c>
      <c r="BF97" s="1162">
        <f>IF($G$10=0,0,MAX(0,(IF('New Waterfall'!$F$16=0,0,-XNPV('New Waterfall'!$F$16,$T$8:$T49,$P$8:$P49))*(1+'New Waterfall'!$F$16)^(($P97-$P$8)/365))-SUM(BA97,AP97,AE97)))</f>
        <v>0</v>
      </c>
      <c r="BH97" s="1155" t="s">
        <v>450</v>
      </c>
      <c r="BI97" s="1162">
        <f t="shared" si="129"/>
        <v>0</v>
      </c>
      <c r="BJ97" s="1162">
        <f t="shared" si="130"/>
        <v>0</v>
      </c>
      <c r="BK97" s="1162">
        <f t="shared" si="131"/>
        <v>0</v>
      </c>
      <c r="BL97" s="1162">
        <f t="shared" si="132"/>
        <v>0</v>
      </c>
      <c r="BM97" s="1167">
        <f>IF(SUM(BD97:BF97)/(1-'New Waterfall'!$G$16)&lt;'New Waterfall'!BC97,SUM('New Waterfall'!BD97:BF97)/(1-'New Waterfall'!$G$16),'New Waterfall'!BC97)*'New Waterfall'!$G$16</f>
        <v>0</v>
      </c>
      <c r="BN97" s="1162">
        <f t="shared" si="133"/>
        <v>0</v>
      </c>
      <c r="BO97" s="1162">
        <f>IF($G$8=0,0,MAX(0,(IF('New Waterfall'!$D$17=0,0,-XNPV('New Waterfall'!$D$17,$R$8:$R49,$P$8:$P49))*(1+'New Waterfall'!$D$17)^(($P97-$P$8)/365))-SUM(BJ97,AY97,AN97,AC97)))</f>
        <v>0</v>
      </c>
      <c r="BP97" s="1162">
        <f>IF($G$9=0,0,MAX(0,(IF('New Waterfall'!$E$17=0,0,-XNPV('New Waterfall'!$E$17,$S$8:$S49,$P$8:$P49))*(1+'New Waterfall'!$E$17)^(($P97-$P$8)/365))-SUM(BK97,AZ97,AO97,AD97)))</f>
        <v>0</v>
      </c>
      <c r="BQ97" s="1162">
        <f>IF($G$10=0,0,MAX(0,(IF('New Waterfall'!$F$17=0,0,-XNPV('New Waterfall'!$F$17,$T$8:$T49,$P$8:$P49))*(1+'New Waterfall'!$F$17)^(($P97-$P$8)/365))-SUM(BL97,BA97,AP97,AE97)))</f>
        <v>0</v>
      </c>
      <c r="BS97" s="1155" t="s">
        <v>451</v>
      </c>
      <c r="BT97" s="1162">
        <f t="shared" si="134"/>
        <v>0</v>
      </c>
      <c r="BU97" s="1162">
        <f t="shared" si="135"/>
        <v>0</v>
      </c>
      <c r="BV97" s="1162">
        <f t="shared" si="136"/>
        <v>0</v>
      </c>
      <c r="BW97" s="1162">
        <f t="shared" si="137"/>
        <v>0</v>
      </c>
      <c r="BX97" s="1167">
        <f>IF(SUM(BO97:BQ97)/(1-'New Waterfall'!$G$17)&lt;'New Waterfall'!BN97,SUM('New Waterfall'!BO97:BQ97)/(1-'New Waterfall'!$G$17),'New Waterfall'!BN97)*'New Waterfall'!$G$17</f>
        <v>0</v>
      </c>
      <c r="BY97" s="1162">
        <f t="shared" si="138"/>
        <v>0</v>
      </c>
      <c r="BZ97" s="1162">
        <f>IF($G$8=0,0,MAX(0,(IF('New Waterfall'!$D$18=0,0,-XNPV('New Waterfall'!$D$18,$R$8:$R49,$P$8:$P49))*(1+'New Waterfall'!$D$18)^(($P97-$P$8)/365))-SUM(BU97,BJ97,AY97,AN97,AC97)))</f>
        <v>0</v>
      </c>
      <c r="CA97" s="1162">
        <f>IF($G$9=0,0,MAX(0,(IF('New Waterfall'!$E$18=0,0,-XNPV('New Waterfall'!$E$18,$S$8:$S49,$P$8:$P49))*(1+'New Waterfall'!$E$18)^(($P97-$P$8)/365))-SUM(BV97,BK97,AZ97,AO97,AD97)))</f>
        <v>0</v>
      </c>
      <c r="CB97" s="1162">
        <f>IF($G$10=0,0,MAX(0,(IF('New Waterfall'!$F$18=0,0,-XNPV('New Waterfall'!$F$18,$T$8:$T49,$P$8:$P49))*(1+'New Waterfall'!$F$18)^(($P97-$P$8)/365))-SUM(BW97,BL97,BA97,AP97,AE97)))</f>
        <v>0</v>
      </c>
      <c r="CD97" s="1155" t="s">
        <v>452</v>
      </c>
      <c r="CE97" s="1162">
        <f t="shared" si="139"/>
        <v>0</v>
      </c>
      <c r="CF97" s="1162">
        <f t="shared" si="140"/>
        <v>0</v>
      </c>
      <c r="CG97" s="1162">
        <f t="shared" si="141"/>
        <v>0</v>
      </c>
      <c r="CH97" s="1162">
        <f t="shared" si="142"/>
        <v>0</v>
      </c>
      <c r="CI97" s="1167">
        <f>BY97*'New Waterfall'!$G$18</f>
        <v>0</v>
      </c>
      <c r="CN97" s="1171">
        <f t="shared" si="143"/>
        <v>0</v>
      </c>
      <c r="CO97" s="1170">
        <f t="shared" si="144"/>
        <v>0</v>
      </c>
      <c r="CP97" s="1170">
        <f t="shared" si="145"/>
        <v>0</v>
      </c>
      <c r="CQ97" s="1170">
        <f t="shared" si="146"/>
        <v>0</v>
      </c>
    </row>
    <row r="98" spans="3:95" outlineLevel="1">
      <c r="C98" s="1173" t="s">
        <v>185</v>
      </c>
      <c r="D98" s="1173" t="str">
        <f>Q7</f>
        <v>Total Equity</v>
      </c>
      <c r="E98" s="1173" t="str">
        <f>R7</f>
        <v>TBD</v>
      </c>
      <c r="F98" s="1173" t="str">
        <f>S7</f>
        <v>OG Group</v>
      </c>
      <c r="G98" s="1173" t="str">
        <f>T7</f>
        <v>TBD</v>
      </c>
      <c r="I98" s="1165"/>
      <c r="J98" s="1162"/>
      <c r="O98" s="1169">
        <f t="shared" si="147"/>
        <v>13</v>
      </c>
      <c r="P98" s="1168">
        <f t="shared" si="109"/>
        <v>47907</v>
      </c>
      <c r="Q98" s="1159">
        <f>+'New Waterfall'!F83</f>
        <v>0</v>
      </c>
      <c r="R98" s="1159">
        <f t="shared" si="110"/>
        <v>0</v>
      </c>
      <c r="S98" s="1159">
        <f t="shared" si="111"/>
        <v>0</v>
      </c>
      <c r="T98" s="1159">
        <f t="shared" si="112"/>
        <v>0</v>
      </c>
      <c r="U98" s="1155"/>
      <c r="V98" s="1162">
        <f t="shared" si="113"/>
        <v>0</v>
      </c>
      <c r="W98" s="1162">
        <f>IF($G$8=0,0,MAX(0,(IF('New Waterfall'!$D$13=0,0,-XNPV('New Waterfall'!$D$13,R$8:$R50,$P$8:$P50))*(1+'New Waterfall'!$D$13)^(($P98-$P$8)/365))))</f>
        <v>0</v>
      </c>
      <c r="X98" s="1162">
        <f>IF($G$9=0,0,MAX(0,(IF('New Waterfall'!$E$13=0,0,-XNPV('New Waterfall'!$E$13,S$8:$S50,$P$8:$P50))*(1+'New Waterfall'!$E$13)^(($P98-$P$8)/365))))</f>
        <v>0</v>
      </c>
      <c r="Y98" s="1162">
        <f>IF($G$10=0,0,MAX(0,(IF('New Waterfall'!$E$13=0,0,-XNPV('New Waterfall'!$E$13,$T$8:T50,$P$8:$P50))*(1+'New Waterfall'!$E$13)^(($P98-$P$8)/365))))</f>
        <v>0</v>
      </c>
      <c r="AA98" s="1155" t="s">
        <v>194</v>
      </c>
      <c r="AB98" s="1162">
        <f t="shared" si="114"/>
        <v>0</v>
      </c>
      <c r="AC98" s="1162">
        <f t="shared" si="115"/>
        <v>0</v>
      </c>
      <c r="AD98" s="1162">
        <f t="shared" si="116"/>
        <v>0</v>
      </c>
      <c r="AE98" s="1162">
        <f t="shared" si="117"/>
        <v>0</v>
      </c>
      <c r="AF98" s="1167">
        <f>IF(SUM(W98:Y98)/(1-'New Waterfall'!$G$13)&lt;'New Waterfall'!Q98,SUM('New Waterfall'!W98:Y98)/(1-'New Waterfall'!$G$13),'New Waterfall'!Q98)*'New Waterfall'!$G$13</f>
        <v>0</v>
      </c>
      <c r="AG98" s="1162">
        <f t="shared" si="118"/>
        <v>0</v>
      </c>
      <c r="AH98" s="1162">
        <f>IF($G$8=0,0,MAX(0,(IF('New Waterfall'!$D$14=0,0,-XNPV('New Waterfall'!$D$14,$R$8:$R50,$P$8:$P50))*(1+'New Waterfall'!$D$14)^(($P98-$P$8)/365))-SUM(AC98)))</f>
        <v>50796493562.908157</v>
      </c>
      <c r="AI98" s="1162">
        <f>IF($G$9=0,0,MAX(0,(IF('New Waterfall'!$E$14=0,0,-XNPV('New Waterfall'!$E$14,$S$8:$S50,$P$8:$P50))*(1+'New Waterfall'!$E$14)^(($P98-$P$8)/365))-SUM(AD98)))</f>
        <v>5644054840.3231258</v>
      </c>
      <c r="AJ98" s="1162">
        <f>IF($G$10=0,0,MAX(0,(IF('New Waterfall'!$F$14=0,0,-XNPV('New Waterfall'!$F$14,$T$8:$T50,$P$8:$P50))*(1+'New Waterfall'!$F$14)^(($P98-$P$8)/365))-SUM(AE98)))</f>
        <v>0</v>
      </c>
      <c r="AL98" s="1155" t="s">
        <v>195</v>
      </c>
      <c r="AM98" s="1162">
        <f t="shared" si="119"/>
        <v>0</v>
      </c>
      <c r="AN98" s="1162">
        <f t="shared" si="120"/>
        <v>0</v>
      </c>
      <c r="AO98" s="1162">
        <f t="shared" si="121"/>
        <v>0</v>
      </c>
      <c r="AP98" s="1162">
        <f t="shared" si="122"/>
        <v>0</v>
      </c>
      <c r="AQ98" s="1167">
        <f>IF(SUM(AH98:AJ98)/(1-'New Waterfall'!$G$14)&lt;'New Waterfall'!AG98,SUM('New Waterfall'!AH98:AJ98)/(1-'New Waterfall'!$G$14),'New Waterfall'!AG98)*'New Waterfall'!$G$14</f>
        <v>0</v>
      </c>
      <c r="AR98" s="1162">
        <f t="shared" si="123"/>
        <v>0</v>
      </c>
      <c r="AS98" s="1162">
        <f>IF($G$8=0,0,MAX(0,(IF('New Waterfall'!$D$15=0,0,-XNPV('New Waterfall'!$D$15,$R$8:$R50,$P$8:$P50))*(1+'New Waterfall'!$D$15)^(($P98-$P$8)/365))-SUM(AN98,AC98)))</f>
        <v>0</v>
      </c>
      <c r="AT98" s="1162">
        <f>IF($G$9=0,0,MAX(0,(IF('New Waterfall'!$E$15=0,0,-XNPV('New Waterfall'!$E$15,$S$8:$S50,$P$8:$P50))*(1+'New Waterfall'!$E$15)^(($P98-$P$8)/365))-SUM(AO98,AD98)))</f>
        <v>0</v>
      </c>
      <c r="AU98" s="1162">
        <f>IF($G$10=0,0,MAX(0,(IF('New Waterfall'!$F$15=0,0,-XNPV('New Waterfall'!$F$15,$T$8:$T50,$P$8:$P50))*(1+'New Waterfall'!$F$15)^(($P98-$P$8)/365))-SUM(AP98,AE98)))</f>
        <v>0</v>
      </c>
      <c r="AW98" s="1155" t="s">
        <v>196</v>
      </c>
      <c r="AX98" s="1162">
        <f t="shared" si="124"/>
        <v>0</v>
      </c>
      <c r="AY98" s="1162">
        <f t="shared" si="125"/>
        <v>0</v>
      </c>
      <c r="AZ98" s="1162">
        <f t="shared" si="126"/>
        <v>0</v>
      </c>
      <c r="BA98" s="1162">
        <f t="shared" si="127"/>
        <v>0</v>
      </c>
      <c r="BB98" s="1167">
        <f>IF(SUM(AS98:AU98)/(1-'New Waterfall'!$G$15)&lt;'New Waterfall'!AR98,SUM('New Waterfall'!AS98:AU98)/(1-'New Waterfall'!$G$15),'New Waterfall'!AR98)*'New Waterfall'!$G$15</f>
        <v>0</v>
      </c>
      <c r="BC98" s="1162">
        <f t="shared" si="128"/>
        <v>0</v>
      </c>
      <c r="BD98" s="1162">
        <f>IF($G$8=0,0,MAX(0,(IF('New Waterfall'!$D$16=0,0,-XNPV('New Waterfall'!$D$16,$R$8:$R50,$P$8:$P50))*(1+'New Waterfall'!$D$16)^(($P98-$P$8)/365))-SUM(AY98,AN98,AC98)))</f>
        <v>0</v>
      </c>
      <c r="BE98" s="1162">
        <f>IF($G$9=0,0,MAX(0,(IF('New Waterfall'!$E$16=0,0,-XNPV('New Waterfall'!$E$16,$S$8:$S50,$P$8:$P50))*(1+'New Waterfall'!$E$16)^(($P98-$P$8)/365))-SUM(AZ98,AO98,AD98)))</f>
        <v>0</v>
      </c>
      <c r="BF98" s="1162">
        <f>IF($G$10=0,0,MAX(0,(IF('New Waterfall'!$F$16=0,0,-XNPV('New Waterfall'!$F$16,$T$8:$T50,$P$8:$P50))*(1+'New Waterfall'!$F$16)^(($P98-$P$8)/365))-SUM(BA98,AP98,AE98)))</f>
        <v>0</v>
      </c>
      <c r="BH98" s="1155" t="s">
        <v>450</v>
      </c>
      <c r="BI98" s="1162">
        <f t="shared" si="129"/>
        <v>0</v>
      </c>
      <c r="BJ98" s="1162">
        <f t="shared" si="130"/>
        <v>0</v>
      </c>
      <c r="BK98" s="1162">
        <f t="shared" si="131"/>
        <v>0</v>
      </c>
      <c r="BL98" s="1162">
        <f t="shared" si="132"/>
        <v>0</v>
      </c>
      <c r="BM98" s="1167">
        <f>IF(SUM(BD98:BF98)/(1-'New Waterfall'!$G$16)&lt;'New Waterfall'!BC98,SUM('New Waterfall'!BD98:BF98)/(1-'New Waterfall'!$G$16),'New Waterfall'!BC98)*'New Waterfall'!$G$16</f>
        <v>0</v>
      </c>
      <c r="BN98" s="1162">
        <f t="shared" si="133"/>
        <v>0</v>
      </c>
      <c r="BO98" s="1162">
        <f>IF($G$8=0,0,MAX(0,(IF('New Waterfall'!$D$17=0,0,-XNPV('New Waterfall'!$D$17,$R$8:$R50,$P$8:$P50))*(1+'New Waterfall'!$D$17)^(($P98-$P$8)/365))-SUM(BJ98,AY98,AN98,AC98)))</f>
        <v>0</v>
      </c>
      <c r="BP98" s="1162">
        <f>IF($G$9=0,0,MAX(0,(IF('New Waterfall'!$E$17=0,0,-XNPV('New Waterfall'!$E$17,$S$8:$S50,$P$8:$P50))*(1+'New Waterfall'!$E$17)^(($P98-$P$8)/365))-SUM(BK98,AZ98,AO98,AD98)))</f>
        <v>0</v>
      </c>
      <c r="BQ98" s="1162">
        <f>IF($G$10=0,0,MAX(0,(IF('New Waterfall'!$F$17=0,0,-XNPV('New Waterfall'!$F$17,$T$8:$T50,$P$8:$P50))*(1+'New Waterfall'!$F$17)^(($P98-$P$8)/365))-SUM(BL98,BA98,AP98,AE98)))</f>
        <v>0</v>
      </c>
      <c r="BS98" s="1155" t="s">
        <v>451</v>
      </c>
      <c r="BT98" s="1162">
        <f t="shared" si="134"/>
        <v>0</v>
      </c>
      <c r="BU98" s="1162">
        <f t="shared" si="135"/>
        <v>0</v>
      </c>
      <c r="BV98" s="1162">
        <f t="shared" si="136"/>
        <v>0</v>
      </c>
      <c r="BW98" s="1162">
        <f t="shared" si="137"/>
        <v>0</v>
      </c>
      <c r="BX98" s="1167">
        <f>IF(SUM(BO98:BQ98)/(1-'New Waterfall'!$G$17)&lt;'New Waterfall'!BN98,SUM('New Waterfall'!BO98:BQ98)/(1-'New Waterfall'!$G$17),'New Waterfall'!BN98)*'New Waterfall'!$G$17</f>
        <v>0</v>
      </c>
      <c r="BY98" s="1162">
        <f t="shared" si="138"/>
        <v>0</v>
      </c>
      <c r="BZ98" s="1162">
        <f>IF($G$8=0,0,MAX(0,(IF('New Waterfall'!$D$18=0,0,-XNPV('New Waterfall'!$D$18,$R$8:$R50,$P$8:$P50))*(1+'New Waterfall'!$D$18)^(($P98-$P$8)/365))-SUM(BU98,BJ98,AY98,AN98,AC98)))</f>
        <v>0</v>
      </c>
      <c r="CA98" s="1162">
        <f>IF($G$9=0,0,MAX(0,(IF('New Waterfall'!$E$18=0,0,-XNPV('New Waterfall'!$E$18,$S$8:$S50,$P$8:$P50))*(1+'New Waterfall'!$E$18)^(($P98-$P$8)/365))-SUM(BV98,BK98,AZ98,AO98,AD98)))</f>
        <v>0</v>
      </c>
      <c r="CB98" s="1162">
        <f>IF($G$10=0,0,MAX(0,(IF('New Waterfall'!$F$18=0,0,-XNPV('New Waterfall'!$F$18,$T$8:$T50,$P$8:$P50))*(1+'New Waterfall'!$F$18)^(($P98-$P$8)/365))-SUM(BW98,BL98,BA98,AP98,AE98)))</f>
        <v>0</v>
      </c>
      <c r="CD98" s="1155" t="s">
        <v>452</v>
      </c>
      <c r="CE98" s="1162">
        <f t="shared" si="139"/>
        <v>0</v>
      </c>
      <c r="CF98" s="1162">
        <f t="shared" si="140"/>
        <v>0</v>
      </c>
      <c r="CG98" s="1162">
        <f t="shared" si="141"/>
        <v>0</v>
      </c>
      <c r="CH98" s="1162">
        <f t="shared" si="142"/>
        <v>0</v>
      </c>
      <c r="CI98" s="1167">
        <f>BY98*'New Waterfall'!$G$18</f>
        <v>0</v>
      </c>
      <c r="CN98" s="1171">
        <f t="shared" si="143"/>
        <v>0</v>
      </c>
      <c r="CO98" s="1170">
        <f t="shared" si="144"/>
        <v>0</v>
      </c>
      <c r="CP98" s="1170">
        <f t="shared" si="145"/>
        <v>0</v>
      </c>
      <c r="CQ98" s="1170">
        <f t="shared" si="146"/>
        <v>0</v>
      </c>
    </row>
    <row r="99" spans="3:95" outlineLevel="1">
      <c r="C99" s="1174" t="s">
        <v>265</v>
      </c>
      <c r="D99" s="1175">
        <f>AB60</f>
        <v>9.9999994039535522E-2</v>
      </c>
      <c r="E99" s="1175">
        <f>AC60</f>
        <v>0.10000000596046449</v>
      </c>
      <c r="F99" s="1175">
        <f>AD60</f>
        <v>0.10000000596046449</v>
      </c>
      <c r="G99" s="1175">
        <f>AE60</f>
        <v>0</v>
      </c>
      <c r="I99" s="1165"/>
      <c r="J99" s="1162"/>
      <c r="O99" s="1169">
        <f t="shared" si="147"/>
        <v>14</v>
      </c>
      <c r="P99" s="1168">
        <f t="shared" si="109"/>
        <v>47938</v>
      </c>
      <c r="Q99" s="1159">
        <f>+'New Waterfall'!F84</f>
        <v>0</v>
      </c>
      <c r="R99" s="1159">
        <f t="shared" si="110"/>
        <v>0</v>
      </c>
      <c r="S99" s="1159">
        <f t="shared" si="111"/>
        <v>0</v>
      </c>
      <c r="T99" s="1159">
        <f t="shared" si="112"/>
        <v>0</v>
      </c>
      <c r="U99" s="1155"/>
      <c r="V99" s="1162">
        <f t="shared" si="113"/>
        <v>0</v>
      </c>
      <c r="W99" s="1162">
        <f>IF($G$8=0,0,MAX(0,(IF('New Waterfall'!$D$13=0,0,-XNPV('New Waterfall'!$D$13,R$8:$R51,$P$8:$P51))*(1+'New Waterfall'!$D$13)^(($P99-$P$8)/365))))</f>
        <v>0</v>
      </c>
      <c r="X99" s="1162">
        <f>IF($G$9=0,0,MAX(0,(IF('New Waterfall'!$E$13=0,0,-XNPV('New Waterfall'!$E$13,S$8:$S51,$P$8:$P51))*(1+'New Waterfall'!$E$13)^(($P99-$P$8)/365))))</f>
        <v>0</v>
      </c>
      <c r="Y99" s="1162">
        <f>IF($G$10=0,0,MAX(0,(IF('New Waterfall'!$E$13=0,0,-XNPV('New Waterfall'!$E$13,$T$8:T51,$P$8:$P51))*(1+'New Waterfall'!$E$13)^(($P99-$P$8)/365))))</f>
        <v>0</v>
      </c>
      <c r="AA99" s="1155" t="s">
        <v>194</v>
      </c>
      <c r="AB99" s="1162">
        <f t="shared" si="114"/>
        <v>0</v>
      </c>
      <c r="AC99" s="1162">
        <f t="shared" si="115"/>
        <v>0</v>
      </c>
      <c r="AD99" s="1162">
        <f t="shared" si="116"/>
        <v>0</v>
      </c>
      <c r="AE99" s="1162">
        <f t="shared" si="117"/>
        <v>0</v>
      </c>
      <c r="AF99" s="1167">
        <f>IF(SUM(W99:Y99)/(1-'New Waterfall'!$G$13)&lt;'New Waterfall'!Q99,SUM('New Waterfall'!W99:Y99)/(1-'New Waterfall'!$G$13),'New Waterfall'!Q99)*'New Waterfall'!$G$13</f>
        <v>0</v>
      </c>
      <c r="AG99" s="1162">
        <f t="shared" si="118"/>
        <v>0</v>
      </c>
      <c r="AH99" s="1162">
        <f>IF($G$8=0,0,MAX(0,(IF('New Waterfall'!$D$14=0,0,-XNPV('New Waterfall'!$D$14,$R$8:$R51,$P$8:$P51))*(1+'New Waterfall'!$D$14)^(($P99-$P$8)/365))-SUM(AC99)))</f>
        <v>62270275093.974823</v>
      </c>
      <c r="AI99" s="1162">
        <f>IF($G$9=0,0,MAX(0,(IF('New Waterfall'!$E$14=0,0,-XNPV('New Waterfall'!$E$14,$S$8:$S51,$P$8:$P51))*(1+'New Waterfall'!$E$14)^(($P99-$P$8)/365))-SUM(AD99)))</f>
        <v>6918919454.8860884</v>
      </c>
      <c r="AJ99" s="1162">
        <f>IF($G$10=0,0,MAX(0,(IF('New Waterfall'!$F$14=0,0,-XNPV('New Waterfall'!$F$14,$T$8:$T51,$P$8:$P51))*(1+'New Waterfall'!$F$14)^(($P99-$P$8)/365))-SUM(AE99)))</f>
        <v>0</v>
      </c>
      <c r="AL99" s="1155" t="s">
        <v>195</v>
      </c>
      <c r="AM99" s="1162">
        <f t="shared" si="119"/>
        <v>0</v>
      </c>
      <c r="AN99" s="1162">
        <f t="shared" si="120"/>
        <v>0</v>
      </c>
      <c r="AO99" s="1162">
        <f t="shared" si="121"/>
        <v>0</v>
      </c>
      <c r="AP99" s="1162">
        <f t="shared" si="122"/>
        <v>0</v>
      </c>
      <c r="AQ99" s="1167">
        <f>IF(SUM(AH99:AJ99)/(1-'New Waterfall'!$G$14)&lt;'New Waterfall'!AG99,SUM('New Waterfall'!AH99:AJ99)/(1-'New Waterfall'!$G$14),'New Waterfall'!AG99)*'New Waterfall'!$G$14</f>
        <v>0</v>
      </c>
      <c r="AR99" s="1162">
        <f t="shared" si="123"/>
        <v>0</v>
      </c>
      <c r="AS99" s="1162">
        <f>IF($G$8=0,0,MAX(0,(IF('New Waterfall'!$D$15=0,0,-XNPV('New Waterfall'!$D$15,$R$8:$R51,$P$8:$P51))*(1+'New Waterfall'!$D$15)^(($P99-$P$8)/365))-SUM(AN99,AC99)))</f>
        <v>0</v>
      </c>
      <c r="AT99" s="1162">
        <f>IF($G$9=0,0,MAX(0,(IF('New Waterfall'!$E$15=0,0,-XNPV('New Waterfall'!$E$15,$S$8:$S51,$P$8:$P51))*(1+'New Waterfall'!$E$15)^(($P99-$P$8)/365))-SUM(AO99,AD99)))</f>
        <v>0</v>
      </c>
      <c r="AU99" s="1162">
        <f>IF($G$10=0,0,MAX(0,(IF('New Waterfall'!$F$15=0,0,-XNPV('New Waterfall'!$F$15,$T$8:$T51,$P$8:$P51))*(1+'New Waterfall'!$F$15)^(($P99-$P$8)/365))-SUM(AP99,AE99)))</f>
        <v>0</v>
      </c>
      <c r="AW99" s="1155" t="s">
        <v>196</v>
      </c>
      <c r="AX99" s="1162">
        <f t="shared" si="124"/>
        <v>0</v>
      </c>
      <c r="AY99" s="1162">
        <f t="shared" si="125"/>
        <v>0</v>
      </c>
      <c r="AZ99" s="1162">
        <f t="shared" si="126"/>
        <v>0</v>
      </c>
      <c r="BA99" s="1162">
        <f t="shared" si="127"/>
        <v>0</v>
      </c>
      <c r="BB99" s="1167">
        <f>IF(SUM(AS99:AU99)/(1-'New Waterfall'!$G$15)&lt;'New Waterfall'!AR99,SUM('New Waterfall'!AS99:AU99)/(1-'New Waterfall'!$G$15),'New Waterfall'!AR99)*'New Waterfall'!$G$15</f>
        <v>0</v>
      </c>
      <c r="BC99" s="1162">
        <f t="shared" si="128"/>
        <v>0</v>
      </c>
      <c r="BD99" s="1162">
        <f>IF($G$8=0,0,MAX(0,(IF('New Waterfall'!$D$16=0,0,-XNPV('New Waterfall'!$D$16,$R$8:$R51,$P$8:$P51))*(1+'New Waterfall'!$D$16)^(($P99-$P$8)/365))-SUM(AY99,AN99,AC99)))</f>
        <v>0</v>
      </c>
      <c r="BE99" s="1162">
        <f>IF($G$9=0,0,MAX(0,(IF('New Waterfall'!$E$16=0,0,-XNPV('New Waterfall'!$E$16,$S$8:$S51,$P$8:$P51))*(1+'New Waterfall'!$E$16)^(($P99-$P$8)/365))-SUM(AZ99,AO99,AD99)))</f>
        <v>0</v>
      </c>
      <c r="BF99" s="1162">
        <f>IF($G$10=0,0,MAX(0,(IF('New Waterfall'!$F$16=0,0,-XNPV('New Waterfall'!$F$16,$T$8:$T51,$P$8:$P51))*(1+'New Waterfall'!$F$16)^(($P99-$P$8)/365))-SUM(BA99,AP99,AE99)))</f>
        <v>0</v>
      </c>
      <c r="BH99" s="1155" t="s">
        <v>450</v>
      </c>
      <c r="BI99" s="1162">
        <f t="shared" si="129"/>
        <v>0</v>
      </c>
      <c r="BJ99" s="1162">
        <f t="shared" si="130"/>
        <v>0</v>
      </c>
      <c r="BK99" s="1162">
        <f t="shared" si="131"/>
        <v>0</v>
      </c>
      <c r="BL99" s="1162">
        <f t="shared" si="132"/>
        <v>0</v>
      </c>
      <c r="BM99" s="1167">
        <f>IF(SUM(BD99:BF99)/(1-'New Waterfall'!$G$16)&lt;'New Waterfall'!BC99,SUM('New Waterfall'!BD99:BF99)/(1-'New Waterfall'!$G$16),'New Waterfall'!BC99)*'New Waterfall'!$G$16</f>
        <v>0</v>
      </c>
      <c r="BN99" s="1162">
        <f t="shared" si="133"/>
        <v>0</v>
      </c>
      <c r="BO99" s="1162">
        <f>IF($G$8=0,0,MAX(0,(IF('New Waterfall'!$D$17=0,0,-XNPV('New Waterfall'!$D$17,$R$8:$R51,$P$8:$P51))*(1+'New Waterfall'!$D$17)^(($P99-$P$8)/365))-SUM(BJ99,AY99,AN99,AC99)))</f>
        <v>0</v>
      </c>
      <c r="BP99" s="1162">
        <f>IF($G$9=0,0,MAX(0,(IF('New Waterfall'!$E$17=0,0,-XNPV('New Waterfall'!$E$17,$S$8:$S51,$P$8:$P51))*(1+'New Waterfall'!$E$17)^(($P99-$P$8)/365))-SUM(BK99,AZ99,AO99,AD99)))</f>
        <v>0</v>
      </c>
      <c r="BQ99" s="1162">
        <f>IF($G$10=0,0,MAX(0,(IF('New Waterfall'!$F$17=0,0,-XNPV('New Waterfall'!$F$17,$T$8:$T51,$P$8:$P51))*(1+'New Waterfall'!$F$17)^(($P99-$P$8)/365))-SUM(BL99,BA99,AP99,AE99)))</f>
        <v>0</v>
      </c>
      <c r="BS99" s="1155" t="s">
        <v>451</v>
      </c>
      <c r="BT99" s="1162">
        <f t="shared" si="134"/>
        <v>0</v>
      </c>
      <c r="BU99" s="1162">
        <f t="shared" si="135"/>
        <v>0</v>
      </c>
      <c r="BV99" s="1162">
        <f t="shared" si="136"/>
        <v>0</v>
      </c>
      <c r="BW99" s="1162">
        <f t="shared" si="137"/>
        <v>0</v>
      </c>
      <c r="BX99" s="1167">
        <f>IF(SUM(BO99:BQ99)/(1-'New Waterfall'!$G$17)&lt;'New Waterfall'!BN99,SUM('New Waterfall'!BO99:BQ99)/(1-'New Waterfall'!$G$17),'New Waterfall'!BN99)*'New Waterfall'!$G$17</f>
        <v>0</v>
      </c>
      <c r="BY99" s="1162">
        <f t="shared" si="138"/>
        <v>0</v>
      </c>
      <c r="BZ99" s="1162">
        <f>IF($G$8=0,0,MAX(0,(IF('New Waterfall'!$D$18=0,0,-XNPV('New Waterfall'!$D$18,$R$8:$R51,$P$8:$P51))*(1+'New Waterfall'!$D$18)^(($P99-$P$8)/365))-SUM(BU99,BJ99,AY99,AN99,AC99)))</f>
        <v>0</v>
      </c>
      <c r="CA99" s="1162">
        <f>IF($G$9=0,0,MAX(0,(IF('New Waterfall'!$E$18=0,0,-XNPV('New Waterfall'!$E$18,$S$8:$S51,$P$8:$P51))*(1+'New Waterfall'!$E$18)^(($P99-$P$8)/365))-SUM(BV99,BK99,AZ99,AO99,AD99)))</f>
        <v>0</v>
      </c>
      <c r="CB99" s="1162">
        <f>IF($G$10=0,0,MAX(0,(IF('New Waterfall'!$F$18=0,0,-XNPV('New Waterfall'!$F$18,$T$8:$T51,$P$8:$P51))*(1+'New Waterfall'!$F$18)^(($P99-$P$8)/365))-SUM(BW99,BL99,BA99,AP99,AE99)))</f>
        <v>0</v>
      </c>
      <c r="CD99" s="1155" t="s">
        <v>452</v>
      </c>
      <c r="CE99" s="1162">
        <f t="shared" si="139"/>
        <v>0</v>
      </c>
      <c r="CF99" s="1162">
        <f t="shared" si="140"/>
        <v>0</v>
      </c>
      <c r="CG99" s="1162">
        <f t="shared" si="141"/>
        <v>0</v>
      </c>
      <c r="CH99" s="1162">
        <f t="shared" si="142"/>
        <v>0</v>
      </c>
      <c r="CI99" s="1167">
        <f>BY99*'New Waterfall'!$G$18</f>
        <v>0</v>
      </c>
      <c r="CN99" s="1171">
        <f t="shared" si="143"/>
        <v>0</v>
      </c>
      <c r="CO99" s="1170">
        <f t="shared" si="144"/>
        <v>0</v>
      </c>
      <c r="CP99" s="1170">
        <f t="shared" si="145"/>
        <v>0</v>
      </c>
      <c r="CQ99" s="1170">
        <f t="shared" si="146"/>
        <v>0</v>
      </c>
    </row>
    <row r="100" spans="3:95" ht="15" customHeight="1" outlineLevel="1">
      <c r="C100" s="1174" t="s">
        <v>266</v>
      </c>
      <c r="D100" s="1175">
        <f>AM60</f>
        <v>0.10000004172325136</v>
      </c>
      <c r="E100" s="1175">
        <f>AN60</f>
        <v>0.10000004172325136</v>
      </c>
      <c r="F100" s="1175">
        <f>AO60</f>
        <v>0.10000004172325136</v>
      </c>
      <c r="G100" s="1175">
        <f>AP60</f>
        <v>0</v>
      </c>
      <c r="I100" s="1165"/>
      <c r="J100" s="1162"/>
      <c r="O100" s="1169">
        <f t="shared" si="147"/>
        <v>15</v>
      </c>
      <c r="P100" s="1168">
        <f t="shared" si="109"/>
        <v>47968</v>
      </c>
      <c r="Q100" s="1159">
        <f>+'New Waterfall'!F85</f>
        <v>0</v>
      </c>
      <c r="R100" s="1159">
        <f t="shared" si="110"/>
        <v>0</v>
      </c>
      <c r="S100" s="1159">
        <f t="shared" si="111"/>
        <v>0</v>
      </c>
      <c r="T100" s="1159">
        <f t="shared" si="112"/>
        <v>0</v>
      </c>
      <c r="U100" s="1155"/>
      <c r="V100" s="1162">
        <f t="shared" si="113"/>
        <v>0</v>
      </c>
      <c r="W100" s="1162">
        <f>IF($G$8=0,0,MAX(0,(IF('New Waterfall'!$D$13=0,0,-XNPV('New Waterfall'!$D$13,R$8:$R52,$P$8:$P52))*(1+'New Waterfall'!$D$13)^(($P100-$P$8)/365))))</f>
        <v>0</v>
      </c>
      <c r="X100" s="1162">
        <f>IF($G$9=0,0,MAX(0,(IF('New Waterfall'!$E$13=0,0,-XNPV('New Waterfall'!$E$13,S$8:$S52,$P$8:$P52))*(1+'New Waterfall'!$E$13)^(($P100-$P$8)/365))))</f>
        <v>0</v>
      </c>
      <c r="Y100" s="1162">
        <f>IF($G$10=0,0,MAX(0,(IF('New Waterfall'!$E$13=0,0,-XNPV('New Waterfall'!$E$13,$T$8:T52,$P$8:$P52))*(1+'New Waterfall'!$E$13)^(($P100-$P$8)/365))))</f>
        <v>0</v>
      </c>
      <c r="AA100" s="1155" t="s">
        <v>194</v>
      </c>
      <c r="AB100" s="1162">
        <f t="shared" si="114"/>
        <v>0</v>
      </c>
      <c r="AC100" s="1162">
        <f t="shared" si="115"/>
        <v>0</v>
      </c>
      <c r="AD100" s="1162">
        <f t="shared" si="116"/>
        <v>0</v>
      </c>
      <c r="AE100" s="1162">
        <f t="shared" si="117"/>
        <v>0</v>
      </c>
      <c r="AF100" s="1167">
        <f>IF(SUM(W100:Y100)/(1-'New Waterfall'!$G$13)&lt;'New Waterfall'!Q100,SUM('New Waterfall'!W100:Y100)/(1-'New Waterfall'!$G$13),'New Waterfall'!Q100)*'New Waterfall'!$G$13</f>
        <v>0</v>
      </c>
      <c r="AG100" s="1162">
        <f t="shared" si="118"/>
        <v>0</v>
      </c>
      <c r="AH100" s="1162">
        <f>IF($G$8=0,0,MAX(0,(IF('New Waterfall'!$D$14=0,0,-XNPV('New Waterfall'!$D$14,$R$8:$R52,$P$8:$P52))*(1+'New Waterfall'!$D$14)^(($P100-$P$8)/365))-SUM(AC100)))</f>
        <v>75835875279.574051</v>
      </c>
      <c r="AI100" s="1162">
        <f>IF($G$9=0,0,MAX(0,(IF('New Waterfall'!$E$14=0,0,-XNPV('New Waterfall'!$E$14,$S$8:$S52,$P$8:$P52))*(1+'New Waterfall'!$E$14)^(($P100-$P$8)/365))-SUM(AD100)))</f>
        <v>8426208364.3971138</v>
      </c>
      <c r="AJ100" s="1162">
        <f>IF($G$10=0,0,MAX(0,(IF('New Waterfall'!$F$14=0,0,-XNPV('New Waterfall'!$F$14,$T$8:$T52,$P$8:$P52))*(1+'New Waterfall'!$F$14)^(($P100-$P$8)/365))-SUM(AE100)))</f>
        <v>0</v>
      </c>
      <c r="AL100" s="1155" t="s">
        <v>195</v>
      </c>
      <c r="AM100" s="1162">
        <f t="shared" si="119"/>
        <v>0</v>
      </c>
      <c r="AN100" s="1162">
        <f t="shared" si="120"/>
        <v>0</v>
      </c>
      <c r="AO100" s="1162">
        <f t="shared" si="121"/>
        <v>0</v>
      </c>
      <c r="AP100" s="1162">
        <f t="shared" si="122"/>
        <v>0</v>
      </c>
      <c r="AQ100" s="1167">
        <f>IF(SUM(AH100:AJ100)/(1-'New Waterfall'!$G$14)&lt;'New Waterfall'!AG100,SUM('New Waterfall'!AH100:AJ100)/(1-'New Waterfall'!$G$14),'New Waterfall'!AG100)*'New Waterfall'!$G$14</f>
        <v>0</v>
      </c>
      <c r="AR100" s="1162">
        <f t="shared" si="123"/>
        <v>0</v>
      </c>
      <c r="AS100" s="1162">
        <f>IF($G$8=0,0,MAX(0,(IF('New Waterfall'!$D$15=0,0,-XNPV('New Waterfall'!$D$15,$R$8:$R52,$P$8:$P52))*(1+'New Waterfall'!$D$15)^(($P100-$P$8)/365))-SUM(AN100,AC100)))</f>
        <v>0</v>
      </c>
      <c r="AT100" s="1162">
        <f>IF($G$9=0,0,MAX(0,(IF('New Waterfall'!$E$15=0,0,-XNPV('New Waterfall'!$E$15,$S$8:$S52,$P$8:$P52))*(1+'New Waterfall'!$E$15)^(($P100-$P$8)/365))-SUM(AO100,AD100)))</f>
        <v>0</v>
      </c>
      <c r="AU100" s="1162">
        <f>IF($G$10=0,0,MAX(0,(IF('New Waterfall'!$F$15=0,0,-XNPV('New Waterfall'!$F$15,$T$8:$T52,$P$8:$P52))*(1+'New Waterfall'!$F$15)^(($P100-$P$8)/365))-SUM(AP100,AE100)))</f>
        <v>0</v>
      </c>
      <c r="AW100" s="1155" t="s">
        <v>196</v>
      </c>
      <c r="AX100" s="1162">
        <f t="shared" si="124"/>
        <v>0</v>
      </c>
      <c r="AY100" s="1162">
        <f t="shared" si="125"/>
        <v>0</v>
      </c>
      <c r="AZ100" s="1162">
        <f t="shared" si="126"/>
        <v>0</v>
      </c>
      <c r="BA100" s="1162">
        <f t="shared" si="127"/>
        <v>0</v>
      </c>
      <c r="BB100" s="1167">
        <f>IF(SUM(AS100:AU100)/(1-'New Waterfall'!$G$15)&lt;'New Waterfall'!AR100,SUM('New Waterfall'!AS100:AU100)/(1-'New Waterfall'!$G$15),'New Waterfall'!AR100)*'New Waterfall'!$G$15</f>
        <v>0</v>
      </c>
      <c r="BC100" s="1162">
        <f t="shared" si="128"/>
        <v>0</v>
      </c>
      <c r="BD100" s="1162">
        <f>IF($G$8=0,0,MAX(0,(IF('New Waterfall'!$D$16=0,0,-XNPV('New Waterfall'!$D$16,$R$8:$R52,$P$8:$P52))*(1+'New Waterfall'!$D$16)^(($P100-$P$8)/365))-SUM(AY100,AN100,AC100)))</f>
        <v>0</v>
      </c>
      <c r="BE100" s="1162">
        <f>IF($G$9=0,0,MAX(0,(IF('New Waterfall'!$E$16=0,0,-XNPV('New Waterfall'!$E$16,$S$8:$S52,$P$8:$P52))*(1+'New Waterfall'!$E$16)^(($P100-$P$8)/365))-SUM(AZ100,AO100,AD100)))</f>
        <v>0</v>
      </c>
      <c r="BF100" s="1162">
        <f>IF($G$10=0,0,MAX(0,(IF('New Waterfall'!$F$16=0,0,-XNPV('New Waterfall'!$F$16,$T$8:$T52,$P$8:$P52))*(1+'New Waterfall'!$F$16)^(($P100-$P$8)/365))-SUM(BA100,AP100,AE100)))</f>
        <v>0</v>
      </c>
      <c r="BH100" s="1155" t="s">
        <v>450</v>
      </c>
      <c r="BI100" s="1162">
        <f t="shared" si="129"/>
        <v>0</v>
      </c>
      <c r="BJ100" s="1162">
        <f t="shared" si="130"/>
        <v>0</v>
      </c>
      <c r="BK100" s="1162">
        <f t="shared" si="131"/>
        <v>0</v>
      </c>
      <c r="BL100" s="1162">
        <f t="shared" si="132"/>
        <v>0</v>
      </c>
      <c r="BM100" s="1167">
        <f>IF(SUM(BD100:BF100)/(1-'New Waterfall'!$G$16)&lt;'New Waterfall'!BC100,SUM('New Waterfall'!BD100:BF100)/(1-'New Waterfall'!$G$16),'New Waterfall'!BC100)*'New Waterfall'!$G$16</f>
        <v>0</v>
      </c>
      <c r="BN100" s="1162">
        <f t="shared" si="133"/>
        <v>0</v>
      </c>
      <c r="BO100" s="1162">
        <f>IF($G$8=0,0,MAX(0,(IF('New Waterfall'!$D$17=0,0,-XNPV('New Waterfall'!$D$17,$R$8:$R52,$P$8:$P52))*(1+'New Waterfall'!$D$17)^(($P100-$P$8)/365))-SUM(BJ100,AY100,AN100,AC100)))</f>
        <v>0</v>
      </c>
      <c r="BP100" s="1162">
        <f>IF($G$9=0,0,MAX(0,(IF('New Waterfall'!$E$17=0,0,-XNPV('New Waterfall'!$E$17,$S$8:$S52,$P$8:$P52))*(1+'New Waterfall'!$E$17)^(($P100-$P$8)/365))-SUM(BK100,AZ100,AO100,AD100)))</f>
        <v>0</v>
      </c>
      <c r="BQ100" s="1162">
        <f>IF($G$10=0,0,MAX(0,(IF('New Waterfall'!$F$17=0,0,-XNPV('New Waterfall'!$F$17,$T$8:$T52,$P$8:$P52))*(1+'New Waterfall'!$F$17)^(($P100-$P$8)/365))-SUM(BL100,BA100,AP100,AE100)))</f>
        <v>0</v>
      </c>
      <c r="BS100" s="1155" t="s">
        <v>451</v>
      </c>
      <c r="BT100" s="1162">
        <f t="shared" si="134"/>
        <v>0</v>
      </c>
      <c r="BU100" s="1162">
        <f t="shared" si="135"/>
        <v>0</v>
      </c>
      <c r="BV100" s="1162">
        <f t="shared" si="136"/>
        <v>0</v>
      </c>
      <c r="BW100" s="1162">
        <f t="shared" si="137"/>
        <v>0</v>
      </c>
      <c r="BX100" s="1167">
        <f>IF(SUM(BO100:BQ100)/(1-'New Waterfall'!$G$17)&lt;'New Waterfall'!BN100,SUM('New Waterfall'!BO100:BQ100)/(1-'New Waterfall'!$G$17),'New Waterfall'!BN100)*'New Waterfall'!$G$17</f>
        <v>0</v>
      </c>
      <c r="BY100" s="1162">
        <f t="shared" si="138"/>
        <v>0</v>
      </c>
      <c r="BZ100" s="1162">
        <f>IF($G$8=0,0,MAX(0,(IF('New Waterfall'!$D$18=0,0,-XNPV('New Waterfall'!$D$18,$R$8:$R52,$P$8:$P52))*(1+'New Waterfall'!$D$18)^(($P100-$P$8)/365))-SUM(BU100,BJ100,AY100,AN100,AC100)))</f>
        <v>0</v>
      </c>
      <c r="CA100" s="1162">
        <f>IF($G$9=0,0,MAX(0,(IF('New Waterfall'!$E$18=0,0,-XNPV('New Waterfall'!$E$18,$S$8:$S52,$P$8:$P52))*(1+'New Waterfall'!$E$18)^(($P100-$P$8)/365))-SUM(BV100,BK100,AZ100,AO100,AD100)))</f>
        <v>0</v>
      </c>
      <c r="CB100" s="1162">
        <f>IF($G$10=0,0,MAX(0,(IF('New Waterfall'!$F$18=0,0,-XNPV('New Waterfall'!$F$18,$T$8:$T52,$P$8:$P52))*(1+'New Waterfall'!$F$18)^(($P100-$P$8)/365))-SUM(BW100,BL100,BA100,AP100,AE100)))</f>
        <v>0</v>
      </c>
      <c r="CD100" s="1155" t="s">
        <v>452</v>
      </c>
      <c r="CE100" s="1162">
        <f t="shared" si="139"/>
        <v>0</v>
      </c>
      <c r="CF100" s="1162">
        <f t="shared" si="140"/>
        <v>0</v>
      </c>
      <c r="CG100" s="1162">
        <f t="shared" si="141"/>
        <v>0</v>
      </c>
      <c r="CH100" s="1162">
        <f t="shared" si="142"/>
        <v>0</v>
      </c>
      <c r="CI100" s="1167">
        <f>BY100*'New Waterfall'!$G$18</f>
        <v>0</v>
      </c>
      <c r="CN100" s="1171">
        <f t="shared" si="143"/>
        <v>0</v>
      </c>
      <c r="CO100" s="1170">
        <f t="shared" si="144"/>
        <v>0</v>
      </c>
      <c r="CP100" s="1170">
        <f t="shared" si="145"/>
        <v>0</v>
      </c>
      <c r="CQ100" s="1170">
        <f t="shared" si="146"/>
        <v>0</v>
      </c>
    </row>
    <row r="101" spans="3:95" outlineLevel="1">
      <c r="C101" s="1174" t="s">
        <v>267</v>
      </c>
      <c r="D101" s="1175">
        <f>AX60</f>
        <v>0.10000004172325136</v>
      </c>
      <c r="E101" s="1175">
        <f>AY60</f>
        <v>0.10000004172325136</v>
      </c>
      <c r="F101" s="1175">
        <f>AZ60</f>
        <v>0.10000004172325136</v>
      </c>
      <c r="G101" s="1175">
        <f>BA60</f>
        <v>0</v>
      </c>
      <c r="I101" s="1165"/>
      <c r="J101" s="1162"/>
      <c r="O101" s="1169">
        <f t="shared" si="147"/>
        <v>16</v>
      </c>
      <c r="P101" s="1168">
        <f t="shared" si="109"/>
        <v>47999</v>
      </c>
      <c r="Q101" s="1159">
        <f>+'New Waterfall'!F86</f>
        <v>0</v>
      </c>
      <c r="R101" s="1159">
        <f t="shared" si="110"/>
        <v>0</v>
      </c>
      <c r="S101" s="1159">
        <f t="shared" si="111"/>
        <v>0</v>
      </c>
      <c r="T101" s="1159">
        <f t="shared" si="112"/>
        <v>0</v>
      </c>
      <c r="U101" s="1155"/>
      <c r="V101" s="1162">
        <f t="shared" si="113"/>
        <v>0</v>
      </c>
      <c r="W101" s="1162">
        <f>IF($G$8=0,0,MAX(0,(IF('New Waterfall'!$D$13=0,0,-XNPV('New Waterfall'!$D$13,R$8:$R53,$P$8:$P53))*(1+'New Waterfall'!$D$13)^(($P101-$P$8)/365))))</f>
        <v>0</v>
      </c>
      <c r="X101" s="1162">
        <f>IF($G$9=0,0,MAX(0,(IF('New Waterfall'!$E$13=0,0,-XNPV('New Waterfall'!$E$13,S$8:$S53,$P$8:$P53))*(1+'New Waterfall'!$E$13)^(($P101-$P$8)/365))))</f>
        <v>0</v>
      </c>
      <c r="Y101" s="1162">
        <f>IF($G$10=0,0,MAX(0,(IF('New Waterfall'!$E$13=0,0,-XNPV('New Waterfall'!$E$13,$T$8:T53,$P$8:$P53))*(1+'New Waterfall'!$E$13)^(($P101-$P$8)/365))))</f>
        <v>0</v>
      </c>
      <c r="AA101" s="1155" t="s">
        <v>194</v>
      </c>
      <c r="AB101" s="1162">
        <f t="shared" si="114"/>
        <v>0</v>
      </c>
      <c r="AC101" s="1162">
        <f t="shared" si="115"/>
        <v>0</v>
      </c>
      <c r="AD101" s="1162">
        <f t="shared" si="116"/>
        <v>0</v>
      </c>
      <c r="AE101" s="1162">
        <f t="shared" si="117"/>
        <v>0</v>
      </c>
      <c r="AF101" s="1167">
        <f>IF(SUM(W101:Y101)/(1-'New Waterfall'!$G$13)&lt;'New Waterfall'!Q101,SUM('New Waterfall'!W101:Y101)/(1-'New Waterfall'!$G$13),'New Waterfall'!Q101)*'New Waterfall'!$G$13</f>
        <v>0</v>
      </c>
      <c r="AG101" s="1162">
        <f t="shared" si="118"/>
        <v>0</v>
      </c>
      <c r="AH101" s="1162">
        <f>IF($G$8=0,0,MAX(0,(IF('New Waterfall'!$D$14=0,0,-XNPV('New Waterfall'!$D$14,$R$8:$R53,$P$8:$P53))*(1+'New Waterfall'!$D$14)^(($P101-$P$8)/365))-SUM(AC101)))</f>
        <v>92965488056.831207</v>
      </c>
      <c r="AI101" s="1162">
        <f>IF($G$9=0,0,MAX(0,(IF('New Waterfall'!$E$14=0,0,-XNPV('New Waterfall'!$E$14,$S$8:$S53,$P$8:$P53))*(1+'New Waterfall'!$E$14)^(($P101-$P$8)/365))-SUM(AD101)))</f>
        <v>10329498672.981241</v>
      </c>
      <c r="AJ101" s="1162">
        <f>IF($G$10=0,0,MAX(0,(IF('New Waterfall'!$F$14=0,0,-XNPV('New Waterfall'!$F$14,$T$8:$T53,$P$8:$P53))*(1+'New Waterfall'!$F$14)^(($P101-$P$8)/365))-SUM(AE101)))</f>
        <v>0</v>
      </c>
      <c r="AL101" s="1155" t="s">
        <v>195</v>
      </c>
      <c r="AM101" s="1162">
        <f t="shared" si="119"/>
        <v>0</v>
      </c>
      <c r="AN101" s="1162">
        <f t="shared" si="120"/>
        <v>0</v>
      </c>
      <c r="AO101" s="1162">
        <f t="shared" si="121"/>
        <v>0</v>
      </c>
      <c r="AP101" s="1162">
        <f t="shared" si="122"/>
        <v>0</v>
      </c>
      <c r="AQ101" s="1167">
        <f>IF(SUM(AH101:AJ101)/(1-'New Waterfall'!$G$14)&lt;'New Waterfall'!AG101,SUM('New Waterfall'!AH101:AJ101)/(1-'New Waterfall'!$G$14),'New Waterfall'!AG101)*'New Waterfall'!$G$14</f>
        <v>0</v>
      </c>
      <c r="AR101" s="1162">
        <f t="shared" si="123"/>
        <v>0</v>
      </c>
      <c r="AS101" s="1162">
        <f>IF($G$8=0,0,MAX(0,(IF('New Waterfall'!$D$15=0,0,-XNPV('New Waterfall'!$D$15,$R$8:$R53,$P$8:$P53))*(1+'New Waterfall'!$D$15)^(($P101-$P$8)/365))-SUM(AN101,AC101)))</f>
        <v>0</v>
      </c>
      <c r="AT101" s="1162">
        <f>IF($G$9=0,0,MAX(0,(IF('New Waterfall'!$E$15=0,0,-XNPV('New Waterfall'!$E$15,$S$8:$S53,$P$8:$P53))*(1+'New Waterfall'!$E$15)^(($P101-$P$8)/365))-SUM(AO101,AD101)))</f>
        <v>0</v>
      </c>
      <c r="AU101" s="1162">
        <f>IF($G$10=0,0,MAX(0,(IF('New Waterfall'!$F$15=0,0,-XNPV('New Waterfall'!$F$15,$T$8:$T53,$P$8:$P53))*(1+'New Waterfall'!$F$15)^(($P101-$P$8)/365))-SUM(AP101,AE101)))</f>
        <v>0</v>
      </c>
      <c r="AW101" s="1155" t="s">
        <v>196</v>
      </c>
      <c r="AX101" s="1162">
        <f t="shared" si="124"/>
        <v>0</v>
      </c>
      <c r="AY101" s="1162">
        <f t="shared" si="125"/>
        <v>0</v>
      </c>
      <c r="AZ101" s="1162">
        <f t="shared" si="126"/>
        <v>0</v>
      </c>
      <c r="BA101" s="1162">
        <f t="shared" si="127"/>
        <v>0</v>
      </c>
      <c r="BB101" s="1167">
        <f>IF(SUM(AS101:AU101)/(1-'New Waterfall'!$G$15)&lt;'New Waterfall'!AR101,SUM('New Waterfall'!AS101:AU101)/(1-'New Waterfall'!$G$15),'New Waterfall'!AR101)*'New Waterfall'!$G$15</f>
        <v>0</v>
      </c>
      <c r="BC101" s="1162">
        <f t="shared" si="128"/>
        <v>0</v>
      </c>
      <c r="BD101" s="1162">
        <f>IF($G$8=0,0,MAX(0,(IF('New Waterfall'!$D$16=0,0,-XNPV('New Waterfall'!$D$16,$R$8:$R53,$P$8:$P53))*(1+'New Waterfall'!$D$16)^(($P101-$P$8)/365))-SUM(AY101,AN101,AC101)))</f>
        <v>0</v>
      </c>
      <c r="BE101" s="1162">
        <f>IF($G$9=0,0,MAX(0,(IF('New Waterfall'!$E$16=0,0,-XNPV('New Waterfall'!$E$16,$S$8:$S53,$P$8:$P53))*(1+'New Waterfall'!$E$16)^(($P101-$P$8)/365))-SUM(AZ101,AO101,AD101)))</f>
        <v>0</v>
      </c>
      <c r="BF101" s="1162">
        <f>IF($G$10=0,0,MAX(0,(IF('New Waterfall'!$F$16=0,0,-XNPV('New Waterfall'!$F$16,$T$8:$T53,$P$8:$P53))*(1+'New Waterfall'!$F$16)^(($P101-$P$8)/365))-SUM(BA101,AP101,AE101)))</f>
        <v>0</v>
      </c>
      <c r="BH101" s="1155" t="s">
        <v>450</v>
      </c>
      <c r="BI101" s="1162">
        <f t="shared" si="129"/>
        <v>0</v>
      </c>
      <c r="BJ101" s="1162">
        <f t="shared" si="130"/>
        <v>0</v>
      </c>
      <c r="BK101" s="1162">
        <f t="shared" si="131"/>
        <v>0</v>
      </c>
      <c r="BL101" s="1162">
        <f t="shared" si="132"/>
        <v>0</v>
      </c>
      <c r="BM101" s="1167">
        <f>IF(SUM(BD101:BF101)/(1-'New Waterfall'!$G$16)&lt;'New Waterfall'!BC101,SUM('New Waterfall'!BD101:BF101)/(1-'New Waterfall'!$G$16),'New Waterfall'!BC101)*'New Waterfall'!$G$16</f>
        <v>0</v>
      </c>
      <c r="BN101" s="1162">
        <f t="shared" si="133"/>
        <v>0</v>
      </c>
      <c r="BO101" s="1162">
        <f>IF($G$8=0,0,MAX(0,(IF('New Waterfall'!$D$17=0,0,-XNPV('New Waterfall'!$D$17,$R$8:$R53,$P$8:$P53))*(1+'New Waterfall'!$D$17)^(($P101-$P$8)/365))-SUM(BJ101,AY101,AN101,AC101)))</f>
        <v>0</v>
      </c>
      <c r="BP101" s="1162">
        <f>IF($G$9=0,0,MAX(0,(IF('New Waterfall'!$E$17=0,0,-XNPV('New Waterfall'!$E$17,$S$8:$S53,$P$8:$P53))*(1+'New Waterfall'!$E$17)^(($P101-$P$8)/365))-SUM(BK101,AZ101,AO101,AD101)))</f>
        <v>0</v>
      </c>
      <c r="BQ101" s="1162">
        <f>IF($G$10=0,0,MAX(0,(IF('New Waterfall'!$F$17=0,0,-XNPV('New Waterfall'!$F$17,$T$8:$T53,$P$8:$P53))*(1+'New Waterfall'!$F$17)^(($P101-$P$8)/365))-SUM(BL101,BA101,AP101,AE101)))</f>
        <v>0</v>
      </c>
      <c r="BS101" s="1155" t="s">
        <v>451</v>
      </c>
      <c r="BT101" s="1162">
        <f t="shared" si="134"/>
        <v>0</v>
      </c>
      <c r="BU101" s="1162">
        <f t="shared" si="135"/>
        <v>0</v>
      </c>
      <c r="BV101" s="1162">
        <f t="shared" si="136"/>
        <v>0</v>
      </c>
      <c r="BW101" s="1162">
        <f t="shared" si="137"/>
        <v>0</v>
      </c>
      <c r="BX101" s="1167">
        <f>IF(SUM(BO101:BQ101)/(1-'New Waterfall'!$G$17)&lt;'New Waterfall'!BN101,SUM('New Waterfall'!BO101:BQ101)/(1-'New Waterfall'!$G$17),'New Waterfall'!BN101)*'New Waterfall'!$G$17</f>
        <v>0</v>
      </c>
      <c r="BY101" s="1162">
        <f t="shared" si="138"/>
        <v>0</v>
      </c>
      <c r="BZ101" s="1162">
        <f>IF($G$8=0,0,MAX(0,(IF('New Waterfall'!$D$18=0,0,-XNPV('New Waterfall'!$D$18,$R$8:$R53,$P$8:$P53))*(1+'New Waterfall'!$D$18)^(($P101-$P$8)/365))-SUM(BU101,BJ101,AY101,AN101,AC101)))</f>
        <v>0</v>
      </c>
      <c r="CA101" s="1162">
        <f>IF($G$9=0,0,MAX(0,(IF('New Waterfall'!$E$18=0,0,-XNPV('New Waterfall'!$E$18,$S$8:$S53,$P$8:$P53))*(1+'New Waterfall'!$E$18)^(($P101-$P$8)/365))-SUM(BV101,BK101,AZ101,AO101,AD101)))</f>
        <v>0</v>
      </c>
      <c r="CB101" s="1162">
        <f>IF($G$10=0,0,MAX(0,(IF('New Waterfall'!$F$18=0,0,-XNPV('New Waterfall'!$F$18,$T$8:$T53,$P$8:$P53))*(1+'New Waterfall'!$F$18)^(($P101-$P$8)/365))-SUM(BW101,BL101,BA101,AP101,AE101)))</f>
        <v>0</v>
      </c>
      <c r="CD101" s="1155" t="s">
        <v>452</v>
      </c>
      <c r="CE101" s="1162">
        <f t="shared" si="139"/>
        <v>0</v>
      </c>
      <c r="CF101" s="1162">
        <f t="shared" si="140"/>
        <v>0</v>
      </c>
      <c r="CG101" s="1162">
        <f t="shared" si="141"/>
        <v>0</v>
      </c>
      <c r="CH101" s="1162">
        <f t="shared" si="142"/>
        <v>0</v>
      </c>
      <c r="CI101" s="1167">
        <f>BY101*'New Waterfall'!$G$18</f>
        <v>0</v>
      </c>
      <c r="CN101" s="1171">
        <f t="shared" si="143"/>
        <v>0</v>
      </c>
      <c r="CO101" s="1170">
        <f t="shared" si="144"/>
        <v>0</v>
      </c>
      <c r="CP101" s="1170">
        <f t="shared" si="145"/>
        <v>0</v>
      </c>
      <c r="CQ101" s="1170">
        <f t="shared" si="146"/>
        <v>0</v>
      </c>
    </row>
    <row r="102" spans="3:95" ht="15" customHeight="1" outlineLevel="1">
      <c r="C102" s="1174" t="s">
        <v>447</v>
      </c>
      <c r="D102" s="1175">
        <f>BI60</f>
        <v>0.10000004172325136</v>
      </c>
      <c r="E102" s="1175">
        <f>BJ60</f>
        <v>0.10000004172325136</v>
      </c>
      <c r="F102" s="1175">
        <f>BK60</f>
        <v>0.10000004172325136</v>
      </c>
      <c r="G102" s="1175">
        <f>BL60</f>
        <v>0</v>
      </c>
      <c r="I102" s="1165"/>
      <c r="J102" s="1162"/>
      <c r="O102" s="1169">
        <f t="shared" si="147"/>
        <v>17</v>
      </c>
      <c r="P102" s="1168">
        <f t="shared" si="109"/>
        <v>48029</v>
      </c>
      <c r="Q102" s="1159">
        <f>+'New Waterfall'!F87</f>
        <v>0</v>
      </c>
      <c r="R102" s="1159">
        <f t="shared" si="110"/>
        <v>0</v>
      </c>
      <c r="S102" s="1159">
        <f t="shared" si="111"/>
        <v>0</v>
      </c>
      <c r="T102" s="1159">
        <f t="shared" si="112"/>
        <v>0</v>
      </c>
      <c r="U102" s="1155"/>
      <c r="V102" s="1162">
        <f t="shared" si="113"/>
        <v>0</v>
      </c>
      <c r="W102" s="1162">
        <f>IF($G$8=0,0,MAX(0,(IF('New Waterfall'!$D$13=0,0,-XNPV('New Waterfall'!$D$13,R$8:$R54,$P$8:$P54))*(1+'New Waterfall'!$D$13)^(($P102-$P$8)/365))))</f>
        <v>0</v>
      </c>
      <c r="X102" s="1162">
        <f>IF($G$9=0,0,MAX(0,(IF('New Waterfall'!$E$13=0,0,-XNPV('New Waterfall'!$E$13,S$8:$S54,$P$8:$P54))*(1+'New Waterfall'!$E$13)^(($P102-$P$8)/365))))</f>
        <v>0</v>
      </c>
      <c r="Y102" s="1162">
        <f>IF($G$10=0,0,MAX(0,(IF('New Waterfall'!$E$13=0,0,-XNPV('New Waterfall'!$E$13,$T$8:T54,$P$8:$P54))*(1+'New Waterfall'!$E$13)^(($P102-$P$8)/365))))</f>
        <v>0</v>
      </c>
      <c r="AA102" s="1155" t="s">
        <v>194</v>
      </c>
      <c r="AB102" s="1162">
        <f t="shared" si="114"/>
        <v>0</v>
      </c>
      <c r="AC102" s="1162">
        <f t="shared" si="115"/>
        <v>0</v>
      </c>
      <c r="AD102" s="1162">
        <f t="shared" si="116"/>
        <v>0</v>
      </c>
      <c r="AE102" s="1162">
        <f t="shared" si="117"/>
        <v>0</v>
      </c>
      <c r="AF102" s="1167">
        <f>IF(SUM(W102:Y102)/(1-'New Waterfall'!$G$13)&lt;'New Waterfall'!Q102,SUM('New Waterfall'!W102:Y102)/(1-'New Waterfall'!$G$13),'New Waterfall'!Q102)*'New Waterfall'!$G$13</f>
        <v>0</v>
      </c>
      <c r="AG102" s="1162">
        <f t="shared" si="118"/>
        <v>0</v>
      </c>
      <c r="AH102" s="1162">
        <f>IF($G$8=0,0,MAX(0,(IF('New Waterfall'!$D$14=0,0,-XNPV('New Waterfall'!$D$14,$R$8:$R54,$P$8:$P54))*(1+'New Waterfall'!$D$14)^(($P102-$P$8)/365))-SUM(AC102)))</f>
        <v>113218050617.93849</v>
      </c>
      <c r="AI102" s="1162">
        <f>IF($G$9=0,0,MAX(0,(IF('New Waterfall'!$E$14=0,0,-XNPV('New Waterfall'!$E$14,$S$8:$S54,$P$8:$P54))*(1+'New Waterfall'!$E$14)^(($P102-$P$8)/365))-SUM(AD102)))</f>
        <v>12579783401.99316</v>
      </c>
      <c r="AJ102" s="1162">
        <f>IF($G$10=0,0,MAX(0,(IF('New Waterfall'!$F$14=0,0,-XNPV('New Waterfall'!$F$14,$T$8:$T54,$P$8:$P54))*(1+'New Waterfall'!$F$14)^(($P102-$P$8)/365))-SUM(AE102)))</f>
        <v>0</v>
      </c>
      <c r="AL102" s="1155" t="s">
        <v>195</v>
      </c>
      <c r="AM102" s="1162">
        <f t="shared" si="119"/>
        <v>0</v>
      </c>
      <c r="AN102" s="1162">
        <f t="shared" si="120"/>
        <v>0</v>
      </c>
      <c r="AO102" s="1162">
        <f t="shared" si="121"/>
        <v>0</v>
      </c>
      <c r="AP102" s="1162">
        <f t="shared" si="122"/>
        <v>0</v>
      </c>
      <c r="AQ102" s="1167">
        <f>IF(SUM(AH102:AJ102)/(1-'New Waterfall'!$G$14)&lt;'New Waterfall'!AG102,SUM('New Waterfall'!AH102:AJ102)/(1-'New Waterfall'!$G$14),'New Waterfall'!AG102)*'New Waterfall'!$G$14</f>
        <v>0</v>
      </c>
      <c r="AR102" s="1162">
        <f t="shared" si="123"/>
        <v>0</v>
      </c>
      <c r="AS102" s="1162">
        <f>IF($G$8=0,0,MAX(0,(IF('New Waterfall'!$D$15=0,0,-XNPV('New Waterfall'!$D$15,$R$8:$R54,$P$8:$P54))*(1+'New Waterfall'!$D$15)^(($P102-$P$8)/365))-SUM(AN102,AC102)))</f>
        <v>0</v>
      </c>
      <c r="AT102" s="1162">
        <f>IF($G$9=0,0,MAX(0,(IF('New Waterfall'!$E$15=0,0,-XNPV('New Waterfall'!$E$15,$S$8:$S54,$P$8:$P54))*(1+'New Waterfall'!$E$15)^(($P102-$P$8)/365))-SUM(AO102,AD102)))</f>
        <v>0</v>
      </c>
      <c r="AU102" s="1162">
        <f>IF($G$10=0,0,MAX(0,(IF('New Waterfall'!$F$15=0,0,-XNPV('New Waterfall'!$F$15,$T$8:$T54,$P$8:$P54))*(1+'New Waterfall'!$F$15)^(($P102-$P$8)/365))-SUM(AP102,AE102)))</f>
        <v>0</v>
      </c>
      <c r="AW102" s="1155" t="s">
        <v>196</v>
      </c>
      <c r="AX102" s="1162">
        <f t="shared" si="124"/>
        <v>0</v>
      </c>
      <c r="AY102" s="1162">
        <f t="shared" si="125"/>
        <v>0</v>
      </c>
      <c r="AZ102" s="1162">
        <f t="shared" si="126"/>
        <v>0</v>
      </c>
      <c r="BA102" s="1162">
        <f t="shared" si="127"/>
        <v>0</v>
      </c>
      <c r="BB102" s="1167">
        <f>IF(SUM(AS102:AU102)/(1-'New Waterfall'!$G$15)&lt;'New Waterfall'!AR102,SUM('New Waterfall'!AS102:AU102)/(1-'New Waterfall'!$G$15),'New Waterfall'!AR102)*'New Waterfall'!$G$15</f>
        <v>0</v>
      </c>
      <c r="BC102" s="1162">
        <f t="shared" si="128"/>
        <v>0</v>
      </c>
      <c r="BD102" s="1162">
        <f>IF($G$8=0,0,MAX(0,(IF('New Waterfall'!$D$16=0,0,-XNPV('New Waterfall'!$D$16,$R$8:$R54,$P$8:$P54))*(1+'New Waterfall'!$D$16)^(($P102-$P$8)/365))-SUM(AY102,AN102,AC102)))</f>
        <v>0</v>
      </c>
      <c r="BE102" s="1162">
        <f>IF($G$9=0,0,MAX(0,(IF('New Waterfall'!$E$16=0,0,-XNPV('New Waterfall'!$E$16,$S$8:$S54,$P$8:$P54))*(1+'New Waterfall'!$E$16)^(($P102-$P$8)/365))-SUM(AZ102,AO102,AD102)))</f>
        <v>0</v>
      </c>
      <c r="BF102" s="1162">
        <f>IF($G$10=0,0,MAX(0,(IF('New Waterfall'!$F$16=0,0,-XNPV('New Waterfall'!$F$16,$T$8:$T54,$P$8:$P54))*(1+'New Waterfall'!$F$16)^(($P102-$P$8)/365))-SUM(BA102,AP102,AE102)))</f>
        <v>0</v>
      </c>
      <c r="BH102" s="1155" t="s">
        <v>450</v>
      </c>
      <c r="BI102" s="1162">
        <f t="shared" si="129"/>
        <v>0</v>
      </c>
      <c r="BJ102" s="1162">
        <f t="shared" si="130"/>
        <v>0</v>
      </c>
      <c r="BK102" s="1162">
        <f t="shared" si="131"/>
        <v>0</v>
      </c>
      <c r="BL102" s="1162">
        <f t="shared" si="132"/>
        <v>0</v>
      </c>
      <c r="BM102" s="1167">
        <f>IF(SUM(BD102:BF102)/(1-'New Waterfall'!$G$16)&lt;'New Waterfall'!BC102,SUM('New Waterfall'!BD102:BF102)/(1-'New Waterfall'!$G$16),'New Waterfall'!BC102)*'New Waterfall'!$G$16</f>
        <v>0</v>
      </c>
      <c r="BN102" s="1162">
        <f t="shared" si="133"/>
        <v>0</v>
      </c>
      <c r="BO102" s="1162">
        <f>IF($G$8=0,0,MAX(0,(IF('New Waterfall'!$D$17=0,0,-XNPV('New Waterfall'!$D$17,$R$8:$R54,$P$8:$P54))*(1+'New Waterfall'!$D$17)^(($P102-$P$8)/365))-SUM(BJ102,AY102,AN102,AC102)))</f>
        <v>0</v>
      </c>
      <c r="BP102" s="1162">
        <f>IF($G$9=0,0,MAX(0,(IF('New Waterfall'!$E$17=0,0,-XNPV('New Waterfall'!$E$17,$S$8:$S54,$P$8:$P54))*(1+'New Waterfall'!$E$17)^(($P102-$P$8)/365))-SUM(BK102,AZ102,AO102,AD102)))</f>
        <v>0</v>
      </c>
      <c r="BQ102" s="1162">
        <f>IF($G$10=0,0,MAX(0,(IF('New Waterfall'!$F$17=0,0,-XNPV('New Waterfall'!$F$17,$T$8:$T54,$P$8:$P54))*(1+'New Waterfall'!$F$17)^(($P102-$P$8)/365))-SUM(BL102,BA102,AP102,AE102)))</f>
        <v>0</v>
      </c>
      <c r="BS102" s="1155" t="s">
        <v>451</v>
      </c>
      <c r="BT102" s="1162">
        <f t="shared" si="134"/>
        <v>0</v>
      </c>
      <c r="BU102" s="1162">
        <f t="shared" si="135"/>
        <v>0</v>
      </c>
      <c r="BV102" s="1162">
        <f t="shared" si="136"/>
        <v>0</v>
      </c>
      <c r="BW102" s="1162">
        <f t="shared" si="137"/>
        <v>0</v>
      </c>
      <c r="BX102" s="1167">
        <f>IF(SUM(BO102:BQ102)/(1-'New Waterfall'!$G$17)&lt;'New Waterfall'!BN102,SUM('New Waterfall'!BO102:BQ102)/(1-'New Waterfall'!$G$17),'New Waterfall'!BN102)*'New Waterfall'!$G$17</f>
        <v>0</v>
      </c>
      <c r="BY102" s="1162">
        <f t="shared" si="138"/>
        <v>0</v>
      </c>
      <c r="BZ102" s="1162">
        <f>IF($G$8=0,0,MAX(0,(IF('New Waterfall'!$D$18=0,0,-XNPV('New Waterfall'!$D$18,$R$8:$R54,$P$8:$P54))*(1+'New Waterfall'!$D$18)^(($P102-$P$8)/365))-SUM(BU102,BJ102,AY102,AN102,AC102)))</f>
        <v>0</v>
      </c>
      <c r="CA102" s="1162">
        <f>IF($G$9=0,0,MAX(0,(IF('New Waterfall'!$E$18=0,0,-XNPV('New Waterfall'!$E$18,$S$8:$S54,$P$8:$P54))*(1+'New Waterfall'!$E$18)^(($P102-$P$8)/365))-SUM(BV102,BK102,AZ102,AO102,AD102)))</f>
        <v>0</v>
      </c>
      <c r="CB102" s="1162">
        <f>IF($G$10=0,0,MAX(0,(IF('New Waterfall'!$F$18=0,0,-XNPV('New Waterfall'!$F$18,$T$8:$T54,$P$8:$P54))*(1+'New Waterfall'!$F$18)^(($P102-$P$8)/365))-SUM(BW102,BL102,BA102,AP102,AE102)))</f>
        <v>0</v>
      </c>
      <c r="CD102" s="1155" t="s">
        <v>452</v>
      </c>
      <c r="CE102" s="1162">
        <f t="shared" si="139"/>
        <v>0</v>
      </c>
      <c r="CF102" s="1162">
        <f t="shared" si="140"/>
        <v>0</v>
      </c>
      <c r="CG102" s="1162">
        <f t="shared" si="141"/>
        <v>0</v>
      </c>
      <c r="CH102" s="1162">
        <f t="shared" si="142"/>
        <v>0</v>
      </c>
      <c r="CI102" s="1167">
        <f>BY102*'New Waterfall'!$G$18</f>
        <v>0</v>
      </c>
      <c r="CN102" s="1171">
        <f t="shared" si="143"/>
        <v>0</v>
      </c>
      <c r="CO102" s="1170">
        <f t="shared" si="144"/>
        <v>0</v>
      </c>
      <c r="CP102" s="1170">
        <f t="shared" si="145"/>
        <v>0</v>
      </c>
      <c r="CQ102" s="1170">
        <f t="shared" si="146"/>
        <v>0</v>
      </c>
    </row>
    <row r="103" spans="3:95" outlineLevel="1">
      <c r="C103" s="1174" t="s">
        <v>448</v>
      </c>
      <c r="D103" s="1175">
        <f>BT60</f>
        <v>0.10000004172325136</v>
      </c>
      <c r="E103" s="1175">
        <f>BU60</f>
        <v>0.10000004172325136</v>
      </c>
      <c r="F103" s="1175">
        <f>BV60</f>
        <v>0.10000004172325136</v>
      </c>
      <c r="G103" s="1175">
        <f>BW60</f>
        <v>0</v>
      </c>
      <c r="I103" s="1165"/>
      <c r="J103" s="1162"/>
      <c r="O103" s="1169">
        <f t="shared" si="147"/>
        <v>18</v>
      </c>
      <c r="P103" s="1168">
        <f t="shared" si="109"/>
        <v>48060</v>
      </c>
      <c r="Q103" s="1159">
        <f>+'New Waterfall'!F88</f>
        <v>0</v>
      </c>
      <c r="R103" s="1159">
        <f t="shared" si="110"/>
        <v>0</v>
      </c>
      <c r="S103" s="1159">
        <f t="shared" si="111"/>
        <v>0</v>
      </c>
      <c r="T103" s="1159">
        <f t="shared" si="112"/>
        <v>0</v>
      </c>
      <c r="U103" s="1155"/>
      <c r="V103" s="1162">
        <f t="shared" si="113"/>
        <v>0</v>
      </c>
      <c r="W103" s="1162">
        <f>IF($G$8=0,0,MAX(0,(IF('New Waterfall'!$D$13=0,0,-XNPV('New Waterfall'!$D$13,R$8:$R55,$P$8:$P55))*(1+'New Waterfall'!$D$13)^(($P103-$P$8)/365))))</f>
        <v>0</v>
      </c>
      <c r="X103" s="1162">
        <f>IF($G$9=0,0,MAX(0,(IF('New Waterfall'!$E$13=0,0,-XNPV('New Waterfall'!$E$13,S$8:$S55,$P$8:$P55))*(1+'New Waterfall'!$E$13)^(($P103-$P$8)/365))))</f>
        <v>0</v>
      </c>
      <c r="Y103" s="1162">
        <f>IF($G$10=0,0,MAX(0,(IF('New Waterfall'!$E$13=0,0,-XNPV('New Waterfall'!$E$13,$T$8:T55,$P$8:$P55))*(1+'New Waterfall'!$E$13)^(($P103-$P$8)/365))))</f>
        <v>0</v>
      </c>
      <c r="AA103" s="1155" t="s">
        <v>194</v>
      </c>
      <c r="AB103" s="1162">
        <f t="shared" si="114"/>
        <v>0</v>
      </c>
      <c r="AC103" s="1162">
        <f t="shared" si="115"/>
        <v>0</v>
      </c>
      <c r="AD103" s="1162">
        <f t="shared" si="116"/>
        <v>0</v>
      </c>
      <c r="AE103" s="1162">
        <f t="shared" si="117"/>
        <v>0</v>
      </c>
      <c r="AF103" s="1167">
        <f>IF(SUM(W103:Y103)/(1-'New Waterfall'!$G$13)&lt;'New Waterfall'!Q103,SUM('New Waterfall'!W103:Y103)/(1-'New Waterfall'!$G$13),'New Waterfall'!Q103)*'New Waterfall'!$G$13</f>
        <v>0</v>
      </c>
      <c r="AG103" s="1162">
        <f t="shared" si="118"/>
        <v>0</v>
      </c>
      <c r="AH103" s="1162">
        <f>IF($G$8=0,0,MAX(0,(IF('New Waterfall'!$D$14=0,0,-XNPV('New Waterfall'!$D$14,$R$8:$R55,$P$8:$P55))*(1+'New Waterfall'!$D$14)^(($P103-$P$8)/365))-SUM(AC103)))</f>
        <v>138791453170.90594</v>
      </c>
      <c r="AI103" s="1162">
        <f>IF($G$9=0,0,MAX(0,(IF('New Waterfall'!$E$14=0,0,-XNPV('New Waterfall'!$E$14,$S$8:$S55,$P$8:$P55))*(1+'New Waterfall'!$E$14)^(($P103-$P$8)/365))-SUM(AD103)))</f>
        <v>15421272574.545097</v>
      </c>
      <c r="AJ103" s="1162">
        <f>IF($G$10=0,0,MAX(0,(IF('New Waterfall'!$F$14=0,0,-XNPV('New Waterfall'!$F$14,$T$8:$T55,$P$8:$P55))*(1+'New Waterfall'!$F$14)^(($P103-$P$8)/365))-SUM(AE103)))</f>
        <v>0</v>
      </c>
      <c r="AL103" s="1155" t="s">
        <v>195</v>
      </c>
      <c r="AM103" s="1162">
        <f t="shared" si="119"/>
        <v>0</v>
      </c>
      <c r="AN103" s="1162">
        <f t="shared" si="120"/>
        <v>0</v>
      </c>
      <c r="AO103" s="1162">
        <f t="shared" si="121"/>
        <v>0</v>
      </c>
      <c r="AP103" s="1162">
        <f t="shared" si="122"/>
        <v>0</v>
      </c>
      <c r="AQ103" s="1167">
        <f>IF(SUM(AH103:AJ103)/(1-'New Waterfall'!$G$14)&lt;'New Waterfall'!AG103,SUM('New Waterfall'!AH103:AJ103)/(1-'New Waterfall'!$G$14),'New Waterfall'!AG103)*'New Waterfall'!$G$14</f>
        <v>0</v>
      </c>
      <c r="AR103" s="1162">
        <f t="shared" si="123"/>
        <v>0</v>
      </c>
      <c r="AS103" s="1162">
        <f>IF($G$8=0,0,MAX(0,(IF('New Waterfall'!$D$15=0,0,-XNPV('New Waterfall'!$D$15,$R$8:$R55,$P$8:$P55))*(1+'New Waterfall'!$D$15)^(($P103-$P$8)/365))-SUM(AN103,AC103)))</f>
        <v>0</v>
      </c>
      <c r="AT103" s="1162">
        <f>IF($G$9=0,0,MAX(0,(IF('New Waterfall'!$E$15=0,0,-XNPV('New Waterfall'!$E$15,$S$8:$S55,$P$8:$P55))*(1+'New Waterfall'!$E$15)^(($P103-$P$8)/365))-SUM(AO103,AD103)))</f>
        <v>0</v>
      </c>
      <c r="AU103" s="1162">
        <f>IF($G$10=0,0,MAX(0,(IF('New Waterfall'!$F$15=0,0,-XNPV('New Waterfall'!$F$15,$T$8:$T55,$P$8:$P55))*(1+'New Waterfall'!$F$15)^(($P103-$P$8)/365))-SUM(AP103,AE103)))</f>
        <v>0</v>
      </c>
      <c r="AW103" s="1155" t="s">
        <v>196</v>
      </c>
      <c r="AX103" s="1162">
        <f t="shared" si="124"/>
        <v>0</v>
      </c>
      <c r="AY103" s="1162">
        <f t="shared" si="125"/>
        <v>0</v>
      </c>
      <c r="AZ103" s="1162">
        <f t="shared" si="126"/>
        <v>0</v>
      </c>
      <c r="BA103" s="1162">
        <f t="shared" si="127"/>
        <v>0</v>
      </c>
      <c r="BB103" s="1167">
        <f>IF(SUM(AS103:AU103)/(1-'New Waterfall'!$G$15)&lt;'New Waterfall'!AR103,SUM('New Waterfall'!AS103:AU103)/(1-'New Waterfall'!$G$15),'New Waterfall'!AR103)*'New Waterfall'!$G$15</f>
        <v>0</v>
      </c>
      <c r="BC103" s="1162">
        <f t="shared" si="128"/>
        <v>0</v>
      </c>
      <c r="BD103" s="1162">
        <f>IF($G$8=0,0,MAX(0,(IF('New Waterfall'!$D$16=0,0,-XNPV('New Waterfall'!$D$16,$R$8:$R55,$P$8:$P55))*(1+'New Waterfall'!$D$16)^(($P103-$P$8)/365))-SUM(AY103,AN103,AC103)))</f>
        <v>0</v>
      </c>
      <c r="BE103" s="1162">
        <f>IF($G$9=0,0,MAX(0,(IF('New Waterfall'!$E$16=0,0,-XNPV('New Waterfall'!$E$16,$S$8:$S55,$P$8:$P55))*(1+'New Waterfall'!$E$16)^(($P103-$P$8)/365))-SUM(AZ103,AO103,AD103)))</f>
        <v>0</v>
      </c>
      <c r="BF103" s="1162">
        <f>IF($G$10=0,0,MAX(0,(IF('New Waterfall'!$F$16=0,0,-XNPV('New Waterfall'!$F$16,$T$8:$T55,$P$8:$P55))*(1+'New Waterfall'!$F$16)^(($P103-$P$8)/365))-SUM(BA103,AP103,AE103)))</f>
        <v>0</v>
      </c>
      <c r="BH103" s="1155" t="s">
        <v>450</v>
      </c>
      <c r="BI103" s="1162">
        <f t="shared" si="129"/>
        <v>0</v>
      </c>
      <c r="BJ103" s="1162">
        <f t="shared" si="130"/>
        <v>0</v>
      </c>
      <c r="BK103" s="1162">
        <f t="shared" si="131"/>
        <v>0</v>
      </c>
      <c r="BL103" s="1162">
        <f t="shared" si="132"/>
        <v>0</v>
      </c>
      <c r="BM103" s="1167">
        <f>IF(SUM(BD103:BF103)/(1-'New Waterfall'!$G$16)&lt;'New Waterfall'!BC103,SUM('New Waterfall'!BD103:BF103)/(1-'New Waterfall'!$G$16),'New Waterfall'!BC103)*'New Waterfall'!$G$16</f>
        <v>0</v>
      </c>
      <c r="BN103" s="1162">
        <f t="shared" si="133"/>
        <v>0</v>
      </c>
      <c r="BO103" s="1162">
        <f>IF($G$8=0,0,MAX(0,(IF('New Waterfall'!$D$17=0,0,-XNPV('New Waterfall'!$D$17,$R$8:$R55,$P$8:$P55))*(1+'New Waterfall'!$D$17)^(($P103-$P$8)/365))-SUM(BJ103,AY103,AN103,AC103)))</f>
        <v>0</v>
      </c>
      <c r="BP103" s="1162">
        <f>IF($G$9=0,0,MAX(0,(IF('New Waterfall'!$E$17=0,0,-XNPV('New Waterfall'!$E$17,$S$8:$S55,$P$8:$P55))*(1+'New Waterfall'!$E$17)^(($P103-$P$8)/365))-SUM(BK103,AZ103,AO103,AD103)))</f>
        <v>0</v>
      </c>
      <c r="BQ103" s="1162">
        <f>IF($G$10=0,0,MAX(0,(IF('New Waterfall'!$F$17=0,0,-XNPV('New Waterfall'!$F$17,$T$8:$T55,$P$8:$P55))*(1+'New Waterfall'!$F$17)^(($P103-$P$8)/365))-SUM(BL103,BA103,AP103,AE103)))</f>
        <v>0</v>
      </c>
      <c r="BS103" s="1155" t="s">
        <v>451</v>
      </c>
      <c r="BT103" s="1162">
        <f t="shared" si="134"/>
        <v>0</v>
      </c>
      <c r="BU103" s="1162">
        <f t="shared" si="135"/>
        <v>0</v>
      </c>
      <c r="BV103" s="1162">
        <f t="shared" si="136"/>
        <v>0</v>
      </c>
      <c r="BW103" s="1162">
        <f t="shared" si="137"/>
        <v>0</v>
      </c>
      <c r="BX103" s="1167">
        <f>IF(SUM(BO103:BQ103)/(1-'New Waterfall'!$G$17)&lt;'New Waterfall'!BN103,SUM('New Waterfall'!BO103:BQ103)/(1-'New Waterfall'!$G$17),'New Waterfall'!BN103)*'New Waterfall'!$G$17</f>
        <v>0</v>
      </c>
      <c r="BY103" s="1162">
        <f t="shared" si="138"/>
        <v>0</v>
      </c>
      <c r="BZ103" s="1162">
        <f>IF($G$8=0,0,MAX(0,(IF('New Waterfall'!$D$18=0,0,-XNPV('New Waterfall'!$D$18,$R$8:$R55,$P$8:$P55))*(1+'New Waterfall'!$D$18)^(($P103-$P$8)/365))-SUM(BU103,BJ103,AY103,AN103,AC103)))</f>
        <v>0</v>
      </c>
      <c r="CA103" s="1162">
        <f>IF($G$9=0,0,MAX(0,(IF('New Waterfall'!$E$18=0,0,-XNPV('New Waterfall'!$E$18,$S$8:$S55,$P$8:$P55))*(1+'New Waterfall'!$E$18)^(($P103-$P$8)/365))-SUM(BV103,BK103,AZ103,AO103,AD103)))</f>
        <v>0</v>
      </c>
      <c r="CB103" s="1162">
        <f>IF($G$10=0,0,MAX(0,(IF('New Waterfall'!$F$18=0,0,-XNPV('New Waterfall'!$F$18,$T$8:$T55,$P$8:$P55))*(1+'New Waterfall'!$F$18)^(($P103-$P$8)/365))-SUM(BW103,BL103,BA103,AP103,AE103)))</f>
        <v>0</v>
      </c>
      <c r="CD103" s="1155" t="s">
        <v>452</v>
      </c>
      <c r="CE103" s="1162">
        <f t="shared" si="139"/>
        <v>0</v>
      </c>
      <c r="CF103" s="1162">
        <f t="shared" si="140"/>
        <v>0</v>
      </c>
      <c r="CG103" s="1162">
        <f t="shared" si="141"/>
        <v>0</v>
      </c>
      <c r="CH103" s="1162">
        <f t="shared" si="142"/>
        <v>0</v>
      </c>
      <c r="CI103" s="1167">
        <f>BY103*'New Waterfall'!$G$18</f>
        <v>0</v>
      </c>
      <c r="CN103" s="1171">
        <f t="shared" si="143"/>
        <v>0</v>
      </c>
      <c r="CO103" s="1170">
        <f t="shared" si="144"/>
        <v>0</v>
      </c>
      <c r="CP103" s="1170">
        <f t="shared" si="145"/>
        <v>0</v>
      </c>
      <c r="CQ103" s="1170">
        <f t="shared" si="146"/>
        <v>0</v>
      </c>
    </row>
    <row r="104" spans="3:95" outlineLevel="1">
      <c r="C104" s="1174" t="s">
        <v>449</v>
      </c>
      <c r="D104" s="1175">
        <f>CE60</f>
        <v>0.10000004172325136</v>
      </c>
      <c r="E104" s="1175">
        <f>CF60</f>
        <v>0.10000004172325136</v>
      </c>
      <c r="F104" s="1175">
        <f>CG60</f>
        <v>0.10000004172325136</v>
      </c>
      <c r="G104" s="1175">
        <f>CH60</f>
        <v>0</v>
      </c>
      <c r="I104" s="1165"/>
      <c r="J104" s="1162"/>
      <c r="O104" s="1169">
        <f t="shared" si="147"/>
        <v>19</v>
      </c>
      <c r="P104" s="1168">
        <f t="shared" si="109"/>
        <v>48091</v>
      </c>
      <c r="Q104" s="1159">
        <f>+'New Waterfall'!F89</f>
        <v>0</v>
      </c>
      <c r="R104" s="1159">
        <f t="shared" si="110"/>
        <v>0</v>
      </c>
      <c r="S104" s="1159">
        <f t="shared" si="111"/>
        <v>0</v>
      </c>
      <c r="T104" s="1159">
        <f t="shared" si="112"/>
        <v>0</v>
      </c>
      <c r="U104" s="1155"/>
      <c r="V104" s="1162">
        <f t="shared" si="113"/>
        <v>0</v>
      </c>
      <c r="W104" s="1162">
        <f>IF($G$8=0,0,MAX(0,(IF('New Waterfall'!$D$13=0,0,-XNPV('New Waterfall'!$D$13,R$8:$R56,$P$8:$P56))*(1+'New Waterfall'!$D$13)^(($P104-$P$8)/365))))</f>
        <v>0</v>
      </c>
      <c r="X104" s="1162">
        <f>IF($G$9=0,0,MAX(0,(IF('New Waterfall'!$E$13=0,0,-XNPV('New Waterfall'!$E$13,S$8:$S56,$P$8:$P56))*(1+'New Waterfall'!$E$13)^(($P104-$P$8)/365))))</f>
        <v>0</v>
      </c>
      <c r="Y104" s="1162">
        <f>IF($G$10=0,0,MAX(0,(IF('New Waterfall'!$E$13=0,0,-XNPV('New Waterfall'!$E$13,$T$8:T56,$P$8:$P56))*(1+'New Waterfall'!$E$13)^(($P104-$P$8)/365))))</f>
        <v>0</v>
      </c>
      <c r="AA104" s="1155" t="s">
        <v>194</v>
      </c>
      <c r="AB104" s="1162">
        <f t="shared" si="114"/>
        <v>0</v>
      </c>
      <c r="AC104" s="1162">
        <f t="shared" si="115"/>
        <v>0</v>
      </c>
      <c r="AD104" s="1162">
        <f t="shared" si="116"/>
        <v>0</v>
      </c>
      <c r="AE104" s="1162">
        <f t="shared" si="117"/>
        <v>0</v>
      </c>
      <c r="AF104" s="1167">
        <f>IF(SUM(W104:Y104)/(1-'New Waterfall'!$G$13)&lt;'New Waterfall'!Q104,SUM('New Waterfall'!W104:Y104)/(1-'New Waterfall'!$G$13),'New Waterfall'!Q104)*'New Waterfall'!$G$13</f>
        <v>0</v>
      </c>
      <c r="AG104" s="1162">
        <f t="shared" si="118"/>
        <v>0</v>
      </c>
      <c r="AH104" s="1162">
        <f>IF($G$8=0,0,MAX(0,(IF('New Waterfall'!$D$14=0,0,-XNPV('New Waterfall'!$D$14,$R$8:$R56,$P$8:$P56))*(1+'New Waterfall'!$D$14)^(($P104-$P$8)/365))-SUM(AC104)))</f>
        <v>170141310225.31244</v>
      </c>
      <c r="AI104" s="1162">
        <f>IF($G$9=0,0,MAX(0,(IF('New Waterfall'!$E$14=0,0,-XNPV('New Waterfall'!$E$14,$S$8:$S56,$P$8:$P56))*(1+'New Waterfall'!$E$14)^(($P104-$P$8)/365))-SUM(AD104)))</f>
        <v>18904590025.034706</v>
      </c>
      <c r="AJ104" s="1162">
        <f>IF($G$10=0,0,MAX(0,(IF('New Waterfall'!$F$14=0,0,-XNPV('New Waterfall'!$F$14,$T$8:$T56,$P$8:$P56))*(1+'New Waterfall'!$F$14)^(($P104-$P$8)/365))-SUM(AE104)))</f>
        <v>0</v>
      </c>
      <c r="AL104" s="1155" t="s">
        <v>195</v>
      </c>
      <c r="AM104" s="1162">
        <f t="shared" si="119"/>
        <v>0</v>
      </c>
      <c r="AN104" s="1162">
        <f t="shared" si="120"/>
        <v>0</v>
      </c>
      <c r="AO104" s="1162">
        <f t="shared" si="121"/>
        <v>0</v>
      </c>
      <c r="AP104" s="1162">
        <f t="shared" si="122"/>
        <v>0</v>
      </c>
      <c r="AQ104" s="1167">
        <f>IF(SUM(AH104:AJ104)/(1-'New Waterfall'!$G$14)&lt;'New Waterfall'!AG104,SUM('New Waterfall'!AH104:AJ104)/(1-'New Waterfall'!$G$14),'New Waterfall'!AG104)*'New Waterfall'!$G$14</f>
        <v>0</v>
      </c>
      <c r="AR104" s="1162">
        <f t="shared" si="123"/>
        <v>0</v>
      </c>
      <c r="AS104" s="1162">
        <f>IF($G$8=0,0,MAX(0,(IF('New Waterfall'!$D$15=0,0,-XNPV('New Waterfall'!$D$15,$R$8:$R56,$P$8:$P56))*(1+'New Waterfall'!$D$15)^(($P104-$P$8)/365))-SUM(AN104,AC104)))</f>
        <v>0</v>
      </c>
      <c r="AT104" s="1162">
        <f>IF($G$9=0,0,MAX(0,(IF('New Waterfall'!$E$15=0,0,-XNPV('New Waterfall'!$E$15,$S$8:$S56,$P$8:$P56))*(1+'New Waterfall'!$E$15)^(($P104-$P$8)/365))-SUM(AO104,AD104)))</f>
        <v>0</v>
      </c>
      <c r="AU104" s="1162">
        <f>IF($G$10=0,0,MAX(0,(IF('New Waterfall'!$F$15=0,0,-XNPV('New Waterfall'!$F$15,$T$8:$T56,$P$8:$P56))*(1+'New Waterfall'!$F$15)^(($P104-$P$8)/365))-SUM(AP104,AE104)))</f>
        <v>0</v>
      </c>
      <c r="AW104" s="1155" t="s">
        <v>196</v>
      </c>
      <c r="AX104" s="1162">
        <f t="shared" si="124"/>
        <v>0</v>
      </c>
      <c r="AY104" s="1162">
        <f t="shared" si="125"/>
        <v>0</v>
      </c>
      <c r="AZ104" s="1162">
        <f t="shared" si="126"/>
        <v>0</v>
      </c>
      <c r="BA104" s="1162">
        <f t="shared" si="127"/>
        <v>0</v>
      </c>
      <c r="BB104" s="1167">
        <f>IF(SUM(AS104:AU104)/(1-'New Waterfall'!$G$15)&lt;'New Waterfall'!AR104,SUM('New Waterfall'!AS104:AU104)/(1-'New Waterfall'!$G$15),'New Waterfall'!AR104)*'New Waterfall'!$G$15</f>
        <v>0</v>
      </c>
      <c r="BC104" s="1162">
        <f t="shared" si="128"/>
        <v>0</v>
      </c>
      <c r="BD104" s="1162">
        <f>IF($G$8=0,0,MAX(0,(IF('New Waterfall'!$D$16=0,0,-XNPV('New Waterfall'!$D$16,$R$8:$R56,$P$8:$P56))*(1+'New Waterfall'!$D$16)^(($P104-$P$8)/365))-SUM(AY104,AN104,AC104)))</f>
        <v>0</v>
      </c>
      <c r="BE104" s="1162">
        <f>IF($G$9=0,0,MAX(0,(IF('New Waterfall'!$E$16=0,0,-XNPV('New Waterfall'!$E$16,$S$8:$S56,$P$8:$P56))*(1+'New Waterfall'!$E$16)^(($P104-$P$8)/365))-SUM(AZ104,AO104,AD104)))</f>
        <v>0</v>
      </c>
      <c r="BF104" s="1162">
        <f>IF($G$10=0,0,MAX(0,(IF('New Waterfall'!$F$16=0,0,-XNPV('New Waterfall'!$F$16,$T$8:$T56,$P$8:$P56))*(1+'New Waterfall'!$F$16)^(($P104-$P$8)/365))-SUM(BA104,AP104,AE104)))</f>
        <v>0</v>
      </c>
      <c r="BH104" s="1155" t="s">
        <v>450</v>
      </c>
      <c r="BI104" s="1162">
        <f t="shared" si="129"/>
        <v>0</v>
      </c>
      <c r="BJ104" s="1162">
        <f t="shared" si="130"/>
        <v>0</v>
      </c>
      <c r="BK104" s="1162">
        <f t="shared" si="131"/>
        <v>0</v>
      </c>
      <c r="BL104" s="1162">
        <f t="shared" si="132"/>
        <v>0</v>
      </c>
      <c r="BM104" s="1167">
        <f>IF(SUM(BD104:BF104)/(1-'New Waterfall'!$G$16)&lt;'New Waterfall'!BC104,SUM('New Waterfall'!BD104:BF104)/(1-'New Waterfall'!$G$16),'New Waterfall'!BC104)*'New Waterfall'!$G$16</f>
        <v>0</v>
      </c>
      <c r="BN104" s="1162">
        <f t="shared" si="133"/>
        <v>0</v>
      </c>
      <c r="BO104" s="1162">
        <f>IF($G$8=0,0,MAX(0,(IF('New Waterfall'!$D$17=0,0,-XNPV('New Waterfall'!$D$17,$R$8:$R56,$P$8:$P56))*(1+'New Waterfall'!$D$17)^(($P104-$P$8)/365))-SUM(BJ104,AY104,AN104,AC104)))</f>
        <v>0</v>
      </c>
      <c r="BP104" s="1162">
        <f>IF($G$9=0,0,MAX(0,(IF('New Waterfall'!$E$17=0,0,-XNPV('New Waterfall'!$E$17,$S$8:$S56,$P$8:$P56))*(1+'New Waterfall'!$E$17)^(($P104-$P$8)/365))-SUM(BK104,AZ104,AO104,AD104)))</f>
        <v>0</v>
      </c>
      <c r="BQ104" s="1162">
        <f>IF($G$10=0,0,MAX(0,(IF('New Waterfall'!$F$17=0,0,-XNPV('New Waterfall'!$F$17,$T$8:$T56,$P$8:$P56))*(1+'New Waterfall'!$F$17)^(($P104-$P$8)/365))-SUM(BL104,BA104,AP104,AE104)))</f>
        <v>0</v>
      </c>
      <c r="BS104" s="1155" t="s">
        <v>451</v>
      </c>
      <c r="BT104" s="1162">
        <f t="shared" si="134"/>
        <v>0</v>
      </c>
      <c r="BU104" s="1162">
        <f t="shared" si="135"/>
        <v>0</v>
      </c>
      <c r="BV104" s="1162">
        <f t="shared" si="136"/>
        <v>0</v>
      </c>
      <c r="BW104" s="1162">
        <f t="shared" si="137"/>
        <v>0</v>
      </c>
      <c r="BX104" s="1167">
        <f>IF(SUM(BO104:BQ104)/(1-'New Waterfall'!$G$17)&lt;'New Waterfall'!BN104,SUM('New Waterfall'!BO104:BQ104)/(1-'New Waterfall'!$G$17),'New Waterfall'!BN104)*'New Waterfall'!$G$17</f>
        <v>0</v>
      </c>
      <c r="BY104" s="1162">
        <f t="shared" si="138"/>
        <v>0</v>
      </c>
      <c r="BZ104" s="1162">
        <f>IF($G$8=0,0,MAX(0,(IF('New Waterfall'!$D$18=0,0,-XNPV('New Waterfall'!$D$18,$R$8:$R56,$P$8:$P56))*(1+'New Waterfall'!$D$18)^(($P104-$P$8)/365))-SUM(BU104,BJ104,AY104,AN104,AC104)))</f>
        <v>0</v>
      </c>
      <c r="CA104" s="1162">
        <f>IF($G$9=0,0,MAX(0,(IF('New Waterfall'!$E$18=0,0,-XNPV('New Waterfall'!$E$18,$S$8:$S56,$P$8:$P56))*(1+'New Waterfall'!$E$18)^(($P104-$P$8)/365))-SUM(BV104,BK104,AZ104,AO104,AD104)))</f>
        <v>0</v>
      </c>
      <c r="CB104" s="1162">
        <f>IF($G$10=0,0,MAX(0,(IF('New Waterfall'!$F$18=0,0,-XNPV('New Waterfall'!$F$18,$T$8:$T56,$P$8:$P56))*(1+'New Waterfall'!$F$18)^(($P104-$P$8)/365))-SUM(BW104,BL104,BA104,AP104,AE104)))</f>
        <v>0</v>
      </c>
      <c r="CD104" s="1155" t="s">
        <v>452</v>
      </c>
      <c r="CE104" s="1162">
        <f t="shared" si="139"/>
        <v>0</v>
      </c>
      <c r="CF104" s="1162">
        <f t="shared" si="140"/>
        <v>0</v>
      </c>
      <c r="CG104" s="1162">
        <f t="shared" si="141"/>
        <v>0</v>
      </c>
      <c r="CH104" s="1162">
        <f t="shared" si="142"/>
        <v>0</v>
      </c>
      <c r="CI104" s="1167">
        <f>BY104*'New Waterfall'!$G$18</f>
        <v>0</v>
      </c>
      <c r="CN104" s="1171">
        <f t="shared" si="143"/>
        <v>0</v>
      </c>
      <c r="CO104" s="1170">
        <f t="shared" si="144"/>
        <v>0</v>
      </c>
      <c r="CP104" s="1170">
        <f t="shared" si="145"/>
        <v>0</v>
      </c>
      <c r="CQ104" s="1170">
        <f t="shared" si="146"/>
        <v>0</v>
      </c>
    </row>
    <row r="105" spans="3:95" outlineLevel="1">
      <c r="C105" s="1174"/>
      <c r="D105" s="1173"/>
      <c r="E105" s="1173"/>
      <c r="F105" s="1173"/>
      <c r="G105" s="1173"/>
      <c r="I105" s="1165"/>
      <c r="J105" s="1162"/>
      <c r="O105" s="1169">
        <f t="shared" si="147"/>
        <v>20</v>
      </c>
      <c r="P105" s="1168">
        <f t="shared" si="109"/>
        <v>48121</v>
      </c>
      <c r="Q105" s="1159">
        <f>+'New Waterfall'!F90</f>
        <v>0</v>
      </c>
      <c r="R105" s="1159">
        <f t="shared" si="110"/>
        <v>0</v>
      </c>
      <c r="S105" s="1159">
        <f t="shared" si="111"/>
        <v>0</v>
      </c>
      <c r="T105" s="1159">
        <f t="shared" si="112"/>
        <v>0</v>
      </c>
      <c r="U105" s="1155"/>
      <c r="V105" s="1162">
        <f t="shared" si="113"/>
        <v>0</v>
      </c>
      <c r="W105" s="1162">
        <f>IF($G$8=0,0,MAX(0,(IF('New Waterfall'!$D$13=0,0,-XNPV('New Waterfall'!$D$13,R$8:$R57,$P$8:$P57))*(1+'New Waterfall'!$D$13)^(($P105-$P$8)/365))))</f>
        <v>0</v>
      </c>
      <c r="X105" s="1162">
        <f>IF($G$9=0,0,MAX(0,(IF('New Waterfall'!$E$13=0,0,-XNPV('New Waterfall'!$E$13,S$8:$S57,$P$8:$P57))*(1+'New Waterfall'!$E$13)^(($P105-$P$8)/365))))</f>
        <v>0</v>
      </c>
      <c r="Y105" s="1162">
        <f>IF($G$10=0,0,MAX(0,(IF('New Waterfall'!$E$13=0,0,-XNPV('New Waterfall'!$E$13,$T$8:T57,$P$8:$P57))*(1+'New Waterfall'!$E$13)^(($P105-$P$8)/365))))</f>
        <v>0</v>
      </c>
      <c r="AA105" s="1155" t="s">
        <v>194</v>
      </c>
      <c r="AB105" s="1162">
        <f t="shared" si="114"/>
        <v>0</v>
      </c>
      <c r="AC105" s="1162">
        <f t="shared" si="115"/>
        <v>0</v>
      </c>
      <c r="AD105" s="1162">
        <f t="shared" si="116"/>
        <v>0</v>
      </c>
      <c r="AE105" s="1162">
        <f t="shared" si="117"/>
        <v>0</v>
      </c>
      <c r="AF105" s="1167">
        <f>IF(SUM(W105:Y105)/(1-'New Waterfall'!$G$13)&lt;'New Waterfall'!Q105,SUM('New Waterfall'!W105:Y105)/(1-'New Waterfall'!$G$13),'New Waterfall'!Q105)*'New Waterfall'!$G$13</f>
        <v>0</v>
      </c>
      <c r="AG105" s="1162">
        <f t="shared" si="118"/>
        <v>0</v>
      </c>
      <c r="AH105" s="1162">
        <f>IF($G$8=0,0,MAX(0,(IF('New Waterfall'!$D$14=0,0,-XNPV('New Waterfall'!$D$14,$R$8:$R57,$P$8:$P57))*(1+'New Waterfall'!$D$14)^(($P105-$P$8)/365))-SUM(AC105)))</f>
        <v>207206651370.62473</v>
      </c>
      <c r="AI105" s="1162">
        <f>IF($G$9=0,0,MAX(0,(IF('New Waterfall'!$E$14=0,0,-XNPV('New Waterfall'!$E$14,$S$8:$S57,$P$8:$P57))*(1+'New Waterfall'!$E$14)^(($P105-$P$8)/365))-SUM(AD105)))</f>
        <v>23022961263.402737</v>
      </c>
      <c r="AJ105" s="1162">
        <f>IF($G$10=0,0,MAX(0,(IF('New Waterfall'!$F$14=0,0,-XNPV('New Waterfall'!$F$14,$T$8:$T57,$P$8:$P57))*(1+'New Waterfall'!$F$14)^(($P105-$P$8)/365))-SUM(AE105)))</f>
        <v>0</v>
      </c>
      <c r="AL105" s="1155" t="s">
        <v>195</v>
      </c>
      <c r="AM105" s="1162">
        <f t="shared" si="119"/>
        <v>0</v>
      </c>
      <c r="AN105" s="1162">
        <f t="shared" si="120"/>
        <v>0</v>
      </c>
      <c r="AO105" s="1162">
        <f t="shared" si="121"/>
        <v>0</v>
      </c>
      <c r="AP105" s="1162">
        <f t="shared" si="122"/>
        <v>0</v>
      </c>
      <c r="AQ105" s="1167">
        <f>IF(SUM(AH105:AJ105)/(1-'New Waterfall'!$G$14)&lt;'New Waterfall'!AG105,SUM('New Waterfall'!AH105:AJ105)/(1-'New Waterfall'!$G$14),'New Waterfall'!AG105)*'New Waterfall'!$G$14</f>
        <v>0</v>
      </c>
      <c r="AR105" s="1162">
        <f t="shared" si="123"/>
        <v>0</v>
      </c>
      <c r="AS105" s="1162">
        <f>IF($G$8=0,0,MAX(0,(IF('New Waterfall'!$D$15=0,0,-XNPV('New Waterfall'!$D$15,$R$8:$R57,$P$8:$P57))*(1+'New Waterfall'!$D$15)^(($P105-$P$8)/365))-SUM(AN105,AC105)))</f>
        <v>0</v>
      </c>
      <c r="AT105" s="1162">
        <f>IF($G$9=0,0,MAX(0,(IF('New Waterfall'!$E$15=0,0,-XNPV('New Waterfall'!$E$15,$S$8:$S57,$P$8:$P57))*(1+'New Waterfall'!$E$15)^(($P105-$P$8)/365))-SUM(AO105,AD105)))</f>
        <v>0</v>
      </c>
      <c r="AU105" s="1162">
        <f>IF($G$10=0,0,MAX(0,(IF('New Waterfall'!$F$15=0,0,-XNPV('New Waterfall'!$F$15,$T$8:$T57,$P$8:$P57))*(1+'New Waterfall'!$F$15)^(($P105-$P$8)/365))-SUM(AP105,AE105)))</f>
        <v>0</v>
      </c>
      <c r="AW105" s="1155" t="s">
        <v>196</v>
      </c>
      <c r="AX105" s="1162">
        <f t="shared" si="124"/>
        <v>0</v>
      </c>
      <c r="AY105" s="1162">
        <f t="shared" si="125"/>
        <v>0</v>
      </c>
      <c r="AZ105" s="1162">
        <f t="shared" si="126"/>
        <v>0</v>
      </c>
      <c r="BA105" s="1162">
        <f t="shared" si="127"/>
        <v>0</v>
      </c>
      <c r="BB105" s="1167">
        <f>IF(SUM(AS105:AU105)/(1-'New Waterfall'!$G$15)&lt;'New Waterfall'!AR105,SUM('New Waterfall'!AS105:AU105)/(1-'New Waterfall'!$G$15),'New Waterfall'!AR105)*'New Waterfall'!$G$15</f>
        <v>0</v>
      </c>
      <c r="BC105" s="1162">
        <f t="shared" si="128"/>
        <v>0</v>
      </c>
      <c r="BD105" s="1162">
        <f>IF($G$8=0,0,MAX(0,(IF('New Waterfall'!$D$16=0,0,-XNPV('New Waterfall'!$D$16,$R$8:$R57,$P$8:$P57))*(1+'New Waterfall'!$D$16)^(($P105-$P$8)/365))-SUM(AY105,AN105,AC105)))</f>
        <v>0</v>
      </c>
      <c r="BE105" s="1162">
        <f>IF($G$9=0,0,MAX(0,(IF('New Waterfall'!$E$16=0,0,-XNPV('New Waterfall'!$E$16,$S$8:$S57,$P$8:$P57))*(1+'New Waterfall'!$E$16)^(($P105-$P$8)/365))-SUM(AZ105,AO105,AD105)))</f>
        <v>0</v>
      </c>
      <c r="BF105" s="1162">
        <f>IF($G$10=0,0,MAX(0,(IF('New Waterfall'!$F$16=0,0,-XNPV('New Waterfall'!$F$16,$T$8:$T57,$P$8:$P57))*(1+'New Waterfall'!$F$16)^(($P105-$P$8)/365))-SUM(BA105,AP105,AE105)))</f>
        <v>0</v>
      </c>
      <c r="BH105" s="1155" t="s">
        <v>450</v>
      </c>
      <c r="BI105" s="1162">
        <f t="shared" si="129"/>
        <v>0</v>
      </c>
      <c r="BJ105" s="1162">
        <f t="shared" si="130"/>
        <v>0</v>
      </c>
      <c r="BK105" s="1162">
        <f t="shared" si="131"/>
        <v>0</v>
      </c>
      <c r="BL105" s="1162">
        <f t="shared" si="132"/>
        <v>0</v>
      </c>
      <c r="BM105" s="1167">
        <f>IF(SUM(BD105:BF105)/(1-'New Waterfall'!$G$16)&lt;'New Waterfall'!BC105,SUM('New Waterfall'!BD105:BF105)/(1-'New Waterfall'!$G$16),'New Waterfall'!BC105)*'New Waterfall'!$G$16</f>
        <v>0</v>
      </c>
      <c r="BN105" s="1162">
        <f t="shared" si="133"/>
        <v>0</v>
      </c>
      <c r="BO105" s="1162">
        <f>IF($G$8=0,0,MAX(0,(IF('New Waterfall'!$D$17=0,0,-XNPV('New Waterfall'!$D$17,$R$8:$R57,$P$8:$P57))*(1+'New Waterfall'!$D$17)^(($P105-$P$8)/365))-SUM(BJ105,AY105,AN105,AC105)))</f>
        <v>0</v>
      </c>
      <c r="BP105" s="1162">
        <f>IF($G$9=0,0,MAX(0,(IF('New Waterfall'!$E$17=0,0,-XNPV('New Waterfall'!$E$17,$S$8:$S57,$P$8:$P57))*(1+'New Waterfall'!$E$17)^(($P105-$P$8)/365))-SUM(BK105,AZ105,AO105,AD105)))</f>
        <v>0</v>
      </c>
      <c r="BQ105" s="1162">
        <f>IF($G$10=0,0,MAX(0,(IF('New Waterfall'!$F$17=0,0,-XNPV('New Waterfall'!$F$17,$T$8:$T57,$P$8:$P57))*(1+'New Waterfall'!$F$17)^(($P105-$P$8)/365))-SUM(BL105,BA105,AP105,AE105)))</f>
        <v>0</v>
      </c>
      <c r="BS105" s="1155" t="s">
        <v>451</v>
      </c>
      <c r="BT105" s="1162">
        <f t="shared" si="134"/>
        <v>0</v>
      </c>
      <c r="BU105" s="1162">
        <f t="shared" si="135"/>
        <v>0</v>
      </c>
      <c r="BV105" s="1162">
        <f t="shared" si="136"/>
        <v>0</v>
      </c>
      <c r="BW105" s="1162">
        <f t="shared" si="137"/>
        <v>0</v>
      </c>
      <c r="BX105" s="1167">
        <f>IF(SUM(BO105:BQ105)/(1-'New Waterfall'!$G$17)&lt;'New Waterfall'!BN105,SUM('New Waterfall'!BO105:BQ105)/(1-'New Waterfall'!$G$17),'New Waterfall'!BN105)*'New Waterfall'!$G$17</f>
        <v>0</v>
      </c>
      <c r="BY105" s="1162">
        <f t="shared" si="138"/>
        <v>0</v>
      </c>
      <c r="BZ105" s="1162">
        <f>IF($G$8=0,0,MAX(0,(IF('New Waterfall'!$D$18=0,0,-XNPV('New Waterfall'!$D$18,$R$8:$R57,$P$8:$P57))*(1+'New Waterfall'!$D$18)^(($P105-$P$8)/365))-SUM(BU105,BJ105,AY105,AN105,AC105)))</f>
        <v>0</v>
      </c>
      <c r="CA105" s="1162">
        <f>IF($G$9=0,0,MAX(0,(IF('New Waterfall'!$E$18=0,0,-XNPV('New Waterfall'!$E$18,$S$8:$S57,$P$8:$P57))*(1+'New Waterfall'!$E$18)^(($P105-$P$8)/365))-SUM(BV105,BK105,AZ105,AO105,AD105)))</f>
        <v>0</v>
      </c>
      <c r="CB105" s="1162">
        <f>IF($G$10=0,0,MAX(0,(IF('New Waterfall'!$F$18=0,0,-XNPV('New Waterfall'!$F$18,$T$8:$T57,$P$8:$P57))*(1+'New Waterfall'!$F$18)^(($P105-$P$8)/365))-SUM(BW105,BL105,BA105,AP105,AE105)))</f>
        <v>0</v>
      </c>
      <c r="CD105" s="1155" t="s">
        <v>452</v>
      </c>
      <c r="CE105" s="1162">
        <f t="shared" si="139"/>
        <v>0</v>
      </c>
      <c r="CF105" s="1162">
        <f t="shared" si="140"/>
        <v>0</v>
      </c>
      <c r="CG105" s="1162">
        <f t="shared" si="141"/>
        <v>0</v>
      </c>
      <c r="CH105" s="1162">
        <f t="shared" si="142"/>
        <v>0</v>
      </c>
      <c r="CI105" s="1167">
        <f>BY105*'New Waterfall'!$G$18</f>
        <v>0</v>
      </c>
      <c r="CN105" s="1171">
        <f t="shared" si="143"/>
        <v>0</v>
      </c>
      <c r="CO105" s="1170">
        <f t="shared" si="144"/>
        <v>0</v>
      </c>
      <c r="CP105" s="1170">
        <f t="shared" si="145"/>
        <v>0</v>
      </c>
      <c r="CQ105" s="1170">
        <f t="shared" si="146"/>
        <v>0</v>
      </c>
    </row>
    <row r="106" spans="3:95" outlineLevel="1">
      <c r="C106" s="1174"/>
      <c r="D106" s="1173"/>
      <c r="E106" s="1173"/>
      <c r="F106" s="1173"/>
      <c r="G106" s="1173"/>
      <c r="I106" s="1165"/>
      <c r="J106" s="1162"/>
      <c r="O106" s="1169"/>
      <c r="P106" s="1168"/>
      <c r="Q106" s="1159"/>
      <c r="R106" s="1159"/>
      <c r="S106" s="1159"/>
      <c r="T106" s="1159"/>
      <c r="U106" s="1155"/>
      <c r="V106" s="1162"/>
      <c r="W106" s="1162"/>
      <c r="X106" s="1162"/>
      <c r="Y106" s="1162"/>
      <c r="AB106" s="1162"/>
      <c r="AC106" s="1162"/>
      <c r="AD106" s="1162"/>
      <c r="AE106" s="1162"/>
      <c r="AF106" s="1167"/>
      <c r="AG106" s="1162"/>
      <c r="AH106" s="1162"/>
      <c r="AI106" s="1162"/>
      <c r="AJ106" s="1162"/>
      <c r="AM106" s="1162"/>
      <c r="AN106" s="1162"/>
      <c r="AO106" s="1162"/>
      <c r="AP106" s="1162"/>
      <c r="AQ106" s="1167"/>
      <c r="AR106" s="1162"/>
      <c r="AS106" s="1162"/>
      <c r="AT106" s="1162"/>
      <c r="AU106" s="1162"/>
      <c r="AX106" s="1162"/>
      <c r="AY106" s="1162"/>
      <c r="AZ106" s="1162"/>
      <c r="BA106" s="1162"/>
      <c r="BB106" s="1167"/>
      <c r="BC106" s="1162"/>
      <c r="BD106" s="1162"/>
      <c r="BE106" s="1162"/>
      <c r="BF106" s="1162"/>
      <c r="BI106" s="1162"/>
      <c r="BJ106" s="1162"/>
      <c r="BK106" s="1162"/>
      <c r="BL106" s="1162"/>
      <c r="BM106" s="1167"/>
      <c r="BN106" s="1162"/>
      <c r="BO106" s="1162"/>
      <c r="BP106" s="1162"/>
      <c r="BQ106" s="1162"/>
      <c r="BT106" s="1162"/>
      <c r="BU106" s="1162"/>
      <c r="BV106" s="1162"/>
      <c r="BW106" s="1162"/>
      <c r="BX106" s="1167"/>
      <c r="BY106" s="1162"/>
      <c r="BZ106" s="1162"/>
      <c r="CA106" s="1162"/>
      <c r="CB106" s="1162"/>
      <c r="CE106" s="1162"/>
      <c r="CF106" s="1162"/>
      <c r="CG106" s="1162"/>
      <c r="CH106" s="1162"/>
      <c r="CI106" s="1167"/>
    </row>
    <row r="107" spans="3:95" outlineLevel="1">
      <c r="C107" s="1174"/>
      <c r="D107" s="1173"/>
      <c r="E107" s="1173"/>
      <c r="F107" s="1173"/>
      <c r="G107" s="1173"/>
      <c r="I107" s="1165"/>
      <c r="J107" s="1162"/>
      <c r="O107" s="1169"/>
      <c r="P107" s="1168"/>
      <c r="Q107" s="1159"/>
      <c r="R107" s="1159"/>
      <c r="S107" s="1159"/>
      <c r="T107" s="1159"/>
      <c r="U107" s="1155"/>
      <c r="V107" s="1162"/>
      <c r="W107" s="1162"/>
      <c r="X107" s="1162"/>
      <c r="Y107" s="1162"/>
      <c r="AB107" s="1162"/>
      <c r="AC107" s="1162"/>
      <c r="AD107" s="1162"/>
      <c r="AE107" s="1162"/>
      <c r="AF107" s="1167"/>
      <c r="AG107" s="1162"/>
      <c r="AH107" s="1162"/>
      <c r="AI107" s="1162"/>
      <c r="AJ107" s="1162"/>
      <c r="AM107" s="1162"/>
      <c r="AN107" s="1162"/>
      <c r="AO107" s="1162"/>
      <c r="AP107" s="1162"/>
      <c r="AQ107" s="1167"/>
      <c r="AR107" s="1162"/>
      <c r="AS107" s="1162"/>
      <c r="AT107" s="1162"/>
      <c r="AU107" s="1162"/>
      <c r="AX107" s="1162"/>
      <c r="AY107" s="1162"/>
      <c r="AZ107" s="1162"/>
      <c r="BA107" s="1162"/>
      <c r="BB107" s="1167"/>
      <c r="BC107" s="1162"/>
      <c r="BD107" s="1162"/>
      <c r="BE107" s="1162"/>
      <c r="BF107" s="1162"/>
      <c r="BI107" s="1162"/>
      <c r="BJ107" s="1162"/>
      <c r="BK107" s="1162"/>
      <c r="BL107" s="1162"/>
      <c r="BM107" s="1167"/>
      <c r="BN107" s="1162"/>
      <c r="BO107" s="1162"/>
      <c r="BP107" s="1162"/>
      <c r="BQ107" s="1162"/>
      <c r="BT107" s="1162"/>
      <c r="BU107" s="1162"/>
      <c r="BV107" s="1162"/>
      <c r="BW107" s="1162"/>
      <c r="BX107" s="1167"/>
      <c r="BY107" s="1162"/>
      <c r="BZ107" s="1162"/>
      <c r="CA107" s="1162"/>
      <c r="CB107" s="1162"/>
      <c r="CE107" s="1162"/>
      <c r="CF107" s="1162"/>
      <c r="CG107" s="1162"/>
      <c r="CH107" s="1162"/>
      <c r="CI107" s="1167"/>
    </row>
    <row r="108" spans="3:95" outlineLevel="1">
      <c r="C108" s="1174"/>
      <c r="D108" s="1173"/>
      <c r="E108" s="1173"/>
      <c r="F108" s="1173"/>
      <c r="G108" s="1173"/>
      <c r="I108" s="1165"/>
      <c r="J108" s="1162"/>
      <c r="O108" s="1166"/>
      <c r="P108" s="1166"/>
      <c r="Q108" s="1166"/>
      <c r="R108" s="1166"/>
      <c r="S108" s="1166"/>
      <c r="T108" s="1166"/>
      <c r="U108" s="1166"/>
      <c r="V108" s="1166"/>
      <c r="W108" s="1166"/>
      <c r="X108" s="1166"/>
      <c r="Y108" s="1166"/>
      <c r="Z108" s="1166"/>
      <c r="AA108" s="1166"/>
      <c r="AB108" s="1166"/>
    </row>
    <row r="109" spans="3:95" outlineLevel="1">
      <c r="C109" s="1174"/>
      <c r="D109" s="1173"/>
      <c r="E109" s="1173"/>
      <c r="F109" s="1173"/>
      <c r="G109" s="1173"/>
      <c r="I109" s="1165"/>
      <c r="J109" s="1162"/>
      <c r="O109" s="1166"/>
      <c r="P109" s="1166"/>
      <c r="Q109" s="1166"/>
      <c r="R109" s="1166"/>
      <c r="S109" s="1166"/>
      <c r="T109" s="1166"/>
      <c r="U109" s="1166"/>
      <c r="V109" s="1166"/>
      <c r="W109" s="1166"/>
      <c r="X109" s="1166"/>
      <c r="Y109" s="1166"/>
      <c r="Z109" s="1166"/>
      <c r="AA109" s="1166"/>
      <c r="AB109" s="1166"/>
    </row>
    <row r="110" spans="3:95" outlineLevel="1">
      <c r="C110" s="1174" t="s">
        <v>265</v>
      </c>
      <c r="D110" s="1173">
        <f>IF('New Waterfall'!D13=0,0,IF(AND(ABS($AC$60-'New Waterfall'!$D$13)&lt;0.001,ABS($AD$60-'New Waterfall'!$E$13)&lt;0.001,ABS($AE$60-'New Waterfall'!$F$13)&lt;0.001),0,1))</f>
        <v>0</v>
      </c>
      <c r="E110" s="1173"/>
      <c r="F110" s="1173"/>
      <c r="G110" s="1173"/>
      <c r="I110" s="1165"/>
      <c r="J110" s="1162"/>
      <c r="O110" s="1166"/>
      <c r="P110" s="1166"/>
      <c r="Q110" s="1166"/>
      <c r="R110" s="1166"/>
      <c r="S110" s="1166"/>
      <c r="T110" s="1166"/>
      <c r="U110" s="1166"/>
      <c r="V110" s="1166"/>
      <c r="W110" s="1166"/>
      <c r="X110" s="1166"/>
      <c r="Y110" s="1166"/>
      <c r="Z110" s="1166"/>
      <c r="AA110" s="1166"/>
      <c r="AB110" s="1166"/>
    </row>
    <row r="111" spans="3:95" outlineLevel="1">
      <c r="C111" s="1174" t="s">
        <v>266</v>
      </c>
      <c r="D111" s="1173">
        <f>IF(OR('New Waterfall'!D14=0,'New Waterfall'!D14&gt;=1),0,IF(AND(ABS($AN$60-'New Waterfall'!$D14)&lt;0.001,ABS($AO$60-'New Waterfall'!$E14)&lt;0.001,ABS($AP$60-'New Waterfall'!$F14)&lt;0.001),0,1))</f>
        <v>0</v>
      </c>
      <c r="E111" s="1173"/>
      <c r="F111" s="1173"/>
      <c r="G111" s="1173"/>
      <c r="I111" s="1165"/>
      <c r="J111" s="1162"/>
      <c r="O111" s="1166"/>
      <c r="P111" s="1166"/>
      <c r="Q111" s="1166"/>
      <c r="R111" s="1166"/>
      <c r="S111" s="1166"/>
      <c r="T111" s="1166"/>
      <c r="U111" s="1166"/>
      <c r="V111" s="1166"/>
      <c r="W111" s="1166"/>
      <c r="X111" s="1166"/>
      <c r="Y111" s="1166"/>
      <c r="Z111" s="1166"/>
      <c r="AA111" s="1166"/>
      <c r="AB111" s="1166"/>
    </row>
    <row r="112" spans="3:95" outlineLevel="1">
      <c r="C112" s="1174" t="s">
        <v>267</v>
      </c>
      <c r="D112" s="1173">
        <f>IF(OR('New Waterfall'!D15=0,'New Waterfall'!D15&gt;=1),0,IF(AND(ABS($AY$60-'New Waterfall'!$D$15)&lt;0.001,ABS($AZ$60-'New Waterfall'!$E$15)&lt;0.001,ABS($BA$60-'New Waterfall'!$F$15)&lt;0.001),0,1))</f>
        <v>0</v>
      </c>
      <c r="E112" s="1173"/>
      <c r="F112" s="1173"/>
      <c r="G112" s="1173"/>
      <c r="I112" s="1165"/>
      <c r="J112" s="1162"/>
      <c r="O112" s="1166"/>
      <c r="P112" s="1166"/>
      <c r="Q112" s="1166"/>
      <c r="R112" s="1166"/>
      <c r="S112" s="1166"/>
      <c r="T112" s="1166"/>
      <c r="U112" s="1166"/>
      <c r="V112" s="1166"/>
      <c r="W112" s="1166"/>
      <c r="X112" s="1166"/>
      <c r="Y112" s="1166"/>
      <c r="Z112" s="1166"/>
      <c r="AA112" s="1166"/>
      <c r="AB112" s="1166"/>
    </row>
    <row r="113" spans="3:28" outlineLevel="1">
      <c r="C113" s="1174" t="s">
        <v>447</v>
      </c>
      <c r="D113" s="1173">
        <f>IF(OR('New Waterfall'!D16=0,'New Waterfall'!D16&gt;=1),0,IF(AND(ABS($BJ$60-'New Waterfall'!$D16)&lt;0.001,ABS($BK$60-'New Waterfall'!$E16)&lt;0.001,ABS($BL$60-'New Waterfall'!$F16)&lt;0.001),0,1))</f>
        <v>0</v>
      </c>
      <c r="E113" s="1173"/>
      <c r="F113" s="1173"/>
      <c r="G113" s="1173"/>
      <c r="I113" s="1165"/>
      <c r="J113" s="1162"/>
      <c r="O113" s="1166"/>
      <c r="P113" s="1166"/>
      <c r="Q113" s="1166"/>
      <c r="R113" s="1166"/>
      <c r="S113" s="1166"/>
      <c r="T113" s="1166"/>
      <c r="U113" s="1166"/>
      <c r="V113" s="1166"/>
      <c r="W113" s="1166"/>
      <c r="X113" s="1166"/>
      <c r="Y113" s="1166"/>
      <c r="Z113" s="1166"/>
      <c r="AA113" s="1166"/>
      <c r="AB113" s="1166"/>
    </row>
    <row r="114" spans="3:28" outlineLevel="1">
      <c r="C114" s="1174" t="s">
        <v>448</v>
      </c>
      <c r="D114" s="1173">
        <f>IF(OR('New Waterfall'!D17=0,'New Waterfall'!D17&gt;=1),0,IF(AND(ABS($BU$60-'New Waterfall'!$D17)&lt;0.001,ABS($BV$60-'New Waterfall'!$E17)&lt;0.001,ABS($BW$60-'New Waterfall'!$F17)&lt;0.001),0,1))</f>
        <v>0</v>
      </c>
      <c r="E114" s="1173"/>
      <c r="F114" s="1173"/>
      <c r="G114" s="1173"/>
      <c r="I114" s="1165"/>
      <c r="J114" s="1162"/>
      <c r="O114" s="1166"/>
      <c r="P114" s="1166"/>
      <c r="Q114" s="1166"/>
      <c r="R114" s="1166"/>
      <c r="S114" s="1166"/>
      <c r="T114" s="1166"/>
      <c r="U114" s="1166"/>
      <c r="V114" s="1166"/>
      <c r="W114" s="1166"/>
      <c r="X114" s="1166"/>
      <c r="Y114" s="1166"/>
      <c r="Z114" s="1166"/>
      <c r="AA114" s="1166"/>
      <c r="AB114" s="1166"/>
    </row>
    <row r="115" spans="3:28" outlineLevel="1">
      <c r="C115" s="1174" t="s">
        <v>449</v>
      </c>
      <c r="D115" s="1173">
        <f>IF(OR('New Waterfall'!D18=0,'New Waterfall'!D18&gt;=1),0,IF(AND(ABS($CF$60-'New Waterfall'!$D18)&lt;0.001,ABS($CG$60-'New Waterfall'!$E18)&lt;0.001,ABS($CH$60-'New Waterfall'!$F18)&lt;0.001),0,1))</f>
        <v>0</v>
      </c>
      <c r="E115" s="1173"/>
      <c r="F115" s="1173"/>
      <c r="G115" s="1173"/>
      <c r="I115" s="1165"/>
      <c r="J115" s="1162"/>
      <c r="O115" s="1166"/>
      <c r="P115" s="1166"/>
      <c r="Q115" s="1166"/>
      <c r="R115" s="1166"/>
      <c r="S115" s="1166"/>
      <c r="T115" s="1166"/>
      <c r="U115" s="1166"/>
      <c r="V115" s="1166"/>
      <c r="W115" s="1166"/>
      <c r="X115" s="1166"/>
      <c r="Y115" s="1166"/>
      <c r="Z115" s="1166"/>
      <c r="AA115" s="1166"/>
      <c r="AB115" s="1166"/>
    </row>
    <row r="116" spans="3:28" outlineLevel="1">
      <c r="C116" s="1174" t="s">
        <v>5046</v>
      </c>
      <c r="D116" s="1173">
        <f>D42-SUM(E42:G42)</f>
        <v>0</v>
      </c>
      <c r="E116" s="1173"/>
      <c r="F116" s="1173"/>
      <c r="G116" s="1173"/>
      <c r="I116" s="1165"/>
      <c r="J116" s="1162"/>
      <c r="O116" s="1166"/>
      <c r="P116" s="1166"/>
      <c r="Q116" s="1166"/>
      <c r="R116" s="1166"/>
      <c r="S116" s="1166"/>
      <c r="T116" s="1166"/>
      <c r="U116" s="1166"/>
      <c r="V116" s="1166"/>
      <c r="W116" s="1166"/>
      <c r="X116" s="1166"/>
      <c r="Y116" s="1166"/>
      <c r="Z116" s="1166"/>
      <c r="AA116" s="1166"/>
      <c r="AB116" s="1166"/>
    </row>
    <row r="117" spans="3:28" outlineLevel="1">
      <c r="I117" s="1165"/>
      <c r="J117" s="1162"/>
      <c r="O117" s="1166"/>
      <c r="P117" s="1166"/>
      <c r="Q117" s="1166"/>
      <c r="R117" s="1166"/>
      <c r="S117" s="1166"/>
      <c r="T117" s="1166"/>
      <c r="U117" s="1166"/>
      <c r="V117" s="1166"/>
      <c r="W117" s="1166"/>
      <c r="X117" s="1166"/>
      <c r="Y117" s="1166"/>
      <c r="Z117" s="1166"/>
      <c r="AA117" s="1166"/>
      <c r="AB117" s="1166"/>
    </row>
    <row r="118" spans="3:28" outlineLevel="1">
      <c r="I118" s="1165"/>
      <c r="J118" s="1162"/>
      <c r="O118" s="1166"/>
      <c r="P118" s="1166"/>
      <c r="Q118" s="1166"/>
      <c r="R118" s="1166"/>
      <c r="S118" s="1166"/>
      <c r="T118" s="1166"/>
      <c r="U118" s="1166"/>
      <c r="V118" s="1166"/>
      <c r="W118" s="1166"/>
      <c r="X118" s="1166"/>
      <c r="Y118" s="1166"/>
      <c r="Z118" s="1166"/>
      <c r="AA118" s="1166"/>
      <c r="AB118" s="1166"/>
    </row>
    <row r="119" spans="3:28" outlineLevel="1">
      <c r="I119" s="1165"/>
      <c r="J119" s="1162"/>
      <c r="N119" s="1172"/>
      <c r="O119" s="1166"/>
      <c r="P119" s="1166"/>
      <c r="Q119" s="1166"/>
      <c r="R119" s="1166"/>
      <c r="S119" s="1166"/>
      <c r="T119" s="1166"/>
      <c r="U119" s="1166"/>
      <c r="V119" s="1166"/>
      <c r="W119" s="1166"/>
      <c r="X119" s="1166"/>
      <c r="Y119" s="1166"/>
      <c r="Z119" s="1166"/>
      <c r="AA119" s="1166"/>
      <c r="AB119" s="1166"/>
    </row>
    <row r="120" spans="3:28" outlineLevel="1">
      <c r="I120" s="1165"/>
      <c r="J120" s="1162"/>
      <c r="N120" s="1172"/>
      <c r="O120" s="1166"/>
      <c r="P120" s="1166"/>
      <c r="Q120" s="1166"/>
      <c r="R120" s="1166"/>
      <c r="S120" s="1166"/>
      <c r="T120" s="1166"/>
      <c r="U120" s="1166"/>
      <c r="V120" s="1166"/>
      <c r="W120" s="1166"/>
      <c r="X120" s="1166"/>
      <c r="Y120" s="1166"/>
      <c r="Z120" s="1166"/>
      <c r="AA120" s="1166"/>
      <c r="AB120" s="1166"/>
    </row>
    <row r="121" spans="3:28" outlineLevel="1">
      <c r="I121" s="1165"/>
      <c r="J121" s="1162"/>
      <c r="N121" s="1172"/>
      <c r="O121" s="1166"/>
      <c r="P121" s="1166"/>
      <c r="Q121" s="1166"/>
      <c r="R121" s="1166"/>
      <c r="S121" s="1166"/>
      <c r="T121" s="1166"/>
      <c r="U121" s="1166"/>
      <c r="V121" s="1166"/>
      <c r="W121" s="1166"/>
      <c r="X121" s="1166"/>
      <c r="Y121" s="1166"/>
      <c r="Z121" s="1166"/>
      <c r="AA121" s="1166"/>
      <c r="AB121" s="1166"/>
    </row>
    <row r="122" spans="3:28" outlineLevel="1">
      <c r="I122" s="1165"/>
      <c r="J122" s="1162"/>
      <c r="N122" s="1172"/>
      <c r="O122" s="1166"/>
      <c r="P122" s="1166"/>
      <c r="Q122" s="1166"/>
      <c r="R122" s="1166"/>
      <c r="S122" s="1166"/>
      <c r="T122" s="1166"/>
      <c r="U122" s="1166"/>
      <c r="V122" s="1166"/>
      <c r="W122" s="1166"/>
      <c r="X122" s="1166"/>
      <c r="Y122" s="1166"/>
      <c r="Z122" s="1166"/>
      <c r="AA122" s="1166"/>
      <c r="AB122" s="1166"/>
    </row>
    <row r="123" spans="3:28" outlineLevel="1">
      <c r="I123" s="1165"/>
      <c r="J123" s="1162"/>
      <c r="N123" s="1172"/>
      <c r="O123" s="1166"/>
      <c r="P123" s="1166"/>
      <c r="Q123" s="1166"/>
      <c r="R123" s="1166"/>
      <c r="S123" s="1166"/>
      <c r="T123" s="1166"/>
      <c r="U123" s="1166"/>
      <c r="V123" s="1166"/>
      <c r="W123" s="1166"/>
      <c r="X123" s="1166"/>
      <c r="Y123" s="1166"/>
      <c r="Z123" s="1166"/>
      <c r="AA123" s="1166"/>
      <c r="AB123" s="1166"/>
    </row>
    <row r="124" spans="3:28" outlineLevel="1">
      <c r="I124" s="1165"/>
      <c r="J124" s="1162"/>
      <c r="N124" s="1172"/>
      <c r="O124" s="1166"/>
      <c r="P124" s="1166"/>
      <c r="Q124" s="1166"/>
      <c r="R124" s="1166"/>
      <c r="S124" s="1166"/>
      <c r="T124" s="1166"/>
      <c r="U124" s="1166"/>
      <c r="V124" s="1166"/>
      <c r="W124" s="1166"/>
      <c r="X124" s="1166"/>
      <c r="Y124" s="1166"/>
      <c r="Z124" s="1166"/>
      <c r="AA124" s="1166"/>
      <c r="AB124" s="1166"/>
    </row>
    <row r="125" spans="3:28" outlineLevel="1">
      <c r="I125" s="1165"/>
      <c r="J125" s="1162"/>
      <c r="O125" s="1166"/>
      <c r="P125" s="1166"/>
      <c r="Q125" s="1166"/>
      <c r="R125" s="1166"/>
      <c r="S125" s="1166"/>
      <c r="T125" s="1166"/>
      <c r="U125" s="1166"/>
      <c r="V125" s="1166"/>
      <c r="W125" s="1166"/>
      <c r="X125" s="1166"/>
      <c r="Y125" s="1166"/>
      <c r="Z125" s="1166"/>
      <c r="AA125" s="1166"/>
      <c r="AB125" s="1166"/>
    </row>
    <row r="126" spans="3:28" outlineLevel="1">
      <c r="I126" s="1165"/>
      <c r="J126" s="1162"/>
      <c r="O126" s="1166"/>
      <c r="P126" s="1166"/>
      <c r="Q126" s="1166"/>
      <c r="R126" s="1166"/>
      <c r="S126" s="1166"/>
      <c r="T126" s="1166"/>
      <c r="U126" s="1166"/>
      <c r="V126" s="1166"/>
      <c r="W126" s="1166"/>
      <c r="X126" s="1166"/>
      <c r="Y126" s="1166"/>
      <c r="Z126" s="1166"/>
      <c r="AA126" s="1166"/>
      <c r="AB126" s="1166"/>
    </row>
    <row r="127" spans="3:28" outlineLevel="1">
      <c r="I127" s="1165"/>
      <c r="J127" s="1162"/>
      <c r="O127" s="1166"/>
      <c r="P127" s="1166"/>
      <c r="Q127" s="1166"/>
      <c r="R127" s="1166"/>
      <c r="S127" s="1166"/>
      <c r="T127" s="1166"/>
      <c r="U127" s="1166"/>
      <c r="V127" s="1166"/>
      <c r="W127" s="1166"/>
      <c r="X127" s="1166"/>
      <c r="Y127" s="1166"/>
      <c r="Z127" s="1166"/>
      <c r="AA127" s="1166"/>
      <c r="AB127" s="1166"/>
    </row>
    <row r="128" spans="3:28" outlineLevel="1">
      <c r="I128" s="1165"/>
      <c r="J128" s="1162"/>
    </row>
    <row r="129" spans="8:10" outlineLevel="1">
      <c r="I129" s="1165"/>
      <c r="J129" s="1162"/>
    </row>
    <row r="130" spans="8:10" outlineLevel="1">
      <c r="I130" s="1165"/>
      <c r="J130" s="1162"/>
    </row>
    <row r="131" spans="8:10" outlineLevel="1">
      <c r="H131" s="1172"/>
      <c r="I131" s="1165"/>
      <c r="J131" s="1162"/>
    </row>
    <row r="132" spans="8:10" outlineLevel="1">
      <c r="H132" s="1172"/>
      <c r="I132" s="1165"/>
      <c r="J132" s="1162"/>
    </row>
    <row r="133" spans="8:10" outlineLevel="1">
      <c r="H133" s="1172"/>
      <c r="I133" s="1165"/>
      <c r="J133" s="1162"/>
    </row>
    <row r="134" spans="8:10">
      <c r="H134" s="1172"/>
      <c r="I134" s="1165"/>
      <c r="J134" s="1162"/>
    </row>
    <row r="135" spans="8:10">
      <c r="H135" s="1172"/>
      <c r="I135" s="1165"/>
      <c r="J135" s="1162"/>
    </row>
    <row r="136" spans="8:10">
      <c r="H136" s="1172"/>
      <c r="I136" s="1165"/>
      <c r="J136" s="1162"/>
    </row>
    <row r="137" spans="8:10">
      <c r="I137" s="1165"/>
      <c r="J137" s="1162"/>
    </row>
    <row r="138" spans="8:10">
      <c r="I138" s="1165"/>
      <c r="J138" s="1162"/>
    </row>
    <row r="139" spans="8:10">
      <c r="I139" s="1165"/>
      <c r="J139" s="1162"/>
    </row>
    <row r="140" spans="8:10">
      <c r="I140" s="1165"/>
      <c r="J140" s="1162"/>
    </row>
    <row r="141" spans="8:10">
      <c r="I141" s="1165"/>
      <c r="J141" s="1162"/>
    </row>
    <row r="142" spans="8:10">
      <c r="I142" s="1165"/>
      <c r="J142" s="1162"/>
    </row>
    <row r="143" spans="8:10">
      <c r="I143" s="1165"/>
      <c r="J143" s="1162"/>
    </row>
    <row r="144" spans="8:10">
      <c r="I144" s="1165"/>
      <c r="J144" s="1162"/>
    </row>
    <row r="145" spans="9:10">
      <c r="I145" s="1165"/>
      <c r="J145" s="1162"/>
    </row>
    <row r="146" spans="9:10">
      <c r="I146" s="1165"/>
      <c r="J146" s="1162"/>
    </row>
    <row r="147" spans="9:10">
      <c r="I147" s="1165"/>
      <c r="J147" s="1162"/>
    </row>
    <row r="148" spans="9:10">
      <c r="I148" s="1165"/>
      <c r="J148" s="1162"/>
    </row>
    <row r="149" spans="9:10" outlineLevel="1">
      <c r="I149" s="1165"/>
      <c r="J149" s="1162"/>
    </row>
    <row r="150" spans="9:10" outlineLevel="1">
      <c r="I150" s="1165"/>
      <c r="J150" s="1162"/>
    </row>
    <row r="151" spans="9:10" outlineLevel="1">
      <c r="I151" s="1165"/>
      <c r="J151" s="1162"/>
    </row>
    <row r="152" spans="9:10" outlineLevel="1">
      <c r="I152" s="1165"/>
      <c r="J152" s="1162"/>
    </row>
    <row r="153" spans="9:10" outlineLevel="1">
      <c r="I153" s="1165"/>
      <c r="J153" s="1162"/>
    </row>
    <row r="154" spans="9:10" outlineLevel="1">
      <c r="I154" s="1165"/>
      <c r="J154" s="1162"/>
    </row>
    <row r="155" spans="9:10" outlineLevel="1">
      <c r="I155" s="1165"/>
      <c r="J155" s="1162"/>
    </row>
    <row r="156" spans="9:10" outlineLevel="1">
      <c r="I156" s="1165"/>
      <c r="J156" s="1162"/>
    </row>
    <row r="157" spans="9:10" outlineLevel="1">
      <c r="I157" s="1165"/>
      <c r="J157" s="1162"/>
    </row>
    <row r="158" spans="9:10" outlineLevel="1">
      <c r="I158" s="1165"/>
      <c r="J158" s="1162"/>
    </row>
    <row r="159" spans="9:10" outlineLevel="1">
      <c r="I159" s="1165"/>
      <c r="J159" s="1162"/>
    </row>
    <row r="160" spans="9:10" outlineLevel="1">
      <c r="I160" s="1165"/>
      <c r="J160" s="1162"/>
    </row>
    <row r="161" spans="9:10" outlineLevel="1">
      <c r="I161" s="1165"/>
      <c r="J161" s="1162"/>
    </row>
    <row r="162" spans="9:10" outlineLevel="1">
      <c r="I162" s="1165"/>
      <c r="J162" s="1162"/>
    </row>
    <row r="163" spans="9:10" outlineLevel="1">
      <c r="I163" s="1165"/>
      <c r="J163" s="1162"/>
    </row>
    <row r="164" spans="9:10" outlineLevel="1">
      <c r="I164" s="1165"/>
      <c r="J164" s="1162"/>
    </row>
    <row r="165" spans="9:10" outlineLevel="1">
      <c r="I165" s="1165"/>
      <c r="J165" s="1162"/>
    </row>
    <row r="166" spans="9:10" outlineLevel="1">
      <c r="I166" s="1165"/>
      <c r="J166" s="1162"/>
    </row>
    <row r="167" spans="9:10" outlineLevel="1">
      <c r="I167" s="1165"/>
      <c r="J167" s="1162"/>
    </row>
    <row r="168" spans="9:10" outlineLevel="1">
      <c r="I168" s="1165"/>
      <c r="J168" s="1162"/>
    </row>
    <row r="169" spans="9:10" outlineLevel="1">
      <c r="I169" s="1165"/>
      <c r="J169" s="1162"/>
    </row>
    <row r="170" spans="9:10" outlineLevel="1">
      <c r="I170" s="1165"/>
      <c r="J170" s="1162"/>
    </row>
    <row r="171" spans="9:10" outlineLevel="1">
      <c r="I171" s="1165"/>
      <c r="J171" s="1162"/>
    </row>
    <row r="172" spans="9:10" outlineLevel="1">
      <c r="I172" s="1165"/>
      <c r="J172" s="1162"/>
    </row>
    <row r="173" spans="9:10" outlineLevel="1">
      <c r="I173" s="1165"/>
      <c r="J173" s="1162"/>
    </row>
    <row r="174" spans="9:10" outlineLevel="1">
      <c r="I174" s="1165"/>
      <c r="J174" s="1162"/>
    </row>
    <row r="175" spans="9:10" outlineLevel="1">
      <c r="I175" s="1165"/>
      <c r="J175" s="1162"/>
    </row>
    <row r="176" spans="9:10" outlineLevel="1">
      <c r="I176" s="1165"/>
      <c r="J176" s="1162"/>
    </row>
    <row r="177" spans="9:10" outlineLevel="1">
      <c r="I177" s="1165"/>
      <c r="J177" s="1162"/>
    </row>
    <row r="178" spans="9:10" outlineLevel="1">
      <c r="I178" s="1165"/>
      <c r="J178" s="1162"/>
    </row>
    <row r="179" spans="9:10" outlineLevel="1">
      <c r="I179" s="1165"/>
      <c r="J179" s="1162"/>
    </row>
    <row r="180" spans="9:10" outlineLevel="1">
      <c r="I180" s="1165"/>
      <c r="J180" s="1162"/>
    </row>
    <row r="181" spans="9:10" outlineLevel="1">
      <c r="I181" s="1165"/>
      <c r="J181" s="1162"/>
    </row>
    <row r="182" spans="9:10" outlineLevel="1">
      <c r="I182" s="1165"/>
      <c r="J182" s="1162"/>
    </row>
    <row r="183" spans="9:10" outlineLevel="1">
      <c r="I183" s="1165"/>
      <c r="J183" s="1162"/>
    </row>
    <row r="184" spans="9:10" outlineLevel="1">
      <c r="I184" s="1165"/>
      <c r="J184" s="1162"/>
    </row>
    <row r="185" spans="9:10" outlineLevel="1">
      <c r="J185" s="1161"/>
    </row>
    <row r="186" spans="9:10" outlineLevel="1">
      <c r="J186" s="1164"/>
    </row>
    <row r="187" spans="9:10" outlineLevel="1">
      <c r="J187" s="1163"/>
    </row>
    <row r="188" spans="9:10" outlineLevel="1">
      <c r="J188" s="1162"/>
    </row>
    <row r="189" spans="9:10" outlineLevel="1">
      <c r="J189" s="1159"/>
    </row>
    <row r="190" spans="9:10" outlineLevel="1">
      <c r="J190" s="1161"/>
    </row>
    <row r="191" spans="9:10" outlineLevel="1">
      <c r="J191" s="1160"/>
    </row>
    <row r="192" spans="9:10" outlineLevel="1">
      <c r="J192" s="1159"/>
    </row>
    <row r="193" spans="10:10" outlineLevel="1">
      <c r="J193" s="1159"/>
    </row>
    <row r="194" spans="10:10" outlineLevel="1">
      <c r="J194" s="1159"/>
    </row>
    <row r="195" spans="10:10" outlineLevel="1">
      <c r="J195" s="1159"/>
    </row>
    <row r="196" spans="10:10" outlineLevel="1">
      <c r="J196" s="1159"/>
    </row>
    <row r="197" spans="10:10" outlineLevel="1">
      <c r="J197" s="1159"/>
    </row>
    <row r="198" spans="10:10" outlineLevel="1">
      <c r="J198" s="1159"/>
    </row>
    <row r="199" spans="10:10">
      <c r="J199" s="1159"/>
    </row>
    <row r="200" spans="10:10">
      <c r="J200" s="1159"/>
    </row>
    <row r="201" spans="10:10">
      <c r="J201" s="1159"/>
    </row>
    <row r="202" spans="10:10">
      <c r="J202" s="1159"/>
    </row>
    <row r="203" spans="10:10">
      <c r="J203" s="1159"/>
    </row>
    <row r="204" spans="10:10">
      <c r="J204" s="1159"/>
    </row>
    <row r="205" spans="10:10">
      <c r="J205" s="1159"/>
    </row>
    <row r="206" spans="10:10">
      <c r="J206" s="1159"/>
    </row>
    <row r="207" spans="10:10">
      <c r="J207" s="1159"/>
    </row>
    <row r="208" spans="10:10">
      <c r="J208" s="1159"/>
    </row>
    <row r="209" spans="10:10">
      <c r="J209" s="1159"/>
    </row>
    <row r="210" spans="10:10">
      <c r="J210" s="1159"/>
    </row>
    <row r="211" spans="10:10">
      <c r="J211" s="1159"/>
    </row>
    <row r="212" spans="10:10">
      <c r="J212" s="1159"/>
    </row>
    <row r="213" spans="10:10">
      <c r="J213" s="1159"/>
    </row>
    <row r="214" spans="10:10">
      <c r="J214" s="1159"/>
    </row>
    <row r="215" spans="10:10">
      <c r="J215" s="1159"/>
    </row>
    <row r="216" spans="10:10">
      <c r="J216" s="1159"/>
    </row>
    <row r="217" spans="10:10">
      <c r="J217" s="1159"/>
    </row>
    <row r="218" spans="10:10">
      <c r="J218" s="1159"/>
    </row>
    <row r="219" spans="10:10">
      <c r="J219" s="1159"/>
    </row>
    <row r="220" spans="10:10">
      <c r="J220" s="1159"/>
    </row>
    <row r="221" spans="10:10">
      <c r="J221" s="1159"/>
    </row>
    <row r="222" spans="10:10">
      <c r="J222" s="1159"/>
    </row>
    <row r="223" spans="10:10">
      <c r="J223" s="1159"/>
    </row>
    <row r="224" spans="10:10">
      <c r="J224" s="1159"/>
    </row>
    <row r="225" spans="10:10">
      <c r="J225" s="1159"/>
    </row>
    <row r="226" spans="10:10">
      <c r="J226" s="1159"/>
    </row>
    <row r="227" spans="10:10">
      <c r="J227" s="1159"/>
    </row>
    <row r="228" spans="10:10">
      <c r="J228" s="1159"/>
    </row>
    <row r="229" spans="10:10">
      <c r="J229" s="1159"/>
    </row>
    <row r="230" spans="10:10">
      <c r="J230" s="1159"/>
    </row>
    <row r="231" spans="10:10">
      <c r="J231" s="1159"/>
    </row>
    <row r="232" spans="10:10">
      <c r="J232" s="1159"/>
    </row>
    <row r="233" spans="10:10">
      <c r="J233" s="1159"/>
    </row>
    <row r="234" spans="10:10">
      <c r="J234" s="1159"/>
    </row>
    <row r="235" spans="10:10">
      <c r="J235" s="1159"/>
    </row>
    <row r="236" spans="10:10">
      <c r="J236" s="1159"/>
    </row>
    <row r="237" spans="10:10">
      <c r="J237" s="1159"/>
    </row>
    <row r="238" spans="10:10">
      <c r="J238" s="1159"/>
    </row>
    <row r="239" spans="10:10">
      <c r="J239" s="1159"/>
    </row>
    <row r="240" spans="10:10">
      <c r="J240" s="1159"/>
    </row>
    <row r="241" spans="10:10">
      <c r="J241" s="1159"/>
    </row>
    <row r="242" spans="10:10">
      <c r="J242" s="1159"/>
    </row>
    <row r="243" spans="10:10">
      <c r="J243" s="1159"/>
    </row>
    <row r="244" spans="10:10">
      <c r="J244" s="1159"/>
    </row>
    <row r="245" spans="10:10">
      <c r="J245" s="1159"/>
    </row>
    <row r="246" spans="10:10">
      <c r="J246" s="1159"/>
    </row>
    <row r="247" spans="10:10">
      <c r="J247" s="1159"/>
    </row>
    <row r="248" spans="10:10">
      <c r="J248" s="1159"/>
    </row>
    <row r="249" spans="10:10">
      <c r="J249" s="1159"/>
    </row>
    <row r="250" spans="10:10">
      <c r="J250" s="1159"/>
    </row>
    <row r="251" spans="10:10">
      <c r="J251" s="1159"/>
    </row>
    <row r="252" spans="10:10">
      <c r="J252" s="1159"/>
    </row>
    <row r="253" spans="10:10">
      <c r="J253" s="1159"/>
    </row>
    <row r="254" spans="10:10">
      <c r="J254" s="1159"/>
    </row>
    <row r="255" spans="10:10">
      <c r="J255" s="1159"/>
    </row>
    <row r="256" spans="10:10">
      <c r="J256" s="1159"/>
    </row>
  </sheetData>
  <mergeCells count="18">
    <mergeCell ref="BY84:CB84"/>
    <mergeCell ref="CD84:CH84"/>
    <mergeCell ref="CD5:CH5"/>
    <mergeCell ref="AW84:BA84"/>
    <mergeCell ref="AA5:AE5"/>
    <mergeCell ref="AL5:AP5"/>
    <mergeCell ref="AW5:BA5"/>
    <mergeCell ref="BH5:BL5"/>
    <mergeCell ref="BC84:BF84"/>
    <mergeCell ref="BH84:BL84"/>
    <mergeCell ref="BN84:BQ84"/>
    <mergeCell ref="BS84:BW84"/>
    <mergeCell ref="BS5:BW5"/>
    <mergeCell ref="V84:Y84"/>
    <mergeCell ref="AA84:AE84"/>
    <mergeCell ref="AG84:AJ84"/>
    <mergeCell ref="AL84:AP84"/>
    <mergeCell ref="AR84:AU84"/>
  </mergeCells>
  <printOptions horizontalCentered="1"/>
  <pageMargins left="0.25" right="0.25" top="0.75" bottom="0.75" header="0.3" footer="0.3"/>
  <pageSetup scale="37" orientation="portrait" r:id="rId1"/>
  <ignoredErrors>
    <ignoredError sqref="D14:E18 G13 G14:G18" unlocked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FBE2C-3E83-6C40-864A-91883BCD2EE9}">
  <sheetPr published="0" codeName="Sheet11"/>
  <dimension ref="B2:F34"/>
  <sheetViews>
    <sheetView zoomScale="248" workbookViewId="0">
      <selection activeCell="D18" sqref="D18"/>
    </sheetView>
  </sheetViews>
  <sheetFormatPr baseColWidth="10" defaultRowHeight="13"/>
  <cols>
    <col min="1" max="1" width="10.83203125" style="1559"/>
    <col min="2" max="2" width="13.6640625" style="1559" bestFit="1" customWidth="1"/>
    <col min="3" max="4" width="10.83203125" style="1559"/>
    <col min="5" max="5" width="14.33203125" style="1559" bestFit="1" customWidth="1"/>
    <col min="6" max="6" width="13" style="1559" bestFit="1" customWidth="1"/>
    <col min="7" max="16384" width="10.83203125" style="1559"/>
  </cols>
  <sheetData>
    <row r="2" spans="2:6" ht="28">
      <c r="B2" s="1279" t="s">
        <v>5103</v>
      </c>
      <c r="C2" s="1280"/>
      <c r="D2" s="1280"/>
      <c r="E2" s="1280"/>
      <c r="F2" s="1280"/>
    </row>
    <row r="3" spans="2:6" ht="19" thickBot="1">
      <c r="B3" s="1281"/>
      <c r="C3" s="1282"/>
      <c r="D3" s="1282"/>
      <c r="E3" s="1282"/>
      <c r="F3" s="1282"/>
    </row>
    <row r="4" spans="2:6" ht="14">
      <c r="B4" s="1560"/>
      <c r="C4" s="1560"/>
      <c r="D4" s="1560"/>
      <c r="E4" s="1560"/>
      <c r="F4" s="1561"/>
    </row>
    <row r="5" spans="2:6" ht="14">
      <c r="B5" s="1560"/>
      <c r="C5" s="1560"/>
      <c r="D5" s="1560"/>
      <c r="E5" s="1562" t="s">
        <v>5104</v>
      </c>
      <c r="F5" s="1563"/>
    </row>
    <row r="6" spans="2:6" ht="30">
      <c r="B6" s="1564" t="s">
        <v>5106</v>
      </c>
      <c r="C6" s="1565" t="s">
        <v>5176</v>
      </c>
      <c r="D6" s="1566" t="s">
        <v>5107</v>
      </c>
      <c r="E6" s="1567" t="s">
        <v>64</v>
      </c>
      <c r="F6" s="1568" t="s">
        <v>211</v>
      </c>
    </row>
    <row r="7" spans="2:6" ht="14">
      <c r="B7" s="1569">
        <f>+B8+25</f>
        <v>1200</v>
      </c>
      <c r="C7" s="1570">
        <f t="shared" ref="C7:C9" si="0">F7/E7</f>
        <v>3.6507767499999999</v>
      </c>
      <c r="D7" s="1571">
        <f>F7/16995584</f>
        <v>0.85922949161382156</v>
      </c>
      <c r="E7" s="1572">
        <f>E11</f>
        <v>4000000</v>
      </c>
      <c r="F7" s="1573">
        <v>14603107</v>
      </c>
    </row>
    <row r="8" spans="2:6" ht="14">
      <c r="B8" s="1574">
        <f>+B9+25</f>
        <v>1175</v>
      </c>
      <c r="C8" s="1575">
        <f t="shared" si="0"/>
        <v>3.4894017499999999</v>
      </c>
      <c r="D8" s="1576">
        <f>F8/16995584</f>
        <v>0.8212490373970085</v>
      </c>
      <c r="E8" s="1577">
        <f>E11</f>
        <v>4000000</v>
      </c>
      <c r="F8" s="1578">
        <v>13957607</v>
      </c>
    </row>
    <row r="9" spans="2:6" ht="14">
      <c r="B9" s="1574">
        <f>+B10+25</f>
        <v>1150</v>
      </c>
      <c r="C9" s="1575">
        <f t="shared" si="0"/>
        <v>3.3280267499999998</v>
      </c>
      <c r="D9" s="1576">
        <f>F9/16995584</f>
        <v>0.78326858318019554</v>
      </c>
      <c r="E9" s="1577">
        <f>E11</f>
        <v>4000000</v>
      </c>
      <c r="F9" s="1578">
        <v>13312107</v>
      </c>
    </row>
    <row r="10" spans="2:6" ht="14">
      <c r="B10" s="1574">
        <f>+B11+25</f>
        <v>1125</v>
      </c>
      <c r="C10" s="1575">
        <f>F10/E10</f>
        <v>3.1669017500000001</v>
      </c>
      <c r="D10" s="1576">
        <f>F10/16995584</f>
        <v>0.74534696777704135</v>
      </c>
      <c r="E10" s="1577">
        <f>E11</f>
        <v>4000000</v>
      </c>
      <c r="F10" s="1578">
        <v>12667607</v>
      </c>
    </row>
    <row r="11" spans="2:6" ht="14">
      <c r="B11" s="1600">
        <f>sales!G6</f>
        <v>1100</v>
      </c>
      <c r="C11" s="1601">
        <f>F11/E11</f>
        <v>-4.4214261453402619</v>
      </c>
      <c r="D11" s="1602">
        <f>F11/16995584</f>
        <v>-1.040605876288867</v>
      </c>
      <c r="E11" s="1603">
        <f>financing!F10</f>
        <v>4000000</v>
      </c>
      <c r="F11" s="1604">
        <f>general!D34</f>
        <v>-17685704.581361048</v>
      </c>
    </row>
    <row r="12" spans="2:6" ht="14">
      <c r="B12" s="1574">
        <f>+B11-25</f>
        <v>1075</v>
      </c>
      <c r="C12" s="1575">
        <f>F12/E12</f>
        <v>2.84415175</v>
      </c>
      <c r="D12" s="1576">
        <v>0.15526917730046519</v>
      </c>
      <c r="E12" s="1577">
        <f>E11</f>
        <v>4000000</v>
      </c>
      <c r="F12" s="1578">
        <v>11376607</v>
      </c>
    </row>
    <row r="13" spans="2:6" ht="14">
      <c r="B13" s="1574">
        <f>+B12-25</f>
        <v>1050</v>
      </c>
      <c r="C13" s="1575">
        <f t="shared" ref="C13:C15" si="1">F13/E13</f>
        <v>2.6827767499999999</v>
      </c>
      <c r="D13" s="1576">
        <v>0.12977104453695334</v>
      </c>
      <c r="E13" s="1577">
        <f>E11</f>
        <v>4000000</v>
      </c>
      <c r="F13" s="1578">
        <v>10731107</v>
      </c>
    </row>
    <row r="14" spans="2:6" ht="14">
      <c r="B14" s="1574">
        <f>+B13-25</f>
        <v>1025</v>
      </c>
      <c r="C14" s="1575">
        <f t="shared" si="1"/>
        <v>2.52115175</v>
      </c>
      <c r="D14" s="1576">
        <v>0.10242501339330902</v>
      </c>
      <c r="E14" s="1577">
        <f>E11</f>
        <v>4000000</v>
      </c>
      <c r="F14" s="1578">
        <v>10084607</v>
      </c>
    </row>
    <row r="15" spans="2:6" ht="14">
      <c r="B15" s="1579">
        <f>+B14-25</f>
        <v>1000</v>
      </c>
      <c r="C15" s="1580">
        <f t="shared" si="1"/>
        <v>2.35977675</v>
      </c>
      <c r="D15" s="1581">
        <v>7.2970003679066711E-2</v>
      </c>
      <c r="E15" s="1582">
        <f>E11</f>
        <v>4000000</v>
      </c>
      <c r="F15" s="1583">
        <v>9439107</v>
      </c>
    </row>
    <row r="16" spans="2:6" ht="14">
      <c r="B16" s="1560"/>
      <c r="C16" s="1560"/>
      <c r="D16" s="1560"/>
      <c r="E16" s="1560"/>
      <c r="F16" s="1584"/>
    </row>
    <row r="17" spans="2:6" ht="14">
      <c r="B17" s="1560"/>
      <c r="C17" s="1560"/>
      <c r="D17" s="1560"/>
      <c r="E17" s="1562" t="s">
        <v>5104</v>
      </c>
      <c r="F17" s="1563"/>
    </row>
    <row r="18" spans="2:6" ht="30">
      <c r="B18" s="1564" t="s">
        <v>5112</v>
      </c>
      <c r="C18" s="1566" t="s">
        <v>76</v>
      </c>
      <c r="D18" s="1566" t="s">
        <v>5107</v>
      </c>
      <c r="E18" s="1567" t="s">
        <v>64</v>
      </c>
      <c r="F18" s="1568" t="s">
        <v>211</v>
      </c>
    </row>
    <row r="19" spans="2:6" ht="14">
      <c r="B19" s="1569">
        <f>+B20+25</f>
        <v>550</v>
      </c>
      <c r="C19" s="1585">
        <f>C15</f>
        <v>2.35977675</v>
      </c>
      <c r="D19" s="1571">
        <f>D15</f>
        <v>7.2970003679066711E-2</v>
      </c>
      <c r="E19" s="1577">
        <f>E15</f>
        <v>4000000</v>
      </c>
      <c r="F19" s="1578">
        <f>F15</f>
        <v>9439107</v>
      </c>
    </row>
    <row r="20" spans="2:6" ht="14">
      <c r="B20" s="1574">
        <f>+B21+25</f>
        <v>525</v>
      </c>
      <c r="C20" s="1575">
        <f>C14</f>
        <v>2.52115175</v>
      </c>
      <c r="D20" s="1576">
        <f>D14</f>
        <v>0.10242501339330902</v>
      </c>
      <c r="E20" s="1577">
        <f>E14</f>
        <v>4000000</v>
      </c>
      <c r="F20" s="1578">
        <f>F14</f>
        <v>10084607</v>
      </c>
    </row>
    <row r="21" spans="2:6" ht="14">
      <c r="B21" s="1574">
        <f>+B22+25</f>
        <v>500</v>
      </c>
      <c r="C21" s="1575">
        <f>C13</f>
        <v>2.6827767499999999</v>
      </c>
      <c r="D21" s="1576">
        <f>D13</f>
        <v>0.12977104453695334</v>
      </c>
      <c r="E21" s="1577">
        <f>E13</f>
        <v>4000000</v>
      </c>
      <c r="F21" s="1578">
        <f>F13</f>
        <v>10731107</v>
      </c>
    </row>
    <row r="22" spans="2:6" ht="14">
      <c r="B22" s="1574">
        <f>+B23+25</f>
        <v>475</v>
      </c>
      <c r="C22" s="1575">
        <f>C12</f>
        <v>2.84415175</v>
      </c>
      <c r="D22" s="1576">
        <f>D12</f>
        <v>0.15526917730046519</v>
      </c>
      <c r="E22" s="1577">
        <f>E12</f>
        <v>4000000</v>
      </c>
      <c r="F22" s="1578">
        <f>F12</f>
        <v>11376607</v>
      </c>
    </row>
    <row r="23" spans="2:6" ht="14">
      <c r="B23" s="1600">
        <f>costpsf</f>
        <v>450</v>
      </c>
      <c r="C23" s="1601">
        <f>C11</f>
        <v>-4.4214261453402619</v>
      </c>
      <c r="D23" s="1602">
        <f>D11</f>
        <v>-1.040605876288867</v>
      </c>
      <c r="E23" s="1603">
        <f>E11</f>
        <v>4000000</v>
      </c>
      <c r="F23" s="1604">
        <f>F11</f>
        <v>-17685704.581361048</v>
      </c>
    </row>
    <row r="24" spans="2:6" ht="14">
      <c r="B24" s="1574">
        <f>+B23-25</f>
        <v>425</v>
      </c>
      <c r="C24" s="1575">
        <f>C10</f>
        <v>3.1669017500000001</v>
      </c>
      <c r="D24" s="1576">
        <f>D10</f>
        <v>0.74534696777704135</v>
      </c>
      <c r="E24" s="1577">
        <f>E10</f>
        <v>4000000</v>
      </c>
      <c r="F24" s="1578">
        <f>F10</f>
        <v>12667607</v>
      </c>
    </row>
    <row r="25" spans="2:6" ht="14">
      <c r="B25" s="1574">
        <f>+B24-25</f>
        <v>400</v>
      </c>
      <c r="C25" s="1575">
        <f>C9</f>
        <v>3.3280267499999998</v>
      </c>
      <c r="D25" s="1576">
        <f>D9</f>
        <v>0.78326858318019554</v>
      </c>
      <c r="E25" s="1577">
        <f>E9</f>
        <v>4000000</v>
      </c>
      <c r="F25" s="1578">
        <f>F9</f>
        <v>13312107</v>
      </c>
    </row>
    <row r="26" spans="2:6" ht="14">
      <c r="B26" s="1574">
        <f>+B25-25</f>
        <v>375</v>
      </c>
      <c r="C26" s="1575">
        <f>C8</f>
        <v>3.4894017499999999</v>
      </c>
      <c r="D26" s="1576">
        <f>D8</f>
        <v>0.8212490373970085</v>
      </c>
      <c r="E26" s="1577">
        <f>E8</f>
        <v>4000000</v>
      </c>
      <c r="F26" s="1578">
        <f>F8</f>
        <v>13957607</v>
      </c>
    </row>
    <row r="27" spans="2:6" ht="14">
      <c r="B27" s="1579">
        <f>+B26-25</f>
        <v>350</v>
      </c>
      <c r="C27" s="1580">
        <f>C7</f>
        <v>3.6507767499999999</v>
      </c>
      <c r="D27" s="1581">
        <f>D7</f>
        <v>0.85922949161382156</v>
      </c>
      <c r="E27" s="1582">
        <f>E7</f>
        <v>4000000</v>
      </c>
      <c r="F27" s="1583">
        <f>F7</f>
        <v>14603107</v>
      </c>
    </row>
    <row r="28" spans="2:6" ht="14">
      <c r="B28" s="1560"/>
      <c r="C28" s="1560"/>
      <c r="D28" s="1560"/>
      <c r="E28" s="1560"/>
      <c r="F28" s="1584"/>
    </row>
    <row r="29" spans="2:6" ht="14">
      <c r="B29" s="1560"/>
      <c r="C29" s="1560"/>
      <c r="D29" s="1560"/>
      <c r="E29" s="1560"/>
      <c r="F29" s="1584"/>
    </row>
    <row r="30" spans="2:6" ht="14" hidden="1">
      <c r="B30" s="1586" t="s">
        <v>5113</v>
      </c>
      <c r="C30" s="1587">
        <v>0.21799687578738158</v>
      </c>
      <c r="D30" s="1587">
        <v>0</v>
      </c>
      <c r="E30" s="1588">
        <v>811843.888691728</v>
      </c>
      <c r="F30" s="1589">
        <v>3191577.3235945478</v>
      </c>
    </row>
    <row r="31" spans="2:6" ht="14" hidden="1">
      <c r="B31" s="1590" t="s">
        <v>5114</v>
      </c>
      <c r="C31" s="1591">
        <f>+'[7]Budget Presentation'!G88</f>
        <v>0.34505963430192543</v>
      </c>
      <c r="D31" s="1591">
        <f>+'[7]Budget Presentation'!G81</f>
        <v>0.25653853963211709</v>
      </c>
      <c r="E31" s="1592">
        <f>+'[7]New Waterfall'!Q82</f>
        <v>762537.15542100649</v>
      </c>
      <c r="F31" s="1593">
        <f>+'[7]New Waterfall'!Q83</f>
        <v>5641728.1345033217</v>
      </c>
    </row>
    <row r="32" spans="2:6" ht="14" hidden="1">
      <c r="B32" s="1594" t="s">
        <v>175</v>
      </c>
      <c r="C32" s="1595">
        <v>0</v>
      </c>
      <c r="D32" s="1595">
        <v>0</v>
      </c>
      <c r="E32" s="1595">
        <v>0</v>
      </c>
      <c r="F32" s="1596">
        <v>0</v>
      </c>
    </row>
    <row r="33" spans="2:4" hidden="1"/>
    <row r="34" spans="2:4" hidden="1">
      <c r="B34" s="1597" t="s">
        <v>5115</v>
      </c>
      <c r="C34" s="1598" t="str">
        <f>+IF(D34="SqFt","OK","UPDATE")</f>
        <v>UPDATE</v>
      </c>
      <c r="D34" s="1599" t="str">
        <f>+[7]bud_detail!E20</f>
        <v>Total</v>
      </c>
    </row>
  </sheetData>
  <conditionalFormatting sqref="C34">
    <cfRule type="cellIs" dxfId="0" priority="1" operator="equal">
      <formula>"OK"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5">
    <tabColor theme="1"/>
    <pageSetUpPr fitToPage="1"/>
  </sheetPr>
  <dimension ref="A1:CF498"/>
  <sheetViews>
    <sheetView topLeftCell="AR1" workbookViewId="0">
      <selection activeCell="BB7" sqref="BB7"/>
    </sheetView>
  </sheetViews>
  <sheetFormatPr baseColWidth="10" defaultColWidth="9" defaultRowHeight="15" outlineLevelRow="4" outlineLevelCol="2"/>
  <cols>
    <col min="1" max="1" width="9" style="909"/>
    <col min="2" max="2" width="1.5" style="909" customWidth="1"/>
    <col min="3" max="3" width="10" style="910" customWidth="1"/>
    <col min="4" max="4" width="10.83203125" style="910" customWidth="1"/>
    <col min="5" max="5" width="1.1640625" style="910" customWidth="1" outlineLevel="1"/>
    <col min="6" max="7" width="13.5" style="910" customWidth="1"/>
    <col min="8" max="9" width="12.83203125" style="910" hidden="1" customWidth="1" outlineLevel="1"/>
    <col min="10" max="10" width="13.5" style="910" customWidth="1" collapsed="1"/>
    <col min="11" max="11" width="13.5" style="910" customWidth="1"/>
    <col min="12" max="12" width="1.1640625" style="910" customWidth="1"/>
    <col min="13" max="13" width="13.5" style="910" customWidth="1"/>
    <col min="14" max="14" width="1.1640625" style="910" customWidth="1"/>
    <col min="15" max="21" width="13.5" style="910" customWidth="1"/>
    <col min="22" max="22" width="3.5" style="910" customWidth="1"/>
    <col min="23" max="26" width="13.5" style="910" customWidth="1"/>
    <col min="27" max="27" width="1.1640625" style="910" customWidth="1"/>
    <col min="28" max="28" width="13.5" style="910" customWidth="1"/>
    <col min="29" max="29" width="1.1640625" style="910" customWidth="1"/>
    <col min="30" max="30" width="13.5" style="910" customWidth="1"/>
    <col min="31" max="31" width="1.1640625" style="910" customWidth="1"/>
    <col min="32" max="34" width="13.5" style="910" customWidth="1"/>
    <col min="35" max="35" width="1.1640625" style="910" customWidth="1"/>
    <col min="36" max="36" width="13.5" style="910" customWidth="1"/>
    <col min="37" max="37" width="1.1640625" style="910" customWidth="1"/>
    <col min="38" max="40" width="13.5" style="910" customWidth="1" outlineLevel="1"/>
    <col min="41" max="41" width="1.1640625" style="910" customWidth="1" outlineLevel="1"/>
    <col min="42" max="44" width="13.5" style="910" customWidth="1" outlineLevel="1"/>
    <col min="45" max="45" width="1.1640625" style="910" customWidth="1" outlineLevel="1"/>
    <col min="46" max="48" width="13.5" style="910" customWidth="1" outlineLevel="1"/>
    <col min="49" max="49" width="1.1640625" style="910" customWidth="1" outlineLevel="1"/>
    <col min="50" max="52" width="13.5" style="910" customWidth="1" outlineLevel="2"/>
    <col min="53" max="53" width="1.1640625" style="910" customWidth="1" outlineLevel="2"/>
    <col min="54" max="56" width="13.5" style="910" customWidth="1" outlineLevel="1"/>
    <col min="57" max="57" width="1.1640625" style="910" customWidth="1" outlineLevel="2"/>
    <col min="58" max="60" width="13.5" style="910" customWidth="1" outlineLevel="1"/>
    <col min="61" max="61" width="1.1640625" style="910" customWidth="1" outlineLevel="1"/>
    <col min="62" max="62" width="1.1640625" style="910" customWidth="1"/>
    <col min="63" max="64" width="13.5" style="909" customWidth="1"/>
    <col min="65" max="65" width="1.1640625" style="909" customWidth="1"/>
    <col min="66" max="66" width="13.5" style="909" customWidth="1"/>
    <col min="67" max="67" width="1.5" style="909" customWidth="1"/>
    <col min="68" max="68" width="13.6640625" style="909" bestFit="1" customWidth="1"/>
    <col min="69" max="72" width="9.5" style="909" bestFit="1" customWidth="1"/>
    <col min="73" max="73" width="11.5" style="909" bestFit="1" customWidth="1"/>
    <col min="74" max="74" width="10.33203125" style="909" bestFit="1" customWidth="1"/>
    <col min="75" max="76" width="9.5" style="909" bestFit="1" customWidth="1"/>
    <col min="77" max="77" width="11.1640625" style="909" bestFit="1" customWidth="1"/>
    <col min="78" max="78" width="11.5" style="909" bestFit="1" customWidth="1"/>
    <col min="79" max="80" width="9.5" style="909" bestFit="1" customWidth="1"/>
    <col min="81" max="81" width="9.33203125" style="909" customWidth="1"/>
    <col min="82" max="82" width="11.5" style="909" bestFit="1" customWidth="1"/>
    <col min="83" max="83" width="9.5" style="909" bestFit="1" customWidth="1"/>
    <col min="84" max="84" width="12.5" style="909" customWidth="1"/>
    <col min="85" max="16384" width="9" style="909"/>
  </cols>
  <sheetData>
    <row r="1" spans="1:84" outlineLevel="1">
      <c r="A1" s="909" t="s">
        <v>5102</v>
      </c>
    </row>
    <row r="2" spans="1:84" ht="19" outlineLevel="1">
      <c r="C2" s="739" t="s">
        <v>351</v>
      </c>
    </row>
    <row r="3" spans="1:84" ht="16" outlineLevel="1" thickBot="1">
      <c r="C3" s="911" t="str">
        <f>general!$B$3</f>
        <v>Error(s)</v>
      </c>
      <c r="D3" s="912"/>
      <c r="E3" s="912"/>
      <c r="F3" s="912"/>
      <c r="G3" s="912"/>
      <c r="H3" s="912"/>
      <c r="I3" s="912"/>
      <c r="J3" s="912"/>
      <c r="K3" s="912"/>
      <c r="L3" s="912"/>
      <c r="M3" s="912"/>
      <c r="N3" s="912"/>
      <c r="O3" s="912"/>
      <c r="P3" s="912"/>
      <c r="Q3" s="912"/>
      <c r="R3" s="912"/>
      <c r="S3" s="912"/>
      <c r="T3" s="912"/>
      <c r="U3" s="913"/>
      <c r="V3" s="912"/>
      <c r="W3" s="912"/>
      <c r="X3" s="912"/>
      <c r="Y3" s="912"/>
      <c r="Z3" s="912"/>
      <c r="AA3" s="912"/>
      <c r="AB3" s="912"/>
      <c r="AC3" s="912"/>
      <c r="AD3" s="912"/>
      <c r="AE3" s="912"/>
      <c r="AF3" s="912"/>
      <c r="AG3" s="912"/>
      <c r="AH3" s="912"/>
      <c r="AI3" s="912"/>
      <c r="AJ3" s="912"/>
      <c r="AK3" s="912"/>
      <c r="AL3" s="912"/>
      <c r="AM3" s="912"/>
      <c r="AN3" s="912"/>
      <c r="AO3" s="912"/>
      <c r="AP3" s="912"/>
      <c r="AQ3" s="912"/>
      <c r="AR3" s="912"/>
      <c r="AS3" s="912"/>
      <c r="AT3" s="912"/>
      <c r="AU3" s="912"/>
      <c r="AV3" s="912"/>
      <c r="AW3" s="912"/>
      <c r="AX3" s="912"/>
      <c r="AY3" s="912"/>
      <c r="AZ3" s="912"/>
      <c r="BA3" s="912"/>
      <c r="BB3" s="912"/>
      <c r="BC3" s="912"/>
      <c r="BD3" s="912"/>
      <c r="BE3" s="912"/>
      <c r="BF3" s="912"/>
      <c r="BG3" s="912"/>
      <c r="BH3" s="912"/>
      <c r="BI3" s="912"/>
      <c r="BY3" s="914">
        <f>SUM(BY7:BY126)</f>
        <v>28700</v>
      </c>
    </row>
    <row r="4" spans="1:84" outlineLevel="1">
      <c r="D4" s="915">
        <f>+general!G6</f>
        <v>0.92</v>
      </c>
      <c r="E4" s="915"/>
      <c r="F4" s="915">
        <f>+general!G7</f>
        <v>0.9</v>
      </c>
    </row>
    <row r="5" spans="1:84" ht="49" outlineLevel="1" thickBot="1">
      <c r="A5" s="174" t="s">
        <v>366</v>
      </c>
      <c r="B5" s="904"/>
      <c r="C5" s="916" t="s">
        <v>350</v>
      </c>
      <c r="D5" s="979" t="s">
        <v>74</v>
      </c>
      <c r="E5" s="979"/>
      <c r="F5" s="979" t="s">
        <v>613</v>
      </c>
      <c r="G5" s="979" t="s">
        <v>367</v>
      </c>
      <c r="H5" s="979" t="s">
        <v>380</v>
      </c>
      <c r="I5" s="979" t="s">
        <v>381</v>
      </c>
      <c r="J5" s="979" t="s">
        <v>439</v>
      </c>
      <c r="K5" s="979" t="s">
        <v>382</v>
      </c>
      <c r="L5" s="979"/>
      <c r="M5" s="979" t="s">
        <v>386</v>
      </c>
      <c r="N5" s="979"/>
      <c r="O5" s="979" t="s">
        <v>171</v>
      </c>
      <c r="P5" s="979" t="s">
        <v>368</v>
      </c>
      <c r="Q5" s="979" t="s">
        <v>172</v>
      </c>
      <c r="R5" s="979" t="s">
        <v>400</v>
      </c>
      <c r="S5" s="979" t="s">
        <v>64</v>
      </c>
      <c r="T5" s="979" t="s">
        <v>430</v>
      </c>
      <c r="U5" s="979" t="s">
        <v>369</v>
      </c>
      <c r="V5" s="979"/>
      <c r="W5" s="979" t="s">
        <v>359</v>
      </c>
      <c r="X5" s="979" t="s">
        <v>376</v>
      </c>
      <c r="Y5" s="979" t="s">
        <v>403</v>
      </c>
      <c r="Z5" s="979" t="s">
        <v>397</v>
      </c>
      <c r="AA5" s="979"/>
      <c r="AB5" s="979" t="s">
        <v>327</v>
      </c>
      <c r="AC5" s="979"/>
      <c r="AD5" s="979" t="s">
        <v>398</v>
      </c>
      <c r="AE5" s="979"/>
      <c r="AF5" s="979" t="s">
        <v>391</v>
      </c>
      <c r="AG5" s="979" t="s">
        <v>395</v>
      </c>
      <c r="AH5" s="979" t="s">
        <v>440</v>
      </c>
      <c r="AI5" s="979"/>
      <c r="AJ5" s="979" t="s">
        <v>385</v>
      </c>
      <c r="AK5" s="979"/>
      <c r="AL5" s="979" t="s">
        <v>370</v>
      </c>
      <c r="AM5" s="979" t="s">
        <v>371</v>
      </c>
      <c r="AN5" s="979" t="s">
        <v>372</v>
      </c>
      <c r="AO5" s="979"/>
      <c r="AP5" s="979" t="s">
        <v>373</v>
      </c>
      <c r="AQ5" s="979" t="s">
        <v>374</v>
      </c>
      <c r="AR5" s="979" t="s">
        <v>375</v>
      </c>
      <c r="AS5" s="979"/>
      <c r="AT5" s="979" t="s">
        <v>377</v>
      </c>
      <c r="AU5" s="979" t="s">
        <v>378</v>
      </c>
      <c r="AV5" s="979" t="s">
        <v>379</v>
      </c>
      <c r="AW5" s="979"/>
      <c r="AX5" s="979" t="s">
        <v>383</v>
      </c>
      <c r="AY5" s="979" t="s">
        <v>392</v>
      </c>
      <c r="AZ5" s="979" t="s">
        <v>393</v>
      </c>
      <c r="BA5" s="979"/>
      <c r="BB5" s="979" t="s">
        <v>431</v>
      </c>
      <c r="BC5" s="979" t="s">
        <v>432</v>
      </c>
      <c r="BD5" s="979" t="s">
        <v>433</v>
      </c>
      <c r="BE5" s="979"/>
      <c r="BF5" s="979" t="s">
        <v>384</v>
      </c>
      <c r="BG5" s="979" t="s">
        <v>394</v>
      </c>
      <c r="BH5" s="979" t="s">
        <v>396</v>
      </c>
      <c r="BI5" s="916"/>
      <c r="BJ5" s="917"/>
      <c r="BK5" s="918" t="s">
        <v>355</v>
      </c>
      <c r="BL5" s="919"/>
      <c r="BN5" s="920" t="s">
        <v>356</v>
      </c>
      <c r="BO5" s="921"/>
      <c r="BP5" s="916" t="s">
        <v>185</v>
      </c>
      <c r="BT5" s="922"/>
      <c r="BU5" s="922"/>
      <c r="BV5" s="922"/>
      <c r="BW5" s="922"/>
      <c r="BY5" s="909" t="s">
        <v>467</v>
      </c>
      <c r="CD5" s="923" t="s">
        <v>537</v>
      </c>
      <c r="CF5" s="924" t="s">
        <v>469</v>
      </c>
    </row>
    <row r="6" spans="1:84" ht="16" outlineLevel="1">
      <c r="A6" s="905" t="str">
        <f>+'Development Cash Flow'!A6</f>
        <v>Pred</v>
      </c>
      <c r="B6" s="908"/>
      <c r="C6" s="925">
        <v>0</v>
      </c>
      <c r="D6" s="926">
        <f>general!$D$20</f>
        <v>46235</v>
      </c>
      <c r="E6" s="926"/>
      <c r="F6" s="927">
        <f>'Development Cash Flow'!P6*D$4+SUM('Development Cash Flow'!Q6:T6)*F$4</f>
        <v>13486.65</v>
      </c>
      <c r="G6" s="927">
        <f>'Development Cash Flow'!AL6-F6</f>
        <v>2938831.85</v>
      </c>
      <c r="H6" s="927"/>
      <c r="I6" s="927"/>
      <c r="J6" s="928"/>
      <c r="K6" s="928">
        <f>IF(C6=0,0,IF(C6=sales!$D$32,financing!$E$12*financing!$F$11,IF(OR(C6&gt;general!$C$27,C6&lt;sales!$D$32),0,IF((C6-sales!$D$32)/12=ROUND((C6-sales!$D$32)/12,0),financing!$E$12*financing!$F$11,0))))</f>
        <v>0</v>
      </c>
      <c r="L6" s="927"/>
      <c r="M6" s="927">
        <f>SUM(F6:K6)</f>
        <v>2952318.5</v>
      </c>
      <c r="N6" s="929"/>
      <c r="O6" s="929">
        <f>IF(D6=general!$D$21,financing!$F$30,0)</f>
        <v>2175000</v>
      </c>
      <c r="P6" s="929"/>
      <c r="Q6" s="929"/>
      <c r="R6" s="930">
        <f>+IF(C6&gt;=sales!$D$36,'Development Cash Flow'!AL6,0)</f>
        <v>0</v>
      </c>
      <c r="S6" s="931">
        <f>IF(AND(A6=$A$5,C6&lt;financing!$D$55),M6-SUM(P6:R6,O6),MIN(M6-SUM(P6:R6,O6),financing!$F$10-SUM(S$5:S5)))</f>
        <v>777318.5</v>
      </c>
      <c r="T6" s="931">
        <f>+MAX(MIN(IF(C6&gt;=financing!$D$55,M6-SUM(P6:S6)-J6,0),financing!$D$57-SUM(T$5:T5)),0)</f>
        <v>0</v>
      </c>
      <c r="U6" s="931">
        <f>+MAX(IF(C6&gt;=general!$C$23,M6-SUM(P6:T6),0)+IF(C6=general!$C$23,reserves!AZ5+AY6,0),0)</f>
        <v>0</v>
      </c>
      <c r="V6" s="929"/>
      <c r="W6" s="929">
        <f>SUMPRODUCT(--($C6=sales!$C$50:$C$54),sales!$F$50:$F$54)</f>
        <v>0</v>
      </c>
      <c r="X6" s="929">
        <f t="shared" ref="X6:X37" si="0">+W6*-AV6</f>
        <v>0</v>
      </c>
      <c r="Y6" s="929">
        <f t="shared" ref="Y6:Y37" si="1">+R6</f>
        <v>0</v>
      </c>
      <c r="Z6" s="929">
        <f t="shared" ref="Z6:Z39" si="2">+W6+X6-Y6</f>
        <v>0</v>
      </c>
      <c r="AA6" s="929"/>
      <c r="AB6" s="932" cm="1">
        <f t="array" ref="AB6">SUMPRODUCT(--(C6=sales!$D$22:$D$27),sales!$G$22:$G$27)</f>
        <v>0</v>
      </c>
      <c r="AC6" s="929"/>
      <c r="AD6" s="931">
        <f t="shared" ref="AD6:AD37" si="3">+SUM(O6:U6)-M6+Z6+AB6</f>
        <v>0</v>
      </c>
      <c r="AE6" s="933"/>
      <c r="AF6" s="933">
        <v>0</v>
      </c>
      <c r="AG6" s="933">
        <v>0</v>
      </c>
      <c r="AH6" s="934">
        <v>0</v>
      </c>
      <c r="AI6" s="933"/>
      <c r="AJ6" s="931">
        <f t="shared" ref="AJ6:AJ45" si="4">+AD6-SUM(AF6:AH6)</f>
        <v>0</v>
      </c>
      <c r="AK6" s="929"/>
      <c r="AL6" s="935">
        <f>+IF(financing!$C$12="YES",'Development Cash Flow'!M6,0)</f>
        <v>0</v>
      </c>
      <c r="AM6" s="935">
        <f t="shared" ref="AM6:AM37" si="5">+Q6</f>
        <v>0</v>
      </c>
      <c r="AN6" s="935">
        <f>+AL6-AM6</f>
        <v>0</v>
      </c>
      <c r="AO6" s="929"/>
      <c r="AP6" s="935">
        <f>+SUM('Development Cash Flow'!G6:J6)-'Development Cash Flow'!M6</f>
        <v>0</v>
      </c>
      <c r="AQ6" s="935">
        <f t="shared" ref="AQ6:AQ37" si="6">+P6</f>
        <v>0</v>
      </c>
      <c r="AR6" s="935">
        <f>+AP6-AQ6</f>
        <v>0</v>
      </c>
      <c r="AS6" s="929"/>
      <c r="AT6" s="935">
        <f>+sales!$F$55</f>
        <v>27319600</v>
      </c>
      <c r="AU6" s="935">
        <f>+AM6+AQ6</f>
        <v>0</v>
      </c>
      <c r="AV6" s="936">
        <f>+IF(AT6=0,0,AU6/AT6)</f>
        <v>0</v>
      </c>
      <c r="AW6" s="929"/>
      <c r="AX6" s="935">
        <f t="shared" ref="AX6:AX37" si="7">+O6</f>
        <v>2175000</v>
      </c>
      <c r="AY6" s="935"/>
      <c r="AZ6" s="935">
        <f>+AX6+AY6-AF6</f>
        <v>2175000</v>
      </c>
      <c r="BA6" s="929"/>
      <c r="BB6" s="935">
        <f>+T6</f>
        <v>0</v>
      </c>
      <c r="BC6" s="935"/>
      <c r="BD6" s="935">
        <f>+BB6+BC6-AH6</f>
        <v>0</v>
      </c>
      <c r="BE6" s="929"/>
      <c r="BF6" s="935">
        <f>+U6</f>
        <v>0</v>
      </c>
      <c r="BG6" s="935"/>
      <c r="BH6" s="935">
        <f>+BF6+BG6-AG6</f>
        <v>0</v>
      </c>
      <c r="BI6" s="929"/>
      <c r="BJ6" s="937"/>
      <c r="BK6" s="938">
        <f>D6</f>
        <v>46235</v>
      </c>
      <c r="BL6" s="939">
        <f>-S6+AJ6+AF6-AX6+AH6+AG6-BB6-BF6+'Development Cash Flow'!Y6</f>
        <v>-2952318.5</v>
      </c>
      <c r="BM6" s="940"/>
      <c r="BN6" s="941">
        <f t="shared" ref="BN6:BN37" si="8">-S6+AJ6</f>
        <v>-777318.5</v>
      </c>
      <c r="BO6" s="940"/>
      <c r="BP6" s="942">
        <f t="shared" ref="BP6:BP37" si="9">+M6-S6-O6-AM6-AQ6-BF6+AF6-R6-BB6</f>
        <v>0</v>
      </c>
      <c r="BT6" s="922">
        <f>+IF(SUM(BT$5:BT5)&lt;1,IF(BU6=MAX($BU$6:$BU$54),1,0),0)</f>
        <v>0</v>
      </c>
      <c r="BU6" s="922">
        <f>+S6</f>
        <v>777318.5</v>
      </c>
      <c r="BV6" s="943" t="str">
        <f t="shared" ref="BV6:BV37" si="10">+IF(BT6=1,D6,"")</f>
        <v/>
      </c>
      <c r="BW6" s="922" t="str">
        <f t="shared" ref="BW6:BW37" si="11">+IF(BT6=1,C6,"")</f>
        <v/>
      </c>
      <c r="CD6" s="914">
        <f>SUM($S$6:S6)</f>
        <v>777318.5</v>
      </c>
      <c r="CF6" s="208">
        <f>+IF(C6&lt;general!$C$22,0,IF(AND(C6=general!$C$22,OR(A6="Pred",A6="Dev")),SUM(S$6:S6),S6))</f>
        <v>777318.5</v>
      </c>
    </row>
    <row r="7" spans="1:84" ht="16" outlineLevel="1">
      <c r="A7" s="906" t="str">
        <f>+'Development Cash Flow'!A7</f>
        <v>Pred</v>
      </c>
      <c r="B7" s="908"/>
      <c r="C7" s="944">
        <f>IF('Development Cash Flow'!D6&lt;general!$D$28,'Development Cash Flow'!C6+1,0)</f>
        <v>1</v>
      </c>
      <c r="D7" s="945">
        <f>EOMONTH(D6,1)</f>
        <v>46295</v>
      </c>
      <c r="E7" s="945"/>
      <c r="F7" s="928">
        <f>'Development Cash Flow'!P7*D$4+SUM('Development Cash Flow'!Q7:T7)*F$4</f>
        <v>13486.65</v>
      </c>
      <c r="G7" s="928">
        <f>'Development Cash Flow'!AL7-F7</f>
        <v>18249.410430274467</v>
      </c>
      <c r="H7" s="928"/>
      <c r="I7" s="928"/>
      <c r="J7" s="931">
        <f>+financing!$D$54/12*reserves!BD6</f>
        <v>0</v>
      </c>
      <c r="K7" s="928">
        <f>IF(C7=0,0,IF(C7=sales!$D$32,financing!$E$12*financing!$F$11,IF(OR(C7&gt;general!$C$27,C7&lt;sales!$D$32),0,IF((C7-sales!$D$32)/12=ROUND((C7-sales!$D$32)/12,0),financing!$E$12*financing!$F$11,0))))</f>
        <v>0</v>
      </c>
      <c r="L7" s="928"/>
      <c r="M7" s="928">
        <f>SUM(F7:K7)</f>
        <v>31736.060430274469</v>
      </c>
      <c r="N7" s="946"/>
      <c r="O7" s="946">
        <f>IF(D7=general!$D$21,financing!$F$30,0)</f>
        <v>0</v>
      </c>
      <c r="P7" s="946">
        <f>+MIN(IF(D7&lt;=general!$D$24,SUM(F$6:F7)-SUM(P$6:P6),reserves!F7),AR6)</f>
        <v>0</v>
      </c>
      <c r="Q7" s="946">
        <f>+MAX(MIN(SUM(G$6:$G7)-R7,AN6),0)</f>
        <v>0</v>
      </c>
      <c r="R7" s="946">
        <f>+IF(C7&gt;=sales!$D$36,'Development Cash Flow'!AL7,0)</f>
        <v>0</v>
      </c>
      <c r="S7" s="931">
        <f>IF(AND(A7=$A$5,C7&lt;financing!$D$55),M7-SUM(P7:R7,O7),MIN(M7-SUM(P7:R7,O7),financing!$F$10-SUM(S$5:S6)))</f>
        <v>31736.060430274469</v>
      </c>
      <c r="T7" s="931">
        <f>+MAX(MIN(IF(C7&gt;=financing!$D$55,M7-SUM(P7:S7)-J7,0),financing!$D$57-SUM(T$5:T6)),0)</f>
        <v>0</v>
      </c>
      <c r="U7" s="931">
        <f>+MAX(IF(C7&gt;=general!$C$23,M7-SUM(P7:T7),0)+IF(C7=general!$C$23,reserves!AZ6+AY7,0),0)</f>
        <v>0</v>
      </c>
      <c r="V7" s="946"/>
      <c r="W7" s="946">
        <f>SUMPRODUCT(--($C7=sales!$C$50:$C$54),sales!$F$50:$F$54)</f>
        <v>0</v>
      </c>
      <c r="X7" s="946">
        <f t="shared" si="0"/>
        <v>0</v>
      </c>
      <c r="Y7" s="946">
        <f t="shared" si="1"/>
        <v>0</v>
      </c>
      <c r="Z7" s="946">
        <f t="shared" si="2"/>
        <v>0</v>
      </c>
      <c r="AA7" s="946"/>
      <c r="AB7" s="932" cm="1">
        <f t="array" ref="AB7">SUMPRODUCT(--(C7=sales!$D$22:$D$27),sales!$G$22:$G$27)</f>
        <v>0</v>
      </c>
      <c r="AC7" s="946"/>
      <c r="AD7" s="931">
        <f t="shared" si="3"/>
        <v>0</v>
      </c>
      <c r="AE7" s="932"/>
      <c r="AF7" s="932">
        <f>+MAX(MIN(AZ6+AX7+AY7,AD7),0)</f>
        <v>0</v>
      </c>
      <c r="AG7" s="932">
        <f>+MAX(MIN(BH6+BF7+BG7,AD7-AF7),0)</f>
        <v>0</v>
      </c>
      <c r="AH7" s="931">
        <f t="shared" ref="AH7:AH45" si="12">+MIN(BD6+BB7+BC7,AD7-SUM(AF7:AG7))</f>
        <v>0</v>
      </c>
      <c r="AI7" s="932"/>
      <c r="AJ7" s="931">
        <f t="shared" si="4"/>
        <v>0</v>
      </c>
      <c r="AK7" s="946"/>
      <c r="AL7" s="947">
        <f>+IF(financing!$C$12="YES",'Development Cash Flow'!M7,0)</f>
        <v>0</v>
      </c>
      <c r="AM7" s="947">
        <f t="shared" si="5"/>
        <v>0</v>
      </c>
      <c r="AN7" s="947">
        <f>+AN6+AL7-AM7</f>
        <v>0</v>
      </c>
      <c r="AO7" s="946"/>
      <c r="AP7" s="947">
        <f>+SUM('Development Cash Flow'!G7:J7)-'Development Cash Flow'!M7</f>
        <v>0</v>
      </c>
      <c r="AQ7" s="947">
        <f t="shared" si="6"/>
        <v>0</v>
      </c>
      <c r="AR7" s="947">
        <f>+AR6+AP7-AQ7</f>
        <v>0</v>
      </c>
      <c r="AS7" s="946"/>
      <c r="AT7" s="947">
        <f t="shared" ref="AT7:AT38" si="13">+AT6-W6</f>
        <v>27319600</v>
      </c>
      <c r="AU7" s="947">
        <f t="shared" ref="AU7:AU38" si="14">+AM7+AQ7+AU6+X6</f>
        <v>0</v>
      </c>
      <c r="AV7" s="948">
        <f>+IF(AT7=0,0,AU7/AT7)</f>
        <v>0</v>
      </c>
      <c r="AW7" s="946"/>
      <c r="AX7" s="947">
        <f t="shared" si="7"/>
        <v>0</v>
      </c>
      <c r="AY7" s="947">
        <f>+AZ6*financing!$E$30/12</f>
        <v>19937.5</v>
      </c>
      <c r="AZ7" s="947">
        <f t="shared" ref="AZ7:AZ38" si="15">+AZ6+AY7+AX7-AF7</f>
        <v>2194937.5</v>
      </c>
      <c r="BA7" s="946"/>
      <c r="BB7" s="947">
        <f t="shared" ref="BB7:BB37" si="16">+T7</f>
        <v>0</v>
      </c>
      <c r="BC7" s="947">
        <f>+IF(AND(BD6+BB7+MAX(BD6*financing!$E$15/12,financing!$D$59-SUM(reserves!BC$6:BC6)-SUM(J$6:J7))-reserves!AD7&lt;=0,financing!$D$58&gt;=0),MAX(BD6*financing!$E$15/12,financing!$D$59-SUM(reserves!BC$6:BC6)-SUM(J$6:J7)),BD6*financing!$E$15/12)</f>
        <v>0</v>
      </c>
      <c r="BD7" s="947">
        <f t="shared" ref="BD7:BD70" si="17">+BD6+BC7+BB7-AH7</f>
        <v>0</v>
      </c>
      <c r="BE7" s="946"/>
      <c r="BF7" s="947">
        <f>+U7</f>
        <v>0</v>
      </c>
      <c r="BG7" s="947">
        <f>+IF(AND(BH6+BF7+MAX((BH6*(LIBOR!AA8)*(D7-D6)/360)+BY7,financing!$C$16-SUM(reserves!BG$6:BG6))-reserves!AD7&lt;=0,financing!$L$17&gt;=0),MAX((BH6*(LIBOR!AA8)*(D7-D6)/360)+BY7,financing!$C$16-SUM(reserves!BG$6:BG6)),(BH6*(LIBOR!AA8)*(D7-D6)/360)+BY7)</f>
        <v>0</v>
      </c>
      <c r="BH7" s="947">
        <f t="shared" ref="BH7:BH38" si="18">+BH6+BG7+BF7-AG7</f>
        <v>0</v>
      </c>
      <c r="BI7" s="946"/>
      <c r="BJ7" s="937"/>
      <c r="BK7" s="938">
        <f t="shared" ref="BK7:BK38" si="19">IF(C7=0,0,D7)</f>
        <v>46295</v>
      </c>
      <c r="BL7" s="939">
        <f>-S7+AJ7+AF7-AX7+AH7+AG7-BB7-BF7+'Development Cash Flow'!Y7</f>
        <v>-31736.060430274469</v>
      </c>
      <c r="BM7" s="940"/>
      <c r="BN7" s="941">
        <f t="shared" si="8"/>
        <v>-31736.060430274469</v>
      </c>
      <c r="BO7" s="940"/>
      <c r="BP7" s="942">
        <f t="shared" si="9"/>
        <v>0</v>
      </c>
      <c r="BS7" s="949" t="e">
        <f t="shared" ref="BS7:BS38" si="20">+(BC7+J7)*12/BD6</f>
        <v>#DIV/0!</v>
      </c>
      <c r="BT7" s="922">
        <f>+IF(SUM(BT$5:BT6)&lt;1,IF(BU7=MAX($BU$6:$BU$54),1,0),0)</f>
        <v>0</v>
      </c>
      <c r="BU7" s="922">
        <f t="shared" ref="BU7:BU38" si="21">+BU6+S7</f>
        <v>809054.56043027446</v>
      </c>
      <c r="BV7" s="943" t="str">
        <f t="shared" si="10"/>
        <v/>
      </c>
      <c r="BW7" s="922" t="str">
        <f t="shared" si="11"/>
        <v/>
      </c>
      <c r="BY7" s="208">
        <f>ROUND(IF(A7="Dev",IF(AND(BK7&gt;general!$D$23,SUM($BZ$6:$BZ6)&lt;1,financing!$L$15&gt;BH6+BF7),financing!$L$16*(BK7-BK6)/360*(financing!$L$15-BH6-BF7),0),0),-2)</f>
        <v>0</v>
      </c>
      <c r="BZ7" s="909">
        <f>+IF(AND(BH7&gt;=financing!$L$15,SUM(BZ$6:BZ6)=0),1,0)</f>
        <v>0</v>
      </c>
      <c r="CA7" s="950">
        <f t="shared" ref="CA7:CA45" si="22">+BZ7*BK7</f>
        <v>0</v>
      </c>
      <c r="CD7" s="914">
        <f>SUM($S$6:S7)</f>
        <v>809054.56043027446</v>
      </c>
      <c r="CF7" s="208">
        <f>+IF(C7&lt;general!$C$22,0,IF(AND(C7=general!$C$22,OR(A7="Pred",A7="Dev")),SUM(S$6:S7),S7))</f>
        <v>31736.060430274469</v>
      </c>
    </row>
    <row r="8" spans="1:84" ht="16" outlineLevel="1">
      <c r="A8" s="906" t="str">
        <f>+'Development Cash Flow'!A8</f>
        <v>Pred</v>
      </c>
      <c r="B8" s="908"/>
      <c r="C8" s="944">
        <f>IF('Development Cash Flow'!D7&lt;general!$D$28,'Development Cash Flow'!C7+1,0)</f>
        <v>2</v>
      </c>
      <c r="D8" s="945">
        <f t="shared" ref="D8:D125" si="23">EOMONTH(D7,1)</f>
        <v>46326</v>
      </c>
      <c r="E8" s="945"/>
      <c r="F8" s="928">
        <f>'Development Cash Flow'!P8*D$4+SUM('Development Cash Flow'!Q8:T8)*F$4</f>
        <v>13486.65</v>
      </c>
      <c r="G8" s="928">
        <f>'Development Cash Flow'!AL8-F8</f>
        <v>18249.410430274467</v>
      </c>
      <c r="H8" s="928"/>
      <c r="I8" s="928"/>
      <c r="J8" s="931">
        <f>+financing!$D$54/12*reserves!BD7</f>
        <v>0</v>
      </c>
      <c r="K8" s="928">
        <f>IF(C8=0,0,IF(C8=sales!$D$32,financing!$E$12*financing!$F$11,IF(OR(C8&gt;general!$C$27,C8&lt;sales!$D$32),0,IF((C8-sales!$D$32)/12=ROUND((C8-sales!$D$32)/12,0),financing!$E$12*financing!$F$11,0))))</f>
        <v>0</v>
      </c>
      <c r="L8" s="928"/>
      <c r="M8" s="928">
        <f>SUM(F8:K8)</f>
        <v>31736.060430274469</v>
      </c>
      <c r="N8" s="946"/>
      <c r="O8" s="946">
        <f>IF(D8=general!$D$21,financing!$F$30,0)</f>
        <v>0</v>
      </c>
      <c r="P8" s="946">
        <f>+MIN(IF(D8&lt;=general!$D$24,SUM(F$6:F8)-SUM(P$6:P7),reserves!F8),AR7)</f>
        <v>0</v>
      </c>
      <c r="Q8" s="946">
        <f>+MAX(MIN(SUM(G$6:$G8)-R8,AN7),0)</f>
        <v>0</v>
      </c>
      <c r="R8" s="946">
        <f>+IF(C8&gt;=sales!$D$36,'Development Cash Flow'!AL8,0)</f>
        <v>0</v>
      </c>
      <c r="S8" s="931">
        <f>IF(AND(A8=$A$5,C8&lt;financing!$D$55),M8-SUM(P8:R8,O8),MIN(M8-SUM(P8:R8,O8),financing!$F$10-SUM(S$5:S7)))</f>
        <v>31736.060430274469</v>
      </c>
      <c r="T8" s="931">
        <f>+MAX(MIN(IF(C8&gt;=financing!$D$55,M8-SUM(P8:S8)-J8,0),financing!$D$57-SUM(T$5:T7)),0)</f>
        <v>0</v>
      </c>
      <c r="U8" s="931">
        <f>+MAX(IF(C8&gt;=general!$C$23,M8-SUM(P8:T8),0)+IF(C8=general!$C$23,reserves!AZ7+AY8,0),0)</f>
        <v>0</v>
      </c>
      <c r="V8" s="946"/>
      <c r="W8" s="946">
        <f>SUMPRODUCT(--($C8=sales!$C$50:$C$54),sales!$F$50:$F$54)</f>
        <v>0</v>
      </c>
      <c r="X8" s="946">
        <f t="shared" si="0"/>
        <v>0</v>
      </c>
      <c r="Y8" s="946">
        <f t="shared" si="1"/>
        <v>0</v>
      </c>
      <c r="Z8" s="946">
        <f t="shared" si="2"/>
        <v>0</v>
      </c>
      <c r="AA8" s="946"/>
      <c r="AB8" s="932" cm="1">
        <f t="array" ref="AB8">SUMPRODUCT(--(C8=sales!$D$22:$D$27),sales!$G$22:$G$27)</f>
        <v>0</v>
      </c>
      <c r="AC8" s="946"/>
      <c r="AD8" s="931">
        <f t="shared" si="3"/>
        <v>0</v>
      </c>
      <c r="AE8" s="932"/>
      <c r="AF8" s="932">
        <f t="shared" ref="AF8:AF71" si="24">+MAX(MIN(AZ7+AX8+AY8,AD8),0)</f>
        <v>0</v>
      </c>
      <c r="AG8" s="932">
        <f t="shared" ref="AG8:AG71" si="25">+MAX(MIN(BH7+BF8+BG8,AD8-AF8),0)</f>
        <v>0</v>
      </c>
      <c r="AH8" s="931">
        <f t="shared" si="12"/>
        <v>0</v>
      </c>
      <c r="AI8" s="932"/>
      <c r="AJ8" s="931">
        <f t="shared" si="4"/>
        <v>0</v>
      </c>
      <c r="AK8" s="946"/>
      <c r="AL8" s="947">
        <f>+IF(financing!$C$12="YES",'Development Cash Flow'!M8,0)</f>
        <v>0</v>
      </c>
      <c r="AM8" s="947">
        <f t="shared" si="5"/>
        <v>0</v>
      </c>
      <c r="AN8" s="947">
        <f>+AN7+AL8-AM8</f>
        <v>0</v>
      </c>
      <c r="AO8" s="946"/>
      <c r="AP8" s="947">
        <f>+SUM('Development Cash Flow'!G8:J8)-'Development Cash Flow'!M8</f>
        <v>0</v>
      </c>
      <c r="AQ8" s="947">
        <f t="shared" si="6"/>
        <v>0</v>
      </c>
      <c r="AR8" s="947">
        <f>+AR7+AP8-AQ8</f>
        <v>0</v>
      </c>
      <c r="AS8" s="946"/>
      <c r="AT8" s="947">
        <f t="shared" si="13"/>
        <v>27319600</v>
      </c>
      <c r="AU8" s="947">
        <f t="shared" si="14"/>
        <v>0</v>
      </c>
      <c r="AV8" s="948">
        <f>+IF(AT8=0,0,AU8/AT8)</f>
        <v>0</v>
      </c>
      <c r="AW8" s="946"/>
      <c r="AX8" s="947">
        <f t="shared" si="7"/>
        <v>0</v>
      </c>
      <c r="AY8" s="947">
        <f>+AZ7*financing!$E$30/12</f>
        <v>20120.260416666668</v>
      </c>
      <c r="AZ8" s="947">
        <f t="shared" si="15"/>
        <v>2215057.7604166665</v>
      </c>
      <c r="BA8" s="946"/>
      <c r="BB8" s="947">
        <f t="shared" si="16"/>
        <v>0</v>
      </c>
      <c r="BC8" s="947">
        <f>+IF(AND(BD7+BB8+MAX(BD7*financing!$E$15/12,financing!$D$59-SUM(reserves!BC$6:BC7)-SUM(J$6:J8))-reserves!AD8&lt;=0,financing!$D$58&gt;=0),MAX(BD7*financing!$E$15/12,financing!$D$59-SUM(reserves!BC$6:BC7)-SUM(J$6:J8)),BD7*financing!$E$15/12)</f>
        <v>0</v>
      </c>
      <c r="BD8" s="947">
        <f t="shared" si="17"/>
        <v>0</v>
      </c>
      <c r="BE8" s="946"/>
      <c r="BF8" s="947">
        <f>+U8</f>
        <v>0</v>
      </c>
      <c r="BG8" s="947">
        <f>+IF(AND(BH7+BF8+MAX((BH7*(LIBOR!AA9)*(D8-D7)/360)+BY8,financing!$C$16-SUM(reserves!BG$6:BG7))-reserves!AD8&lt;=0,financing!$L$17&gt;=0),MAX((BH7*(LIBOR!AA9)*(D8-D7)/360)+BY8,financing!$C$16-SUM(reserves!BG$6:BG7)),(BH7*(LIBOR!AA9)*(D8-D7)/360)+BY8)</f>
        <v>0</v>
      </c>
      <c r="BH8" s="947">
        <f t="shared" si="18"/>
        <v>0</v>
      </c>
      <c r="BI8" s="946"/>
      <c r="BJ8" s="937"/>
      <c r="BK8" s="938">
        <f t="shared" si="19"/>
        <v>46326</v>
      </c>
      <c r="BL8" s="939">
        <f>-S8+AJ8+AF8-AX8+AH8+AG8-BB8-BF8+'Development Cash Flow'!Y8</f>
        <v>-31736.060430274469</v>
      </c>
      <c r="BM8" s="940"/>
      <c r="BN8" s="941">
        <f t="shared" si="8"/>
        <v>-31736.060430274469</v>
      </c>
      <c r="BO8" s="940"/>
      <c r="BP8" s="942">
        <f t="shared" si="9"/>
        <v>0</v>
      </c>
      <c r="BS8" s="949" t="e">
        <f t="shared" si="20"/>
        <v>#DIV/0!</v>
      </c>
      <c r="BT8" s="922">
        <f>+IF(SUM(BT$5:BT7)&lt;1,IF(BU8=MAX($BU$6:$BU$54),1,0),0)</f>
        <v>0</v>
      </c>
      <c r="BU8" s="922">
        <f t="shared" si="21"/>
        <v>840790.62086054892</v>
      </c>
      <c r="BV8" s="943" t="str">
        <f t="shared" si="10"/>
        <v/>
      </c>
      <c r="BW8" s="922" t="str">
        <f t="shared" si="11"/>
        <v/>
      </c>
      <c r="BY8" s="208">
        <f>ROUND(IF(A8="Dev",IF(AND(BK8&gt;general!$D$23,SUM($BZ$6:$BZ7)&lt;1,financing!$L$15&gt;BH7+BF8),financing!$L$16*(BK8-BK7)/360*(financing!$L$15-BH7-BF8),0),0),-2)</f>
        <v>0</v>
      </c>
      <c r="BZ8" s="909">
        <f>+IF(AND(BH8&gt;=financing!$L$15,SUM(BZ$6:BZ7)=0),1,0)</f>
        <v>0</v>
      </c>
      <c r="CA8" s="950">
        <f t="shared" si="22"/>
        <v>0</v>
      </c>
      <c r="CD8" s="914">
        <f>SUM($S$6:S8)</f>
        <v>840790.62086054892</v>
      </c>
      <c r="CF8" s="208">
        <f>+IF(C8&lt;general!$C$22,0,IF(AND(C8=general!$C$22,OR(A8="Pred",A8="Dev")),SUM(S$6:S8),S8))</f>
        <v>31736.060430274469</v>
      </c>
    </row>
    <row r="9" spans="1:84" ht="16" outlineLevel="1">
      <c r="A9" s="906" t="str">
        <f>+'Development Cash Flow'!A9</f>
        <v>Pred</v>
      </c>
      <c r="B9" s="908"/>
      <c r="C9" s="944">
        <f>IF('Development Cash Flow'!D8&lt;general!$D$28,'Development Cash Flow'!C8+1,0)</f>
        <v>3</v>
      </c>
      <c r="D9" s="945">
        <f t="shared" si="23"/>
        <v>46356</v>
      </c>
      <c r="E9" s="945"/>
      <c r="F9" s="928">
        <f>'Development Cash Flow'!P9*D$4+SUM('Development Cash Flow'!Q9:T9)*F$4</f>
        <v>13486.65</v>
      </c>
      <c r="G9" s="928">
        <f>'Development Cash Flow'!AL9-F9</f>
        <v>52297.029477893513</v>
      </c>
      <c r="H9" s="928"/>
      <c r="I9" s="928"/>
      <c r="J9" s="931">
        <f>+financing!$D$54/12*reserves!BD8</f>
        <v>0</v>
      </c>
      <c r="K9" s="928">
        <f>IF(C9=0,0,IF(C9=sales!$D$32,financing!$E$12*financing!$F$11,IF(OR(C9&gt;general!$C$27,C9&lt;sales!$D$32),0,IF((C9-sales!$D$32)/12=ROUND((C9-sales!$D$32)/12,0),financing!$E$12*financing!$F$11,0))))</f>
        <v>0</v>
      </c>
      <c r="L9" s="928"/>
      <c r="M9" s="928">
        <f t="shared" ref="M9:M72" si="26">SUM(F9:K9)</f>
        <v>65783.679477893515</v>
      </c>
      <c r="N9" s="946"/>
      <c r="O9" s="946">
        <f>IF(D9=general!$D$21,financing!$F$30,0)</f>
        <v>0</v>
      </c>
      <c r="P9" s="946">
        <f>+MIN(IF(D9&lt;=general!$D$24,SUM(F$6:F9)-SUM(P$6:P8),reserves!F9),AR8)</f>
        <v>0</v>
      </c>
      <c r="Q9" s="946">
        <f>+MAX(MIN(SUM(G$6:$G9)-R9,AN8),0)</f>
        <v>0</v>
      </c>
      <c r="R9" s="946">
        <f>+IF(C9&gt;=sales!$D$36,'Development Cash Flow'!AL9,0)</f>
        <v>0</v>
      </c>
      <c r="S9" s="931">
        <f>IF(AND(A9=$A$5,C9&lt;financing!$D$55),M9-SUM(P9:R9,O9),MIN(M9-SUM(P9:R9,O9),financing!$F$10-SUM(S$5:S8)))</f>
        <v>65783.679477893515</v>
      </c>
      <c r="T9" s="931">
        <f>+MAX(MIN(IF(C9&gt;=financing!$D$55,M9-SUM(P9:S9)-J9,0),financing!$D$57-SUM(T$5:T8)),0)</f>
        <v>0</v>
      </c>
      <c r="U9" s="931">
        <f>+MAX(IF(C9&gt;=general!$C$23,M9-SUM(P9:T9),0)+IF(C9=general!$C$23,reserves!AZ8+AY9,0),0)</f>
        <v>0</v>
      </c>
      <c r="V9" s="946"/>
      <c r="W9" s="946">
        <f>SUMPRODUCT(--($C9=sales!$C$50:$C$54),sales!$F$50:$F$54)</f>
        <v>0</v>
      </c>
      <c r="X9" s="946">
        <f t="shared" si="0"/>
        <v>0</v>
      </c>
      <c r="Y9" s="946">
        <f t="shared" si="1"/>
        <v>0</v>
      </c>
      <c r="Z9" s="946">
        <f t="shared" si="2"/>
        <v>0</v>
      </c>
      <c r="AA9" s="946"/>
      <c r="AB9" s="932" cm="1">
        <f t="array" ref="AB9">SUMPRODUCT(--(C9=sales!$D$22:$D$27),sales!$G$22:$G$27)</f>
        <v>0</v>
      </c>
      <c r="AC9" s="946"/>
      <c r="AD9" s="931">
        <f t="shared" si="3"/>
        <v>0</v>
      </c>
      <c r="AE9" s="932"/>
      <c r="AF9" s="932">
        <f t="shared" si="24"/>
        <v>0</v>
      </c>
      <c r="AG9" s="932">
        <f t="shared" si="25"/>
        <v>0</v>
      </c>
      <c r="AH9" s="931">
        <f t="shared" si="12"/>
        <v>0</v>
      </c>
      <c r="AI9" s="932"/>
      <c r="AJ9" s="931">
        <f t="shared" si="4"/>
        <v>0</v>
      </c>
      <c r="AK9" s="946"/>
      <c r="AL9" s="947">
        <f>+IF(financing!$C$12="YES",'Development Cash Flow'!M9,0)</f>
        <v>0</v>
      </c>
      <c r="AM9" s="947">
        <f t="shared" si="5"/>
        <v>0</v>
      </c>
      <c r="AN9" s="947">
        <f t="shared" ref="AN9:AN39" si="27">+AN8+AL9-AM9</f>
        <v>0</v>
      </c>
      <c r="AO9" s="946"/>
      <c r="AP9" s="947">
        <f>+SUM('Development Cash Flow'!G9:J9)-'Development Cash Flow'!M9</f>
        <v>0</v>
      </c>
      <c r="AQ9" s="947">
        <f t="shared" si="6"/>
        <v>0</v>
      </c>
      <c r="AR9" s="947">
        <f t="shared" ref="AR9:AR39" si="28">+AR8+AP9-AQ9</f>
        <v>0</v>
      </c>
      <c r="AS9" s="946"/>
      <c r="AT9" s="947">
        <f t="shared" si="13"/>
        <v>27319600</v>
      </c>
      <c r="AU9" s="947">
        <f t="shared" si="14"/>
        <v>0</v>
      </c>
      <c r="AV9" s="948">
        <f t="shared" ref="AV9:AV39" si="29">+IF(AT9=0,0,AU9/AT9)</f>
        <v>0</v>
      </c>
      <c r="AW9" s="946"/>
      <c r="AX9" s="947">
        <f t="shared" si="7"/>
        <v>0</v>
      </c>
      <c r="AY9" s="947">
        <f>+AZ8*financing!$E$30/12</f>
        <v>20304.696137152776</v>
      </c>
      <c r="AZ9" s="947">
        <f t="shared" si="15"/>
        <v>2235362.4565538191</v>
      </c>
      <c r="BA9" s="946"/>
      <c r="BB9" s="947">
        <f t="shared" si="16"/>
        <v>0</v>
      </c>
      <c r="BC9" s="947">
        <f>+IF(AND(BD8+BB9+MAX(BD8*financing!$E$15/12,financing!$D$59-SUM(reserves!BC$6:BC8)-SUM(J$6:J9))-reserves!AD9&lt;=0,financing!$D$58&gt;=0),MAX(BD8*financing!$E$15/12,financing!$D$59-SUM(reserves!BC$6:BC8)-SUM(J$6:J9)),BD8*financing!$E$15/12)</f>
        <v>0</v>
      </c>
      <c r="BD9" s="947">
        <f t="shared" si="17"/>
        <v>0</v>
      </c>
      <c r="BE9" s="946"/>
      <c r="BF9" s="947">
        <f t="shared" ref="BF9:BF39" si="30">+U9</f>
        <v>0</v>
      </c>
      <c r="BG9" s="947">
        <f>+IF(AND(BH8+BF9+MAX((BH8*(LIBOR!AA10)*(D9-D8)/360)+BY9,financing!$C$16-SUM(reserves!BG$6:BG8))-reserves!AD9&lt;=0,financing!$L$17&gt;=0),MAX((BH8*(LIBOR!AA10)*(D9-D8)/360)+BY9,financing!$C$16-SUM(reserves!BG$6:BG8)),(BH8*(LIBOR!AA10)*(D9-D8)/360)+BY9)</f>
        <v>0</v>
      </c>
      <c r="BH9" s="947">
        <f t="shared" si="18"/>
        <v>0</v>
      </c>
      <c r="BI9" s="946"/>
      <c r="BJ9" s="937"/>
      <c r="BK9" s="938">
        <f t="shared" si="19"/>
        <v>46356</v>
      </c>
      <c r="BL9" s="939">
        <f>-S9+AJ9+AF9-AX9+AH9+AG9-BB9-BF9+'Development Cash Flow'!Y9</f>
        <v>-65783.679477893515</v>
      </c>
      <c r="BM9" s="940"/>
      <c r="BN9" s="941">
        <f t="shared" si="8"/>
        <v>-65783.679477893515</v>
      </c>
      <c r="BO9" s="940"/>
      <c r="BP9" s="942">
        <f t="shared" si="9"/>
        <v>0</v>
      </c>
      <c r="BS9" s="949" t="e">
        <f t="shared" si="20"/>
        <v>#DIV/0!</v>
      </c>
      <c r="BT9" s="922">
        <f>+IF(SUM(BT$5:BT8)&lt;1,IF(BU9=MAX($BU$6:$BU$54),1,0),0)</f>
        <v>0</v>
      </c>
      <c r="BU9" s="922">
        <f t="shared" si="21"/>
        <v>906574.30033844244</v>
      </c>
      <c r="BV9" s="943" t="str">
        <f t="shared" si="10"/>
        <v/>
      </c>
      <c r="BW9" s="922" t="str">
        <f t="shared" si="11"/>
        <v/>
      </c>
      <c r="BY9" s="208">
        <f>ROUND(IF(A9="Dev",IF(AND(BK9&gt;general!$D$23,SUM($BZ$6:$BZ8)&lt;1,financing!$L$15&gt;BH8+BF9),financing!$L$16*(BK9-BK8)/360*(financing!$L$15-BH8-BF9),0),0),-2)</f>
        <v>0</v>
      </c>
      <c r="BZ9" s="909">
        <f>+IF(AND(BH9&gt;=financing!$L$15,SUM(BZ$6:BZ8)=0),1,0)</f>
        <v>0</v>
      </c>
      <c r="CA9" s="950">
        <f t="shared" si="22"/>
        <v>0</v>
      </c>
      <c r="CD9" s="914">
        <f>SUM($S$6:S9)</f>
        <v>906574.30033844244</v>
      </c>
      <c r="CF9" s="208">
        <f>+IF(C9&lt;general!$C$22,0,IF(AND(C9=general!$C$22,OR(A9="Pred",A9="Dev")),SUM(S$6:S9),S9))</f>
        <v>65783.679477893515</v>
      </c>
    </row>
    <row r="10" spans="1:84" ht="16" outlineLevel="1">
      <c r="A10" s="906" t="str">
        <f>+'Development Cash Flow'!A10</f>
        <v>Pred</v>
      </c>
      <c r="B10" s="908"/>
      <c r="C10" s="944">
        <f>IF('Development Cash Flow'!D9&lt;general!$D$28,'Development Cash Flow'!C9+1,0)</f>
        <v>4</v>
      </c>
      <c r="D10" s="945">
        <f t="shared" si="23"/>
        <v>46387</v>
      </c>
      <c r="E10" s="945"/>
      <c r="F10" s="928">
        <f>'Development Cash Flow'!P10*D$4+SUM('Development Cash Flow'!Q10:T10)*F$4</f>
        <v>13486.65</v>
      </c>
      <c r="G10" s="928">
        <f>'Development Cash Flow'!AL10-F10</f>
        <v>18249.410430274467</v>
      </c>
      <c r="H10" s="928"/>
      <c r="I10" s="928"/>
      <c r="J10" s="931">
        <f>+financing!$D$54/12*reserves!BD9</f>
        <v>0</v>
      </c>
      <c r="K10" s="928">
        <f>IF(C10=0,0,IF(C10=sales!$D$32,financing!$E$12*financing!$F$11,IF(OR(C10&gt;general!$C$27,C10&lt;sales!$D$32),0,IF((C10-sales!$D$32)/12=ROUND((C10-sales!$D$32)/12,0),financing!$E$12*financing!$F$11,0))))</f>
        <v>0</v>
      </c>
      <c r="L10" s="928"/>
      <c r="M10" s="928">
        <f t="shared" si="26"/>
        <v>31736.060430274469</v>
      </c>
      <c r="N10" s="946"/>
      <c r="O10" s="946">
        <f>IF(D10=general!$D$21,financing!$F$30,0)</f>
        <v>0</v>
      </c>
      <c r="P10" s="946">
        <f>+MIN(IF(D10&lt;=general!$D$24,SUM(F$6:F10)-SUM(P$6:P9),reserves!F10),AR9)</f>
        <v>0</v>
      </c>
      <c r="Q10" s="946">
        <f>+MAX(MIN(SUM(G$6:$G10)-R10,AN9),0)</f>
        <v>0</v>
      </c>
      <c r="R10" s="946">
        <f>+IF(C10&gt;=sales!$D$36,'Development Cash Flow'!AL10,0)</f>
        <v>0</v>
      </c>
      <c r="S10" s="931">
        <f>IF(AND(A10=$A$5,C10&lt;financing!$D$55),M10-SUM(P10:R10,O10),MIN(M10-SUM(P10:R10,O10),financing!$F$10-SUM(S$5:S9)))</f>
        <v>31736.060430274469</v>
      </c>
      <c r="T10" s="931">
        <f>+MAX(MIN(IF(C10&gt;=financing!$D$55,M10-SUM(P10:S10)-J10,0),financing!$D$57-SUM(T$5:T9)),0)</f>
        <v>0</v>
      </c>
      <c r="U10" s="931">
        <f>+MAX(IF(C10&gt;=general!$C$23,M10-SUM(P10:T10),0)+IF(C10=general!$C$23,reserves!AZ9+AY10,0),0)</f>
        <v>0</v>
      </c>
      <c r="V10" s="946"/>
      <c r="W10" s="946">
        <f>SUMPRODUCT(--($C10=sales!$C$50:$C$54),sales!$F$50:$F$54)</f>
        <v>0</v>
      </c>
      <c r="X10" s="946">
        <f t="shared" si="0"/>
        <v>0</v>
      </c>
      <c r="Y10" s="946">
        <f t="shared" si="1"/>
        <v>0</v>
      </c>
      <c r="Z10" s="946">
        <f t="shared" si="2"/>
        <v>0</v>
      </c>
      <c r="AA10" s="946"/>
      <c r="AB10" s="932" cm="1">
        <f t="array" ref="AB10">SUMPRODUCT(--(C10=sales!$D$22:$D$27),sales!$G$22:$G$27)</f>
        <v>0</v>
      </c>
      <c r="AC10" s="946"/>
      <c r="AD10" s="931">
        <f t="shared" si="3"/>
        <v>0</v>
      </c>
      <c r="AE10" s="932"/>
      <c r="AF10" s="932">
        <f t="shared" si="24"/>
        <v>0</v>
      </c>
      <c r="AG10" s="932">
        <f t="shared" si="25"/>
        <v>0</v>
      </c>
      <c r="AH10" s="931">
        <f t="shared" si="12"/>
        <v>0</v>
      </c>
      <c r="AI10" s="932"/>
      <c r="AJ10" s="931">
        <f t="shared" si="4"/>
        <v>0</v>
      </c>
      <c r="AK10" s="946"/>
      <c r="AL10" s="947">
        <f>+IF(financing!$C$12="YES",'Development Cash Flow'!M10,0)</f>
        <v>0</v>
      </c>
      <c r="AM10" s="947">
        <f t="shared" si="5"/>
        <v>0</v>
      </c>
      <c r="AN10" s="947">
        <f t="shared" si="27"/>
        <v>0</v>
      </c>
      <c r="AO10" s="946"/>
      <c r="AP10" s="947">
        <f>+SUM('Development Cash Flow'!G10:J10)-'Development Cash Flow'!M10</f>
        <v>0</v>
      </c>
      <c r="AQ10" s="947">
        <f t="shared" si="6"/>
        <v>0</v>
      </c>
      <c r="AR10" s="947">
        <f t="shared" si="28"/>
        <v>0</v>
      </c>
      <c r="AS10" s="946"/>
      <c r="AT10" s="947">
        <f t="shared" si="13"/>
        <v>27319600</v>
      </c>
      <c r="AU10" s="947">
        <f t="shared" si="14"/>
        <v>0</v>
      </c>
      <c r="AV10" s="948">
        <f t="shared" si="29"/>
        <v>0</v>
      </c>
      <c r="AW10" s="946"/>
      <c r="AX10" s="947">
        <f t="shared" si="7"/>
        <v>0</v>
      </c>
      <c r="AY10" s="947">
        <f>+AZ9*financing!$E$30/12</f>
        <v>20490.822518410008</v>
      </c>
      <c r="AZ10" s="947">
        <f t="shared" si="15"/>
        <v>2255853.2790722293</v>
      </c>
      <c r="BA10" s="946"/>
      <c r="BB10" s="947">
        <f t="shared" si="16"/>
        <v>0</v>
      </c>
      <c r="BC10" s="947">
        <f>+IF(AND(BD9+BB10+MAX(BD9*financing!$E$15/12,financing!$D$59-SUM(reserves!BC$6:BC9)-SUM(J$6:J10))-reserves!AD10&lt;=0,financing!$D$58&gt;=0),MAX(BD9*financing!$E$15/12,financing!$D$59-SUM(reserves!BC$6:BC9)-SUM(J$6:J10)),BD9*financing!$E$15/12)</f>
        <v>0</v>
      </c>
      <c r="BD10" s="947">
        <f t="shared" si="17"/>
        <v>0</v>
      </c>
      <c r="BE10" s="946"/>
      <c r="BF10" s="947">
        <f t="shared" si="30"/>
        <v>0</v>
      </c>
      <c r="BG10" s="947">
        <f>+IF(AND(BH9+BF10+MAX((BH9*(LIBOR!AA11)*(D10-D9)/360)+BY10,financing!$C$16-SUM(reserves!BG$6:BG9))-reserves!AD10&lt;=0,financing!$L$17&gt;=0),MAX((BH9*(LIBOR!AA11)*(D10-D9)/360)+BY10,financing!$C$16-SUM(reserves!BG$6:BG9)),(BH9*(LIBOR!AA11)*(D10-D9)/360)+BY10)</f>
        <v>0</v>
      </c>
      <c r="BH10" s="947">
        <f t="shared" si="18"/>
        <v>0</v>
      </c>
      <c r="BI10" s="946"/>
      <c r="BJ10" s="937"/>
      <c r="BK10" s="938">
        <f t="shared" si="19"/>
        <v>46387</v>
      </c>
      <c r="BL10" s="939">
        <f>-S10+AJ10+AF10-AX10+AH10+AG10-BB10-BF10+'Development Cash Flow'!Y10</f>
        <v>-31736.060430274469</v>
      </c>
      <c r="BM10" s="940"/>
      <c r="BN10" s="941">
        <f t="shared" si="8"/>
        <v>-31736.060430274469</v>
      </c>
      <c r="BO10" s="940"/>
      <c r="BP10" s="942">
        <f t="shared" si="9"/>
        <v>0</v>
      </c>
      <c r="BS10" s="949" t="e">
        <f t="shared" si="20"/>
        <v>#DIV/0!</v>
      </c>
      <c r="BT10" s="922">
        <f>+IF(SUM(BT$5:BT9)&lt;1,IF(BU10=MAX($BU$6:$BU$54),1,0),0)</f>
        <v>0</v>
      </c>
      <c r="BU10" s="922">
        <f t="shared" si="21"/>
        <v>938310.3607687169</v>
      </c>
      <c r="BV10" s="943" t="str">
        <f t="shared" si="10"/>
        <v/>
      </c>
      <c r="BW10" s="922" t="str">
        <f t="shared" si="11"/>
        <v/>
      </c>
      <c r="BY10" s="208">
        <f>ROUND(IF(A10="Dev",IF(AND(BK10&gt;general!$D$23,SUM($BZ$6:$BZ9)&lt;1,financing!$L$15&gt;BH9+BF10),financing!$L$16*(BK10-BK9)/360*(financing!$L$15-BH9-BF10),0),0),-2)</f>
        <v>0</v>
      </c>
      <c r="BZ10" s="909">
        <f>+IF(AND(BH10&gt;=financing!$L$15,SUM(BZ$6:BZ9)=0),1,0)</f>
        <v>0</v>
      </c>
      <c r="CA10" s="950">
        <f t="shared" si="22"/>
        <v>0</v>
      </c>
      <c r="CD10" s="914">
        <f>SUM($S$6:S10)</f>
        <v>938310.3607687169</v>
      </c>
      <c r="CF10" s="208">
        <f>+IF(C10&lt;general!$C$22,0,IF(AND(C10=general!$C$22,OR(A10="Pred",A10="Dev")),SUM(S$6:S10),S10))</f>
        <v>31736.060430274469</v>
      </c>
    </row>
    <row r="11" spans="1:84" ht="16" outlineLevel="1">
      <c r="A11" s="906" t="str">
        <f>+'Development Cash Flow'!A11</f>
        <v>Pred</v>
      </c>
      <c r="B11" s="908"/>
      <c r="C11" s="944">
        <f>IF('Development Cash Flow'!D10&lt;general!$D$28,'Development Cash Flow'!C10+1,0)</f>
        <v>5</v>
      </c>
      <c r="D11" s="945">
        <f t="shared" si="23"/>
        <v>46418</v>
      </c>
      <c r="E11" s="945"/>
      <c r="F11" s="928">
        <f>'Development Cash Flow'!P11*D$4+SUM('Development Cash Flow'!Q11:T11)*F$4</f>
        <v>13486.65</v>
      </c>
      <c r="G11" s="928">
        <f>'Development Cash Flow'!AL11-F11</f>
        <v>18249.410430274467</v>
      </c>
      <c r="H11" s="928"/>
      <c r="I11" s="928"/>
      <c r="J11" s="931">
        <f>+financing!$D$54/12*reserves!BD10</f>
        <v>0</v>
      </c>
      <c r="K11" s="928">
        <f>IF(C11=0,0,IF(C11=sales!$D$32,financing!$E$12*financing!$F$11,IF(OR(C11&gt;general!$C$27,C11&lt;sales!$D$32),0,IF((C11-sales!$D$32)/12=ROUND((C11-sales!$D$32)/12,0),financing!$E$12*financing!$F$11,0))))</f>
        <v>0</v>
      </c>
      <c r="L11" s="928"/>
      <c r="M11" s="928">
        <f t="shared" si="26"/>
        <v>31736.060430274469</v>
      </c>
      <c r="N11" s="946"/>
      <c r="O11" s="946">
        <f>IF(D11=general!$D$21,financing!$F$30,0)</f>
        <v>0</v>
      </c>
      <c r="P11" s="946">
        <f>+MIN(IF(D11&lt;=general!$D$24,SUM(F$6:F11)-SUM(P$6:P10),reserves!F11),AR10)</f>
        <v>0</v>
      </c>
      <c r="Q11" s="946">
        <f>+MAX(MIN(SUM(G$6:$G11)-R11,AN10),0)</f>
        <v>0</v>
      </c>
      <c r="R11" s="946">
        <f>+IF(C11&gt;=sales!$D$36,'Development Cash Flow'!AL11,0)</f>
        <v>0</v>
      </c>
      <c r="S11" s="931">
        <f>IF(AND(A11=$A$5,C11&lt;financing!$D$55),M11-SUM(P11:R11,O11),MIN(M11-SUM(P11:R11,O11),financing!$F$10-SUM(S$5:S10)))</f>
        <v>31736.060430274469</v>
      </c>
      <c r="T11" s="931">
        <f>+MAX(MIN(IF(C11&gt;=financing!$D$55,M11-SUM(P11:S11)-J11,0),financing!$D$57-SUM(T$5:T10)),0)</f>
        <v>0</v>
      </c>
      <c r="U11" s="931">
        <f>+MAX(IF(C11&gt;=general!$C$23,M11-SUM(P11:T11),0)+IF(C11=general!$C$23,reserves!AZ10+AY11,0),0)</f>
        <v>0</v>
      </c>
      <c r="V11" s="946"/>
      <c r="W11" s="946">
        <f>SUMPRODUCT(--($C11=sales!$C$50:$C$54),sales!$F$50:$F$54)</f>
        <v>0</v>
      </c>
      <c r="X11" s="946">
        <f t="shared" si="0"/>
        <v>0</v>
      </c>
      <c r="Y11" s="946">
        <f t="shared" si="1"/>
        <v>0</v>
      </c>
      <c r="Z11" s="946">
        <f t="shared" si="2"/>
        <v>0</v>
      </c>
      <c r="AA11" s="946"/>
      <c r="AB11" s="932" cm="1">
        <f t="array" ref="AB11">SUMPRODUCT(--(C11=sales!$D$22:$D$27),sales!$G$22:$G$27)</f>
        <v>0</v>
      </c>
      <c r="AC11" s="946"/>
      <c r="AD11" s="931">
        <f t="shared" si="3"/>
        <v>0</v>
      </c>
      <c r="AE11" s="932"/>
      <c r="AF11" s="932">
        <f t="shared" si="24"/>
        <v>0</v>
      </c>
      <c r="AG11" s="932">
        <f t="shared" si="25"/>
        <v>0</v>
      </c>
      <c r="AH11" s="931">
        <f t="shared" si="12"/>
        <v>0</v>
      </c>
      <c r="AI11" s="932"/>
      <c r="AJ11" s="931">
        <f t="shared" si="4"/>
        <v>0</v>
      </c>
      <c r="AK11" s="946"/>
      <c r="AL11" s="947">
        <f>+IF(financing!$C$12="YES",'Development Cash Flow'!M11,0)</f>
        <v>0</v>
      </c>
      <c r="AM11" s="947">
        <f t="shared" si="5"/>
        <v>0</v>
      </c>
      <c r="AN11" s="947">
        <f t="shared" si="27"/>
        <v>0</v>
      </c>
      <c r="AO11" s="946"/>
      <c r="AP11" s="947">
        <f>+SUM('Development Cash Flow'!G11:J11)-'Development Cash Flow'!M11</f>
        <v>0</v>
      </c>
      <c r="AQ11" s="947">
        <f t="shared" si="6"/>
        <v>0</v>
      </c>
      <c r="AR11" s="947">
        <f t="shared" si="28"/>
        <v>0</v>
      </c>
      <c r="AS11" s="946"/>
      <c r="AT11" s="947">
        <f t="shared" si="13"/>
        <v>27319600</v>
      </c>
      <c r="AU11" s="947">
        <f t="shared" si="14"/>
        <v>0</v>
      </c>
      <c r="AV11" s="948">
        <f t="shared" si="29"/>
        <v>0</v>
      </c>
      <c r="AW11" s="946"/>
      <c r="AX11" s="947">
        <f t="shared" si="7"/>
        <v>0</v>
      </c>
      <c r="AY11" s="947">
        <f>+AZ10*financing!$E$30/12</f>
        <v>20678.655058162101</v>
      </c>
      <c r="AZ11" s="947">
        <f t="shared" si="15"/>
        <v>2276531.9341303916</v>
      </c>
      <c r="BA11" s="946"/>
      <c r="BB11" s="947">
        <f t="shared" si="16"/>
        <v>0</v>
      </c>
      <c r="BC11" s="947">
        <f>+IF(AND(BD10+BB11+MAX(BD10*financing!$E$15/12,financing!$D$59-SUM(reserves!BC$6:BC10)-SUM(J$6:J11))-reserves!AD11&lt;=0,financing!$D$58&gt;=0),MAX(BD10*financing!$E$15/12,financing!$D$59-SUM(reserves!BC$6:BC10)-SUM(J$6:J11)),BD10*financing!$E$15/12)</f>
        <v>0</v>
      </c>
      <c r="BD11" s="947">
        <f t="shared" si="17"/>
        <v>0</v>
      </c>
      <c r="BE11" s="946"/>
      <c r="BF11" s="947">
        <f t="shared" si="30"/>
        <v>0</v>
      </c>
      <c r="BG11" s="947">
        <f>+IF(AND(BH10+BF11+MAX((BH10*(LIBOR!AA12)*(D11-D10)/360)+BY11,financing!$C$16-SUM(reserves!BG$6:BG10))-reserves!AD11&lt;=0,financing!$L$17&gt;=0),MAX((BH10*(LIBOR!AA12)*(D11-D10)/360)+BY11,financing!$C$16-SUM(reserves!BG$6:BG10)),(BH10*(LIBOR!AA12)*(D11-D10)/360)+BY11)</f>
        <v>0</v>
      </c>
      <c r="BH11" s="947">
        <f t="shared" si="18"/>
        <v>0</v>
      </c>
      <c r="BI11" s="946"/>
      <c r="BJ11" s="937"/>
      <c r="BK11" s="938">
        <f t="shared" si="19"/>
        <v>46418</v>
      </c>
      <c r="BL11" s="939">
        <f>-S11+AJ11+AF11-AX11+AH11+AG11-BB11-BF11+'Development Cash Flow'!Y11</f>
        <v>-31736.060430274469</v>
      </c>
      <c r="BM11" s="940"/>
      <c r="BN11" s="941">
        <f t="shared" si="8"/>
        <v>-31736.060430274469</v>
      </c>
      <c r="BO11" s="940"/>
      <c r="BP11" s="942">
        <f t="shared" si="9"/>
        <v>0</v>
      </c>
      <c r="BS11" s="949" t="e">
        <f t="shared" si="20"/>
        <v>#DIV/0!</v>
      </c>
      <c r="BT11" s="922">
        <f>+IF(SUM(BT$5:BT10)&lt;1,IF(BU11=MAX($BU$6:$BU$54),1,0),0)</f>
        <v>0</v>
      </c>
      <c r="BU11" s="922">
        <f t="shared" si="21"/>
        <v>970046.42119899136</v>
      </c>
      <c r="BV11" s="943" t="str">
        <f t="shared" si="10"/>
        <v/>
      </c>
      <c r="BW11" s="922" t="str">
        <f t="shared" si="11"/>
        <v/>
      </c>
      <c r="BY11" s="208">
        <f>ROUND(IF(A11="Dev",IF(AND(BK11&gt;general!$D$23,SUM($BZ$6:$BZ10)&lt;1,financing!$L$15&gt;BH10+BF11),financing!$L$16*(BK11-BK10)/360*(financing!$L$15-BH10-BF11),0),0),-2)</f>
        <v>0</v>
      </c>
      <c r="BZ11" s="909">
        <f>+IF(AND(BH11&gt;=financing!$L$15,SUM(BZ$6:BZ10)=0),1,0)</f>
        <v>0</v>
      </c>
      <c r="CA11" s="950">
        <f t="shared" si="22"/>
        <v>0</v>
      </c>
      <c r="CD11" s="914">
        <f>SUM($S$6:S11)</f>
        <v>970046.42119899136</v>
      </c>
      <c r="CF11" s="208">
        <f>+IF(C11&lt;general!$C$22,0,IF(AND(C11=general!$C$22,OR(A11="Pred",A11="Dev")),SUM(S$6:S11),S11))</f>
        <v>31736.060430274469</v>
      </c>
    </row>
    <row r="12" spans="1:84" ht="16" outlineLevel="1">
      <c r="A12" s="906" t="str">
        <f>+'Development Cash Flow'!A12</f>
        <v>Pred</v>
      </c>
      <c r="B12" s="908"/>
      <c r="C12" s="944">
        <f>IF('Development Cash Flow'!D11&lt;general!$D$28,'Development Cash Flow'!C11+1,0)</f>
        <v>6</v>
      </c>
      <c r="D12" s="945">
        <f t="shared" si="23"/>
        <v>46446</v>
      </c>
      <c r="E12" s="945"/>
      <c r="F12" s="928">
        <f>'Development Cash Flow'!P12*D$4+SUM('Development Cash Flow'!Q12:T12)*F$4</f>
        <v>13486.65</v>
      </c>
      <c r="G12" s="928">
        <f>'Development Cash Flow'!AL12-F12</f>
        <v>18249.410430274467</v>
      </c>
      <c r="H12" s="928"/>
      <c r="I12" s="928"/>
      <c r="J12" s="931">
        <f>+financing!$D$54/12*reserves!BD11</f>
        <v>0</v>
      </c>
      <c r="K12" s="928">
        <f>IF(C12=0,0,IF(C12=sales!$D$32,financing!$E$12*financing!$F$11,IF(OR(C12&gt;general!$C$27,C12&lt;sales!$D$32),0,IF((C12-sales!$D$32)/12=ROUND((C12-sales!$D$32)/12,0),financing!$E$12*financing!$F$11,0))))</f>
        <v>0</v>
      </c>
      <c r="L12" s="928"/>
      <c r="M12" s="928">
        <f t="shared" si="26"/>
        <v>31736.060430274469</v>
      </c>
      <c r="N12" s="946"/>
      <c r="O12" s="946">
        <f>IF(D12=general!$D$21,financing!$F$30,0)</f>
        <v>0</v>
      </c>
      <c r="P12" s="946">
        <f>+MIN(IF(D12&lt;=general!$D$24,SUM(F$6:F12)-SUM(P$6:P11),reserves!F12),AR11)</f>
        <v>0</v>
      </c>
      <c r="Q12" s="946">
        <f>+MAX(MIN(SUM(G$6:$G12)-R12,AN11),0)</f>
        <v>0</v>
      </c>
      <c r="R12" s="946">
        <f>+IF(C12&gt;=sales!$D$36,'Development Cash Flow'!AL12,0)</f>
        <v>0</v>
      </c>
      <c r="S12" s="931">
        <f>IF(AND(A12=$A$5,C12&lt;financing!$D$55),M12-SUM(P12:R12,O12),MIN(M12-SUM(P12:R12,O12),financing!$F$10-SUM(S$5:S11)))</f>
        <v>31736.060430274469</v>
      </c>
      <c r="T12" s="931">
        <f>+MAX(MIN(IF(C12&gt;=financing!$D$55,M12-SUM(P12:S12)-J12,0),financing!$D$57-SUM(T$5:T11)),0)</f>
        <v>0</v>
      </c>
      <c r="U12" s="931">
        <f>+MAX(IF(C12&gt;=general!$C$23,M12-SUM(P12:T12),0)+IF(C12=general!$C$23,reserves!AZ11+AY12,0),0)</f>
        <v>0</v>
      </c>
      <c r="V12" s="946"/>
      <c r="W12" s="946">
        <f>SUMPRODUCT(--($C12=sales!$C$50:$C$54),sales!$F$50:$F$54)</f>
        <v>0</v>
      </c>
      <c r="X12" s="946">
        <f t="shared" si="0"/>
        <v>0</v>
      </c>
      <c r="Y12" s="946">
        <f t="shared" si="1"/>
        <v>0</v>
      </c>
      <c r="Z12" s="946">
        <f t="shared" si="2"/>
        <v>0</v>
      </c>
      <c r="AA12" s="946"/>
      <c r="AB12" s="932" cm="1">
        <f t="array" ref="AB12">SUMPRODUCT(--(C12=sales!$D$22:$D$27),sales!$G$22:$G$27)</f>
        <v>0</v>
      </c>
      <c r="AC12" s="946"/>
      <c r="AD12" s="931">
        <f t="shared" si="3"/>
        <v>0</v>
      </c>
      <c r="AE12" s="932"/>
      <c r="AF12" s="932">
        <f t="shared" si="24"/>
        <v>0</v>
      </c>
      <c r="AG12" s="932">
        <f t="shared" si="25"/>
        <v>0</v>
      </c>
      <c r="AH12" s="931">
        <f t="shared" si="12"/>
        <v>0</v>
      </c>
      <c r="AI12" s="932"/>
      <c r="AJ12" s="931">
        <f t="shared" si="4"/>
        <v>0</v>
      </c>
      <c r="AK12" s="946"/>
      <c r="AL12" s="947">
        <f>+IF(financing!$C$12="YES",'Development Cash Flow'!M12,0)</f>
        <v>0</v>
      </c>
      <c r="AM12" s="947">
        <f t="shared" si="5"/>
        <v>0</v>
      </c>
      <c r="AN12" s="947">
        <f t="shared" si="27"/>
        <v>0</v>
      </c>
      <c r="AO12" s="946"/>
      <c r="AP12" s="947">
        <f>+SUM('Development Cash Flow'!G12:J12)-'Development Cash Flow'!M12</f>
        <v>0</v>
      </c>
      <c r="AQ12" s="947">
        <f t="shared" si="6"/>
        <v>0</v>
      </c>
      <c r="AR12" s="947">
        <f t="shared" si="28"/>
        <v>0</v>
      </c>
      <c r="AS12" s="946"/>
      <c r="AT12" s="947">
        <f t="shared" si="13"/>
        <v>27319600</v>
      </c>
      <c r="AU12" s="947">
        <f t="shared" si="14"/>
        <v>0</v>
      </c>
      <c r="AV12" s="948">
        <f t="shared" si="29"/>
        <v>0</v>
      </c>
      <c r="AW12" s="946"/>
      <c r="AX12" s="947">
        <f t="shared" si="7"/>
        <v>0</v>
      </c>
      <c r="AY12" s="947">
        <f>+AZ11*financing!$E$30/12</f>
        <v>20868.209396195256</v>
      </c>
      <c r="AZ12" s="947">
        <f t="shared" si="15"/>
        <v>2297400.1435265867</v>
      </c>
      <c r="BA12" s="946"/>
      <c r="BB12" s="947">
        <f t="shared" si="16"/>
        <v>0</v>
      </c>
      <c r="BC12" s="947">
        <f>+IF(AND(BD11+BB12+MAX(BD11*financing!$E$15/12,financing!$D$59-SUM(reserves!BC$6:BC11)-SUM(J$6:J12))-reserves!AD12&lt;=0,financing!$D$58&gt;=0),MAX(BD11*financing!$E$15/12,financing!$D$59-SUM(reserves!BC$6:BC11)-SUM(J$6:J12)),BD11*financing!$E$15/12)</f>
        <v>0</v>
      </c>
      <c r="BD12" s="947">
        <f t="shared" si="17"/>
        <v>0</v>
      </c>
      <c r="BE12" s="946"/>
      <c r="BF12" s="947">
        <f t="shared" si="30"/>
        <v>0</v>
      </c>
      <c r="BG12" s="947">
        <f>+IF(AND(BH11+BF12+MAX((BH11*(LIBOR!AA13)*(D12-D11)/360)+BY12,financing!$C$16-SUM(reserves!BG$6:BG11))-reserves!AD12&lt;=0,financing!$L$17&gt;=0),MAX((BH11*(LIBOR!AA13)*(D12-D11)/360)+BY12,financing!$C$16-SUM(reserves!BG$6:BG11)),(BH11*(LIBOR!AA13)*(D12-D11)/360)+BY12)</f>
        <v>0</v>
      </c>
      <c r="BH12" s="947">
        <f t="shared" si="18"/>
        <v>0</v>
      </c>
      <c r="BI12" s="946"/>
      <c r="BJ12" s="937"/>
      <c r="BK12" s="938">
        <f t="shared" si="19"/>
        <v>46446</v>
      </c>
      <c r="BL12" s="939">
        <f>-S12+AJ12+AF12-AX12+AH12+AG12-BB12-BF12+'Development Cash Flow'!Y12</f>
        <v>-31736.060430274469</v>
      </c>
      <c r="BM12" s="940"/>
      <c r="BN12" s="941">
        <f t="shared" si="8"/>
        <v>-31736.060430274469</v>
      </c>
      <c r="BO12" s="940"/>
      <c r="BP12" s="942">
        <f t="shared" si="9"/>
        <v>0</v>
      </c>
      <c r="BS12" s="949" t="e">
        <f t="shared" si="20"/>
        <v>#DIV/0!</v>
      </c>
      <c r="BT12" s="922">
        <f>+IF(SUM(BT$5:BT11)&lt;1,IF(BU12=MAX($BU$6:$BU$54),1,0),0)</f>
        <v>0</v>
      </c>
      <c r="BU12" s="922">
        <f t="shared" si="21"/>
        <v>1001782.4816292658</v>
      </c>
      <c r="BV12" s="943" t="str">
        <f t="shared" si="10"/>
        <v/>
      </c>
      <c r="BW12" s="922" t="str">
        <f t="shared" si="11"/>
        <v/>
      </c>
      <c r="BY12" s="208">
        <f>ROUND(IF(A12="Dev",IF(AND(BK12&gt;general!$D$23,SUM($BZ$6:$BZ11)&lt;1,financing!$L$15&gt;BH11+BF12),financing!$L$16*(BK12-BK11)/360*(financing!$L$15-BH11-BF12),0),0),-2)</f>
        <v>0</v>
      </c>
      <c r="BZ12" s="909">
        <f>+IF(AND(BH12&gt;=financing!$L$15,SUM(BZ$6:BZ11)=0),1,0)</f>
        <v>0</v>
      </c>
      <c r="CA12" s="950">
        <f t="shared" si="22"/>
        <v>0</v>
      </c>
      <c r="CD12" s="914">
        <f>SUM($S$6:S12)</f>
        <v>1001782.4816292658</v>
      </c>
      <c r="CF12" s="208">
        <f>+IF(C12&lt;general!$C$22,0,IF(AND(C12=general!$C$22,OR(A12="Pred",A12="Dev")),SUM(S$6:S12),S12))</f>
        <v>31736.060430274469</v>
      </c>
    </row>
    <row r="13" spans="1:84" ht="16" outlineLevel="1">
      <c r="A13" s="906" t="str">
        <f>+'Development Cash Flow'!A13</f>
        <v>Pred</v>
      </c>
      <c r="B13" s="908"/>
      <c r="C13" s="944">
        <f>IF('Development Cash Flow'!D12&lt;general!$D$28,'Development Cash Flow'!C12+1,0)</f>
        <v>7</v>
      </c>
      <c r="D13" s="945">
        <f t="shared" si="23"/>
        <v>46477</v>
      </c>
      <c r="E13" s="945"/>
      <c r="F13" s="928">
        <f>'Development Cash Flow'!P13*D$4+SUM('Development Cash Flow'!Q13:T13)*F$4</f>
        <v>13486.65</v>
      </c>
      <c r="G13" s="928">
        <f>'Development Cash Flow'!AL13-F13</f>
        <v>18249.410430274467</v>
      </c>
      <c r="H13" s="928"/>
      <c r="I13" s="928"/>
      <c r="J13" s="931">
        <f>+financing!$D$54/12*reserves!BD12</f>
        <v>0</v>
      </c>
      <c r="K13" s="928">
        <f>IF(C13=0,0,IF(C13=sales!$D$32,financing!$E$12*financing!$F$11,IF(OR(C13&gt;general!$C$27,C13&lt;sales!$D$32),0,IF((C13-sales!$D$32)/12=ROUND((C13-sales!$D$32)/12,0),financing!$E$12*financing!$F$11,0))))</f>
        <v>0</v>
      </c>
      <c r="L13" s="928"/>
      <c r="M13" s="928">
        <f t="shared" si="26"/>
        <v>31736.060430274469</v>
      </c>
      <c r="N13" s="946"/>
      <c r="O13" s="946">
        <f>IF(D13=general!$D$21,financing!$F$30,0)</f>
        <v>0</v>
      </c>
      <c r="P13" s="946">
        <f>+MIN(IF(D13&lt;=general!$D$24,SUM(F$6:F13)-SUM(P$6:P12),reserves!F13),AR12)</f>
        <v>0</v>
      </c>
      <c r="Q13" s="946">
        <f>+MAX(MIN(SUM(G$6:$G13)-R13,AN12,SUM(G$6:$G13)-SUM(Q$6:Q12)),0)</f>
        <v>0</v>
      </c>
      <c r="R13" s="946">
        <f>+IF(C13&gt;=sales!$D$36,'Development Cash Flow'!AL13,0)</f>
        <v>0</v>
      </c>
      <c r="S13" s="931">
        <f>IF(AND(A13=$A$5,C13&lt;financing!$D$55),M13-SUM(P13:R13,O13),MIN(M13-SUM(P13:R13,O13),financing!$F$10-SUM(S$5:S12)))</f>
        <v>31736.060430274469</v>
      </c>
      <c r="T13" s="931">
        <f>+MAX(MIN(IF(C13&gt;=financing!$D$55,M13-SUM(P13:S13)-J13,0),financing!$D$57-SUM(T$5:T12)),0)</f>
        <v>0</v>
      </c>
      <c r="U13" s="931">
        <f>+MAX(IF(C13&gt;=general!$C$23,M13-SUM(P13:T13),0)+IF(C13=general!$C$23,reserves!AZ12+AY13,0),0)</f>
        <v>0</v>
      </c>
      <c r="V13" s="946"/>
      <c r="W13" s="946">
        <f>SUMPRODUCT(--($C13=sales!$C$50:$C$54),sales!$F$50:$F$54)</f>
        <v>0</v>
      </c>
      <c r="X13" s="946">
        <f t="shared" si="0"/>
        <v>0</v>
      </c>
      <c r="Y13" s="946">
        <f t="shared" si="1"/>
        <v>0</v>
      </c>
      <c r="Z13" s="946">
        <f t="shared" si="2"/>
        <v>0</v>
      </c>
      <c r="AA13" s="946"/>
      <c r="AB13" s="932" cm="1">
        <f t="array" ref="AB13">SUMPRODUCT(--(C13=sales!$D$22:$D$27),sales!$G$22:$G$27)</f>
        <v>0</v>
      </c>
      <c r="AC13" s="946"/>
      <c r="AD13" s="931">
        <f t="shared" si="3"/>
        <v>0</v>
      </c>
      <c r="AE13" s="932"/>
      <c r="AF13" s="932">
        <f t="shared" si="24"/>
        <v>0</v>
      </c>
      <c r="AG13" s="932">
        <f t="shared" si="25"/>
        <v>0</v>
      </c>
      <c r="AH13" s="931">
        <f t="shared" si="12"/>
        <v>0</v>
      </c>
      <c r="AI13" s="932"/>
      <c r="AJ13" s="931">
        <f t="shared" si="4"/>
        <v>0</v>
      </c>
      <c r="AK13" s="946"/>
      <c r="AL13" s="947">
        <f>+IF(financing!$C$12="YES",'Development Cash Flow'!M13,0)</f>
        <v>0</v>
      </c>
      <c r="AM13" s="947">
        <f t="shared" si="5"/>
        <v>0</v>
      </c>
      <c r="AN13" s="947">
        <f t="shared" si="27"/>
        <v>0</v>
      </c>
      <c r="AO13" s="946"/>
      <c r="AP13" s="947">
        <f>+SUM('Development Cash Flow'!G13:J13)-'Development Cash Flow'!M13</f>
        <v>0</v>
      </c>
      <c r="AQ13" s="947">
        <f t="shared" si="6"/>
        <v>0</v>
      </c>
      <c r="AR13" s="947">
        <f t="shared" si="28"/>
        <v>0</v>
      </c>
      <c r="AS13" s="946"/>
      <c r="AT13" s="947">
        <f t="shared" si="13"/>
        <v>27319600</v>
      </c>
      <c r="AU13" s="947">
        <f t="shared" si="14"/>
        <v>0</v>
      </c>
      <c r="AV13" s="948">
        <f t="shared" si="29"/>
        <v>0</v>
      </c>
      <c r="AW13" s="946"/>
      <c r="AX13" s="947">
        <f t="shared" si="7"/>
        <v>0</v>
      </c>
      <c r="AY13" s="947">
        <f>+AZ12*financing!$E$30/12</f>
        <v>21059.501315660378</v>
      </c>
      <c r="AZ13" s="947">
        <f t="shared" si="15"/>
        <v>2318459.644842247</v>
      </c>
      <c r="BA13" s="946"/>
      <c r="BB13" s="947">
        <f t="shared" si="16"/>
        <v>0</v>
      </c>
      <c r="BC13" s="947">
        <f>+IF(AND(BD12+BB13+MAX(BD12*financing!$E$15/12,financing!$D$59-SUM(reserves!BC$6:BC12)-SUM(J$6:J13))-reserves!AD13&lt;=0,financing!$D$58&gt;=0),MAX(BD12*financing!$E$15/12,financing!$D$59-SUM(reserves!BC$6:BC12)-SUM(J$6:J13)),BD12*financing!$E$15/12)</f>
        <v>0</v>
      </c>
      <c r="BD13" s="947">
        <f t="shared" si="17"/>
        <v>0</v>
      </c>
      <c r="BE13" s="946"/>
      <c r="BF13" s="947">
        <f t="shared" si="30"/>
        <v>0</v>
      </c>
      <c r="BG13" s="947">
        <f>+IF(AND(BH12+BF13+MAX((BH12*(LIBOR!AA14)*(D13-D12)/360)+BY13,financing!$C$16-SUM(reserves!BG$6:BG12))-reserves!AD13&lt;=0,financing!$L$17&gt;=0),MAX((BH12*(LIBOR!AA14)*(D13-D12)/360)+BY13,financing!$C$16-SUM(reserves!BG$6:BG12)),(BH12*(LIBOR!AA14)*(D13-D12)/360)+BY13)</f>
        <v>0</v>
      </c>
      <c r="BH13" s="947">
        <f t="shared" si="18"/>
        <v>0</v>
      </c>
      <c r="BI13" s="946"/>
      <c r="BJ13" s="937"/>
      <c r="BK13" s="938">
        <f t="shared" si="19"/>
        <v>46477</v>
      </c>
      <c r="BL13" s="939">
        <f>-S13+AJ13+AF13-AX13+AH13+AG13-BB13-BF13+'Development Cash Flow'!Y13</f>
        <v>-31736.060430274469</v>
      </c>
      <c r="BM13" s="940"/>
      <c r="BN13" s="941">
        <f t="shared" si="8"/>
        <v>-31736.060430274469</v>
      </c>
      <c r="BO13" s="940"/>
      <c r="BP13" s="942">
        <f t="shared" si="9"/>
        <v>0</v>
      </c>
      <c r="BS13" s="949" t="e">
        <f t="shared" si="20"/>
        <v>#DIV/0!</v>
      </c>
      <c r="BT13" s="922">
        <f>+IF(SUM(BT$5:BT12)&lt;1,IF(BU13=MAX($BU$6:$BU$54),1,0),0)</f>
        <v>0</v>
      </c>
      <c r="BU13" s="922">
        <f t="shared" si="21"/>
        <v>1033518.5420595403</v>
      </c>
      <c r="BV13" s="943" t="str">
        <f t="shared" si="10"/>
        <v/>
      </c>
      <c r="BW13" s="922" t="str">
        <f t="shared" si="11"/>
        <v/>
      </c>
      <c r="BY13" s="208">
        <f>ROUND(IF(A13="Dev",IF(AND(BK13&gt;general!$D$23,SUM($BZ$6:$BZ12)&lt;1,financing!$L$15&gt;BH12+BF13),financing!$L$16*(BK13-BK12)/360*(financing!$L$15-BH12-BF13),0),0),-2)</f>
        <v>0</v>
      </c>
      <c r="BZ13" s="909">
        <f>+IF(AND(BH13&gt;=financing!$L$15,SUM(BZ$6:BZ12)=0),1,0)</f>
        <v>0</v>
      </c>
      <c r="CA13" s="950">
        <f t="shared" si="22"/>
        <v>0</v>
      </c>
      <c r="CD13" s="914">
        <f>SUM($S$6:S13)</f>
        <v>1033518.5420595403</v>
      </c>
      <c r="CF13" s="208">
        <f>+IF(C13&lt;general!$C$22,0,IF(AND(C13=general!$C$22,OR(A13="Pred",A13="Dev")),SUM(S$6:S13),S13))</f>
        <v>31736.060430274469</v>
      </c>
    </row>
    <row r="14" spans="1:84" ht="16" outlineLevel="1">
      <c r="A14" s="906" t="str">
        <f>+'Development Cash Flow'!A14</f>
        <v>Pred</v>
      </c>
      <c r="B14" s="908"/>
      <c r="C14" s="944">
        <f>IF('Development Cash Flow'!D13&lt;general!$D$28,'Development Cash Flow'!C13+1,0)</f>
        <v>8</v>
      </c>
      <c r="D14" s="945">
        <f t="shared" si="23"/>
        <v>46507</v>
      </c>
      <c r="E14" s="945"/>
      <c r="F14" s="928">
        <f>'Development Cash Flow'!P14*D$4+SUM('Development Cash Flow'!Q14:T14)*F$4</f>
        <v>13486.65</v>
      </c>
      <c r="G14" s="928">
        <f>'Development Cash Flow'!AL14-F14</f>
        <v>18249.410430274467</v>
      </c>
      <c r="H14" s="928"/>
      <c r="I14" s="928"/>
      <c r="J14" s="931">
        <f>+financing!$D$54/12*reserves!BD13</f>
        <v>0</v>
      </c>
      <c r="K14" s="928">
        <f>IF(C14=0,0,IF(C14=sales!$D$32,financing!$E$12*financing!$F$11,IF(OR(C14&gt;general!$C$27,C14&lt;sales!$D$32),0,IF((C14-sales!$D$32)/12=ROUND((C14-sales!$D$32)/12,0),financing!$E$12*financing!$F$11,0))))</f>
        <v>0</v>
      </c>
      <c r="L14" s="928"/>
      <c r="M14" s="928">
        <f t="shared" si="26"/>
        <v>31736.060430274469</v>
      </c>
      <c r="N14" s="946"/>
      <c r="O14" s="946">
        <f>IF(D14=general!$D$21,financing!$F$30,0)</f>
        <v>0</v>
      </c>
      <c r="P14" s="946">
        <f>+MIN(IF(D14&lt;=general!$D$24,SUM(F$6:F14)-SUM(P$6:P13),reserves!F14),AR13)</f>
        <v>0</v>
      </c>
      <c r="Q14" s="946">
        <f>+MAX(MIN(SUM(G$6:$G14)-R14,AN13,SUM(G$6:$G14)-SUM(Q$6:Q13)),0)</f>
        <v>0</v>
      </c>
      <c r="R14" s="946">
        <f>+IF(C14&gt;=sales!$D$36,'Development Cash Flow'!AL14,0)</f>
        <v>0</v>
      </c>
      <c r="S14" s="931">
        <f>IF(AND(A14=$A$5,C14&lt;financing!$D$55),M14-SUM(P14:R14,O14),MIN(M14-SUM(P14:R14,O14),financing!$F$10-SUM(S$5:S13)))</f>
        <v>31736.060430274469</v>
      </c>
      <c r="T14" s="931">
        <f>+MAX(MIN(IF(C14&gt;=financing!$D$55,M14-SUM(P14:S14)-J14,0),financing!$D$57-SUM(T$5:T13)),0)</f>
        <v>0</v>
      </c>
      <c r="U14" s="931">
        <f>+MAX(IF(C14&gt;=general!$C$23,M14-SUM(P14:T14),0)+IF(C14=general!$C$23,reserves!AZ13+AY14,0),0)</f>
        <v>0</v>
      </c>
      <c r="V14" s="946"/>
      <c r="W14" s="946">
        <f>SUMPRODUCT(--($C14=sales!$C$50:$C$54),sales!$F$50:$F$54)</f>
        <v>0</v>
      </c>
      <c r="X14" s="946">
        <f t="shared" si="0"/>
        <v>0</v>
      </c>
      <c r="Y14" s="946">
        <f t="shared" si="1"/>
        <v>0</v>
      </c>
      <c r="Z14" s="946">
        <f t="shared" si="2"/>
        <v>0</v>
      </c>
      <c r="AA14" s="946"/>
      <c r="AB14" s="932" cm="1">
        <f t="array" ref="AB14">SUMPRODUCT(--(C14=sales!$D$22:$D$27),sales!$G$22:$G$27)</f>
        <v>0</v>
      </c>
      <c r="AC14" s="946"/>
      <c r="AD14" s="931">
        <f t="shared" si="3"/>
        <v>0</v>
      </c>
      <c r="AE14" s="932"/>
      <c r="AF14" s="932">
        <f t="shared" si="24"/>
        <v>0</v>
      </c>
      <c r="AG14" s="932">
        <f t="shared" si="25"/>
        <v>0</v>
      </c>
      <c r="AH14" s="931">
        <f>+MAX(MIN(BD13+BB14+BC14,AD14-SUM(AF14:AG14)),0)</f>
        <v>0</v>
      </c>
      <c r="AI14" s="932"/>
      <c r="AJ14" s="931">
        <f t="shared" si="4"/>
        <v>0</v>
      </c>
      <c r="AK14" s="946"/>
      <c r="AL14" s="947">
        <f>+IF(financing!$C$12="YES",'Development Cash Flow'!M14,0)</f>
        <v>0</v>
      </c>
      <c r="AM14" s="947">
        <f t="shared" si="5"/>
        <v>0</v>
      </c>
      <c r="AN14" s="947">
        <f t="shared" si="27"/>
        <v>0</v>
      </c>
      <c r="AO14" s="946"/>
      <c r="AP14" s="947">
        <f>+SUM('Development Cash Flow'!G14:J14)-'Development Cash Flow'!M14</f>
        <v>0</v>
      </c>
      <c r="AQ14" s="947">
        <f t="shared" si="6"/>
        <v>0</v>
      </c>
      <c r="AR14" s="947">
        <f t="shared" si="28"/>
        <v>0</v>
      </c>
      <c r="AS14" s="946"/>
      <c r="AT14" s="947">
        <f t="shared" si="13"/>
        <v>27319600</v>
      </c>
      <c r="AU14" s="947">
        <f t="shared" si="14"/>
        <v>0</v>
      </c>
      <c r="AV14" s="948">
        <f t="shared" si="29"/>
        <v>0</v>
      </c>
      <c r="AW14" s="946"/>
      <c r="AX14" s="947">
        <f t="shared" si="7"/>
        <v>0</v>
      </c>
      <c r="AY14" s="947">
        <f>+AZ13*financing!$E$30/12</f>
        <v>21252.546744387266</v>
      </c>
      <c r="AZ14" s="947">
        <f t="shared" si="15"/>
        <v>2339712.1915866341</v>
      </c>
      <c r="BA14" s="946"/>
      <c r="BB14" s="947">
        <f t="shared" si="16"/>
        <v>0</v>
      </c>
      <c r="BC14" s="947">
        <f>+IF(AND(BD13+BB14+MAX(BD13*financing!$E$15/12,financing!$D$59-SUM(reserves!BC$6:BC13)-SUM(J$6:J14))-reserves!AD14&lt;=0,financing!$D$58&gt;=0),MAX(BD13*financing!$E$15/12,financing!$D$59-SUM(reserves!BC$6:BC13)-SUM(J$6:J14)),BD13*financing!$E$15/12)</f>
        <v>0</v>
      </c>
      <c r="BD14" s="947">
        <f t="shared" si="17"/>
        <v>0</v>
      </c>
      <c r="BE14" s="946"/>
      <c r="BF14" s="947">
        <f t="shared" si="30"/>
        <v>0</v>
      </c>
      <c r="BG14" s="947">
        <f>+IF(AND(BH13+BF14+MAX((BH13*(LIBOR!AA15)*(D14-D13)/360)+BY14,financing!$C$16-SUM(reserves!BG$6:BG13))-reserves!AD14&lt;=0,financing!$L$17&gt;=0),MAX((BH13*(LIBOR!AA15)*(D14-D13)/360)+BY14,financing!$C$16-SUM(reserves!BG$6:BG13)),(BH13*(LIBOR!AA15)*(D14-D13)/360)+BY14)</f>
        <v>0</v>
      </c>
      <c r="BH14" s="947">
        <f t="shared" si="18"/>
        <v>0</v>
      </c>
      <c r="BI14" s="946"/>
      <c r="BJ14" s="937"/>
      <c r="BK14" s="938">
        <f t="shared" si="19"/>
        <v>46507</v>
      </c>
      <c r="BL14" s="939">
        <f>-S14+AJ14+AF14-AX14+AH14+AG14-BB14-BF14+'Development Cash Flow'!Y14</f>
        <v>-31736.060430274469</v>
      </c>
      <c r="BM14" s="940"/>
      <c r="BN14" s="941">
        <f t="shared" si="8"/>
        <v>-31736.060430274469</v>
      </c>
      <c r="BO14" s="940"/>
      <c r="BP14" s="942">
        <f t="shared" si="9"/>
        <v>0</v>
      </c>
      <c r="BS14" s="949" t="e">
        <f t="shared" si="20"/>
        <v>#DIV/0!</v>
      </c>
      <c r="BT14" s="922">
        <f>+IF(SUM(BT$5:BT13)&lt;1,IF(BU14=MAX($BU$6:$BU$54),1,0),0)</f>
        <v>0</v>
      </c>
      <c r="BU14" s="922">
        <f t="shared" si="21"/>
        <v>1065254.6024898149</v>
      </c>
      <c r="BV14" s="943" t="str">
        <f t="shared" si="10"/>
        <v/>
      </c>
      <c r="BW14" s="922" t="str">
        <f t="shared" si="11"/>
        <v/>
      </c>
      <c r="BY14" s="208">
        <f>ROUND(IF(A14="Dev",IF(AND(BK14&gt;general!$D$23,SUM($BZ$6:$BZ13)&lt;1,financing!$L$15&gt;BH13+BF14),financing!$L$16*(BK14-BK13)/360*(financing!$L$15-BH13-BF14),0),0),-2)</f>
        <v>0</v>
      </c>
      <c r="BZ14" s="909">
        <f>+IF(AND(BH14&gt;=financing!$L$15,SUM(BZ$6:BZ13)=0),1,0)</f>
        <v>0</v>
      </c>
      <c r="CA14" s="950">
        <f t="shared" si="22"/>
        <v>0</v>
      </c>
      <c r="CD14" s="914">
        <f>SUM($S$6:S14)</f>
        <v>1065254.6024898149</v>
      </c>
      <c r="CF14" s="208">
        <f>+IF(C14&lt;general!$C$22,0,IF(AND(C14=general!$C$22,OR(A14="Pred",A14="Dev")),SUM(S$6:S14),S14))</f>
        <v>31736.060430274469</v>
      </c>
    </row>
    <row r="15" spans="1:84" ht="16" outlineLevel="1">
      <c r="A15" s="906" t="str">
        <f>+'Development Cash Flow'!A15</f>
        <v>Pred</v>
      </c>
      <c r="B15" s="908"/>
      <c r="C15" s="944">
        <f>IF('Development Cash Flow'!D14&lt;general!$D$28,'Development Cash Flow'!C14+1,0)</f>
        <v>9</v>
      </c>
      <c r="D15" s="945">
        <f t="shared" si="23"/>
        <v>46538</v>
      </c>
      <c r="E15" s="945"/>
      <c r="F15" s="928">
        <f>'Development Cash Flow'!P15*D$4+SUM('Development Cash Flow'!Q15:T15)*F$4</f>
        <v>13486.65</v>
      </c>
      <c r="G15" s="928">
        <f>'Development Cash Flow'!AL15-F15</f>
        <v>18249.410430274467</v>
      </c>
      <c r="H15" s="928"/>
      <c r="I15" s="928"/>
      <c r="J15" s="931">
        <f>+financing!$D$54/12*reserves!BD14</f>
        <v>0</v>
      </c>
      <c r="K15" s="928">
        <f>IF(C15=0,0,IF(C15=sales!$D$32,financing!$E$12*financing!$F$11,IF(OR(C15&gt;general!$C$27,C15&lt;sales!$D$32),0,IF((C15-sales!$D$32)/12=ROUND((C15-sales!$D$32)/12,0),financing!$E$12*financing!$F$11,0))))</f>
        <v>0</v>
      </c>
      <c r="L15" s="928"/>
      <c r="M15" s="928">
        <f t="shared" si="26"/>
        <v>31736.060430274469</v>
      </c>
      <c r="N15" s="946"/>
      <c r="O15" s="946">
        <f>IF(D15=general!$D$21,financing!$F$30,0)</f>
        <v>0</v>
      </c>
      <c r="P15" s="946">
        <f>+MIN(IF(D15&lt;=general!$D$24,SUM(F$6:F15)-SUM(P$6:P14),reserves!F15),AR14)</f>
        <v>0</v>
      </c>
      <c r="Q15" s="946">
        <f>+MAX(MIN(SUM(G$6:$G15)-R15,AN14,SUM(G$6:$G15)-SUM(Q$6:Q14)),0)</f>
        <v>0</v>
      </c>
      <c r="R15" s="946">
        <f>+IF(C15&gt;=sales!$D$36,'Development Cash Flow'!AL15,0)</f>
        <v>0</v>
      </c>
      <c r="S15" s="931">
        <f>IF(AND(A15=$A$5,C15&lt;financing!$D$55),M15-SUM(P15:R15,O15),MIN(M15-SUM(P15:R15,O15),financing!$F$10-SUM(S$5:S14)))</f>
        <v>31736.060430274469</v>
      </c>
      <c r="T15" s="931">
        <f>+MAX(MIN(IF(C15&gt;=financing!$D$55,M15-SUM(P15:S15)-J15,0),financing!$D$57-SUM(T$5:T14)),0)</f>
        <v>0</v>
      </c>
      <c r="U15" s="931">
        <f>+MAX(IF(C15&gt;=general!$C$23,M15-SUM(P15:T15),0)+IF(C15=general!$C$23,reserves!AZ14+AY15,0),0)</f>
        <v>0</v>
      </c>
      <c r="V15" s="946"/>
      <c r="W15" s="946">
        <f>SUMPRODUCT(--($C15=sales!$C$50:$C$54),sales!$F$50:$F$54)</f>
        <v>0</v>
      </c>
      <c r="X15" s="946">
        <f t="shared" si="0"/>
        <v>0</v>
      </c>
      <c r="Y15" s="946">
        <f t="shared" si="1"/>
        <v>0</v>
      </c>
      <c r="Z15" s="946">
        <f t="shared" si="2"/>
        <v>0</v>
      </c>
      <c r="AA15" s="946"/>
      <c r="AB15" s="932" cm="1">
        <f t="array" ref="AB15">SUMPRODUCT(--(C15=sales!$D$22:$D$27),sales!$G$22:$G$27)</f>
        <v>0</v>
      </c>
      <c r="AC15" s="946"/>
      <c r="AD15" s="931">
        <f t="shared" si="3"/>
        <v>0</v>
      </c>
      <c r="AE15" s="932"/>
      <c r="AF15" s="932">
        <f t="shared" si="24"/>
        <v>0</v>
      </c>
      <c r="AG15" s="932">
        <f t="shared" si="25"/>
        <v>0</v>
      </c>
      <c r="AH15" s="931">
        <f t="shared" si="12"/>
        <v>0</v>
      </c>
      <c r="AI15" s="932"/>
      <c r="AJ15" s="931">
        <f t="shared" si="4"/>
        <v>0</v>
      </c>
      <c r="AK15" s="946"/>
      <c r="AL15" s="947">
        <f>+IF(financing!$C$12="YES",'Development Cash Flow'!M15,0)</f>
        <v>0</v>
      </c>
      <c r="AM15" s="947">
        <f t="shared" si="5"/>
        <v>0</v>
      </c>
      <c r="AN15" s="947">
        <f t="shared" si="27"/>
        <v>0</v>
      </c>
      <c r="AO15" s="946"/>
      <c r="AP15" s="947">
        <f>+SUM('Development Cash Flow'!G15:J15)-'Development Cash Flow'!M15</f>
        <v>0</v>
      </c>
      <c r="AQ15" s="947">
        <f t="shared" si="6"/>
        <v>0</v>
      </c>
      <c r="AR15" s="947">
        <f t="shared" si="28"/>
        <v>0</v>
      </c>
      <c r="AS15" s="946"/>
      <c r="AT15" s="947">
        <f t="shared" si="13"/>
        <v>27319600</v>
      </c>
      <c r="AU15" s="947">
        <f t="shared" si="14"/>
        <v>0</v>
      </c>
      <c r="AV15" s="948">
        <f t="shared" si="29"/>
        <v>0</v>
      </c>
      <c r="AW15" s="946"/>
      <c r="AX15" s="947">
        <f t="shared" si="7"/>
        <v>0</v>
      </c>
      <c r="AY15" s="947">
        <f>+AZ14*financing!$E$30/12</f>
        <v>21447.361756210812</v>
      </c>
      <c r="AZ15" s="947">
        <f t="shared" si="15"/>
        <v>2361159.5533428448</v>
      </c>
      <c r="BA15" s="946"/>
      <c r="BB15" s="947">
        <f t="shared" si="16"/>
        <v>0</v>
      </c>
      <c r="BC15" s="947">
        <f>+IF(AND(BD14+BB15+MAX(BD14*financing!$E$15/12,financing!$D$59-SUM(reserves!BC$6:BC14)-SUM(J$6:J15))-reserves!AD15&lt;=0,financing!$D$58&gt;=0),MAX(BD14*financing!$E$15/12,financing!$D$59-SUM(reserves!BC$6:BC14)-SUM(J$6:J15)),BD14*financing!$E$15/12)</f>
        <v>0</v>
      </c>
      <c r="BD15" s="947">
        <f t="shared" si="17"/>
        <v>0</v>
      </c>
      <c r="BE15" s="951"/>
      <c r="BF15" s="947">
        <f t="shared" si="30"/>
        <v>0</v>
      </c>
      <c r="BG15" s="947">
        <f>+IF(AND(BH14+BF15+MAX((BH14*(LIBOR!AA16)*(D15-D14)/360)+BY15,financing!$C$16-SUM(reserves!BG$6:BG14))-reserves!AD15&lt;=0,financing!$L$17&gt;=0),MAX((BH14*(LIBOR!AA16)*(D15-D14)/360)+BY15,financing!$C$16-SUM(reserves!BG$6:BG14)),(BH14*(LIBOR!AA16)*(D15-D14)/360)+BY15)</f>
        <v>0</v>
      </c>
      <c r="BH15" s="947">
        <f t="shared" si="18"/>
        <v>0</v>
      </c>
      <c r="BI15" s="946"/>
      <c r="BJ15" s="937"/>
      <c r="BK15" s="938">
        <f t="shared" si="19"/>
        <v>46538</v>
      </c>
      <c r="BL15" s="939">
        <f>-S15+AJ15+AF15-AX15+AH15+AG15-BB15-BF15+'Development Cash Flow'!Y15</f>
        <v>-31736.060430274469</v>
      </c>
      <c r="BM15" s="940"/>
      <c r="BN15" s="941">
        <f t="shared" si="8"/>
        <v>-31736.060430274469</v>
      </c>
      <c r="BO15" s="940"/>
      <c r="BP15" s="942">
        <f t="shared" si="9"/>
        <v>0</v>
      </c>
      <c r="BS15" s="949" t="e">
        <f t="shared" si="20"/>
        <v>#DIV/0!</v>
      </c>
      <c r="BT15" s="922">
        <f>+IF(SUM(BT$5:BT14)&lt;1,IF(BU15=MAX($BU$6:$BU$54),1,0),0)</f>
        <v>0</v>
      </c>
      <c r="BU15" s="922">
        <f t="shared" si="21"/>
        <v>1096990.6629200894</v>
      </c>
      <c r="BV15" s="943" t="str">
        <f t="shared" si="10"/>
        <v/>
      </c>
      <c r="BW15" s="922" t="str">
        <f t="shared" si="11"/>
        <v/>
      </c>
      <c r="BY15" s="208">
        <f>ROUND(IF(A15="Dev",IF(AND(BK15&gt;general!$D$23,SUM($BZ$6:$BZ14)&lt;1,financing!$L$15&gt;BH14+BF15),financing!$L$16*(BK15-BK14)/360*(financing!$L$15-BH14-BF15),0),0),-2)</f>
        <v>0</v>
      </c>
      <c r="BZ15" s="909">
        <f>+IF(AND(BH15&gt;=financing!$L$15,SUM(BZ$6:BZ14)=0),1,0)</f>
        <v>0</v>
      </c>
      <c r="CA15" s="950">
        <f t="shared" si="22"/>
        <v>0</v>
      </c>
      <c r="CD15" s="914">
        <f>SUM($S$6:S15)</f>
        <v>1096990.6629200894</v>
      </c>
      <c r="CF15" s="208">
        <f>+IF(C15&lt;general!$C$22,0,IF(AND(C15=general!$C$22,OR(A15="Pred",A15="Dev")),SUM(S$6:S15),S15))</f>
        <v>31736.060430274469</v>
      </c>
    </row>
    <row r="16" spans="1:84" ht="16" outlineLevel="1">
      <c r="A16" s="906" t="str">
        <f>+'Development Cash Flow'!A16</f>
        <v>Pred</v>
      </c>
      <c r="B16" s="908"/>
      <c r="C16" s="944">
        <f>IF('Development Cash Flow'!D15&lt;general!$D$28,'Development Cash Flow'!C15+1,0)</f>
        <v>10</v>
      </c>
      <c r="D16" s="945">
        <f t="shared" si="23"/>
        <v>46568</v>
      </c>
      <c r="E16" s="945"/>
      <c r="F16" s="928">
        <f>'Development Cash Flow'!P16*D$4+SUM('Development Cash Flow'!Q16:T16)*F$4</f>
        <v>13486.65</v>
      </c>
      <c r="G16" s="928">
        <f>'Development Cash Flow'!AL16-F16</f>
        <v>18249.410430274467</v>
      </c>
      <c r="H16" s="928"/>
      <c r="I16" s="928"/>
      <c r="J16" s="931">
        <f>+financing!$D$54/12*reserves!BD15</f>
        <v>0</v>
      </c>
      <c r="K16" s="928">
        <f>IF(C16=0,0,IF(C16=sales!$D$32,financing!$E$12*financing!$F$11,IF(OR(C16&gt;general!$C$27,C16&lt;sales!$D$32),0,IF((C16-sales!$D$32)/12=ROUND((C16-sales!$D$32)/12,0),financing!$E$12*financing!$F$11,0))))</f>
        <v>0</v>
      </c>
      <c r="L16" s="928"/>
      <c r="M16" s="928">
        <f t="shared" si="26"/>
        <v>31736.060430274469</v>
      </c>
      <c r="N16" s="946"/>
      <c r="O16" s="946">
        <f>IF(D16=general!$D$21,financing!$F$30,0)</f>
        <v>0</v>
      </c>
      <c r="P16" s="946">
        <f>+MIN(IF(D16&lt;=general!$D$24,SUM(F$6:F16)-SUM(P$6:P15),reserves!F16),AR15)</f>
        <v>0</v>
      </c>
      <c r="Q16" s="946">
        <f>+MAX(MIN(SUM(G$6:$G16)-R16,AN15,SUM(G$6:$G16)-SUM(Q$6:Q15)),0)</f>
        <v>0</v>
      </c>
      <c r="R16" s="946">
        <f>+IF(C16&gt;=sales!$D$36,'Development Cash Flow'!AL16,0)</f>
        <v>0</v>
      </c>
      <c r="S16" s="931">
        <f>IF(AND(A16=$A$5,C16&lt;financing!$D$55),M16-SUM(P16:R16,O16),MIN(M16-SUM(P16:R16,O16),financing!$F$10-SUM(S$5:S15)))</f>
        <v>31736.060430274469</v>
      </c>
      <c r="T16" s="931">
        <f>+MAX(MIN(IF(C16&gt;=financing!$D$55,M16-SUM(P16:S16)-J16,0),financing!$D$57-SUM(T$5:T15)),0)</f>
        <v>0</v>
      </c>
      <c r="U16" s="931">
        <f>+MAX(IF(C16&gt;=general!$C$23,M16-SUM(P16:T16),0)+IF(C16=general!$C$23,reserves!AZ15+AY16,0),0)</f>
        <v>0</v>
      </c>
      <c r="V16" s="946"/>
      <c r="W16" s="946">
        <f>SUMPRODUCT(--($C16=sales!$C$50:$C$54),sales!$F$50:$F$54)</f>
        <v>0</v>
      </c>
      <c r="X16" s="946">
        <f t="shared" si="0"/>
        <v>0</v>
      </c>
      <c r="Y16" s="946">
        <f t="shared" si="1"/>
        <v>0</v>
      </c>
      <c r="Z16" s="946">
        <f t="shared" si="2"/>
        <v>0</v>
      </c>
      <c r="AA16" s="946"/>
      <c r="AB16" s="932" cm="1">
        <f t="array" ref="AB16">SUMPRODUCT(--(C16=sales!$D$22:$D$27),sales!$G$22:$G$27)</f>
        <v>0</v>
      </c>
      <c r="AC16" s="946"/>
      <c r="AD16" s="931">
        <f t="shared" si="3"/>
        <v>0</v>
      </c>
      <c r="AE16" s="932"/>
      <c r="AF16" s="932">
        <f t="shared" si="24"/>
        <v>0</v>
      </c>
      <c r="AG16" s="932">
        <f t="shared" si="25"/>
        <v>0</v>
      </c>
      <c r="AH16" s="931">
        <f t="shared" si="12"/>
        <v>0</v>
      </c>
      <c r="AI16" s="932"/>
      <c r="AJ16" s="931">
        <f t="shared" si="4"/>
        <v>0</v>
      </c>
      <c r="AK16" s="946"/>
      <c r="AL16" s="947">
        <f>+IF(financing!$C$12="YES",'Development Cash Flow'!M16,0)</f>
        <v>0</v>
      </c>
      <c r="AM16" s="947">
        <f t="shared" si="5"/>
        <v>0</v>
      </c>
      <c r="AN16" s="947">
        <f t="shared" si="27"/>
        <v>0</v>
      </c>
      <c r="AO16" s="946"/>
      <c r="AP16" s="947">
        <f>+SUM('Development Cash Flow'!G16:J16)-'Development Cash Flow'!M16</f>
        <v>0</v>
      </c>
      <c r="AQ16" s="947">
        <f t="shared" si="6"/>
        <v>0</v>
      </c>
      <c r="AR16" s="947">
        <f t="shared" si="28"/>
        <v>0</v>
      </c>
      <c r="AS16" s="946"/>
      <c r="AT16" s="947">
        <f t="shared" si="13"/>
        <v>27319600</v>
      </c>
      <c r="AU16" s="947">
        <f t="shared" si="14"/>
        <v>0</v>
      </c>
      <c r="AV16" s="948">
        <f t="shared" si="29"/>
        <v>0</v>
      </c>
      <c r="AW16" s="946"/>
      <c r="AX16" s="947">
        <f t="shared" si="7"/>
        <v>0</v>
      </c>
      <c r="AY16" s="947">
        <f>+AZ15*financing!$E$30/12</f>
        <v>21643.96257230941</v>
      </c>
      <c r="AZ16" s="947">
        <f t="shared" si="15"/>
        <v>2382803.515915154</v>
      </c>
      <c r="BA16" s="946"/>
      <c r="BB16" s="947">
        <f t="shared" si="16"/>
        <v>0</v>
      </c>
      <c r="BC16" s="947">
        <f>+IF(AND(BD15+BB16+MAX(BD15*financing!$E$15/12,financing!$D$59-SUM(reserves!BC$6:BC15)-SUM(J$6:J16))-reserves!AD16&lt;=0,financing!$D$58&gt;=0),MAX(BD15*financing!$E$15/12,financing!$D$59-SUM(reserves!BC$6:BC15)-SUM(J$6:J16)),BD15*financing!$E$15/12)</f>
        <v>0</v>
      </c>
      <c r="BD16" s="947">
        <f t="shared" si="17"/>
        <v>0</v>
      </c>
      <c r="BE16" s="946"/>
      <c r="BF16" s="947">
        <f t="shared" si="30"/>
        <v>0</v>
      </c>
      <c r="BG16" s="947">
        <f>+IF(AND(BH15+BF16+MAX((BH15*(LIBOR!AA17)*(D16-D15)/360)+BY16,financing!$C$16-SUM(reserves!BG$6:BG15))-reserves!AD16&lt;=0,financing!$L$17&gt;=0),MAX((BH15*(LIBOR!AA17)*(D16-D15)/360)+BY16,financing!$C$16-SUM(reserves!BG$6:BG15)),(BH15*(LIBOR!AA17)*(D16-D15)/360)+BY16)</f>
        <v>0</v>
      </c>
      <c r="BH16" s="947">
        <f t="shared" si="18"/>
        <v>0</v>
      </c>
      <c r="BI16" s="946"/>
      <c r="BJ16" s="937"/>
      <c r="BK16" s="938">
        <f t="shared" si="19"/>
        <v>46568</v>
      </c>
      <c r="BL16" s="939">
        <f>-S16+AJ16+AF16-AX16+AH16+AG16-BB16-BF16+'Development Cash Flow'!Y16</f>
        <v>-31736.060430274469</v>
      </c>
      <c r="BM16" s="940"/>
      <c r="BN16" s="941">
        <f t="shared" si="8"/>
        <v>-31736.060430274469</v>
      </c>
      <c r="BO16" s="940"/>
      <c r="BP16" s="942">
        <f t="shared" si="9"/>
        <v>0</v>
      </c>
      <c r="BS16" s="949" t="e">
        <f t="shared" si="20"/>
        <v>#DIV/0!</v>
      </c>
      <c r="BT16" s="922">
        <f>+IF(SUM(BT$5:BT15)&lt;1,IF(BU16=MAX($BU$6:$BU$54),1,0),0)</f>
        <v>0</v>
      </c>
      <c r="BU16" s="922">
        <f t="shared" si="21"/>
        <v>1128726.723350364</v>
      </c>
      <c r="BV16" s="943" t="str">
        <f t="shared" si="10"/>
        <v/>
      </c>
      <c r="BW16" s="922" t="str">
        <f t="shared" si="11"/>
        <v/>
      </c>
      <c r="BY16" s="208">
        <f>ROUND(IF(A16="Dev",IF(AND(BK16&gt;general!$D$23,SUM($BZ$6:$BZ15)&lt;1,financing!$L$15&gt;BH15+BF16),financing!$L$16*(BK16-BK15)/360*(financing!$L$15-BH15-BF16),0),0),-2)</f>
        <v>0</v>
      </c>
      <c r="BZ16" s="909">
        <f>+IF(AND(BH16&gt;=financing!$L$15,SUM(BZ$6:BZ15)=0),1,0)</f>
        <v>0</v>
      </c>
      <c r="CA16" s="950">
        <f t="shared" si="22"/>
        <v>0</v>
      </c>
      <c r="CD16" s="914">
        <f>SUM($S$6:S16)</f>
        <v>1128726.723350364</v>
      </c>
      <c r="CF16" s="208">
        <f>+IF(C16&lt;general!$C$22,0,IF(AND(C16=general!$C$22,OR(A16="Pred",A16="Dev")),SUM(S$6:S16),S16))</f>
        <v>31736.060430274469</v>
      </c>
    </row>
    <row r="17" spans="1:84" ht="16" outlineLevel="1">
      <c r="A17" s="906" t="str">
        <f>+'Development Cash Flow'!A17</f>
        <v>Pred</v>
      </c>
      <c r="B17" s="908"/>
      <c r="C17" s="944">
        <f>IF('Development Cash Flow'!D16&lt;general!$D$28,'Development Cash Flow'!C16+1,0)</f>
        <v>11</v>
      </c>
      <c r="D17" s="945">
        <f t="shared" si="23"/>
        <v>46599</v>
      </c>
      <c r="E17" s="945"/>
      <c r="F17" s="928">
        <f>'Development Cash Flow'!P17*D$4+SUM('Development Cash Flow'!Q17:T17)*F$4</f>
        <v>13486.65</v>
      </c>
      <c r="G17" s="928">
        <f>'Development Cash Flow'!AL17-F17</f>
        <v>18249.410430274467</v>
      </c>
      <c r="H17" s="928"/>
      <c r="I17" s="928"/>
      <c r="J17" s="931">
        <f>+financing!$D$54/12*reserves!BD16</f>
        <v>0</v>
      </c>
      <c r="K17" s="928">
        <f>IF(C17=0,0,IF(C17=sales!$D$32,financing!$E$12*financing!$F$11,IF(OR(C17&gt;general!$C$27,C17&lt;sales!$D$32),0,IF((C17-sales!$D$32)/12=ROUND((C17-sales!$D$32)/12,0),financing!$E$12*financing!$F$11,0))))</f>
        <v>0</v>
      </c>
      <c r="L17" s="928"/>
      <c r="M17" s="928">
        <f t="shared" si="26"/>
        <v>31736.060430274469</v>
      </c>
      <c r="N17" s="946"/>
      <c r="O17" s="946">
        <f>IF(D17=general!$D$21,financing!$F$30,0)</f>
        <v>0</v>
      </c>
      <c r="P17" s="946">
        <f>+MIN(IF(D17&lt;=general!$D$24,SUM(F$6:F17)-SUM(P$6:P16),reserves!F17),AR16)</f>
        <v>0</v>
      </c>
      <c r="Q17" s="946">
        <f>+MAX(MIN(SUM(G$6:$G17)-R17,AN16,SUM(G$6:$G17)-SUM(Q$6:Q16)),0)</f>
        <v>0</v>
      </c>
      <c r="R17" s="946">
        <f>+IF(C17&gt;=sales!$D$36,'Development Cash Flow'!AL17,0)</f>
        <v>0</v>
      </c>
      <c r="S17" s="931">
        <f>IF(AND(A17=$A$5,C17&lt;financing!$D$55),M17-SUM(P17:R17,O17),MIN(M17-SUM(P17:R17,O17),financing!$F$10-SUM(S$5:S16)))</f>
        <v>31736.060430274469</v>
      </c>
      <c r="T17" s="931">
        <f>+MAX(MIN(IF(C17&gt;=financing!$D$55,M17-SUM(P17:S17)-J17,0),financing!$D$57-SUM(T$5:T16)),0)</f>
        <v>0</v>
      </c>
      <c r="U17" s="931">
        <f>+MAX(IF(C17&gt;=general!$C$23,M17-SUM(P17:T17),0)+IF(C17=general!$C$23,reserves!AZ16+AY17,0),0)</f>
        <v>0</v>
      </c>
      <c r="V17" s="946"/>
      <c r="W17" s="946">
        <f>SUMPRODUCT(--($C17=sales!$C$50:$C$54),sales!$F$50:$F$54)</f>
        <v>0</v>
      </c>
      <c r="X17" s="946">
        <f t="shared" si="0"/>
        <v>0</v>
      </c>
      <c r="Y17" s="946">
        <f t="shared" si="1"/>
        <v>0</v>
      </c>
      <c r="Z17" s="946">
        <f t="shared" si="2"/>
        <v>0</v>
      </c>
      <c r="AA17" s="946"/>
      <c r="AB17" s="932" cm="1">
        <f t="array" ref="AB17">SUMPRODUCT(--(C17=sales!$D$22:$D$27),sales!$G$22:$G$27)</f>
        <v>0</v>
      </c>
      <c r="AC17" s="946"/>
      <c r="AD17" s="931">
        <f t="shared" si="3"/>
        <v>0</v>
      </c>
      <c r="AE17" s="932"/>
      <c r="AF17" s="932">
        <f t="shared" si="24"/>
        <v>0</v>
      </c>
      <c r="AG17" s="932">
        <f t="shared" si="25"/>
        <v>0</v>
      </c>
      <c r="AH17" s="931">
        <f t="shared" si="12"/>
        <v>0</v>
      </c>
      <c r="AI17" s="932"/>
      <c r="AJ17" s="931">
        <f t="shared" si="4"/>
        <v>0</v>
      </c>
      <c r="AK17" s="946"/>
      <c r="AL17" s="947">
        <f>+IF(financing!$C$12="YES",'Development Cash Flow'!M17,0)</f>
        <v>0</v>
      </c>
      <c r="AM17" s="947">
        <f t="shared" si="5"/>
        <v>0</v>
      </c>
      <c r="AN17" s="947">
        <f t="shared" si="27"/>
        <v>0</v>
      </c>
      <c r="AO17" s="946"/>
      <c r="AP17" s="947">
        <f>+SUM('Development Cash Flow'!G17:J17)-'Development Cash Flow'!M17</f>
        <v>0</v>
      </c>
      <c r="AQ17" s="947">
        <f t="shared" si="6"/>
        <v>0</v>
      </c>
      <c r="AR17" s="947">
        <f t="shared" si="28"/>
        <v>0</v>
      </c>
      <c r="AS17" s="946"/>
      <c r="AT17" s="947">
        <f t="shared" si="13"/>
        <v>27319600</v>
      </c>
      <c r="AU17" s="947">
        <f t="shared" si="14"/>
        <v>0</v>
      </c>
      <c r="AV17" s="948">
        <f t="shared" si="29"/>
        <v>0</v>
      </c>
      <c r="AW17" s="946"/>
      <c r="AX17" s="947">
        <f t="shared" si="7"/>
        <v>0</v>
      </c>
      <c r="AY17" s="947">
        <f>+AZ16*financing!$E$30/12</f>
        <v>21842.36556255558</v>
      </c>
      <c r="AZ17" s="947">
        <f t="shared" si="15"/>
        <v>2404645.8814777094</v>
      </c>
      <c r="BA17" s="946"/>
      <c r="BB17" s="947">
        <f t="shared" si="16"/>
        <v>0</v>
      </c>
      <c r="BC17" s="947">
        <f>+IF(AND(BD16+BB17+MAX(BD16*financing!$E$15/12,financing!$D$59-SUM(reserves!BC$6:BC16)-SUM(J$6:J17))-reserves!AD17&lt;=0,financing!$D$58&gt;=0),MAX(BD16*financing!$E$15/12,financing!$D$59-SUM(reserves!BC$6:BC16)-SUM(J$6:J17)),BD16*financing!$E$15/12)</f>
        <v>0</v>
      </c>
      <c r="BD17" s="947">
        <f t="shared" si="17"/>
        <v>0</v>
      </c>
      <c r="BE17" s="946"/>
      <c r="BF17" s="947">
        <f t="shared" si="30"/>
        <v>0</v>
      </c>
      <c r="BG17" s="947">
        <f>+IF(AND(BH16+BF17+MAX((BH16*(LIBOR!AA18)*(D17-D16)/360)+BY17,financing!$C$16-SUM(reserves!BG$6:BG16))-reserves!AD17&lt;=0,financing!$L$17&gt;=0),MAX((BH16*(LIBOR!AA18)*(D17-D16)/360)+BY17,financing!$C$16-SUM(reserves!BG$6:BG16)),(BH16*(LIBOR!AA18)*(D17-D16)/360)+BY17)</f>
        <v>0</v>
      </c>
      <c r="BH17" s="947">
        <f t="shared" si="18"/>
        <v>0</v>
      </c>
      <c r="BI17" s="946"/>
      <c r="BJ17" s="937"/>
      <c r="BK17" s="938">
        <f t="shared" si="19"/>
        <v>46599</v>
      </c>
      <c r="BL17" s="939">
        <f>-S17+AJ17+AF17-AX17+AH17+AG17-BB17-BF17+'Development Cash Flow'!Y17</f>
        <v>-31736.060430274469</v>
      </c>
      <c r="BM17" s="940"/>
      <c r="BN17" s="941">
        <f t="shared" si="8"/>
        <v>-31736.060430274469</v>
      </c>
      <c r="BO17" s="940"/>
      <c r="BP17" s="942">
        <f t="shared" si="9"/>
        <v>0</v>
      </c>
      <c r="BS17" s="949" t="e">
        <f t="shared" si="20"/>
        <v>#DIV/0!</v>
      </c>
      <c r="BT17" s="922">
        <f>+IF(SUM(BT$5:BT16)&lt;1,IF(BU17=MAX($BU$6:$BU$54),1,0),0)</f>
        <v>0</v>
      </c>
      <c r="BU17" s="922">
        <f t="shared" si="21"/>
        <v>1160462.7837806386</v>
      </c>
      <c r="BV17" s="943" t="str">
        <f t="shared" si="10"/>
        <v/>
      </c>
      <c r="BW17" s="922" t="str">
        <f t="shared" si="11"/>
        <v/>
      </c>
      <c r="BY17" s="208">
        <f>ROUND(IF(A17="Dev",IF(AND(BK17&gt;general!$D$23,SUM($BZ$6:$BZ16)&lt;1,financing!$L$15&gt;BH16+BF17),financing!$L$16*(BK17-BK16)/360*(financing!$L$15-BH16-BF17),0),0),-2)</f>
        <v>0</v>
      </c>
      <c r="BZ17" s="909">
        <f>+IF(AND(BH17&gt;=financing!$L$15,SUM(BZ$6:BZ16)=0),1,0)</f>
        <v>0</v>
      </c>
      <c r="CA17" s="950">
        <f t="shared" si="22"/>
        <v>0</v>
      </c>
      <c r="CD17" s="914">
        <f>SUM($S$6:S17)</f>
        <v>1160462.7837806386</v>
      </c>
      <c r="CF17" s="208">
        <f>+IF(C17&lt;general!$C$22,0,IF(AND(C17=general!$C$22,OR(A17="Pred",A17="Dev")),SUM(S$6:S17),S17))</f>
        <v>31736.060430274469</v>
      </c>
    </row>
    <row r="18" spans="1:84" ht="16" outlineLevel="1">
      <c r="A18" s="906" t="str">
        <f>+'Development Cash Flow'!A18</f>
        <v>Pred</v>
      </c>
      <c r="B18" s="908"/>
      <c r="C18" s="944">
        <f>IF('Development Cash Flow'!D17&lt;general!$D$28,'Development Cash Flow'!C17+1,0)</f>
        <v>12</v>
      </c>
      <c r="D18" s="945">
        <f t="shared" si="23"/>
        <v>46630</v>
      </c>
      <c r="E18" s="945"/>
      <c r="F18" s="928">
        <f>'Development Cash Flow'!P18*D$4+SUM('Development Cash Flow'!Q18:T18)*F$4</f>
        <v>13486.65</v>
      </c>
      <c r="G18" s="928">
        <f>'Development Cash Flow'!AL18-F18</f>
        <v>18249.410430274467</v>
      </c>
      <c r="H18" s="928"/>
      <c r="I18" s="928"/>
      <c r="J18" s="931">
        <f>+financing!$D$54/12*reserves!BD17</f>
        <v>0</v>
      </c>
      <c r="K18" s="928">
        <f>IF(C18=0,0,IF(C18=sales!$D$32,financing!$E$12*financing!$F$11,IF(OR(C18&gt;general!$C$27,C18&lt;sales!$D$32),0,IF((C18-sales!$D$32)/12=ROUND((C18-sales!$D$32)/12,0),financing!$E$12*financing!$F$11,0))))</f>
        <v>0</v>
      </c>
      <c r="L18" s="928"/>
      <c r="M18" s="928">
        <f t="shared" si="26"/>
        <v>31736.060430274469</v>
      </c>
      <c r="N18" s="946"/>
      <c r="O18" s="946">
        <f>IF(D18=general!$D$21,financing!$F$30,0)</f>
        <v>0</v>
      </c>
      <c r="P18" s="946">
        <f>+MIN(IF(D18&lt;=general!$D$24,SUM(F$6:F18)-SUM(P$6:P17),reserves!F18),AR17)</f>
        <v>0</v>
      </c>
      <c r="Q18" s="946">
        <f>+MAX(MIN(SUM(G$6:$G18)-R18,AN17,SUM(G$6:$G18)-SUM(Q$6:Q17)),0)</f>
        <v>0</v>
      </c>
      <c r="R18" s="946">
        <f>+IF(C18&gt;=sales!$D$36,'Development Cash Flow'!AL18,0)</f>
        <v>0</v>
      </c>
      <c r="S18" s="931">
        <f>IF(AND(A18=$A$5,C18&lt;financing!$D$55),M18-SUM(P18:R18,O18),MIN(M18-SUM(P18:R18,O18),financing!$F$10-SUM(S$5:S17)))</f>
        <v>31736.060430274469</v>
      </c>
      <c r="T18" s="931">
        <f>+MAX(MIN(IF(C18&gt;=financing!$D$55,M18-SUM(P18:S18)-J18,0),financing!$D$57-SUM(T$5:T17)),0)</f>
        <v>0</v>
      </c>
      <c r="U18" s="931">
        <f>+MAX(IF(C18&gt;=general!$C$23,M18-SUM(P18:T18),0)+IF(C18=general!$C$23,reserves!AZ17+AY18,0),0)</f>
        <v>0</v>
      </c>
      <c r="V18" s="946"/>
      <c r="W18" s="946">
        <f>SUMPRODUCT(--($C18=sales!$C$50:$C$54),sales!$F$50:$F$54)</f>
        <v>0</v>
      </c>
      <c r="X18" s="946">
        <f t="shared" si="0"/>
        <v>0</v>
      </c>
      <c r="Y18" s="946">
        <f t="shared" si="1"/>
        <v>0</v>
      </c>
      <c r="Z18" s="946">
        <f t="shared" si="2"/>
        <v>0</v>
      </c>
      <c r="AA18" s="946"/>
      <c r="AB18" s="932" cm="1">
        <f t="array" ref="AB18">SUMPRODUCT(--(C18=sales!$D$22:$D$27),sales!$G$22:$G$27)</f>
        <v>0</v>
      </c>
      <c r="AC18" s="946"/>
      <c r="AD18" s="931">
        <f t="shared" si="3"/>
        <v>0</v>
      </c>
      <c r="AE18" s="932"/>
      <c r="AF18" s="932">
        <f t="shared" si="24"/>
        <v>0</v>
      </c>
      <c r="AG18" s="932">
        <f t="shared" si="25"/>
        <v>0</v>
      </c>
      <c r="AH18" s="931">
        <f t="shared" si="12"/>
        <v>0</v>
      </c>
      <c r="AI18" s="932"/>
      <c r="AJ18" s="931">
        <f t="shared" si="4"/>
        <v>0</v>
      </c>
      <c r="AK18" s="946"/>
      <c r="AL18" s="947">
        <f>+IF(financing!$C$12="YES",'Development Cash Flow'!M18,0)</f>
        <v>0</v>
      </c>
      <c r="AM18" s="947">
        <f t="shared" si="5"/>
        <v>0</v>
      </c>
      <c r="AN18" s="947">
        <f t="shared" si="27"/>
        <v>0</v>
      </c>
      <c r="AO18" s="946"/>
      <c r="AP18" s="947">
        <f>+SUM('Development Cash Flow'!G18:J18)-'Development Cash Flow'!M18</f>
        <v>0</v>
      </c>
      <c r="AQ18" s="947">
        <f t="shared" si="6"/>
        <v>0</v>
      </c>
      <c r="AR18" s="947">
        <f t="shared" si="28"/>
        <v>0</v>
      </c>
      <c r="AS18" s="946"/>
      <c r="AT18" s="947">
        <f t="shared" si="13"/>
        <v>27319600</v>
      </c>
      <c r="AU18" s="947">
        <f t="shared" si="14"/>
        <v>0</v>
      </c>
      <c r="AV18" s="948">
        <f t="shared" si="29"/>
        <v>0</v>
      </c>
      <c r="AW18" s="946"/>
      <c r="AX18" s="947">
        <f t="shared" si="7"/>
        <v>0</v>
      </c>
      <c r="AY18" s="947">
        <f>+AZ17*financing!$E$30/12</f>
        <v>22042.587246879004</v>
      </c>
      <c r="AZ18" s="947">
        <f t="shared" si="15"/>
        <v>2426688.4687245884</v>
      </c>
      <c r="BA18" s="946"/>
      <c r="BB18" s="947">
        <f t="shared" si="16"/>
        <v>0</v>
      </c>
      <c r="BC18" s="947">
        <f>+IF(AND(BD17+BB18+MAX(BD17*financing!$E$15/12,financing!$D$59-SUM(reserves!BC$6:BC17)-SUM(J$6:J18))-reserves!AD18&lt;=0,financing!$D$58&gt;=0),MAX(BD17*financing!$E$15/12,financing!$D$59-SUM(reserves!BC$6:BC17)-SUM(J$6:J18)),BD17*financing!$E$15/12)</f>
        <v>0</v>
      </c>
      <c r="BD18" s="947">
        <f t="shared" si="17"/>
        <v>0</v>
      </c>
      <c r="BE18" s="946"/>
      <c r="BF18" s="947">
        <f t="shared" si="30"/>
        <v>0</v>
      </c>
      <c r="BG18" s="947">
        <f>+IF(AND(BH17+BF18+MAX((BH17*(LIBOR!AA19)*(D18-D17)/360)+BY18,financing!$C$16-SUM(reserves!BG$6:BG17))-reserves!AD18&lt;=0,financing!$L$17&gt;=0),MAX((BH17*(LIBOR!AA19)*(D18-D17)/360)+BY18,financing!$C$16-SUM(reserves!BG$6:BG17)),(BH17*(LIBOR!AA19)*(D18-D17)/360)+BY18)</f>
        <v>0</v>
      </c>
      <c r="BH18" s="947">
        <f t="shared" si="18"/>
        <v>0</v>
      </c>
      <c r="BI18" s="946"/>
      <c r="BJ18" s="937"/>
      <c r="BK18" s="938">
        <f t="shared" si="19"/>
        <v>46630</v>
      </c>
      <c r="BL18" s="939">
        <f>-S18+AJ18+AF18-AX18+AH18+AG18-BB18-BF18+'Development Cash Flow'!Y18</f>
        <v>-31736.060430274469</v>
      </c>
      <c r="BM18" s="940"/>
      <c r="BN18" s="941">
        <f t="shared" si="8"/>
        <v>-31736.060430274469</v>
      </c>
      <c r="BO18" s="940"/>
      <c r="BP18" s="942">
        <f t="shared" si="9"/>
        <v>0</v>
      </c>
      <c r="BS18" s="949" t="e">
        <f t="shared" si="20"/>
        <v>#DIV/0!</v>
      </c>
      <c r="BT18" s="922">
        <f>+IF(SUM(BT$5:BT17)&lt;1,IF(BU18=MAX($BU$6:$BU$54),1,0),0)</f>
        <v>0</v>
      </c>
      <c r="BU18" s="922">
        <f t="shared" si="21"/>
        <v>1192198.8442109132</v>
      </c>
      <c r="BV18" s="943" t="str">
        <f t="shared" si="10"/>
        <v/>
      </c>
      <c r="BW18" s="922" t="str">
        <f t="shared" si="11"/>
        <v/>
      </c>
      <c r="BY18" s="208">
        <f>ROUND(IF(A18="Dev",IF(AND(BK18&gt;general!$D$23,SUM($BZ$6:$BZ17)&lt;1,financing!$L$15&gt;BH17+BF18),financing!$L$16*(BK18-BK17)/360*(financing!$L$15-BH17-BF18),0),0),-2)</f>
        <v>0</v>
      </c>
      <c r="BZ18" s="909">
        <f>+IF(AND(BH18&gt;=financing!$L$15,SUM(BZ$6:BZ17)=0),1,0)</f>
        <v>0</v>
      </c>
      <c r="CA18" s="950">
        <f t="shared" si="22"/>
        <v>0</v>
      </c>
      <c r="CD18" s="914">
        <f>SUM($S$6:S18)</f>
        <v>1192198.8442109132</v>
      </c>
      <c r="CF18" s="208">
        <f>+IF(C18&lt;general!$C$22,0,IF(AND(C18=general!$C$22,OR(A18="Pred",A18="Dev")),SUM(S$6:S18),S18))</f>
        <v>31736.060430274469</v>
      </c>
    </row>
    <row r="19" spans="1:84" ht="16" outlineLevel="1">
      <c r="A19" s="906" t="str">
        <f>+'Development Cash Flow'!A19</f>
        <v>Pred</v>
      </c>
      <c r="B19" s="908"/>
      <c r="C19" s="944">
        <f>IF('Development Cash Flow'!D18&lt;general!$D$28,'Development Cash Flow'!C18+1,0)</f>
        <v>13</v>
      </c>
      <c r="D19" s="945">
        <f t="shared" si="23"/>
        <v>46660</v>
      </c>
      <c r="E19" s="945"/>
      <c r="F19" s="928">
        <f>'Development Cash Flow'!P19*D$4+SUM('Development Cash Flow'!Q19:T19)*F$4</f>
        <v>13486.65</v>
      </c>
      <c r="G19" s="928">
        <f>'Development Cash Flow'!AL19-F19</f>
        <v>18249.410430274467</v>
      </c>
      <c r="H19" s="928"/>
      <c r="I19" s="928"/>
      <c r="J19" s="931">
        <f>+financing!$D$54/12*reserves!BD18</f>
        <v>0</v>
      </c>
      <c r="K19" s="928">
        <f>IF(C19=0,0,IF(C19=sales!$D$32,financing!$E$12*financing!$F$11,IF(OR(C19&gt;general!$C$27,C19&lt;sales!$D$32),0,IF((C19-sales!$D$32)/12=ROUND((C19-sales!$D$32)/12,0),financing!$E$12*financing!$F$11,0))))</f>
        <v>0</v>
      </c>
      <c r="L19" s="928"/>
      <c r="M19" s="928">
        <f t="shared" si="26"/>
        <v>31736.060430274469</v>
      </c>
      <c r="N19" s="946"/>
      <c r="O19" s="946">
        <f>IF(D19=general!$D$21,financing!$F$30,0)</f>
        <v>0</v>
      </c>
      <c r="P19" s="946">
        <f>+MIN(IF(D19&lt;=general!$D$24,SUM(F$6:F19)-SUM(P$6:P18),reserves!F19),AR18)</f>
        <v>0</v>
      </c>
      <c r="Q19" s="946">
        <f>+MAX(MIN(SUM(G$6:$G19)-R19,AN18,SUM(G$6:$G19)-SUM(Q$6:Q18)),0)</f>
        <v>0</v>
      </c>
      <c r="R19" s="946">
        <f>+IF(C19&gt;=sales!$D$36,'Development Cash Flow'!AL19,0)</f>
        <v>0</v>
      </c>
      <c r="S19" s="931">
        <f>IF(AND(A19=$A$5,C19&lt;financing!$D$55),M19-SUM(P19:R19,O19),MIN(M19-SUM(P19:R19,O19),financing!$F$10-SUM(S$5:S18)))</f>
        <v>31736.060430274469</v>
      </c>
      <c r="T19" s="931">
        <f>+MAX(MIN(IF(C19&gt;=financing!$D$55,M19-SUM(P19:S19)-J19,0),financing!$D$57-SUM(T$5:T18)),0)</f>
        <v>0</v>
      </c>
      <c r="U19" s="931">
        <f>+MAX(IF(C19&gt;=general!$C$23,M19-SUM(P19:T19),0)+IF(C19=general!$C$23,reserves!AZ18+AY19,0),0)</f>
        <v>0</v>
      </c>
      <c r="V19" s="946"/>
      <c r="W19" s="946">
        <f>SUMPRODUCT(--($C19=sales!$C$50:$C$54),sales!$F$50:$F$54)</f>
        <v>0</v>
      </c>
      <c r="X19" s="946">
        <f t="shared" si="0"/>
        <v>0</v>
      </c>
      <c r="Y19" s="946">
        <f t="shared" si="1"/>
        <v>0</v>
      </c>
      <c r="Z19" s="946">
        <f t="shared" si="2"/>
        <v>0</v>
      </c>
      <c r="AA19" s="946"/>
      <c r="AB19" s="932" cm="1">
        <f t="array" ref="AB19">SUMPRODUCT(--(C19=sales!$D$22:$D$27),sales!$G$22:$G$27)</f>
        <v>0</v>
      </c>
      <c r="AC19" s="946"/>
      <c r="AD19" s="931">
        <f t="shared" si="3"/>
        <v>0</v>
      </c>
      <c r="AE19" s="932"/>
      <c r="AF19" s="932">
        <f t="shared" si="24"/>
        <v>0</v>
      </c>
      <c r="AG19" s="932">
        <f t="shared" si="25"/>
        <v>0</v>
      </c>
      <c r="AH19" s="931">
        <f t="shared" si="12"/>
        <v>0</v>
      </c>
      <c r="AI19" s="932"/>
      <c r="AJ19" s="931">
        <f t="shared" si="4"/>
        <v>0</v>
      </c>
      <c r="AK19" s="946"/>
      <c r="AL19" s="947">
        <f>+IF(financing!$C$12="YES",'Development Cash Flow'!M19,0)</f>
        <v>0</v>
      </c>
      <c r="AM19" s="947">
        <f t="shared" si="5"/>
        <v>0</v>
      </c>
      <c r="AN19" s="947">
        <f t="shared" si="27"/>
        <v>0</v>
      </c>
      <c r="AO19" s="946"/>
      <c r="AP19" s="947">
        <f>+SUM('Development Cash Flow'!G19:J19)-'Development Cash Flow'!M19</f>
        <v>0</v>
      </c>
      <c r="AQ19" s="947">
        <f t="shared" si="6"/>
        <v>0</v>
      </c>
      <c r="AR19" s="947">
        <f t="shared" si="28"/>
        <v>0</v>
      </c>
      <c r="AS19" s="946"/>
      <c r="AT19" s="947">
        <f t="shared" si="13"/>
        <v>27319600</v>
      </c>
      <c r="AU19" s="947">
        <f t="shared" si="14"/>
        <v>0</v>
      </c>
      <c r="AV19" s="948">
        <f t="shared" si="29"/>
        <v>0</v>
      </c>
      <c r="AW19" s="946"/>
      <c r="AX19" s="947">
        <f t="shared" si="7"/>
        <v>0</v>
      </c>
      <c r="AY19" s="947">
        <f>+AZ18*financing!$E$30/12</f>
        <v>22244.644296642058</v>
      </c>
      <c r="AZ19" s="947">
        <f t="shared" si="15"/>
        <v>2448933.1130212303</v>
      </c>
      <c r="BA19" s="946"/>
      <c r="BB19" s="947">
        <f t="shared" si="16"/>
        <v>0</v>
      </c>
      <c r="BC19" s="947">
        <f>+IF(AND(BD18+BB19+MAX(BD18*financing!$E$15/12,financing!$D$59-SUM(reserves!BC$6:BC18)-SUM(J$6:J19))-reserves!AD19&lt;=0,financing!$D$58&gt;=0),MAX(BD18*financing!$E$15/12,financing!$D$59-SUM(reserves!BC$6:BC18)-SUM(J$6:J19)),BD18*financing!$E$15/12)</f>
        <v>0</v>
      </c>
      <c r="BD19" s="947">
        <f t="shared" si="17"/>
        <v>0</v>
      </c>
      <c r="BE19" s="946"/>
      <c r="BF19" s="947">
        <f t="shared" si="30"/>
        <v>0</v>
      </c>
      <c r="BG19" s="947">
        <f>+IF(AND(BH18+BF19+MAX((BH18*(LIBOR!AA20)*(D19-D18)/360)+BY19,financing!$C$16-SUM(reserves!BG$6:BG18))-reserves!AD19&lt;=0,financing!$L$17&gt;=0),MAX((BH18*(LIBOR!AA20)*(D19-D18)/360)+BY19,financing!$C$16-SUM(reserves!BG$6:BG18)),(BH18*(LIBOR!AA20)*(D19-D18)/360)+BY19)</f>
        <v>0</v>
      </c>
      <c r="BH19" s="947">
        <f t="shared" si="18"/>
        <v>0</v>
      </c>
      <c r="BI19" s="946"/>
      <c r="BJ19" s="937"/>
      <c r="BK19" s="938">
        <f t="shared" si="19"/>
        <v>46660</v>
      </c>
      <c r="BL19" s="939">
        <f>-S19+AJ19+AF19-AX19+AH19+AG19-BB19-BF19+'Development Cash Flow'!Y19</f>
        <v>-31736.060430274469</v>
      </c>
      <c r="BM19" s="940"/>
      <c r="BN19" s="941">
        <f t="shared" si="8"/>
        <v>-31736.060430274469</v>
      </c>
      <c r="BO19" s="940"/>
      <c r="BP19" s="942">
        <f t="shared" si="9"/>
        <v>0</v>
      </c>
      <c r="BS19" s="949" t="e">
        <f t="shared" si="20"/>
        <v>#DIV/0!</v>
      </c>
      <c r="BT19" s="922">
        <f>+IF(SUM(BT$5:BT18)&lt;1,IF(BU19=MAX($BU$6:$BU$54),1,0),0)</f>
        <v>0</v>
      </c>
      <c r="BU19" s="922">
        <f t="shared" si="21"/>
        <v>1223934.9046411877</v>
      </c>
      <c r="BV19" s="943" t="str">
        <f t="shared" si="10"/>
        <v/>
      </c>
      <c r="BW19" s="922" t="str">
        <f t="shared" si="11"/>
        <v/>
      </c>
      <c r="BY19" s="208">
        <f>ROUND(IF(A19="Dev",IF(AND(BK19&gt;general!$D$23,SUM($BZ$6:$BZ18)&lt;1,financing!$L$15&gt;BH18+BF19),financing!$L$16*(BK19-BK18)/360*(financing!$L$15-BH18-BF19),0),0),-2)</f>
        <v>0</v>
      </c>
      <c r="BZ19" s="909">
        <f>+IF(AND(BH19&gt;=financing!$L$15,SUM(BZ$6:BZ18)=0),1,0)</f>
        <v>0</v>
      </c>
      <c r="CA19" s="950">
        <f t="shared" si="22"/>
        <v>0</v>
      </c>
      <c r="CD19" s="914">
        <f>SUM($S$6:S19)</f>
        <v>1223934.9046411877</v>
      </c>
      <c r="CF19" s="208">
        <f>+IF(C19&lt;general!$C$22,0,IF(AND(C19=general!$C$22,OR(A19="Pred",A19="Dev")),SUM(S$6:S19),S19))</f>
        <v>31736.060430274469</v>
      </c>
    </row>
    <row r="20" spans="1:84" ht="16" outlineLevel="1">
      <c r="A20" s="906" t="str">
        <f>+'Development Cash Flow'!A20</f>
        <v>Pred</v>
      </c>
      <c r="B20" s="908"/>
      <c r="C20" s="944">
        <f>IF('Development Cash Flow'!D19&lt;general!$D$28,'Development Cash Flow'!C19+1,0)</f>
        <v>14</v>
      </c>
      <c r="D20" s="945">
        <f t="shared" si="23"/>
        <v>46691</v>
      </c>
      <c r="E20" s="945"/>
      <c r="F20" s="928">
        <f>'Development Cash Flow'!P20*D$4+SUM('Development Cash Flow'!Q20:T20)*F$4</f>
        <v>13486.65</v>
      </c>
      <c r="G20" s="928">
        <f>'Development Cash Flow'!AL20-F20</f>
        <v>18249.410430274467</v>
      </c>
      <c r="H20" s="928"/>
      <c r="I20" s="928"/>
      <c r="J20" s="931">
        <f>+financing!$D$54/12*reserves!BD19</f>
        <v>0</v>
      </c>
      <c r="K20" s="928">
        <f>IF(C20=0,0,IF(C20=sales!$D$32,financing!$E$12*financing!$F$11,IF(OR(C20&gt;general!$C$27,C20&lt;sales!$D$32),0,IF((C20-sales!$D$32)/12=ROUND((C20-sales!$D$32)/12,0),financing!$E$12*financing!$F$11,0))))</f>
        <v>0</v>
      </c>
      <c r="L20" s="928"/>
      <c r="M20" s="928">
        <f t="shared" si="26"/>
        <v>31736.060430274469</v>
      </c>
      <c r="N20" s="946"/>
      <c r="O20" s="946">
        <f>IF(D20=general!$D$21,financing!$F$30,0)</f>
        <v>0</v>
      </c>
      <c r="P20" s="946">
        <f>+MIN(IF(D20&lt;=general!$D$24,SUM(F$6:F20)-SUM(P$6:P19),reserves!F20),AR19)</f>
        <v>0</v>
      </c>
      <c r="Q20" s="946">
        <f>+MAX(MIN(SUM(G$6:$G20)-R20,AN19,SUM(G$6:$G20)-SUM(Q$6:Q19)),0)</f>
        <v>0</v>
      </c>
      <c r="R20" s="946">
        <f>+IF(C20&gt;=sales!$D$36,'Development Cash Flow'!AL20,0)</f>
        <v>0</v>
      </c>
      <c r="S20" s="931">
        <f>IF(AND(A20=$A$5,C20&lt;financing!$D$55),M20-SUM(P20:R20,O20),MIN(M20-SUM(P20:R20,O20),financing!$F$10-SUM(S$5:S19)))</f>
        <v>31736.060430274469</v>
      </c>
      <c r="T20" s="931">
        <f>+MAX(MIN(IF(C20&gt;=financing!$D$55,M20-SUM(P20:S20)-J20,0),financing!$D$57-SUM(T$5:T19)),0)</f>
        <v>0</v>
      </c>
      <c r="U20" s="931">
        <f>+MAX(IF(C20&gt;=general!$C$23,M20-SUM(P20:T20),0)+IF(C20=general!$C$23,reserves!AZ19+AY20,0),0)</f>
        <v>0</v>
      </c>
      <c r="V20" s="946"/>
      <c r="W20" s="946">
        <f>SUMPRODUCT(--($C20=sales!$C$50:$C$54),sales!$F$50:$F$54)</f>
        <v>0</v>
      </c>
      <c r="X20" s="946">
        <f t="shared" si="0"/>
        <v>0</v>
      </c>
      <c r="Y20" s="946">
        <f t="shared" si="1"/>
        <v>0</v>
      </c>
      <c r="Z20" s="946">
        <f t="shared" si="2"/>
        <v>0</v>
      </c>
      <c r="AA20" s="946"/>
      <c r="AB20" s="932" cm="1">
        <f t="array" ref="AB20">SUMPRODUCT(--(C20=sales!$D$22:$D$27),sales!$G$22:$G$27)</f>
        <v>0</v>
      </c>
      <c r="AC20" s="946"/>
      <c r="AD20" s="931">
        <f t="shared" si="3"/>
        <v>0</v>
      </c>
      <c r="AE20" s="932"/>
      <c r="AF20" s="932">
        <f t="shared" si="24"/>
        <v>0</v>
      </c>
      <c r="AG20" s="932">
        <f t="shared" si="25"/>
        <v>0</v>
      </c>
      <c r="AH20" s="931">
        <f t="shared" si="12"/>
        <v>0</v>
      </c>
      <c r="AI20" s="932"/>
      <c r="AJ20" s="931">
        <f t="shared" si="4"/>
        <v>0</v>
      </c>
      <c r="AK20" s="946"/>
      <c r="AL20" s="947">
        <f>+IF(financing!$C$12="YES",'Development Cash Flow'!M20,0)</f>
        <v>0</v>
      </c>
      <c r="AM20" s="947">
        <f t="shared" si="5"/>
        <v>0</v>
      </c>
      <c r="AN20" s="947">
        <f t="shared" si="27"/>
        <v>0</v>
      </c>
      <c r="AO20" s="946"/>
      <c r="AP20" s="947">
        <f>+SUM('Development Cash Flow'!G20:J20)-'Development Cash Flow'!M20</f>
        <v>0</v>
      </c>
      <c r="AQ20" s="947">
        <f t="shared" si="6"/>
        <v>0</v>
      </c>
      <c r="AR20" s="947">
        <f t="shared" si="28"/>
        <v>0</v>
      </c>
      <c r="AS20" s="946"/>
      <c r="AT20" s="947">
        <f t="shared" si="13"/>
        <v>27319600</v>
      </c>
      <c r="AU20" s="947">
        <f t="shared" si="14"/>
        <v>0</v>
      </c>
      <c r="AV20" s="948">
        <f t="shared" si="29"/>
        <v>0</v>
      </c>
      <c r="AW20" s="946"/>
      <c r="AX20" s="947">
        <f t="shared" si="7"/>
        <v>0</v>
      </c>
      <c r="AY20" s="947">
        <f>+AZ19*financing!$E$30/12</f>
        <v>22448.553536027946</v>
      </c>
      <c r="AZ20" s="947">
        <f t="shared" si="15"/>
        <v>2471381.6665572585</v>
      </c>
      <c r="BA20" s="946"/>
      <c r="BB20" s="947">
        <f t="shared" si="16"/>
        <v>0</v>
      </c>
      <c r="BC20" s="947">
        <f>+IF(AND(BD19+BB20+MAX(BD19*financing!$E$15/12,financing!$D$59-SUM(reserves!BC$6:BC19)-SUM(J$6:J20))-reserves!AD20&lt;=0,financing!$D$58&gt;=0),MAX(BD19*financing!$E$15/12,financing!$D$59-SUM(reserves!BC$6:BC19)-SUM(J$6:J20)),BD19*financing!$E$15/12)</f>
        <v>0</v>
      </c>
      <c r="BD20" s="947">
        <f t="shared" si="17"/>
        <v>0</v>
      </c>
      <c r="BE20" s="946"/>
      <c r="BF20" s="947">
        <f t="shared" si="30"/>
        <v>0</v>
      </c>
      <c r="BG20" s="947">
        <f>+IF(AND(BH19+BF20+MAX((BH19*(LIBOR!AA21)*(D20-D19)/360)+BY20,financing!$C$16-SUM(reserves!BG$6:BG19))-reserves!AD20&lt;=0,financing!$L$17&gt;=0),MAX((BH19*(LIBOR!AA21)*(D20-D19)/360)+BY20,financing!$C$16-SUM(reserves!BG$6:BG19)),(BH19*(LIBOR!AA21)*(D20-D19)/360)+BY20)</f>
        <v>0</v>
      </c>
      <c r="BH20" s="947">
        <f t="shared" si="18"/>
        <v>0</v>
      </c>
      <c r="BI20" s="946"/>
      <c r="BJ20" s="937"/>
      <c r="BK20" s="938">
        <f t="shared" si="19"/>
        <v>46691</v>
      </c>
      <c r="BL20" s="939">
        <f>-S20+AJ20+AF20-AX20+AH20+AG20-BB20-BF20+'Development Cash Flow'!Y20</f>
        <v>-31736.060430274469</v>
      </c>
      <c r="BM20" s="940"/>
      <c r="BN20" s="941">
        <f t="shared" si="8"/>
        <v>-31736.060430274469</v>
      </c>
      <c r="BO20" s="940"/>
      <c r="BP20" s="942">
        <f t="shared" si="9"/>
        <v>0</v>
      </c>
      <c r="BS20" s="949" t="e">
        <f t="shared" si="20"/>
        <v>#DIV/0!</v>
      </c>
      <c r="BT20" s="922">
        <f>+IF(SUM(BT$5:BT19)&lt;1,IF(BU20=MAX($BU$6:$BU$54),1,0),0)</f>
        <v>0</v>
      </c>
      <c r="BU20" s="922">
        <f t="shared" si="21"/>
        <v>1255670.9650714623</v>
      </c>
      <c r="BV20" s="943" t="str">
        <f t="shared" si="10"/>
        <v/>
      </c>
      <c r="BW20" s="922" t="str">
        <f t="shared" si="11"/>
        <v/>
      </c>
      <c r="BY20" s="208">
        <f>ROUND(IF(A20="Dev",IF(AND(BK20&gt;general!$D$23,SUM($BZ$6:$BZ19)&lt;1,financing!$L$15&gt;BH19+BF20),financing!$L$16*(BK20-BK19)/360*(financing!$L$15-BH19-BF20),0),0),-2)</f>
        <v>0</v>
      </c>
      <c r="BZ20" s="909">
        <f>+IF(AND(BH20&gt;=financing!$L$15,SUM(BZ$6:BZ19)=0),1,0)</f>
        <v>0</v>
      </c>
      <c r="CA20" s="950">
        <f t="shared" si="22"/>
        <v>0</v>
      </c>
      <c r="CC20" s="909">
        <f>+(BH19)*financing!E16/12</f>
        <v>0</v>
      </c>
      <c r="CD20" s="914">
        <f>SUM($S$6:S20)</f>
        <v>1255670.9650714623</v>
      </c>
      <c r="CF20" s="208">
        <f>+IF(C20&lt;general!$C$22,0,IF(AND(C20=general!$C$22,OR(A20="Pred",A20="Dev")),SUM(S$6:S20),S20))</f>
        <v>31736.060430274469</v>
      </c>
    </row>
    <row r="21" spans="1:84" ht="16" outlineLevel="1">
      <c r="A21" s="906" t="str">
        <f>+'Development Cash Flow'!A21</f>
        <v>Pred</v>
      </c>
      <c r="B21" s="908"/>
      <c r="C21" s="944">
        <f>IF('Development Cash Flow'!D20&lt;general!$D$28,'Development Cash Flow'!C20+1,0)</f>
        <v>15</v>
      </c>
      <c r="D21" s="945">
        <f t="shared" si="23"/>
        <v>46721</v>
      </c>
      <c r="E21" s="945"/>
      <c r="F21" s="928">
        <f>'Development Cash Flow'!P21*D$4+SUM('Development Cash Flow'!Q21:T21)*F$4</f>
        <v>13486.65</v>
      </c>
      <c r="G21" s="928">
        <f>'Development Cash Flow'!AL21-F21</f>
        <v>99963.696144560192</v>
      </c>
      <c r="H21" s="928"/>
      <c r="I21" s="928"/>
      <c r="J21" s="931">
        <f>+financing!$D$54/12*reserves!BD20</f>
        <v>0</v>
      </c>
      <c r="K21" s="928">
        <f>IF(C21=0,0,IF(C21=sales!$D$32,financing!$E$12*financing!$F$11,IF(OR(C21&gt;general!$C$27,C21&lt;sales!$D$32),0,IF((C21-sales!$D$32)/12=ROUND((C21-sales!$D$32)/12,0),financing!$E$12*financing!$F$11,0))))</f>
        <v>0</v>
      </c>
      <c r="L21" s="928"/>
      <c r="M21" s="928">
        <f t="shared" si="26"/>
        <v>113450.34614456019</v>
      </c>
      <c r="N21" s="946"/>
      <c r="O21" s="946">
        <f>IF(D21=general!$D$21,financing!$F$30,0)</f>
        <v>0</v>
      </c>
      <c r="P21" s="946">
        <f>+MIN(IF(D21&lt;=general!$D$24,SUM(F$6:F21)-SUM(P$6:P20),reserves!F21),AR20)</f>
        <v>0</v>
      </c>
      <c r="Q21" s="946">
        <f>+MAX(MIN(SUM(G$6:$G21)-R21,AN20,SUM(G$6:$G21)-SUM(Q$6:Q20)),0)</f>
        <v>0</v>
      </c>
      <c r="R21" s="946">
        <f>+IF(C21&gt;=sales!$D$36,'Development Cash Flow'!AL21,0)</f>
        <v>0</v>
      </c>
      <c r="S21" s="931">
        <f>IF(AND(A21=$A$5,C21&lt;financing!$D$55),M21-SUM(P21:R21,O21),MIN(M21-SUM(P21:R21,O21),financing!$F$10-SUM(S$5:S20)))</f>
        <v>113450.34614456019</v>
      </c>
      <c r="T21" s="931">
        <f>+MAX(MIN(IF(C21&gt;=financing!$D$55,M21-SUM(P21:S21)-J21,0),financing!$D$57-SUM(T$5:T20)),0)</f>
        <v>0</v>
      </c>
      <c r="U21" s="931">
        <f>+MAX(IF(C21&gt;=general!$C$23,M21-SUM(P21:T21),0)+IF(C21=general!$C$23,reserves!AZ20+AY21,0),0)</f>
        <v>0</v>
      </c>
      <c r="V21" s="946"/>
      <c r="W21" s="946">
        <f>SUMPRODUCT(--($C21=sales!$C$50:$C$54),sales!$F$50:$F$54)</f>
        <v>0</v>
      </c>
      <c r="X21" s="946">
        <f t="shared" si="0"/>
        <v>0</v>
      </c>
      <c r="Y21" s="946">
        <f t="shared" si="1"/>
        <v>0</v>
      </c>
      <c r="Z21" s="946">
        <f t="shared" si="2"/>
        <v>0</v>
      </c>
      <c r="AA21" s="946"/>
      <c r="AB21" s="932" cm="1">
        <f t="array" ref="AB21">SUMPRODUCT(--(C21=sales!$D$22:$D$27),sales!$G$22:$G$27)</f>
        <v>0</v>
      </c>
      <c r="AC21" s="946"/>
      <c r="AD21" s="931">
        <f t="shared" si="3"/>
        <v>0</v>
      </c>
      <c r="AE21" s="932"/>
      <c r="AF21" s="932">
        <f t="shared" si="24"/>
        <v>0</v>
      </c>
      <c r="AG21" s="932">
        <f t="shared" si="25"/>
        <v>0</v>
      </c>
      <c r="AH21" s="931">
        <f t="shared" si="12"/>
        <v>0</v>
      </c>
      <c r="AI21" s="932"/>
      <c r="AJ21" s="931">
        <f t="shared" si="4"/>
        <v>0</v>
      </c>
      <c r="AK21" s="946"/>
      <c r="AL21" s="947">
        <f>+IF(financing!$C$12="YES",'Development Cash Flow'!M21,0)</f>
        <v>0</v>
      </c>
      <c r="AM21" s="947">
        <f t="shared" si="5"/>
        <v>0</v>
      </c>
      <c r="AN21" s="947">
        <f t="shared" si="27"/>
        <v>0</v>
      </c>
      <c r="AO21" s="946"/>
      <c r="AP21" s="947">
        <f>+SUM('Development Cash Flow'!G21:J21)-'Development Cash Flow'!M21</f>
        <v>0</v>
      </c>
      <c r="AQ21" s="947">
        <f t="shared" si="6"/>
        <v>0</v>
      </c>
      <c r="AR21" s="947">
        <f t="shared" si="28"/>
        <v>0</v>
      </c>
      <c r="AS21" s="946"/>
      <c r="AT21" s="947">
        <f t="shared" si="13"/>
        <v>27319600</v>
      </c>
      <c r="AU21" s="947">
        <f t="shared" si="14"/>
        <v>0</v>
      </c>
      <c r="AV21" s="948">
        <f t="shared" si="29"/>
        <v>0</v>
      </c>
      <c r="AW21" s="946"/>
      <c r="AX21" s="947">
        <f t="shared" si="7"/>
        <v>0</v>
      </c>
      <c r="AY21" s="947">
        <f>+AZ20*financing!$E$30/12</f>
        <v>22654.331943441535</v>
      </c>
      <c r="AZ21" s="947">
        <f t="shared" si="15"/>
        <v>2494035.9985007001</v>
      </c>
      <c r="BA21" s="946"/>
      <c r="BB21" s="947">
        <f t="shared" si="16"/>
        <v>0</v>
      </c>
      <c r="BC21" s="947">
        <f>+IF(AND(BD20+BB21+MAX(BD20*financing!$E$15/12,financing!$D$59-SUM(reserves!BC$6:BC20)-SUM(J$6:J21))-reserves!AD21&lt;=0,financing!$D$58&gt;=0),MAX(BD20*financing!$E$15/12,financing!$D$59-SUM(reserves!BC$6:BC20)-SUM(J$6:J21)),BD20*financing!$E$15/12)</f>
        <v>0</v>
      </c>
      <c r="BD21" s="947">
        <f t="shared" si="17"/>
        <v>0</v>
      </c>
      <c r="BE21" s="946"/>
      <c r="BF21" s="947">
        <f t="shared" si="30"/>
        <v>0</v>
      </c>
      <c r="BG21" s="947">
        <f>+IF(AND(BH20+BF21+MAX((BH20*(LIBOR!AA22)*(D21-D20)/360)+BY21,financing!$C$16-SUM(reserves!BG$6:BG20))-reserves!AD21&lt;=0,financing!$L$17&gt;=0),MAX((BH20*(LIBOR!AA22)*(D21-D20)/360)+BY21,financing!$C$16-SUM(reserves!BG$6:BG20)),(BH20*(LIBOR!AA22)*(D21-D20)/360)+BY21)</f>
        <v>0</v>
      </c>
      <c r="BH21" s="947">
        <f t="shared" si="18"/>
        <v>0</v>
      </c>
      <c r="BI21" s="946"/>
      <c r="BJ21" s="937"/>
      <c r="BK21" s="938">
        <f t="shared" si="19"/>
        <v>46721</v>
      </c>
      <c r="BL21" s="939">
        <f>-S21+AJ21+AF21-AX21+AH21+AG21-BB21-BF21+'Development Cash Flow'!Y21</f>
        <v>-113450.34614456019</v>
      </c>
      <c r="BM21" s="940"/>
      <c r="BN21" s="941">
        <f t="shared" si="8"/>
        <v>-113450.34614456019</v>
      </c>
      <c r="BO21" s="940"/>
      <c r="BP21" s="942">
        <f t="shared" si="9"/>
        <v>0</v>
      </c>
      <c r="BS21" s="949" t="e">
        <f t="shared" si="20"/>
        <v>#DIV/0!</v>
      </c>
      <c r="BT21" s="922">
        <f>+IF(SUM(BT$5:BT20)&lt;1,IF(BU21=MAX($BU$6:$BU$54),1,0),0)</f>
        <v>0</v>
      </c>
      <c r="BU21" s="922">
        <f t="shared" si="21"/>
        <v>1369121.3112160226</v>
      </c>
      <c r="BV21" s="943" t="str">
        <f t="shared" si="10"/>
        <v/>
      </c>
      <c r="BW21" s="922" t="str">
        <f t="shared" si="11"/>
        <v/>
      </c>
      <c r="BY21" s="208">
        <f>ROUND(IF(A21="Dev",IF(AND(BK21&gt;general!$D$23,SUM($BZ$6:$BZ20)&lt;1,financing!$L$15&gt;BH20+BF21),financing!$L$16*(BK21-BK20)/360*(financing!$L$15-BH20-BF21),0),0),-2)</f>
        <v>0</v>
      </c>
      <c r="BZ21" s="909">
        <f>+IF(AND(BH21&gt;=financing!$L$15,SUM(BZ$6:BZ20)=0),1,0)</f>
        <v>0</v>
      </c>
      <c r="CA21" s="950">
        <f t="shared" si="22"/>
        <v>0</v>
      </c>
      <c r="CD21" s="914">
        <f>SUM($S$6:S21)</f>
        <v>1369121.3112160226</v>
      </c>
      <c r="CF21" s="208">
        <f>+IF(C21&lt;general!$C$22,0,IF(AND(C21=general!$C$22,OR(A21="Pred",A21="Dev")),SUM(S$6:S21),S21))</f>
        <v>113450.34614456019</v>
      </c>
    </row>
    <row r="22" spans="1:84" ht="16" outlineLevel="1">
      <c r="A22" s="906" t="str">
        <f>+'Development Cash Flow'!A22</f>
        <v>Pred</v>
      </c>
      <c r="B22" s="908"/>
      <c r="C22" s="944">
        <f>IF('Development Cash Flow'!D21&lt;general!$D$28,'Development Cash Flow'!C21+1,0)</f>
        <v>16</v>
      </c>
      <c r="D22" s="945">
        <f t="shared" si="23"/>
        <v>46752</v>
      </c>
      <c r="E22" s="945"/>
      <c r="F22" s="928">
        <f>'Development Cash Flow'!P22*D$4+SUM('Development Cash Flow'!Q22:T22)*F$4</f>
        <v>13486.65</v>
      </c>
      <c r="G22" s="928">
        <f>'Development Cash Flow'!AL22-F22</f>
        <v>18249.410430274467</v>
      </c>
      <c r="H22" s="928"/>
      <c r="I22" s="928"/>
      <c r="J22" s="931">
        <f>+financing!$D$54/12*reserves!BD21</f>
        <v>0</v>
      </c>
      <c r="K22" s="928">
        <f>IF(C22=0,0,IF(C22=sales!$D$32,financing!$E$12*financing!$F$11,IF(OR(C22&gt;general!$C$27,C22&lt;sales!$D$32),0,IF((C22-sales!$D$32)/12=ROUND((C22-sales!$D$32)/12,0),financing!$E$12*financing!$F$11,0))))</f>
        <v>0</v>
      </c>
      <c r="L22" s="928"/>
      <c r="M22" s="928">
        <f t="shared" si="26"/>
        <v>31736.060430274469</v>
      </c>
      <c r="N22" s="946"/>
      <c r="O22" s="946">
        <f>IF(D22=general!$D$21,financing!$F$30,0)</f>
        <v>0</v>
      </c>
      <c r="P22" s="946">
        <f>+MIN(IF(D22&lt;=general!$D$24,SUM(F$6:F22)-SUM(P$6:P21),reserves!F22),AR21)</f>
        <v>0</v>
      </c>
      <c r="Q22" s="946">
        <f>+MAX(MIN(SUM(G$6:$G22)-R22,AN21,SUM(G$6:$G22)-SUM(Q$6:Q21)),0)</f>
        <v>0</v>
      </c>
      <c r="R22" s="946">
        <f>+IF(C22&gt;=sales!$D$36,'Development Cash Flow'!AL22,0)</f>
        <v>0</v>
      </c>
      <c r="S22" s="931">
        <f>IF(AND(A22=$A$5,C22&lt;financing!$D$55),M22-SUM(P22:R22,O22),MIN(M22-SUM(P22:R22,O22),financing!$F$10-SUM(S$5:S21)))</f>
        <v>31736.060430274469</v>
      </c>
      <c r="T22" s="931">
        <f>+MAX(MIN(IF(C22&gt;=financing!$D$55,M22-SUM(P22:S22)-J22,0),financing!$D$57-SUM(T$5:T21)),0)</f>
        <v>0</v>
      </c>
      <c r="U22" s="931">
        <f>+MAX(IF(C22&gt;=general!$C$23,M22-SUM(P22:T22),0)+IF(C22=general!$C$23,reserves!AZ21+AY22,0),0)</f>
        <v>0</v>
      </c>
      <c r="V22" s="946"/>
      <c r="W22" s="946">
        <f>SUMPRODUCT(--($C22=sales!$C$50:$C$54),sales!$F$50:$F$54)</f>
        <v>0</v>
      </c>
      <c r="X22" s="946">
        <f t="shared" si="0"/>
        <v>0</v>
      </c>
      <c r="Y22" s="946">
        <f t="shared" si="1"/>
        <v>0</v>
      </c>
      <c r="Z22" s="946">
        <f t="shared" si="2"/>
        <v>0</v>
      </c>
      <c r="AA22" s="946"/>
      <c r="AB22" s="932" cm="1">
        <f t="array" ref="AB22">SUMPRODUCT(--(C22=sales!$D$22:$D$27),sales!$G$22:$G$27)</f>
        <v>0</v>
      </c>
      <c r="AC22" s="946"/>
      <c r="AD22" s="931">
        <f t="shared" si="3"/>
        <v>0</v>
      </c>
      <c r="AE22" s="932"/>
      <c r="AF22" s="932">
        <f t="shared" si="24"/>
        <v>0</v>
      </c>
      <c r="AG22" s="932">
        <f t="shared" si="25"/>
        <v>0</v>
      </c>
      <c r="AH22" s="931">
        <f t="shared" si="12"/>
        <v>0</v>
      </c>
      <c r="AI22" s="932"/>
      <c r="AJ22" s="931">
        <f t="shared" si="4"/>
        <v>0</v>
      </c>
      <c r="AK22" s="946"/>
      <c r="AL22" s="947">
        <f>+IF(financing!$C$12="YES",'Development Cash Flow'!M22,0)</f>
        <v>0</v>
      </c>
      <c r="AM22" s="947">
        <f t="shared" si="5"/>
        <v>0</v>
      </c>
      <c r="AN22" s="947">
        <f t="shared" si="27"/>
        <v>0</v>
      </c>
      <c r="AO22" s="946"/>
      <c r="AP22" s="947">
        <f>+SUM('Development Cash Flow'!G22:J22)-'Development Cash Flow'!M22</f>
        <v>0</v>
      </c>
      <c r="AQ22" s="947">
        <f t="shared" si="6"/>
        <v>0</v>
      </c>
      <c r="AR22" s="947">
        <f t="shared" si="28"/>
        <v>0</v>
      </c>
      <c r="AS22" s="946"/>
      <c r="AT22" s="947">
        <f t="shared" si="13"/>
        <v>27319600</v>
      </c>
      <c r="AU22" s="947">
        <f t="shared" si="14"/>
        <v>0</v>
      </c>
      <c r="AV22" s="948">
        <f t="shared" si="29"/>
        <v>0</v>
      </c>
      <c r="AW22" s="946"/>
      <c r="AX22" s="947">
        <f t="shared" si="7"/>
        <v>0</v>
      </c>
      <c r="AY22" s="947">
        <f>+AZ21*financing!$E$30/12</f>
        <v>22861.996652923084</v>
      </c>
      <c r="AZ22" s="947">
        <f t="shared" si="15"/>
        <v>2516897.9951536232</v>
      </c>
      <c r="BA22" s="946"/>
      <c r="BB22" s="947">
        <f t="shared" si="16"/>
        <v>0</v>
      </c>
      <c r="BC22" s="947">
        <f>+IF(AND(BD21+BB22+MAX(BD21*financing!$E$15/12,financing!$D$59-SUM(reserves!BC$6:BC21)-SUM(J$6:J22))-reserves!AD22&lt;=0,financing!$D$58&gt;=0),MAX(BD21*financing!$E$15/12,financing!$D$59-SUM(reserves!BC$6:BC21)-SUM(J$6:J22)),BD21*financing!$E$15/12)</f>
        <v>0</v>
      </c>
      <c r="BD22" s="947">
        <f t="shared" si="17"/>
        <v>0</v>
      </c>
      <c r="BE22" s="946"/>
      <c r="BF22" s="947">
        <f t="shared" si="30"/>
        <v>0</v>
      </c>
      <c r="BG22" s="947">
        <f>+IF(AND(BH21+BF22+MAX((BH21*(LIBOR!AA23)*(D22-D21)/360)+BY22,financing!$C$16-SUM(reserves!BG$6:BG21))-reserves!AD22&lt;=0,financing!$L$17&gt;=0),MAX((BH21*(LIBOR!AA23)*(D22-D21)/360)+BY22,financing!$C$16-SUM(reserves!BG$6:BG21)),(BH21*(LIBOR!AA23)*(D22-D21)/360)+BY22)</f>
        <v>0</v>
      </c>
      <c r="BH22" s="947">
        <f t="shared" si="18"/>
        <v>0</v>
      </c>
      <c r="BI22" s="946"/>
      <c r="BJ22" s="937"/>
      <c r="BK22" s="938">
        <f t="shared" si="19"/>
        <v>46752</v>
      </c>
      <c r="BL22" s="939">
        <f>-S22+AJ22+AF22-AX22+AH22+AG22-BB22-BF22+'Development Cash Flow'!Y22</f>
        <v>-31736.060430274469</v>
      </c>
      <c r="BM22" s="940"/>
      <c r="BN22" s="941">
        <f t="shared" si="8"/>
        <v>-31736.060430274469</v>
      </c>
      <c r="BO22" s="940"/>
      <c r="BP22" s="942">
        <f t="shared" si="9"/>
        <v>0</v>
      </c>
      <c r="BS22" s="949" t="e">
        <f t="shared" si="20"/>
        <v>#DIV/0!</v>
      </c>
      <c r="BT22" s="922">
        <f>+IF(SUM(BT$5:BT21)&lt;1,IF(BU22=MAX($BU$6:$BU$54),1,0),0)</f>
        <v>0</v>
      </c>
      <c r="BU22" s="922">
        <f t="shared" si="21"/>
        <v>1400857.3716462972</v>
      </c>
      <c r="BV22" s="943" t="str">
        <f t="shared" si="10"/>
        <v/>
      </c>
      <c r="BW22" s="922" t="str">
        <f t="shared" si="11"/>
        <v/>
      </c>
      <c r="BY22" s="208">
        <f>ROUND(IF(A22="Dev",IF(AND(BK22&gt;general!$D$23,SUM($BZ$6:$BZ21)&lt;1,financing!$L$15&gt;BH21+BF22),financing!$L$16*(BK22-BK21)/360*(financing!$L$15-BH21-BF22),0),0),-2)</f>
        <v>0</v>
      </c>
      <c r="BZ22" s="909">
        <f>+IF(AND(BH22&gt;=financing!$L$15,SUM(BZ$6:BZ21)=0),1,0)</f>
        <v>0</v>
      </c>
      <c r="CA22" s="950">
        <f t="shared" si="22"/>
        <v>0</v>
      </c>
      <c r="CD22" s="914">
        <f>SUM($S$6:S22)</f>
        <v>1400857.3716462972</v>
      </c>
      <c r="CF22" s="208">
        <f>+IF(C22&lt;general!$C$22,0,IF(AND(C22=general!$C$22,OR(A22="Pred",A22="Dev")),SUM(S$6:S22),S22))</f>
        <v>31736.060430274469</v>
      </c>
    </row>
    <row r="23" spans="1:84" ht="16" outlineLevel="1">
      <c r="A23" s="906" t="str">
        <f>+'Development Cash Flow'!A23</f>
        <v>Pred</v>
      </c>
      <c r="B23" s="908"/>
      <c r="C23" s="944">
        <f>IF('Development Cash Flow'!D22&lt;general!$D$28,'Development Cash Flow'!C22+1,0)</f>
        <v>17</v>
      </c>
      <c r="D23" s="945">
        <f t="shared" si="23"/>
        <v>46783</v>
      </c>
      <c r="E23" s="945"/>
      <c r="F23" s="928">
        <f>'Development Cash Flow'!P23*D$4+SUM('Development Cash Flow'!Q23:T23)*F$4</f>
        <v>13486.65</v>
      </c>
      <c r="G23" s="928">
        <f>'Development Cash Flow'!AL23-F23</f>
        <v>18249.410430274467</v>
      </c>
      <c r="H23" s="928"/>
      <c r="I23" s="928"/>
      <c r="J23" s="931">
        <f>+financing!$D$54/12*reserves!BD22</f>
        <v>0</v>
      </c>
      <c r="K23" s="928">
        <f>IF(C23=0,0,IF(C23=sales!$D$32,financing!$E$12*financing!$F$11,IF(OR(C23&gt;general!$C$27,C23&lt;sales!$D$32),0,IF((C23-sales!$D$32)/12=ROUND((C23-sales!$D$32)/12,0),financing!$E$12*financing!$F$11,0))))</f>
        <v>0</v>
      </c>
      <c r="L23" s="928"/>
      <c r="M23" s="928">
        <f t="shared" si="26"/>
        <v>31736.060430274469</v>
      </c>
      <c r="N23" s="946"/>
      <c r="O23" s="946">
        <f>IF(D23=general!$D$21,financing!$F$30,0)</f>
        <v>0</v>
      </c>
      <c r="P23" s="946">
        <f>+MIN(IF(D23&lt;=general!$D$24,SUM(F$6:F23)-SUM(P$6:P22),reserves!F23),AR22)</f>
        <v>0</v>
      </c>
      <c r="Q23" s="946">
        <f>+MAX(MIN(SUM(G$6:$G23)-R23,AN22,SUM(G$6:$G23)-SUM(Q$6:Q22)),0)</f>
        <v>0</v>
      </c>
      <c r="R23" s="946">
        <f>+IF(C23&gt;=sales!$D$36,'Development Cash Flow'!AL23,0)</f>
        <v>0</v>
      </c>
      <c r="S23" s="931">
        <f>IF(AND(A23=$A$5,C23&lt;financing!$D$55),M23-SUM(P23:R23,O23),MIN(M23-SUM(P23:R23,O23),financing!$F$10-SUM(S$5:S22)))</f>
        <v>31736.060430274469</v>
      </c>
      <c r="T23" s="931">
        <f>+MAX(MIN(IF(C23&gt;=financing!$D$55,M23-SUM(P23:S23)-J23,0),financing!$D$57-SUM(T$5:T22)),0)</f>
        <v>0</v>
      </c>
      <c r="U23" s="931">
        <f>+MAX(IF(C23&gt;=general!$C$23,M23-SUM(P23:T23),0)+IF(C23=general!$C$23,reserves!AZ22+AY23,0),0)</f>
        <v>0</v>
      </c>
      <c r="V23" s="946"/>
      <c r="W23" s="946">
        <f>SUMPRODUCT(--($C23=sales!$C$50:$C$54),sales!$F$50:$F$54)</f>
        <v>0</v>
      </c>
      <c r="X23" s="946">
        <f t="shared" si="0"/>
        <v>0</v>
      </c>
      <c r="Y23" s="946">
        <f t="shared" si="1"/>
        <v>0</v>
      </c>
      <c r="Z23" s="946">
        <f t="shared" si="2"/>
        <v>0</v>
      </c>
      <c r="AA23" s="946"/>
      <c r="AB23" s="932" cm="1">
        <f t="array" ref="AB23">SUMPRODUCT(--(C23=sales!$D$22:$D$27),sales!$G$22:$G$27)</f>
        <v>0</v>
      </c>
      <c r="AC23" s="946"/>
      <c r="AD23" s="931">
        <f t="shared" si="3"/>
        <v>0</v>
      </c>
      <c r="AE23" s="932"/>
      <c r="AF23" s="932">
        <f t="shared" si="24"/>
        <v>0</v>
      </c>
      <c r="AG23" s="932">
        <f t="shared" si="25"/>
        <v>0</v>
      </c>
      <c r="AH23" s="931">
        <f t="shared" si="12"/>
        <v>0</v>
      </c>
      <c r="AI23" s="932"/>
      <c r="AJ23" s="931">
        <f t="shared" si="4"/>
        <v>0</v>
      </c>
      <c r="AK23" s="946"/>
      <c r="AL23" s="947">
        <f>+IF(financing!$C$12="YES",'Development Cash Flow'!M23,0)</f>
        <v>0</v>
      </c>
      <c r="AM23" s="947">
        <f t="shared" si="5"/>
        <v>0</v>
      </c>
      <c r="AN23" s="947">
        <f t="shared" si="27"/>
        <v>0</v>
      </c>
      <c r="AO23" s="946"/>
      <c r="AP23" s="947">
        <f>+SUM('Development Cash Flow'!G23:J23)-'Development Cash Flow'!M23</f>
        <v>0</v>
      </c>
      <c r="AQ23" s="947">
        <f t="shared" si="6"/>
        <v>0</v>
      </c>
      <c r="AR23" s="947">
        <f t="shared" si="28"/>
        <v>0</v>
      </c>
      <c r="AS23" s="946"/>
      <c r="AT23" s="947">
        <f t="shared" si="13"/>
        <v>27319600</v>
      </c>
      <c r="AU23" s="947">
        <f t="shared" si="14"/>
        <v>0</v>
      </c>
      <c r="AV23" s="948">
        <f t="shared" si="29"/>
        <v>0</v>
      </c>
      <c r="AW23" s="946"/>
      <c r="AX23" s="947">
        <f t="shared" si="7"/>
        <v>0</v>
      </c>
      <c r="AY23" s="947">
        <f>+AZ22*financing!$E$30/12</f>
        <v>23071.564955574879</v>
      </c>
      <c r="AZ23" s="947">
        <f t="shared" si="15"/>
        <v>2539969.5601091981</v>
      </c>
      <c r="BA23" s="946"/>
      <c r="BB23" s="947">
        <f t="shared" si="16"/>
        <v>0</v>
      </c>
      <c r="BC23" s="947">
        <f>+IF(AND(BD22+BB23+MAX(BD22*financing!$E$15/12,financing!$D$59-SUM(reserves!BC$6:BC22)-SUM(J$6:J23))-reserves!AD23&lt;=0,financing!$D$58&gt;=0),MAX(BD22*financing!$E$15/12,financing!$D$59-SUM(reserves!BC$6:BC22)-SUM(J$6:J23)),BD22*financing!$E$15/12)</f>
        <v>0</v>
      </c>
      <c r="BD23" s="947">
        <f t="shared" si="17"/>
        <v>0</v>
      </c>
      <c r="BE23" s="946"/>
      <c r="BF23" s="947">
        <f t="shared" si="30"/>
        <v>0</v>
      </c>
      <c r="BG23" s="947">
        <f>+IF(AND(BH22+BF23+MAX((BH22*(LIBOR!AA24)*(D23-D22)/360)+BY23,financing!$C$16-SUM(reserves!BG$6:BG22))-reserves!AD23&lt;=0,financing!$L$17&gt;=0),MAX((BH22*(LIBOR!AA24)*(D23-D22)/360)+BY23,financing!$C$16-SUM(reserves!BG$6:BG22)),(BH22*(LIBOR!AA24)*(D23-D22)/360)+BY23)</f>
        <v>0</v>
      </c>
      <c r="BH23" s="947">
        <f t="shared" si="18"/>
        <v>0</v>
      </c>
      <c r="BI23" s="946"/>
      <c r="BJ23" s="937"/>
      <c r="BK23" s="938">
        <f t="shared" si="19"/>
        <v>46783</v>
      </c>
      <c r="BL23" s="939">
        <f>-S23+AJ23+AF23-AX23+AH23+AG23-BB23-BF23+'Development Cash Flow'!Y23</f>
        <v>-31736.060430274469</v>
      </c>
      <c r="BM23" s="940"/>
      <c r="BN23" s="941">
        <f t="shared" si="8"/>
        <v>-31736.060430274469</v>
      </c>
      <c r="BO23" s="940"/>
      <c r="BP23" s="942">
        <f t="shared" si="9"/>
        <v>0</v>
      </c>
      <c r="BS23" s="949" t="e">
        <f t="shared" si="20"/>
        <v>#DIV/0!</v>
      </c>
      <c r="BT23" s="922">
        <f>+IF(SUM(BT$5:BT22)&lt;1,IF(BU23=MAX($BU$6:$BU$54),1,0),0)</f>
        <v>0</v>
      </c>
      <c r="BU23" s="922">
        <f t="shared" si="21"/>
        <v>1432593.4320765717</v>
      </c>
      <c r="BV23" s="943" t="str">
        <f t="shared" si="10"/>
        <v/>
      </c>
      <c r="BW23" s="922" t="str">
        <f t="shared" si="11"/>
        <v/>
      </c>
      <c r="BY23" s="208">
        <f>ROUND(IF(A23="Dev",IF(AND(BK23&gt;general!$D$23,SUM($BZ$6:$BZ22)&lt;1,financing!$L$15&gt;BH22+BF23),financing!$L$16*(BK23-BK22)/360*(financing!$L$15-BH22-BF23),0),0),-2)</f>
        <v>0</v>
      </c>
      <c r="BZ23" s="909">
        <f>+IF(AND(BH23&gt;=financing!$L$15,SUM(BZ$6:BZ22)=0),1,0)</f>
        <v>0</v>
      </c>
      <c r="CA23" s="950">
        <f t="shared" si="22"/>
        <v>0</v>
      </c>
      <c r="CD23" s="914">
        <f>SUM($S$6:S23)</f>
        <v>1432593.4320765717</v>
      </c>
      <c r="CF23" s="208">
        <f>+IF(C23&lt;general!$C$22,0,IF(AND(C23=general!$C$22,OR(A23="Pred",A23="Dev")),SUM(S$6:S23),S23))</f>
        <v>31736.060430274469</v>
      </c>
    </row>
    <row r="24" spans="1:84" ht="16" outlineLevel="1">
      <c r="A24" s="906" t="str">
        <f>+'Development Cash Flow'!A24</f>
        <v>Dev</v>
      </c>
      <c r="B24" s="908"/>
      <c r="C24" s="944">
        <f>IF('Development Cash Flow'!D23&lt;general!$D$28,'Development Cash Flow'!C23+1,0)</f>
        <v>18</v>
      </c>
      <c r="D24" s="945">
        <f t="shared" si="23"/>
        <v>46812</v>
      </c>
      <c r="E24" s="945"/>
      <c r="F24" s="928">
        <f>'Development Cash Flow'!P24*D$4+SUM('Development Cash Flow'!Q24:T24)*F$4</f>
        <v>585239.78879014845</v>
      </c>
      <c r="G24" s="928">
        <f>'Development Cash Flow'!AL24-F24</f>
        <v>953296.50046849414</v>
      </c>
      <c r="H24" s="928"/>
      <c r="I24" s="928"/>
      <c r="J24" s="931">
        <f>+financing!$D$54/12*reserves!BD23</f>
        <v>0</v>
      </c>
      <c r="K24" s="928">
        <f>IF(C24=0,0,IF(C24=sales!$D$32,financing!$E$12*financing!$F$11,IF(OR(C24&gt;general!$C$27,C24&lt;sales!$D$32),0,IF((C24-sales!$D$32)/12=ROUND((C24-sales!$D$32)/12,0),financing!$E$12*financing!$F$11,0))))</f>
        <v>12293.82</v>
      </c>
      <c r="L24" s="928"/>
      <c r="M24" s="928">
        <f t="shared" si="26"/>
        <v>1550830.1092586427</v>
      </c>
      <c r="N24" s="946"/>
      <c r="O24" s="946">
        <f>IF(D24=general!$D$21,financing!$F$30,0)</f>
        <v>0</v>
      </c>
      <c r="P24" s="946">
        <f>+MIN(IF(D24&lt;=general!$D$24,SUM(F$6:F24)-SUM(P$6:P23),reserves!F24),AR23)</f>
        <v>0</v>
      </c>
      <c r="Q24" s="946">
        <f>+MAX(MIN(SUM(G$6:$G24)-R24,AN23,SUM(G$6:$G24)-SUM(Q$6:Q23)),0)</f>
        <v>0</v>
      </c>
      <c r="R24" s="946">
        <f>+IF(C24&gt;=sales!$D$36,'Development Cash Flow'!AL24,0)</f>
        <v>0</v>
      </c>
      <c r="S24" s="931">
        <f>IF(AND(A24=$A$5,C24&lt;financing!$D$55),M24-SUM(P24:R24,O24),MIN(M24-SUM(P24:R24,O24),financing!$F$10-SUM(S$5:S23)))</f>
        <v>1550830.1092586427</v>
      </c>
      <c r="T24" s="931">
        <f>+MAX(MIN(IF(C24&gt;=financing!$D$55,M24-SUM(P24:S24)-J24,0),financing!$D$57-SUM(T$5:T23)),0)</f>
        <v>0</v>
      </c>
      <c r="U24" s="931">
        <f>+MAX(IF(C24&gt;=general!$C$23,M24-SUM(P24:T24),0)+IF(C24=general!$C$23,reserves!AZ23+AY24,0),0)</f>
        <v>2563252.6144101992</v>
      </c>
      <c r="V24" s="946"/>
      <c r="W24" s="946">
        <f>SUMPRODUCT(--($C24=sales!$C$50:$C$54),sales!$F$50:$F$54)</f>
        <v>0</v>
      </c>
      <c r="X24" s="946">
        <f t="shared" si="0"/>
        <v>0</v>
      </c>
      <c r="Y24" s="946">
        <f t="shared" si="1"/>
        <v>0</v>
      </c>
      <c r="Z24" s="946">
        <f t="shared" si="2"/>
        <v>0</v>
      </c>
      <c r="AA24" s="946"/>
      <c r="AB24" s="932" cm="1">
        <f t="array" ref="AB24">SUMPRODUCT(--(C24=sales!$D$22:$D$27),sales!$G$22:$G$27)</f>
        <v>0</v>
      </c>
      <c r="AC24" s="946"/>
      <c r="AD24" s="931">
        <f t="shared" si="3"/>
        <v>2563252.6144101992</v>
      </c>
      <c r="AE24" s="932"/>
      <c r="AF24" s="932">
        <f t="shared" si="24"/>
        <v>2563252.6144101992</v>
      </c>
      <c r="AG24" s="932">
        <f t="shared" si="25"/>
        <v>0</v>
      </c>
      <c r="AH24" s="931">
        <f t="shared" si="12"/>
        <v>0</v>
      </c>
      <c r="AI24" s="932"/>
      <c r="AJ24" s="931">
        <f t="shared" si="4"/>
        <v>0</v>
      </c>
      <c r="AK24" s="946"/>
      <c r="AL24" s="947">
        <f>+IF(financing!$C$12="YES",'Development Cash Flow'!M24,0)</f>
        <v>117084</v>
      </c>
      <c r="AM24" s="947">
        <f t="shared" si="5"/>
        <v>0</v>
      </c>
      <c r="AN24" s="947">
        <f t="shared" si="27"/>
        <v>117084</v>
      </c>
      <c r="AO24" s="946"/>
      <c r="AP24" s="947">
        <f>+SUM('Development Cash Flow'!G24:J24)-'Development Cash Flow'!M24</f>
        <v>204897</v>
      </c>
      <c r="AQ24" s="947">
        <f t="shared" si="6"/>
        <v>0</v>
      </c>
      <c r="AR24" s="947">
        <f t="shared" si="28"/>
        <v>204897</v>
      </c>
      <c r="AS24" s="946"/>
      <c r="AT24" s="947">
        <f t="shared" si="13"/>
        <v>27319600</v>
      </c>
      <c r="AU24" s="947">
        <f t="shared" si="14"/>
        <v>0</v>
      </c>
      <c r="AV24" s="948">
        <f t="shared" si="29"/>
        <v>0</v>
      </c>
      <c r="AW24" s="946"/>
      <c r="AX24" s="947">
        <f t="shared" si="7"/>
        <v>0</v>
      </c>
      <c r="AY24" s="947">
        <f>+AZ23*financing!$E$30/12</f>
        <v>23283.054301000982</v>
      </c>
      <c r="AZ24" s="947">
        <f t="shared" si="15"/>
        <v>0</v>
      </c>
      <c r="BA24" s="946"/>
      <c r="BB24" s="947">
        <f t="shared" si="16"/>
        <v>0</v>
      </c>
      <c r="BC24" s="947">
        <f>+IF(AND(BD23+BB24+MAX(BD23*financing!$E$15/12,financing!$D$59-SUM(reserves!BC$6:BC23)-SUM(J$6:J24))-reserves!AD24&lt;=0,financing!$D$58&gt;=0),MAX(BD23*financing!$E$15/12,financing!$D$59-SUM(reserves!BC$6:BC23)-SUM(J$6:J24)),BD23*financing!$E$15/12)</f>
        <v>0</v>
      </c>
      <c r="BD24" s="947">
        <f t="shared" si="17"/>
        <v>0</v>
      </c>
      <c r="BE24" s="946"/>
      <c r="BF24" s="947">
        <f t="shared" si="30"/>
        <v>2563252.6144101992</v>
      </c>
      <c r="BG24" s="947">
        <f>+IF(AND(BH23+BF24+MAX((BH23*(LIBOR!AA25)*(D24-D23)/360)+BY24,financing!$C$16-SUM(reserves!BG$6:BG23))-reserves!AD24&lt;=0,financing!$L$17&gt;=0),MAX((BH23*(LIBOR!AA25)*(D24-D23)/360)+BY24,financing!$C$16-SUM(reserves!BG$6:BG23)),(BH23*(LIBOR!AA25)*(D24-D23)/360)+BY24)</f>
        <v>0</v>
      </c>
      <c r="BH24" s="947">
        <f t="shared" si="18"/>
        <v>2563252.6144101992</v>
      </c>
      <c r="BI24" s="946"/>
      <c r="BJ24" s="937"/>
      <c r="BK24" s="938">
        <f t="shared" si="19"/>
        <v>46812</v>
      </c>
      <c r="BL24" s="939">
        <f>-S24+AJ24+AF24-AX24+AH24+AG24-BB24-BF24+'Development Cash Flow'!Y24</f>
        <v>-1204452.4798028967</v>
      </c>
      <c r="BM24" s="940"/>
      <c r="BN24" s="941">
        <f t="shared" si="8"/>
        <v>-1550830.1092586427</v>
      </c>
      <c r="BO24" s="940"/>
      <c r="BP24" s="942">
        <f t="shared" si="9"/>
        <v>0</v>
      </c>
      <c r="BS24" s="949" t="e">
        <f t="shared" si="20"/>
        <v>#DIV/0!</v>
      </c>
      <c r="BT24" s="922">
        <f>+IF(SUM(BT$5:BT23)&lt;1,IF(BU24=MAX($BU$6:$BU$54),1,0),0)</f>
        <v>0</v>
      </c>
      <c r="BU24" s="922">
        <f t="shared" si="21"/>
        <v>2983423.5413352144</v>
      </c>
      <c r="BV24" s="943" t="str">
        <f t="shared" si="10"/>
        <v/>
      </c>
      <c r="BW24" s="922" t="str">
        <f t="shared" si="11"/>
        <v/>
      </c>
      <c r="BY24" s="208">
        <f>ROUND(IF(A24="Dev",IF(AND(BK24&gt;general!$D$23,SUM($BZ$6:$BZ23)&lt;1,financing!$L$15&gt;BH23+BF24),financing!$L$16*(BK24-BK23)/360*(financing!$L$15-BH23-BF24),0),0),-2)</f>
        <v>0</v>
      </c>
      <c r="BZ24" s="909">
        <f>+IF(AND(BH24&gt;=financing!$L$15,SUM(BZ$6:BZ23)=0),1,0)</f>
        <v>0</v>
      </c>
      <c r="CA24" s="950">
        <f t="shared" si="22"/>
        <v>0</v>
      </c>
      <c r="CD24" s="914">
        <f>SUM($S$6:S24)</f>
        <v>2983423.5413352144</v>
      </c>
      <c r="CF24" s="208">
        <f>+IF(C24&lt;general!$C$22,0,IF(AND(C24=general!$C$22,OR(A24="Pred",A24="Dev")),SUM(S$6:S24),S24))</f>
        <v>1550830.1092586427</v>
      </c>
    </row>
    <row r="25" spans="1:84" ht="16" outlineLevel="1">
      <c r="A25" s="906" t="str">
        <f>+'Development Cash Flow'!A25</f>
        <v>Dev</v>
      </c>
      <c r="B25" s="908"/>
      <c r="C25" s="944">
        <f>IF('Development Cash Flow'!D24&lt;general!$D$28,'Development Cash Flow'!C24+1,0)</f>
        <v>19</v>
      </c>
      <c r="D25" s="945">
        <f t="shared" si="23"/>
        <v>46843</v>
      </c>
      <c r="E25" s="945"/>
      <c r="F25" s="928">
        <f>'Development Cash Flow'!P25*D$4+SUM('Development Cash Flow'!Q25:T25)*F$4</f>
        <v>344566.71343433368</v>
      </c>
      <c r="G25" s="928">
        <f>'Development Cash Flow'!AL25-F25</f>
        <v>179808.6334395525</v>
      </c>
      <c r="H25" s="928"/>
      <c r="I25" s="928"/>
      <c r="J25" s="931">
        <f>+financing!$D$54/12*reserves!BD24</f>
        <v>0</v>
      </c>
      <c r="K25" s="928">
        <f>IF(C25=0,0,IF(C25=sales!$D$32,financing!$E$12*financing!$F$11,IF(OR(C25&gt;general!$C$27,C25&lt;sales!$D$32),0,IF((C25-sales!$D$32)/12=ROUND((C25-sales!$D$32)/12,0),financing!$E$12*financing!$F$11,0))))</f>
        <v>0</v>
      </c>
      <c r="L25" s="928"/>
      <c r="M25" s="928">
        <f t="shared" si="26"/>
        <v>524375.34687388618</v>
      </c>
      <c r="N25" s="946"/>
      <c r="O25" s="946">
        <f>IF(D25=general!$D$21,financing!$F$30,0)</f>
        <v>0</v>
      </c>
      <c r="P25" s="946">
        <f>+MIN(IF(D25&lt;=general!$D$24,SUM(F$6:F25)-SUM(P$6:P24),reserves!F25),AR24)</f>
        <v>204897</v>
      </c>
      <c r="Q25" s="946">
        <f>+MAX(MIN(SUM(G$6:$G25)-R25,AN24,SUM(G$6:$G25)-SUM(Q$6:Q24)),0)</f>
        <v>117084</v>
      </c>
      <c r="R25" s="946">
        <f>+IF(C25&gt;=sales!$D$36,'Development Cash Flow'!AL25,0)</f>
        <v>0</v>
      </c>
      <c r="S25" s="931">
        <f>IF(AND(A25=$A$5,C25&lt;financing!$D$55),M25-SUM(P25:R25,O25),MIN(M25-SUM(P25:R25,O25),financing!$F$10-SUM(S$5:S24)))</f>
        <v>202394.34687388618</v>
      </c>
      <c r="T25" s="931">
        <f>+MAX(MIN(IF(C25&gt;=financing!$D$55,M25-SUM(P25:S25)-J25,0),financing!$D$57-SUM(T$5:T24)),0)</f>
        <v>0</v>
      </c>
      <c r="U25" s="931">
        <f>+MAX(IF(C25&gt;=general!$C$23,M25-SUM(P25:T25),0)+IF(C25=general!$C$23,reserves!AZ24+AY25,0),0)</f>
        <v>0</v>
      </c>
      <c r="V25" s="946"/>
      <c r="W25" s="946">
        <f>SUMPRODUCT(--($C25=sales!$C$50:$C$54),sales!$F$50:$F$54)</f>
        <v>0</v>
      </c>
      <c r="X25" s="946">
        <f t="shared" si="0"/>
        <v>0</v>
      </c>
      <c r="Y25" s="946">
        <f t="shared" si="1"/>
        <v>0</v>
      </c>
      <c r="Z25" s="946">
        <f t="shared" si="2"/>
        <v>0</v>
      </c>
      <c r="AA25" s="946"/>
      <c r="AB25" s="932" cm="1">
        <f t="array" ref="AB25">SUMPRODUCT(--(C25=sales!$D$22:$D$27),sales!$G$22:$G$27)</f>
        <v>0</v>
      </c>
      <c r="AC25" s="946"/>
      <c r="AD25" s="931">
        <f t="shared" si="3"/>
        <v>0</v>
      </c>
      <c r="AE25" s="932"/>
      <c r="AF25" s="932">
        <f t="shared" si="24"/>
        <v>0</v>
      </c>
      <c r="AG25" s="932">
        <f t="shared" si="25"/>
        <v>0</v>
      </c>
      <c r="AH25" s="931">
        <f t="shared" si="12"/>
        <v>0</v>
      </c>
      <c r="AI25" s="932"/>
      <c r="AJ25" s="931">
        <f t="shared" si="4"/>
        <v>0</v>
      </c>
      <c r="AK25" s="946"/>
      <c r="AL25" s="947">
        <f>+IF(financing!$C$12="YES",'Development Cash Flow'!M25,0)</f>
        <v>117084</v>
      </c>
      <c r="AM25" s="947">
        <f t="shared" si="5"/>
        <v>117084</v>
      </c>
      <c r="AN25" s="947">
        <f t="shared" si="27"/>
        <v>117084</v>
      </c>
      <c r="AO25" s="946"/>
      <c r="AP25" s="947">
        <f>+SUM('Development Cash Flow'!G25:J25)-'Development Cash Flow'!M25</f>
        <v>204897</v>
      </c>
      <c r="AQ25" s="947">
        <f t="shared" si="6"/>
        <v>204897</v>
      </c>
      <c r="AR25" s="947">
        <f t="shared" si="28"/>
        <v>204897</v>
      </c>
      <c r="AS25" s="946"/>
      <c r="AT25" s="947">
        <f t="shared" si="13"/>
        <v>27319600</v>
      </c>
      <c r="AU25" s="947">
        <f t="shared" si="14"/>
        <v>321981</v>
      </c>
      <c r="AV25" s="948">
        <f t="shared" si="29"/>
        <v>1.1785714285714287E-2</v>
      </c>
      <c r="AW25" s="946"/>
      <c r="AX25" s="947">
        <f t="shared" si="7"/>
        <v>0</v>
      </c>
      <c r="AY25" s="947">
        <f>+AZ24*financing!$E$30/12</f>
        <v>0</v>
      </c>
      <c r="AZ25" s="947">
        <f t="shared" si="15"/>
        <v>0</v>
      </c>
      <c r="BA25" s="946"/>
      <c r="BB25" s="947">
        <f t="shared" si="16"/>
        <v>0</v>
      </c>
      <c r="BC25" s="947">
        <f>+IF(AND(BD24+BB25+MAX(BD24*financing!$E$15/12,financing!$D$59-SUM(reserves!BC$6:BC24)-SUM(J$6:J25))-reserves!AD25&lt;=0,financing!$D$58&gt;=0),MAX(BD24*financing!$E$15/12,financing!$D$59-SUM(reserves!BC$6:BC24)-SUM(J$6:J25)),BD24*financing!$E$15/12)</f>
        <v>0</v>
      </c>
      <c r="BD25" s="947">
        <f t="shared" si="17"/>
        <v>0</v>
      </c>
      <c r="BE25" s="946"/>
      <c r="BF25" s="947">
        <f t="shared" si="30"/>
        <v>0</v>
      </c>
      <c r="BG25" s="947">
        <f>+IF(AND(BH24+BF25+MAX((BH24*(LIBOR!AA26)*(D25-D24)/360)+BY25,financing!$C$16-SUM(reserves!BG$6:BG24))-reserves!AD25&lt;=0,financing!$L$17&gt;=0),MAX((BH24*(LIBOR!AA26)*(D25-D24)/360)+BY25,financing!$C$16-SUM(reserves!BG$6:BG24)),(BH24*(LIBOR!AA26)*(D25-D24)/360)+BY25)</f>
        <v>29117.266724516805</v>
      </c>
      <c r="BH25" s="947">
        <f t="shared" si="18"/>
        <v>2592369.8811347159</v>
      </c>
      <c r="BI25" s="946"/>
      <c r="BJ25" s="937"/>
      <c r="BK25" s="938">
        <f t="shared" si="19"/>
        <v>46843</v>
      </c>
      <c r="BL25" s="939">
        <f>-S25+AJ25+AF25-AX25+AH25+AG25-BB25-BF25+'Development Cash Flow'!Y25</f>
        <v>-202394.34687388618</v>
      </c>
      <c r="BM25" s="940"/>
      <c r="BN25" s="941">
        <f t="shared" si="8"/>
        <v>-202394.34687388618</v>
      </c>
      <c r="BO25" s="940"/>
      <c r="BP25" s="942">
        <f t="shared" si="9"/>
        <v>0</v>
      </c>
      <c r="BS25" s="949" t="e">
        <f t="shared" si="20"/>
        <v>#DIV/0!</v>
      </c>
      <c r="BT25" s="922">
        <f>+IF(SUM(BT$5:BT24)&lt;1,IF(BU25=MAX($BU$6:$BU$54),1,0),0)</f>
        <v>0</v>
      </c>
      <c r="BU25" s="922">
        <f t="shared" si="21"/>
        <v>3185817.8882091008</v>
      </c>
      <c r="BV25" s="943" t="str">
        <f t="shared" si="10"/>
        <v/>
      </c>
      <c r="BW25" s="922" t="str">
        <f t="shared" si="11"/>
        <v/>
      </c>
      <c r="BY25" s="208">
        <f>ROUND(IF(A25="Dev",IF(AND(BK25&gt;general!$D$23,SUM($BZ$6:$BZ24)&lt;1,financing!$L$15&gt;BH24+BF25),financing!$L$16*(BK25-BK24)/360*(financing!$L$15-BH24-BF25),0),0),-2)</f>
        <v>2000</v>
      </c>
      <c r="BZ25" s="909">
        <f>+IF(AND(BH25&gt;=financing!$L$15,SUM(BZ$6:BZ24)=0),1,0)</f>
        <v>0</v>
      </c>
      <c r="CA25" s="950">
        <f t="shared" si="22"/>
        <v>0</v>
      </c>
      <c r="CD25" s="914">
        <f>SUM($S$6:S25)</f>
        <v>3185817.8882091008</v>
      </c>
      <c r="CF25" s="208">
        <f>+IF(C25&lt;general!$C$22,0,IF(AND(C25=general!$C$22,OR(A25="Pred",A25="Dev")),SUM(S$6:S25),S25))</f>
        <v>202394.34687388618</v>
      </c>
    </row>
    <row r="26" spans="1:84" ht="16" outlineLevel="1">
      <c r="A26" s="906" t="str">
        <f>+'Development Cash Flow'!A26</f>
        <v>Dev</v>
      </c>
      <c r="B26" s="908"/>
      <c r="C26" s="944">
        <f>IF('Development Cash Flow'!D25&lt;general!$D$28,'Development Cash Flow'!C25+1,0)</f>
        <v>20</v>
      </c>
      <c r="D26" s="945">
        <f t="shared" si="23"/>
        <v>46873</v>
      </c>
      <c r="E26" s="945"/>
      <c r="F26" s="928">
        <f>'Development Cash Flow'!P26*D$4+SUM('Development Cash Flow'!Q26:T26)*F$4</f>
        <v>359714.99582933896</v>
      </c>
      <c r="G26" s="928">
        <f>'Development Cash Flow'!AL26-F26</f>
        <v>181131.18819003453</v>
      </c>
      <c r="H26" s="928"/>
      <c r="I26" s="928"/>
      <c r="J26" s="931">
        <f>+financing!$D$54/12*reserves!BD25</f>
        <v>0</v>
      </c>
      <c r="K26" s="928">
        <f>IF(C26=0,0,IF(C26=sales!$D$32,financing!$E$12*financing!$F$11,IF(OR(C26&gt;general!$C$27,C26&lt;sales!$D$32),0,IF((C26-sales!$D$32)/12=ROUND((C26-sales!$D$32)/12,0),financing!$E$12*financing!$F$11,0))))</f>
        <v>0</v>
      </c>
      <c r="L26" s="928"/>
      <c r="M26" s="928">
        <f t="shared" si="26"/>
        <v>540846.1840193735</v>
      </c>
      <c r="N26" s="946"/>
      <c r="O26" s="946">
        <f>IF(D26=general!$D$21,financing!$F$30,0)</f>
        <v>0</v>
      </c>
      <c r="P26" s="946">
        <f>+MIN(IF(D26&lt;=general!$D$24,SUM(F$6:F26)-SUM(P$6:P25),reserves!F26),AR25)</f>
        <v>204897</v>
      </c>
      <c r="Q26" s="946">
        <f>+MAX(MIN(SUM(G$6:$G26)-R26,AN25,SUM(G$6:$G26)-SUM(Q$6:Q25)),0)</f>
        <v>117084</v>
      </c>
      <c r="R26" s="946">
        <f>+IF(C26&gt;=sales!$D$36,'Development Cash Flow'!AL26,0)</f>
        <v>0</v>
      </c>
      <c r="S26" s="931">
        <f>IF(AND(A26=$A$5,C26&lt;financing!$D$55),M26-SUM(P26:R26,O26),MIN(M26-SUM(P26:R26,O26),financing!$F$10-SUM(S$5:S25)))</f>
        <v>218865.1840193735</v>
      </c>
      <c r="T26" s="931">
        <f>+MAX(MIN(IF(C26&gt;=financing!$D$55,M26-SUM(P26:S26)-J26,0),financing!$D$57-SUM(T$5:T25)),0)</f>
        <v>0</v>
      </c>
      <c r="U26" s="931">
        <f>+MAX(IF(C26&gt;=general!$C$23,M26-SUM(P26:T26),0)+IF(C26=general!$C$23,reserves!AZ25+AY26,0),0)</f>
        <v>0</v>
      </c>
      <c r="V26" s="946"/>
      <c r="W26" s="946">
        <f>SUMPRODUCT(--($C26=sales!$C$50:$C$54),sales!$F$50:$F$54)</f>
        <v>0</v>
      </c>
      <c r="X26" s="946">
        <f t="shared" si="0"/>
        <v>0</v>
      </c>
      <c r="Y26" s="946">
        <f t="shared" si="1"/>
        <v>0</v>
      </c>
      <c r="Z26" s="946">
        <f t="shared" si="2"/>
        <v>0</v>
      </c>
      <c r="AA26" s="946"/>
      <c r="AB26" s="932" cm="1">
        <f t="array" ref="AB26">SUMPRODUCT(--(C26=sales!$D$22:$D$27),sales!$G$22:$G$27)</f>
        <v>0</v>
      </c>
      <c r="AC26" s="946"/>
      <c r="AD26" s="931">
        <f t="shared" si="3"/>
        <v>0</v>
      </c>
      <c r="AE26" s="932"/>
      <c r="AF26" s="932">
        <f t="shared" si="24"/>
        <v>0</v>
      </c>
      <c r="AG26" s="932">
        <f t="shared" si="25"/>
        <v>0</v>
      </c>
      <c r="AH26" s="931">
        <f t="shared" si="12"/>
        <v>0</v>
      </c>
      <c r="AI26" s="932"/>
      <c r="AJ26" s="931">
        <f t="shared" si="4"/>
        <v>0</v>
      </c>
      <c r="AK26" s="946"/>
      <c r="AL26" s="947">
        <f>+IF(financing!$C$12="YES",'Development Cash Flow'!M26,0)</f>
        <v>117084</v>
      </c>
      <c r="AM26" s="947">
        <f t="shared" si="5"/>
        <v>117084</v>
      </c>
      <c r="AN26" s="947">
        <f t="shared" si="27"/>
        <v>117084</v>
      </c>
      <c r="AO26" s="946"/>
      <c r="AP26" s="947">
        <f>+SUM('Development Cash Flow'!G26:J26)-'Development Cash Flow'!M26</f>
        <v>204897</v>
      </c>
      <c r="AQ26" s="947">
        <f t="shared" si="6"/>
        <v>204897</v>
      </c>
      <c r="AR26" s="947">
        <f t="shared" si="28"/>
        <v>204897</v>
      </c>
      <c r="AS26" s="946"/>
      <c r="AT26" s="947">
        <f t="shared" si="13"/>
        <v>27319600</v>
      </c>
      <c r="AU26" s="947">
        <f t="shared" si="14"/>
        <v>643962</v>
      </c>
      <c r="AV26" s="948">
        <f t="shared" si="29"/>
        <v>2.3571428571428573E-2</v>
      </c>
      <c r="AW26" s="946"/>
      <c r="AX26" s="947">
        <f t="shared" si="7"/>
        <v>0</v>
      </c>
      <c r="AY26" s="947">
        <f>+AZ25*financing!$E$30/12</f>
        <v>0</v>
      </c>
      <c r="AZ26" s="947">
        <f t="shared" si="15"/>
        <v>0</v>
      </c>
      <c r="BA26" s="946"/>
      <c r="BB26" s="947">
        <f t="shared" si="16"/>
        <v>0</v>
      </c>
      <c r="BC26" s="947">
        <f>+IF(AND(BD25+BB26+MAX(BD25*financing!$E$15/12,financing!$D$59-SUM(reserves!BC$6:BC25)-SUM(J$6:J26))-reserves!AD26&lt;=0,financing!$D$58&gt;=0),MAX(BD25*financing!$E$15/12,financing!$D$59-SUM(reserves!BC$6:BC25)-SUM(J$6:J26)),BD25*financing!$E$15/12)</f>
        <v>0</v>
      </c>
      <c r="BD26" s="947">
        <f t="shared" si="17"/>
        <v>0</v>
      </c>
      <c r="BE26" s="946"/>
      <c r="BF26" s="947">
        <f t="shared" si="30"/>
        <v>0</v>
      </c>
      <c r="BG26" s="947">
        <f>+IF(AND(BH25+BF26+MAX((BH25*(LIBOR!AA27)*(D26-D25)/360)+BY26,financing!$C$16-SUM(reserves!BG$6:BG25))-reserves!AD26&lt;=0,financing!$L$17&gt;=0),MAX((BH25*(LIBOR!AA27)*(D26-D25)/360)+BY26,financing!$C$16-SUM(reserves!BG$6:BG25)),(BH25*(LIBOR!AA27)*(D26-D25)/360)+BY26)</f>
        <v>28536.599860494433</v>
      </c>
      <c r="BH26" s="947">
        <f t="shared" si="18"/>
        <v>2620906.4809952104</v>
      </c>
      <c r="BI26" s="946"/>
      <c r="BJ26" s="937"/>
      <c r="BK26" s="938">
        <f t="shared" si="19"/>
        <v>46873</v>
      </c>
      <c r="BL26" s="939">
        <f>-S26+AJ26+AF26-AX26+AH26+AG26-BB26-BF26+'Development Cash Flow'!Y26</f>
        <v>-218865.1840193735</v>
      </c>
      <c r="BM26" s="940"/>
      <c r="BN26" s="941">
        <f t="shared" si="8"/>
        <v>-218865.1840193735</v>
      </c>
      <c r="BO26" s="940"/>
      <c r="BP26" s="942">
        <f t="shared" si="9"/>
        <v>0</v>
      </c>
      <c r="BS26" s="949" t="e">
        <f t="shared" si="20"/>
        <v>#DIV/0!</v>
      </c>
      <c r="BT26" s="922">
        <f>+IF(SUM(BT$5:BT25)&lt;1,IF(BU26=MAX($BU$6:$BU$54),1,0),0)</f>
        <v>0</v>
      </c>
      <c r="BU26" s="922">
        <f t="shared" si="21"/>
        <v>3404683.0722284745</v>
      </c>
      <c r="BV26" s="943" t="str">
        <f t="shared" si="10"/>
        <v/>
      </c>
      <c r="BW26" s="922" t="str">
        <f t="shared" si="11"/>
        <v/>
      </c>
      <c r="BY26" s="208">
        <f>ROUND(IF(A26="Dev",IF(AND(BK26&gt;general!$D$23,SUM($BZ$6:$BZ25)&lt;1,financing!$L$15&gt;BH25+BF26),financing!$L$16*(BK26-BK25)/360*(financing!$L$15-BH25-BF26),0),0),-2)</f>
        <v>2000</v>
      </c>
      <c r="BZ26" s="909">
        <f>+IF(AND(BH26&gt;=financing!$L$15,SUM(BZ$6:BZ25)=0),1,0)</f>
        <v>0</v>
      </c>
      <c r="CA26" s="950">
        <f t="shared" si="22"/>
        <v>0</v>
      </c>
      <c r="CD26" s="914">
        <f>SUM($S$6:S26)</f>
        <v>3404683.0722284745</v>
      </c>
      <c r="CF26" s="208">
        <f>+IF(C26&lt;general!$C$22,0,IF(AND(C26=general!$C$22,OR(A26="Pred",A26="Dev")),SUM(S$6:S26),S26))</f>
        <v>218865.1840193735</v>
      </c>
    </row>
    <row r="27" spans="1:84" ht="16" outlineLevel="1">
      <c r="A27" s="906" t="str">
        <f>+'Development Cash Flow'!A27</f>
        <v>Dev</v>
      </c>
      <c r="B27" s="908"/>
      <c r="C27" s="944">
        <f>IF('Development Cash Flow'!D26&lt;general!$D$28,'Development Cash Flow'!C26+1,0)</f>
        <v>21</v>
      </c>
      <c r="D27" s="945">
        <f t="shared" si="23"/>
        <v>46904</v>
      </c>
      <c r="E27" s="945"/>
      <c r="F27" s="928">
        <f>'Development Cash Flow'!P27*D$4+SUM('Development Cash Flow'!Q27:T27)*F$4</f>
        <v>374277.1000330972</v>
      </c>
      <c r="G27" s="928">
        <f>'Development Cash Flow'!AL27-F27</f>
        <v>182402.56533956854</v>
      </c>
      <c r="H27" s="928"/>
      <c r="I27" s="928"/>
      <c r="J27" s="931">
        <f>+financing!$D$54/12*reserves!BD26</f>
        <v>0</v>
      </c>
      <c r="K27" s="928">
        <f>IF(C27=0,0,IF(C27=sales!$D$32,financing!$E$12*financing!$F$11,IF(OR(C27&gt;general!$C$27,C27&lt;sales!$D$32),0,IF((C27-sales!$D$32)/12=ROUND((C27-sales!$D$32)/12,0),financing!$E$12*financing!$F$11,0))))</f>
        <v>0</v>
      </c>
      <c r="L27" s="928"/>
      <c r="M27" s="928">
        <f t="shared" si="26"/>
        <v>556679.66537266574</v>
      </c>
      <c r="N27" s="946"/>
      <c r="O27" s="946">
        <f>IF(D27=general!$D$21,financing!$F$30,0)</f>
        <v>0</v>
      </c>
      <c r="P27" s="946">
        <f>+MIN(IF(D27&lt;=general!$D$24,SUM(F$6:F27)-SUM(P$6:P26),reserves!F27),AR26)</f>
        <v>204897</v>
      </c>
      <c r="Q27" s="946">
        <f>+MAX(MIN(SUM(G$6:$G27)-R27,AN26,SUM(G$6:$G27)-SUM(Q$6:Q26)),0)</f>
        <v>117084</v>
      </c>
      <c r="R27" s="946">
        <f>+IF(C27&gt;=sales!$D$36,'Development Cash Flow'!AL27,0)</f>
        <v>0</v>
      </c>
      <c r="S27" s="931">
        <f>IF(AND(A27=$A$5,C27&lt;financing!$D$55),M27-SUM(P27:R27,O27),MIN(M27-SUM(P27:R27,O27),financing!$F$10-SUM(S$5:S26)))</f>
        <v>234698.66537266574</v>
      </c>
      <c r="T27" s="931">
        <f>+MAX(MIN(IF(C27&gt;=financing!$D$55,M27-SUM(P27:S27)-J27,0),financing!$D$57-SUM(T$5:T26)),0)</f>
        <v>0</v>
      </c>
      <c r="U27" s="931">
        <f>+MAX(IF(C27&gt;=general!$C$23,M27-SUM(P27:T27),0)+IF(C27=general!$C$23,reserves!AZ26+AY27,0),0)</f>
        <v>0</v>
      </c>
      <c r="V27" s="946"/>
      <c r="W27" s="946">
        <f>SUMPRODUCT(--($C27=sales!$C$50:$C$54),sales!$F$50:$F$54)</f>
        <v>0</v>
      </c>
      <c r="X27" s="946">
        <f t="shared" si="0"/>
        <v>0</v>
      </c>
      <c r="Y27" s="946">
        <f t="shared" si="1"/>
        <v>0</v>
      </c>
      <c r="Z27" s="946">
        <f t="shared" si="2"/>
        <v>0</v>
      </c>
      <c r="AA27" s="946"/>
      <c r="AB27" s="932" cm="1">
        <f t="array" ref="AB27">SUMPRODUCT(--(C27=sales!$D$22:$D$27),sales!$G$22:$G$27)</f>
        <v>0</v>
      </c>
      <c r="AC27" s="946"/>
      <c r="AD27" s="931">
        <f t="shared" si="3"/>
        <v>0</v>
      </c>
      <c r="AE27" s="932"/>
      <c r="AF27" s="932">
        <f t="shared" si="24"/>
        <v>0</v>
      </c>
      <c r="AG27" s="932">
        <f t="shared" si="25"/>
        <v>0</v>
      </c>
      <c r="AH27" s="931">
        <f t="shared" si="12"/>
        <v>0</v>
      </c>
      <c r="AI27" s="932"/>
      <c r="AJ27" s="931">
        <f t="shared" si="4"/>
        <v>0</v>
      </c>
      <c r="AK27" s="946"/>
      <c r="AL27" s="947">
        <f>+IF(financing!$C$12="YES",'Development Cash Flow'!M27,0)</f>
        <v>117084</v>
      </c>
      <c r="AM27" s="947">
        <f t="shared" si="5"/>
        <v>117084</v>
      </c>
      <c r="AN27" s="947">
        <f t="shared" si="27"/>
        <v>117084</v>
      </c>
      <c r="AO27" s="946"/>
      <c r="AP27" s="947">
        <f>+SUM('Development Cash Flow'!G27:J27)-'Development Cash Flow'!M27</f>
        <v>204897</v>
      </c>
      <c r="AQ27" s="947">
        <f t="shared" si="6"/>
        <v>204897</v>
      </c>
      <c r="AR27" s="947">
        <f t="shared" si="28"/>
        <v>204897</v>
      </c>
      <c r="AS27" s="946"/>
      <c r="AT27" s="947">
        <f t="shared" si="13"/>
        <v>27319600</v>
      </c>
      <c r="AU27" s="947">
        <f t="shared" si="14"/>
        <v>965943</v>
      </c>
      <c r="AV27" s="948">
        <f t="shared" si="29"/>
        <v>3.5357142857142858E-2</v>
      </c>
      <c r="AW27" s="946"/>
      <c r="AX27" s="947">
        <f t="shared" si="7"/>
        <v>0</v>
      </c>
      <c r="AY27" s="947">
        <f>+AZ26*financing!$E$30/12</f>
        <v>0</v>
      </c>
      <c r="AZ27" s="947">
        <f t="shared" si="15"/>
        <v>0</v>
      </c>
      <c r="BA27" s="946"/>
      <c r="BB27" s="947">
        <f t="shared" si="16"/>
        <v>0</v>
      </c>
      <c r="BC27" s="947">
        <f>+IF(AND(BD26+BB27+MAX(BD26*financing!$E$15/12,financing!$D$59-SUM(reserves!BC$6:BC26)-SUM(J$6:J27))-reserves!AD27&lt;=0,financing!$D$58&gt;=0),MAX(BD26*financing!$E$15/12,financing!$D$59-SUM(reserves!BC$6:BC26)-SUM(J$6:J27)),BD26*financing!$E$15/12)</f>
        <v>0</v>
      </c>
      <c r="BD27" s="947">
        <f t="shared" si="17"/>
        <v>0</v>
      </c>
      <c r="BE27" s="946"/>
      <c r="BF27" s="947">
        <f t="shared" si="30"/>
        <v>0</v>
      </c>
      <c r="BG27" s="947">
        <f>+IF(AND(BH26+BF27+MAX((BH26*(LIBOR!AA28)*(D27-D26)/360)+BY27,financing!$C$16-SUM(reserves!BG$6:BG26))-reserves!AD27&lt;=0,financing!$L$17&gt;=0),MAX((BH26*(LIBOR!AA28)*(D27-D26)/360)+BY27,financing!$C$16-SUM(reserves!BG$6:BG26)),(BH26*(LIBOR!AA28)*(D27-D26)/360)+BY27)</f>
        <v>29717.405954149359</v>
      </c>
      <c r="BH27" s="947">
        <f t="shared" si="18"/>
        <v>2650623.8869493599</v>
      </c>
      <c r="BI27" s="946"/>
      <c r="BJ27" s="937"/>
      <c r="BK27" s="938">
        <f t="shared" si="19"/>
        <v>46904</v>
      </c>
      <c r="BL27" s="939">
        <f>-S27+AJ27+AF27-AX27+AH27+AG27-BB27-BF27+'Development Cash Flow'!Y27</f>
        <v>-234698.66537266574</v>
      </c>
      <c r="BM27" s="940"/>
      <c r="BN27" s="941">
        <f t="shared" si="8"/>
        <v>-234698.66537266574</v>
      </c>
      <c r="BO27" s="940"/>
      <c r="BP27" s="942">
        <f t="shared" si="9"/>
        <v>0</v>
      </c>
      <c r="BS27" s="949" t="e">
        <f t="shared" si="20"/>
        <v>#DIV/0!</v>
      </c>
      <c r="BT27" s="922">
        <f>+IF(SUM(BT$5:BT26)&lt;1,IF(BU27=MAX($BU$6:$BU$54),1,0),0)</f>
        <v>0</v>
      </c>
      <c r="BU27" s="922">
        <f t="shared" si="21"/>
        <v>3639381.7376011405</v>
      </c>
      <c r="BV27" s="943" t="str">
        <f t="shared" si="10"/>
        <v/>
      </c>
      <c r="BW27" s="922" t="str">
        <f t="shared" si="11"/>
        <v/>
      </c>
      <c r="BY27" s="208">
        <f>ROUND(IF(A27="Dev",IF(AND(BK27&gt;general!$D$23,SUM($BZ$6:$BZ26)&lt;1,financing!$L$15&gt;BH26+BF27),financing!$L$16*(BK27-BK26)/360*(financing!$L$15-BH26-BF27),0),0),-2)</f>
        <v>2000</v>
      </c>
      <c r="BZ27" s="909">
        <f>+IF(AND(BH27&gt;=financing!$L$15,SUM(BZ$6:BZ26)=0),1,0)</f>
        <v>0</v>
      </c>
      <c r="CA27" s="950">
        <f t="shared" si="22"/>
        <v>0</v>
      </c>
      <c r="CD27" s="914">
        <f>SUM($S$6:S27)</f>
        <v>3639381.7376011405</v>
      </c>
      <c r="CF27" s="208">
        <f>+IF(C27&lt;general!$C$22,0,IF(AND(C27=general!$C$22,OR(A27="Pred",A27="Dev")),SUM(S$6:S27),S27))</f>
        <v>234698.66537266574</v>
      </c>
    </row>
    <row r="28" spans="1:84" ht="16" outlineLevel="1">
      <c r="A28" s="906" t="str">
        <f>+'Development Cash Flow'!A28</f>
        <v>Dev</v>
      </c>
      <c r="B28" s="908"/>
      <c r="C28" s="944">
        <f>IF('Development Cash Flow'!D27&lt;general!$D$28,'Development Cash Flow'!C27+1,0)</f>
        <v>22</v>
      </c>
      <c r="D28" s="945">
        <f t="shared" si="23"/>
        <v>46934</v>
      </c>
      <c r="E28" s="945"/>
      <c r="F28" s="928">
        <f>'Development Cash Flow'!P28*D$4+SUM('Development Cash Flow'!Q28:T28)*F$4</f>
        <v>388007.31694791181</v>
      </c>
      <c r="G28" s="928">
        <f>'Development Cash Flow'!AL28-F28</f>
        <v>70907.962704604608</v>
      </c>
      <c r="H28" s="928"/>
      <c r="I28" s="928"/>
      <c r="J28" s="931">
        <f>+financing!$D$54/12*reserves!BD27</f>
        <v>0</v>
      </c>
      <c r="K28" s="928">
        <f>IF(C28=0,0,IF(C28=sales!$D$32,financing!$E$12*financing!$F$11,IF(OR(C28&gt;general!$C$27,C28&lt;sales!$D$32),0,IF((C28-sales!$D$32)/12=ROUND((C28-sales!$D$32)/12,0),financing!$E$12*financing!$F$11,0))))</f>
        <v>0</v>
      </c>
      <c r="L28" s="928"/>
      <c r="M28" s="928">
        <f t="shared" si="26"/>
        <v>458915.27965251642</v>
      </c>
      <c r="N28" s="946"/>
      <c r="O28" s="946">
        <f>IF(D28=general!$D$21,financing!$F$30,0)</f>
        <v>0</v>
      </c>
      <c r="P28" s="946">
        <f>+MIN(IF(D28&lt;=general!$D$24,SUM(F$6:F28)-SUM(P$6:P27),reserves!F28),AR27)</f>
        <v>204897</v>
      </c>
      <c r="Q28" s="946">
        <f>+MAX(MIN(SUM(G$6:$G28)-R28,AN27,SUM(G$6:$G28)-SUM(Q$6:Q27)),0)</f>
        <v>117084</v>
      </c>
      <c r="R28" s="946">
        <f>+IF(C28&gt;=sales!$D$36,'Development Cash Flow'!AL28,0)</f>
        <v>0</v>
      </c>
      <c r="S28" s="931">
        <f>IF(AND(A28=$A$5,C28&lt;financing!$D$55),M28-SUM(P28:R28,O28),MIN(M28-SUM(P28:R28,O28),financing!$F$10-SUM(S$5:S27)))</f>
        <v>136934.27965251642</v>
      </c>
      <c r="T28" s="931">
        <f>+MAX(MIN(IF(C28&gt;=financing!$D$55,M28-SUM(P28:S28)-J28,0),financing!$D$57-SUM(T$5:T27)),0)</f>
        <v>0</v>
      </c>
      <c r="U28" s="931">
        <f>+MAX(IF(C28&gt;=general!$C$23,M28-SUM(P28:T28),0)+IF(C28=general!$C$23,reserves!AZ27+AY28,0),0)</f>
        <v>0</v>
      </c>
      <c r="V28" s="946"/>
      <c r="W28" s="946">
        <f>SUMPRODUCT(--($C28=sales!$C$50:$C$54),sales!$F$50:$F$54)</f>
        <v>0</v>
      </c>
      <c r="X28" s="946">
        <f t="shared" si="0"/>
        <v>0</v>
      </c>
      <c r="Y28" s="946">
        <f t="shared" si="1"/>
        <v>0</v>
      </c>
      <c r="Z28" s="946">
        <f t="shared" si="2"/>
        <v>0</v>
      </c>
      <c r="AA28" s="946"/>
      <c r="AB28" s="932" cm="1">
        <f t="array" ref="AB28">SUMPRODUCT(--(C28=sales!$D$22:$D$27),sales!$G$22:$G$27)</f>
        <v>0</v>
      </c>
      <c r="AC28" s="946"/>
      <c r="AD28" s="931">
        <f t="shared" si="3"/>
        <v>0</v>
      </c>
      <c r="AE28" s="932"/>
      <c r="AF28" s="932">
        <f t="shared" si="24"/>
        <v>0</v>
      </c>
      <c r="AG28" s="932">
        <f t="shared" si="25"/>
        <v>0</v>
      </c>
      <c r="AH28" s="931">
        <f t="shared" si="12"/>
        <v>0</v>
      </c>
      <c r="AI28" s="932"/>
      <c r="AJ28" s="931">
        <f t="shared" si="4"/>
        <v>0</v>
      </c>
      <c r="AK28" s="946"/>
      <c r="AL28" s="947">
        <f>+IF(financing!$C$12="YES",'Development Cash Flow'!M28,0)</f>
        <v>117084</v>
      </c>
      <c r="AM28" s="947">
        <f t="shared" si="5"/>
        <v>117084</v>
      </c>
      <c r="AN28" s="947">
        <f t="shared" si="27"/>
        <v>117084</v>
      </c>
      <c r="AO28" s="946"/>
      <c r="AP28" s="947">
        <f>+SUM('Development Cash Flow'!G28:J28)-'Development Cash Flow'!M28</f>
        <v>0</v>
      </c>
      <c r="AQ28" s="947">
        <f t="shared" si="6"/>
        <v>204897</v>
      </c>
      <c r="AR28" s="947">
        <f t="shared" si="28"/>
        <v>0</v>
      </c>
      <c r="AS28" s="946"/>
      <c r="AT28" s="947">
        <f t="shared" si="13"/>
        <v>27319600</v>
      </c>
      <c r="AU28" s="947">
        <f t="shared" si="14"/>
        <v>1287924</v>
      </c>
      <c r="AV28" s="948">
        <f t="shared" si="29"/>
        <v>4.7142857142857146E-2</v>
      </c>
      <c r="AW28" s="946"/>
      <c r="AX28" s="947">
        <f t="shared" si="7"/>
        <v>0</v>
      </c>
      <c r="AY28" s="947">
        <f>+AZ27*financing!$E$30/12</f>
        <v>0</v>
      </c>
      <c r="AZ28" s="947">
        <f t="shared" si="15"/>
        <v>0</v>
      </c>
      <c r="BA28" s="946"/>
      <c r="BB28" s="947">
        <f t="shared" si="16"/>
        <v>0</v>
      </c>
      <c r="BC28" s="947">
        <f>+IF(AND(BD27+BB28+MAX(BD27*financing!$E$15/12,financing!$D$59-SUM(reserves!BC$6:BC27)-SUM(J$6:J28))-reserves!AD28&lt;=0,financing!$D$58&gt;=0),MAX(BD27*financing!$E$15/12,financing!$D$59-SUM(reserves!BC$6:BC27)-SUM(J$6:J28)),BD27*financing!$E$15/12)</f>
        <v>0</v>
      </c>
      <c r="BD28" s="947">
        <f t="shared" si="17"/>
        <v>0</v>
      </c>
      <c r="BE28" s="946"/>
      <c r="BF28" s="947">
        <f t="shared" si="30"/>
        <v>0</v>
      </c>
      <c r="BG28" s="947">
        <f>+IF(AND(BH27+BF28+MAX((BH27*(LIBOR!AA29)*(D28-D27)/360)+BY28,financing!$C$16-SUM(reserves!BG$6:BG27))-reserves!AD28&lt;=0,financing!$L$17&gt;=0),MAX((BH27*(LIBOR!AA29)*(D28-D27)/360)+BY28,financing!$C$16-SUM(reserves!BG$6:BG27)),(BH27*(LIBOR!AA29)*(D28-D27)/360)+BY28)</f>
        <v>29122.994870921932</v>
      </c>
      <c r="BH28" s="947">
        <f t="shared" si="18"/>
        <v>2679746.881820282</v>
      </c>
      <c r="BI28" s="946"/>
      <c r="BJ28" s="937"/>
      <c r="BK28" s="938">
        <f t="shared" si="19"/>
        <v>46934</v>
      </c>
      <c r="BL28" s="939">
        <f>-S28+AJ28+AF28-AX28+AH28+AG28-BB28-BF28+'Development Cash Flow'!Y28</f>
        <v>-136934.27965251642</v>
      </c>
      <c r="BM28" s="940"/>
      <c r="BN28" s="941">
        <f t="shared" si="8"/>
        <v>-136934.27965251642</v>
      </c>
      <c r="BO28" s="940"/>
      <c r="BP28" s="942">
        <f t="shared" si="9"/>
        <v>0</v>
      </c>
      <c r="BS28" s="949" t="e">
        <f t="shared" si="20"/>
        <v>#DIV/0!</v>
      </c>
      <c r="BT28" s="922">
        <f>+IF(SUM(BT$5:BT27)&lt;1,IF(BU28=MAX($BU$6:$BU$54),1,0),0)</f>
        <v>0</v>
      </c>
      <c r="BU28" s="922">
        <f t="shared" si="21"/>
        <v>3776316.0172536569</v>
      </c>
      <c r="BV28" s="943" t="str">
        <f t="shared" si="10"/>
        <v/>
      </c>
      <c r="BW28" s="922" t="str">
        <f t="shared" si="11"/>
        <v/>
      </c>
      <c r="BY28" s="208">
        <f>ROUND(IF(A28="Dev",IF(AND(BK28&gt;general!$D$23,SUM($BZ$6:$BZ27)&lt;1,financing!$L$15&gt;BH27+BF28),financing!$L$16*(BK28-BK27)/360*(financing!$L$15-BH27-BF28),0),0),-2)</f>
        <v>2000</v>
      </c>
      <c r="BZ28" s="909">
        <f>+IF(AND(BH28&gt;=financing!$L$15,SUM(BZ$6:BZ27)=0),1,0)</f>
        <v>0</v>
      </c>
      <c r="CA28" s="950">
        <f t="shared" si="22"/>
        <v>0</v>
      </c>
      <c r="CD28" s="914">
        <f>SUM($S$6:S28)</f>
        <v>3776316.0172536569</v>
      </c>
      <c r="CF28" s="208">
        <f>+IF(C28&lt;general!$C$22,0,IF(AND(C28=general!$C$22,OR(A28="Pred",A28="Dev")),SUM(S$6:S28),S28))</f>
        <v>136934.27965251642</v>
      </c>
    </row>
    <row r="29" spans="1:84" ht="16" outlineLevel="1">
      <c r="A29" s="906" t="str">
        <f>+'Development Cash Flow'!A29</f>
        <v>Dev</v>
      </c>
      <c r="B29" s="908"/>
      <c r="C29" s="944">
        <f>IF('Development Cash Flow'!D28&lt;general!$D$28,'Development Cash Flow'!C28+1,0)</f>
        <v>23</v>
      </c>
      <c r="D29" s="945">
        <f t="shared" si="23"/>
        <v>46965</v>
      </c>
      <c r="E29" s="945"/>
      <c r="F29" s="928">
        <f>'Development Cash Flow'!P29*D$4+SUM('Development Cash Flow'!Q29:T29)*F$4</f>
        <v>400662.80190882686</v>
      </c>
      <c r="G29" s="928">
        <f>'Development Cash Flow'!AL29-F29</f>
        <v>72012.878187315189</v>
      </c>
      <c r="H29" s="928"/>
      <c r="I29" s="928"/>
      <c r="J29" s="931">
        <f>+financing!$D$54/12*reserves!BD28</f>
        <v>0</v>
      </c>
      <c r="K29" s="928">
        <f>IF(C29=0,0,IF(C29=sales!$D$32,financing!$E$12*financing!$F$11,IF(OR(C29&gt;general!$C$27,C29&lt;sales!$D$32),0,IF((C29-sales!$D$32)/12=ROUND((C29-sales!$D$32)/12,0),financing!$E$12*financing!$F$11,0))))</f>
        <v>0</v>
      </c>
      <c r="L29" s="928"/>
      <c r="M29" s="928">
        <f t="shared" si="26"/>
        <v>472675.68009614205</v>
      </c>
      <c r="N29" s="946"/>
      <c r="O29" s="946">
        <f>IF(D29=general!$D$21,financing!$F$30,0)</f>
        <v>0</v>
      </c>
      <c r="P29" s="946">
        <f>+MIN(IF(D29&lt;=general!$D$24,SUM(F$6:F29)-SUM(P$6:P28),reserves!F29),AR28)</f>
        <v>0</v>
      </c>
      <c r="Q29" s="946">
        <f>+MAX(MIN(SUM(G$6:$G29)-R29,AN28,SUM(G$6:$G29)-SUM(Q$6:Q28)),0)</f>
        <v>117084</v>
      </c>
      <c r="R29" s="946">
        <f>+IF(C29&gt;=sales!$D$36,'Development Cash Flow'!AL29,0)</f>
        <v>0</v>
      </c>
      <c r="S29" s="931">
        <f>IF(AND(A29=$A$5,C29&lt;financing!$D$55),M29-SUM(P29:R29,O29),MIN(M29-SUM(P29:R29,O29),financing!$F$10-SUM(S$5:S28)))</f>
        <v>223683.98274634313</v>
      </c>
      <c r="T29" s="931">
        <f>+MAX(MIN(IF(C29&gt;=financing!$D$55,M29-SUM(P29:S29)-J29,0),financing!$D$57-SUM(T$5:T28)),0)</f>
        <v>0</v>
      </c>
      <c r="U29" s="931">
        <f>+MAX(IF(C29&gt;=general!$C$23,M29-SUM(P29:T29),0)+IF(C29=general!$C$23,reserves!AZ28+AY29,0),0)</f>
        <v>131907.69734979892</v>
      </c>
      <c r="V29" s="946"/>
      <c r="W29" s="946">
        <f>SUMPRODUCT(--($C29=sales!$C$50:$C$54),sales!$F$50:$F$54)</f>
        <v>0</v>
      </c>
      <c r="X29" s="946">
        <f t="shared" si="0"/>
        <v>0</v>
      </c>
      <c r="Y29" s="946">
        <f t="shared" si="1"/>
        <v>0</v>
      </c>
      <c r="Z29" s="946">
        <f t="shared" si="2"/>
        <v>0</v>
      </c>
      <c r="AA29" s="946"/>
      <c r="AB29" s="932" cm="1">
        <f t="array" ref="AB29">SUMPRODUCT(--(C29=sales!$D$22:$D$27),sales!$G$22:$G$27)</f>
        <v>0</v>
      </c>
      <c r="AC29" s="946"/>
      <c r="AD29" s="931">
        <f t="shared" si="3"/>
        <v>0</v>
      </c>
      <c r="AE29" s="932"/>
      <c r="AF29" s="932">
        <f t="shared" si="24"/>
        <v>0</v>
      </c>
      <c r="AG29" s="932">
        <f t="shared" si="25"/>
        <v>0</v>
      </c>
      <c r="AH29" s="931">
        <f t="shared" si="12"/>
        <v>0</v>
      </c>
      <c r="AI29" s="932"/>
      <c r="AJ29" s="931">
        <f t="shared" si="4"/>
        <v>0</v>
      </c>
      <c r="AK29" s="946"/>
      <c r="AL29" s="947">
        <f>+IF(financing!$C$12="YES",'Development Cash Flow'!M29,0)</f>
        <v>117084</v>
      </c>
      <c r="AM29" s="947">
        <f t="shared" si="5"/>
        <v>117084</v>
      </c>
      <c r="AN29" s="947">
        <f t="shared" si="27"/>
        <v>117084</v>
      </c>
      <c r="AO29" s="946"/>
      <c r="AP29" s="947">
        <f>+SUM('Development Cash Flow'!G29:J29)-'Development Cash Flow'!M29</f>
        <v>0</v>
      </c>
      <c r="AQ29" s="947">
        <f t="shared" si="6"/>
        <v>0</v>
      </c>
      <c r="AR29" s="947">
        <f t="shared" si="28"/>
        <v>0</v>
      </c>
      <c r="AS29" s="946"/>
      <c r="AT29" s="947">
        <f t="shared" si="13"/>
        <v>27319600</v>
      </c>
      <c r="AU29" s="947">
        <f t="shared" si="14"/>
        <v>1405008</v>
      </c>
      <c r="AV29" s="948">
        <f t="shared" si="29"/>
        <v>5.1428571428571428E-2</v>
      </c>
      <c r="AW29" s="946"/>
      <c r="AX29" s="947">
        <f t="shared" si="7"/>
        <v>0</v>
      </c>
      <c r="AY29" s="947">
        <f>+AZ28*financing!$E$30/12</f>
        <v>0</v>
      </c>
      <c r="AZ29" s="947">
        <f t="shared" si="15"/>
        <v>0</v>
      </c>
      <c r="BA29" s="946"/>
      <c r="BB29" s="947">
        <f t="shared" si="16"/>
        <v>0</v>
      </c>
      <c r="BC29" s="947">
        <f>+IF(AND(BD28+BB29+MAX(BD28*financing!$E$15/12,financing!$D$59-SUM(reserves!BC$6:BC28)-SUM(J$6:J29))-reserves!AD29&lt;=0,financing!$D$58&gt;=0),MAX(BD28*financing!$E$15/12,financing!$D$59-SUM(reserves!BC$6:BC28)-SUM(J$6:J29)),BD28*financing!$E$15/12)</f>
        <v>0</v>
      </c>
      <c r="BD29" s="947">
        <f t="shared" si="17"/>
        <v>0</v>
      </c>
      <c r="BE29" s="946"/>
      <c r="BF29" s="947">
        <f t="shared" si="30"/>
        <v>131907.69734979892</v>
      </c>
      <c r="BG29" s="947">
        <f>+IF(AND(BH28+BF29+MAX((BH28*(LIBOR!AA30)*(D29-D28)/360)+BY29,financing!$C$16-SUM(reserves!BG$6:BG28))-reserves!AD29&lt;=0,financing!$L$17&gt;=0),MAX((BH28*(LIBOR!AA30)*(D29-D28)/360)+BY29,financing!$C$16-SUM(reserves!BG$6:BG28)),(BH28*(LIBOR!AA30)*(D29-D28)/360)+BY29)</f>
        <v>30331.665592996425</v>
      </c>
      <c r="BH29" s="947">
        <f t="shared" si="18"/>
        <v>2841986.2447630772</v>
      </c>
      <c r="BI29" s="946"/>
      <c r="BJ29" s="937"/>
      <c r="BK29" s="938">
        <f t="shared" si="19"/>
        <v>46965</v>
      </c>
      <c r="BL29" s="939">
        <f>-S29+AJ29+AF29-AX29+AH29+AG29-BB29-BF29+'Development Cash Flow'!Y29</f>
        <v>-355591.68009614205</v>
      </c>
      <c r="BM29" s="940"/>
      <c r="BN29" s="941">
        <f t="shared" si="8"/>
        <v>-223683.98274634313</v>
      </c>
      <c r="BO29" s="940"/>
      <c r="BP29" s="942">
        <f t="shared" si="9"/>
        <v>0</v>
      </c>
      <c r="BS29" s="949" t="e">
        <f t="shared" si="20"/>
        <v>#DIV/0!</v>
      </c>
      <c r="BT29" s="922">
        <f>+IF(SUM(BT$5:BT28)&lt;1,IF(BU29=MAX($BU$6:$BU$54),1,0),0)</f>
        <v>1</v>
      </c>
      <c r="BU29" s="922">
        <f t="shared" si="21"/>
        <v>4000000</v>
      </c>
      <c r="BV29" s="943">
        <f t="shared" si="10"/>
        <v>46965</v>
      </c>
      <c r="BW29" s="922">
        <f t="shared" si="11"/>
        <v>23</v>
      </c>
      <c r="BY29" s="208">
        <f>ROUND(IF(A29="Dev",IF(AND(BK29&gt;general!$D$23,SUM($BZ$6:$BZ28)&lt;1,financing!$L$15&gt;BH28+BF29),financing!$L$16*(BK29-BK28)/360*(financing!$L$15-BH28-BF29),0),0),-2)</f>
        <v>2000</v>
      </c>
      <c r="BZ29" s="909">
        <f>+IF(AND(BH29&gt;=financing!$L$15,SUM(BZ$6:BZ28)=0),1,0)</f>
        <v>0</v>
      </c>
      <c r="CA29" s="950">
        <f t="shared" si="22"/>
        <v>0</v>
      </c>
      <c r="CD29" s="914">
        <f>SUM($S$6:S29)</f>
        <v>4000000</v>
      </c>
      <c r="CF29" s="208">
        <f>+IF(C29&lt;general!$C$22,0,IF(AND(C29=general!$C$22,OR(A29="Pred",A29="Dev")),SUM(S$6:S29),S29))</f>
        <v>223683.98274634313</v>
      </c>
    </row>
    <row r="30" spans="1:84" ht="16" outlineLevel="1">
      <c r="A30" s="906" t="str">
        <f>+'Development Cash Flow'!A30</f>
        <v>Dev</v>
      </c>
      <c r="B30" s="908"/>
      <c r="C30" s="944">
        <f>IF('Development Cash Flow'!D29&lt;general!$D$28,'Development Cash Flow'!C29+1,0)</f>
        <v>24</v>
      </c>
      <c r="D30" s="945">
        <f t="shared" si="23"/>
        <v>46996</v>
      </c>
      <c r="E30" s="945"/>
      <c r="F30" s="928">
        <f>'Development Cash Flow'!P30*D$4+SUM('Development Cash Flow'!Q30:T30)*F$4</f>
        <v>412010.6339028384</v>
      </c>
      <c r="G30" s="928">
        <f>'Development Cash Flow'!AL30-F30</f>
        <v>73003.626096550259</v>
      </c>
      <c r="H30" s="928"/>
      <c r="I30" s="928"/>
      <c r="J30" s="931">
        <f>+financing!$D$54/12*reserves!BD29</f>
        <v>0</v>
      </c>
      <c r="K30" s="928">
        <f>IF(C30=0,0,IF(C30=sales!$D$32,financing!$E$12*financing!$F$11,IF(OR(C30&gt;general!$C$27,C30&lt;sales!$D$32),0,IF((C30-sales!$D$32)/12=ROUND((C30-sales!$D$32)/12,0),financing!$E$12*financing!$F$11,0))))</f>
        <v>0</v>
      </c>
      <c r="L30" s="928"/>
      <c r="M30" s="928">
        <f t="shared" si="26"/>
        <v>485014.25999938865</v>
      </c>
      <c r="N30" s="946"/>
      <c r="O30" s="946">
        <f>IF(D30=general!$D$21,financing!$F$30,0)</f>
        <v>0</v>
      </c>
      <c r="P30" s="946">
        <f>+MIN(IF(D30&lt;=general!$D$24,SUM(F$6:F30)-SUM(P$6:P29),reserves!F30),AR29)</f>
        <v>0</v>
      </c>
      <c r="Q30" s="946">
        <f>+MAX(MIN(SUM(G$6:$G30)-R30,AN29,SUM(G$6:$G30)-SUM(Q$6:Q29)),0)</f>
        <v>117084</v>
      </c>
      <c r="R30" s="946">
        <f>+IF(C30&gt;=sales!$D$36,'Development Cash Flow'!AL30,0)</f>
        <v>0</v>
      </c>
      <c r="S30" s="931">
        <f>IF(AND(A30=$A$5,C30&lt;financing!$D$55),M30-SUM(P30:R30,O30),MIN(M30-SUM(P30:R30,O30),financing!$F$10-SUM(S$5:S29)))</f>
        <v>0</v>
      </c>
      <c r="T30" s="931">
        <f>+MAX(MIN(IF(C30&gt;=financing!$D$55,M30-SUM(P30:S30)-J30,0),financing!$D$57-SUM(T$5:T29)),0)</f>
        <v>0</v>
      </c>
      <c r="U30" s="931">
        <f>+MAX(IF(C30&gt;=general!$C$23,M30-SUM(P30:T30),0)+IF(C30=general!$C$23,reserves!AZ29+AY30,0),0)</f>
        <v>367930.25999938865</v>
      </c>
      <c r="V30" s="946"/>
      <c r="W30" s="946">
        <f>SUMPRODUCT(--($C30=sales!$C$50:$C$54),sales!$F$50:$F$54)</f>
        <v>0</v>
      </c>
      <c r="X30" s="946">
        <f t="shared" si="0"/>
        <v>0</v>
      </c>
      <c r="Y30" s="946">
        <f t="shared" si="1"/>
        <v>0</v>
      </c>
      <c r="Z30" s="946">
        <f t="shared" si="2"/>
        <v>0</v>
      </c>
      <c r="AA30" s="946"/>
      <c r="AB30" s="932" cm="1">
        <f t="array" ref="AB30">SUMPRODUCT(--(C30=sales!$D$22:$D$27),sales!$G$22:$G$27)</f>
        <v>0</v>
      </c>
      <c r="AC30" s="946"/>
      <c r="AD30" s="931">
        <f t="shared" si="3"/>
        <v>0</v>
      </c>
      <c r="AE30" s="932"/>
      <c r="AF30" s="932">
        <f t="shared" si="24"/>
        <v>0</v>
      </c>
      <c r="AG30" s="932">
        <f t="shared" si="25"/>
        <v>0</v>
      </c>
      <c r="AH30" s="931">
        <f t="shared" si="12"/>
        <v>0</v>
      </c>
      <c r="AI30" s="932"/>
      <c r="AJ30" s="931">
        <f t="shared" si="4"/>
        <v>0</v>
      </c>
      <c r="AK30" s="946"/>
      <c r="AL30" s="947">
        <f>+IF(financing!$C$12="YES",'Development Cash Flow'!M30,0)</f>
        <v>117084</v>
      </c>
      <c r="AM30" s="947">
        <f t="shared" si="5"/>
        <v>117084</v>
      </c>
      <c r="AN30" s="947">
        <f t="shared" si="27"/>
        <v>117084</v>
      </c>
      <c r="AO30" s="946"/>
      <c r="AP30" s="947">
        <f>+SUM('Development Cash Flow'!G30:J30)-'Development Cash Flow'!M30</f>
        <v>0</v>
      </c>
      <c r="AQ30" s="947">
        <f t="shared" si="6"/>
        <v>0</v>
      </c>
      <c r="AR30" s="947">
        <f t="shared" si="28"/>
        <v>0</v>
      </c>
      <c r="AS30" s="946"/>
      <c r="AT30" s="947">
        <f t="shared" si="13"/>
        <v>27319600</v>
      </c>
      <c r="AU30" s="947">
        <f t="shared" si="14"/>
        <v>1522092</v>
      </c>
      <c r="AV30" s="948">
        <f t="shared" si="29"/>
        <v>5.5714285714285716E-2</v>
      </c>
      <c r="AW30" s="946"/>
      <c r="AX30" s="947">
        <f t="shared" si="7"/>
        <v>0</v>
      </c>
      <c r="AY30" s="947">
        <f>+AZ29*financing!$E$30/12</f>
        <v>0</v>
      </c>
      <c r="AZ30" s="947">
        <f t="shared" si="15"/>
        <v>0</v>
      </c>
      <c r="BA30" s="946"/>
      <c r="BB30" s="947">
        <f t="shared" si="16"/>
        <v>0</v>
      </c>
      <c r="BC30" s="947">
        <f>+IF(AND(BD29+BB30+MAX(BD29*financing!$E$15/12,financing!$D$59-SUM(reserves!BC$6:BC29)-SUM(J$6:J30))-reserves!AD30&lt;=0,financing!$D$58&gt;=0),MAX(BD29*financing!$E$15/12,financing!$D$59-SUM(reserves!BC$6:BC29)-SUM(J$6:J30)),BD29*financing!$E$15/12)</f>
        <v>0</v>
      </c>
      <c r="BD30" s="947">
        <f t="shared" si="17"/>
        <v>0</v>
      </c>
      <c r="BE30" s="946"/>
      <c r="BF30" s="947">
        <f t="shared" si="30"/>
        <v>367930.25999938865</v>
      </c>
      <c r="BG30" s="947">
        <f>+IF(AND(BH29+BF30+MAX((BH29*(LIBOR!AA31)*(D30-D29)/360)+BY30,financing!$C$16-SUM(reserves!BG$6:BG29))-reserves!AD30&lt;=0,financing!$L$17&gt;=0),MAX((BH29*(LIBOR!AA31)*(D30-D29)/360)+BY30,financing!$C$16-SUM(reserves!BG$6:BG29)),(BH29*(LIBOR!AA31)*(D30-D29)/360)+BY30)</f>
        <v>31942.465284775182</v>
      </c>
      <c r="BH30" s="947">
        <f t="shared" si="18"/>
        <v>3241858.9700472411</v>
      </c>
      <c r="BI30" s="946"/>
      <c r="BJ30" s="937"/>
      <c r="BK30" s="938">
        <f t="shared" si="19"/>
        <v>46996</v>
      </c>
      <c r="BL30" s="939">
        <f>-S30+AJ30+AF30-AX30+AH30+AG30-BB30-BF30+'Development Cash Flow'!Y30</f>
        <v>-367930.25999938865</v>
      </c>
      <c r="BM30" s="940"/>
      <c r="BN30" s="941">
        <f t="shared" si="8"/>
        <v>0</v>
      </c>
      <c r="BO30" s="940"/>
      <c r="BP30" s="942">
        <f t="shared" si="9"/>
        <v>0</v>
      </c>
      <c r="BS30" s="949" t="e">
        <f t="shared" si="20"/>
        <v>#DIV/0!</v>
      </c>
      <c r="BT30" s="922">
        <f>+IF(SUM(BT$5:BT29)&lt;1,IF(BU30=MAX($BU$6:$BU$54),1,0),0)</f>
        <v>0</v>
      </c>
      <c r="BU30" s="922">
        <f t="shared" si="21"/>
        <v>4000000</v>
      </c>
      <c r="BV30" s="943" t="str">
        <f t="shared" si="10"/>
        <v/>
      </c>
      <c r="BW30" s="922" t="str">
        <f t="shared" si="11"/>
        <v/>
      </c>
      <c r="BY30" s="208">
        <f>ROUND(IF(A30="Dev",IF(AND(BK30&gt;general!$D$23,SUM($BZ$6:$BZ29)&lt;1,financing!$L$15&gt;BH29+BF30),financing!$L$16*(BK30-BK29)/360*(financing!$L$15-BH29-BF30),0),0),-2)</f>
        <v>1900</v>
      </c>
      <c r="BZ30" s="909">
        <f>+IF(AND(BH30&gt;=financing!$L$15,SUM(BZ$6:BZ29)=0),1,0)</f>
        <v>0</v>
      </c>
      <c r="CA30" s="950">
        <f t="shared" si="22"/>
        <v>0</v>
      </c>
      <c r="CD30" s="914">
        <f>SUM($S$6:S30)</f>
        <v>4000000</v>
      </c>
      <c r="CF30" s="208">
        <f>+IF(C30&lt;general!$C$22,0,IF(AND(C30=general!$C$22,OR(A30="Pred",A30="Dev")),SUM(S$6:S30),S30))</f>
        <v>0</v>
      </c>
    </row>
    <row r="31" spans="1:84" ht="16" outlineLevel="1">
      <c r="A31" s="906" t="str">
        <f>+'Development Cash Flow'!A31</f>
        <v>Dev</v>
      </c>
      <c r="B31" s="908"/>
      <c r="C31" s="944">
        <f>IF('Development Cash Flow'!D30&lt;general!$D$28,'Development Cash Flow'!C30+1,0)</f>
        <v>25</v>
      </c>
      <c r="D31" s="945">
        <f t="shared" si="23"/>
        <v>47026</v>
      </c>
      <c r="E31" s="945"/>
      <c r="F31" s="928">
        <f>'Development Cash Flow'!P31*D$4+SUM('Development Cash Flow'!Q31:T31)*F$4</f>
        <v>421834.89962907805</v>
      </c>
      <c r="G31" s="928">
        <f>'Development Cash Flow'!AL31-F31</f>
        <v>73861.355637591856</v>
      </c>
      <c r="H31" s="928"/>
      <c r="I31" s="928"/>
      <c r="J31" s="931">
        <f>+financing!$D$54/12*reserves!BD30</f>
        <v>0</v>
      </c>
      <c r="K31" s="928">
        <f>IF(C31=0,0,IF(C31=sales!$D$32,financing!$E$12*financing!$F$11,IF(OR(C31&gt;general!$C$27,C31&lt;sales!$D$32),0,IF((C31-sales!$D$32)/12=ROUND((C31-sales!$D$32)/12,0),financing!$E$12*financing!$F$11,0))))</f>
        <v>0</v>
      </c>
      <c r="L31" s="928"/>
      <c r="M31" s="928">
        <f t="shared" si="26"/>
        <v>495696.2552666699</v>
      </c>
      <c r="N31" s="946"/>
      <c r="O31" s="946">
        <f>IF(D31=general!$D$21,financing!$F$30,0)</f>
        <v>0</v>
      </c>
      <c r="P31" s="946">
        <f>+MIN(IF(D31&lt;=general!$D$24,SUM(F$6:F31)-SUM(P$6:P30),reserves!F31),AR30)</f>
        <v>0</v>
      </c>
      <c r="Q31" s="946">
        <f>+MAX(MIN(SUM(G$6:$G31)-R31,AN30,SUM(G$6:$G31)-SUM(Q$6:Q30)),0)</f>
        <v>117084</v>
      </c>
      <c r="R31" s="946">
        <f>+IF(C31&gt;=sales!$D$36,'Development Cash Flow'!AL31,0)</f>
        <v>0</v>
      </c>
      <c r="S31" s="931">
        <f>IF(AND(A31=$A$5,C31&lt;financing!$D$55),M31-SUM(P31:R31,O31),MIN(M31-SUM(P31:R31,O31),financing!$F$10-SUM(S$5:S30)))</f>
        <v>0</v>
      </c>
      <c r="T31" s="931">
        <f>+MAX(MIN(IF(C31&gt;=financing!$D$55,M31-SUM(P31:S31)-J31,0),financing!$D$57-SUM(T$5:T30)),0)</f>
        <v>0</v>
      </c>
      <c r="U31" s="931">
        <f>+MAX(IF(C31&gt;=general!$C$23,M31-SUM(P31:T31),0)+IF(C31=general!$C$23,reserves!AZ30+AY31,0),0)</f>
        <v>378612.2552666699</v>
      </c>
      <c r="V31" s="946"/>
      <c r="W31" s="946">
        <f>SUMPRODUCT(--($C31=sales!$C$50:$C$54),sales!$F$50:$F$54)</f>
        <v>0</v>
      </c>
      <c r="X31" s="946">
        <f t="shared" si="0"/>
        <v>0</v>
      </c>
      <c r="Y31" s="946">
        <f t="shared" si="1"/>
        <v>0</v>
      </c>
      <c r="Z31" s="946">
        <f t="shared" si="2"/>
        <v>0</v>
      </c>
      <c r="AA31" s="946"/>
      <c r="AB31" s="932" cm="1">
        <f t="array" ref="AB31">SUMPRODUCT(--(C31=sales!$D$22:$D$27),sales!$G$22:$G$27)</f>
        <v>0</v>
      </c>
      <c r="AC31" s="946"/>
      <c r="AD31" s="931">
        <f t="shared" si="3"/>
        <v>0</v>
      </c>
      <c r="AE31" s="932"/>
      <c r="AF31" s="932">
        <f t="shared" si="24"/>
        <v>0</v>
      </c>
      <c r="AG31" s="932">
        <f t="shared" si="25"/>
        <v>0</v>
      </c>
      <c r="AH31" s="931">
        <f t="shared" si="12"/>
        <v>0</v>
      </c>
      <c r="AI31" s="932"/>
      <c r="AJ31" s="931">
        <f t="shared" si="4"/>
        <v>0</v>
      </c>
      <c r="AK31" s="946"/>
      <c r="AL31" s="947">
        <f>+IF(financing!$C$12="YES",'Development Cash Flow'!M31,0)</f>
        <v>0</v>
      </c>
      <c r="AM31" s="947">
        <f t="shared" si="5"/>
        <v>117084</v>
      </c>
      <c r="AN31" s="947">
        <f t="shared" si="27"/>
        <v>0</v>
      </c>
      <c r="AO31" s="946"/>
      <c r="AP31" s="947">
        <f>+SUM('Development Cash Flow'!G31:J31)-'Development Cash Flow'!M31</f>
        <v>273196</v>
      </c>
      <c r="AQ31" s="947">
        <f t="shared" si="6"/>
        <v>0</v>
      </c>
      <c r="AR31" s="947">
        <f t="shared" si="28"/>
        <v>273196</v>
      </c>
      <c r="AS31" s="946"/>
      <c r="AT31" s="947">
        <f t="shared" si="13"/>
        <v>27319600</v>
      </c>
      <c r="AU31" s="947">
        <f t="shared" si="14"/>
        <v>1639176</v>
      </c>
      <c r="AV31" s="948">
        <f t="shared" si="29"/>
        <v>0.06</v>
      </c>
      <c r="AW31" s="946"/>
      <c r="AX31" s="947">
        <f t="shared" si="7"/>
        <v>0</v>
      </c>
      <c r="AY31" s="947">
        <f>+AZ30*financing!$E$30/12</f>
        <v>0</v>
      </c>
      <c r="AZ31" s="947">
        <f t="shared" si="15"/>
        <v>0</v>
      </c>
      <c r="BA31" s="946"/>
      <c r="BB31" s="947">
        <f t="shared" si="16"/>
        <v>0</v>
      </c>
      <c r="BC31" s="947">
        <f>+IF(AND(BD30+BB31+MAX(BD30*financing!$E$15/12,financing!$D$59-SUM(reserves!BC$6:BC30)-SUM(J$6:J31))-reserves!AD31&lt;=0,financing!$D$58&gt;=0),MAX(BD30*financing!$E$15/12,financing!$D$59-SUM(reserves!BC$6:BC30)-SUM(J$6:J31)),BD30*financing!$E$15/12)</f>
        <v>0</v>
      </c>
      <c r="BD31" s="947">
        <f t="shared" si="17"/>
        <v>0</v>
      </c>
      <c r="BE31" s="946"/>
      <c r="BF31" s="947">
        <f t="shared" si="30"/>
        <v>378612.2552666699</v>
      </c>
      <c r="BG31" s="947">
        <f>+IF(AND(BH30+BF31+MAX((BH30*(LIBOR!AA32)*(D31-D30)/360)+BY31,financing!$C$16-SUM(reserves!BG$6:BG30))-reserves!AD31&lt;=0,financing!$L$17&gt;=0),MAX((BH30*(LIBOR!AA32)*(D31-D30)/360)+BY31,financing!$C$16-SUM(reserves!BG$6:BG30)),(BH30*(LIBOR!AA32)*(D31-D30)/360)+BY31)</f>
        <v>34960.867342647558</v>
      </c>
      <c r="BH31" s="947">
        <f t="shared" si="18"/>
        <v>3655432.0926565584</v>
      </c>
      <c r="BI31" s="946"/>
      <c r="BJ31" s="937"/>
      <c r="BK31" s="938">
        <f t="shared" si="19"/>
        <v>47026</v>
      </c>
      <c r="BL31" s="939">
        <f>-S31+AJ31+AF31-AX31+AH31+AG31-BB31-BF31+'Development Cash Flow'!Y31</f>
        <v>-378612.2552666699</v>
      </c>
      <c r="BM31" s="940"/>
      <c r="BN31" s="941">
        <f t="shared" si="8"/>
        <v>0</v>
      </c>
      <c r="BO31" s="940"/>
      <c r="BP31" s="942">
        <f t="shared" si="9"/>
        <v>0</v>
      </c>
      <c r="BS31" s="949" t="e">
        <f t="shared" si="20"/>
        <v>#DIV/0!</v>
      </c>
      <c r="BT31" s="922">
        <f>+IF(SUM(BT$5:BT30)&lt;1,IF(BU31=MAX($BU$6:$BU$54),1,0),0)</f>
        <v>0</v>
      </c>
      <c r="BU31" s="922">
        <f t="shared" si="21"/>
        <v>4000000</v>
      </c>
      <c r="BV31" s="943" t="str">
        <f t="shared" si="10"/>
        <v/>
      </c>
      <c r="BW31" s="922" t="str">
        <f t="shared" si="11"/>
        <v/>
      </c>
      <c r="BY31" s="208">
        <f>ROUND(IF(A31="Dev",IF(AND(BK31&gt;general!$D$23,SUM($BZ$6:$BZ30)&lt;1,financing!$L$15&gt;BH30+BF31),financing!$L$16*(BK31-BK30)/360*(financing!$L$15-BH30-BF31),0),0),-2)</f>
        <v>1800</v>
      </c>
      <c r="BZ31" s="909">
        <f>+IF(AND(BH31&gt;=financing!$L$15,SUM(BZ$6:BZ30)=0),1,0)</f>
        <v>0</v>
      </c>
      <c r="CA31" s="950">
        <f t="shared" si="22"/>
        <v>0</v>
      </c>
      <c r="CD31" s="914">
        <f>SUM($S$6:S31)</f>
        <v>4000000</v>
      </c>
      <c r="CF31" s="208">
        <f>+IF(C31&lt;general!$C$22,0,IF(AND(C31=general!$C$22,OR(A31="Pred",A31="Dev")),SUM(S$6:S31),S31))</f>
        <v>0</v>
      </c>
    </row>
    <row r="32" spans="1:84" ht="16" outlineLevel="1">
      <c r="A32" s="906" t="str">
        <f>+'Development Cash Flow'!A32</f>
        <v>Dev</v>
      </c>
      <c r="B32" s="908"/>
      <c r="C32" s="944">
        <f>IF('Development Cash Flow'!D31&lt;general!$D$28,'Development Cash Flow'!C31+1,0)</f>
        <v>26</v>
      </c>
      <c r="D32" s="945">
        <f t="shared" si="23"/>
        <v>47057</v>
      </c>
      <c r="E32" s="945"/>
      <c r="F32" s="928">
        <f>'Development Cash Flow'!P32*D$4+SUM('Development Cash Flow'!Q32:T32)*F$4</f>
        <v>429943.50363563019</v>
      </c>
      <c r="G32" s="928">
        <f>'Development Cash Flow'!AL32-F32</f>
        <v>74569.295486414514</v>
      </c>
      <c r="H32" s="928"/>
      <c r="I32" s="928"/>
      <c r="J32" s="931">
        <f>+financing!$D$54/12*reserves!BD31</f>
        <v>0</v>
      </c>
      <c r="K32" s="928">
        <f>IF(C32=0,0,IF(C32=sales!$D$32,financing!$E$12*financing!$F$11,IF(OR(C32&gt;general!$C$27,C32&lt;sales!$D$32),0,IF((C32-sales!$D$32)/12=ROUND((C32-sales!$D$32)/12,0),financing!$E$12*financing!$F$11,0))))</f>
        <v>0</v>
      </c>
      <c r="L32" s="928"/>
      <c r="M32" s="928">
        <f t="shared" si="26"/>
        <v>504512.7991220447</v>
      </c>
      <c r="N32" s="946"/>
      <c r="O32" s="946">
        <f>IF(D32=general!$D$21,financing!$F$30,0)</f>
        <v>0</v>
      </c>
      <c r="P32" s="946">
        <f>+MIN(IF(D32&lt;=general!$D$24,SUM(F$6:F32)-SUM(P$6:P31),reserves!F32),AR31)</f>
        <v>273196</v>
      </c>
      <c r="Q32" s="946">
        <f>+MAX(MIN(SUM(G$6:$G32)-R32,AN31,SUM(G$6:$G32)-SUM(Q$6:Q31)),0)</f>
        <v>0</v>
      </c>
      <c r="R32" s="946">
        <f>+IF(C32&gt;=sales!$D$36,'Development Cash Flow'!AL32,0)</f>
        <v>0</v>
      </c>
      <c r="S32" s="931">
        <f>IF(AND(A32=$A$5,C32&lt;financing!$D$55),M32-SUM(P32:R32,O32),MIN(M32-SUM(P32:R32,O32),financing!$F$10-SUM(S$5:S31)))</f>
        <v>0</v>
      </c>
      <c r="T32" s="931">
        <f>+MAX(MIN(IF(C32&gt;=financing!$D$55,M32-SUM(P32:S32)-J32,0),financing!$D$57-SUM(T$5:T31)),0)</f>
        <v>0</v>
      </c>
      <c r="U32" s="931">
        <f>+MAX(IF(C32&gt;=general!$C$23,M32-SUM(P32:T32),0)+IF(C32=general!$C$23,reserves!AZ31+AY32,0),0)</f>
        <v>231316.7991220447</v>
      </c>
      <c r="V32" s="946"/>
      <c r="W32" s="946">
        <f>SUMPRODUCT(--($C32=sales!$C$50:$C$54),sales!$F$50:$F$54)</f>
        <v>0</v>
      </c>
      <c r="X32" s="946">
        <f t="shared" si="0"/>
        <v>0</v>
      </c>
      <c r="Y32" s="946">
        <f t="shared" si="1"/>
        <v>0</v>
      </c>
      <c r="Z32" s="946">
        <f t="shared" si="2"/>
        <v>0</v>
      </c>
      <c r="AA32" s="946"/>
      <c r="AB32" s="932" cm="1">
        <f t="array" ref="AB32">SUMPRODUCT(--(C32=sales!$D$22:$D$27),sales!$G$22:$G$27)</f>
        <v>0</v>
      </c>
      <c r="AC32" s="946"/>
      <c r="AD32" s="931">
        <f t="shared" si="3"/>
        <v>0</v>
      </c>
      <c r="AE32" s="932"/>
      <c r="AF32" s="932">
        <f t="shared" si="24"/>
        <v>0</v>
      </c>
      <c r="AG32" s="932">
        <f t="shared" si="25"/>
        <v>0</v>
      </c>
      <c r="AH32" s="931">
        <f t="shared" si="12"/>
        <v>0</v>
      </c>
      <c r="AI32" s="932"/>
      <c r="AJ32" s="931">
        <f t="shared" si="4"/>
        <v>0</v>
      </c>
      <c r="AK32" s="946"/>
      <c r="AL32" s="947">
        <f>+IF(financing!$C$12="YES",'Development Cash Flow'!M32,0)</f>
        <v>0</v>
      </c>
      <c r="AM32" s="947">
        <f t="shared" si="5"/>
        <v>0</v>
      </c>
      <c r="AN32" s="947">
        <f t="shared" si="27"/>
        <v>0</v>
      </c>
      <c r="AO32" s="946"/>
      <c r="AP32" s="947">
        <f>+SUM('Development Cash Flow'!G32:J32)-'Development Cash Flow'!M32</f>
        <v>273196</v>
      </c>
      <c r="AQ32" s="947">
        <f t="shared" si="6"/>
        <v>273196</v>
      </c>
      <c r="AR32" s="947">
        <f t="shared" si="28"/>
        <v>273196</v>
      </c>
      <c r="AS32" s="946"/>
      <c r="AT32" s="947">
        <f t="shared" si="13"/>
        <v>27319600</v>
      </c>
      <c r="AU32" s="947">
        <f t="shared" si="14"/>
        <v>1912372</v>
      </c>
      <c r="AV32" s="948">
        <f t="shared" si="29"/>
        <v>7.0000000000000007E-2</v>
      </c>
      <c r="AW32" s="946"/>
      <c r="AX32" s="947">
        <f t="shared" si="7"/>
        <v>0</v>
      </c>
      <c r="AY32" s="947">
        <f>+AZ31*financing!$E$30/12</f>
        <v>0</v>
      </c>
      <c r="AZ32" s="947">
        <f t="shared" si="15"/>
        <v>0</v>
      </c>
      <c r="BA32" s="946"/>
      <c r="BB32" s="947">
        <f t="shared" si="16"/>
        <v>0</v>
      </c>
      <c r="BC32" s="947">
        <f>+IF(AND(BD31+BB32+MAX(BD31*financing!$E$15/12,financing!$D$59-SUM(reserves!BC$6:BC31)-SUM(J$6:J32))-reserves!AD32&lt;=0,financing!$D$58&gt;=0),MAX(BD31*financing!$E$15/12,financing!$D$59-SUM(reserves!BC$6:BC31)-SUM(J$6:J32)),BD31*financing!$E$15/12)</f>
        <v>0</v>
      </c>
      <c r="BD32" s="947">
        <f t="shared" si="17"/>
        <v>0</v>
      </c>
      <c r="BE32" s="946"/>
      <c r="BF32" s="947">
        <f t="shared" si="30"/>
        <v>231316.7991220447</v>
      </c>
      <c r="BG32" s="947">
        <f>+IF(AND(BH31+BF32+MAX((BH31*(LIBOR!AA33)*(D32-D31)/360)+BY32,financing!$C$16-SUM(reserves!BG$6:BG31))-reserves!AD32&lt;=0,financing!$L$17&gt;=0),MAX((BH31*(LIBOR!AA33)*(D32-D31)/360)+BY32,financing!$C$16-SUM(reserves!BG$6:BG31)),(BH31*(LIBOR!AA33)*(D32-D31)/360)+BY32)</f>
        <v>40435.875254396946</v>
      </c>
      <c r="BH32" s="947">
        <f t="shared" si="18"/>
        <v>3927184.767033</v>
      </c>
      <c r="BI32" s="946"/>
      <c r="BJ32" s="937"/>
      <c r="BK32" s="938">
        <f t="shared" si="19"/>
        <v>47057</v>
      </c>
      <c r="BL32" s="939">
        <f>-S32+AJ32+AF32-AX32+AH32+AG32-BB32-BF32+'Development Cash Flow'!Y32</f>
        <v>-231316.7991220447</v>
      </c>
      <c r="BM32" s="940"/>
      <c r="BN32" s="941">
        <f t="shared" si="8"/>
        <v>0</v>
      </c>
      <c r="BO32" s="940"/>
      <c r="BP32" s="942">
        <f t="shared" si="9"/>
        <v>0</v>
      </c>
      <c r="BS32" s="949" t="e">
        <f t="shared" si="20"/>
        <v>#DIV/0!</v>
      </c>
      <c r="BT32" s="922">
        <f>+IF(SUM(BT$5:BT31)&lt;1,IF(BU32=MAX($BU$6:$BU$54),1,0),0)</f>
        <v>0</v>
      </c>
      <c r="BU32" s="922">
        <f t="shared" si="21"/>
        <v>4000000</v>
      </c>
      <c r="BV32" s="943" t="str">
        <f t="shared" si="10"/>
        <v/>
      </c>
      <c r="BW32" s="922" t="str">
        <f t="shared" si="11"/>
        <v/>
      </c>
      <c r="BY32" s="208">
        <f>ROUND(IF(A32="Dev",IF(AND(BK32&gt;general!$D$23,SUM($BZ$6:$BZ31)&lt;1,financing!$L$15&gt;BH31+BF32),financing!$L$16*(BK32-BK31)/360*(financing!$L$15-BH31-BF32),0),0),-2)</f>
        <v>1800</v>
      </c>
      <c r="BZ32" s="909">
        <f>+IF(AND(BH32&gt;=financing!$L$15,SUM(BZ$6:BZ31)=0),1,0)</f>
        <v>0</v>
      </c>
      <c r="CA32" s="950">
        <f t="shared" si="22"/>
        <v>0</v>
      </c>
      <c r="CD32" s="914">
        <f>SUM($S$6:S32)</f>
        <v>4000000</v>
      </c>
      <c r="CF32" s="208">
        <f>+IF(C32&lt;general!$C$22,0,IF(AND(C32=general!$C$22,OR(A32="Pred",A32="Dev")),SUM(S$6:S32),S32))</f>
        <v>0</v>
      </c>
    </row>
    <row r="33" spans="1:84" ht="16" outlineLevel="1">
      <c r="A33" s="906" t="str">
        <f>+'Development Cash Flow'!A33</f>
        <v>Dev</v>
      </c>
      <c r="B33" s="908"/>
      <c r="C33" s="944">
        <f>IF('Development Cash Flow'!D32&lt;general!$D$28,'Development Cash Flow'!C32+1,0)</f>
        <v>27</v>
      </c>
      <c r="D33" s="945">
        <f t="shared" si="23"/>
        <v>47087</v>
      </c>
      <c r="E33" s="945"/>
      <c r="F33" s="928">
        <f>'Development Cash Flow'!P33*D$4+SUM('Development Cash Flow'!Q33:T33)*F$4</f>
        <v>436174.40553318942</v>
      </c>
      <c r="G33" s="928">
        <f>'Development Cash Flow'!AL33-F33</f>
        <v>156827.58405789034</v>
      </c>
      <c r="H33" s="928"/>
      <c r="I33" s="928"/>
      <c r="J33" s="931">
        <f>+financing!$D$54/12*reserves!BD32</f>
        <v>0</v>
      </c>
      <c r="K33" s="928">
        <f>IF(C33=0,0,IF(C33=sales!$D$32,financing!$E$12*financing!$F$11,IF(OR(C33&gt;general!$C$27,C33&lt;sales!$D$32),0,IF((C33-sales!$D$32)/12=ROUND((C33-sales!$D$32)/12,0),financing!$E$12*financing!$F$11,0))))</f>
        <v>0</v>
      </c>
      <c r="L33" s="928"/>
      <c r="M33" s="928">
        <f t="shared" si="26"/>
        <v>593001.98959107976</v>
      </c>
      <c r="N33" s="946"/>
      <c r="O33" s="946">
        <f>IF(D33=general!$D$21,financing!$F$30,0)</f>
        <v>0</v>
      </c>
      <c r="P33" s="946">
        <f>+MIN(IF(D33&lt;=general!$D$24,SUM(F$6:F33)-SUM(P$6:P32),reserves!F33),AR32)</f>
        <v>273196</v>
      </c>
      <c r="Q33" s="946">
        <f>+MAX(MIN(SUM(G$6:$G33)-R33,AN32,SUM(G$6:$G33)-SUM(Q$6:Q32)),0)</f>
        <v>0</v>
      </c>
      <c r="R33" s="946">
        <f>+IF(C33&gt;=sales!$D$36,'Development Cash Flow'!AL33,0)</f>
        <v>0</v>
      </c>
      <c r="S33" s="931">
        <f>IF(AND(A33=$A$5,C33&lt;financing!$D$55),M33-SUM(P33:R33,O33),MIN(M33-SUM(P33:R33,O33),financing!$F$10-SUM(S$5:S32)))</f>
        <v>0</v>
      </c>
      <c r="T33" s="931">
        <f>+MAX(MIN(IF(C33&gt;=financing!$D$55,M33-SUM(P33:S33)-J33,0),financing!$D$57-SUM(T$5:T32)),0)</f>
        <v>0</v>
      </c>
      <c r="U33" s="931">
        <f>+MAX(IF(C33&gt;=general!$C$23,M33-SUM(P33:T33),0)+IF(C33=general!$C$23,reserves!AZ32+AY33,0),0)</f>
        <v>319805.98959107976</v>
      </c>
      <c r="V33" s="946"/>
      <c r="W33" s="946">
        <f>SUMPRODUCT(--($C33=sales!$C$50:$C$54),sales!$F$50:$F$54)</f>
        <v>0</v>
      </c>
      <c r="X33" s="946">
        <f t="shared" si="0"/>
        <v>0</v>
      </c>
      <c r="Y33" s="946">
        <f t="shared" si="1"/>
        <v>0</v>
      </c>
      <c r="Z33" s="946">
        <f t="shared" si="2"/>
        <v>0</v>
      </c>
      <c r="AA33" s="946"/>
      <c r="AB33" s="932" cm="1">
        <f t="array" ref="AB33">SUMPRODUCT(--(C33=sales!$D$22:$D$27),sales!$G$22:$G$27)</f>
        <v>0</v>
      </c>
      <c r="AC33" s="946"/>
      <c r="AD33" s="931">
        <f t="shared" si="3"/>
        <v>0</v>
      </c>
      <c r="AE33" s="932"/>
      <c r="AF33" s="932">
        <f t="shared" si="24"/>
        <v>0</v>
      </c>
      <c r="AG33" s="932">
        <f t="shared" si="25"/>
        <v>0</v>
      </c>
      <c r="AH33" s="931">
        <f t="shared" si="12"/>
        <v>0</v>
      </c>
      <c r="AI33" s="932"/>
      <c r="AJ33" s="931">
        <f t="shared" si="4"/>
        <v>0</v>
      </c>
      <c r="AK33" s="946"/>
      <c r="AL33" s="947">
        <f>+IF(financing!$C$12="YES",'Development Cash Flow'!M33,0)</f>
        <v>0</v>
      </c>
      <c r="AM33" s="947">
        <f t="shared" si="5"/>
        <v>0</v>
      </c>
      <c r="AN33" s="947">
        <f t="shared" si="27"/>
        <v>0</v>
      </c>
      <c r="AO33" s="946"/>
      <c r="AP33" s="947">
        <f>+SUM('Development Cash Flow'!G33:J33)-'Development Cash Flow'!M33</f>
        <v>273196</v>
      </c>
      <c r="AQ33" s="947">
        <f t="shared" si="6"/>
        <v>273196</v>
      </c>
      <c r="AR33" s="947">
        <f t="shared" si="28"/>
        <v>273196</v>
      </c>
      <c r="AS33" s="946"/>
      <c r="AT33" s="947">
        <f t="shared" si="13"/>
        <v>27319600</v>
      </c>
      <c r="AU33" s="947">
        <f t="shared" si="14"/>
        <v>2185568</v>
      </c>
      <c r="AV33" s="948">
        <f t="shared" si="29"/>
        <v>0.08</v>
      </c>
      <c r="AW33" s="946"/>
      <c r="AX33" s="947">
        <f t="shared" si="7"/>
        <v>0</v>
      </c>
      <c r="AY33" s="947">
        <f>+AZ32*financing!$E$30/12</f>
        <v>0</v>
      </c>
      <c r="AZ33" s="947">
        <f t="shared" si="15"/>
        <v>0</v>
      </c>
      <c r="BA33" s="946"/>
      <c r="BB33" s="947">
        <f t="shared" si="16"/>
        <v>0</v>
      </c>
      <c r="BC33" s="947">
        <f>+IF(AND(BD32+BB33+MAX(BD32*financing!$E$15/12,financing!$D$59-SUM(reserves!BC$6:BC32)-SUM(J$6:J33))-reserves!AD33&lt;=0,financing!$D$58&gt;=0),MAX(BD32*financing!$E$15/12,financing!$D$59-SUM(reserves!BC$6:BC32)-SUM(J$6:J33)),BD32*financing!$E$15/12)</f>
        <v>0</v>
      </c>
      <c r="BD33" s="947">
        <f t="shared" si="17"/>
        <v>0</v>
      </c>
      <c r="BE33" s="946"/>
      <c r="BF33" s="947">
        <f t="shared" si="30"/>
        <v>319805.98959107976</v>
      </c>
      <c r="BG33" s="947">
        <f>+IF(AND(BH32+BF33+MAX((BH32*(LIBOR!AA34)*(D33-D32)/360)+BY33,financing!$C$16-SUM(reserves!BG$6:BG32))-reserves!AD33&lt;=0,financing!$L$17&gt;=0),MAX((BH32*(LIBOR!AA34)*(D33-D32)/360)+BY33,financing!$C$16-SUM(reserves!BG$6:BG32)),(BH32*(LIBOR!AA34)*(D33-D32)/360)+BY33)</f>
        <v>41766.133094862867</v>
      </c>
      <c r="BH33" s="947">
        <f t="shared" si="18"/>
        <v>4288756.8897189423</v>
      </c>
      <c r="BI33" s="946"/>
      <c r="BJ33" s="937"/>
      <c r="BK33" s="938">
        <f t="shared" si="19"/>
        <v>47087</v>
      </c>
      <c r="BL33" s="939">
        <f>-S33+AJ33+AF33-AX33+AH33+AG33-BB33-BF33+'Development Cash Flow'!Y33</f>
        <v>-319805.98959107976</v>
      </c>
      <c r="BM33" s="940"/>
      <c r="BN33" s="941">
        <f t="shared" si="8"/>
        <v>0</v>
      </c>
      <c r="BO33" s="940"/>
      <c r="BP33" s="942">
        <f t="shared" si="9"/>
        <v>0</v>
      </c>
      <c r="BS33" s="949" t="e">
        <f t="shared" si="20"/>
        <v>#DIV/0!</v>
      </c>
      <c r="BT33" s="922">
        <f>+IF(SUM(BT$5:BT32)&lt;1,IF(BU33=MAX($BU$6:$BU$54),1,0),0)</f>
        <v>0</v>
      </c>
      <c r="BU33" s="922">
        <f t="shared" si="21"/>
        <v>4000000</v>
      </c>
      <c r="BV33" s="943" t="str">
        <f t="shared" si="10"/>
        <v/>
      </c>
      <c r="BW33" s="922" t="str">
        <f t="shared" si="11"/>
        <v/>
      </c>
      <c r="BY33" s="208">
        <f>ROUND(IF(A33="Dev",IF(AND(BK33&gt;general!$D$23,SUM($BZ$6:$BZ32)&lt;1,financing!$L$15&gt;BH32+BF33),financing!$L$16*(BK33-BK32)/360*(financing!$L$15-BH32-BF33),0),0),-2)</f>
        <v>1600</v>
      </c>
      <c r="BZ33" s="909">
        <f>+IF(AND(BH33&gt;=financing!$L$15,SUM(BZ$6:BZ32)=0),1,0)</f>
        <v>0</v>
      </c>
      <c r="CA33" s="950">
        <f t="shared" si="22"/>
        <v>0</v>
      </c>
      <c r="CD33" s="909">
        <f>SUM($S$6:S33)</f>
        <v>4000000</v>
      </c>
      <c r="CF33" s="208">
        <f>+IF(C33&lt;general!$C$22,0,IF(AND(C33=general!$C$22,OR(A33="Pred",A33="Dev")),SUM(S$6:S33),S33))</f>
        <v>0</v>
      </c>
    </row>
    <row r="34" spans="1:84" ht="16" outlineLevel="1">
      <c r="A34" s="906" t="str">
        <f>+'Development Cash Flow'!A34</f>
        <v>Dev</v>
      </c>
      <c r="B34" s="908"/>
      <c r="C34" s="944">
        <f>IF('Development Cash Flow'!D33&lt;general!$D$28,'Development Cash Flow'!C33+1,0)</f>
        <v>28</v>
      </c>
      <c r="D34" s="945">
        <f t="shared" si="23"/>
        <v>47118</v>
      </c>
      <c r="E34" s="945"/>
      <c r="F34" s="928">
        <f>'Development Cash Flow'!P34*D$4+SUM('Development Cash Flow'!Q34:T34)*F$4</f>
        <v>440401.00182518177</v>
      </c>
      <c r="G34" s="928">
        <f>'Development Cash Flow'!AL34-F34</f>
        <v>75482.310807102593</v>
      </c>
      <c r="H34" s="928"/>
      <c r="I34" s="928"/>
      <c r="J34" s="931">
        <f>+financing!$D$54/12*reserves!BD33</f>
        <v>0</v>
      </c>
      <c r="K34" s="928">
        <f>IF(C34=0,0,IF(C34=sales!$D$32,financing!$E$12*financing!$F$11,IF(OR(C34&gt;general!$C$27,C34&lt;sales!$D$32),0,IF((C34-sales!$D$32)/12=ROUND((C34-sales!$D$32)/12,0),financing!$E$12*financing!$F$11,0))))</f>
        <v>0</v>
      </c>
      <c r="L34" s="928"/>
      <c r="M34" s="928">
        <f t="shared" si="26"/>
        <v>515883.31263228436</v>
      </c>
      <c r="N34" s="946"/>
      <c r="O34" s="946">
        <f>IF(D34=general!$D$21,financing!$F$30,0)</f>
        <v>0</v>
      </c>
      <c r="P34" s="946">
        <f>+MIN(IF(D34&lt;=general!$D$24,SUM(F$6:F34)-SUM(P$6:P33),reserves!F34),AR33)</f>
        <v>273196</v>
      </c>
      <c r="Q34" s="946">
        <f>+MAX(MIN(SUM(G$6:$G34)-R34,AN33,SUM(G$6:$G34)-SUM(Q$6:Q33)),0)</f>
        <v>0</v>
      </c>
      <c r="R34" s="946">
        <f>+IF(C34&gt;=sales!$D$36,'Development Cash Flow'!AL34,0)</f>
        <v>0</v>
      </c>
      <c r="S34" s="931">
        <f>IF(AND(A34=$A$5,C34&lt;financing!$D$55),M34-SUM(P34:R34,O34),MIN(M34-SUM(P34:R34,O34),financing!$F$10-SUM(S$5:S33)))</f>
        <v>0</v>
      </c>
      <c r="T34" s="931">
        <f>+MAX(MIN(IF(C34&gt;=financing!$D$55,M34-SUM(P34:S34)-J34,0),financing!$D$57-SUM(T$5:T33)),0)</f>
        <v>0</v>
      </c>
      <c r="U34" s="931">
        <f>+MAX(IF(C34&gt;=general!$C$23,M34-SUM(P34:T34),0)+IF(C34=general!$C$23,reserves!AZ33+AY34,0),0)</f>
        <v>242687.31263228436</v>
      </c>
      <c r="V34" s="946"/>
      <c r="W34" s="946">
        <f>SUMPRODUCT(--($C34=sales!$C$50:$C$54),sales!$F$50:$F$54)</f>
        <v>0</v>
      </c>
      <c r="X34" s="946">
        <f t="shared" si="0"/>
        <v>0</v>
      </c>
      <c r="Y34" s="946">
        <f t="shared" si="1"/>
        <v>0</v>
      </c>
      <c r="Z34" s="946">
        <f t="shared" si="2"/>
        <v>0</v>
      </c>
      <c r="AA34" s="946"/>
      <c r="AB34" s="932" cm="1">
        <f t="array" ref="AB34">SUMPRODUCT(--(C34=sales!$D$22:$D$27),sales!$G$22:$G$27)</f>
        <v>0</v>
      </c>
      <c r="AC34" s="946"/>
      <c r="AD34" s="931">
        <f t="shared" si="3"/>
        <v>0</v>
      </c>
      <c r="AE34" s="932"/>
      <c r="AF34" s="932">
        <f t="shared" si="24"/>
        <v>0</v>
      </c>
      <c r="AG34" s="932">
        <f t="shared" si="25"/>
        <v>0</v>
      </c>
      <c r="AH34" s="931">
        <f t="shared" si="12"/>
        <v>0</v>
      </c>
      <c r="AI34" s="932"/>
      <c r="AJ34" s="931">
        <f t="shared" si="4"/>
        <v>0</v>
      </c>
      <c r="AK34" s="946"/>
      <c r="AL34" s="947">
        <f>+IF(financing!$C$12="YES",'Development Cash Flow'!M34,0)</f>
        <v>0</v>
      </c>
      <c r="AM34" s="947">
        <f t="shared" si="5"/>
        <v>0</v>
      </c>
      <c r="AN34" s="947">
        <f t="shared" si="27"/>
        <v>0</v>
      </c>
      <c r="AO34" s="946"/>
      <c r="AP34" s="947">
        <f>+SUM('Development Cash Flow'!G34:J34)-'Development Cash Flow'!M34</f>
        <v>0</v>
      </c>
      <c r="AQ34" s="947">
        <f t="shared" si="6"/>
        <v>273196</v>
      </c>
      <c r="AR34" s="947">
        <f t="shared" si="28"/>
        <v>0</v>
      </c>
      <c r="AS34" s="946"/>
      <c r="AT34" s="947">
        <f t="shared" si="13"/>
        <v>27319600</v>
      </c>
      <c r="AU34" s="947">
        <f t="shared" si="14"/>
        <v>2458764</v>
      </c>
      <c r="AV34" s="948">
        <f t="shared" si="29"/>
        <v>0.09</v>
      </c>
      <c r="AW34" s="946"/>
      <c r="AX34" s="947">
        <f t="shared" si="7"/>
        <v>0</v>
      </c>
      <c r="AY34" s="947">
        <f>+AZ33*financing!$E$30/12</f>
        <v>0</v>
      </c>
      <c r="AZ34" s="947">
        <f t="shared" si="15"/>
        <v>0</v>
      </c>
      <c r="BA34" s="946"/>
      <c r="BB34" s="947">
        <f t="shared" si="16"/>
        <v>0</v>
      </c>
      <c r="BC34" s="947">
        <f>+IF(AND(BD33+BB34+MAX(BD33*financing!$E$15/12,financing!$D$59-SUM(reserves!BC$6:BC33)-SUM(J$6:J34))-reserves!AD34&lt;=0,financing!$D$58&gt;=0),MAX(BD33*financing!$E$15/12,financing!$D$59-SUM(reserves!BC$6:BC33)-SUM(J$6:J34)),BD33*financing!$E$15/12)</f>
        <v>0</v>
      </c>
      <c r="BD34" s="947">
        <f t="shared" si="17"/>
        <v>0</v>
      </c>
      <c r="BE34" s="946"/>
      <c r="BF34" s="947">
        <f t="shared" si="30"/>
        <v>242687.31263228436</v>
      </c>
      <c r="BG34" s="947">
        <f>+IF(AND(BH33+BF34+MAX((BH33*(LIBOR!AA35)*(D34-D33)/360)+BY34,financing!$C$16-SUM(reserves!BG$6:BG33))-reserves!AD34&lt;=0,financing!$L$17&gt;=0),MAX((BH33*(LIBOR!AA35)*(D34-D33)/360)+BY34,financing!$C$16-SUM(reserves!BG$6:BG33)),(BH33*(LIBOR!AA35)*(D34-D33)/360)+BY34)</f>
        <v>46925.037413928221</v>
      </c>
      <c r="BH34" s="947">
        <f t="shared" si="18"/>
        <v>4578369.2397651551</v>
      </c>
      <c r="BI34" s="946"/>
      <c r="BJ34" s="937"/>
      <c r="BK34" s="938">
        <f t="shared" si="19"/>
        <v>47118</v>
      </c>
      <c r="BL34" s="939">
        <f>-S34+AJ34+AF34-AX34+AH34+AG34-BB34-BF34+'Development Cash Flow'!Y34</f>
        <v>-242687.31263228436</v>
      </c>
      <c r="BM34" s="940"/>
      <c r="BN34" s="941">
        <f t="shared" si="8"/>
        <v>0</v>
      </c>
      <c r="BO34" s="940"/>
      <c r="BP34" s="942">
        <f t="shared" si="9"/>
        <v>0</v>
      </c>
      <c r="BS34" s="949" t="e">
        <f t="shared" si="20"/>
        <v>#DIV/0!</v>
      </c>
      <c r="BT34" s="922">
        <f>+IF(SUM(BT$5:BT33)&lt;1,IF(BU34=MAX($BU$6:$BU$54),1,0),0)</f>
        <v>0</v>
      </c>
      <c r="BU34" s="922">
        <f t="shared" si="21"/>
        <v>4000000</v>
      </c>
      <c r="BV34" s="943" t="str">
        <f t="shared" si="10"/>
        <v/>
      </c>
      <c r="BW34" s="922" t="str">
        <f t="shared" si="11"/>
        <v/>
      </c>
      <c r="BY34" s="208">
        <f>ROUND(IF(A34="Dev",IF(AND(BK34&gt;general!$D$23,SUM($BZ$6:$BZ33)&lt;1,financing!$L$15&gt;BH33+BF34),financing!$L$16*(BK34-BK33)/360*(financing!$L$15-BH33-BF34),0),0),-2)</f>
        <v>1600</v>
      </c>
      <c r="BZ34" s="909">
        <f>+IF(AND(BH34&gt;=financing!$L$15,SUM(BZ$6:BZ33)=0),1,0)</f>
        <v>0</v>
      </c>
      <c r="CA34" s="950">
        <f t="shared" si="22"/>
        <v>0</v>
      </c>
      <c r="CD34" s="909">
        <f>SUM($S$6:S34)</f>
        <v>4000000</v>
      </c>
      <c r="CF34" s="208">
        <f>+IF(C34&lt;general!$C$22,0,IF(AND(C34=general!$C$22,OR(A34="Pred",A34="Dev")),SUM(S$6:S34),S34))</f>
        <v>0</v>
      </c>
    </row>
    <row r="35" spans="1:84" ht="16" outlineLevel="1">
      <c r="A35" s="906" t="str">
        <f>+'Development Cash Flow'!A35</f>
        <v>Dev</v>
      </c>
      <c r="B35" s="908"/>
      <c r="C35" s="944">
        <f>IF('Development Cash Flow'!D34&lt;general!$D$28,'Development Cash Flow'!C34+1,0)</f>
        <v>29</v>
      </c>
      <c r="D35" s="945">
        <f t="shared" si="23"/>
        <v>47149</v>
      </c>
      <c r="E35" s="945"/>
      <c r="F35" s="928">
        <f>'Development Cash Flow'!P35*D$4+SUM('Development Cash Flow'!Q35:T35)*F$4</f>
        <v>442536.40281613829</v>
      </c>
      <c r="G35" s="928">
        <f>'Development Cash Flow'!AL35-F35</f>
        <v>75668.746777276043</v>
      </c>
      <c r="H35" s="928"/>
      <c r="I35" s="928"/>
      <c r="J35" s="931">
        <f>+financing!$D$54/12*reserves!BD34</f>
        <v>0</v>
      </c>
      <c r="K35" s="928">
        <f>IF(C35=0,0,IF(C35=sales!$D$32,financing!$E$12*financing!$F$11,IF(OR(C35&gt;general!$C$27,C35&lt;sales!$D$32),0,IF((C35-sales!$D$32)/12=ROUND((C35-sales!$D$32)/12,0),financing!$E$12*financing!$F$11,0))))</f>
        <v>0</v>
      </c>
      <c r="L35" s="928"/>
      <c r="M35" s="928">
        <f t="shared" si="26"/>
        <v>518205.14959341433</v>
      </c>
      <c r="N35" s="946"/>
      <c r="O35" s="946">
        <f>IF(D35=general!$D$21,financing!$F$30,0)</f>
        <v>0</v>
      </c>
      <c r="P35" s="946">
        <f>+MIN(IF(D35&lt;=general!$D$24,SUM(F$6:F35)-SUM(P$6:P34),reserves!F35),AR34)</f>
        <v>0</v>
      </c>
      <c r="Q35" s="946">
        <f>+MAX(MIN(SUM(G$6:$G35)-R35,AN34,SUM(G$6:$G35)-SUM(Q$6:Q34)),0)</f>
        <v>0</v>
      </c>
      <c r="R35" s="946">
        <f>+IF(C35&gt;=sales!$D$36,'Development Cash Flow'!AL35,0)</f>
        <v>0</v>
      </c>
      <c r="S35" s="931">
        <f>IF(AND(A35=$A$5,C35&lt;financing!$D$55),M35-SUM(P35:R35,O35),MIN(M35-SUM(P35:R35,O35),financing!$F$10-SUM(S$5:S34)))</f>
        <v>0</v>
      </c>
      <c r="T35" s="931">
        <f>+MAX(MIN(IF(C35&gt;=financing!$D$55,M35-SUM(P35:S35)-J35,0),financing!$D$57-SUM(T$5:T34)),0)</f>
        <v>0</v>
      </c>
      <c r="U35" s="931">
        <f>+MAX(IF(C35&gt;=general!$C$23,M35-SUM(P35:T35),0)+IF(C35=general!$C$23,reserves!AZ34+AY35,0),0)</f>
        <v>518205.14959341433</v>
      </c>
      <c r="V35" s="946"/>
      <c r="W35" s="946">
        <f>SUMPRODUCT(--($C35=sales!$C$50:$C$54),sales!$F$50:$F$54)</f>
        <v>0</v>
      </c>
      <c r="X35" s="946">
        <f t="shared" si="0"/>
        <v>0</v>
      </c>
      <c r="Y35" s="946">
        <f t="shared" si="1"/>
        <v>0</v>
      </c>
      <c r="Z35" s="946">
        <f t="shared" si="2"/>
        <v>0</v>
      </c>
      <c r="AA35" s="946"/>
      <c r="AB35" s="932" cm="1">
        <f t="array" ref="AB35">SUMPRODUCT(--(C35=sales!$D$22:$D$27),sales!$G$22:$G$27)</f>
        <v>0</v>
      </c>
      <c r="AC35" s="946"/>
      <c r="AD35" s="931">
        <f t="shared" si="3"/>
        <v>0</v>
      </c>
      <c r="AE35" s="932"/>
      <c r="AF35" s="932">
        <f t="shared" si="24"/>
        <v>0</v>
      </c>
      <c r="AG35" s="932">
        <f t="shared" si="25"/>
        <v>0</v>
      </c>
      <c r="AH35" s="931">
        <f t="shared" si="12"/>
        <v>0</v>
      </c>
      <c r="AI35" s="932"/>
      <c r="AJ35" s="931">
        <f t="shared" si="4"/>
        <v>0</v>
      </c>
      <c r="AK35" s="946"/>
      <c r="AL35" s="947">
        <f>+IF(financing!$C$12="YES",'Development Cash Flow'!M35,0)</f>
        <v>0</v>
      </c>
      <c r="AM35" s="947">
        <f t="shared" si="5"/>
        <v>0</v>
      </c>
      <c r="AN35" s="947">
        <f t="shared" si="27"/>
        <v>0</v>
      </c>
      <c r="AO35" s="946"/>
      <c r="AP35" s="947">
        <f>+SUM('Development Cash Flow'!G35:J35)-'Development Cash Flow'!M35</f>
        <v>0</v>
      </c>
      <c r="AQ35" s="947">
        <f t="shared" si="6"/>
        <v>0</v>
      </c>
      <c r="AR35" s="947">
        <f t="shared" si="28"/>
        <v>0</v>
      </c>
      <c r="AS35" s="946"/>
      <c r="AT35" s="947">
        <f t="shared" si="13"/>
        <v>27319600</v>
      </c>
      <c r="AU35" s="947">
        <f t="shared" si="14"/>
        <v>2458764</v>
      </c>
      <c r="AV35" s="948">
        <f t="shared" si="29"/>
        <v>0.09</v>
      </c>
      <c r="AW35" s="946"/>
      <c r="AX35" s="947">
        <f t="shared" si="7"/>
        <v>0</v>
      </c>
      <c r="AY35" s="947">
        <f>+AZ34*financing!$E$30/12</f>
        <v>0</v>
      </c>
      <c r="AZ35" s="947">
        <f t="shared" si="15"/>
        <v>0</v>
      </c>
      <c r="BA35" s="946"/>
      <c r="BB35" s="947">
        <f t="shared" si="16"/>
        <v>0</v>
      </c>
      <c r="BC35" s="947">
        <f>+IF(AND(BD34+BB35+MAX(BD34*financing!$E$15/12,financing!$D$59-SUM(reserves!BC$6:BC34)-SUM(J$6:J35))-reserves!AD35&lt;=0,financing!$D$58&gt;=0),MAX(BD34*financing!$E$15/12,financing!$D$59-SUM(reserves!BC$6:BC34)-SUM(J$6:J35)),BD34*financing!$E$15/12)</f>
        <v>0</v>
      </c>
      <c r="BD35" s="947">
        <f t="shared" si="17"/>
        <v>0</v>
      </c>
      <c r="BE35" s="946"/>
      <c r="BF35" s="947">
        <f t="shared" si="30"/>
        <v>518205.14959341433</v>
      </c>
      <c r="BG35" s="947">
        <f>+IF(AND(BH34+BF35+MAX((BH34*(LIBOR!AA36)*(D35-D34)/360)+BY35,financing!$C$16-SUM(reserves!BG$6:BG34))-reserves!AD35&lt;=0,financing!$L$17&gt;=0),MAX((BH34*(LIBOR!AA36)*(D35-D34)/360)+BY35,financing!$C$16-SUM(reserves!BG$6:BG34)),(BH34*(LIBOR!AA36)*(D35-D34)/360)+BY35)</f>
        <v>49885.719531225754</v>
      </c>
      <c r="BH35" s="947">
        <f t="shared" si="18"/>
        <v>5146460.1088897958</v>
      </c>
      <c r="BI35" s="946"/>
      <c r="BJ35" s="937"/>
      <c r="BK35" s="938">
        <f t="shared" si="19"/>
        <v>47149</v>
      </c>
      <c r="BL35" s="939">
        <f>-S35+AJ35+AF35-AX35+AH35+AG35-BB35-BF35+'Development Cash Flow'!Y35</f>
        <v>-518205.14959341433</v>
      </c>
      <c r="BM35" s="940"/>
      <c r="BN35" s="941">
        <f t="shared" si="8"/>
        <v>0</v>
      </c>
      <c r="BO35" s="940"/>
      <c r="BP35" s="942">
        <f t="shared" si="9"/>
        <v>0</v>
      </c>
      <c r="BS35" s="949" t="e">
        <f t="shared" si="20"/>
        <v>#DIV/0!</v>
      </c>
      <c r="BT35" s="922">
        <f>+IF(SUM(BT$5:BT34)&lt;1,IF(BU35=MAX($BU$6:$BU$54),1,0),0)</f>
        <v>0</v>
      </c>
      <c r="BU35" s="922">
        <f t="shared" si="21"/>
        <v>4000000</v>
      </c>
      <c r="BV35" s="943" t="str">
        <f t="shared" si="10"/>
        <v/>
      </c>
      <c r="BW35" s="922" t="str">
        <f t="shared" si="11"/>
        <v/>
      </c>
      <c r="BY35" s="208">
        <f>ROUND(IF(A35="Dev",IF(AND(BK35&gt;general!$D$23,SUM($BZ$6:$BZ34)&lt;1,financing!$L$15&gt;BH34+BF35),financing!$L$16*(BK35-BK34)/360*(financing!$L$15-BH34-BF35),0),0),-2)</f>
        <v>1500</v>
      </c>
      <c r="BZ35" s="909">
        <f>+IF(AND(BH35&gt;=financing!$L$15,SUM(BZ$6:BZ34)=0),1,0)</f>
        <v>0</v>
      </c>
      <c r="CA35" s="950">
        <f t="shared" si="22"/>
        <v>0</v>
      </c>
      <c r="CD35" s="909">
        <f>SUM($S$6:S35)</f>
        <v>4000000</v>
      </c>
      <c r="CF35" s="208">
        <f>+IF(C35&lt;general!$C$22,0,IF(AND(C35=general!$C$22,OR(A35="Pred",A35="Dev")),SUM(S$6:S35),S35))</f>
        <v>0</v>
      </c>
    </row>
    <row r="36" spans="1:84" ht="16" outlineLevel="1">
      <c r="A36" s="906" t="str">
        <f>+'Development Cash Flow'!A36</f>
        <v>Dev</v>
      </c>
      <c r="B36" s="908"/>
      <c r="C36" s="944">
        <f>IF('Development Cash Flow'!D35&lt;general!$D$28,'Development Cash Flow'!C35+1,0)</f>
        <v>30</v>
      </c>
      <c r="D36" s="945">
        <f t="shared" si="23"/>
        <v>47177</v>
      </c>
      <c r="E36" s="945"/>
      <c r="F36" s="928">
        <f>'Development Cash Flow'!P36*D$4+SUM('Development Cash Flow'!Q36:T36)*F$4</f>
        <v>442536.40281613776</v>
      </c>
      <c r="G36" s="928">
        <f>'Development Cash Flow'!AL36-F36</f>
        <v>75668.746777275985</v>
      </c>
      <c r="H36" s="928"/>
      <c r="I36" s="928"/>
      <c r="J36" s="931">
        <f>+financing!$D$54/12*reserves!BD35</f>
        <v>0</v>
      </c>
      <c r="K36" s="928">
        <f>IF(C36=0,0,IF(C36=sales!$D$32,financing!$E$12*financing!$F$11,IF(OR(C36&gt;general!$C$27,C36&lt;sales!$D$32),0,IF((C36-sales!$D$32)/12=ROUND((C36-sales!$D$32)/12,0),financing!$E$12*financing!$F$11,0))))</f>
        <v>12293.82</v>
      </c>
      <c r="L36" s="928"/>
      <c r="M36" s="928">
        <f t="shared" si="26"/>
        <v>530498.96959341376</v>
      </c>
      <c r="N36" s="946"/>
      <c r="O36" s="946">
        <f>IF(D36=general!$D$21,financing!$F$30,0)</f>
        <v>0</v>
      </c>
      <c r="P36" s="946">
        <f>+MIN(IF(D36&lt;=general!$D$24,SUM(F$6:F36)-SUM(P$6:P35),reserves!F36),AR35)</f>
        <v>0</v>
      </c>
      <c r="Q36" s="946">
        <f>+MAX(MIN(SUM(G$6:$G36)-R36,AN35,SUM(G$6:$G36)-SUM(Q$6:Q35)),0)</f>
        <v>0</v>
      </c>
      <c r="R36" s="946">
        <f>+IF(C36&gt;=sales!$D$36,'Development Cash Flow'!AL36,0)</f>
        <v>0</v>
      </c>
      <c r="S36" s="931">
        <f>IF(AND(A36=$A$5,C36&lt;financing!$D$55),M36-SUM(P36:R36,O36),MIN(M36-SUM(P36:R36,O36),financing!$F$10-SUM(S$5:S35)))</f>
        <v>0</v>
      </c>
      <c r="T36" s="931">
        <f>+MAX(MIN(IF(C36&gt;=financing!$D$55,M36-SUM(P36:S36)-J36,0),financing!$D$57-SUM(T$5:T35)),0)</f>
        <v>0</v>
      </c>
      <c r="U36" s="931">
        <f>+MAX(IF(C36&gt;=general!$C$23,M36-SUM(P36:T36),0)+IF(C36=general!$C$23,reserves!AZ35+AY36,0),0)</f>
        <v>530498.96959341376</v>
      </c>
      <c r="V36" s="946"/>
      <c r="W36" s="946">
        <f>SUMPRODUCT(--($C36=sales!$C$50:$C$54),sales!$F$50:$F$54)</f>
        <v>0</v>
      </c>
      <c r="X36" s="946">
        <f t="shared" si="0"/>
        <v>0</v>
      </c>
      <c r="Y36" s="946">
        <f t="shared" si="1"/>
        <v>0</v>
      </c>
      <c r="Z36" s="946">
        <f t="shared" si="2"/>
        <v>0</v>
      </c>
      <c r="AA36" s="946"/>
      <c r="AB36" s="932" cm="1">
        <f t="array" ref="AB36">SUMPRODUCT(--(C36=sales!$D$22:$D$27),sales!$G$22:$G$27)</f>
        <v>0</v>
      </c>
      <c r="AC36" s="946"/>
      <c r="AD36" s="931">
        <f t="shared" si="3"/>
        <v>0</v>
      </c>
      <c r="AE36" s="932"/>
      <c r="AF36" s="932">
        <f t="shared" si="24"/>
        <v>0</v>
      </c>
      <c r="AG36" s="932">
        <f t="shared" si="25"/>
        <v>0</v>
      </c>
      <c r="AH36" s="931">
        <f t="shared" si="12"/>
        <v>0</v>
      </c>
      <c r="AI36" s="932"/>
      <c r="AJ36" s="931">
        <f t="shared" si="4"/>
        <v>0</v>
      </c>
      <c r="AK36" s="946"/>
      <c r="AL36" s="947">
        <f>+IF(financing!$C$12="YES",'Development Cash Flow'!M36,0)</f>
        <v>0</v>
      </c>
      <c r="AM36" s="947">
        <f t="shared" si="5"/>
        <v>0</v>
      </c>
      <c r="AN36" s="947">
        <f t="shared" si="27"/>
        <v>0</v>
      </c>
      <c r="AO36" s="946"/>
      <c r="AP36" s="947">
        <f>+SUM('Development Cash Flow'!G36:J36)-'Development Cash Flow'!M36</f>
        <v>0</v>
      </c>
      <c r="AQ36" s="947">
        <f t="shared" si="6"/>
        <v>0</v>
      </c>
      <c r="AR36" s="947">
        <f t="shared" si="28"/>
        <v>0</v>
      </c>
      <c r="AS36" s="946"/>
      <c r="AT36" s="947">
        <f t="shared" si="13"/>
        <v>27319600</v>
      </c>
      <c r="AU36" s="947">
        <f t="shared" si="14"/>
        <v>2458764</v>
      </c>
      <c r="AV36" s="948">
        <f t="shared" si="29"/>
        <v>0.09</v>
      </c>
      <c r="AW36" s="946"/>
      <c r="AX36" s="947">
        <f t="shared" si="7"/>
        <v>0</v>
      </c>
      <c r="AY36" s="947">
        <f>+AZ35*financing!$E$30/12</f>
        <v>0</v>
      </c>
      <c r="AZ36" s="947">
        <f t="shared" si="15"/>
        <v>0</v>
      </c>
      <c r="BA36" s="946"/>
      <c r="BB36" s="947">
        <f t="shared" si="16"/>
        <v>0</v>
      </c>
      <c r="BC36" s="947">
        <f>+IF(AND(BD35+BB36+MAX(BD35*financing!$E$15/12,financing!$D$59-SUM(reserves!BC$6:BC35)-SUM(J$6:J36))-reserves!AD36&lt;=0,financing!$D$58&gt;=0),MAX(BD35*financing!$E$15/12,financing!$D$59-SUM(reserves!BC$6:BC35)-SUM(J$6:J36)),BD35*financing!$E$15/12)</f>
        <v>0</v>
      </c>
      <c r="BD36" s="947">
        <f t="shared" si="17"/>
        <v>0</v>
      </c>
      <c r="BE36" s="946"/>
      <c r="BF36" s="947">
        <f t="shared" si="30"/>
        <v>530498.96959341376</v>
      </c>
      <c r="BG36" s="947">
        <f>+IF(AND(BH35+BF36+MAX((BH35*(LIBOR!AA37)*(D36-D35)/360)+BY36,financing!$C$16-SUM(reserves!BG$6:BG35))-reserves!AD36&lt;=0,financing!$L$17&gt;=0),MAX((BH35*(LIBOR!AA37)*(D36-D35)/360)+BY36,financing!$C$16-SUM(reserves!BG$6:BG35)),(BH35*(LIBOR!AA37)*(D36-D35)/360)+BY36)</f>
        <v>50323.310554982701</v>
      </c>
      <c r="BH36" s="947">
        <f t="shared" si="18"/>
        <v>5727282.389038193</v>
      </c>
      <c r="BI36" s="946"/>
      <c r="BJ36" s="937"/>
      <c r="BK36" s="938">
        <f t="shared" si="19"/>
        <v>47177</v>
      </c>
      <c r="BL36" s="939">
        <f>-S36+AJ36+AF36-AX36+AH36+AG36-BB36-BF36+'Development Cash Flow'!Y36</f>
        <v>-530498.96959341376</v>
      </c>
      <c r="BM36" s="940"/>
      <c r="BN36" s="941">
        <f t="shared" si="8"/>
        <v>0</v>
      </c>
      <c r="BO36" s="940"/>
      <c r="BP36" s="942">
        <f t="shared" si="9"/>
        <v>0</v>
      </c>
      <c r="BS36" s="949" t="e">
        <f t="shared" si="20"/>
        <v>#DIV/0!</v>
      </c>
      <c r="BT36" s="922">
        <f>+IF(SUM(BT$5:BT35)&lt;1,IF(BU36=MAX($BU$6:$BU$54),1,0),0)</f>
        <v>0</v>
      </c>
      <c r="BU36" s="922">
        <f t="shared" si="21"/>
        <v>4000000</v>
      </c>
      <c r="BV36" s="943" t="str">
        <f t="shared" si="10"/>
        <v/>
      </c>
      <c r="BW36" s="922" t="str">
        <f t="shared" si="11"/>
        <v/>
      </c>
      <c r="BY36" s="208">
        <f>ROUND(IF(A36="Dev",IF(AND(BK36&gt;general!$D$23,SUM($BZ$6:$BZ35)&lt;1,financing!$L$15&gt;BH35+BF36),financing!$L$16*(BK36-BK35)/360*(financing!$L$15-BH35-BF36),0),0),-2)</f>
        <v>1200</v>
      </c>
      <c r="BZ36" s="909">
        <f>+IF(AND(BH36&gt;=financing!$L$15,SUM(BZ$6:BZ35)=0),1,0)</f>
        <v>0</v>
      </c>
      <c r="CA36" s="950">
        <f t="shared" si="22"/>
        <v>0</v>
      </c>
      <c r="CD36" s="909">
        <f>SUM($S$6:S36)</f>
        <v>4000000</v>
      </c>
      <c r="CF36" s="208">
        <f>+IF(C36&lt;general!$C$22,0,IF(AND(C36=general!$C$22,OR(A36="Pred",A36="Dev")),SUM(S$6:S36),S36))</f>
        <v>0</v>
      </c>
    </row>
    <row r="37" spans="1:84" ht="16" outlineLevel="1">
      <c r="A37" s="906" t="str">
        <f>+'Development Cash Flow'!A37</f>
        <v>Dev</v>
      </c>
      <c r="B37" s="908"/>
      <c r="C37" s="944">
        <f>IF('Development Cash Flow'!D36&lt;general!$D$28,'Development Cash Flow'!C36+1,0)</f>
        <v>31</v>
      </c>
      <c r="D37" s="945">
        <f t="shared" si="23"/>
        <v>47208</v>
      </c>
      <c r="E37" s="945"/>
      <c r="F37" s="928">
        <f>'Development Cash Flow'!P37*D$4+SUM('Development Cash Flow'!Q37:T37)*F$4</f>
        <v>440401.00182518223</v>
      </c>
      <c r="G37" s="928">
        <f>'Development Cash Flow'!AL37-F37</f>
        <v>75482.310807102651</v>
      </c>
      <c r="H37" s="928"/>
      <c r="I37" s="928"/>
      <c r="J37" s="931">
        <f>+financing!$D$54/12*reserves!BD36</f>
        <v>0</v>
      </c>
      <c r="K37" s="928">
        <f>IF(C37=0,0,IF(C37=sales!$D$32,financing!$E$12*financing!$F$11,IF(OR(C37&gt;general!$C$27,C37&lt;sales!$D$32),0,IF((C37-sales!$D$32)/12=ROUND((C37-sales!$D$32)/12,0),financing!$E$12*financing!$F$11,0))))</f>
        <v>0</v>
      </c>
      <c r="L37" s="928"/>
      <c r="M37" s="928">
        <f t="shared" si="26"/>
        <v>515883.31263228488</v>
      </c>
      <c r="N37" s="946"/>
      <c r="O37" s="946">
        <f>IF(D37=general!$D$21,financing!$F$30,0)</f>
        <v>0</v>
      </c>
      <c r="P37" s="946">
        <f>+MIN(IF(D37&lt;=general!$D$24,SUM(F$6:F37)-SUM(P$6:P36),reserves!F37),AR36)</f>
        <v>0</v>
      </c>
      <c r="Q37" s="946">
        <f>+MAX(MIN(SUM(G$6:$G37)-R37,AN36,SUM(G$6:$G37)-SUM(Q$6:Q36)),0)</f>
        <v>0</v>
      </c>
      <c r="R37" s="946">
        <f>+IF(C37&gt;=sales!$D$36,'Development Cash Flow'!AL37,0)</f>
        <v>0</v>
      </c>
      <c r="S37" s="931">
        <f>IF(AND(A37=$A$5,C37&lt;financing!$D$55),M37-SUM(P37:R37,O37),MIN(M37-SUM(P37:R37,O37),financing!$F$10-SUM(S$5:S36)))</f>
        <v>0</v>
      </c>
      <c r="T37" s="931">
        <f>+MAX(MIN(IF(C37&gt;=financing!$D$55,M37-SUM(P37:S37)-J37,0),financing!$D$57-SUM(T$5:T36)),0)</f>
        <v>0</v>
      </c>
      <c r="U37" s="931">
        <f>+MAX(IF(C37&gt;=general!$C$23,M37-SUM(P37:T37),0)+IF(C37=general!$C$23,reserves!AZ36+AY37,0),0)</f>
        <v>515883.31263228488</v>
      </c>
      <c r="V37" s="946"/>
      <c r="W37" s="946">
        <f>SUMPRODUCT(--($C37=sales!$C$50:$C$54),sales!$F$50:$F$54)</f>
        <v>0</v>
      </c>
      <c r="X37" s="946">
        <f t="shared" si="0"/>
        <v>0</v>
      </c>
      <c r="Y37" s="946">
        <f t="shared" si="1"/>
        <v>0</v>
      </c>
      <c r="Z37" s="946">
        <f t="shared" si="2"/>
        <v>0</v>
      </c>
      <c r="AA37" s="946"/>
      <c r="AB37" s="932" cm="1">
        <f t="array" ref="AB37">SUMPRODUCT(--(C37=sales!$D$22:$D$27),sales!$G$22:$G$27)</f>
        <v>0</v>
      </c>
      <c r="AC37" s="946"/>
      <c r="AD37" s="931">
        <f t="shared" si="3"/>
        <v>0</v>
      </c>
      <c r="AE37" s="932"/>
      <c r="AF37" s="932">
        <f t="shared" si="24"/>
        <v>0</v>
      </c>
      <c r="AG37" s="932">
        <f t="shared" si="25"/>
        <v>0</v>
      </c>
      <c r="AH37" s="931">
        <f t="shared" si="12"/>
        <v>0</v>
      </c>
      <c r="AI37" s="932"/>
      <c r="AJ37" s="931">
        <f t="shared" si="4"/>
        <v>0</v>
      </c>
      <c r="AK37" s="946"/>
      <c r="AL37" s="947">
        <f>+IF(financing!$C$12="YES",'Development Cash Flow'!M37,0)</f>
        <v>0</v>
      </c>
      <c r="AM37" s="947">
        <f t="shared" si="5"/>
        <v>0</v>
      </c>
      <c r="AN37" s="947">
        <f t="shared" si="27"/>
        <v>0</v>
      </c>
      <c r="AO37" s="946"/>
      <c r="AP37" s="947">
        <f>+SUM('Development Cash Flow'!G37:J37)-'Development Cash Flow'!M37</f>
        <v>0</v>
      </c>
      <c r="AQ37" s="947">
        <f t="shared" si="6"/>
        <v>0</v>
      </c>
      <c r="AR37" s="947">
        <f t="shared" si="28"/>
        <v>0</v>
      </c>
      <c r="AS37" s="946"/>
      <c r="AT37" s="947">
        <f t="shared" si="13"/>
        <v>27319600</v>
      </c>
      <c r="AU37" s="947">
        <f t="shared" si="14"/>
        <v>2458764</v>
      </c>
      <c r="AV37" s="948">
        <f t="shared" si="29"/>
        <v>0.09</v>
      </c>
      <c r="AW37" s="946"/>
      <c r="AX37" s="947">
        <f t="shared" si="7"/>
        <v>0</v>
      </c>
      <c r="AY37" s="947">
        <f>+AZ36*financing!$E$30/12</f>
        <v>0</v>
      </c>
      <c r="AZ37" s="947">
        <f t="shared" si="15"/>
        <v>0</v>
      </c>
      <c r="BA37" s="946"/>
      <c r="BB37" s="947">
        <f t="shared" si="16"/>
        <v>0</v>
      </c>
      <c r="BC37" s="947">
        <f>+IF(AND(BD36+BB37+MAX(BD36*financing!$E$15/12,financing!$D$59-SUM(reserves!BC$6:BC36)-SUM(J$6:J37))-reserves!AD37&lt;=0,financing!$D$58&gt;=0),MAX(BD36*financing!$E$15/12,financing!$D$59-SUM(reserves!BC$6:BC36)-SUM(J$6:J37)),BD36*financing!$E$15/12)</f>
        <v>0</v>
      </c>
      <c r="BD37" s="947">
        <f t="shared" si="17"/>
        <v>0</v>
      </c>
      <c r="BE37" s="946"/>
      <c r="BF37" s="947">
        <f t="shared" si="30"/>
        <v>515883.31263228488</v>
      </c>
      <c r="BG37" s="947">
        <f>+IF(AND(BH36+BF37+MAX((BH36*(LIBOR!AA38)*(D37-D36)/360)+BY37,financing!$C$16-SUM(reserves!BG$6:BG36))-reserves!AD37&lt;=0,financing!$L$17&gt;=0),MAX((BH36*(LIBOR!AA38)*(D37-D36)/360)+BY37,financing!$C$16-SUM(reserves!BG$6:BG36)),(BH36*(LIBOR!AA38)*(D37-D36)/360)+BY37)</f>
        <v>61821.648689240479</v>
      </c>
      <c r="BH37" s="947">
        <f t="shared" si="18"/>
        <v>6304987.3503597183</v>
      </c>
      <c r="BI37" s="946"/>
      <c r="BJ37" s="937"/>
      <c r="BK37" s="938">
        <f t="shared" si="19"/>
        <v>47208</v>
      </c>
      <c r="BL37" s="939">
        <f>-S37+AJ37+AF37-AX37+AH37+AG37-BB37-BF37+'Development Cash Flow'!Y37</f>
        <v>-515883.31263228488</v>
      </c>
      <c r="BM37" s="940"/>
      <c r="BN37" s="941">
        <f t="shared" si="8"/>
        <v>0</v>
      </c>
      <c r="BO37" s="940"/>
      <c r="BP37" s="942">
        <f t="shared" si="9"/>
        <v>0</v>
      </c>
      <c r="BS37" s="949" t="e">
        <f t="shared" si="20"/>
        <v>#DIV/0!</v>
      </c>
      <c r="BT37" s="922">
        <f>+IF(SUM(BT$5:BT36)&lt;1,IF(BU37=MAX($BU$6:$BU$54),1,0),0)</f>
        <v>0</v>
      </c>
      <c r="BU37" s="922">
        <f t="shared" si="21"/>
        <v>4000000</v>
      </c>
      <c r="BV37" s="943" t="str">
        <f t="shared" si="10"/>
        <v/>
      </c>
      <c r="BW37" s="922" t="str">
        <f t="shared" si="11"/>
        <v/>
      </c>
      <c r="BY37" s="208">
        <f>ROUND(IF(A37="Dev",IF(AND(BK37&gt;general!$D$23,SUM($BZ$6:$BZ36)&lt;1,financing!$L$15&gt;BH36+BF37),financing!$L$16*(BK37-BK36)/360*(financing!$L$15-BH36-BF37),0),0),-2)</f>
        <v>1300</v>
      </c>
      <c r="BZ37" s="909">
        <f>+IF(AND(BH37&gt;=financing!$L$15,SUM(BZ$6:BZ36)=0),1,0)</f>
        <v>0</v>
      </c>
      <c r="CA37" s="950">
        <f t="shared" si="22"/>
        <v>0</v>
      </c>
      <c r="CD37" s="909">
        <f>SUM($S$6:S37)</f>
        <v>4000000</v>
      </c>
      <c r="CF37" s="208">
        <f>+IF(C37&lt;general!$C$22,0,IF(AND(C37=general!$C$22,OR(A37="Pred",A37="Dev")),SUM(S$6:S37),S37))</f>
        <v>0</v>
      </c>
    </row>
    <row r="38" spans="1:84" ht="16" outlineLevel="1">
      <c r="A38" s="906" t="str">
        <f>+'Development Cash Flow'!A38</f>
        <v>Dev</v>
      </c>
      <c r="B38" s="908"/>
      <c r="C38" s="944">
        <f>IF('Development Cash Flow'!D37&lt;general!$D$28,'Development Cash Flow'!C37+1,0)</f>
        <v>32</v>
      </c>
      <c r="D38" s="945">
        <f t="shared" si="23"/>
        <v>47238</v>
      </c>
      <c r="E38" s="945"/>
      <c r="F38" s="928">
        <f>'Development Cash Flow'!P38*D$4+SUM('Development Cash Flow'!Q38:T38)*F$4</f>
        <v>436174.40553318942</v>
      </c>
      <c r="G38" s="928">
        <f>'Development Cash Flow'!AL38-F38</f>
        <v>75113.298343604605</v>
      </c>
      <c r="H38" s="928"/>
      <c r="I38" s="928"/>
      <c r="J38" s="931">
        <f>+financing!$D$54/12*reserves!BD37</f>
        <v>0</v>
      </c>
      <c r="K38" s="928">
        <f>IF(C38=0,0,IF(C38=sales!$D$32,financing!$E$12*financing!$F$11,IF(OR(C38&gt;general!$C$27,C38&lt;sales!$D$32),0,IF((C38-sales!$D$32)/12=ROUND((C38-sales!$D$32)/12,0),financing!$E$12*financing!$F$11,0))))</f>
        <v>0</v>
      </c>
      <c r="L38" s="928"/>
      <c r="M38" s="928">
        <f t="shared" si="26"/>
        <v>511287.70387679402</v>
      </c>
      <c r="N38" s="946"/>
      <c r="O38" s="946">
        <f>IF(D38=general!$D$21,financing!$F$30,0)</f>
        <v>0</v>
      </c>
      <c r="P38" s="946">
        <f>+MIN(IF(D38&lt;=general!$D$24,SUM(F$6:F38)-SUM(P$6:P37),reserves!F38),AR37)</f>
        <v>0</v>
      </c>
      <c r="Q38" s="946">
        <f>+MAX(MIN(SUM(G$6:$G38)-R38,AN37,SUM(G$6:$G38)-SUM(Q$6:Q37)),0)</f>
        <v>0</v>
      </c>
      <c r="R38" s="946">
        <f>+IF(C38&gt;=sales!$D$36,'Development Cash Flow'!AL38,0)</f>
        <v>0</v>
      </c>
      <c r="S38" s="931">
        <f>IF(AND(A38=$A$5,C38&lt;financing!$D$55),M38-SUM(P38:R38,O38),MIN(M38-SUM(P38:R38,O38),financing!$F$10-SUM(S$5:S37)))</f>
        <v>0</v>
      </c>
      <c r="T38" s="931">
        <f>+MAX(MIN(IF(C38&gt;=financing!$D$55,M38-SUM(P38:S38)-J38,0),financing!$D$57-SUM(T$5:T37)),0)</f>
        <v>0</v>
      </c>
      <c r="U38" s="931">
        <f>+MAX(IF(C38&gt;=general!$C$23,M38-SUM(P38:T38),0)+IF(C38=general!$C$23,reserves!AZ37+AY38,0),0)</f>
        <v>511287.70387679402</v>
      </c>
      <c r="V38" s="946"/>
      <c r="W38" s="946">
        <f>SUMPRODUCT(--($C38=sales!$C$50:$C$54),sales!$F$50:$F$54)</f>
        <v>0</v>
      </c>
      <c r="X38" s="946">
        <f>+W38*-AV38</f>
        <v>0</v>
      </c>
      <c r="Y38" s="946">
        <f t="shared" ref="Y38:Y69" si="31">+R38</f>
        <v>0</v>
      </c>
      <c r="Z38" s="946">
        <f t="shared" si="2"/>
        <v>0</v>
      </c>
      <c r="AA38" s="946"/>
      <c r="AB38" s="932" cm="1">
        <f t="array" ref="AB38">SUMPRODUCT(--(C38=sales!$D$22:$D$27),sales!$G$22:$G$27)</f>
        <v>0</v>
      </c>
      <c r="AC38" s="946"/>
      <c r="AD38" s="931">
        <f t="shared" ref="AD38:AD69" si="32">+SUM(O38:U38)-M38+Z38+AB38</f>
        <v>0</v>
      </c>
      <c r="AE38" s="932"/>
      <c r="AF38" s="932">
        <f t="shared" si="24"/>
        <v>0</v>
      </c>
      <c r="AG38" s="932">
        <f t="shared" si="25"/>
        <v>0</v>
      </c>
      <c r="AH38" s="931">
        <f t="shared" si="12"/>
        <v>0</v>
      </c>
      <c r="AI38" s="932"/>
      <c r="AJ38" s="931">
        <f t="shared" si="4"/>
        <v>0</v>
      </c>
      <c r="AK38" s="946"/>
      <c r="AL38" s="947">
        <f>+IF(financing!$C$12="YES",'Development Cash Flow'!M38,0)</f>
        <v>0</v>
      </c>
      <c r="AM38" s="947">
        <f t="shared" ref="AM38:AM69" si="33">+Q38</f>
        <v>0</v>
      </c>
      <c r="AN38" s="947">
        <f t="shared" si="27"/>
        <v>0</v>
      </c>
      <c r="AO38" s="946"/>
      <c r="AP38" s="947">
        <f>+SUM('Development Cash Flow'!G38:J38)-'Development Cash Flow'!M38</f>
        <v>0</v>
      </c>
      <c r="AQ38" s="947">
        <f t="shared" ref="AQ38:AQ69" si="34">+P38</f>
        <v>0</v>
      </c>
      <c r="AR38" s="947">
        <f t="shared" si="28"/>
        <v>0</v>
      </c>
      <c r="AS38" s="946"/>
      <c r="AT38" s="947">
        <f t="shared" si="13"/>
        <v>27319600</v>
      </c>
      <c r="AU38" s="947">
        <f t="shared" si="14"/>
        <v>2458764</v>
      </c>
      <c r="AV38" s="948">
        <f t="shared" si="29"/>
        <v>0.09</v>
      </c>
      <c r="AW38" s="946"/>
      <c r="AX38" s="947">
        <f t="shared" ref="AX38:AX69" si="35">+O38</f>
        <v>0</v>
      </c>
      <c r="AY38" s="947">
        <f>+AZ37*financing!$E$30/12</f>
        <v>0</v>
      </c>
      <c r="AZ38" s="947">
        <f t="shared" si="15"/>
        <v>0</v>
      </c>
      <c r="BA38" s="946"/>
      <c r="BB38" s="947">
        <f t="shared" ref="BB38:BB69" si="36">+T38</f>
        <v>0</v>
      </c>
      <c r="BC38" s="947">
        <f>+IF(AND(BD37+BB38+MAX(BD37*financing!$E$15/12,financing!$D$59-SUM(reserves!BC$6:BC37)-SUM(J$6:J38))-reserves!AD38&lt;=0,financing!$D$58&gt;=0),MAX(BD37*financing!$E$15/12,financing!$D$59-SUM(reserves!BC$6:BC37)-SUM(J$6:J38)),BD37*financing!$E$15/12)</f>
        <v>0</v>
      </c>
      <c r="BD38" s="947">
        <f t="shared" si="17"/>
        <v>0</v>
      </c>
      <c r="BE38" s="946"/>
      <c r="BF38" s="947">
        <f t="shared" si="30"/>
        <v>511287.70387679402</v>
      </c>
      <c r="BG38" s="947">
        <f>+IF(AND(BH37+BF38+MAX((BH37*(LIBOR!AA39)*(D38-D37)/360)+BY38,financing!$C$16-SUM(reserves!BG$6:BG37))-reserves!AD38&lt;=0,financing!$L$17&gt;=0),MAX((BH37*(LIBOR!AA39)*(D38-D37)/360)+BY38,financing!$C$16-SUM(reserves!BG$6:BG37)),(BH37*(LIBOR!AA39)*(D38-D37)/360)+BY38)</f>
        <v>65574.012521359677</v>
      </c>
      <c r="BH38" s="947">
        <f t="shared" si="18"/>
        <v>6881849.0667578727</v>
      </c>
      <c r="BI38" s="946"/>
      <c r="BJ38" s="937"/>
      <c r="BK38" s="938">
        <f t="shared" si="19"/>
        <v>47238</v>
      </c>
      <c r="BL38" s="939">
        <f>-S38+AJ38+AF38-AX38+AH38+AG38-BB38-BF38+'Development Cash Flow'!Y38</f>
        <v>-511287.70387679402</v>
      </c>
      <c r="BM38" s="940"/>
      <c r="BN38" s="941">
        <f t="shared" ref="BN38:BN69" si="37">-S38+AJ38</f>
        <v>0</v>
      </c>
      <c r="BO38" s="940"/>
      <c r="BP38" s="942">
        <f t="shared" ref="BP38:BP69" si="38">+M38-S38-O38-AM38-AQ38-BF38+AF38-R38-BB38</f>
        <v>0</v>
      </c>
      <c r="BS38" s="949" t="e">
        <f t="shared" si="20"/>
        <v>#DIV/0!</v>
      </c>
      <c r="BT38" s="922">
        <f>+IF(SUM(BT$5:BT37)&lt;1,IF(BU38=MAX($BU$6:$BU$54),1,0),0)</f>
        <v>0</v>
      </c>
      <c r="BU38" s="922">
        <f t="shared" si="21"/>
        <v>4000000</v>
      </c>
      <c r="BV38" s="943" t="str">
        <f t="shared" ref="BV38:BV69" si="39">+IF(BT38=1,D38,"")</f>
        <v/>
      </c>
      <c r="BW38" s="922" t="str">
        <f t="shared" ref="BW38:BW69" si="40">+IF(BT38=1,C38,"")</f>
        <v/>
      </c>
      <c r="BY38" s="208">
        <f>ROUND(IF(A38="Dev",IF(AND(BK38&gt;general!$D$23,SUM($BZ$6:$BZ37)&lt;1,financing!$L$15&gt;BH37+BF38),financing!$L$16*(BK38-BK37)/360*(financing!$L$15-BH37-BF38),0),0),-2)</f>
        <v>1100</v>
      </c>
      <c r="BZ38" s="952">
        <f>+IF(AND(BH38&gt;=financing!$L$15,SUM(BZ$6:BZ37)=0),1,0)</f>
        <v>0</v>
      </c>
      <c r="CA38" s="950">
        <f t="shared" si="22"/>
        <v>0</v>
      </c>
      <c r="CD38" s="909">
        <f>SUM($S$6:S38)</f>
        <v>4000000</v>
      </c>
      <c r="CF38" s="208">
        <f>+IF(C38&lt;general!$C$22,0,IF(AND(C38=general!$C$22,OR(A38="Pred",A38="Dev")),SUM(S$6:S38),S38))</f>
        <v>0</v>
      </c>
    </row>
    <row r="39" spans="1:84" ht="16" outlineLevel="1">
      <c r="A39" s="906" t="str">
        <f>+'Development Cash Flow'!A39</f>
        <v>Dev</v>
      </c>
      <c r="B39" s="908"/>
      <c r="C39" s="944">
        <f>IF('Development Cash Flow'!D38&lt;general!$D$28,'Development Cash Flow'!C38+1,0)</f>
        <v>33</v>
      </c>
      <c r="D39" s="945">
        <f t="shared" si="23"/>
        <v>47269</v>
      </c>
      <c r="E39" s="945"/>
      <c r="F39" s="928">
        <f>'Development Cash Flow'!P39*D$4+SUM('Development Cash Flow'!Q39:T39)*F$4</f>
        <v>429943.50363563071</v>
      </c>
      <c r="G39" s="928">
        <f>'Development Cash Flow'!AL39-F39</f>
        <v>74569.295486414572</v>
      </c>
      <c r="H39" s="928"/>
      <c r="I39" s="928"/>
      <c r="J39" s="931">
        <f>+financing!$D$54/12*reserves!BD38</f>
        <v>0</v>
      </c>
      <c r="K39" s="928">
        <f>IF(C39=0,0,IF(C39=sales!$D$32,financing!$E$12*financing!$F$11,IF(OR(C39&gt;general!$C$27,C39&lt;sales!$D$32),0,IF((C39-sales!$D$32)/12=ROUND((C39-sales!$D$32)/12,0),financing!$E$12*financing!$F$11,0))))</f>
        <v>0</v>
      </c>
      <c r="L39" s="928"/>
      <c r="M39" s="928">
        <f t="shared" si="26"/>
        <v>504512.79912204528</v>
      </c>
      <c r="N39" s="946"/>
      <c r="O39" s="946">
        <f>IF(D39=general!$D$21,financing!$F$30,0)</f>
        <v>0</v>
      </c>
      <c r="P39" s="946">
        <f>+MIN(IF(D39&lt;=general!$D$24,SUM(F$6:F39)-SUM(P$6:P38),reserves!F39),AR38)</f>
        <v>0</v>
      </c>
      <c r="Q39" s="946">
        <f>+MAX(MIN(SUM(G$6:$G39)-R39,AN38,SUM(G$6:$G39)-SUM(Q$6:Q38)),0)</f>
        <v>0</v>
      </c>
      <c r="R39" s="946">
        <f>+IF(C39&gt;=sales!$D$36,'Development Cash Flow'!AL39,0)</f>
        <v>0</v>
      </c>
      <c r="S39" s="931">
        <f>IF(AND(A39=$A$5,C39&lt;financing!$D$55),M39-SUM(P39:R39,O39),MIN(M39-SUM(P39:R39,O39),financing!$F$10-SUM(S$5:S38)))</f>
        <v>0</v>
      </c>
      <c r="T39" s="931">
        <f>+MAX(MIN(IF(C39&gt;=financing!$D$55,M39-SUM(P39:S39)-J39,0),financing!$D$57-SUM(T$5:T38)),0)</f>
        <v>0</v>
      </c>
      <c r="U39" s="931">
        <f>+MAX(IF(C39&gt;=general!$C$23,M39-SUM(P39:T39),0)+IF(C39=general!$C$23,reserves!AZ38+AY39,0),0)</f>
        <v>504512.79912204528</v>
      </c>
      <c r="V39" s="946"/>
      <c r="W39" s="946">
        <f>SUMPRODUCT(--($C39=sales!$C$50:$C$54),sales!$F$50:$F$54)</f>
        <v>0</v>
      </c>
      <c r="X39" s="946">
        <f>+W39*-AV39</f>
        <v>0</v>
      </c>
      <c r="Y39" s="946">
        <f t="shared" si="31"/>
        <v>0</v>
      </c>
      <c r="Z39" s="946">
        <f t="shared" si="2"/>
        <v>0</v>
      </c>
      <c r="AA39" s="946"/>
      <c r="AB39" s="932" cm="1">
        <f t="array" ref="AB39">SUMPRODUCT(--(C39=sales!$D$22:$D$27),sales!$G$22:$G$27)</f>
        <v>0</v>
      </c>
      <c r="AC39" s="946"/>
      <c r="AD39" s="931">
        <f t="shared" si="32"/>
        <v>0</v>
      </c>
      <c r="AE39" s="932"/>
      <c r="AF39" s="932">
        <f t="shared" si="24"/>
        <v>0</v>
      </c>
      <c r="AG39" s="932">
        <f t="shared" si="25"/>
        <v>0</v>
      </c>
      <c r="AH39" s="931">
        <f t="shared" si="12"/>
        <v>0</v>
      </c>
      <c r="AI39" s="932"/>
      <c r="AJ39" s="931">
        <f t="shared" si="4"/>
        <v>0</v>
      </c>
      <c r="AK39" s="946"/>
      <c r="AL39" s="947">
        <f>+IF(financing!$C$12="YES",'Development Cash Flow'!M39,0)</f>
        <v>0</v>
      </c>
      <c r="AM39" s="947">
        <f t="shared" si="33"/>
        <v>0</v>
      </c>
      <c r="AN39" s="947">
        <f t="shared" si="27"/>
        <v>0</v>
      </c>
      <c r="AO39" s="946"/>
      <c r="AP39" s="947">
        <f>+SUM('Development Cash Flow'!G39:J39)-'Development Cash Flow'!M39</f>
        <v>0</v>
      </c>
      <c r="AQ39" s="947">
        <f t="shared" si="34"/>
        <v>0</v>
      </c>
      <c r="AR39" s="947">
        <f t="shared" si="28"/>
        <v>0</v>
      </c>
      <c r="AS39" s="946"/>
      <c r="AT39" s="947">
        <f>+AT38-W38</f>
        <v>27319600</v>
      </c>
      <c r="AU39" s="947">
        <f>+AM39+AQ39+AU38+X38</f>
        <v>2458764</v>
      </c>
      <c r="AV39" s="948">
        <f t="shared" si="29"/>
        <v>0.09</v>
      </c>
      <c r="AW39" s="946"/>
      <c r="AX39" s="947">
        <f t="shared" si="35"/>
        <v>0</v>
      </c>
      <c r="AY39" s="947">
        <f>+AZ38*financing!$E$30/12</f>
        <v>0</v>
      </c>
      <c r="AZ39" s="947">
        <f>+AZ38+AY39+AX39-AF39</f>
        <v>0</v>
      </c>
      <c r="BA39" s="946"/>
      <c r="BB39" s="947">
        <f t="shared" si="36"/>
        <v>0</v>
      </c>
      <c r="BC39" s="947">
        <f>+IF(AND(BD38+BB39+MAX(BD38*financing!$E$15/12,financing!$D$59-SUM(reserves!BC$6:BC38)-SUM(J$6:J39))-reserves!AD39&lt;=0,financing!$D$58&gt;=0),MAX(BD38*financing!$E$15/12,financing!$D$59-SUM(reserves!BC$6:BC38)-SUM(J$6:J39)),BD38*financing!$E$15/12)</f>
        <v>0</v>
      </c>
      <c r="BD39" s="947">
        <f t="shared" si="17"/>
        <v>0</v>
      </c>
      <c r="BE39" s="946"/>
      <c r="BF39" s="947">
        <f t="shared" si="30"/>
        <v>504512.79912204528</v>
      </c>
      <c r="BG39" s="947">
        <f>+IF(AND(BH38+BF39+MAX((BH38*(LIBOR!AA40)*(D39-D38)/360)+BY39,financing!$C$16-SUM(reserves!BG$6:BG38))-reserves!AD39&lt;=0,financing!$L$17&gt;=0),MAX((BH38*(LIBOR!AA40)*(D39-D38)/360)+BY39,financing!$C$16-SUM(reserves!BG$6:BG38)),(BH38*(LIBOR!AA40)*(D39-D38)/360)+BY39)</f>
        <v>73708.144257730877</v>
      </c>
      <c r="BH39" s="947">
        <f>+BH38+BG39+BF39-AG39</f>
        <v>7460070.0101376493</v>
      </c>
      <c r="BI39" s="946"/>
      <c r="BJ39" s="937"/>
      <c r="BK39" s="938">
        <f t="shared" ref="BK39:BK70" si="41">IF(C39=0,0,D39)</f>
        <v>47269</v>
      </c>
      <c r="BL39" s="939">
        <f>-S39+AJ39+AF39-AX39+AH39+AG39-BB39-BF39+'Development Cash Flow'!Y39</f>
        <v>-504512.79912204528</v>
      </c>
      <c r="BM39" s="940"/>
      <c r="BN39" s="941">
        <f t="shared" si="37"/>
        <v>0</v>
      </c>
      <c r="BO39" s="940"/>
      <c r="BP39" s="942">
        <f t="shared" si="38"/>
        <v>0</v>
      </c>
      <c r="BS39" s="949" t="e">
        <f t="shared" ref="BS39:BS70" si="42">+(BC39+J39)*12/BD38</f>
        <v>#DIV/0!</v>
      </c>
      <c r="BT39" s="922">
        <f>+IF(SUM(BT$5:BT38)&lt;1,IF(BU39=MAX($BU$6:$BU$54),1,0),0)</f>
        <v>0</v>
      </c>
      <c r="BU39" s="922">
        <f t="shared" ref="BU39:BU70" si="43">+BU38+S39</f>
        <v>4000000</v>
      </c>
      <c r="BV39" s="943" t="str">
        <f t="shared" si="39"/>
        <v/>
      </c>
      <c r="BW39" s="922" t="str">
        <f t="shared" si="40"/>
        <v/>
      </c>
      <c r="BY39" s="208">
        <f>ROUND(IF(A39="Dev",IF(AND(BK39&gt;general!$D$23,SUM($BZ$6:$BZ38)&lt;1,financing!$L$15&gt;BH38+BF39),financing!$L$16*(BK39-BK38)/360*(financing!$L$15-BH38-BF39),0),0),-2)</f>
        <v>1000</v>
      </c>
      <c r="BZ39" s="909">
        <f>+IF(AND(BH39&gt;=financing!$L$15,SUM(BZ$6:BZ38)=0),1,0)</f>
        <v>0</v>
      </c>
      <c r="CA39" s="950">
        <f t="shared" si="22"/>
        <v>0</v>
      </c>
      <c r="CD39" s="909">
        <f>SUM($S$6:S39)</f>
        <v>4000000</v>
      </c>
      <c r="CF39" s="208">
        <f>+IF(C39&lt;general!$C$22,0,IF(AND(C39=general!$C$22,OR(A39="Pred",A39="Dev")),SUM(S$6:S39),S39))</f>
        <v>0</v>
      </c>
    </row>
    <row r="40" spans="1:84" ht="16" outlineLevel="1">
      <c r="A40" s="906" t="str">
        <f>+'Development Cash Flow'!A40</f>
        <v>Dev</v>
      </c>
      <c r="B40" s="908"/>
      <c r="C40" s="944">
        <f>IF('Development Cash Flow'!D39&lt;general!$D$28,'Development Cash Flow'!C39+1,0)</f>
        <v>34</v>
      </c>
      <c r="D40" s="945">
        <f t="shared" si="23"/>
        <v>47299</v>
      </c>
      <c r="E40" s="945"/>
      <c r="F40" s="928">
        <f>'Development Cash Flow'!P40*D$4+SUM('Development Cash Flow'!Q40:T40)*F$4</f>
        <v>421834.89962907706</v>
      </c>
      <c r="G40" s="928">
        <f>'Development Cash Flow'!AL40-F40</f>
        <v>73861.355637591681</v>
      </c>
      <c r="H40" s="928"/>
      <c r="I40" s="928"/>
      <c r="J40" s="931">
        <f>+financing!$D$54/12*reserves!BD39</f>
        <v>0</v>
      </c>
      <c r="K40" s="928">
        <f>IF(C40=0,0,IF(C40=sales!$D$32,financing!$E$12*financing!$F$11,IF(OR(C40&gt;general!$C$27,C40&lt;sales!$D$32),0,IF((C40-sales!$D$32)/12=ROUND((C40-sales!$D$32)/12,0),financing!$E$12*financing!$F$11,0))))</f>
        <v>0</v>
      </c>
      <c r="L40" s="928"/>
      <c r="M40" s="928">
        <f t="shared" si="26"/>
        <v>495696.25526666874</v>
      </c>
      <c r="N40" s="946"/>
      <c r="O40" s="946">
        <f>IF(D40=general!$D$21,financing!$F$30,0)</f>
        <v>0</v>
      </c>
      <c r="P40" s="946">
        <f>+MIN(IF(D40&lt;=general!$D$24,SUM(F$6:F40)-SUM(P$6:P39),reserves!F40),AR39)</f>
        <v>0</v>
      </c>
      <c r="Q40" s="946">
        <f>+MAX(MIN(SUM(G$6:$G40)-R40,AN39,SUM(G$6:$G40)-SUM(Q$6:Q39)),0)</f>
        <v>0</v>
      </c>
      <c r="R40" s="946">
        <f>+IF(C40&gt;=sales!$D$36,'Development Cash Flow'!AL40,0)</f>
        <v>0</v>
      </c>
      <c r="S40" s="931">
        <f>IF(AND(A40=$A$5,C40&lt;financing!$D$55),M40-SUM(P40:R40,O40),MIN(M40-SUM(P40:R40,O40),financing!$F$10-SUM(S$5:S39)))</f>
        <v>0</v>
      </c>
      <c r="T40" s="931">
        <f>+MAX(MIN(IF(C40&gt;=financing!$D$55,M40-SUM(P40:S40)-J40,0),financing!$D$57-SUM(T$5:T39)),0)</f>
        <v>0</v>
      </c>
      <c r="U40" s="931">
        <f>+MAX(IF(C40&gt;=general!$C$23,M40-SUM(P40:T40),0)+IF(C40=general!$C$23,reserves!AZ39+AY40,0),0)</f>
        <v>495696.25526666874</v>
      </c>
      <c r="V40" s="946"/>
      <c r="W40" s="946">
        <f>SUMPRODUCT(--($C40=sales!$C$50:$C$54),sales!$F$50:$F$54)</f>
        <v>0</v>
      </c>
      <c r="X40" s="946">
        <f t="shared" ref="X40:X103" si="44">+W40*-AV40</f>
        <v>0</v>
      </c>
      <c r="Y40" s="946">
        <f t="shared" si="31"/>
        <v>0</v>
      </c>
      <c r="Z40" s="946">
        <f t="shared" ref="Z40:Z103" si="45">+W40+X40-Y40</f>
        <v>0</v>
      </c>
      <c r="AA40" s="946"/>
      <c r="AB40" s="932" cm="1">
        <f t="array" ref="AB40">SUMPRODUCT(--(C40=sales!$D$22:$D$27),sales!$G$22:$G$27)</f>
        <v>0</v>
      </c>
      <c r="AC40" s="946"/>
      <c r="AD40" s="931">
        <f t="shared" si="32"/>
        <v>0</v>
      </c>
      <c r="AE40" s="932"/>
      <c r="AF40" s="932">
        <f t="shared" si="24"/>
        <v>0</v>
      </c>
      <c r="AG40" s="932">
        <f t="shared" si="25"/>
        <v>0</v>
      </c>
      <c r="AH40" s="931">
        <f t="shared" si="12"/>
        <v>0</v>
      </c>
      <c r="AI40" s="932"/>
      <c r="AJ40" s="931">
        <f t="shared" si="4"/>
        <v>0</v>
      </c>
      <c r="AK40" s="946"/>
      <c r="AL40" s="947">
        <f>+IF(financing!$C$12="YES",'Development Cash Flow'!M40,0)</f>
        <v>0</v>
      </c>
      <c r="AM40" s="947">
        <f t="shared" si="33"/>
        <v>0</v>
      </c>
      <c r="AN40" s="947">
        <f t="shared" ref="AN40:AN103" si="46">+AN39+AL40-AM40</f>
        <v>0</v>
      </c>
      <c r="AO40" s="946"/>
      <c r="AP40" s="947">
        <f>+SUM('Development Cash Flow'!G40:J40)-'Development Cash Flow'!M40</f>
        <v>0</v>
      </c>
      <c r="AQ40" s="947">
        <f t="shared" si="34"/>
        <v>0</v>
      </c>
      <c r="AR40" s="947">
        <f t="shared" ref="AR40:AR103" si="47">+AR39+AP40-AQ40</f>
        <v>0</v>
      </c>
      <c r="AS40" s="946"/>
      <c r="AT40" s="947">
        <f t="shared" ref="AT40:AT103" si="48">+AT39-W39</f>
        <v>27319600</v>
      </c>
      <c r="AU40" s="947">
        <f t="shared" ref="AU40:AU103" si="49">+AM40+AQ40+AU39+X39</f>
        <v>2458764</v>
      </c>
      <c r="AV40" s="948">
        <f t="shared" ref="AV40:AV103" si="50">+IF(AT40=0,0,AU40/AT40)</f>
        <v>0.09</v>
      </c>
      <c r="AW40" s="946"/>
      <c r="AX40" s="947">
        <f t="shared" si="35"/>
        <v>0</v>
      </c>
      <c r="AY40" s="947">
        <f>+AZ39*financing!$E$30/12</f>
        <v>0</v>
      </c>
      <c r="AZ40" s="947">
        <f t="shared" ref="AZ40:AZ103" si="51">+AZ39+AY40+AX40-AF40</f>
        <v>0</v>
      </c>
      <c r="BA40" s="946"/>
      <c r="BB40" s="947">
        <f t="shared" si="36"/>
        <v>0</v>
      </c>
      <c r="BC40" s="947">
        <f>+IF(AND(BD39+BB40+MAX(BD39*financing!$E$15/12,financing!$D$59-SUM(reserves!BC$6:BC39)-SUM(J$6:J40))-reserves!AD40&lt;=0,financing!$D$58&gt;=0),MAX(BD39*financing!$E$15/12,financing!$D$59-SUM(reserves!BC$6:BC39)-SUM(J$6:J40)),BD39*financing!$E$15/12)</f>
        <v>0</v>
      </c>
      <c r="BD40" s="947">
        <f t="shared" si="17"/>
        <v>0</v>
      </c>
      <c r="BE40" s="946"/>
      <c r="BF40" s="947">
        <f t="shared" ref="BF40:BF103" si="52">+U40</f>
        <v>495696.25526666874</v>
      </c>
      <c r="BG40" s="947">
        <f>+IF(AND(BH39+BF40+MAX((BH39*(LIBOR!AA41)*(D40-D39)/360)+BY40,financing!$C$16-SUM(reserves!BG$6:BG39))-reserves!AD40&lt;=0,financing!$L$17&gt;=0),MAX((BH39*(LIBOR!AA41)*(D40-D39)/360)+BY40,financing!$C$16-SUM(reserves!BG$6:BG39)),(BH39*(LIBOR!AA41)*(D40-D39)/360)+BY40)</f>
        <v>77161.746856383732</v>
      </c>
      <c r="BH40" s="947">
        <f t="shared" ref="BH40:BH103" si="53">+BH39+BG40+BF40-AG40</f>
        <v>8032928.0122607015</v>
      </c>
      <c r="BI40" s="946"/>
      <c r="BJ40" s="937"/>
      <c r="BK40" s="938">
        <f t="shared" si="41"/>
        <v>47299</v>
      </c>
      <c r="BL40" s="939">
        <f>-S40+AJ40+AF40-AX40+AH40+AG40-BB40-BF40+'Development Cash Flow'!Y40</f>
        <v>-495696.25526666874</v>
      </c>
      <c r="BM40" s="940"/>
      <c r="BN40" s="941">
        <f t="shared" si="37"/>
        <v>0</v>
      </c>
      <c r="BO40" s="940"/>
      <c r="BP40" s="942">
        <f t="shared" si="38"/>
        <v>0</v>
      </c>
      <c r="BS40" s="949" t="e">
        <f t="shared" si="42"/>
        <v>#DIV/0!</v>
      </c>
      <c r="BT40" s="922">
        <f>+IF(SUM(BT$5:BT39)&lt;1,IF(BU40=MAX($BU$6:$BU$54),1,0),0)</f>
        <v>0</v>
      </c>
      <c r="BU40" s="922">
        <f t="shared" si="43"/>
        <v>4000000</v>
      </c>
      <c r="BV40" s="943" t="str">
        <f t="shared" si="39"/>
        <v/>
      </c>
      <c r="BW40" s="922" t="str">
        <f t="shared" si="40"/>
        <v/>
      </c>
      <c r="BY40" s="208">
        <f>ROUND(IF(A40="Dev",IF(AND(BK40&gt;general!$D$23,SUM($BZ$6:$BZ39)&lt;1,financing!$L$15&gt;BH39+BF40),financing!$L$16*(BK40-BK39)/360*(financing!$L$15-BH39-BF40),0),0),-2)</f>
        <v>900</v>
      </c>
      <c r="BZ40" s="909">
        <f>+IF(AND(BH40&gt;=financing!$L$15,SUM(BZ$6:BZ39)=0),1,0)</f>
        <v>0</v>
      </c>
      <c r="CA40" s="950">
        <f t="shared" si="22"/>
        <v>0</v>
      </c>
      <c r="CD40" s="909">
        <f>SUM($S$6:S40)</f>
        <v>4000000</v>
      </c>
      <c r="CF40" s="208">
        <f>+IF(C40&lt;general!$C$22,0,IF(AND(C40=general!$C$22,OR(A40="Pred",A40="Dev")),SUM(S$6:S40),S40))</f>
        <v>0</v>
      </c>
    </row>
    <row r="41" spans="1:84" ht="16" outlineLevel="1">
      <c r="A41" s="906" t="str">
        <f>+'Development Cash Flow'!A41</f>
        <v>Dev</v>
      </c>
      <c r="B41" s="908"/>
      <c r="C41" s="944">
        <f>IF('Development Cash Flow'!D40&lt;general!$D$28,'Development Cash Flow'!C40+1,0)</f>
        <v>35</v>
      </c>
      <c r="D41" s="945">
        <f t="shared" si="23"/>
        <v>47330</v>
      </c>
      <c r="E41" s="945"/>
      <c r="F41" s="928">
        <f>'Development Cash Flow'!P41*D$4+SUM('Development Cash Flow'!Q41:T41)*F$4</f>
        <v>412010.63390283892</v>
      </c>
      <c r="G41" s="928">
        <f>'Development Cash Flow'!AL41-F41</f>
        <v>73003.626096550259</v>
      </c>
      <c r="H41" s="928"/>
      <c r="I41" s="928"/>
      <c r="J41" s="931">
        <f>+financing!$D$54/12*reserves!BD40</f>
        <v>0</v>
      </c>
      <c r="K41" s="928">
        <f>IF(C41=0,0,IF(C41=sales!$D$32,financing!$E$12*financing!$F$11,IF(OR(C41&gt;general!$C$27,C41&lt;sales!$D$32),0,IF((C41-sales!$D$32)/12=ROUND((C41-sales!$D$32)/12,0),financing!$E$12*financing!$F$11,0))))</f>
        <v>0</v>
      </c>
      <c r="L41" s="928"/>
      <c r="M41" s="928">
        <f t="shared" si="26"/>
        <v>485014.25999938918</v>
      </c>
      <c r="N41" s="946"/>
      <c r="O41" s="946">
        <f>IF(D41=general!$D$21,financing!$F$30,0)</f>
        <v>0</v>
      </c>
      <c r="P41" s="946">
        <f>+MIN(IF(D41&lt;=general!$D$24,SUM(F$6:F41)-SUM(P$6:P40),reserves!F41),AR40)</f>
        <v>0</v>
      </c>
      <c r="Q41" s="946">
        <f>+MAX(MIN(SUM(G$6:$G41)-R41,AN40,SUM(G$6:$G41)-SUM(Q$6:Q40)),0)</f>
        <v>0</v>
      </c>
      <c r="R41" s="946">
        <f>+IF(C41&gt;=sales!$D$36,'Development Cash Flow'!AL41,0)</f>
        <v>0</v>
      </c>
      <c r="S41" s="931">
        <f>IF(AND(A41=$A$5,C41&lt;financing!$D$55),M41-SUM(P41:R41,O41),MIN(M41-SUM(P41:R41,O41),financing!$F$10-SUM(S$5:S40)))</f>
        <v>0</v>
      </c>
      <c r="T41" s="931">
        <f>+MAX(MIN(IF(C41&gt;=financing!$D$55,M41-SUM(P41:S41)-J41,0),financing!$D$57-SUM(T$5:T40)),0)</f>
        <v>0</v>
      </c>
      <c r="U41" s="931">
        <f>+MAX(IF(C41&gt;=general!$C$23,M41-SUM(P41:T41),0)+IF(C41=general!$C$23,reserves!AZ40+AY41,0),0)</f>
        <v>485014.25999938918</v>
      </c>
      <c r="V41" s="946"/>
      <c r="W41" s="946">
        <f>SUMPRODUCT(--($C41=sales!$C$50:$C$54),sales!$F$50:$F$54)</f>
        <v>0</v>
      </c>
      <c r="X41" s="946">
        <f t="shared" si="44"/>
        <v>0</v>
      </c>
      <c r="Y41" s="946">
        <f t="shared" si="31"/>
        <v>0</v>
      </c>
      <c r="Z41" s="946">
        <f t="shared" si="45"/>
        <v>0</v>
      </c>
      <c r="AA41" s="946"/>
      <c r="AB41" s="932" cm="1">
        <f t="array" ref="AB41">SUMPRODUCT(--(C41=sales!$D$22:$D$27),sales!$G$22:$G$27)</f>
        <v>0</v>
      </c>
      <c r="AC41" s="946"/>
      <c r="AD41" s="931">
        <f t="shared" si="32"/>
        <v>0</v>
      </c>
      <c r="AE41" s="932"/>
      <c r="AF41" s="932">
        <f t="shared" si="24"/>
        <v>0</v>
      </c>
      <c r="AG41" s="932">
        <f t="shared" si="25"/>
        <v>0</v>
      </c>
      <c r="AH41" s="931">
        <f t="shared" si="12"/>
        <v>0</v>
      </c>
      <c r="AI41" s="932"/>
      <c r="AJ41" s="931">
        <f t="shared" si="4"/>
        <v>0</v>
      </c>
      <c r="AK41" s="946"/>
      <c r="AL41" s="947">
        <f>+IF(financing!$C$12="YES",'Development Cash Flow'!M41,0)</f>
        <v>0</v>
      </c>
      <c r="AM41" s="947">
        <f t="shared" si="33"/>
        <v>0</v>
      </c>
      <c r="AN41" s="947">
        <f t="shared" si="46"/>
        <v>0</v>
      </c>
      <c r="AO41" s="946"/>
      <c r="AP41" s="947">
        <f>+SUM('Development Cash Flow'!G41:J41)-'Development Cash Flow'!M41</f>
        <v>0</v>
      </c>
      <c r="AQ41" s="947">
        <f t="shared" si="34"/>
        <v>0</v>
      </c>
      <c r="AR41" s="947">
        <f t="shared" si="47"/>
        <v>0</v>
      </c>
      <c r="AS41" s="946"/>
      <c r="AT41" s="947">
        <f t="shared" si="48"/>
        <v>27319600</v>
      </c>
      <c r="AU41" s="947">
        <f t="shared" si="49"/>
        <v>2458764</v>
      </c>
      <c r="AV41" s="948">
        <f t="shared" si="50"/>
        <v>0.09</v>
      </c>
      <c r="AW41" s="946"/>
      <c r="AX41" s="947">
        <f t="shared" si="35"/>
        <v>0</v>
      </c>
      <c r="AY41" s="947">
        <f>+AZ40*financing!$E$30/12</f>
        <v>0</v>
      </c>
      <c r="AZ41" s="947">
        <f t="shared" si="51"/>
        <v>0</v>
      </c>
      <c r="BA41" s="946"/>
      <c r="BB41" s="947">
        <f t="shared" si="36"/>
        <v>0</v>
      </c>
      <c r="BC41" s="947">
        <f>+IF(AND(BD40+BB41+MAX(BD40*financing!$E$15/12,financing!$D$59-SUM(reserves!BC$6:BC40)-SUM(J$6:J41))-reserves!AD41&lt;=0,financing!$D$58&gt;=0),MAX(BD40*financing!$E$15/12,financing!$D$59-SUM(reserves!BC$6:BC40)-SUM(J$6:J41)),BD40*financing!$E$15/12)</f>
        <v>0</v>
      </c>
      <c r="BD41" s="947">
        <f t="shared" si="17"/>
        <v>0</v>
      </c>
      <c r="BE41" s="946"/>
      <c r="BF41" s="947">
        <f t="shared" si="52"/>
        <v>485014.25999938918</v>
      </c>
      <c r="BG41" s="947">
        <f>+IF(AND(BH40+BF41+MAX((BH40*(LIBOR!AA42)*(D41-D40)/360)+BY41,financing!$C$16-SUM(reserves!BG$6:BG40))-reserves!AD41&lt;=0,financing!$L$17&gt;=0),MAX((BH40*(LIBOR!AA42)*(D41-D40)/360)+BY41,financing!$C$16-SUM(reserves!BG$6:BG40)),(BH40*(LIBOR!AA42)*(D41-D40)/360)+BY41)</f>
        <v>85637.432958261168</v>
      </c>
      <c r="BH41" s="947">
        <f t="shared" si="53"/>
        <v>8603579.7052183524</v>
      </c>
      <c r="BI41" s="946"/>
      <c r="BJ41" s="937"/>
      <c r="BK41" s="938">
        <f t="shared" si="41"/>
        <v>47330</v>
      </c>
      <c r="BL41" s="939">
        <f>-S41+AJ41+AF41-AX41+AH41+AG41-BB41-BF41+'Development Cash Flow'!Y41</f>
        <v>-485014.25999938918</v>
      </c>
      <c r="BM41" s="940"/>
      <c r="BN41" s="941">
        <f t="shared" si="37"/>
        <v>0</v>
      </c>
      <c r="BO41" s="940"/>
      <c r="BP41" s="942">
        <f t="shared" si="38"/>
        <v>0</v>
      </c>
      <c r="BS41" s="949" t="e">
        <f t="shared" si="42"/>
        <v>#DIV/0!</v>
      </c>
      <c r="BT41" s="922">
        <f>+IF(SUM(BT$5:BT40)&lt;1,IF(BU41=MAX($BU$6:$BU$54),1,0),0)</f>
        <v>0</v>
      </c>
      <c r="BU41" s="922">
        <f t="shared" si="43"/>
        <v>4000000</v>
      </c>
      <c r="BV41" s="943" t="str">
        <f t="shared" si="39"/>
        <v/>
      </c>
      <c r="BW41" s="922" t="str">
        <f t="shared" si="40"/>
        <v/>
      </c>
      <c r="BY41" s="208">
        <f>ROUND(IF(A41="Dev",IF(AND(BK41&gt;general!$D$23,SUM($BZ$6:$BZ40)&lt;1,financing!$L$15&gt;BH40+BF41),financing!$L$16*(BK41-BK40)/360*(financing!$L$15-BH40-BF41),0),0),-2)</f>
        <v>800</v>
      </c>
      <c r="BZ41" s="909">
        <f>+IF(AND(BH41&gt;=financing!$L$15,SUM(BZ$6:BZ40)=0),1,0)</f>
        <v>0</v>
      </c>
      <c r="CA41" s="950">
        <f t="shared" si="22"/>
        <v>0</v>
      </c>
      <c r="CD41" s="909">
        <f>SUM($S$6:S41)</f>
        <v>4000000</v>
      </c>
      <c r="CF41" s="208">
        <f>+IF(C41&lt;general!$C$22,0,IF(AND(C41=general!$C$22,OR(A41="Pred",A41="Dev")),SUM(S$6:S41),S41))</f>
        <v>0</v>
      </c>
    </row>
    <row r="42" spans="1:84" ht="16" outlineLevel="1">
      <c r="A42" s="906" t="str">
        <f>+'Development Cash Flow'!A42</f>
        <v>Dev</v>
      </c>
      <c r="B42" s="908"/>
      <c r="C42" s="944">
        <f>IF('Development Cash Flow'!D41&lt;general!$D$28,'Development Cash Flow'!C41+1,0)</f>
        <v>36</v>
      </c>
      <c r="D42" s="945">
        <f t="shared" si="23"/>
        <v>47361</v>
      </c>
      <c r="E42" s="945"/>
      <c r="F42" s="928">
        <f>'Development Cash Flow'!P42*D$4+SUM('Development Cash Flow'!Q42:T42)*F$4</f>
        <v>400662.80190882686</v>
      </c>
      <c r="G42" s="928">
        <f>'Development Cash Flow'!AL42-F42</f>
        <v>185012.87818731525</v>
      </c>
      <c r="H42" s="928"/>
      <c r="I42" s="928"/>
      <c r="J42" s="931">
        <f>+financing!$D$54/12*reserves!BD41</f>
        <v>0</v>
      </c>
      <c r="K42" s="928">
        <f>IF(C42=0,0,IF(C42=sales!$D$32,financing!$E$12*financing!$F$11,IF(OR(C42&gt;general!$C$27,C42&lt;sales!$D$32),0,IF((C42-sales!$D$32)/12=ROUND((C42-sales!$D$32)/12,0),financing!$E$12*financing!$F$11,0))))</f>
        <v>0</v>
      </c>
      <c r="L42" s="928"/>
      <c r="M42" s="928">
        <f t="shared" si="26"/>
        <v>585675.68009614211</v>
      </c>
      <c r="N42" s="946"/>
      <c r="O42" s="946">
        <f>IF(D42=general!$D$21,financing!$F$30,0)</f>
        <v>0</v>
      </c>
      <c r="P42" s="946">
        <f>+MIN(IF(D42&lt;=general!$D$24,SUM(F$6:F42)-SUM(P$6:P41),reserves!F42),AR41)</f>
        <v>0</v>
      </c>
      <c r="Q42" s="946">
        <f>+MAX(MIN(SUM(G$6:$G42)-R42,AN41,SUM(G$6:$G42)-SUM(Q$6:Q41)),0)</f>
        <v>0</v>
      </c>
      <c r="R42" s="946">
        <f>+IF(C42&gt;=sales!$D$36,'Development Cash Flow'!AL42,0)</f>
        <v>0</v>
      </c>
      <c r="S42" s="931">
        <f>IF(AND(A42=$A$5,C42&lt;financing!$D$55),M42-SUM(P42:R42,O42),MIN(M42-SUM(P42:R42,O42),financing!$F$10-SUM(S$5:S41)))</f>
        <v>0</v>
      </c>
      <c r="T42" s="931">
        <f>+MAX(MIN(IF(C42&gt;=financing!$D$55,M42-SUM(P42:S42)-J42,0),financing!$D$57-SUM(T$5:T41)),0)</f>
        <v>0</v>
      </c>
      <c r="U42" s="931">
        <f>+MAX(IF(C42&gt;=general!$C$23,M42-SUM(P42:T42),0)+IF(C42=general!$C$23,reserves!AZ41+AY42,0),0)</f>
        <v>585675.68009614211</v>
      </c>
      <c r="V42" s="946"/>
      <c r="W42" s="946">
        <f>SUMPRODUCT(--($C42=sales!$C$50:$C$54),sales!$F$50:$F$54)</f>
        <v>0</v>
      </c>
      <c r="X42" s="946">
        <f t="shared" si="44"/>
        <v>0</v>
      </c>
      <c r="Y42" s="946">
        <f t="shared" si="31"/>
        <v>0</v>
      </c>
      <c r="Z42" s="946">
        <f t="shared" si="45"/>
        <v>0</v>
      </c>
      <c r="AA42" s="946"/>
      <c r="AB42" s="932" cm="1">
        <f t="array" ref="AB42">SUMPRODUCT(--(C42=sales!$D$22:$D$27),sales!$G$22:$G$27)</f>
        <v>0</v>
      </c>
      <c r="AC42" s="946"/>
      <c r="AD42" s="931">
        <f t="shared" si="32"/>
        <v>0</v>
      </c>
      <c r="AE42" s="932"/>
      <c r="AF42" s="932">
        <f t="shared" si="24"/>
        <v>0</v>
      </c>
      <c r="AG42" s="932">
        <f t="shared" si="25"/>
        <v>0</v>
      </c>
      <c r="AH42" s="931">
        <f t="shared" si="12"/>
        <v>0</v>
      </c>
      <c r="AI42" s="932"/>
      <c r="AJ42" s="931">
        <f t="shared" si="4"/>
        <v>0</v>
      </c>
      <c r="AK42" s="946"/>
      <c r="AL42" s="947">
        <f>+IF(financing!$C$12="YES",'Development Cash Flow'!M42,0)</f>
        <v>0</v>
      </c>
      <c r="AM42" s="947">
        <f t="shared" si="33"/>
        <v>0</v>
      </c>
      <c r="AN42" s="947">
        <f t="shared" si="46"/>
        <v>0</v>
      </c>
      <c r="AO42" s="946"/>
      <c r="AP42" s="947">
        <f>+SUM('Development Cash Flow'!G42:J42)-'Development Cash Flow'!M42</f>
        <v>273196</v>
      </c>
      <c r="AQ42" s="947">
        <f t="shared" si="34"/>
        <v>0</v>
      </c>
      <c r="AR42" s="947">
        <f t="shared" si="47"/>
        <v>273196</v>
      </c>
      <c r="AS42" s="946"/>
      <c r="AT42" s="947">
        <f t="shared" si="48"/>
        <v>27319600</v>
      </c>
      <c r="AU42" s="947">
        <f t="shared" si="49"/>
        <v>2458764</v>
      </c>
      <c r="AV42" s="948">
        <f t="shared" si="50"/>
        <v>0.09</v>
      </c>
      <c r="AW42" s="946"/>
      <c r="AX42" s="947">
        <f t="shared" si="35"/>
        <v>0</v>
      </c>
      <c r="AY42" s="947">
        <f>+AZ41*financing!$E$30/12</f>
        <v>0</v>
      </c>
      <c r="AZ42" s="947">
        <f t="shared" si="51"/>
        <v>0</v>
      </c>
      <c r="BA42" s="946"/>
      <c r="BB42" s="947">
        <f t="shared" si="36"/>
        <v>0</v>
      </c>
      <c r="BC42" s="947">
        <f>+IF(AND(BD41+BB42+MAX(BD41*financing!$E$15/12,financing!$D$59-SUM(reserves!BC$6:BC41)-SUM(J$6:J42))-reserves!AD42&lt;=0,financing!$D$58&gt;=0),MAX(BD41*financing!$E$15/12,financing!$D$59-SUM(reserves!BC$6:BC41)-SUM(J$6:J42)),BD41*financing!$E$15/12)</f>
        <v>0</v>
      </c>
      <c r="BD42" s="947">
        <f t="shared" si="17"/>
        <v>0</v>
      </c>
      <c r="BE42" s="946"/>
      <c r="BF42" s="947">
        <f t="shared" si="52"/>
        <v>585675.68009614211</v>
      </c>
      <c r="BG42" s="947">
        <f>+IF(AND(BH41+BF42+MAX((BH41*(LIBOR!AA43)*(D42-D41)/360)+BY42,financing!$C$16-SUM(reserves!BG$6:BG41))-reserves!AD42&lt;=0,financing!$L$17&gt;=0),MAX((BH41*(LIBOR!AA43)*(D42-D41)/360)+BY42,financing!$C$16-SUM(reserves!BG$6:BG41)),(BH41*(LIBOR!AA43)*(D42-D41)/360)+BY42)</f>
        <v>91433.384914488663</v>
      </c>
      <c r="BH42" s="947">
        <f t="shared" si="53"/>
        <v>9280688.7702289838</v>
      </c>
      <c r="BI42" s="946"/>
      <c r="BJ42" s="937"/>
      <c r="BK42" s="938">
        <f t="shared" si="41"/>
        <v>47361</v>
      </c>
      <c r="BL42" s="939">
        <f>-S42+AJ42+AF42-AX42+AH42+AG42-BB42-BF42+'Development Cash Flow'!Y42</f>
        <v>-585675.68009614211</v>
      </c>
      <c r="BM42" s="940"/>
      <c r="BN42" s="941">
        <f t="shared" si="37"/>
        <v>0</v>
      </c>
      <c r="BO42" s="940"/>
      <c r="BP42" s="942">
        <f t="shared" si="38"/>
        <v>0</v>
      </c>
      <c r="BS42" s="949" t="e">
        <f t="shared" si="42"/>
        <v>#DIV/0!</v>
      </c>
      <c r="BT42" s="922">
        <f>+IF(SUM(BT$5:BT41)&lt;1,IF(BU42=MAX($BU$6:$BU$54),1,0),0)</f>
        <v>0</v>
      </c>
      <c r="BU42" s="922">
        <f t="shared" si="43"/>
        <v>4000000</v>
      </c>
      <c r="BV42" s="943" t="str">
        <f t="shared" si="39"/>
        <v/>
      </c>
      <c r="BW42" s="922" t="str">
        <f t="shared" si="40"/>
        <v/>
      </c>
      <c r="BY42" s="208">
        <f>ROUND(IF(A42="Dev",IF(AND(BK42&gt;general!$D$23,SUM($BZ$6:$BZ41)&lt;1,financing!$L$15&gt;BH41+BF42),financing!$L$16*(BK42-BK41)/360*(financing!$L$15-BH41-BF42),0),0),-2)</f>
        <v>600</v>
      </c>
      <c r="BZ42" s="909">
        <f>+IF(AND(BH42&gt;=financing!$L$15,SUM(BZ$6:BZ41)=0),1,0)</f>
        <v>0</v>
      </c>
      <c r="CA42" s="950">
        <f t="shared" si="22"/>
        <v>0</v>
      </c>
      <c r="CD42" s="909">
        <f>SUM($S$6:S42)</f>
        <v>4000000</v>
      </c>
      <c r="CF42" s="208">
        <f>+IF(C42&lt;general!$C$22,0,IF(AND(C42=general!$C$22,OR(A42="Pred",A42="Dev")),SUM(S$6:S42),S42))</f>
        <v>0</v>
      </c>
    </row>
    <row r="43" spans="1:84" ht="16" outlineLevel="1">
      <c r="A43" s="906" t="str">
        <f>+'Development Cash Flow'!A43</f>
        <v>Dev</v>
      </c>
      <c r="B43" s="908"/>
      <c r="C43" s="944">
        <f>IF('Development Cash Flow'!D42&lt;general!$D$28,'Development Cash Flow'!C42+1,0)</f>
        <v>37</v>
      </c>
      <c r="D43" s="945">
        <f t="shared" si="23"/>
        <v>47391</v>
      </c>
      <c r="E43" s="945"/>
      <c r="F43" s="928">
        <f>'Development Cash Flow'!P43*D$4+SUM('Development Cash Flow'!Q43:T43)*F$4</f>
        <v>388007.31694791181</v>
      </c>
      <c r="G43" s="928">
        <f>'Development Cash Flow'!AL43-F43</f>
        <v>183907.96270460467</v>
      </c>
      <c r="H43" s="928"/>
      <c r="I43" s="928"/>
      <c r="J43" s="931">
        <f>+financing!$D$54/12*reserves!BD42</f>
        <v>0</v>
      </c>
      <c r="K43" s="928">
        <f>IF(C43=0,0,IF(C43=sales!$D$32,financing!$E$12*financing!$F$11,IF(OR(C43&gt;general!$C$27,C43&lt;sales!$D$32),0,IF((C43-sales!$D$32)/12=ROUND((C43-sales!$D$32)/12,0),financing!$E$12*financing!$F$11,0))))</f>
        <v>0</v>
      </c>
      <c r="L43" s="928"/>
      <c r="M43" s="928">
        <f t="shared" si="26"/>
        <v>571915.27965251647</v>
      </c>
      <c r="N43" s="946"/>
      <c r="O43" s="946">
        <f>IF(D43=general!$D$21,financing!$F$30,0)</f>
        <v>0</v>
      </c>
      <c r="P43" s="946">
        <f>+MIN(IF(D43&lt;=general!$D$24,SUM(F$6:F43)-SUM(P$6:P42),reserves!F43),AR42)</f>
        <v>273196</v>
      </c>
      <c r="Q43" s="946">
        <f>+MAX(MIN(SUM(G$6:$G43)-R43,AN42,SUM(G$6:$G43)-SUM(Q$6:Q42)),0)</f>
        <v>0</v>
      </c>
      <c r="R43" s="946">
        <f>+IF(C43&gt;=sales!$D$36,'Development Cash Flow'!AL43,0)</f>
        <v>0</v>
      </c>
      <c r="S43" s="931">
        <f>IF(AND(A43=$A$5,C43&lt;financing!$D$55),M43-SUM(P43:R43,O43),MIN(M43-SUM(P43:R43,O43),financing!$F$10-SUM(S$5:S42)))</f>
        <v>0</v>
      </c>
      <c r="T43" s="931">
        <f>+MAX(MIN(IF(C43&gt;=financing!$D$55,M43-SUM(P43:S43)-J43,0),financing!$D$57-SUM(T$5:T42)),0)</f>
        <v>0</v>
      </c>
      <c r="U43" s="931">
        <f>+MAX(IF(C43&gt;=general!$C$23,M43-SUM(P43:T43),0)+IF(C43=general!$C$23,reserves!AZ42+AY43,0),0)</f>
        <v>298719.27965251647</v>
      </c>
      <c r="V43" s="946"/>
      <c r="W43" s="946">
        <f>SUMPRODUCT(--($C43=sales!$C$50:$C$54),sales!$F$50:$F$54)</f>
        <v>0</v>
      </c>
      <c r="X43" s="946">
        <f t="shared" si="44"/>
        <v>0</v>
      </c>
      <c r="Y43" s="946">
        <f t="shared" si="31"/>
        <v>0</v>
      </c>
      <c r="Z43" s="946">
        <f t="shared" si="45"/>
        <v>0</v>
      </c>
      <c r="AA43" s="946"/>
      <c r="AB43" s="932" cm="1">
        <f t="array" ref="AB43">SUMPRODUCT(--(C43=sales!$D$22:$D$27),sales!$G$22:$G$27)</f>
        <v>0</v>
      </c>
      <c r="AC43" s="946"/>
      <c r="AD43" s="931">
        <f t="shared" si="32"/>
        <v>0</v>
      </c>
      <c r="AE43" s="932"/>
      <c r="AF43" s="932">
        <f t="shared" si="24"/>
        <v>0</v>
      </c>
      <c r="AG43" s="932">
        <f t="shared" si="25"/>
        <v>0</v>
      </c>
      <c r="AH43" s="931">
        <f t="shared" si="12"/>
        <v>0</v>
      </c>
      <c r="AI43" s="932"/>
      <c r="AJ43" s="931">
        <f t="shared" si="4"/>
        <v>0</v>
      </c>
      <c r="AK43" s="946"/>
      <c r="AL43" s="947">
        <f>+IF(financing!$C$12="YES",'Development Cash Flow'!M43,0)</f>
        <v>0</v>
      </c>
      <c r="AM43" s="947">
        <f t="shared" si="33"/>
        <v>0</v>
      </c>
      <c r="AN43" s="947">
        <f t="shared" si="46"/>
        <v>0</v>
      </c>
      <c r="AO43" s="946"/>
      <c r="AP43" s="947">
        <f>+SUM('Development Cash Flow'!G43:J43)-'Development Cash Flow'!M43</f>
        <v>273196</v>
      </c>
      <c r="AQ43" s="947">
        <f t="shared" si="34"/>
        <v>273196</v>
      </c>
      <c r="AR43" s="947">
        <f t="shared" si="47"/>
        <v>273196</v>
      </c>
      <c r="AS43" s="946"/>
      <c r="AT43" s="947">
        <f t="shared" si="48"/>
        <v>27319600</v>
      </c>
      <c r="AU43" s="947">
        <f t="shared" si="49"/>
        <v>2731960</v>
      </c>
      <c r="AV43" s="948">
        <f t="shared" si="50"/>
        <v>0.1</v>
      </c>
      <c r="AW43" s="946"/>
      <c r="AX43" s="947">
        <f t="shared" si="35"/>
        <v>0</v>
      </c>
      <c r="AY43" s="947">
        <f>+AZ42*financing!$E$30/12</f>
        <v>0</v>
      </c>
      <c r="AZ43" s="947">
        <f t="shared" si="51"/>
        <v>0</v>
      </c>
      <c r="BA43" s="946"/>
      <c r="BB43" s="947">
        <f t="shared" si="36"/>
        <v>0</v>
      </c>
      <c r="BC43" s="947">
        <f>+IF(AND(BD42+BB43+MAX(BD42*financing!$E$15/12,financing!$D$59-SUM(reserves!BC$6:BC42)-SUM(J$6:J43))-reserves!AD43&lt;=0,financing!$D$58&gt;=0),MAX(BD42*financing!$E$15/12,financing!$D$59-SUM(reserves!BC$6:BC42)-SUM(J$6:J43)),BD42*financing!$E$15/12)</f>
        <v>0</v>
      </c>
      <c r="BD43" s="947">
        <f t="shared" si="17"/>
        <v>0</v>
      </c>
      <c r="BE43" s="946"/>
      <c r="BF43" s="947">
        <f t="shared" si="52"/>
        <v>298719.27965251647</v>
      </c>
      <c r="BG43" s="947">
        <f>+IF(AND(BH42+BF43+MAX((BH42*(LIBOR!AA44)*(D43-D42)/360)+BY43,financing!$C$16-SUM(reserves!BG$6:BG42))-reserves!AD43&lt;=0,financing!$L$17&gt;=0),MAX((BH42*(LIBOR!AA44)*(D43-D42)/360)+BY43,financing!$C$16-SUM(reserves!BG$6:BG42)),(BH42*(LIBOR!AA44)*(D43-D42)/360)+BY43)</f>
        <v>95283.442393129357</v>
      </c>
      <c r="BH43" s="947">
        <f t="shared" si="53"/>
        <v>9674691.4922746308</v>
      </c>
      <c r="BI43" s="946"/>
      <c r="BJ43" s="937"/>
      <c r="BK43" s="938">
        <f t="shared" si="41"/>
        <v>47391</v>
      </c>
      <c r="BL43" s="939">
        <f>-S43+AJ43+AF43-AX43+AH43+AG43-BB43-BF43+'Development Cash Flow'!Y43</f>
        <v>-298719.27965251647</v>
      </c>
      <c r="BM43" s="940"/>
      <c r="BN43" s="941">
        <f t="shared" si="37"/>
        <v>0</v>
      </c>
      <c r="BO43" s="940"/>
      <c r="BP43" s="942">
        <f t="shared" si="38"/>
        <v>0</v>
      </c>
      <c r="BS43" s="949" t="e">
        <f t="shared" si="42"/>
        <v>#DIV/0!</v>
      </c>
      <c r="BT43" s="922">
        <f>+IF(SUM(BT$5:BT42)&lt;1,IF(BU43=MAX($BU$6:$BU$54),1,0),0)</f>
        <v>0</v>
      </c>
      <c r="BU43" s="922">
        <f t="shared" si="43"/>
        <v>4000000</v>
      </c>
      <c r="BV43" s="943" t="str">
        <f t="shared" si="39"/>
        <v/>
      </c>
      <c r="BW43" s="922" t="str">
        <f t="shared" si="40"/>
        <v/>
      </c>
      <c r="BY43" s="208">
        <f>ROUND(IF(A43="Dev",IF(AND(BK43&gt;general!$D$23,SUM($BZ$6:$BZ42)&lt;1,financing!$L$15&gt;BH42+BF43),financing!$L$16*(BK43-BK42)/360*(financing!$L$15-BH42-BF43),0),0),-2)</f>
        <v>500</v>
      </c>
      <c r="BZ43" s="909">
        <f>+IF(AND(BH43&gt;=financing!$L$15,SUM(BZ$6:BZ42)=0),1,0)</f>
        <v>0</v>
      </c>
      <c r="CA43" s="950">
        <f t="shared" si="22"/>
        <v>0</v>
      </c>
      <c r="CD43" s="909">
        <f>SUM($S$6:S43)</f>
        <v>4000000</v>
      </c>
      <c r="CF43" s="208">
        <f>+IF(C43&lt;general!$C$22,0,IF(AND(C43=general!$C$22,OR(A43="Pred",A43="Dev")),SUM(S$6:S43),S43))</f>
        <v>0</v>
      </c>
    </row>
    <row r="44" spans="1:84" ht="16" outlineLevel="1">
      <c r="A44" s="906" t="str">
        <f>+'Development Cash Flow'!A44</f>
        <v>Dev</v>
      </c>
      <c r="B44" s="908"/>
      <c r="C44" s="944">
        <f>IF('Development Cash Flow'!D43&lt;general!$D$28,'Development Cash Flow'!C43+1,0)</f>
        <v>38</v>
      </c>
      <c r="D44" s="945">
        <f t="shared" si="23"/>
        <v>47422</v>
      </c>
      <c r="E44" s="945"/>
      <c r="F44" s="928">
        <f>'Development Cash Flow'!P44*D$4+SUM('Development Cash Flow'!Q44:T44)*F$4</f>
        <v>374277.10003309674</v>
      </c>
      <c r="G44" s="928">
        <f>'Development Cash Flow'!AL44-F44</f>
        <v>182709.21533956833</v>
      </c>
      <c r="H44" s="928"/>
      <c r="I44" s="928"/>
      <c r="J44" s="931">
        <f>+financing!$D$54/12*reserves!BD43</f>
        <v>0</v>
      </c>
      <c r="K44" s="928">
        <f>IF(C44=0,0,IF(C44=sales!$D$32,financing!$E$12*financing!$F$11,IF(OR(C44&gt;general!$C$27,C44&lt;sales!$D$32),0,IF((C44-sales!$D$32)/12=ROUND((C44-sales!$D$32)/12,0),financing!$E$12*financing!$F$11,0))))</f>
        <v>0</v>
      </c>
      <c r="L44" s="928"/>
      <c r="M44" s="928">
        <f t="shared" si="26"/>
        <v>556986.31537266506</v>
      </c>
      <c r="N44" s="946"/>
      <c r="O44" s="946">
        <f>IF(D44=general!$D$21,financing!$F$30,0)</f>
        <v>0</v>
      </c>
      <c r="P44" s="946">
        <f>+MIN(IF(D44&lt;=general!$D$24,SUM(F$6:F44)-SUM(P$6:P43),reserves!F44),AR43)</f>
        <v>273196</v>
      </c>
      <c r="Q44" s="946">
        <f>+MAX(MIN(SUM(G$6:$G44)-R44,AN43,SUM(G$6:$G44)-SUM(Q$6:Q43)),0)</f>
        <v>0</v>
      </c>
      <c r="R44" s="946">
        <f>+IF(C44&gt;=sales!$D$36,'Development Cash Flow'!AL44,0)</f>
        <v>0</v>
      </c>
      <c r="S44" s="931">
        <f>IF(AND(A44=$A$5,C44&lt;financing!$D$55),M44-SUM(P44:R44,O44),MIN(M44-SUM(P44:R44,O44),financing!$F$10-SUM(S$5:S43)))</f>
        <v>0</v>
      </c>
      <c r="T44" s="931">
        <f>+MAX(MIN(IF(C44&gt;=financing!$D$55,M44-SUM(P44:S44)-J44,0),financing!$D$57-SUM(T$5:T43)),0)</f>
        <v>0</v>
      </c>
      <c r="U44" s="931">
        <f>+MAX(IF(C44&gt;=general!$C$23,M44-SUM(P44:T44),0)+IF(C44=general!$C$23,reserves!AZ43+AY44,0),0)</f>
        <v>283790.31537266506</v>
      </c>
      <c r="V44" s="946"/>
      <c r="W44" s="946">
        <f>SUMPRODUCT(--($C44=sales!$C$50:$C$54),sales!$F$50:$F$54)</f>
        <v>0</v>
      </c>
      <c r="X44" s="946">
        <f t="shared" si="44"/>
        <v>0</v>
      </c>
      <c r="Y44" s="946">
        <f t="shared" si="31"/>
        <v>0</v>
      </c>
      <c r="Z44" s="946">
        <f t="shared" si="45"/>
        <v>0</v>
      </c>
      <c r="AA44" s="946"/>
      <c r="AB44" s="932" cm="1">
        <f t="array" ref="AB44">SUMPRODUCT(--(C44=sales!$D$22:$D$27),sales!$G$22:$G$27)</f>
        <v>0</v>
      </c>
      <c r="AC44" s="946"/>
      <c r="AD44" s="931">
        <f t="shared" si="32"/>
        <v>0</v>
      </c>
      <c r="AE44" s="932"/>
      <c r="AF44" s="932">
        <f t="shared" si="24"/>
        <v>0</v>
      </c>
      <c r="AG44" s="932">
        <f t="shared" si="25"/>
        <v>0</v>
      </c>
      <c r="AH44" s="931">
        <f t="shared" si="12"/>
        <v>0</v>
      </c>
      <c r="AI44" s="932"/>
      <c r="AJ44" s="931">
        <f t="shared" si="4"/>
        <v>0</v>
      </c>
      <c r="AK44" s="946"/>
      <c r="AL44" s="947">
        <f>+IF(financing!$C$12="YES",'Development Cash Flow'!M44,0)</f>
        <v>0</v>
      </c>
      <c r="AM44" s="947">
        <f t="shared" si="33"/>
        <v>0</v>
      </c>
      <c r="AN44" s="947">
        <f t="shared" si="46"/>
        <v>0</v>
      </c>
      <c r="AO44" s="946"/>
      <c r="AP44" s="947">
        <f>+SUM('Development Cash Flow'!G44:J44)-'Development Cash Flow'!M44</f>
        <v>273196</v>
      </c>
      <c r="AQ44" s="947">
        <f t="shared" si="34"/>
        <v>273196</v>
      </c>
      <c r="AR44" s="947">
        <f t="shared" si="47"/>
        <v>273196</v>
      </c>
      <c r="AS44" s="946"/>
      <c r="AT44" s="947">
        <f t="shared" si="48"/>
        <v>27319600</v>
      </c>
      <c r="AU44" s="947">
        <f t="shared" si="49"/>
        <v>3005156</v>
      </c>
      <c r="AV44" s="948">
        <f t="shared" si="50"/>
        <v>0.11</v>
      </c>
      <c r="AW44" s="946"/>
      <c r="AX44" s="947">
        <f t="shared" si="35"/>
        <v>0</v>
      </c>
      <c r="AY44" s="947">
        <f>+AZ43*financing!$E$30/12</f>
        <v>0</v>
      </c>
      <c r="AZ44" s="947">
        <f t="shared" si="51"/>
        <v>0</v>
      </c>
      <c r="BA44" s="946"/>
      <c r="BB44" s="947">
        <f t="shared" si="36"/>
        <v>0</v>
      </c>
      <c r="BC44" s="947">
        <f>+IF(AND(BD43+BB44+MAX(BD43*financing!$E$15/12,financing!$D$59-SUM(reserves!BC$6:BC43)-SUM(J$6:J44))-reserves!AD44&lt;=0,financing!$D$58&gt;=0),MAX(BD43*financing!$E$15/12,financing!$D$59-SUM(reserves!BC$6:BC43)-SUM(J$6:J44)),BD43*financing!$E$15/12)</f>
        <v>0</v>
      </c>
      <c r="BD44" s="947">
        <f t="shared" si="17"/>
        <v>0</v>
      </c>
      <c r="BE44" s="946"/>
      <c r="BF44" s="947">
        <f t="shared" si="52"/>
        <v>283790.31537266506</v>
      </c>
      <c r="BG44" s="947">
        <f>+IF(AND(BH43+BF44+MAX((BH43*(LIBOR!AA45)*(D44-D43)/360)+BY44,financing!$C$16-SUM(reserves!BG$6:BG43))-reserves!AD44&lt;=0,financing!$L$17&gt;=0),MAX((BH43*(LIBOR!AA45)*(D44-D43)/360)+BY44,financing!$C$16-SUM(reserves!BG$6:BG43)),(BH43*(LIBOR!AA45)*(D44-D43)/360)+BY44)</f>
        <v>102552.47542589516</v>
      </c>
      <c r="BH44" s="947">
        <f t="shared" si="53"/>
        <v>10061034.283073191</v>
      </c>
      <c r="BI44" s="946"/>
      <c r="BJ44" s="937"/>
      <c r="BK44" s="938">
        <f t="shared" si="41"/>
        <v>47422</v>
      </c>
      <c r="BL44" s="939">
        <f>-S44+AJ44+AF44-AX44+AH44+AG44-BB44-BF44+'Development Cash Flow'!Y44</f>
        <v>-283790.31537266506</v>
      </c>
      <c r="BM44" s="940"/>
      <c r="BN44" s="941">
        <f t="shared" si="37"/>
        <v>0</v>
      </c>
      <c r="BO44" s="940"/>
      <c r="BP44" s="942">
        <f t="shared" si="38"/>
        <v>0</v>
      </c>
      <c r="BS44" s="949" t="e">
        <f t="shared" si="42"/>
        <v>#DIV/0!</v>
      </c>
      <c r="BT44" s="922">
        <f>+IF(SUM(BT$5:BT43)&lt;1,IF(BU44=MAX($BU$6:$BU$54),1,0),0)</f>
        <v>0</v>
      </c>
      <c r="BU44" s="922">
        <f t="shared" si="43"/>
        <v>4000000</v>
      </c>
      <c r="BV44" s="943" t="str">
        <f t="shared" si="39"/>
        <v/>
      </c>
      <c r="BW44" s="922" t="str">
        <f t="shared" si="40"/>
        <v/>
      </c>
      <c r="BY44" s="208">
        <f>ROUND(IF(A44="Dev",IF(AND(BK44&gt;general!$D$23,SUM($BZ$6:$BZ43)&lt;1,financing!$L$15&gt;BH43+BF44),financing!$L$16*(BK44-BK43)/360*(financing!$L$15-BH43-BF44),0),0),-2)</f>
        <v>500</v>
      </c>
      <c r="BZ44" s="909">
        <f>+IF(AND(BH44&gt;=financing!$L$15,SUM(BZ$6:BZ43)=0),1,0)</f>
        <v>0</v>
      </c>
      <c r="CA44" s="950">
        <f t="shared" si="22"/>
        <v>0</v>
      </c>
      <c r="CD44" s="909">
        <f>SUM($S$6:S44)</f>
        <v>4000000</v>
      </c>
      <c r="CF44" s="208">
        <f>+IF(C44&lt;general!$C$22,0,IF(AND(C44=general!$C$22,OR(A44="Pred",A44="Dev")),SUM(S$6:S44),S44))</f>
        <v>0</v>
      </c>
    </row>
    <row r="45" spans="1:84" ht="16" outlineLevel="1">
      <c r="A45" s="906" t="str">
        <f>+'Development Cash Flow'!A45</f>
        <v>Dev</v>
      </c>
      <c r="B45" s="908"/>
      <c r="C45" s="944">
        <f>IF('Development Cash Flow'!D44&lt;general!$D$28,'Development Cash Flow'!C44+1,0)</f>
        <v>39</v>
      </c>
      <c r="D45" s="945">
        <f t="shared" si="23"/>
        <v>47452</v>
      </c>
      <c r="E45" s="945"/>
      <c r="F45" s="928">
        <f>'Development Cash Flow'!P45*D$4+SUM('Development Cash Flow'!Q45:T45)*F$4</f>
        <v>359714.99582933926</v>
      </c>
      <c r="G45" s="928">
        <f>'Development Cash Flow'!AL45-F45</f>
        <v>263152.12390432029</v>
      </c>
      <c r="H45" s="928"/>
      <c r="I45" s="928"/>
      <c r="J45" s="931">
        <f>+financing!$D$54/12*reserves!BD44</f>
        <v>0</v>
      </c>
      <c r="K45" s="928">
        <f>IF(C45=0,0,IF(C45=sales!$D$32,financing!$E$12*financing!$F$11,IF(OR(C45&gt;general!$C$27,C45&lt;sales!$D$32),0,IF((C45-sales!$D$32)/12=ROUND((C45-sales!$D$32)/12,0),financing!$E$12*financing!$F$11,0))))</f>
        <v>0</v>
      </c>
      <c r="L45" s="928"/>
      <c r="M45" s="928">
        <f t="shared" si="26"/>
        <v>622867.11973365955</v>
      </c>
      <c r="N45" s="946"/>
      <c r="O45" s="946">
        <f>IF(D45=general!$D$21,financing!$F$30,0)</f>
        <v>0</v>
      </c>
      <c r="P45" s="946">
        <f>+MIN(IF(D45&lt;=general!$D$24,SUM(F$6:F45)-SUM(P$6:P44),reserves!F45),AR44)</f>
        <v>273196</v>
      </c>
      <c r="Q45" s="946">
        <f>+MAX(MIN(SUM(G$6:$G45)-R45,AN44,SUM(G$6:$G45)-SUM(Q$6:Q44)),0)</f>
        <v>0</v>
      </c>
      <c r="R45" s="946">
        <f>+IF(C45&gt;=sales!$D$36,'Development Cash Flow'!AL45,0)</f>
        <v>0</v>
      </c>
      <c r="S45" s="931">
        <f>IF(AND(A45=$A$5,C45&lt;financing!$D$55),M45-SUM(P45:R45,O45),MIN(M45-SUM(P45:R45,O45),financing!$F$10-SUM(S$5:S44)))</f>
        <v>0</v>
      </c>
      <c r="T45" s="931">
        <f>+MAX(MIN(IF(C45&gt;=financing!$D$55,M45-SUM(P45:S45)-J45,0),financing!$D$57-SUM(T$5:T44)),0)</f>
        <v>0</v>
      </c>
      <c r="U45" s="931">
        <f>+MAX(IF(C45&gt;=general!$C$23,M45-SUM(P45:T45),0)+IF(C45=general!$C$23,reserves!AZ44+AY45,0),0)</f>
        <v>349671.11973365955</v>
      </c>
      <c r="V45" s="946"/>
      <c r="W45" s="946">
        <f>SUMPRODUCT(--($C45=sales!$C$50:$C$54),sales!$F$50:$F$54)</f>
        <v>0</v>
      </c>
      <c r="X45" s="946">
        <f t="shared" si="44"/>
        <v>0</v>
      </c>
      <c r="Y45" s="946">
        <f t="shared" si="31"/>
        <v>0</v>
      </c>
      <c r="Z45" s="946">
        <f t="shared" si="45"/>
        <v>0</v>
      </c>
      <c r="AA45" s="946"/>
      <c r="AB45" s="932" cm="1">
        <f t="array" ref="AB45">SUMPRODUCT(--(C45=sales!$D$22:$D$27),sales!$G$22:$G$27)</f>
        <v>0</v>
      </c>
      <c r="AC45" s="946"/>
      <c r="AD45" s="931">
        <f t="shared" si="32"/>
        <v>0</v>
      </c>
      <c r="AE45" s="932"/>
      <c r="AF45" s="932">
        <f t="shared" si="24"/>
        <v>0</v>
      </c>
      <c r="AG45" s="932">
        <f t="shared" si="25"/>
        <v>0</v>
      </c>
      <c r="AH45" s="931">
        <f t="shared" si="12"/>
        <v>0</v>
      </c>
      <c r="AI45" s="932"/>
      <c r="AJ45" s="931">
        <f t="shared" si="4"/>
        <v>0</v>
      </c>
      <c r="AK45" s="946"/>
      <c r="AL45" s="947">
        <f>+IF(financing!$C$12="YES",'Development Cash Flow'!M45,0)</f>
        <v>0</v>
      </c>
      <c r="AM45" s="947">
        <f t="shared" si="33"/>
        <v>0</v>
      </c>
      <c r="AN45" s="947">
        <f t="shared" si="46"/>
        <v>0</v>
      </c>
      <c r="AO45" s="946"/>
      <c r="AP45" s="947">
        <f>+SUM('Development Cash Flow'!G45:J45)-'Development Cash Flow'!M45</f>
        <v>0</v>
      </c>
      <c r="AQ45" s="947">
        <f t="shared" si="34"/>
        <v>273196</v>
      </c>
      <c r="AR45" s="947">
        <f t="shared" si="47"/>
        <v>0</v>
      </c>
      <c r="AS45" s="946"/>
      <c r="AT45" s="947">
        <f t="shared" si="48"/>
        <v>27319600</v>
      </c>
      <c r="AU45" s="947">
        <f t="shared" si="49"/>
        <v>3278352</v>
      </c>
      <c r="AV45" s="948">
        <f t="shared" si="50"/>
        <v>0.12</v>
      </c>
      <c r="AW45" s="946"/>
      <c r="AX45" s="947">
        <f t="shared" si="35"/>
        <v>0</v>
      </c>
      <c r="AY45" s="947">
        <f>+AZ44*financing!$E$30/12</f>
        <v>0</v>
      </c>
      <c r="AZ45" s="947">
        <f t="shared" si="51"/>
        <v>0</v>
      </c>
      <c r="BA45" s="946"/>
      <c r="BB45" s="947">
        <f t="shared" si="36"/>
        <v>0</v>
      </c>
      <c r="BC45" s="947">
        <f>+IF(AND(BD44+BB45+MAX(BD44*financing!$E$15/12,financing!$D$59-SUM(reserves!BC$6:BC44)-SUM(J$6:J45))-reserves!AD45&lt;=0,financing!$D$58&gt;=0),MAX(BD44*financing!$E$15/12,financing!$D$59-SUM(reserves!BC$6:BC44)-SUM(J$6:J45)),BD44*financing!$E$15/12)</f>
        <v>0</v>
      </c>
      <c r="BD45" s="947">
        <f t="shared" si="17"/>
        <v>0</v>
      </c>
      <c r="BE45" s="946"/>
      <c r="BF45" s="947">
        <f t="shared" si="52"/>
        <v>349671.11973365955</v>
      </c>
      <c r="BG45" s="947">
        <f>+IF(AND(BH44+BF45+MAX((BH44*(LIBOR!AA46)*(D45-D44)/360)+BY45,financing!$C$16-SUM(reserves!BG$6:BG44))-reserves!AD45&lt;=0,financing!$L$17&gt;=0),MAX((BH44*(LIBOR!AA46)*(D45-D44)/360)+BY45,financing!$C$16-SUM(reserves!BG$6:BG44)),(BH44*(LIBOR!AA46)*(D45-D44)/360)+BY45)</f>
        <v>102938.47965829473</v>
      </c>
      <c r="BH45" s="947">
        <f t="shared" si="53"/>
        <v>10513643.882465145</v>
      </c>
      <c r="BI45" s="946"/>
      <c r="BJ45" s="937"/>
      <c r="BK45" s="938">
        <f t="shared" si="41"/>
        <v>47452</v>
      </c>
      <c r="BL45" s="939">
        <f>-S45+AJ45+AF45-AX45+AH45+AG45-BB45-BF45+'Development Cash Flow'!Y45</f>
        <v>-349671.11973365955</v>
      </c>
      <c r="BM45" s="940"/>
      <c r="BN45" s="941">
        <f t="shared" si="37"/>
        <v>0</v>
      </c>
      <c r="BO45" s="940"/>
      <c r="BP45" s="942">
        <f t="shared" si="38"/>
        <v>0</v>
      </c>
      <c r="BS45" s="949" t="e">
        <f t="shared" si="42"/>
        <v>#DIV/0!</v>
      </c>
      <c r="BT45" s="922">
        <f>+IF(SUM(BT$5:BT44)&lt;1,IF(BU45=MAX($BU$6:$BU$54),1,0),0)</f>
        <v>0</v>
      </c>
      <c r="BU45" s="922">
        <f t="shared" si="43"/>
        <v>4000000</v>
      </c>
      <c r="BV45" s="943" t="str">
        <f t="shared" si="39"/>
        <v/>
      </c>
      <c r="BW45" s="922" t="str">
        <f t="shared" si="40"/>
        <v/>
      </c>
      <c r="BY45" s="208">
        <f>ROUND(IF(A45="Dev",IF(AND(BK45&gt;general!$D$23,SUM($BZ$6:$BZ44)&lt;1,financing!$L$15&gt;BH44+BF45),financing!$L$16*(BK45-BK44)/360*(financing!$L$15-BH44-BF45),0),0),-2)</f>
        <v>300</v>
      </c>
      <c r="BZ45" s="909">
        <f>+IF(AND(BH45&gt;=financing!$L$15,SUM(BZ$6:BZ44)=0),1,0)</f>
        <v>0</v>
      </c>
      <c r="CA45" s="950">
        <f t="shared" si="22"/>
        <v>0</v>
      </c>
      <c r="CD45" s="909">
        <f>SUM($S$6:S45)</f>
        <v>4000000</v>
      </c>
      <c r="CF45" s="208">
        <f>+IF(C45&lt;general!$C$22,0,IF(AND(C45=general!$C$22,OR(A45="Pred",A45="Dev")),SUM(S$6:S45),S45))</f>
        <v>0</v>
      </c>
    </row>
    <row r="46" spans="1:84" ht="16" outlineLevel="1">
      <c r="A46" s="906" t="str">
        <f>+'Development Cash Flow'!A46</f>
        <v>Dev</v>
      </c>
      <c r="B46" s="908"/>
      <c r="C46" s="944">
        <f>IF('Development Cash Flow'!D45&lt;general!$D$28,'Development Cash Flow'!C45+1,0)</f>
        <v>40</v>
      </c>
      <c r="D46" s="945">
        <f t="shared" si="23"/>
        <v>47483</v>
      </c>
      <c r="E46" s="945"/>
      <c r="F46" s="928">
        <f>'Development Cash Flow'!P46*D$4+SUM('Development Cash Flow'!Q46:T46)*F$4</f>
        <v>344566.71343433292</v>
      </c>
      <c r="G46" s="928">
        <f>'Development Cash Flow'!AL46-F46</f>
        <v>249530.41343955247</v>
      </c>
      <c r="H46" s="928"/>
      <c r="I46" s="928"/>
      <c r="J46" s="931">
        <f>+financing!$D$54/12*reserves!BD45</f>
        <v>0</v>
      </c>
      <c r="K46" s="928">
        <f>IF(C46=0,0,IF(C46=sales!$D$32,financing!$E$12*financing!$F$11,IF(OR(C46&gt;general!$C$27,C46&lt;sales!$D$32),0,IF((C46-sales!$D$32)/12=ROUND((C46-sales!$D$32)/12,0),financing!$E$12*financing!$F$11,0))))</f>
        <v>0</v>
      </c>
      <c r="L46" s="928"/>
      <c r="M46" s="928">
        <f t="shared" si="26"/>
        <v>594097.1268738854</v>
      </c>
      <c r="N46" s="946"/>
      <c r="O46" s="946">
        <f>IF(D46=general!$D$21,financing!$F$30,0)</f>
        <v>0</v>
      </c>
      <c r="P46" s="946">
        <f>+MIN(IF(D46&lt;=general!$D$24,SUM(F$6:F46)-SUM(P$6:P45),reserves!F46),AR45)</f>
        <v>0</v>
      </c>
      <c r="Q46" s="946">
        <f>+MAX(MIN(SUM(G$6:$G46)-R46,AN45,SUM(G$6:$G46)-SUM(Q$6:Q45)),0)</f>
        <v>0</v>
      </c>
      <c r="R46" s="946">
        <f>+IF(C46&gt;=sales!$D$36,'Development Cash Flow'!AL46,0)</f>
        <v>0</v>
      </c>
      <c r="S46" s="931">
        <f>IF(AND(A46=$A$5,C46&lt;financing!$D$55),M46-SUM(P46:R46,O46),MIN(M46-SUM(P46:R46,O46),financing!$F$10-SUM(S$5:S45)))</f>
        <v>0</v>
      </c>
      <c r="T46" s="931">
        <f>+MAX(MIN(IF(C46&gt;=financing!$D$55,M46-SUM(P46:S46)-J46,0),financing!$D$57-SUM(T$5:T45)),0)</f>
        <v>0</v>
      </c>
      <c r="U46" s="931">
        <f>+MAX(IF(C46&gt;=general!$C$23,M46-SUM(P46:T46),0)+IF(C46=general!$C$23,reserves!AZ45+AY46,0),0)</f>
        <v>594097.1268738854</v>
      </c>
      <c r="V46" s="946"/>
      <c r="W46" s="946">
        <f>SUMPRODUCT(--($C46=sales!$C$50:$C$54),sales!$F$50:$F$54)</f>
        <v>0</v>
      </c>
      <c r="X46" s="946">
        <f t="shared" si="44"/>
        <v>0</v>
      </c>
      <c r="Y46" s="946">
        <f t="shared" si="31"/>
        <v>0</v>
      </c>
      <c r="Z46" s="946">
        <f t="shared" si="45"/>
        <v>0</v>
      </c>
      <c r="AA46" s="946"/>
      <c r="AB46" s="932" cm="1">
        <f t="array" ref="AB46">SUMPRODUCT(--(C46=sales!$D$22:$D$27),sales!$G$22:$G$27)</f>
        <v>0</v>
      </c>
      <c r="AC46" s="946"/>
      <c r="AD46" s="931">
        <f t="shared" si="32"/>
        <v>0</v>
      </c>
      <c r="AE46" s="932"/>
      <c r="AF46" s="932">
        <f t="shared" si="24"/>
        <v>0</v>
      </c>
      <c r="AG46" s="932">
        <f t="shared" si="25"/>
        <v>0</v>
      </c>
      <c r="AH46" s="931">
        <f>+MIN(BD45+BB46+BC46,AD46-SUM(AF46:AG46))</f>
        <v>0</v>
      </c>
      <c r="AI46" s="932"/>
      <c r="AJ46" s="931">
        <f>+AD46-SUM(AF46:AH46)</f>
        <v>0</v>
      </c>
      <c r="AK46" s="946"/>
      <c r="AL46" s="947">
        <f>+IF(financing!$C$12="YES",'Development Cash Flow'!M46,0)</f>
        <v>0</v>
      </c>
      <c r="AM46" s="947">
        <f t="shared" si="33"/>
        <v>0</v>
      </c>
      <c r="AN46" s="947">
        <f t="shared" si="46"/>
        <v>0</v>
      </c>
      <c r="AO46" s="946"/>
      <c r="AP46" s="947">
        <f>+SUM('Development Cash Flow'!G46:J46)-'Development Cash Flow'!M46</f>
        <v>0</v>
      </c>
      <c r="AQ46" s="947">
        <f t="shared" si="34"/>
        <v>0</v>
      </c>
      <c r="AR46" s="947">
        <f t="shared" si="47"/>
        <v>0</v>
      </c>
      <c r="AS46" s="946"/>
      <c r="AT46" s="947">
        <f t="shared" si="48"/>
        <v>27319600</v>
      </c>
      <c r="AU46" s="947">
        <f t="shared" si="49"/>
        <v>3278352</v>
      </c>
      <c r="AV46" s="948">
        <f t="shared" si="50"/>
        <v>0.12</v>
      </c>
      <c r="AW46" s="946"/>
      <c r="AX46" s="947">
        <f t="shared" si="35"/>
        <v>0</v>
      </c>
      <c r="AY46" s="947">
        <f>+AZ45*financing!$E$30/12</f>
        <v>0</v>
      </c>
      <c r="AZ46" s="947">
        <f t="shared" si="51"/>
        <v>0</v>
      </c>
      <c r="BA46" s="946"/>
      <c r="BB46" s="947">
        <f t="shared" si="36"/>
        <v>0</v>
      </c>
      <c r="BC46" s="947">
        <f>+IF(AND(BD45+BB46+MAX(BD45*financing!$E$15/12,financing!$D$59-SUM(reserves!BC$6:BC45)-SUM(J$6:J46))-reserves!AD46&lt;=0,financing!$D$58&gt;=0),MAX(BD45*financing!$E$15/12,financing!$D$59-SUM(reserves!BC$6:BC45)-SUM(J$6:J46)),BD45*financing!$E$15/12)</f>
        <v>0</v>
      </c>
      <c r="BD46" s="947">
        <f t="shared" si="17"/>
        <v>0</v>
      </c>
      <c r="BE46" s="946"/>
      <c r="BF46" s="947">
        <f t="shared" si="52"/>
        <v>594097.1268738854</v>
      </c>
      <c r="BG46" s="947">
        <f>+IF(AND(BH45+BF46+MAX((BH45*(LIBOR!AA47)*(D46-D45)/360)+BY46,financing!$C$16-SUM(reserves!BG$6:BG45))-reserves!AD46&lt;=0,financing!$L$17&gt;=0),MAX((BH45*(LIBOR!AA47)*(D46-D45)/360)+BY46,financing!$C$16-SUM(reserves!BG$6:BG45)),(BH45*(LIBOR!AA47)*(D46-D45)/360)+BY46)</f>
        <v>110950.61368053574</v>
      </c>
      <c r="BH46" s="947">
        <f t="shared" si="53"/>
        <v>11218691.623019567</v>
      </c>
      <c r="BI46" s="946"/>
      <c r="BJ46" s="937"/>
      <c r="BK46" s="938">
        <f t="shared" si="41"/>
        <v>47483</v>
      </c>
      <c r="BL46" s="939">
        <f>-S46+AJ46+AF46-AX46+AH46+AG46-BB46-BF46+'Development Cash Flow'!Y46</f>
        <v>-594097.1268738854</v>
      </c>
      <c r="BM46" s="940"/>
      <c r="BN46" s="941">
        <f t="shared" si="37"/>
        <v>0</v>
      </c>
      <c r="BO46" s="940"/>
      <c r="BP46" s="942">
        <f t="shared" si="38"/>
        <v>0</v>
      </c>
      <c r="BS46" s="949" t="e">
        <f t="shared" si="42"/>
        <v>#DIV/0!</v>
      </c>
      <c r="BT46" s="922">
        <f>+IF(SUM(BT$5:BT45)&lt;1,IF(BU46=MAX($BU$6:$BU$54),1,0),0)</f>
        <v>0</v>
      </c>
      <c r="BU46" s="922">
        <f t="shared" si="43"/>
        <v>4000000</v>
      </c>
      <c r="BV46" s="943" t="str">
        <f t="shared" si="39"/>
        <v/>
      </c>
      <c r="BW46" s="922" t="str">
        <f t="shared" si="40"/>
        <v/>
      </c>
      <c r="BY46" s="208">
        <f>ROUND(IF(A46="Dev",IF(AND(BK46&gt;general!$D$23,SUM($BZ$6:$BZ45)&lt;1,financing!$L$15&gt;BH45+BF46),financing!$L$16*(BK46-BK45)/360*(financing!$L$15-BH45-BF46),0),0),-2)</f>
        <v>200</v>
      </c>
      <c r="BZ46" s="909">
        <f>+IF(AND(BH46&gt;=financing!$L$15,SUM(BZ$6:BZ45)=0),1,0)</f>
        <v>0</v>
      </c>
      <c r="CA46" s="950">
        <f>+BZ46*BK46</f>
        <v>0</v>
      </c>
      <c r="CD46" s="909">
        <f>SUM($S$6:S46)</f>
        <v>4000000</v>
      </c>
      <c r="CF46" s="208">
        <f>+IF(C46&lt;general!$C$22,0,IF(AND(C46=general!$C$22,OR(A46="Pred",A46="Dev")),SUM(S$6:S46),S46))</f>
        <v>0</v>
      </c>
    </row>
    <row r="47" spans="1:84" ht="16" outlineLevel="1">
      <c r="A47" s="906" t="str">
        <f>+'Development Cash Flow'!A47</f>
        <v>Dev</v>
      </c>
      <c r="B47" s="908"/>
      <c r="C47" s="944">
        <f>IF('Development Cash Flow'!D46&lt;general!$D$28,'Development Cash Flow'!C46+1,0)</f>
        <v>41</v>
      </c>
      <c r="D47" s="945">
        <f t="shared" si="23"/>
        <v>47514</v>
      </c>
      <c r="E47" s="945"/>
      <c r="F47" s="928">
        <f>'Development Cash Flow'!P47*D$4+SUM('Development Cash Flow'!Q47:T47)*F$4</f>
        <v>329074.07450443879</v>
      </c>
      <c r="G47" s="928">
        <f>'Development Cash Flow'!AL47-F47</f>
        <v>247907.72049576149</v>
      </c>
      <c r="H47" s="928"/>
      <c r="I47" s="928"/>
      <c r="J47" s="931">
        <f>+financing!$D$54/12*reserves!BD46</f>
        <v>0</v>
      </c>
      <c r="K47" s="928">
        <f>IF(C47=0,0,IF(C47=sales!$D$32,financing!$E$12*financing!$F$11,IF(OR(C47&gt;general!$C$27,C47&lt;sales!$D$32),0,IF((C47-sales!$D$32)/12=ROUND((C47-sales!$D$32)/12,0),financing!$E$12*financing!$F$11,0))))</f>
        <v>0</v>
      </c>
      <c r="L47" s="928"/>
      <c r="M47" s="928">
        <f t="shared" si="26"/>
        <v>576981.79500020028</v>
      </c>
      <c r="N47" s="946"/>
      <c r="O47" s="946">
        <f>IF(D47=general!$D$21,financing!$F$30,0)</f>
        <v>0</v>
      </c>
      <c r="P47" s="946">
        <f>+MIN(IF(D47&lt;=general!$D$24,SUM(F$6:F47)-SUM(P$6:P46),reserves!F47),AR46)</f>
        <v>0</v>
      </c>
      <c r="Q47" s="946">
        <f>+MAX(MIN(SUM(G$6:$G47)-R47,AN46,SUM(G$6:$G47)-SUM(Q$6:Q46)),0)</f>
        <v>0</v>
      </c>
      <c r="R47" s="946">
        <f>+IF(C47&gt;=sales!$D$36,'Development Cash Flow'!AL47,0)</f>
        <v>0</v>
      </c>
      <c r="S47" s="931">
        <f>IF(AND(A47=$A$5,C47&lt;financing!$D$55),M47-SUM(P47:R47,O47),MIN(M47-SUM(P47:R47,O47),financing!$F$10-SUM(S$5:S46)))</f>
        <v>0</v>
      </c>
      <c r="T47" s="931">
        <f>+MAX(MIN(IF(C47&gt;=financing!$D$55,M47-SUM(P47:S47)-J47,0),financing!$D$57-SUM(T$5:T46)),0)</f>
        <v>0</v>
      </c>
      <c r="U47" s="931">
        <f>+MAX(IF(C47&gt;=general!$C$23,M47-SUM(P47:T47),0)+IF(C47=general!$C$23,reserves!AZ46+AY47,0),0)</f>
        <v>576981.79500020028</v>
      </c>
      <c r="V47" s="946"/>
      <c r="W47" s="946">
        <f>SUMPRODUCT(--($C47=sales!$C$50:$C$54),sales!$F$50:$F$54)</f>
        <v>0</v>
      </c>
      <c r="X47" s="946">
        <f t="shared" si="44"/>
        <v>0</v>
      </c>
      <c r="Y47" s="946">
        <f t="shared" si="31"/>
        <v>0</v>
      </c>
      <c r="Z47" s="946">
        <f t="shared" si="45"/>
        <v>0</v>
      </c>
      <c r="AA47" s="946"/>
      <c r="AB47" s="932" cm="1">
        <f t="array" ref="AB47">SUMPRODUCT(--(C47=sales!$D$22:$D$27),sales!$G$22:$G$27)</f>
        <v>0</v>
      </c>
      <c r="AC47" s="946"/>
      <c r="AD47" s="931">
        <f t="shared" si="32"/>
        <v>0</v>
      </c>
      <c r="AE47" s="932"/>
      <c r="AF47" s="932">
        <f t="shared" si="24"/>
        <v>0</v>
      </c>
      <c r="AG47" s="932">
        <f t="shared" si="25"/>
        <v>0</v>
      </c>
      <c r="AH47" s="931">
        <f t="shared" ref="AH47:AH110" si="54">+MIN(BD46+BB47+BC47,AD47-SUM(AF47:AG47))</f>
        <v>0</v>
      </c>
      <c r="AI47" s="932"/>
      <c r="AJ47" s="931">
        <f t="shared" ref="AJ47:AJ110" si="55">+AD47-SUM(AF47:AH47)</f>
        <v>0</v>
      </c>
      <c r="AK47" s="946"/>
      <c r="AL47" s="947">
        <f>+IF(financing!$C$12="YES",'Development Cash Flow'!M47,0)</f>
        <v>0</v>
      </c>
      <c r="AM47" s="947">
        <f t="shared" si="33"/>
        <v>0</v>
      </c>
      <c r="AN47" s="947">
        <f t="shared" si="46"/>
        <v>0</v>
      </c>
      <c r="AO47" s="946"/>
      <c r="AP47" s="947">
        <f>+SUM('Development Cash Flow'!G47:J47)-'Development Cash Flow'!M47</f>
        <v>0</v>
      </c>
      <c r="AQ47" s="947">
        <f t="shared" si="34"/>
        <v>0</v>
      </c>
      <c r="AR47" s="947">
        <f t="shared" si="47"/>
        <v>0</v>
      </c>
      <c r="AS47" s="946"/>
      <c r="AT47" s="947">
        <f t="shared" si="48"/>
        <v>27319600</v>
      </c>
      <c r="AU47" s="947">
        <f t="shared" si="49"/>
        <v>3278352</v>
      </c>
      <c r="AV47" s="948">
        <f t="shared" si="50"/>
        <v>0.12</v>
      </c>
      <c r="AW47" s="946"/>
      <c r="AX47" s="947">
        <f t="shared" si="35"/>
        <v>0</v>
      </c>
      <c r="AY47" s="947">
        <f>+AZ46*financing!$E$30/12</f>
        <v>0</v>
      </c>
      <c r="AZ47" s="947">
        <f t="shared" si="51"/>
        <v>0</v>
      </c>
      <c r="BA47" s="946"/>
      <c r="BB47" s="947">
        <f t="shared" si="36"/>
        <v>0</v>
      </c>
      <c r="BC47" s="947">
        <f>+IF(AND(BD46+BB47+MAX(BD46*financing!$E$15/12,financing!$D$59-SUM(reserves!BC$6:BC46)-SUM(J$6:J47))-reserves!AD47&lt;=0,financing!$D$58&gt;=0),MAX(BD46*financing!$E$15/12,financing!$D$59-SUM(reserves!BC$6:BC46)-SUM(J$6:J47)),BD46*financing!$E$15/12)</f>
        <v>0</v>
      </c>
      <c r="BD47" s="947">
        <f t="shared" si="17"/>
        <v>0</v>
      </c>
      <c r="BE47" s="946"/>
      <c r="BF47" s="947">
        <f t="shared" si="52"/>
        <v>576981.79500020028</v>
      </c>
      <c r="BG47" s="947">
        <f>+IF(AND(BH46+BF47+MAX((BH46*(LIBOR!AA48)*(D47-D46)/360)+BY47,financing!$C$16-SUM(reserves!BG$6:BG46))-reserves!AD47&lt;=0,financing!$L$17&gt;=0),MAX((BH46*(LIBOR!AA48)*(D47-D46)/360)+BY47,financing!$C$16-SUM(reserves!BG$6:BG46)),(BH46*(LIBOR!AA48)*(D47-D46)/360)+BY47)</f>
        <v>111196.21010017987</v>
      </c>
      <c r="BH47" s="947">
        <f t="shared" si="53"/>
        <v>11906869.628119947</v>
      </c>
      <c r="BI47" s="946"/>
      <c r="BJ47" s="937"/>
      <c r="BK47" s="938">
        <f t="shared" si="41"/>
        <v>47514</v>
      </c>
      <c r="BL47" s="939">
        <f>-S47+AJ47+AF47-AX47+AH47+AG47-BB47-BF47+'Development Cash Flow'!Y47</f>
        <v>-576981.79500020028</v>
      </c>
      <c r="BM47" s="940"/>
      <c r="BN47" s="941">
        <f t="shared" si="37"/>
        <v>0</v>
      </c>
      <c r="BO47" s="940"/>
      <c r="BP47" s="942">
        <f t="shared" si="38"/>
        <v>0</v>
      </c>
      <c r="BS47" s="949" t="e">
        <f t="shared" si="42"/>
        <v>#DIV/0!</v>
      </c>
      <c r="BT47" s="922">
        <f>+IF(SUM(BT$5:BT46)&lt;1,IF(BU47=MAX($BU$6:$BU$54),1,0),0)</f>
        <v>0</v>
      </c>
      <c r="BU47" s="922">
        <f t="shared" si="43"/>
        <v>4000000</v>
      </c>
      <c r="BV47" s="943" t="str">
        <f t="shared" si="39"/>
        <v/>
      </c>
      <c r="BW47" s="922" t="str">
        <f t="shared" si="40"/>
        <v/>
      </c>
      <c r="BY47" s="208">
        <f>ROUND(IF(A47="Dev",IF(AND(BK47&gt;general!$D$23,SUM($BZ$6:$BZ46)&lt;1,financing!$L$15&gt;BH46+BF47),financing!$L$16*(BK47-BK46)/360*(financing!$L$15-BH46-BF47),0),0),-2)</f>
        <v>100</v>
      </c>
      <c r="BZ47" s="909">
        <f>+IF(AND(BH47&gt;=financing!$L$15,SUM(BZ$6:BZ46)=0),1,0)</f>
        <v>0</v>
      </c>
      <c r="CA47" s="950">
        <f t="shared" ref="CA47:CA110" si="56">+BZ47*BK47</f>
        <v>0</v>
      </c>
      <c r="CD47" s="909">
        <f>SUM($S$6:S47)</f>
        <v>4000000</v>
      </c>
      <c r="CF47" s="208">
        <f>+IF(C47&lt;general!$C$22,0,IF(AND(C47=general!$C$22,OR(A47="Pred",A47="Dev")),SUM(S$6:S47),S47))</f>
        <v>0</v>
      </c>
    </row>
    <row r="48" spans="1:84" ht="16" outlineLevel="1">
      <c r="A48" s="906" t="str">
        <f>+'Development Cash Flow'!A48</f>
        <v>post dev</v>
      </c>
      <c r="B48" s="908"/>
      <c r="C48" s="944">
        <f>IF('Development Cash Flow'!D47&lt;general!$D$28,'Development Cash Flow'!C47+1,0)</f>
        <v>42</v>
      </c>
      <c r="D48" s="945">
        <f t="shared" si="23"/>
        <v>47542</v>
      </c>
      <c r="E48" s="945"/>
      <c r="F48" s="928">
        <f>'Development Cash Flow'!P48*D$4+SUM('Development Cash Flow'!Q48:T48)*F$4</f>
        <v>0</v>
      </c>
      <c r="G48" s="928">
        <f>'Development Cash Flow'!AL48-F48</f>
        <v>578408.8666666667</v>
      </c>
      <c r="H48" s="928"/>
      <c r="I48" s="928"/>
      <c r="J48" s="931">
        <f>+financing!$D$54/12*reserves!BD47</f>
        <v>0</v>
      </c>
      <c r="K48" s="928">
        <f>IF(C48=0,0,IF(C48=sales!$D$32,financing!$E$12*financing!$F$11,IF(OR(C48&gt;general!$C$27,C48&lt;sales!$D$32),0,IF((C48-sales!$D$32)/12=ROUND((C48-sales!$D$32)/12,0),financing!$E$12*financing!$F$11,0))))</f>
        <v>0</v>
      </c>
      <c r="L48" s="928"/>
      <c r="M48" s="928">
        <f t="shared" si="26"/>
        <v>578408.8666666667</v>
      </c>
      <c r="N48" s="946"/>
      <c r="O48" s="946">
        <f>IF(D48=general!$D$21,financing!$F$30,0)</f>
        <v>0</v>
      </c>
      <c r="P48" s="946">
        <f>+MIN(IF(D48&lt;=general!$D$24,SUM(F$6:F48)-SUM(P$6:P47),reserves!F48),AR47)</f>
        <v>0</v>
      </c>
      <c r="Q48" s="946">
        <f>+MAX(MIN(SUM(G$6:$G48)-R48,AN47,SUM(G$6:$G48)-SUM(Q$6:Q47)),0)</f>
        <v>0</v>
      </c>
      <c r="R48" s="946">
        <f>+IF(C48&gt;=sales!$D$36,'Development Cash Flow'!AL48,0)</f>
        <v>578408.8666666667</v>
      </c>
      <c r="S48" s="931">
        <f>IF(AND(A48=$A$5,C48&lt;financing!$D$55),M48-SUM(P48:R48,O48),MIN(M48-SUM(P48:R48,O48),financing!$F$10-SUM(S$5:S47)))</f>
        <v>0</v>
      </c>
      <c r="T48" s="931">
        <f>+MAX(MIN(IF(C48&gt;=financing!$D$55,M48-SUM(P48:S48)-J48,0),financing!$D$57-SUM(T$5:T47)),0)</f>
        <v>0</v>
      </c>
      <c r="U48" s="931">
        <f>+MAX(IF(C48&gt;=general!$C$23,M48-SUM(P48:T48),0)+IF(C48=general!$C$23,reserves!AZ47+AY48,0),0)</f>
        <v>0</v>
      </c>
      <c r="V48" s="946"/>
      <c r="W48" s="946">
        <f>SUMPRODUCT(--($C48=sales!$C$50:$C$54),sales!$F$50:$F$54)</f>
        <v>13659800</v>
      </c>
      <c r="X48" s="946">
        <f t="shared" si="44"/>
        <v>-1639176</v>
      </c>
      <c r="Y48" s="946">
        <f t="shared" si="31"/>
        <v>578408.8666666667</v>
      </c>
      <c r="Z48" s="946">
        <f t="shared" si="45"/>
        <v>11442215.133333333</v>
      </c>
      <c r="AA48" s="946"/>
      <c r="AB48" s="932" cm="1">
        <f t="array" ref="AB48">SUMPRODUCT(--(C48=sales!$D$22:$D$27),sales!$G$22:$G$27)</f>
        <v>0</v>
      </c>
      <c r="AC48" s="946"/>
      <c r="AD48" s="931">
        <f t="shared" si="32"/>
        <v>11442215.133333333</v>
      </c>
      <c r="AE48" s="932"/>
      <c r="AF48" s="932">
        <f t="shared" si="24"/>
        <v>0</v>
      </c>
      <c r="AG48" s="932">
        <f t="shared" si="25"/>
        <v>11442215.133333333</v>
      </c>
      <c r="AH48" s="931">
        <f t="shared" si="54"/>
        <v>0</v>
      </c>
      <c r="AI48" s="932"/>
      <c r="AJ48" s="931">
        <f t="shared" si="55"/>
        <v>0</v>
      </c>
      <c r="AK48" s="946"/>
      <c r="AL48" s="947">
        <f>+IF(financing!$C$12="YES",'Development Cash Flow'!M48,0)</f>
        <v>0</v>
      </c>
      <c r="AM48" s="947">
        <f t="shared" si="33"/>
        <v>0</v>
      </c>
      <c r="AN48" s="947">
        <f t="shared" si="46"/>
        <v>0</v>
      </c>
      <c r="AO48" s="946"/>
      <c r="AP48" s="947">
        <f>+SUM('Development Cash Flow'!G48:J48)-'Development Cash Flow'!M48</f>
        <v>0</v>
      </c>
      <c r="AQ48" s="947">
        <f t="shared" si="34"/>
        <v>0</v>
      </c>
      <c r="AR48" s="947">
        <f t="shared" si="47"/>
        <v>0</v>
      </c>
      <c r="AS48" s="946"/>
      <c r="AT48" s="947">
        <f t="shared" si="48"/>
        <v>27319600</v>
      </c>
      <c r="AU48" s="947">
        <f t="shared" si="49"/>
        <v>3278352</v>
      </c>
      <c r="AV48" s="948">
        <f t="shared" si="50"/>
        <v>0.12</v>
      </c>
      <c r="AW48" s="946"/>
      <c r="AX48" s="947">
        <f t="shared" si="35"/>
        <v>0</v>
      </c>
      <c r="AY48" s="947">
        <f>+AZ47*financing!$E$30/12</f>
        <v>0</v>
      </c>
      <c r="AZ48" s="947">
        <f t="shared" si="51"/>
        <v>0</v>
      </c>
      <c r="BA48" s="946"/>
      <c r="BB48" s="947">
        <f t="shared" si="36"/>
        <v>0</v>
      </c>
      <c r="BC48" s="947">
        <f>+IF(AND(BD47+BB48+MAX(BD47*financing!$E$15/12,financing!$D$59-SUM(reserves!BC$6:BC47)-SUM(J$6:J48))-reserves!AD48&lt;=0,financing!$D$58&gt;=0),MAX(BD47*financing!$E$15/12,financing!$D$59-SUM(reserves!BC$6:BC47)-SUM(J$6:J48)),BD47*financing!$E$15/12)</f>
        <v>0</v>
      </c>
      <c r="BD48" s="947">
        <f t="shared" si="17"/>
        <v>0</v>
      </c>
      <c r="BE48" s="946"/>
      <c r="BF48" s="947">
        <f t="shared" si="52"/>
        <v>0</v>
      </c>
      <c r="BG48" s="947">
        <f>+IF(AND(BH47+BF48+MAX((BH47*(LIBOR!AA49)*(D48-D47)/360)+BY48,financing!$C$16-SUM(reserves!BG$6:BG47))-reserves!AD48&lt;=0,financing!$L$17&gt;=0),MAX((BH47*(LIBOR!AA49)*(D48-D47)/360)+BY48,financing!$C$16-SUM(reserves!BG$6:BG47)),(BH47*(LIBOR!AA49)*(D48-D47)/360)+BY48)</f>
        <v>106500.33389596175</v>
      </c>
      <c r="BH48" s="947">
        <f t="shared" si="53"/>
        <v>571154.82868257537</v>
      </c>
      <c r="BI48" s="946"/>
      <c r="BJ48" s="937"/>
      <c r="BK48" s="938">
        <f t="shared" si="41"/>
        <v>47542</v>
      </c>
      <c r="BL48" s="939">
        <f>-S48+AJ48+AF48-AX48+AH48+AG48-BB48-BF48+'Development Cash Flow'!Y48</f>
        <v>11442215.133333333</v>
      </c>
      <c r="BM48" s="940"/>
      <c r="BN48" s="941">
        <f t="shared" si="37"/>
        <v>0</v>
      </c>
      <c r="BO48" s="940"/>
      <c r="BP48" s="942">
        <f t="shared" si="38"/>
        <v>0</v>
      </c>
      <c r="BS48" s="949" t="e">
        <f t="shared" si="42"/>
        <v>#DIV/0!</v>
      </c>
      <c r="BT48" s="922">
        <f>+IF(SUM(BT$5:BT47)&lt;1,IF(BU48=MAX($BU$6:$BU$54),1,0),0)</f>
        <v>0</v>
      </c>
      <c r="BU48" s="922">
        <f t="shared" si="43"/>
        <v>4000000</v>
      </c>
      <c r="BV48" s="943" t="str">
        <f t="shared" si="39"/>
        <v/>
      </c>
      <c r="BW48" s="922" t="str">
        <f t="shared" si="40"/>
        <v/>
      </c>
      <c r="BY48" s="208">
        <f>ROUND(IF(A48="Dev",IF(AND(BK48&gt;general!$D$23,SUM($BZ$6:$BZ47)&lt;1,financing!$L$15&gt;BH47+BF48),financing!$L$16*(BK48-BK47)/360*(financing!$L$15-BH47-BF48),0),0),-2)</f>
        <v>0</v>
      </c>
      <c r="BZ48" s="909">
        <f>+IF(AND(BH48&gt;=financing!$L$15,SUM(BZ$6:BZ47)=0),1,0)</f>
        <v>0</v>
      </c>
      <c r="CA48" s="950">
        <f t="shared" si="56"/>
        <v>0</v>
      </c>
      <c r="CB48" s="950"/>
      <c r="CD48" s="909">
        <f>SUM($S$6:S48)</f>
        <v>4000000</v>
      </c>
      <c r="CF48" s="208">
        <f>+IF(C48&lt;general!$C$22,0,IF(AND(C48=general!$C$22,OR(A48="Pred",A48="Dev")),SUM(S$6:S48),S48))</f>
        <v>0</v>
      </c>
    </row>
    <row r="49" spans="1:84" ht="16" outlineLevel="1">
      <c r="A49" s="906" t="str">
        <f>+'Development Cash Flow'!A49</f>
        <v>post dev</v>
      </c>
      <c r="B49" s="908"/>
      <c r="C49" s="944">
        <f>IF('Development Cash Flow'!D48&lt;general!$D$28,'Development Cash Flow'!C48+1,0)</f>
        <v>43</v>
      </c>
      <c r="D49" s="945">
        <f t="shared" si="23"/>
        <v>47573</v>
      </c>
      <c r="E49" s="945"/>
      <c r="F49" s="928">
        <f>'Development Cash Flow'!P49*D$4+SUM('Development Cash Flow'!Q49:T49)*F$4</f>
        <v>0</v>
      </c>
      <c r="G49" s="928">
        <f>'Development Cash Flow'!AL49-F49</f>
        <v>578408.8666666667</v>
      </c>
      <c r="H49" s="928"/>
      <c r="I49" s="928"/>
      <c r="J49" s="931">
        <f>+financing!$D$54/12*reserves!BD48</f>
        <v>0</v>
      </c>
      <c r="K49" s="928">
        <f>IF(C49=0,0,IF(C49=sales!$D$32,financing!$E$12*financing!$F$11,IF(OR(C49&gt;general!$C$27,C49&lt;sales!$D$32),0,IF((C49-sales!$D$32)/12=ROUND((C49-sales!$D$32)/12,0),financing!$E$12*financing!$F$11,0))))</f>
        <v>0</v>
      </c>
      <c r="L49" s="928"/>
      <c r="M49" s="928">
        <f t="shared" si="26"/>
        <v>578408.8666666667</v>
      </c>
      <c r="N49" s="946"/>
      <c r="O49" s="946">
        <f>IF(D49=general!$D$21,financing!$F$30,0)</f>
        <v>0</v>
      </c>
      <c r="P49" s="946">
        <f>+MIN(IF(D49&lt;=general!$D$24,SUM(F$6:F49)-SUM(P$6:P48),reserves!F49),AR48)</f>
        <v>0</v>
      </c>
      <c r="Q49" s="946">
        <f>+MAX(MIN(SUM(G$6:$G49)-R49,AN48,SUM(G$6:$G49)-SUM(Q$6:Q48)),0)</f>
        <v>0</v>
      </c>
      <c r="R49" s="946">
        <f>+IF(C49&gt;=sales!$D$36,'Development Cash Flow'!AL49,0)</f>
        <v>578408.8666666667</v>
      </c>
      <c r="S49" s="931">
        <f>IF(AND(A49=$A$5,C49&lt;financing!$D$55),M49-SUM(P49:R49,O49),MIN(M49-SUM(P49:R49,O49),financing!$F$10-SUM(S$5:S48)))</f>
        <v>0</v>
      </c>
      <c r="T49" s="931">
        <f>+MAX(MIN(IF(C49&gt;=financing!$D$55,M49-SUM(P49:S49)-J49,0),financing!$D$57-SUM(T$5:T48)),0)</f>
        <v>0</v>
      </c>
      <c r="U49" s="931">
        <f>+MAX(IF(C49&gt;=general!$C$23,M49-SUM(P49:T49),0)+IF(C49=general!$C$23,reserves!AZ48+AY49,0),0)</f>
        <v>0</v>
      </c>
      <c r="V49" s="946"/>
      <c r="W49" s="946">
        <f>SUMPRODUCT(--($C49=sales!$C$50:$C$54),sales!$F$50:$F$54)</f>
        <v>8195879.9999999991</v>
      </c>
      <c r="X49" s="946">
        <f t="shared" si="44"/>
        <v>-983505.59999999986</v>
      </c>
      <c r="Y49" s="946">
        <f t="shared" si="31"/>
        <v>578408.8666666667</v>
      </c>
      <c r="Z49" s="946">
        <f t="shared" si="45"/>
        <v>6633965.5333333332</v>
      </c>
      <c r="AA49" s="946"/>
      <c r="AB49" s="932" cm="1">
        <f t="array" ref="AB49">SUMPRODUCT(--(C49=sales!$D$22:$D$27),sales!$G$22:$G$27)</f>
        <v>0</v>
      </c>
      <c r="AC49" s="946"/>
      <c r="AD49" s="931">
        <f t="shared" si="32"/>
        <v>6633965.5333333332</v>
      </c>
      <c r="AE49" s="932"/>
      <c r="AF49" s="932">
        <f t="shared" si="24"/>
        <v>0</v>
      </c>
      <c r="AG49" s="932">
        <f t="shared" si="25"/>
        <v>576810.84802772361</v>
      </c>
      <c r="AH49" s="931">
        <f t="shared" si="54"/>
        <v>0</v>
      </c>
      <c r="AI49" s="932"/>
      <c r="AJ49" s="931">
        <f t="shared" si="55"/>
        <v>6057154.6853056094</v>
      </c>
      <c r="AK49" s="946"/>
      <c r="AL49" s="947">
        <f>+IF(financing!$C$12="YES",'Development Cash Flow'!M49,0)</f>
        <v>0</v>
      </c>
      <c r="AM49" s="947">
        <f t="shared" si="33"/>
        <v>0</v>
      </c>
      <c r="AN49" s="947">
        <f t="shared" si="46"/>
        <v>0</v>
      </c>
      <c r="AO49" s="946"/>
      <c r="AP49" s="947">
        <f>+SUM('Development Cash Flow'!G49:J49)-'Development Cash Flow'!M49</f>
        <v>0</v>
      </c>
      <c r="AQ49" s="947">
        <f t="shared" si="34"/>
        <v>0</v>
      </c>
      <c r="AR49" s="947">
        <f t="shared" si="47"/>
        <v>0</v>
      </c>
      <c r="AS49" s="946"/>
      <c r="AT49" s="947">
        <f t="shared" si="48"/>
        <v>13659800</v>
      </c>
      <c r="AU49" s="947">
        <f t="shared" si="49"/>
        <v>1639176</v>
      </c>
      <c r="AV49" s="948">
        <f t="shared" si="50"/>
        <v>0.12</v>
      </c>
      <c r="AW49" s="946"/>
      <c r="AX49" s="947">
        <f t="shared" si="35"/>
        <v>0</v>
      </c>
      <c r="AY49" s="947">
        <f>+AZ48*financing!$E$30/12</f>
        <v>0</v>
      </c>
      <c r="AZ49" s="947">
        <f t="shared" si="51"/>
        <v>0</v>
      </c>
      <c r="BA49" s="946"/>
      <c r="BB49" s="947">
        <f t="shared" si="36"/>
        <v>0</v>
      </c>
      <c r="BC49" s="947">
        <f>+IF(AND(BD48+BB49+MAX(BD48*financing!$E$15/12,financing!$D$59-SUM(reserves!BC$6:BC48)-SUM(J$6:J49))-reserves!AD49&lt;=0,financing!$D$58&gt;=0),MAX(BD48*financing!$E$15/12,financing!$D$59-SUM(reserves!BC$6:BC48)-SUM(J$6:J49)),BD48*financing!$E$15/12)</f>
        <v>0</v>
      </c>
      <c r="BD49" s="947">
        <f t="shared" si="17"/>
        <v>0</v>
      </c>
      <c r="BE49" s="946"/>
      <c r="BF49" s="947">
        <f t="shared" si="52"/>
        <v>0</v>
      </c>
      <c r="BG49" s="947">
        <f>+IF(AND(BH48+BF49+MAX((BH48*(LIBOR!AA50)*(D49-D48)/360)+BY49,financing!$C$16-SUM(reserves!BG$6:BG48))-reserves!AD49&lt;=0,financing!$L$17&gt;=0),MAX((BH48*(LIBOR!AA50)*(D49-D48)/360)+BY49,financing!$C$16-SUM(reserves!BG$6:BG48)),(BH48*(LIBOR!AA50)*(D49-D48)/360)+BY49)</f>
        <v>5656.019345148281</v>
      </c>
      <c r="BH49" s="947">
        <f t="shared" si="53"/>
        <v>0</v>
      </c>
      <c r="BI49" s="946"/>
      <c r="BJ49" s="937"/>
      <c r="BK49" s="938">
        <f t="shared" si="41"/>
        <v>47573</v>
      </c>
      <c r="BL49" s="939">
        <f>-S49+AJ49+AF49-AX49+AH49+AG49-BB49-BF49+'Development Cash Flow'!Y49</f>
        <v>6633965.5333333332</v>
      </c>
      <c r="BM49" s="940"/>
      <c r="BN49" s="941">
        <f t="shared" si="37"/>
        <v>6057154.6853056094</v>
      </c>
      <c r="BO49" s="940"/>
      <c r="BP49" s="942">
        <f t="shared" si="38"/>
        <v>0</v>
      </c>
      <c r="BS49" s="949" t="e">
        <f t="shared" si="42"/>
        <v>#DIV/0!</v>
      </c>
      <c r="BT49" s="922">
        <f>+IF(SUM(BT$5:BT48)&lt;1,IF(BU49=MAX($BU$6:$BU$54),1,0),0)</f>
        <v>0</v>
      </c>
      <c r="BU49" s="922">
        <f t="shared" si="43"/>
        <v>4000000</v>
      </c>
      <c r="BV49" s="943" t="str">
        <f t="shared" si="39"/>
        <v/>
      </c>
      <c r="BW49" s="922" t="str">
        <f t="shared" si="40"/>
        <v/>
      </c>
      <c r="BY49" s="208">
        <f>ROUND(IF(A49="Dev",IF(AND(BK49&gt;general!$D$23,SUM($BZ$6:$BZ48)&lt;1,financing!$L$15&gt;BH48+BF49),financing!$L$16*(BK49-BK48)/360*(financing!$L$15-BH48-BF49),0),0),-2)</f>
        <v>0</v>
      </c>
      <c r="BZ49" s="909">
        <f>+IF(AND(BH49&gt;=financing!$L$15,SUM(BZ$6:BZ48)=0),1,0)</f>
        <v>0</v>
      </c>
      <c r="CA49" s="950">
        <f t="shared" si="56"/>
        <v>0</v>
      </c>
      <c r="CD49" s="909">
        <f>SUM($S$6:S49)</f>
        <v>4000000</v>
      </c>
      <c r="CF49" s="208">
        <f>+IF(C49&lt;general!$C$22,0,IF(AND(C49=general!$C$22,OR(A49="Pred",A49="Dev")),SUM(S$6:S49),S49))</f>
        <v>0</v>
      </c>
    </row>
    <row r="50" spans="1:84" ht="16" outlineLevel="1">
      <c r="A50" s="906" t="str">
        <f>+'Development Cash Flow'!A50</f>
        <v>post dev</v>
      </c>
      <c r="B50" s="908"/>
      <c r="C50" s="944">
        <f>IF('Development Cash Flow'!D49&lt;general!$D$28,'Development Cash Flow'!C49+1,0)</f>
        <v>44</v>
      </c>
      <c r="D50" s="945">
        <f t="shared" si="23"/>
        <v>47603</v>
      </c>
      <c r="E50" s="945"/>
      <c r="F50" s="928">
        <f>'Development Cash Flow'!P50*D$4+SUM('Development Cash Flow'!Q50:T50)*F$4</f>
        <v>0</v>
      </c>
      <c r="G50" s="928">
        <f>'Development Cash Flow'!AL50-F50</f>
        <v>628408.8666666667</v>
      </c>
      <c r="H50" s="928"/>
      <c r="I50" s="928"/>
      <c r="J50" s="931">
        <f>+financing!$D$54/12*reserves!BD49</f>
        <v>0</v>
      </c>
      <c r="K50" s="928">
        <f>IF(C50=0,0,IF(C50=sales!$D$32,financing!$E$12*financing!$F$11,IF(OR(C50&gt;general!$C$27,C50&lt;sales!$D$32),0,IF((C50-sales!$D$32)/12=ROUND((C50-sales!$D$32)/12,0),financing!$E$12*financing!$F$11,0))))</f>
        <v>0</v>
      </c>
      <c r="L50" s="928"/>
      <c r="M50" s="928">
        <f t="shared" si="26"/>
        <v>628408.8666666667</v>
      </c>
      <c r="N50" s="946"/>
      <c r="O50" s="946">
        <f>IF(D50=general!$D$21,financing!$F$30,0)</f>
        <v>0</v>
      </c>
      <c r="P50" s="946">
        <f>+MIN(IF(D50&lt;=general!$D$24,SUM(F$6:F50)-SUM(P$6:P49),reserves!F50),AR49)</f>
        <v>0</v>
      </c>
      <c r="Q50" s="946">
        <f>+MAX(MIN(SUM(G$6:$G50)-R50,AN49,SUM(G$6:$G50)-SUM(Q$6:Q49)),0)</f>
        <v>0</v>
      </c>
      <c r="R50" s="946">
        <f>+IF(C50&gt;=sales!$D$36,'Development Cash Flow'!AL50,0)</f>
        <v>628408.8666666667</v>
      </c>
      <c r="S50" s="931">
        <f>IF(AND(A50=$A$5,C50&lt;financing!$D$55),M50-SUM(P50:R50,O50),MIN(M50-SUM(P50:R50,O50),financing!$F$10-SUM(S$5:S49)))</f>
        <v>0</v>
      </c>
      <c r="T50" s="931">
        <f>+MAX(MIN(IF(C50&gt;=financing!$D$55,M50-SUM(P50:S50)-J50,0),financing!$D$57-SUM(T$5:T49)),0)</f>
        <v>0</v>
      </c>
      <c r="U50" s="931">
        <f>+MAX(IF(C50&gt;=general!$C$23,M50-SUM(P50:T50),0)+IF(C50=general!$C$23,reserves!AZ49+AY50,0),0)</f>
        <v>0</v>
      </c>
      <c r="V50" s="946"/>
      <c r="W50" s="946">
        <f>SUMPRODUCT(--($C50=sales!$C$50:$C$54),sales!$F$50:$F$54)</f>
        <v>5463920.0000000009</v>
      </c>
      <c r="X50" s="946">
        <f t="shared" si="44"/>
        <v>-655670.40000000014</v>
      </c>
      <c r="Y50" s="946">
        <f t="shared" si="31"/>
        <v>628408.8666666667</v>
      </c>
      <c r="Z50" s="946">
        <f t="shared" si="45"/>
        <v>4179840.7333333339</v>
      </c>
      <c r="AA50" s="946"/>
      <c r="AB50" s="932" cm="1">
        <f t="array" ref="AB50">SUMPRODUCT(--(C50=sales!$D$22:$D$27),sales!$G$22:$G$27)</f>
        <v>0</v>
      </c>
      <c r="AC50" s="946"/>
      <c r="AD50" s="931">
        <f t="shared" si="32"/>
        <v>4179840.7333333339</v>
      </c>
      <c r="AE50" s="932"/>
      <c r="AF50" s="932">
        <f t="shared" si="24"/>
        <v>0</v>
      </c>
      <c r="AG50" s="932">
        <f t="shared" si="25"/>
        <v>0</v>
      </c>
      <c r="AH50" s="931">
        <f t="shared" si="54"/>
        <v>0</v>
      </c>
      <c r="AI50" s="932"/>
      <c r="AJ50" s="931">
        <f t="shared" si="55"/>
        <v>4179840.7333333339</v>
      </c>
      <c r="AK50" s="946"/>
      <c r="AL50" s="947">
        <f>+IF(financing!$C$12="YES",'Development Cash Flow'!M50,0)</f>
        <v>0</v>
      </c>
      <c r="AM50" s="947">
        <f t="shared" si="33"/>
        <v>0</v>
      </c>
      <c r="AN50" s="947">
        <f t="shared" si="46"/>
        <v>0</v>
      </c>
      <c r="AO50" s="946"/>
      <c r="AP50" s="947">
        <f>+SUM('Development Cash Flow'!G50:J50)-'Development Cash Flow'!M50</f>
        <v>0</v>
      </c>
      <c r="AQ50" s="947">
        <f t="shared" si="34"/>
        <v>0</v>
      </c>
      <c r="AR50" s="947">
        <f t="shared" si="47"/>
        <v>0</v>
      </c>
      <c r="AS50" s="946"/>
      <c r="AT50" s="947">
        <f t="shared" si="48"/>
        <v>5463920.0000000009</v>
      </c>
      <c r="AU50" s="947">
        <f t="shared" si="49"/>
        <v>655670.40000000014</v>
      </c>
      <c r="AV50" s="948">
        <f t="shared" si="50"/>
        <v>0.12000000000000001</v>
      </c>
      <c r="AW50" s="946"/>
      <c r="AX50" s="947">
        <f t="shared" si="35"/>
        <v>0</v>
      </c>
      <c r="AY50" s="947">
        <f>+AZ49*financing!$E$30/12</f>
        <v>0</v>
      </c>
      <c r="AZ50" s="947">
        <f t="shared" si="51"/>
        <v>0</v>
      </c>
      <c r="BA50" s="946"/>
      <c r="BB50" s="947">
        <f t="shared" si="36"/>
        <v>0</v>
      </c>
      <c r="BC50" s="947">
        <f>+IF(AND(BD49+BB50+MAX(BD49*financing!$E$15/12,financing!$D$59-SUM(reserves!BC$6:BC49)-SUM(J$6:J50))-reserves!AD50&lt;=0,financing!$D$58&gt;=0),MAX(BD49*financing!$E$15/12,financing!$D$59-SUM(reserves!BC$6:BC49)-SUM(J$6:J50)),BD49*financing!$E$15/12)</f>
        <v>0</v>
      </c>
      <c r="BD50" s="947">
        <f t="shared" si="17"/>
        <v>0</v>
      </c>
      <c r="BE50" s="946"/>
      <c r="BF50" s="947">
        <f t="shared" si="52"/>
        <v>0</v>
      </c>
      <c r="BG50" s="947">
        <f>+IF(AND(BH49+BF50+MAX((BH49*(LIBOR!AA51)*(D50-D49)/360)+BY50,financing!$C$16-SUM(reserves!BG$6:BG49))-reserves!AD50&lt;=0,financing!$L$17&gt;=0),MAX((BH49*(LIBOR!AA51)*(D50-D49)/360)+BY50,financing!$C$16-SUM(reserves!BG$6:BG49)),(BH49*(LIBOR!AA51)*(D50-D49)/360)+BY50)</f>
        <v>0</v>
      </c>
      <c r="BH50" s="947">
        <f t="shared" si="53"/>
        <v>0</v>
      </c>
      <c r="BI50" s="946"/>
      <c r="BJ50" s="937"/>
      <c r="BK50" s="938">
        <f t="shared" si="41"/>
        <v>47603</v>
      </c>
      <c r="BL50" s="939">
        <f>-S50+AJ50+AF50-AX50+AH50+AG50-BB50-BF50+'Development Cash Flow'!Y50</f>
        <v>4179840.7333333339</v>
      </c>
      <c r="BM50" s="940"/>
      <c r="BN50" s="941">
        <f t="shared" si="37"/>
        <v>4179840.7333333339</v>
      </c>
      <c r="BO50" s="940"/>
      <c r="BP50" s="942">
        <f t="shared" si="38"/>
        <v>0</v>
      </c>
      <c r="BS50" s="949" t="e">
        <f t="shared" si="42"/>
        <v>#DIV/0!</v>
      </c>
      <c r="BT50" s="922">
        <f>+IF(SUM(BT$5:BT49)&lt;1,IF(BU50=MAX($BU$6:$BU$54),1,0),0)</f>
        <v>0</v>
      </c>
      <c r="BU50" s="922">
        <f t="shared" si="43"/>
        <v>4000000</v>
      </c>
      <c r="BV50" s="943" t="str">
        <f t="shared" si="39"/>
        <v/>
      </c>
      <c r="BW50" s="922" t="str">
        <f t="shared" si="40"/>
        <v/>
      </c>
      <c r="BY50" s="208">
        <f>ROUND(IF(A50="Dev",IF(AND(BK50&gt;general!$D$23,SUM($BZ$6:$BZ49)&lt;1,financing!$L$15&gt;BH49+BF50),financing!$L$16*(BK50-BK49)/360*(financing!$L$15-BH49-BF50),0),0),-2)</f>
        <v>0</v>
      </c>
      <c r="BZ50" s="909">
        <f>+IF(AND(BH50&gt;=financing!$L$15,SUM(BZ$6:BZ49)=0),1,0)</f>
        <v>0</v>
      </c>
      <c r="CA50" s="950">
        <f t="shared" si="56"/>
        <v>0</v>
      </c>
      <c r="CD50" s="909">
        <f>SUM($S$6:S50)</f>
        <v>4000000</v>
      </c>
      <c r="CF50" s="208">
        <f>+IF(C50&lt;general!$C$22,0,IF(AND(C50=general!$C$22,OR(A50="Pred",A50="Dev")),SUM(S$6:S50),S50))</f>
        <v>0</v>
      </c>
    </row>
    <row r="51" spans="1:84" ht="16" outlineLevel="1">
      <c r="A51" s="906" t="str">
        <f>+'Development Cash Flow'!A51</f>
        <v>post dev</v>
      </c>
      <c r="B51" s="908"/>
      <c r="C51" s="944">
        <f>IF('Development Cash Flow'!D50&lt;general!$D$28,'Development Cash Flow'!C50+1,0)</f>
        <v>0</v>
      </c>
      <c r="D51" s="945">
        <f t="shared" si="23"/>
        <v>47634</v>
      </c>
      <c r="E51" s="945"/>
      <c r="F51" s="928">
        <f>'Development Cash Flow'!P51*D$4+SUM('Development Cash Flow'!Q51:T51)*F$4</f>
        <v>0</v>
      </c>
      <c r="G51" s="928">
        <f>'Development Cash Flow'!AL51-F51</f>
        <v>0</v>
      </c>
      <c r="H51" s="928"/>
      <c r="I51" s="928"/>
      <c r="J51" s="931">
        <f>+financing!$D$54/12*reserves!BD50</f>
        <v>0</v>
      </c>
      <c r="K51" s="928">
        <f>IF(C51=0,0,IF(C51=sales!$D$32,financing!$E$12*financing!$F$11,IF(OR(C51&gt;general!$C$27,C51&lt;sales!$D$32),0,IF((C51-sales!$D$32)/12=ROUND((C51-sales!$D$32)/12,0),financing!$E$12*financing!$F$11,0))))</f>
        <v>0</v>
      </c>
      <c r="L51" s="928"/>
      <c r="M51" s="928">
        <f t="shared" si="26"/>
        <v>0</v>
      </c>
      <c r="N51" s="946"/>
      <c r="O51" s="946">
        <f>IF(D51=general!$D$21,financing!$F$30,0)</f>
        <v>0</v>
      </c>
      <c r="P51" s="946">
        <f>+MIN(IF(D51&lt;=general!$D$24,SUM(F$6:F51)-SUM(P$6:P50),reserves!F51),AR50)</f>
        <v>0</v>
      </c>
      <c r="Q51" s="946">
        <f>+MAX(MIN(SUM(G$6:$G51)-R51,AN50,SUM(G$6:$G51)-SUM(Q$6:Q50)),0)</f>
        <v>0</v>
      </c>
      <c r="R51" s="946">
        <f>+IF(C51&gt;=sales!$D$36,'Development Cash Flow'!AL51,0)</f>
        <v>0</v>
      </c>
      <c r="S51" s="931">
        <f>IF(AND(A51=$A$5,C51&lt;financing!$D$55),M51-SUM(P51:R51,O51),MIN(M51-SUM(P51:R51,O51),financing!$F$10-SUM(S$5:S50)))</f>
        <v>0</v>
      </c>
      <c r="T51" s="931">
        <f>+MAX(MIN(IF(C51&gt;=financing!$D$55,M51-SUM(P51:S51)-J51,0),financing!$D$57-SUM(T$5:T50)),0)</f>
        <v>0</v>
      </c>
      <c r="U51" s="931">
        <f>+MAX(IF(C51&gt;=general!$C$23,M51-SUM(P51:T51),0)+IF(C51=general!$C$23,reserves!AZ50+AY51,0),0)</f>
        <v>0</v>
      </c>
      <c r="V51" s="946"/>
      <c r="W51" s="946">
        <f>SUMPRODUCT(--($C51=sales!$C$50:$C$54),sales!$F$50:$F$54)</f>
        <v>0</v>
      </c>
      <c r="X51" s="946">
        <f t="shared" si="44"/>
        <v>0</v>
      </c>
      <c r="Y51" s="946">
        <f t="shared" si="31"/>
        <v>0</v>
      </c>
      <c r="Z51" s="946">
        <f t="shared" si="45"/>
        <v>0</v>
      </c>
      <c r="AA51" s="946"/>
      <c r="AB51" s="932" cm="1">
        <f t="array" ref="AB51">SUMPRODUCT(--(C51=sales!$D$22:$D$27),sales!$G$22:$G$27)</f>
        <v>0</v>
      </c>
      <c r="AC51" s="946"/>
      <c r="AD51" s="931">
        <f t="shared" si="32"/>
        <v>0</v>
      </c>
      <c r="AE51" s="932"/>
      <c r="AF51" s="932">
        <f t="shared" si="24"/>
        <v>0</v>
      </c>
      <c r="AG51" s="932">
        <f t="shared" si="25"/>
        <v>0</v>
      </c>
      <c r="AH51" s="931">
        <f t="shared" si="54"/>
        <v>0</v>
      </c>
      <c r="AI51" s="932"/>
      <c r="AJ51" s="931">
        <f t="shared" si="55"/>
        <v>0</v>
      </c>
      <c r="AK51" s="946"/>
      <c r="AL51" s="947">
        <f>+IF(financing!$C$12="YES",'Development Cash Flow'!M51,0)</f>
        <v>0</v>
      </c>
      <c r="AM51" s="947">
        <f t="shared" si="33"/>
        <v>0</v>
      </c>
      <c r="AN51" s="947">
        <f t="shared" si="46"/>
        <v>0</v>
      </c>
      <c r="AO51" s="946"/>
      <c r="AP51" s="947">
        <f>+SUM('Development Cash Flow'!G51:J51)-'Development Cash Flow'!M51</f>
        <v>0</v>
      </c>
      <c r="AQ51" s="947">
        <f t="shared" si="34"/>
        <v>0</v>
      </c>
      <c r="AR51" s="947">
        <f t="shared" si="47"/>
        <v>0</v>
      </c>
      <c r="AS51" s="946"/>
      <c r="AT51" s="947">
        <f t="shared" si="48"/>
        <v>0</v>
      </c>
      <c r="AU51" s="947">
        <f t="shared" si="49"/>
        <v>0</v>
      </c>
      <c r="AV51" s="948">
        <f t="shared" si="50"/>
        <v>0</v>
      </c>
      <c r="AW51" s="946"/>
      <c r="AX51" s="947">
        <f t="shared" si="35"/>
        <v>0</v>
      </c>
      <c r="AY51" s="947">
        <f>+AZ50*financing!$E$30/12</f>
        <v>0</v>
      </c>
      <c r="AZ51" s="947">
        <f t="shared" si="51"/>
        <v>0</v>
      </c>
      <c r="BA51" s="946"/>
      <c r="BB51" s="947">
        <f t="shared" si="36"/>
        <v>0</v>
      </c>
      <c r="BC51" s="947">
        <f>+IF(AND(BD50+BB51+MAX(BD50*financing!$E$15/12,financing!$D$59-SUM(reserves!BC$6:BC50)-SUM(J$6:J51))-reserves!AD51&lt;=0,financing!$D$58&gt;=0),MAX(BD50*financing!$E$15/12,financing!$D$59-SUM(reserves!BC$6:BC50)-SUM(J$6:J51)),BD50*financing!$E$15/12)</f>
        <v>0</v>
      </c>
      <c r="BD51" s="947">
        <f t="shared" si="17"/>
        <v>0</v>
      </c>
      <c r="BE51" s="946"/>
      <c r="BF51" s="947">
        <f t="shared" si="52"/>
        <v>0</v>
      </c>
      <c r="BG51" s="947">
        <f>+IF(AND(BH50+BF51+MAX((BH50*(LIBOR!AA52)*(D51-D50)/360)+BY51,financing!$C$16-SUM(reserves!BG$6:BG50))-reserves!AD51&lt;=0,financing!$L$17&gt;=0),MAX((BH50*(LIBOR!AA52)*(D51-D50)/360)+BY51,financing!$C$16-SUM(reserves!BG$6:BG50)),(BH50*(LIBOR!AA52)*(D51-D50)/360)+BY51)</f>
        <v>0</v>
      </c>
      <c r="BH51" s="947">
        <f t="shared" si="53"/>
        <v>0</v>
      </c>
      <c r="BI51" s="946"/>
      <c r="BJ51" s="937"/>
      <c r="BK51" s="938">
        <f t="shared" si="41"/>
        <v>0</v>
      </c>
      <c r="BL51" s="939">
        <f>-S51+AJ51+AF51-AX51+AH51+AG51-BB51-BF51+'Development Cash Flow'!Y51</f>
        <v>0</v>
      </c>
      <c r="BM51" s="940"/>
      <c r="BN51" s="941">
        <f t="shared" si="37"/>
        <v>0</v>
      </c>
      <c r="BO51" s="940"/>
      <c r="BP51" s="942">
        <f t="shared" si="38"/>
        <v>0</v>
      </c>
      <c r="BS51" s="949" t="e">
        <f t="shared" si="42"/>
        <v>#DIV/0!</v>
      </c>
      <c r="BT51" s="922">
        <f>+IF(SUM(BT$5:BT50)&lt;1,IF(BU51=MAX($BU$6:$BU$54),1,0),0)</f>
        <v>0</v>
      </c>
      <c r="BU51" s="922">
        <f t="shared" si="43"/>
        <v>4000000</v>
      </c>
      <c r="BV51" s="943" t="str">
        <f t="shared" si="39"/>
        <v/>
      </c>
      <c r="BW51" s="922" t="str">
        <f t="shared" si="40"/>
        <v/>
      </c>
      <c r="BY51" s="208">
        <f>ROUND(IF(A51="Dev",IF(AND(BK51&gt;general!$D$23,SUM($BZ$6:$BZ50)&lt;1,financing!$L$15&gt;BH50+BF51),financing!$L$16*(BK51-BK50)/360*(financing!$L$15-BH50-BF51),0),0),-2)</f>
        <v>0</v>
      </c>
      <c r="BZ51" s="909">
        <f>+IF(AND(BH51&gt;=financing!$L$15,SUM(BZ$6:BZ50)=0),1,0)</f>
        <v>0</v>
      </c>
      <c r="CA51" s="950">
        <f t="shared" si="56"/>
        <v>0</v>
      </c>
      <c r="CD51" s="909">
        <f>SUM($S$6:S51)</f>
        <v>4000000</v>
      </c>
      <c r="CF51" s="208">
        <f>+IF(C51&lt;general!$C$22,0,IF(AND(C51=general!$C$22,OR(A51="Pred",A51="Dev")),SUM(S$6:S51),S51))</f>
        <v>0</v>
      </c>
    </row>
    <row r="52" spans="1:84" ht="16" outlineLevel="1">
      <c r="A52" s="906" t="str">
        <f>+'Development Cash Flow'!A52</f>
        <v>post dev</v>
      </c>
      <c r="B52" s="908"/>
      <c r="C52" s="944">
        <f>IF('Development Cash Flow'!D51&lt;general!$D$28,'Development Cash Flow'!C51+1,0)</f>
        <v>0</v>
      </c>
      <c r="D52" s="945">
        <f t="shared" si="23"/>
        <v>47664</v>
      </c>
      <c r="E52" s="945"/>
      <c r="F52" s="928">
        <f>'Development Cash Flow'!P52*D$4+SUM('Development Cash Flow'!Q52:T52)*F$4</f>
        <v>0</v>
      </c>
      <c r="G52" s="928">
        <f>'Development Cash Flow'!AL52-F52</f>
        <v>0</v>
      </c>
      <c r="H52" s="928"/>
      <c r="I52" s="928"/>
      <c r="J52" s="931">
        <f>+financing!$D$54/12*reserves!BD51</f>
        <v>0</v>
      </c>
      <c r="K52" s="928">
        <f>IF(C52=0,0,IF(C52=sales!$D$32,financing!$E$12*financing!$F$11,IF(OR(C52&gt;general!$C$27,C52&lt;sales!$D$32),0,IF((C52-sales!$D$32)/12=ROUND((C52-sales!$D$32)/12,0),financing!$E$12*financing!$F$11,0))))</f>
        <v>0</v>
      </c>
      <c r="L52" s="928"/>
      <c r="M52" s="928">
        <f t="shared" si="26"/>
        <v>0</v>
      </c>
      <c r="N52" s="946"/>
      <c r="O52" s="946">
        <f>IF(D52=general!$D$21,financing!$F$30,0)</f>
        <v>0</v>
      </c>
      <c r="P52" s="946">
        <f>+MIN(IF(D52&lt;=general!$D$24,SUM(F$6:F52)-SUM(P$6:P51),reserves!F52),AR51)</f>
        <v>0</v>
      </c>
      <c r="Q52" s="946">
        <f>+MAX(MIN(SUM(G$6:$G52)-R52,AN51,SUM(G$6:$G52)-SUM(Q$6:Q51)),0)</f>
        <v>0</v>
      </c>
      <c r="R52" s="946">
        <f>+IF(C52&gt;=sales!$D$36,'Development Cash Flow'!AL52,0)</f>
        <v>0</v>
      </c>
      <c r="S52" s="931">
        <f>IF(AND(A52=$A$5,C52&lt;financing!$D$55),M52-SUM(P52:R52,O52),MIN(M52-SUM(P52:R52,O52),financing!$F$10-SUM(S$5:S51)))</f>
        <v>0</v>
      </c>
      <c r="T52" s="931">
        <f>+MAX(MIN(IF(C52&gt;=financing!$D$55,M52-SUM(P52:S52)-J52,0),financing!$D$57-SUM(T$5:T51)),0)</f>
        <v>0</v>
      </c>
      <c r="U52" s="931">
        <f>+MAX(IF(C52&gt;=general!$C$23,M52-SUM(P52:T52),0)+IF(C52=general!$C$23,reserves!AZ51+AY52,0),0)</f>
        <v>0</v>
      </c>
      <c r="V52" s="946"/>
      <c r="W52" s="946">
        <f>SUMPRODUCT(--($C52=sales!$C$50:$C$54),sales!$F$50:$F$54)</f>
        <v>0</v>
      </c>
      <c r="X52" s="946">
        <f t="shared" si="44"/>
        <v>0</v>
      </c>
      <c r="Y52" s="946">
        <f t="shared" si="31"/>
        <v>0</v>
      </c>
      <c r="Z52" s="946">
        <f t="shared" si="45"/>
        <v>0</v>
      </c>
      <c r="AA52" s="946"/>
      <c r="AB52" s="932" cm="1">
        <f t="array" ref="AB52">SUMPRODUCT(--(C52=sales!$D$22:$D$27),sales!$G$22:$G$27)</f>
        <v>0</v>
      </c>
      <c r="AC52" s="946"/>
      <c r="AD52" s="931">
        <f t="shared" si="32"/>
        <v>0</v>
      </c>
      <c r="AE52" s="932"/>
      <c r="AF52" s="932">
        <f t="shared" si="24"/>
        <v>0</v>
      </c>
      <c r="AG52" s="932">
        <f t="shared" si="25"/>
        <v>0</v>
      </c>
      <c r="AH52" s="931">
        <f t="shared" si="54"/>
        <v>0</v>
      </c>
      <c r="AI52" s="932"/>
      <c r="AJ52" s="931">
        <f t="shared" si="55"/>
        <v>0</v>
      </c>
      <c r="AK52" s="946"/>
      <c r="AL52" s="947">
        <f>+IF(financing!$C$12="YES",'Development Cash Flow'!M52,0)</f>
        <v>0</v>
      </c>
      <c r="AM52" s="947">
        <f t="shared" si="33"/>
        <v>0</v>
      </c>
      <c r="AN52" s="947">
        <f t="shared" si="46"/>
        <v>0</v>
      </c>
      <c r="AO52" s="946"/>
      <c r="AP52" s="947">
        <f>+SUM('Development Cash Flow'!G52:J52)-'Development Cash Flow'!M52</f>
        <v>0</v>
      </c>
      <c r="AQ52" s="947">
        <f t="shared" si="34"/>
        <v>0</v>
      </c>
      <c r="AR52" s="947">
        <f t="shared" si="47"/>
        <v>0</v>
      </c>
      <c r="AS52" s="946"/>
      <c r="AT52" s="947">
        <f t="shared" si="48"/>
        <v>0</v>
      </c>
      <c r="AU52" s="947">
        <f t="shared" si="49"/>
        <v>0</v>
      </c>
      <c r="AV52" s="948">
        <f t="shared" si="50"/>
        <v>0</v>
      </c>
      <c r="AW52" s="946"/>
      <c r="AX52" s="947">
        <f t="shared" si="35"/>
        <v>0</v>
      </c>
      <c r="AY52" s="947">
        <f>+AZ51*financing!$E$30/12</f>
        <v>0</v>
      </c>
      <c r="AZ52" s="947">
        <f t="shared" si="51"/>
        <v>0</v>
      </c>
      <c r="BA52" s="946"/>
      <c r="BB52" s="947">
        <f t="shared" si="36"/>
        <v>0</v>
      </c>
      <c r="BC52" s="947">
        <f>+IF(AND(BD51+BB52+MAX(BD51*financing!$E$15/12,financing!$D$59-SUM(reserves!BC$6:BC51)-SUM(J$6:J52))-reserves!AD52&lt;=0,financing!$D$58&gt;=0),MAX(BD51*financing!$E$15/12,financing!$D$59-SUM(reserves!BC$6:BC51)-SUM(J$6:J52)),BD51*financing!$E$15/12)</f>
        <v>0</v>
      </c>
      <c r="BD52" s="947">
        <f t="shared" si="17"/>
        <v>0</v>
      </c>
      <c r="BE52" s="946"/>
      <c r="BF52" s="947">
        <f t="shared" si="52"/>
        <v>0</v>
      </c>
      <c r="BG52" s="947">
        <f>+IF(AND(BH51+BF52+MAX((BH51*(LIBOR!AA53)*(D52-D51)/360)+BY52,financing!$C$16-SUM(reserves!BG$6:BG51))-reserves!AD52&lt;=0,financing!$L$17&gt;=0),MAX((BH51*(LIBOR!AA53)*(D52-D51)/360)+BY52,financing!$C$16-SUM(reserves!BG$6:BG51)),(BH51*(LIBOR!AA53)*(D52-D51)/360)+BY52)</f>
        <v>0</v>
      </c>
      <c r="BH52" s="947">
        <f t="shared" si="53"/>
        <v>0</v>
      </c>
      <c r="BI52" s="946"/>
      <c r="BJ52" s="937"/>
      <c r="BK52" s="938">
        <f t="shared" si="41"/>
        <v>0</v>
      </c>
      <c r="BL52" s="939">
        <f>-S52+AJ52+AF52-AX52+AH52+AG52-BB52-BF52+'Development Cash Flow'!Y52</f>
        <v>0</v>
      </c>
      <c r="BM52" s="940"/>
      <c r="BN52" s="941">
        <f t="shared" si="37"/>
        <v>0</v>
      </c>
      <c r="BO52" s="940"/>
      <c r="BP52" s="942">
        <f t="shared" si="38"/>
        <v>0</v>
      </c>
      <c r="BS52" s="949" t="e">
        <f t="shared" si="42"/>
        <v>#DIV/0!</v>
      </c>
      <c r="BT52" s="922">
        <f>+IF(SUM(BT$5:BT51)&lt;1,IF(BU52=MAX($BU$6:$BU$54),1,0),0)</f>
        <v>0</v>
      </c>
      <c r="BU52" s="922">
        <f t="shared" si="43"/>
        <v>4000000</v>
      </c>
      <c r="BV52" s="943" t="str">
        <f t="shared" si="39"/>
        <v/>
      </c>
      <c r="BW52" s="922" t="str">
        <f t="shared" si="40"/>
        <v/>
      </c>
      <c r="BY52" s="208">
        <f>ROUND(IF(A52="Dev",IF(AND(BK52&gt;general!$D$23,SUM($BZ$6:$BZ51)&lt;1,financing!$L$15&gt;BH51+BF52),financing!$L$16*(BK52-BK51)/360*(financing!$L$15-BH51-BF52),0),0),-2)</f>
        <v>0</v>
      </c>
      <c r="BZ52" s="909">
        <f>+IF(AND(BH52&gt;=financing!$L$15,SUM(BZ$6:BZ51)=0),1,0)</f>
        <v>0</v>
      </c>
      <c r="CA52" s="950">
        <f t="shared" si="56"/>
        <v>0</v>
      </c>
      <c r="CD52" s="909">
        <f>SUM($S$6:S52)</f>
        <v>4000000</v>
      </c>
      <c r="CF52" s="208">
        <f>+IF(C52&lt;general!$C$22,0,IF(AND(C52=general!$C$22,OR(A52="Pred",A52="Dev")),SUM(S$6:S52),S52))</f>
        <v>0</v>
      </c>
    </row>
    <row r="53" spans="1:84" ht="16" outlineLevel="1">
      <c r="A53" s="906" t="str">
        <f>+'Development Cash Flow'!A53</f>
        <v>post dev</v>
      </c>
      <c r="B53" s="908"/>
      <c r="C53" s="944">
        <f>IF('Development Cash Flow'!D52&lt;general!$D$28,'Development Cash Flow'!C52+1,0)</f>
        <v>0</v>
      </c>
      <c r="D53" s="945">
        <f t="shared" si="23"/>
        <v>47695</v>
      </c>
      <c r="E53" s="945"/>
      <c r="F53" s="928">
        <f>'Development Cash Flow'!P53*D$4+SUM('Development Cash Flow'!Q53:T53)*F$4</f>
        <v>0</v>
      </c>
      <c r="G53" s="928">
        <f>'Development Cash Flow'!AL53-F53</f>
        <v>0</v>
      </c>
      <c r="H53" s="928"/>
      <c r="I53" s="928"/>
      <c r="J53" s="931">
        <f>+financing!$D$54/12*reserves!BD52</f>
        <v>0</v>
      </c>
      <c r="K53" s="928">
        <f>IF(C53=0,0,IF(C53=sales!$D$32,financing!$E$12*financing!$F$11,IF(OR(C53&gt;general!$C$27,C53&lt;sales!$D$32),0,IF((C53-sales!$D$32)/12=ROUND((C53-sales!$D$32)/12,0),financing!$E$12*financing!$F$11,0))))</f>
        <v>0</v>
      </c>
      <c r="L53" s="928"/>
      <c r="M53" s="928">
        <f t="shared" si="26"/>
        <v>0</v>
      </c>
      <c r="N53" s="946"/>
      <c r="O53" s="946">
        <f>IF(D53=general!$D$21,financing!$F$30,0)</f>
        <v>0</v>
      </c>
      <c r="P53" s="946">
        <f>+MIN(IF(D53&lt;=general!$D$24,SUM(F$6:F53)-SUM(P$6:P52),reserves!F53),AR52)</f>
        <v>0</v>
      </c>
      <c r="Q53" s="946">
        <f>+MAX(MIN(SUM(G$6:$G53)-R53,AN52,SUM(G$6:$G53)-SUM(Q$6:Q52)),0)</f>
        <v>0</v>
      </c>
      <c r="R53" s="946">
        <f>+IF(C53&gt;=sales!$D$36,'Development Cash Flow'!AL53,0)</f>
        <v>0</v>
      </c>
      <c r="S53" s="931">
        <f>IF(AND(A53=$A$5,C53&lt;financing!$D$55),M53-SUM(P53:R53,O53),MIN(M53-SUM(P53:R53,O53),financing!$F$10-SUM(S$5:S52)))</f>
        <v>0</v>
      </c>
      <c r="T53" s="931">
        <f>+MAX(MIN(IF(C53&gt;=financing!$D$55,M53-SUM(P53:S53)-J53,0),financing!$D$57-SUM(T$5:T52)),0)</f>
        <v>0</v>
      </c>
      <c r="U53" s="931">
        <f>+MAX(IF(C53&gt;=general!$C$23,M53-SUM(P53:T53),0)+IF(C53=general!$C$23,reserves!AZ52+AY53,0),0)</f>
        <v>0</v>
      </c>
      <c r="V53" s="946"/>
      <c r="W53" s="946">
        <f>SUMPRODUCT(--($C53=sales!$C$50:$C$54),sales!$F$50:$F$54)</f>
        <v>0</v>
      </c>
      <c r="X53" s="946">
        <f t="shared" si="44"/>
        <v>0</v>
      </c>
      <c r="Y53" s="946">
        <f t="shared" si="31"/>
        <v>0</v>
      </c>
      <c r="Z53" s="946">
        <f t="shared" si="45"/>
        <v>0</v>
      </c>
      <c r="AA53" s="946"/>
      <c r="AB53" s="932" cm="1">
        <f t="array" ref="AB53">SUMPRODUCT(--(C53=sales!$D$22:$D$27),sales!$G$22:$G$27)</f>
        <v>0</v>
      </c>
      <c r="AC53" s="946"/>
      <c r="AD53" s="931">
        <f t="shared" si="32"/>
        <v>0</v>
      </c>
      <c r="AE53" s="932"/>
      <c r="AF53" s="932">
        <f t="shared" si="24"/>
        <v>0</v>
      </c>
      <c r="AG53" s="932">
        <f t="shared" si="25"/>
        <v>0</v>
      </c>
      <c r="AH53" s="931">
        <f t="shared" si="54"/>
        <v>0</v>
      </c>
      <c r="AI53" s="932"/>
      <c r="AJ53" s="931">
        <f t="shared" si="55"/>
        <v>0</v>
      </c>
      <c r="AK53" s="946"/>
      <c r="AL53" s="947">
        <f>+IF(financing!$C$12="YES",'Development Cash Flow'!M53,0)</f>
        <v>0</v>
      </c>
      <c r="AM53" s="947">
        <f t="shared" si="33"/>
        <v>0</v>
      </c>
      <c r="AN53" s="947">
        <f t="shared" si="46"/>
        <v>0</v>
      </c>
      <c r="AO53" s="946"/>
      <c r="AP53" s="947">
        <f>+SUM('Development Cash Flow'!G53:J53)-'Development Cash Flow'!M53</f>
        <v>0</v>
      </c>
      <c r="AQ53" s="947">
        <f t="shared" si="34"/>
        <v>0</v>
      </c>
      <c r="AR53" s="947">
        <f t="shared" si="47"/>
        <v>0</v>
      </c>
      <c r="AS53" s="946"/>
      <c r="AT53" s="947">
        <f t="shared" si="48"/>
        <v>0</v>
      </c>
      <c r="AU53" s="947">
        <f t="shared" si="49"/>
        <v>0</v>
      </c>
      <c r="AV53" s="948">
        <f t="shared" si="50"/>
        <v>0</v>
      </c>
      <c r="AW53" s="946"/>
      <c r="AX53" s="947">
        <f t="shared" si="35"/>
        <v>0</v>
      </c>
      <c r="AY53" s="947">
        <f>+AZ52*financing!$E$30/12</f>
        <v>0</v>
      </c>
      <c r="AZ53" s="947">
        <f t="shared" si="51"/>
        <v>0</v>
      </c>
      <c r="BA53" s="946"/>
      <c r="BB53" s="947">
        <f t="shared" si="36"/>
        <v>0</v>
      </c>
      <c r="BC53" s="947">
        <f>+IF(AND(BD52+BB53+MAX(BD52*financing!$E$15/12,financing!$D$59-SUM(reserves!BC$6:BC52)-SUM(J$6:J53))-reserves!AD53&lt;=0,financing!$D$58&gt;=0),MAX(BD52*financing!$E$15/12,financing!$D$59-SUM(reserves!BC$6:BC52)-SUM(J$6:J53)),BD52*financing!$E$15/12)</f>
        <v>0</v>
      </c>
      <c r="BD53" s="947">
        <f t="shared" si="17"/>
        <v>0</v>
      </c>
      <c r="BE53" s="946"/>
      <c r="BF53" s="947">
        <f t="shared" si="52"/>
        <v>0</v>
      </c>
      <c r="BG53" s="947">
        <f>+IF(AND(BH52+BF53+MAX((BH52*(LIBOR!AA54)*(D53-D52)/360)+BY53,financing!$C$16-SUM(reserves!BG$6:BG52))-reserves!AD53&lt;=0,financing!$L$17&gt;=0),MAX((BH52*(LIBOR!AA54)*(D53-D52)/360)+BY53,financing!$C$16-SUM(reserves!BG$6:BG52)),(BH52*(LIBOR!AA54)*(D53-D52)/360)+BY53)</f>
        <v>0</v>
      </c>
      <c r="BH53" s="947">
        <f t="shared" si="53"/>
        <v>0</v>
      </c>
      <c r="BI53" s="946"/>
      <c r="BJ53" s="937"/>
      <c r="BK53" s="938">
        <f t="shared" si="41"/>
        <v>0</v>
      </c>
      <c r="BL53" s="939">
        <f>-S53+AJ53+AF53-AX53+AH53+AG53-BB53-BF53+'Development Cash Flow'!Y53</f>
        <v>0</v>
      </c>
      <c r="BM53" s="940"/>
      <c r="BN53" s="941">
        <f t="shared" si="37"/>
        <v>0</v>
      </c>
      <c r="BO53" s="940"/>
      <c r="BP53" s="942">
        <f t="shared" si="38"/>
        <v>0</v>
      </c>
      <c r="BS53" s="949" t="e">
        <f t="shared" si="42"/>
        <v>#DIV/0!</v>
      </c>
      <c r="BT53" s="922">
        <f>+IF(SUM(BT$5:BT52)&lt;1,IF(BU53=MAX($BU$6:$BU$54),1,0),0)</f>
        <v>0</v>
      </c>
      <c r="BU53" s="922">
        <f t="shared" si="43"/>
        <v>4000000</v>
      </c>
      <c r="BV53" s="943" t="str">
        <f t="shared" si="39"/>
        <v/>
      </c>
      <c r="BW53" s="922" t="str">
        <f t="shared" si="40"/>
        <v/>
      </c>
      <c r="BY53" s="208">
        <f>ROUND(IF(A53="Dev",IF(AND(BK53&gt;general!$D$23,SUM($BZ$6:$BZ52)&lt;1,financing!$L$15&gt;BH52+BF53),financing!$L$16*(BK53-BK52)/360*(financing!$L$15-BH52-BF53),0),0),-2)</f>
        <v>0</v>
      </c>
      <c r="BZ53" s="909">
        <f>+IF(AND(BH53&gt;=financing!$L$15,SUM(BZ$6:BZ52)=0),1,0)</f>
        <v>0</v>
      </c>
      <c r="CA53" s="950">
        <f t="shared" si="56"/>
        <v>0</v>
      </c>
      <c r="CD53" s="909">
        <f>SUM($S$6:S53)</f>
        <v>4000000</v>
      </c>
      <c r="CF53" s="208">
        <f>+IF(C53&lt;general!$C$22,0,IF(AND(C53=general!$C$22,OR(A53="Pred",A53="Dev")),SUM(S$6:S53),S53))</f>
        <v>0</v>
      </c>
    </row>
    <row r="54" spans="1:84" ht="16" outlineLevel="1">
      <c r="A54" s="906" t="str">
        <f>+'Development Cash Flow'!A54</f>
        <v>post dev</v>
      </c>
      <c r="B54" s="908"/>
      <c r="C54" s="944">
        <f>IF('Development Cash Flow'!D53&lt;general!$D$28,'Development Cash Flow'!C53+1,0)</f>
        <v>0</v>
      </c>
      <c r="D54" s="945">
        <f t="shared" si="23"/>
        <v>47726</v>
      </c>
      <c r="E54" s="945"/>
      <c r="F54" s="928">
        <f>'Development Cash Flow'!P54*D$4+SUM('Development Cash Flow'!Q54:T54)*F$4</f>
        <v>0</v>
      </c>
      <c r="G54" s="928">
        <f>'Development Cash Flow'!AL54-F54</f>
        <v>0</v>
      </c>
      <c r="H54" s="928"/>
      <c r="I54" s="928"/>
      <c r="J54" s="931">
        <f>+financing!$D$54/12*reserves!BD53</f>
        <v>0</v>
      </c>
      <c r="K54" s="928">
        <f>IF(C54=0,0,IF(C54=sales!$D$32,financing!$E$12*financing!$F$11,IF(OR(C54&gt;general!$C$27,C54&lt;sales!$D$32),0,IF((C54-sales!$D$32)/12=ROUND((C54-sales!$D$32)/12,0),financing!$E$12*financing!$F$11,0))))</f>
        <v>0</v>
      </c>
      <c r="L54" s="928"/>
      <c r="M54" s="928">
        <f t="shared" si="26"/>
        <v>0</v>
      </c>
      <c r="N54" s="946"/>
      <c r="O54" s="946">
        <f>IF(D54=general!$D$21,financing!$F$30,0)</f>
        <v>0</v>
      </c>
      <c r="P54" s="946">
        <f>+MIN(IF(D54&lt;=general!$D$24,SUM(F$6:F54)-SUM(P$6:P53),reserves!F54),AR53)</f>
        <v>0</v>
      </c>
      <c r="Q54" s="946">
        <f>+MAX(MIN(SUM(G$6:$G54)-R54,AN53,SUM(G$6:$G54)-SUM(Q$6:Q53)),0)</f>
        <v>0</v>
      </c>
      <c r="R54" s="946">
        <f>+IF(C54&gt;=sales!$D$36,'Development Cash Flow'!AL54,0)</f>
        <v>0</v>
      </c>
      <c r="S54" s="931">
        <f>IF(AND(A54=$A$5,C54&lt;financing!$D$55),M54-SUM(P54:R54,O54),MIN(M54-SUM(P54:R54,O54),financing!$F$10-SUM(S$5:S53)))</f>
        <v>0</v>
      </c>
      <c r="T54" s="931">
        <f>+MAX(MIN(IF(C54&gt;=financing!$D$55,M54-SUM(P54:S54)-J54,0),financing!$D$57-SUM(T$5:T53)),0)</f>
        <v>0</v>
      </c>
      <c r="U54" s="931">
        <f>+MAX(IF(C54&gt;=general!$C$23,M54-SUM(P54:T54),0)+IF(C54=general!$C$23,reserves!AZ53+AY54,0),0)</f>
        <v>0</v>
      </c>
      <c r="V54" s="946"/>
      <c r="W54" s="946">
        <f>SUMPRODUCT(--($C54=sales!$C$50:$C$54),sales!$F$50:$F$54)</f>
        <v>0</v>
      </c>
      <c r="X54" s="946">
        <f t="shared" si="44"/>
        <v>0</v>
      </c>
      <c r="Y54" s="946">
        <f t="shared" si="31"/>
        <v>0</v>
      </c>
      <c r="Z54" s="946">
        <f t="shared" si="45"/>
        <v>0</v>
      </c>
      <c r="AA54" s="946"/>
      <c r="AB54" s="932" cm="1">
        <f t="array" ref="AB54">SUMPRODUCT(--(C54=sales!$D$22:$D$27),sales!$G$22:$G$27)</f>
        <v>0</v>
      </c>
      <c r="AC54" s="946"/>
      <c r="AD54" s="931">
        <f t="shared" si="32"/>
        <v>0</v>
      </c>
      <c r="AE54" s="932"/>
      <c r="AF54" s="932">
        <f t="shared" si="24"/>
        <v>0</v>
      </c>
      <c r="AG54" s="932">
        <f t="shared" si="25"/>
        <v>0</v>
      </c>
      <c r="AH54" s="931">
        <f t="shared" si="54"/>
        <v>0</v>
      </c>
      <c r="AI54" s="932"/>
      <c r="AJ54" s="931">
        <f t="shared" si="55"/>
        <v>0</v>
      </c>
      <c r="AK54" s="946"/>
      <c r="AL54" s="947">
        <f>+IF(financing!$C$12="YES",'Development Cash Flow'!M54,0)</f>
        <v>0</v>
      </c>
      <c r="AM54" s="947">
        <f t="shared" si="33"/>
        <v>0</v>
      </c>
      <c r="AN54" s="947">
        <f t="shared" si="46"/>
        <v>0</v>
      </c>
      <c r="AO54" s="946"/>
      <c r="AP54" s="947">
        <f>+SUM('Development Cash Flow'!G54:J54)-'Development Cash Flow'!M54</f>
        <v>0</v>
      </c>
      <c r="AQ54" s="947">
        <f t="shared" si="34"/>
        <v>0</v>
      </c>
      <c r="AR54" s="947">
        <f t="shared" si="47"/>
        <v>0</v>
      </c>
      <c r="AS54" s="946"/>
      <c r="AT54" s="947">
        <f t="shared" si="48"/>
        <v>0</v>
      </c>
      <c r="AU54" s="947">
        <f t="shared" si="49"/>
        <v>0</v>
      </c>
      <c r="AV54" s="948">
        <f t="shared" si="50"/>
        <v>0</v>
      </c>
      <c r="AW54" s="946"/>
      <c r="AX54" s="947">
        <f t="shared" si="35"/>
        <v>0</v>
      </c>
      <c r="AY54" s="947">
        <f>+AZ53*financing!$E$30/12</f>
        <v>0</v>
      </c>
      <c r="AZ54" s="947">
        <f t="shared" si="51"/>
        <v>0</v>
      </c>
      <c r="BA54" s="946"/>
      <c r="BB54" s="947">
        <f t="shared" si="36"/>
        <v>0</v>
      </c>
      <c r="BC54" s="947">
        <f>+IF(AND(BD53+BB54+MAX(BD53*financing!$E$15/12,financing!$D$59-SUM(reserves!BC$6:BC53)-SUM(J$6:J54))-reserves!AD54&lt;=0,financing!$D$58&gt;=0),MAX(BD53*financing!$E$15/12,financing!$D$59-SUM(reserves!BC$6:BC53)-SUM(J$6:J54)),BD53*financing!$E$15/12)</f>
        <v>0</v>
      </c>
      <c r="BD54" s="947">
        <f t="shared" si="17"/>
        <v>0</v>
      </c>
      <c r="BE54" s="946"/>
      <c r="BF54" s="947">
        <f t="shared" si="52"/>
        <v>0</v>
      </c>
      <c r="BG54" s="947">
        <f>+IF(AND(BH53+BF54+MAX((BH53*(LIBOR!AA55)*(D54-D53)/360)+BY54,financing!$C$16-SUM(reserves!BG$6:BG53))-reserves!AD54&lt;=0,financing!$L$17&gt;=0),MAX((BH53*(LIBOR!AA55)*(D54-D53)/360)+BY54,financing!$C$16-SUM(reserves!BG$6:BG53)),(BH53*(LIBOR!AA55)*(D54-D53)/360)+BY54)</f>
        <v>0</v>
      </c>
      <c r="BH54" s="947">
        <f t="shared" si="53"/>
        <v>0</v>
      </c>
      <c r="BI54" s="946"/>
      <c r="BJ54" s="937"/>
      <c r="BK54" s="938">
        <f t="shared" si="41"/>
        <v>0</v>
      </c>
      <c r="BL54" s="939">
        <f>-S54+AJ54+AF54-AX54+AH54+AG54-BB54-BF54+'Development Cash Flow'!Y54</f>
        <v>0</v>
      </c>
      <c r="BM54" s="940"/>
      <c r="BN54" s="941">
        <f t="shared" si="37"/>
        <v>0</v>
      </c>
      <c r="BO54" s="940"/>
      <c r="BP54" s="942">
        <f t="shared" si="38"/>
        <v>0</v>
      </c>
      <c r="BS54" s="949" t="e">
        <f t="shared" si="42"/>
        <v>#DIV/0!</v>
      </c>
      <c r="BT54" s="922">
        <f>+IF(SUM(BT$5:BT53)&lt;1,IF(BU54=MAX($BU$6:$BU$54),1,0),0)</f>
        <v>0</v>
      </c>
      <c r="BU54" s="922">
        <f t="shared" si="43"/>
        <v>4000000</v>
      </c>
      <c r="BV54" s="943" t="str">
        <f t="shared" si="39"/>
        <v/>
      </c>
      <c r="BW54" s="922" t="str">
        <f t="shared" si="40"/>
        <v/>
      </c>
      <c r="BY54" s="208">
        <f>ROUND(IF(A54="Dev",IF(AND(BK54&gt;general!$D$23,SUM($BZ$6:$BZ53)&lt;1,financing!$L$15&gt;BH53+BF54),financing!$L$16*(BK54-BK53)/360*(financing!$L$15-BH53-BF54),0),0),-2)</f>
        <v>0</v>
      </c>
      <c r="BZ54" s="909">
        <f>+IF(AND(BH54&gt;=financing!$L$15,SUM(BZ$6:BZ53)=0),1,0)</f>
        <v>0</v>
      </c>
      <c r="CA54" s="950">
        <f t="shared" si="56"/>
        <v>0</v>
      </c>
      <c r="CD54" s="909">
        <f>SUM($S$6:S54)</f>
        <v>4000000</v>
      </c>
      <c r="CF54" s="208">
        <f>+IF(C54&lt;general!$C$22,0,IF(AND(C54=general!$C$22,OR(A54="Pred",A54="Dev")),SUM(S$6:S54),S54))</f>
        <v>0</v>
      </c>
    </row>
    <row r="55" spans="1:84" ht="16" outlineLevel="1">
      <c r="A55" s="906" t="str">
        <f>+'Development Cash Flow'!A55</f>
        <v>post dev</v>
      </c>
      <c r="B55" s="908"/>
      <c r="C55" s="944">
        <f>IF('Development Cash Flow'!D54&lt;general!$D$28,'Development Cash Flow'!C54+1,0)</f>
        <v>0</v>
      </c>
      <c r="D55" s="945">
        <f t="shared" si="23"/>
        <v>47756</v>
      </c>
      <c r="E55" s="945"/>
      <c r="F55" s="928">
        <f>'Development Cash Flow'!P55*D$4+SUM('Development Cash Flow'!Q55:T55)*F$4</f>
        <v>0</v>
      </c>
      <c r="G55" s="928">
        <f>'Development Cash Flow'!AL55-F55</f>
        <v>0</v>
      </c>
      <c r="H55" s="928"/>
      <c r="I55" s="928"/>
      <c r="J55" s="931">
        <f>+financing!$D$54/12*reserves!BD54</f>
        <v>0</v>
      </c>
      <c r="K55" s="928">
        <f>IF(C55=0,0,IF(C55=sales!$D$32,financing!$E$12*financing!$F$11,IF(OR(C55&gt;general!$C$27,C55&lt;sales!$D$32),0,IF((C55-sales!$D$32)/12=ROUND((C55-sales!$D$32)/12,0),financing!$E$12*financing!$F$11,0))))</f>
        <v>0</v>
      </c>
      <c r="L55" s="928"/>
      <c r="M55" s="928">
        <f t="shared" si="26"/>
        <v>0</v>
      </c>
      <c r="N55" s="946"/>
      <c r="O55" s="946">
        <f>IF(D55=general!$D$21,financing!$F$30,0)</f>
        <v>0</v>
      </c>
      <c r="P55" s="946">
        <f>+MIN(IF(D55&lt;=general!$D$24,SUM(F$6:F55)-SUM(P$6:P54),reserves!F55),AR54)</f>
        <v>0</v>
      </c>
      <c r="Q55" s="946">
        <f>+MAX(MIN(SUM(G$6:$G55)-R55,AN54,SUM(G$6:$G55)-SUM(Q$6:Q54)),0)</f>
        <v>0</v>
      </c>
      <c r="R55" s="946">
        <f>+IF(C55&gt;=sales!$D$36,'Development Cash Flow'!AL55,0)</f>
        <v>0</v>
      </c>
      <c r="S55" s="931">
        <f>IF(AND(A55=$A$5,C55&lt;financing!$D$55),M55-SUM(P55:R55,O55),MIN(M55-SUM(P55:R55,O55),financing!$F$10-SUM(S$5:S54)))</f>
        <v>0</v>
      </c>
      <c r="T55" s="931">
        <f>+MAX(MIN(IF(C55&gt;=financing!$D$55,M55-SUM(P55:S55)-J55,0),financing!$D$57-SUM(T$5:T54)),0)</f>
        <v>0</v>
      </c>
      <c r="U55" s="931">
        <f>+MAX(IF(C55&gt;=general!$C$23,M55-SUM(P55:T55),0)+IF(C55=general!$C$23,reserves!AZ54+AY55,0),0)</f>
        <v>0</v>
      </c>
      <c r="V55" s="946"/>
      <c r="W55" s="946">
        <f>SUMPRODUCT(--($C55=sales!$C$50:$C$54),sales!$F$50:$F$54)</f>
        <v>0</v>
      </c>
      <c r="X55" s="946">
        <f t="shared" si="44"/>
        <v>0</v>
      </c>
      <c r="Y55" s="946">
        <f t="shared" si="31"/>
        <v>0</v>
      </c>
      <c r="Z55" s="946">
        <f t="shared" si="45"/>
        <v>0</v>
      </c>
      <c r="AA55" s="946"/>
      <c r="AB55" s="932" cm="1">
        <f t="array" ref="AB55">SUMPRODUCT(--(C55=sales!$D$22:$D$27),sales!$G$22:$G$27)</f>
        <v>0</v>
      </c>
      <c r="AC55" s="946"/>
      <c r="AD55" s="931">
        <f t="shared" si="32"/>
        <v>0</v>
      </c>
      <c r="AE55" s="932"/>
      <c r="AF55" s="932">
        <f t="shared" si="24"/>
        <v>0</v>
      </c>
      <c r="AG55" s="932">
        <f t="shared" si="25"/>
        <v>0</v>
      </c>
      <c r="AH55" s="931">
        <f t="shared" si="54"/>
        <v>0</v>
      </c>
      <c r="AI55" s="932"/>
      <c r="AJ55" s="931">
        <f t="shared" si="55"/>
        <v>0</v>
      </c>
      <c r="AK55" s="946"/>
      <c r="AL55" s="947">
        <f>+IF(financing!$C$12="YES",'Development Cash Flow'!M55,0)</f>
        <v>0</v>
      </c>
      <c r="AM55" s="947">
        <f t="shared" si="33"/>
        <v>0</v>
      </c>
      <c r="AN55" s="947">
        <f t="shared" si="46"/>
        <v>0</v>
      </c>
      <c r="AO55" s="946"/>
      <c r="AP55" s="947">
        <f>+SUM('Development Cash Flow'!G55:J55)-'Development Cash Flow'!M55</f>
        <v>0</v>
      </c>
      <c r="AQ55" s="947">
        <f t="shared" si="34"/>
        <v>0</v>
      </c>
      <c r="AR55" s="947">
        <f t="shared" si="47"/>
        <v>0</v>
      </c>
      <c r="AS55" s="946"/>
      <c r="AT55" s="947">
        <f t="shared" si="48"/>
        <v>0</v>
      </c>
      <c r="AU55" s="947">
        <f t="shared" si="49"/>
        <v>0</v>
      </c>
      <c r="AV55" s="948">
        <f t="shared" si="50"/>
        <v>0</v>
      </c>
      <c r="AW55" s="946"/>
      <c r="AX55" s="947">
        <f t="shared" si="35"/>
        <v>0</v>
      </c>
      <c r="AY55" s="947">
        <f>+AZ54*financing!$E$30/12</f>
        <v>0</v>
      </c>
      <c r="AZ55" s="947">
        <f t="shared" si="51"/>
        <v>0</v>
      </c>
      <c r="BA55" s="946"/>
      <c r="BB55" s="947">
        <f t="shared" si="36"/>
        <v>0</v>
      </c>
      <c r="BC55" s="947">
        <f>+IF(AND(BD54+BB55+MAX(BD54*financing!$E$15/12,financing!$D$59-SUM(reserves!BC$6:BC54)-SUM(J$6:J55))-reserves!AD55&lt;=0,financing!$D$58&gt;=0),MAX(BD54*financing!$E$15/12,financing!$D$59-SUM(reserves!BC$6:BC54)-SUM(J$6:J55)),BD54*financing!$E$15/12)</f>
        <v>0</v>
      </c>
      <c r="BD55" s="947">
        <f t="shared" si="17"/>
        <v>0</v>
      </c>
      <c r="BE55" s="946"/>
      <c r="BF55" s="947">
        <f t="shared" si="52"/>
        <v>0</v>
      </c>
      <c r="BG55" s="947">
        <f>+IF(AND(BH54+BF55+MAX((BH54*(LIBOR!AA56)*(D55-D54)/360)+BY55,financing!$C$16-SUM(reserves!BG$6:BG54))-reserves!AD55&lt;=0,financing!$L$17&gt;=0),MAX((BH54*(LIBOR!AA56)*(D55-D54)/360)+BY55,financing!$C$16-SUM(reserves!BG$6:BG54)),(BH54*(LIBOR!AA56)*(D55-D54)/360)+BY55)</f>
        <v>0</v>
      </c>
      <c r="BH55" s="947">
        <f t="shared" si="53"/>
        <v>0</v>
      </c>
      <c r="BI55" s="946"/>
      <c r="BJ55" s="937"/>
      <c r="BK55" s="938">
        <f t="shared" si="41"/>
        <v>0</v>
      </c>
      <c r="BL55" s="939">
        <f>-S55+AJ55+AF55-AX55+AH55+AG55-BB55-BF55+'Development Cash Flow'!Y55</f>
        <v>0</v>
      </c>
      <c r="BM55" s="940"/>
      <c r="BN55" s="941">
        <f t="shared" si="37"/>
        <v>0</v>
      </c>
      <c r="BO55" s="940"/>
      <c r="BP55" s="942">
        <f t="shared" si="38"/>
        <v>0</v>
      </c>
      <c r="BS55" s="949" t="e">
        <f t="shared" si="42"/>
        <v>#DIV/0!</v>
      </c>
      <c r="BT55" s="922">
        <f>+IF(SUM(BT$5:BT54)&lt;1,IF(BU55=MAX($BU$6:$BU$54),1,0),0)</f>
        <v>0</v>
      </c>
      <c r="BU55" s="922">
        <f t="shared" si="43"/>
        <v>4000000</v>
      </c>
      <c r="BV55" s="943" t="str">
        <f t="shared" si="39"/>
        <v/>
      </c>
      <c r="BW55" s="922" t="str">
        <f t="shared" si="40"/>
        <v/>
      </c>
      <c r="BY55" s="208">
        <f>ROUND(IF(A55="Dev",IF(AND(BK55&gt;general!$D$23,SUM($BZ$6:$BZ54)&lt;1,financing!$L$15&gt;BH54+BF55),financing!$L$16*(BK55-BK54)/360*(financing!$L$15-BH54-BF55),0),0),-2)</f>
        <v>0</v>
      </c>
      <c r="BZ55" s="909">
        <f>+IF(AND(BH55&gt;=financing!$L$15,SUM(BZ$6:BZ54)=0),1,0)</f>
        <v>0</v>
      </c>
      <c r="CA55" s="950">
        <f t="shared" si="56"/>
        <v>0</v>
      </c>
      <c r="CD55" s="909">
        <f>SUM($S$6:S55)</f>
        <v>4000000</v>
      </c>
      <c r="CF55" s="208">
        <f>+IF(C55&lt;general!$C$22,0,IF(AND(C55=general!$C$22,OR(A55="Pred",A55="Dev")),SUM(S$6:S55),S55))</f>
        <v>0</v>
      </c>
    </row>
    <row r="56" spans="1:84" ht="16" outlineLevel="1">
      <c r="A56" s="906" t="str">
        <f>+'Development Cash Flow'!A56</f>
        <v>post dev</v>
      </c>
      <c r="B56" s="908"/>
      <c r="C56" s="944">
        <f>IF('Development Cash Flow'!D55&lt;general!$D$28,'Development Cash Flow'!C55+1,0)</f>
        <v>0</v>
      </c>
      <c r="D56" s="945">
        <f t="shared" si="23"/>
        <v>47787</v>
      </c>
      <c r="E56" s="945"/>
      <c r="F56" s="928">
        <f>'Development Cash Flow'!P56*D$4+SUM('Development Cash Flow'!Q56:T56)*F$4</f>
        <v>0</v>
      </c>
      <c r="G56" s="928">
        <f>'Development Cash Flow'!AL56-F56</f>
        <v>0</v>
      </c>
      <c r="H56" s="928"/>
      <c r="I56" s="928"/>
      <c r="J56" s="931">
        <f>+financing!$D$54/12*reserves!BD55</f>
        <v>0</v>
      </c>
      <c r="K56" s="928">
        <f>IF(C56=0,0,IF(C56=sales!$D$32,financing!$E$12*financing!$F$11,IF(OR(C56&gt;general!$C$27,C56&lt;sales!$D$32),0,IF((C56-sales!$D$32)/12=ROUND((C56-sales!$D$32)/12,0),financing!$E$12*financing!$F$11,0))))</f>
        <v>0</v>
      </c>
      <c r="L56" s="928"/>
      <c r="M56" s="928">
        <f t="shared" si="26"/>
        <v>0</v>
      </c>
      <c r="N56" s="946"/>
      <c r="O56" s="946">
        <f>IF(D56=general!$D$21,financing!$F$30,0)</f>
        <v>0</v>
      </c>
      <c r="P56" s="946">
        <f>+MIN(IF(D56&lt;=general!$D$24,SUM(F$6:F56)-SUM(P$6:P55),reserves!F56),AR55)</f>
        <v>0</v>
      </c>
      <c r="Q56" s="946">
        <f>+MAX(MIN(SUM(G$6:$G56)-R56,AN55,SUM(G$6:$G56)-SUM(Q$6:Q55)),0)</f>
        <v>0</v>
      </c>
      <c r="R56" s="946">
        <f>+IF(C56&gt;=sales!$D$36,'Development Cash Flow'!AL56,0)</f>
        <v>0</v>
      </c>
      <c r="S56" s="931">
        <f>IF(AND(A56=$A$5,C56&lt;financing!$D$55),M56-SUM(P56:R56,O56),MIN(M56-SUM(P56:R56,O56),financing!$F$10-SUM(S$5:S55)))</f>
        <v>0</v>
      </c>
      <c r="T56" s="931">
        <f>+MAX(MIN(IF(C56&gt;=financing!$D$55,M56-SUM(P56:S56)-J56,0),financing!$D$57-SUM(T$5:T55)),0)</f>
        <v>0</v>
      </c>
      <c r="U56" s="931">
        <f>+MAX(IF(C56&gt;=general!$C$23,M56-SUM(P56:T56),0)+IF(C56=general!$C$23,reserves!AZ55+AY56,0),0)</f>
        <v>0</v>
      </c>
      <c r="V56" s="946"/>
      <c r="W56" s="946">
        <f>SUMPRODUCT(--($C56=sales!$C$50:$C$54),sales!$F$50:$F$54)</f>
        <v>0</v>
      </c>
      <c r="X56" s="946">
        <f t="shared" si="44"/>
        <v>0</v>
      </c>
      <c r="Y56" s="946">
        <f t="shared" si="31"/>
        <v>0</v>
      </c>
      <c r="Z56" s="946">
        <f t="shared" si="45"/>
        <v>0</v>
      </c>
      <c r="AA56" s="946"/>
      <c r="AB56" s="932" cm="1">
        <f t="array" ref="AB56">SUMPRODUCT(--(C56=sales!$D$22:$D$27),sales!$G$22:$G$27)</f>
        <v>0</v>
      </c>
      <c r="AC56" s="946"/>
      <c r="AD56" s="931">
        <f t="shared" si="32"/>
        <v>0</v>
      </c>
      <c r="AE56" s="932"/>
      <c r="AF56" s="932">
        <f t="shared" si="24"/>
        <v>0</v>
      </c>
      <c r="AG56" s="932">
        <f t="shared" si="25"/>
        <v>0</v>
      </c>
      <c r="AH56" s="931">
        <f t="shared" si="54"/>
        <v>0</v>
      </c>
      <c r="AI56" s="932"/>
      <c r="AJ56" s="931">
        <f t="shared" si="55"/>
        <v>0</v>
      </c>
      <c r="AK56" s="946"/>
      <c r="AL56" s="947">
        <f>+IF(financing!$C$12="YES",'Development Cash Flow'!M56,0)</f>
        <v>0</v>
      </c>
      <c r="AM56" s="947">
        <f t="shared" si="33"/>
        <v>0</v>
      </c>
      <c r="AN56" s="947">
        <f t="shared" si="46"/>
        <v>0</v>
      </c>
      <c r="AO56" s="946"/>
      <c r="AP56" s="947">
        <f>+SUM('Development Cash Flow'!G56:J56)-'Development Cash Flow'!M56</f>
        <v>0</v>
      </c>
      <c r="AQ56" s="947">
        <f t="shared" si="34"/>
        <v>0</v>
      </c>
      <c r="AR56" s="947">
        <f t="shared" si="47"/>
        <v>0</v>
      </c>
      <c r="AS56" s="946"/>
      <c r="AT56" s="947">
        <f t="shared" si="48"/>
        <v>0</v>
      </c>
      <c r="AU56" s="947">
        <f t="shared" si="49"/>
        <v>0</v>
      </c>
      <c r="AV56" s="948">
        <f t="shared" si="50"/>
        <v>0</v>
      </c>
      <c r="AW56" s="946"/>
      <c r="AX56" s="947">
        <f t="shared" si="35"/>
        <v>0</v>
      </c>
      <c r="AY56" s="947">
        <f>+AZ55*financing!$E$30/12</f>
        <v>0</v>
      </c>
      <c r="AZ56" s="947">
        <f t="shared" si="51"/>
        <v>0</v>
      </c>
      <c r="BA56" s="946"/>
      <c r="BB56" s="947">
        <f t="shared" si="36"/>
        <v>0</v>
      </c>
      <c r="BC56" s="947">
        <f>+IF(AND(BD55+BB56+MAX(BD55*financing!$E$15/12,financing!$D$59-SUM(reserves!BC$6:BC55)-SUM(J$6:J56))-reserves!AD56&lt;=0,financing!$D$58&gt;=0),MAX(BD55*financing!$E$15/12,financing!$D$59-SUM(reserves!BC$6:BC55)-SUM(J$6:J56)),BD55*financing!$E$15/12)</f>
        <v>0</v>
      </c>
      <c r="BD56" s="947">
        <f t="shared" si="17"/>
        <v>0</v>
      </c>
      <c r="BE56" s="946"/>
      <c r="BF56" s="947">
        <f t="shared" si="52"/>
        <v>0</v>
      </c>
      <c r="BG56" s="947">
        <f>+IF(AND(BH55+BF56+MAX((BH55*(LIBOR!AA57)*(D56-D55)/360)+BY56,financing!$C$16-SUM(reserves!BG$6:BG55))-reserves!AD56&lt;=0,financing!$L$17&gt;=0),MAX((BH55*(LIBOR!AA57)*(D56-D55)/360)+BY56,financing!$C$16-SUM(reserves!BG$6:BG55)),(BH55*(LIBOR!AA57)*(D56-D55)/360)+BY56)</f>
        <v>0</v>
      </c>
      <c r="BH56" s="947">
        <f t="shared" si="53"/>
        <v>0</v>
      </c>
      <c r="BI56" s="946"/>
      <c r="BJ56" s="937"/>
      <c r="BK56" s="938">
        <f t="shared" si="41"/>
        <v>0</v>
      </c>
      <c r="BL56" s="939">
        <f>-S56+AJ56+AF56-AX56+AH56+AG56-BB56-BF56+'Development Cash Flow'!Y56</f>
        <v>0</v>
      </c>
      <c r="BM56" s="940"/>
      <c r="BN56" s="941">
        <f t="shared" si="37"/>
        <v>0</v>
      </c>
      <c r="BO56" s="940"/>
      <c r="BP56" s="942">
        <f t="shared" si="38"/>
        <v>0</v>
      </c>
      <c r="BS56" s="949" t="e">
        <f t="shared" si="42"/>
        <v>#DIV/0!</v>
      </c>
      <c r="BT56" s="922">
        <f>+IF(SUM(BT$5:BT55)&lt;1,IF(BU56=MAX($BU$6:$BU$54),1,0),0)</f>
        <v>0</v>
      </c>
      <c r="BU56" s="922">
        <f t="shared" si="43"/>
        <v>4000000</v>
      </c>
      <c r="BV56" s="943" t="str">
        <f t="shared" si="39"/>
        <v/>
      </c>
      <c r="BW56" s="922" t="str">
        <f t="shared" si="40"/>
        <v/>
      </c>
      <c r="BY56" s="208">
        <f>ROUND(IF(A56="Dev",IF(AND(BK56&gt;general!$D$23,SUM($BZ$6:$BZ55)&lt;1,financing!$L$15&gt;BH55+BF56),financing!$L$16*(BK56-BK55)/360*(financing!$L$15-BH55-BF56),0),0),-2)</f>
        <v>0</v>
      </c>
      <c r="BZ56" s="909">
        <f>+IF(AND(BH56&gt;=financing!$L$15,SUM(BZ$6:BZ55)=0),1,0)</f>
        <v>0</v>
      </c>
      <c r="CA56" s="950">
        <f t="shared" si="56"/>
        <v>0</v>
      </c>
      <c r="CD56" s="909">
        <f>SUM($S$6:S56)</f>
        <v>4000000</v>
      </c>
      <c r="CF56" s="208">
        <f>+IF(C56&lt;general!$C$22,0,IF(AND(C56=general!$C$22,OR(A56="Pred",A56="Dev")),SUM(S$6:S56),S56))</f>
        <v>0</v>
      </c>
    </row>
    <row r="57" spans="1:84" ht="16" outlineLevel="1">
      <c r="A57" s="906" t="str">
        <f>+'Development Cash Flow'!A57</f>
        <v>post dev</v>
      </c>
      <c r="B57" s="908"/>
      <c r="C57" s="944">
        <f>IF('Development Cash Flow'!D56&lt;general!$D$28,'Development Cash Flow'!C56+1,0)</f>
        <v>0</v>
      </c>
      <c r="D57" s="945">
        <f t="shared" si="23"/>
        <v>47817</v>
      </c>
      <c r="E57" s="945"/>
      <c r="F57" s="928">
        <f>'Development Cash Flow'!P57*D$4+SUM('Development Cash Flow'!Q57:T57)*F$4</f>
        <v>0</v>
      </c>
      <c r="G57" s="928">
        <f>'Development Cash Flow'!AL57-F57</f>
        <v>0</v>
      </c>
      <c r="H57" s="928"/>
      <c r="I57" s="928"/>
      <c r="J57" s="931">
        <f>+financing!$D$54/12*reserves!BD56</f>
        <v>0</v>
      </c>
      <c r="K57" s="928">
        <f>IF(C57=0,0,IF(C57=sales!$D$32,financing!$E$12*financing!$F$11,IF(OR(C57&gt;general!$C$27,C57&lt;sales!$D$32),0,IF((C57-sales!$D$32)/12=ROUND((C57-sales!$D$32)/12,0),financing!$E$12*financing!$F$11,0))))</f>
        <v>0</v>
      </c>
      <c r="L57" s="928"/>
      <c r="M57" s="928">
        <f t="shared" si="26"/>
        <v>0</v>
      </c>
      <c r="N57" s="946"/>
      <c r="O57" s="946">
        <f>IF(D57=general!$D$21,financing!$F$30,0)</f>
        <v>0</v>
      </c>
      <c r="P57" s="946">
        <f>+MIN(IF(D57&lt;=general!$D$24,SUM(F$6:F57)-SUM(P$6:P56),reserves!F57),AR56)</f>
        <v>0</v>
      </c>
      <c r="Q57" s="946">
        <f>+MAX(MIN(SUM(G$6:$G57)-R57,AN56,SUM(G$6:$G57)-SUM(Q$6:Q56)),0)</f>
        <v>0</v>
      </c>
      <c r="R57" s="946">
        <f>+IF(C57&gt;=sales!$D$36,'Development Cash Flow'!AL57,0)</f>
        <v>0</v>
      </c>
      <c r="S57" s="931">
        <f>IF(AND(A57=$A$5,C57&lt;financing!$D$55),M57-SUM(P57:R57,O57),MIN(M57-SUM(P57:R57,O57),financing!$F$10-SUM(S$5:S56)))</f>
        <v>0</v>
      </c>
      <c r="T57" s="931">
        <f>+MAX(MIN(IF(C57&gt;=financing!$D$55,M57-SUM(P57:S57)-J57,0),financing!$D$57-SUM(T$5:T56)),0)</f>
        <v>0</v>
      </c>
      <c r="U57" s="931">
        <f>+MAX(IF(C57&gt;=general!$C$23,M57-SUM(P57:T57),0)+IF(C57=general!$C$23,reserves!AZ56+AY57,0),0)</f>
        <v>0</v>
      </c>
      <c r="V57" s="946"/>
      <c r="W57" s="946">
        <f>SUMPRODUCT(--($C57=sales!$C$50:$C$54),sales!$F$50:$F$54)</f>
        <v>0</v>
      </c>
      <c r="X57" s="946">
        <f t="shared" si="44"/>
        <v>0</v>
      </c>
      <c r="Y57" s="946">
        <f t="shared" si="31"/>
        <v>0</v>
      </c>
      <c r="Z57" s="946">
        <f t="shared" si="45"/>
        <v>0</v>
      </c>
      <c r="AA57" s="946"/>
      <c r="AB57" s="932" cm="1">
        <f t="array" ref="AB57">SUMPRODUCT(--(C57=sales!$D$22:$D$27),sales!$G$22:$G$27)</f>
        <v>0</v>
      </c>
      <c r="AC57" s="946"/>
      <c r="AD57" s="931">
        <f t="shared" si="32"/>
        <v>0</v>
      </c>
      <c r="AE57" s="932"/>
      <c r="AF57" s="932">
        <f t="shared" si="24"/>
        <v>0</v>
      </c>
      <c r="AG57" s="932">
        <f t="shared" si="25"/>
        <v>0</v>
      </c>
      <c r="AH57" s="931">
        <f t="shared" si="54"/>
        <v>0</v>
      </c>
      <c r="AI57" s="932"/>
      <c r="AJ57" s="931">
        <f t="shared" si="55"/>
        <v>0</v>
      </c>
      <c r="AK57" s="946"/>
      <c r="AL57" s="947">
        <f>+IF(financing!$C$12="YES",'Development Cash Flow'!M57,0)</f>
        <v>0</v>
      </c>
      <c r="AM57" s="947">
        <f t="shared" si="33"/>
        <v>0</v>
      </c>
      <c r="AN57" s="947">
        <f t="shared" si="46"/>
        <v>0</v>
      </c>
      <c r="AO57" s="946"/>
      <c r="AP57" s="947">
        <f>+SUM('Development Cash Flow'!G57:J57)-'Development Cash Flow'!M57</f>
        <v>0</v>
      </c>
      <c r="AQ57" s="947">
        <f t="shared" si="34"/>
        <v>0</v>
      </c>
      <c r="AR57" s="947">
        <f t="shared" si="47"/>
        <v>0</v>
      </c>
      <c r="AS57" s="946"/>
      <c r="AT57" s="947">
        <f t="shared" si="48"/>
        <v>0</v>
      </c>
      <c r="AU57" s="947">
        <f t="shared" si="49"/>
        <v>0</v>
      </c>
      <c r="AV57" s="948">
        <f t="shared" si="50"/>
        <v>0</v>
      </c>
      <c r="AW57" s="946"/>
      <c r="AX57" s="947">
        <f t="shared" si="35"/>
        <v>0</v>
      </c>
      <c r="AY57" s="947">
        <f>+AZ56*financing!$E$30/12</f>
        <v>0</v>
      </c>
      <c r="AZ57" s="947">
        <f t="shared" si="51"/>
        <v>0</v>
      </c>
      <c r="BA57" s="946"/>
      <c r="BB57" s="947">
        <f t="shared" si="36"/>
        <v>0</v>
      </c>
      <c r="BC57" s="947">
        <f>+IF(AND(BD56+BB57+MAX(BD56*financing!$E$15/12,financing!$D$59-SUM(reserves!BC$6:BC56)-SUM(J$6:J57))-reserves!AD57&lt;=0,financing!$D$58&gt;=0),MAX(BD56*financing!$E$15/12,financing!$D$59-SUM(reserves!BC$6:BC56)-SUM(J$6:J57)),BD56*financing!$E$15/12)</f>
        <v>0</v>
      </c>
      <c r="BD57" s="947">
        <f t="shared" si="17"/>
        <v>0</v>
      </c>
      <c r="BE57" s="946"/>
      <c r="BF57" s="947">
        <f t="shared" si="52"/>
        <v>0</v>
      </c>
      <c r="BG57" s="947">
        <f>+IF(AND(BH56+BF57+MAX((BH56*(LIBOR!AA58)*(D57-D56)/360)+BY57,financing!$C$16-SUM(reserves!BG$6:BG56))-reserves!AD57&lt;=0,financing!$L$17&gt;=0),MAX((BH56*(LIBOR!AA58)*(D57-D56)/360)+BY57,financing!$C$16-SUM(reserves!BG$6:BG56)),(BH56*(LIBOR!AA58)*(D57-D56)/360)+BY57)</f>
        <v>0</v>
      </c>
      <c r="BH57" s="947">
        <f t="shared" si="53"/>
        <v>0</v>
      </c>
      <c r="BI57" s="946"/>
      <c r="BJ57" s="937"/>
      <c r="BK57" s="938">
        <f t="shared" si="41"/>
        <v>0</v>
      </c>
      <c r="BL57" s="939">
        <f>-S57+AJ57+AF57-AX57+AH57+AG57-BB57-BF57+'Development Cash Flow'!Y57</f>
        <v>0</v>
      </c>
      <c r="BM57" s="940"/>
      <c r="BN57" s="941">
        <f t="shared" si="37"/>
        <v>0</v>
      </c>
      <c r="BO57" s="940"/>
      <c r="BP57" s="942">
        <f t="shared" si="38"/>
        <v>0</v>
      </c>
      <c r="BS57" s="949" t="e">
        <f t="shared" si="42"/>
        <v>#DIV/0!</v>
      </c>
      <c r="BT57" s="922">
        <f>+IF(SUM(BT$5:BT56)&lt;1,IF(BU57=MAX($BU$6:$BU$54),1,0),0)</f>
        <v>0</v>
      </c>
      <c r="BU57" s="922">
        <f t="shared" si="43"/>
        <v>4000000</v>
      </c>
      <c r="BV57" s="943" t="str">
        <f t="shared" si="39"/>
        <v/>
      </c>
      <c r="BW57" s="922" t="str">
        <f t="shared" si="40"/>
        <v/>
      </c>
      <c r="BY57" s="208">
        <f>ROUND(IF(A57="Dev",IF(AND(BK57&gt;general!$D$23,SUM($BZ$6:$BZ56)&lt;1,financing!$L$15&gt;BH56+BF57),financing!$L$16*(BK57-BK56)/360*(financing!$L$15-BH56-BF57),0),0),-2)</f>
        <v>0</v>
      </c>
      <c r="BZ57" s="909">
        <f>+IF(AND(BH57&gt;=financing!$L$15,SUM(BZ$6:BZ56)=0),1,0)</f>
        <v>0</v>
      </c>
      <c r="CA57" s="950">
        <f t="shared" si="56"/>
        <v>0</v>
      </c>
      <c r="CD57" s="909">
        <f>SUM($S$6:S57)</f>
        <v>4000000</v>
      </c>
      <c r="CF57" s="208">
        <f>+IF(C57&lt;general!$C$22,0,IF(AND(C57=general!$C$22,OR(A57="Pred",A57="Dev")),SUM(S$6:S57),S57))</f>
        <v>0</v>
      </c>
    </row>
    <row r="58" spans="1:84" ht="16" outlineLevel="1">
      <c r="A58" s="906" t="str">
        <f>+'Development Cash Flow'!A58</f>
        <v>post dev</v>
      </c>
      <c r="B58" s="908"/>
      <c r="C58" s="944">
        <f>IF('Development Cash Flow'!D57&lt;general!$D$28,'Development Cash Flow'!C57+1,0)</f>
        <v>0</v>
      </c>
      <c r="D58" s="945">
        <f t="shared" si="23"/>
        <v>47848</v>
      </c>
      <c r="E58" s="945"/>
      <c r="F58" s="928">
        <f>'Development Cash Flow'!P58*D$4+SUM('Development Cash Flow'!Q58:T58)*F$4</f>
        <v>0</v>
      </c>
      <c r="G58" s="928">
        <f>'Development Cash Flow'!AL58-F58</f>
        <v>0</v>
      </c>
      <c r="H58" s="928"/>
      <c r="I58" s="928"/>
      <c r="J58" s="931">
        <f>+financing!$D$54/12*reserves!BD57</f>
        <v>0</v>
      </c>
      <c r="K58" s="928">
        <f>IF(C58=0,0,IF(C58=sales!$D$32,financing!$E$12*financing!$F$11,IF(OR(C58&gt;general!$C$27,C58&lt;sales!$D$32),0,IF((C58-sales!$D$32)/12=ROUND((C58-sales!$D$32)/12,0),financing!$E$12*financing!$F$11,0))))</f>
        <v>0</v>
      </c>
      <c r="L58" s="928"/>
      <c r="M58" s="928">
        <f t="shared" si="26"/>
        <v>0</v>
      </c>
      <c r="N58" s="946"/>
      <c r="O58" s="946">
        <f>IF(D58=general!$D$21,financing!$F$30,0)</f>
        <v>0</v>
      </c>
      <c r="P58" s="946">
        <f>+MIN(IF(D58&lt;=general!$D$24,SUM(F$6:F58)-SUM(P$6:P57),reserves!F58),AR57)</f>
        <v>0</v>
      </c>
      <c r="Q58" s="946">
        <f>+MAX(MIN(SUM(G$6:$G58)-R58,AN57,SUM(G$6:$G58)-SUM(Q$6:Q57)),0)</f>
        <v>0</v>
      </c>
      <c r="R58" s="946">
        <f>+IF(C58&gt;=sales!$D$36,'Development Cash Flow'!AL58,0)</f>
        <v>0</v>
      </c>
      <c r="S58" s="931">
        <f>IF(AND(A58=$A$5,C58&lt;financing!$D$55),M58-SUM(P58:R58,O58),MIN(M58-SUM(P58:R58,O58),financing!$F$10-SUM(S$5:S57)))</f>
        <v>0</v>
      </c>
      <c r="T58" s="931">
        <f>+MAX(MIN(IF(C58&gt;=financing!$D$55,M58-SUM(P58:S58)-J58,0),financing!$D$57-SUM(T$5:T57)),0)</f>
        <v>0</v>
      </c>
      <c r="U58" s="931">
        <f>+MAX(IF(C58&gt;=general!$C$23,M58-SUM(P58:T58),0)+IF(C58=general!$C$23,reserves!AZ57+AY58,0),0)</f>
        <v>0</v>
      </c>
      <c r="V58" s="946"/>
      <c r="W58" s="946">
        <f>SUMPRODUCT(--($C58=sales!$C$50:$C$54),sales!$F$50:$F$54)</f>
        <v>0</v>
      </c>
      <c r="X58" s="946">
        <f t="shared" si="44"/>
        <v>0</v>
      </c>
      <c r="Y58" s="946">
        <f t="shared" si="31"/>
        <v>0</v>
      </c>
      <c r="Z58" s="946">
        <f t="shared" si="45"/>
        <v>0</v>
      </c>
      <c r="AA58" s="946"/>
      <c r="AB58" s="932" cm="1">
        <f t="array" ref="AB58">SUMPRODUCT(--(C58=sales!$D$22:$D$27),sales!$G$22:$G$27)</f>
        <v>0</v>
      </c>
      <c r="AC58" s="946"/>
      <c r="AD58" s="931">
        <f t="shared" si="32"/>
        <v>0</v>
      </c>
      <c r="AE58" s="932"/>
      <c r="AF58" s="932">
        <f t="shared" si="24"/>
        <v>0</v>
      </c>
      <c r="AG58" s="932">
        <f t="shared" si="25"/>
        <v>0</v>
      </c>
      <c r="AH58" s="931">
        <f t="shared" si="54"/>
        <v>0</v>
      </c>
      <c r="AI58" s="932"/>
      <c r="AJ58" s="931">
        <f t="shared" si="55"/>
        <v>0</v>
      </c>
      <c r="AK58" s="946"/>
      <c r="AL58" s="947">
        <f>+IF(financing!$C$12="YES",'Development Cash Flow'!M58,0)</f>
        <v>0</v>
      </c>
      <c r="AM58" s="947">
        <f t="shared" si="33"/>
        <v>0</v>
      </c>
      <c r="AN58" s="947">
        <f t="shared" si="46"/>
        <v>0</v>
      </c>
      <c r="AO58" s="946"/>
      <c r="AP58" s="947">
        <f>+SUM('Development Cash Flow'!G58:J58)-'Development Cash Flow'!M58</f>
        <v>0</v>
      </c>
      <c r="AQ58" s="947">
        <f t="shared" si="34"/>
        <v>0</v>
      </c>
      <c r="AR58" s="947">
        <f t="shared" si="47"/>
        <v>0</v>
      </c>
      <c r="AS58" s="946"/>
      <c r="AT58" s="947">
        <f t="shared" si="48"/>
        <v>0</v>
      </c>
      <c r="AU58" s="947">
        <f t="shared" si="49"/>
        <v>0</v>
      </c>
      <c r="AV58" s="948">
        <f t="shared" si="50"/>
        <v>0</v>
      </c>
      <c r="AW58" s="946"/>
      <c r="AX58" s="947">
        <f t="shared" si="35"/>
        <v>0</v>
      </c>
      <c r="AY58" s="947">
        <f>+AZ57*financing!$E$30/12</f>
        <v>0</v>
      </c>
      <c r="AZ58" s="947">
        <f t="shared" si="51"/>
        <v>0</v>
      </c>
      <c r="BA58" s="946"/>
      <c r="BB58" s="947">
        <f t="shared" si="36"/>
        <v>0</v>
      </c>
      <c r="BC58" s="947">
        <f>+IF(AND(BD57+BB58+MAX(BD57*financing!$E$15/12,financing!$D$59-SUM(reserves!BC$6:BC57)-SUM(J$6:J58))-reserves!AD58&lt;=0,financing!$D$58&gt;=0),MAX(BD57*financing!$E$15/12,financing!$D$59-SUM(reserves!BC$6:BC57)-SUM(J$6:J58)),BD57*financing!$E$15/12)</f>
        <v>0</v>
      </c>
      <c r="BD58" s="947">
        <f t="shared" si="17"/>
        <v>0</v>
      </c>
      <c r="BE58" s="946"/>
      <c r="BF58" s="947">
        <f t="shared" si="52"/>
        <v>0</v>
      </c>
      <c r="BG58" s="947">
        <f>+IF(AND(BH57+BF58+MAX((BH57*(LIBOR!AA59)*(D58-D57)/360)+BY58,financing!$C$16-SUM(reserves!BG$6:BG57))-reserves!AD58&lt;=0,financing!$L$17&gt;=0),MAX((BH57*(LIBOR!AA59)*(D58-D57)/360)+BY58,financing!$C$16-SUM(reserves!BG$6:BG57)),(BH57*(LIBOR!AA59)*(D58-D57)/360)+BY58)</f>
        <v>0</v>
      </c>
      <c r="BH58" s="947">
        <f t="shared" si="53"/>
        <v>0</v>
      </c>
      <c r="BI58" s="946"/>
      <c r="BJ58" s="937"/>
      <c r="BK58" s="938">
        <f t="shared" si="41"/>
        <v>0</v>
      </c>
      <c r="BL58" s="939">
        <f>-S58+AJ58+AF58-AX58+AH58+AG58-BB58-BF58+'Development Cash Flow'!Y58</f>
        <v>0</v>
      </c>
      <c r="BM58" s="940"/>
      <c r="BN58" s="941">
        <f t="shared" si="37"/>
        <v>0</v>
      </c>
      <c r="BO58" s="940"/>
      <c r="BP58" s="942">
        <f t="shared" si="38"/>
        <v>0</v>
      </c>
      <c r="BS58" s="949" t="e">
        <f t="shared" si="42"/>
        <v>#DIV/0!</v>
      </c>
      <c r="BT58" s="922">
        <f>+IF(SUM(BT$5:BT57)&lt;1,IF(BU58=MAX($BU$6:$BU$54),1,0),0)</f>
        <v>0</v>
      </c>
      <c r="BU58" s="922">
        <f t="shared" si="43"/>
        <v>4000000</v>
      </c>
      <c r="BV58" s="943" t="str">
        <f t="shared" si="39"/>
        <v/>
      </c>
      <c r="BW58" s="922" t="str">
        <f t="shared" si="40"/>
        <v/>
      </c>
      <c r="BY58" s="208">
        <f>ROUND(IF(A58="Dev",IF(AND(BK58&gt;general!$D$23,SUM($BZ$6:$BZ57)&lt;1,financing!$L$15&gt;BH57+BF58),financing!$L$16*(BK58-BK57)/360*(financing!$L$15-BH57-BF58),0),0),-2)</f>
        <v>0</v>
      </c>
      <c r="BZ58" s="909">
        <f>+IF(AND(BH58&gt;=financing!$L$15,SUM(BZ$6:BZ57)=0),1,0)</f>
        <v>0</v>
      </c>
      <c r="CA58" s="950">
        <f t="shared" si="56"/>
        <v>0</v>
      </c>
      <c r="CD58" s="909">
        <f>SUM($S$6:S58)</f>
        <v>4000000</v>
      </c>
      <c r="CF58" s="208">
        <f>+IF(C58&lt;general!$C$22,0,IF(AND(C58=general!$C$22,OR(A58="Pred",A58="Dev")),SUM(S$6:S58),S58))</f>
        <v>0</v>
      </c>
    </row>
    <row r="59" spans="1:84" ht="16" outlineLevel="1">
      <c r="A59" s="906" t="str">
        <f>+'Development Cash Flow'!A59</f>
        <v>post dev</v>
      </c>
      <c r="B59" s="908"/>
      <c r="C59" s="944">
        <f>IF('Development Cash Flow'!D58&lt;general!$D$28,'Development Cash Flow'!C58+1,0)</f>
        <v>0</v>
      </c>
      <c r="D59" s="945">
        <f t="shared" si="23"/>
        <v>47879</v>
      </c>
      <c r="E59" s="945"/>
      <c r="F59" s="928">
        <f>'Development Cash Flow'!P59*D$4+SUM('Development Cash Flow'!Q59:T59)*F$4</f>
        <v>0</v>
      </c>
      <c r="G59" s="928">
        <f>'Development Cash Flow'!AL59-F59</f>
        <v>0</v>
      </c>
      <c r="H59" s="928"/>
      <c r="I59" s="928"/>
      <c r="J59" s="931">
        <f>+financing!$D$54/12*reserves!BD58</f>
        <v>0</v>
      </c>
      <c r="K59" s="928">
        <f>IF(C59=0,0,IF(C59=sales!$D$32,financing!$E$12*financing!$F$11,IF(OR(C59&gt;general!$C$27,C59&lt;sales!$D$32),0,IF((C59-sales!$D$32)/12=ROUND((C59-sales!$D$32)/12,0),financing!$E$12*financing!$F$11,0))))</f>
        <v>0</v>
      </c>
      <c r="L59" s="928"/>
      <c r="M59" s="928">
        <f t="shared" si="26"/>
        <v>0</v>
      </c>
      <c r="N59" s="946"/>
      <c r="O59" s="946">
        <f>IF(D59=general!$D$21,financing!$F$30,0)</f>
        <v>0</v>
      </c>
      <c r="P59" s="946">
        <f>+MIN(IF(D59&lt;=general!$D$24,SUM(F$6:F59)-SUM(P$6:P58),reserves!F59),AR58)</f>
        <v>0</v>
      </c>
      <c r="Q59" s="946">
        <f>+MAX(MIN(SUM(G$6:$G59)-R59,AN58,SUM(G$6:$G59)-SUM(Q$6:Q58)),0)</f>
        <v>0</v>
      </c>
      <c r="R59" s="946">
        <f>+IF(C59&gt;=sales!$D$36,'Development Cash Flow'!AL59,0)</f>
        <v>0</v>
      </c>
      <c r="S59" s="931">
        <f>IF(AND(A59=$A$5,C59&lt;financing!$D$55),M59-SUM(P59:R59,O59),MIN(M59-SUM(P59:R59,O59),financing!$F$10-SUM(S$5:S58)))</f>
        <v>0</v>
      </c>
      <c r="T59" s="931">
        <f>+MAX(MIN(IF(C59&gt;=financing!$D$55,M59-SUM(P59:S59)-J59,0),financing!$D$57-SUM(T$5:T58)),0)</f>
        <v>0</v>
      </c>
      <c r="U59" s="931">
        <f>+MAX(IF(C59&gt;=general!$C$23,M59-SUM(P59:T59),0)+IF(C59=general!$C$23,reserves!AZ58+AY59,0),0)</f>
        <v>0</v>
      </c>
      <c r="V59" s="946"/>
      <c r="W59" s="946">
        <f>SUMPRODUCT(--($C59=sales!$C$50:$C$54),sales!$F$50:$F$54)</f>
        <v>0</v>
      </c>
      <c r="X59" s="946">
        <f t="shared" si="44"/>
        <v>0</v>
      </c>
      <c r="Y59" s="946">
        <f t="shared" si="31"/>
        <v>0</v>
      </c>
      <c r="Z59" s="946">
        <f t="shared" si="45"/>
        <v>0</v>
      </c>
      <c r="AA59" s="946"/>
      <c r="AB59" s="932" cm="1">
        <f t="array" ref="AB59">SUMPRODUCT(--(C59=sales!$D$22:$D$27),sales!$G$22:$G$27)</f>
        <v>0</v>
      </c>
      <c r="AC59" s="946"/>
      <c r="AD59" s="931">
        <f t="shared" si="32"/>
        <v>0</v>
      </c>
      <c r="AE59" s="932"/>
      <c r="AF59" s="932">
        <f t="shared" si="24"/>
        <v>0</v>
      </c>
      <c r="AG59" s="932">
        <f t="shared" si="25"/>
        <v>0</v>
      </c>
      <c r="AH59" s="931">
        <f t="shared" si="54"/>
        <v>0</v>
      </c>
      <c r="AI59" s="932"/>
      <c r="AJ59" s="931">
        <f t="shared" si="55"/>
        <v>0</v>
      </c>
      <c r="AK59" s="946"/>
      <c r="AL59" s="947">
        <f>+IF(financing!$C$12="YES",'Development Cash Flow'!M59,0)</f>
        <v>0</v>
      </c>
      <c r="AM59" s="947">
        <f t="shared" si="33"/>
        <v>0</v>
      </c>
      <c r="AN59" s="947">
        <f t="shared" si="46"/>
        <v>0</v>
      </c>
      <c r="AO59" s="946"/>
      <c r="AP59" s="947">
        <f>+SUM('Development Cash Flow'!G59:J59)-'Development Cash Flow'!M59</f>
        <v>0</v>
      </c>
      <c r="AQ59" s="947">
        <f t="shared" si="34"/>
        <v>0</v>
      </c>
      <c r="AR59" s="947">
        <f t="shared" si="47"/>
        <v>0</v>
      </c>
      <c r="AS59" s="946"/>
      <c r="AT59" s="947">
        <f t="shared" si="48"/>
        <v>0</v>
      </c>
      <c r="AU59" s="947">
        <f t="shared" si="49"/>
        <v>0</v>
      </c>
      <c r="AV59" s="948">
        <f t="shared" si="50"/>
        <v>0</v>
      </c>
      <c r="AW59" s="946"/>
      <c r="AX59" s="947">
        <f t="shared" si="35"/>
        <v>0</v>
      </c>
      <c r="AY59" s="947">
        <f>+AZ58*financing!$E$30/12</f>
        <v>0</v>
      </c>
      <c r="AZ59" s="947">
        <f t="shared" si="51"/>
        <v>0</v>
      </c>
      <c r="BA59" s="946"/>
      <c r="BB59" s="947">
        <f t="shared" si="36"/>
        <v>0</v>
      </c>
      <c r="BC59" s="947">
        <f>+IF(AND(BD58+BB59+MAX(BD58*financing!$E$15/12,financing!$D$59-SUM(reserves!BC$6:BC58)-SUM(J$6:J59))-reserves!AD59&lt;=0,financing!$D$58&gt;=0),MAX(BD58*financing!$E$15/12,financing!$D$59-SUM(reserves!BC$6:BC58)-SUM(J$6:J59)),BD58*financing!$E$15/12)</f>
        <v>0</v>
      </c>
      <c r="BD59" s="947">
        <f t="shared" si="17"/>
        <v>0</v>
      </c>
      <c r="BE59" s="946"/>
      <c r="BF59" s="947">
        <f t="shared" si="52"/>
        <v>0</v>
      </c>
      <c r="BG59" s="947">
        <f>+IF(AND(BH58+BF59+MAX((BH58*(LIBOR!AA60)*(D59-D58)/360)+BY59,financing!$C$16-SUM(reserves!BG$6:BG58))-reserves!AD59&lt;=0,financing!$L$17&gt;=0),MAX((BH58*(LIBOR!AA60)*(D59-D58)/360)+BY59,financing!$C$16-SUM(reserves!BG$6:BG58)),(BH58*(LIBOR!AA60)*(D59-D58)/360)+BY59)</f>
        <v>0</v>
      </c>
      <c r="BH59" s="947">
        <f t="shared" si="53"/>
        <v>0</v>
      </c>
      <c r="BI59" s="946"/>
      <c r="BJ59" s="937"/>
      <c r="BK59" s="938">
        <f t="shared" si="41"/>
        <v>0</v>
      </c>
      <c r="BL59" s="939">
        <f>-S59+AJ59+AF59-AX59+AH59+AG59-BB59-BF59+'Development Cash Flow'!Y59</f>
        <v>0</v>
      </c>
      <c r="BM59" s="940"/>
      <c r="BN59" s="941">
        <f t="shared" si="37"/>
        <v>0</v>
      </c>
      <c r="BO59" s="940"/>
      <c r="BP59" s="942">
        <f t="shared" si="38"/>
        <v>0</v>
      </c>
      <c r="BS59" s="949" t="e">
        <f t="shared" si="42"/>
        <v>#DIV/0!</v>
      </c>
      <c r="BT59" s="922">
        <f>+IF(SUM(BT$5:BT58)&lt;1,IF(BU59=MAX($BU$6:$BU$54),1,0),0)</f>
        <v>0</v>
      </c>
      <c r="BU59" s="922">
        <f t="shared" si="43"/>
        <v>4000000</v>
      </c>
      <c r="BV59" s="943" t="str">
        <f t="shared" si="39"/>
        <v/>
      </c>
      <c r="BW59" s="922" t="str">
        <f t="shared" si="40"/>
        <v/>
      </c>
      <c r="BY59" s="208">
        <f>ROUND(IF(A59="Dev",IF(AND(BK59&gt;general!$D$23,SUM($BZ$6:$BZ58)&lt;1,financing!$L$15&gt;BH58+BF59),financing!$L$16*(BK59-BK58)/360*(financing!$L$15-BH58-BF59),0),0),-2)</f>
        <v>0</v>
      </c>
      <c r="BZ59" s="909">
        <f>+IF(AND(BH59&gt;=financing!$L$15,SUM(BZ$6:BZ58)=0),1,0)</f>
        <v>0</v>
      </c>
      <c r="CA59" s="950">
        <f t="shared" si="56"/>
        <v>0</v>
      </c>
      <c r="CD59" s="909">
        <f>SUM($S$6:S59)</f>
        <v>4000000</v>
      </c>
      <c r="CF59" s="208">
        <f>+IF(C59&lt;general!$C$22,0,IF(AND(C59=general!$C$22,OR(A59="Pred",A59="Dev")),SUM(S$6:S59),S59))</f>
        <v>0</v>
      </c>
    </row>
    <row r="60" spans="1:84" ht="16" outlineLevel="1">
      <c r="A60" s="906" t="str">
        <f>+'Development Cash Flow'!A60</f>
        <v>post dev</v>
      </c>
      <c r="B60" s="908"/>
      <c r="C60" s="944">
        <f>IF('Development Cash Flow'!D59&lt;general!$D$28,'Development Cash Flow'!C59+1,0)</f>
        <v>0</v>
      </c>
      <c r="D60" s="945">
        <f t="shared" si="23"/>
        <v>47907</v>
      </c>
      <c r="E60" s="945"/>
      <c r="F60" s="928">
        <f>'Development Cash Flow'!P60*D$4+SUM('Development Cash Flow'!Q60:T60)*F$4</f>
        <v>0</v>
      </c>
      <c r="G60" s="928">
        <f>'Development Cash Flow'!AL60-F60</f>
        <v>0</v>
      </c>
      <c r="H60" s="928"/>
      <c r="I60" s="928"/>
      <c r="J60" s="931">
        <f>+financing!$D$54/12*reserves!BD59</f>
        <v>0</v>
      </c>
      <c r="K60" s="928">
        <f>IF(C60=0,0,IF(C60=sales!$D$32,financing!$E$12*financing!$F$11,IF(OR(C60&gt;general!$C$27,C60&lt;sales!$D$32),0,IF((C60-sales!$D$32)/12=ROUND((C60-sales!$D$32)/12,0),financing!$E$12*financing!$F$11,0))))</f>
        <v>0</v>
      </c>
      <c r="L60" s="928"/>
      <c r="M60" s="928">
        <f t="shared" si="26"/>
        <v>0</v>
      </c>
      <c r="N60" s="946"/>
      <c r="O60" s="946">
        <f>IF(D60=general!$D$21,financing!$F$30,0)</f>
        <v>0</v>
      </c>
      <c r="P60" s="946">
        <f>+MIN(IF(D60&lt;=general!$D$24,SUM(F$6:F60)-SUM(P$6:P59),reserves!F60),AR59)</f>
        <v>0</v>
      </c>
      <c r="Q60" s="946">
        <f>+MAX(MIN(SUM(G$6:$G60)-R60,AN59,SUM(G$6:$G60)-SUM(Q$6:Q59)),0)</f>
        <v>0</v>
      </c>
      <c r="R60" s="946">
        <f>+IF(C60&gt;=sales!$D$36,'Development Cash Flow'!AL60,0)</f>
        <v>0</v>
      </c>
      <c r="S60" s="931">
        <f>IF(AND(A60=$A$5,C60&lt;financing!$D$55),M60-SUM(P60:R60,O60),MIN(M60-SUM(P60:R60,O60),financing!$F$10-SUM(S$5:S59)))</f>
        <v>0</v>
      </c>
      <c r="T60" s="931">
        <f>+MAX(MIN(IF(C60&gt;=financing!$D$55,M60-SUM(P60:S60)-J60,0),financing!$D$57-SUM(T$5:T59)),0)</f>
        <v>0</v>
      </c>
      <c r="U60" s="931">
        <f>+MAX(IF(C60&gt;=general!$C$23,M60-SUM(P60:T60),0)+IF(C60=general!$C$23,reserves!AZ59+AY60,0),0)</f>
        <v>0</v>
      </c>
      <c r="V60" s="946"/>
      <c r="W60" s="946">
        <f>SUMPRODUCT(--($C60=sales!$C$50:$C$54),sales!$F$50:$F$54)</f>
        <v>0</v>
      </c>
      <c r="X60" s="946">
        <f t="shared" si="44"/>
        <v>0</v>
      </c>
      <c r="Y60" s="946">
        <f t="shared" si="31"/>
        <v>0</v>
      </c>
      <c r="Z60" s="946">
        <f t="shared" si="45"/>
        <v>0</v>
      </c>
      <c r="AA60" s="946"/>
      <c r="AB60" s="932" cm="1">
        <f t="array" ref="AB60">SUMPRODUCT(--(C60=sales!$D$22:$D$27),sales!$G$22:$G$27)</f>
        <v>0</v>
      </c>
      <c r="AC60" s="946"/>
      <c r="AD60" s="931">
        <f t="shared" si="32"/>
        <v>0</v>
      </c>
      <c r="AE60" s="932"/>
      <c r="AF60" s="932">
        <f t="shared" si="24"/>
        <v>0</v>
      </c>
      <c r="AG60" s="932">
        <f t="shared" si="25"/>
        <v>0</v>
      </c>
      <c r="AH60" s="931">
        <f t="shared" si="54"/>
        <v>0</v>
      </c>
      <c r="AI60" s="932"/>
      <c r="AJ60" s="931">
        <f t="shared" si="55"/>
        <v>0</v>
      </c>
      <c r="AK60" s="946"/>
      <c r="AL60" s="947">
        <f>+IF(financing!$C$12="YES",'Development Cash Flow'!M60,0)</f>
        <v>0</v>
      </c>
      <c r="AM60" s="947">
        <f t="shared" si="33"/>
        <v>0</v>
      </c>
      <c r="AN60" s="947">
        <f t="shared" si="46"/>
        <v>0</v>
      </c>
      <c r="AO60" s="946"/>
      <c r="AP60" s="947">
        <f>+SUM('Development Cash Flow'!G60:J60)-'Development Cash Flow'!M60</f>
        <v>0</v>
      </c>
      <c r="AQ60" s="947">
        <f t="shared" si="34"/>
        <v>0</v>
      </c>
      <c r="AR60" s="947">
        <f t="shared" si="47"/>
        <v>0</v>
      </c>
      <c r="AS60" s="946"/>
      <c r="AT60" s="947">
        <f t="shared" si="48"/>
        <v>0</v>
      </c>
      <c r="AU60" s="947">
        <f t="shared" si="49"/>
        <v>0</v>
      </c>
      <c r="AV60" s="948">
        <f t="shared" si="50"/>
        <v>0</v>
      </c>
      <c r="AW60" s="946"/>
      <c r="AX60" s="947">
        <f t="shared" si="35"/>
        <v>0</v>
      </c>
      <c r="AY60" s="947">
        <f>+AZ59*financing!$E$30/12</f>
        <v>0</v>
      </c>
      <c r="AZ60" s="947">
        <f t="shared" si="51"/>
        <v>0</v>
      </c>
      <c r="BA60" s="946"/>
      <c r="BB60" s="947">
        <f t="shared" si="36"/>
        <v>0</v>
      </c>
      <c r="BC60" s="947">
        <f>+IF(AND(BD59+BB60+MAX(BD59*financing!$E$15/12,financing!$D$59-SUM(reserves!BC$6:BC59)-SUM(J$6:J60))-reserves!AD60&lt;=0,financing!$D$58&gt;=0),MAX(BD59*financing!$E$15/12,financing!$D$59-SUM(reserves!BC$6:BC59)-SUM(J$6:J60)),BD59*financing!$E$15/12)</f>
        <v>0</v>
      </c>
      <c r="BD60" s="947">
        <f t="shared" si="17"/>
        <v>0</v>
      </c>
      <c r="BE60" s="946"/>
      <c r="BF60" s="947">
        <f t="shared" si="52"/>
        <v>0</v>
      </c>
      <c r="BG60" s="947">
        <f>+IF(AND(BH59+BF60+MAX((BH59*(LIBOR!AA61)*(D60-D59)/360)+BY60,financing!$C$16-SUM(reserves!BG$6:BG59))-reserves!AD60&lt;=0,financing!$L$17&gt;=0),MAX((BH59*(LIBOR!AA61)*(D60-D59)/360)+BY60,financing!$C$16-SUM(reserves!BG$6:BG59)),(BH59*(LIBOR!AA61)*(D60-D59)/360)+BY60)</f>
        <v>0</v>
      </c>
      <c r="BH60" s="947">
        <f t="shared" si="53"/>
        <v>0</v>
      </c>
      <c r="BI60" s="946"/>
      <c r="BJ60" s="937"/>
      <c r="BK60" s="938">
        <f t="shared" si="41"/>
        <v>0</v>
      </c>
      <c r="BL60" s="939">
        <f>-S60+AJ60+AF60-AX60+AH60+AG60-BB60-BF60+'Development Cash Flow'!Y60</f>
        <v>0</v>
      </c>
      <c r="BM60" s="940"/>
      <c r="BN60" s="941">
        <f t="shared" si="37"/>
        <v>0</v>
      </c>
      <c r="BO60" s="940"/>
      <c r="BP60" s="942">
        <f t="shared" si="38"/>
        <v>0</v>
      </c>
      <c r="BS60" s="949" t="e">
        <f t="shared" si="42"/>
        <v>#DIV/0!</v>
      </c>
      <c r="BT60" s="922">
        <f>+IF(SUM(BT$5:BT59)&lt;1,IF(BU60=MAX($BU$6:$BU$54),1,0),0)</f>
        <v>0</v>
      </c>
      <c r="BU60" s="922">
        <f t="shared" si="43"/>
        <v>4000000</v>
      </c>
      <c r="BV60" s="943" t="str">
        <f t="shared" si="39"/>
        <v/>
      </c>
      <c r="BW60" s="922" t="str">
        <f t="shared" si="40"/>
        <v/>
      </c>
      <c r="BY60" s="208">
        <f>ROUND(IF(A60="Dev",IF(AND(BK60&gt;general!$D$23,SUM($BZ$6:$BZ59)&lt;1,financing!$L$15&gt;BH59+BF60),financing!$L$16*(BK60-BK59)/360*(financing!$L$15-BH59-BF60),0),0),-2)</f>
        <v>0</v>
      </c>
      <c r="BZ60" s="909">
        <f>+IF(AND(BH60&gt;=financing!$L$15,SUM(BZ$6:BZ59)=0),1,0)</f>
        <v>0</v>
      </c>
      <c r="CA60" s="950">
        <f t="shared" si="56"/>
        <v>0</v>
      </c>
      <c r="CD60" s="909">
        <f>SUM($S$6:S60)</f>
        <v>4000000</v>
      </c>
      <c r="CF60" s="208">
        <f>+IF(C60&lt;general!$C$22,0,IF(AND(C60=general!$C$22,OR(A60="Pred",A60="Dev")),SUM(S$6:S60),S60))</f>
        <v>0</v>
      </c>
    </row>
    <row r="61" spans="1:84" ht="16" outlineLevel="1">
      <c r="A61" s="906" t="str">
        <f>+'Development Cash Flow'!A61</f>
        <v>post dev</v>
      </c>
      <c r="B61" s="908"/>
      <c r="C61" s="944">
        <f>IF('Development Cash Flow'!D60&lt;general!$D$28,'Development Cash Flow'!C60+1,0)</f>
        <v>0</v>
      </c>
      <c r="D61" s="945">
        <f t="shared" si="23"/>
        <v>47938</v>
      </c>
      <c r="E61" s="945"/>
      <c r="F61" s="928">
        <f>'Development Cash Flow'!P61*D$4+SUM('Development Cash Flow'!Q61:T61)*F$4</f>
        <v>0</v>
      </c>
      <c r="G61" s="928">
        <f>'Development Cash Flow'!AL61-F61</f>
        <v>0</v>
      </c>
      <c r="H61" s="928"/>
      <c r="I61" s="928"/>
      <c r="J61" s="931">
        <f>+financing!$D$54/12*reserves!BD60</f>
        <v>0</v>
      </c>
      <c r="K61" s="928">
        <f>IF(C61=0,0,IF(C61=sales!$D$32,financing!$E$12*financing!$F$11,IF(OR(C61&gt;general!$C$27,C61&lt;sales!$D$32),0,IF((C61-sales!$D$32)/12=ROUND((C61-sales!$D$32)/12,0),financing!$E$12*financing!$F$11,0))))</f>
        <v>0</v>
      </c>
      <c r="L61" s="928"/>
      <c r="M61" s="928">
        <f t="shared" si="26"/>
        <v>0</v>
      </c>
      <c r="N61" s="946"/>
      <c r="O61" s="946">
        <f>IF(D61=general!$D$21,financing!$F$30,0)</f>
        <v>0</v>
      </c>
      <c r="P61" s="946">
        <f>+MIN(IF(D61&lt;=general!$D$24,SUM(F$6:F61)-SUM(P$6:P60),reserves!F61),AR60)</f>
        <v>0</v>
      </c>
      <c r="Q61" s="946">
        <f>+MAX(MIN(SUM(G$6:$G61)-R61,AN60,SUM(G$6:$G61)-SUM(Q$6:Q60)),0)</f>
        <v>0</v>
      </c>
      <c r="R61" s="946">
        <f>+IF(C61&gt;=sales!$D$36,'Development Cash Flow'!AL61,0)</f>
        <v>0</v>
      </c>
      <c r="S61" s="931">
        <f>IF(AND(A61=$A$5,C61&lt;financing!$D$55),M61-SUM(P61:R61,O61),MIN(M61-SUM(P61:R61,O61),financing!$F$10-SUM(S$5:S60)))</f>
        <v>0</v>
      </c>
      <c r="T61" s="931">
        <f>+MAX(MIN(IF(C61&gt;=financing!$D$55,M61-SUM(P61:S61)-J61,0),financing!$D$57-SUM(T$5:T60)),0)</f>
        <v>0</v>
      </c>
      <c r="U61" s="931">
        <f>+MAX(IF(C61&gt;=general!$C$23,M61-SUM(P61:T61),0)+IF(C61=general!$C$23,reserves!AZ60+AY61,0),0)</f>
        <v>0</v>
      </c>
      <c r="V61" s="946"/>
      <c r="W61" s="946">
        <f>SUMPRODUCT(--($C61=sales!$C$50:$C$54),sales!$F$50:$F$54)</f>
        <v>0</v>
      </c>
      <c r="X61" s="946">
        <f t="shared" si="44"/>
        <v>0</v>
      </c>
      <c r="Y61" s="946">
        <f t="shared" si="31"/>
        <v>0</v>
      </c>
      <c r="Z61" s="946">
        <f t="shared" si="45"/>
        <v>0</v>
      </c>
      <c r="AA61" s="946"/>
      <c r="AB61" s="932" cm="1">
        <f t="array" ref="AB61">SUMPRODUCT(--(C61=sales!$D$22:$D$27),sales!$G$22:$G$27)</f>
        <v>0</v>
      </c>
      <c r="AC61" s="946"/>
      <c r="AD61" s="931">
        <f t="shared" si="32"/>
        <v>0</v>
      </c>
      <c r="AE61" s="932"/>
      <c r="AF61" s="932">
        <f t="shared" si="24"/>
        <v>0</v>
      </c>
      <c r="AG61" s="932">
        <f t="shared" si="25"/>
        <v>0</v>
      </c>
      <c r="AH61" s="931">
        <f t="shared" si="54"/>
        <v>0</v>
      </c>
      <c r="AI61" s="932"/>
      <c r="AJ61" s="931">
        <f t="shared" si="55"/>
        <v>0</v>
      </c>
      <c r="AK61" s="946"/>
      <c r="AL61" s="947">
        <f>+IF(financing!$C$12="YES",'Development Cash Flow'!M61,0)</f>
        <v>0</v>
      </c>
      <c r="AM61" s="947">
        <f t="shared" si="33"/>
        <v>0</v>
      </c>
      <c r="AN61" s="947">
        <f t="shared" si="46"/>
        <v>0</v>
      </c>
      <c r="AO61" s="946"/>
      <c r="AP61" s="947">
        <f>+SUM('Development Cash Flow'!G61:J61)-'Development Cash Flow'!M61</f>
        <v>0</v>
      </c>
      <c r="AQ61" s="947">
        <f t="shared" si="34"/>
        <v>0</v>
      </c>
      <c r="AR61" s="947">
        <f t="shared" si="47"/>
        <v>0</v>
      </c>
      <c r="AS61" s="946"/>
      <c r="AT61" s="947">
        <f t="shared" si="48"/>
        <v>0</v>
      </c>
      <c r="AU61" s="947">
        <f t="shared" si="49"/>
        <v>0</v>
      </c>
      <c r="AV61" s="948">
        <f t="shared" si="50"/>
        <v>0</v>
      </c>
      <c r="AW61" s="946"/>
      <c r="AX61" s="947">
        <f t="shared" si="35"/>
        <v>0</v>
      </c>
      <c r="AY61" s="947">
        <f>+AZ60*financing!$E$30/12</f>
        <v>0</v>
      </c>
      <c r="AZ61" s="947">
        <f t="shared" si="51"/>
        <v>0</v>
      </c>
      <c r="BA61" s="946"/>
      <c r="BB61" s="947">
        <f t="shared" si="36"/>
        <v>0</v>
      </c>
      <c r="BC61" s="947">
        <f>+IF(AND(BD60+BB61+MAX(BD60*financing!$E$15/12,financing!$D$59-SUM(reserves!BC$6:BC60)-SUM(J$6:J61))-reserves!AD61&lt;=0,financing!$D$58&gt;=0),MAX(BD60*financing!$E$15/12,financing!$D$59-SUM(reserves!BC$6:BC60)-SUM(J$6:J61)),BD60*financing!$E$15/12)</f>
        <v>0</v>
      </c>
      <c r="BD61" s="947">
        <f t="shared" si="17"/>
        <v>0</v>
      </c>
      <c r="BE61" s="946"/>
      <c r="BF61" s="947">
        <f t="shared" si="52"/>
        <v>0</v>
      </c>
      <c r="BG61" s="947">
        <f>+IF(AND(BH60+BF61+MAX((BH60*(LIBOR!AA62)*(D61-D60)/360)+BY61,financing!$C$16-SUM(reserves!BG$6:BG60))-reserves!AD61&lt;=0,financing!$L$17&gt;=0),MAX((BH60*(LIBOR!AA62)*(D61-D60)/360)+BY61,financing!$C$16-SUM(reserves!BG$6:BG60)),(BH60*(LIBOR!AA62)*(D61-D60)/360)+BY61)</f>
        <v>0</v>
      </c>
      <c r="BH61" s="947">
        <f t="shared" si="53"/>
        <v>0</v>
      </c>
      <c r="BI61" s="946"/>
      <c r="BJ61" s="937"/>
      <c r="BK61" s="938">
        <f t="shared" si="41"/>
        <v>0</v>
      </c>
      <c r="BL61" s="939">
        <f>-S61+AJ61+AF61-AX61+AH61+AG61-BB61-BF61+'Development Cash Flow'!Y61</f>
        <v>0</v>
      </c>
      <c r="BM61" s="940"/>
      <c r="BN61" s="941">
        <f t="shared" si="37"/>
        <v>0</v>
      </c>
      <c r="BO61" s="940"/>
      <c r="BP61" s="942">
        <f t="shared" si="38"/>
        <v>0</v>
      </c>
      <c r="BS61" s="949" t="e">
        <f t="shared" si="42"/>
        <v>#DIV/0!</v>
      </c>
      <c r="BT61" s="922">
        <f>+IF(SUM(BT$5:BT60)&lt;1,IF(BU61=MAX($BU$6:$BU$54),1,0),0)</f>
        <v>0</v>
      </c>
      <c r="BU61" s="922">
        <f t="shared" si="43"/>
        <v>4000000</v>
      </c>
      <c r="BV61" s="943" t="str">
        <f t="shared" si="39"/>
        <v/>
      </c>
      <c r="BW61" s="922" t="str">
        <f t="shared" si="40"/>
        <v/>
      </c>
      <c r="BY61" s="208">
        <f>ROUND(IF(A61="Dev",IF(AND(BK61&gt;general!$D$23,SUM($BZ$6:$BZ60)&lt;1,financing!$L$15&gt;BH60+BF61),financing!$L$16*(BK61-BK60)/360*(financing!$L$15-BH60-BF61),0),0),-2)</f>
        <v>0</v>
      </c>
      <c r="BZ61" s="909">
        <f>+IF(AND(BH61&gt;=financing!$L$15,SUM(BZ$6:BZ60)=0),1,0)</f>
        <v>0</v>
      </c>
      <c r="CA61" s="950">
        <f t="shared" si="56"/>
        <v>0</v>
      </c>
      <c r="CD61" s="909">
        <f>SUM($S$6:S61)</f>
        <v>4000000</v>
      </c>
      <c r="CF61" s="208">
        <f>+IF(C61&lt;general!$C$22,0,IF(AND(C61=general!$C$22,OR(A61="Pred",A61="Dev")),SUM(S$6:S61),S61))</f>
        <v>0</v>
      </c>
    </row>
    <row r="62" spans="1:84" ht="16" outlineLevel="1">
      <c r="A62" s="906" t="str">
        <f>+'Development Cash Flow'!A62</f>
        <v>post dev</v>
      </c>
      <c r="B62" s="908"/>
      <c r="C62" s="944">
        <f>IF('Development Cash Flow'!D61&lt;general!$D$28,'Development Cash Flow'!C61+1,0)</f>
        <v>0</v>
      </c>
      <c r="D62" s="945">
        <f t="shared" si="23"/>
        <v>47968</v>
      </c>
      <c r="E62" s="945"/>
      <c r="F62" s="928">
        <f>'Development Cash Flow'!P62*D$4+SUM('Development Cash Flow'!Q62:T62)*F$4</f>
        <v>0</v>
      </c>
      <c r="G62" s="928">
        <f>'Development Cash Flow'!AL62-F62</f>
        <v>0</v>
      </c>
      <c r="H62" s="928"/>
      <c r="I62" s="928"/>
      <c r="J62" s="931">
        <f>+financing!$D$54/12*reserves!BD61</f>
        <v>0</v>
      </c>
      <c r="K62" s="928">
        <f>IF(C62=0,0,IF(C62=sales!$D$32,financing!$E$12*financing!$F$11,IF(OR(C62&gt;general!$C$27,C62&lt;sales!$D$32),0,IF((C62-sales!$D$32)/12=ROUND((C62-sales!$D$32)/12,0),financing!$E$12*financing!$F$11,0))))</f>
        <v>0</v>
      </c>
      <c r="L62" s="928"/>
      <c r="M62" s="928">
        <f t="shared" si="26"/>
        <v>0</v>
      </c>
      <c r="N62" s="946"/>
      <c r="O62" s="946">
        <f>IF(D62=general!$D$21,financing!$F$30,0)</f>
        <v>0</v>
      </c>
      <c r="P62" s="946">
        <f>+MIN(IF(D62&lt;=general!$D$24,SUM(F$6:F62)-SUM(P$6:P61),reserves!F62),AR61)</f>
        <v>0</v>
      </c>
      <c r="Q62" s="946">
        <f>+MAX(MIN(SUM(G$6:$G62)-R62,AN61,SUM(G$6:$G62)-SUM(Q$6:Q61)),0)</f>
        <v>0</v>
      </c>
      <c r="R62" s="946">
        <f>+IF(C62&gt;=sales!$D$36,'Development Cash Flow'!AL62,0)</f>
        <v>0</v>
      </c>
      <c r="S62" s="931">
        <f>IF(AND(A62=$A$5,C62&lt;financing!$D$55),M62-SUM(P62:R62,O62),MIN(M62-SUM(P62:R62,O62),financing!$F$10-SUM(S$5:S61)))</f>
        <v>0</v>
      </c>
      <c r="T62" s="931">
        <f>+MAX(MIN(IF(C62&gt;=financing!$D$55,M62-SUM(P62:S62)-J62,0),financing!$D$57-SUM(T$5:T61)),0)</f>
        <v>0</v>
      </c>
      <c r="U62" s="931">
        <f>+MAX(IF(C62&gt;=general!$C$23,M62-SUM(P62:T62),0)+IF(C62=general!$C$23,reserves!AZ61+AY62,0),0)</f>
        <v>0</v>
      </c>
      <c r="V62" s="946"/>
      <c r="W62" s="946">
        <f>SUMPRODUCT(--($C62=sales!$C$50:$C$54),sales!$F$50:$F$54)</f>
        <v>0</v>
      </c>
      <c r="X62" s="946">
        <f t="shared" si="44"/>
        <v>0</v>
      </c>
      <c r="Y62" s="946">
        <f t="shared" si="31"/>
        <v>0</v>
      </c>
      <c r="Z62" s="946">
        <f t="shared" si="45"/>
        <v>0</v>
      </c>
      <c r="AA62" s="946"/>
      <c r="AB62" s="932" cm="1">
        <f t="array" ref="AB62">SUMPRODUCT(--(C62=sales!$D$22:$D$27),sales!$G$22:$G$27)</f>
        <v>0</v>
      </c>
      <c r="AC62" s="946"/>
      <c r="AD62" s="931">
        <f t="shared" si="32"/>
        <v>0</v>
      </c>
      <c r="AE62" s="932"/>
      <c r="AF62" s="932">
        <f t="shared" si="24"/>
        <v>0</v>
      </c>
      <c r="AG62" s="932">
        <f t="shared" si="25"/>
        <v>0</v>
      </c>
      <c r="AH62" s="931">
        <f t="shared" si="54"/>
        <v>0</v>
      </c>
      <c r="AI62" s="932"/>
      <c r="AJ62" s="931">
        <f t="shared" si="55"/>
        <v>0</v>
      </c>
      <c r="AK62" s="946"/>
      <c r="AL62" s="947">
        <f>+IF(financing!$C$12="YES",'Development Cash Flow'!M62,0)</f>
        <v>0</v>
      </c>
      <c r="AM62" s="947">
        <f t="shared" si="33"/>
        <v>0</v>
      </c>
      <c r="AN62" s="947">
        <f t="shared" si="46"/>
        <v>0</v>
      </c>
      <c r="AO62" s="946"/>
      <c r="AP62" s="947">
        <f>+SUM('Development Cash Flow'!G62:J62)-'Development Cash Flow'!M62</f>
        <v>0</v>
      </c>
      <c r="AQ62" s="947">
        <f t="shared" si="34"/>
        <v>0</v>
      </c>
      <c r="AR62" s="947">
        <f t="shared" si="47"/>
        <v>0</v>
      </c>
      <c r="AS62" s="946"/>
      <c r="AT62" s="947">
        <f t="shared" si="48"/>
        <v>0</v>
      </c>
      <c r="AU62" s="947">
        <f t="shared" si="49"/>
        <v>0</v>
      </c>
      <c r="AV62" s="948">
        <f t="shared" si="50"/>
        <v>0</v>
      </c>
      <c r="AW62" s="946"/>
      <c r="AX62" s="947">
        <f t="shared" si="35"/>
        <v>0</v>
      </c>
      <c r="AY62" s="947">
        <f>+AZ61*financing!$E$30/12</f>
        <v>0</v>
      </c>
      <c r="AZ62" s="947">
        <f t="shared" si="51"/>
        <v>0</v>
      </c>
      <c r="BA62" s="946"/>
      <c r="BB62" s="947">
        <f t="shared" si="36"/>
        <v>0</v>
      </c>
      <c r="BC62" s="947">
        <f>+IF(AND(BD61+BB62+MAX(BD61*financing!$E$15/12,financing!$D$59-SUM(reserves!BC$6:BC61)-SUM(J$6:J62))-reserves!AD62&lt;=0,financing!$D$58&gt;=0),MAX(BD61*financing!$E$15/12,financing!$D$59-SUM(reserves!BC$6:BC61)-SUM(J$6:J62)),BD61*financing!$E$15/12)</f>
        <v>0</v>
      </c>
      <c r="BD62" s="947">
        <f t="shared" si="17"/>
        <v>0</v>
      </c>
      <c r="BE62" s="946"/>
      <c r="BF62" s="947">
        <f t="shared" si="52"/>
        <v>0</v>
      </c>
      <c r="BG62" s="947">
        <f>+IF(AND(BH61+BF62+MAX((BH61*(LIBOR!AA63)*(D62-D61)/360)+BY62,financing!$C$16-SUM(reserves!BG$6:BG61))-reserves!AD62&lt;=0,financing!$L$17&gt;=0),MAX((BH61*(LIBOR!AA63)*(D62-D61)/360)+BY62,financing!$C$16-SUM(reserves!BG$6:BG61)),(BH61*(LIBOR!AA63)*(D62-D61)/360)+BY62)</f>
        <v>0</v>
      </c>
      <c r="BH62" s="947">
        <f t="shared" si="53"/>
        <v>0</v>
      </c>
      <c r="BI62" s="946"/>
      <c r="BJ62" s="937"/>
      <c r="BK62" s="938">
        <f t="shared" si="41"/>
        <v>0</v>
      </c>
      <c r="BL62" s="939">
        <f>-S62+AJ62+AF62-AX62+AH62+AG62-BB62-BF62+'Development Cash Flow'!Y62</f>
        <v>0</v>
      </c>
      <c r="BM62" s="940"/>
      <c r="BN62" s="941">
        <f t="shared" si="37"/>
        <v>0</v>
      </c>
      <c r="BO62" s="940"/>
      <c r="BP62" s="942">
        <f t="shared" si="38"/>
        <v>0</v>
      </c>
      <c r="BS62" s="949" t="e">
        <f t="shared" si="42"/>
        <v>#DIV/0!</v>
      </c>
      <c r="BT62" s="922">
        <f>+IF(SUM(BT$5:BT61)&lt;1,IF(BU62=MAX($BU$6:$BU$54),1,0),0)</f>
        <v>0</v>
      </c>
      <c r="BU62" s="922">
        <f t="shared" si="43"/>
        <v>4000000</v>
      </c>
      <c r="BV62" s="943" t="str">
        <f t="shared" si="39"/>
        <v/>
      </c>
      <c r="BW62" s="922" t="str">
        <f t="shared" si="40"/>
        <v/>
      </c>
      <c r="BY62" s="208">
        <f>ROUND(IF(A62="Dev",IF(AND(BK62&gt;general!$D$23,SUM($BZ$6:$BZ61)&lt;1,financing!$L$15&gt;BH61+BF62),financing!$L$16*(BK62-BK61)/360*(financing!$L$15-BH61-BF62),0),0),-2)</f>
        <v>0</v>
      </c>
      <c r="BZ62" s="909">
        <f>+IF(AND(BH62&gt;=financing!$L$15,SUM(BZ$6:BZ61)=0),1,0)</f>
        <v>0</v>
      </c>
      <c r="CA62" s="950">
        <f t="shared" si="56"/>
        <v>0</v>
      </c>
      <c r="CD62" s="909">
        <f>SUM($S$6:S62)</f>
        <v>4000000</v>
      </c>
      <c r="CF62" s="208">
        <f>+IF(C62&lt;general!$C$22,0,IF(AND(C62=general!$C$22,OR(A62="Pred",A62="Dev")),SUM(S$6:S62),S62))</f>
        <v>0</v>
      </c>
    </row>
    <row r="63" spans="1:84" ht="16" outlineLevel="1">
      <c r="A63" s="906" t="str">
        <f>+'Development Cash Flow'!A63</f>
        <v>post dev</v>
      </c>
      <c r="B63" s="908"/>
      <c r="C63" s="944">
        <f>IF('Development Cash Flow'!D62&lt;general!$D$28,'Development Cash Flow'!C62+1,0)</f>
        <v>0</v>
      </c>
      <c r="D63" s="945">
        <f t="shared" si="23"/>
        <v>47999</v>
      </c>
      <c r="E63" s="945"/>
      <c r="F63" s="928">
        <f>'Development Cash Flow'!P63*D$4+SUM('Development Cash Flow'!Q63:T63)*F$4</f>
        <v>0</v>
      </c>
      <c r="G63" s="928">
        <f>'Development Cash Flow'!AL63-F63</f>
        <v>0</v>
      </c>
      <c r="H63" s="928"/>
      <c r="I63" s="928"/>
      <c r="J63" s="931">
        <f>+financing!$D$54/12*reserves!BD62</f>
        <v>0</v>
      </c>
      <c r="K63" s="928">
        <f>IF(C63=0,0,IF(C63=sales!$D$32,financing!$E$12*financing!$F$11,IF(OR(C63&gt;general!$C$27,C63&lt;sales!$D$32),0,IF((C63-sales!$D$32)/12=ROUND((C63-sales!$D$32)/12,0),financing!$E$12*financing!$F$11,0))))</f>
        <v>0</v>
      </c>
      <c r="L63" s="928"/>
      <c r="M63" s="928">
        <f t="shared" si="26"/>
        <v>0</v>
      </c>
      <c r="N63" s="946"/>
      <c r="O63" s="946">
        <f>IF(D63=general!$D$21,financing!$F$30,0)</f>
        <v>0</v>
      </c>
      <c r="P63" s="946">
        <f>+MIN(IF(D63&lt;=general!$D$24,SUM(F$6:F63)-SUM(P$6:P62),reserves!F63),AR62)</f>
        <v>0</v>
      </c>
      <c r="Q63" s="946">
        <f>+MAX(MIN(SUM(G$6:$G63)-R63,AN62,SUM(G$6:$G63)-SUM(Q$6:Q62)),0)</f>
        <v>0</v>
      </c>
      <c r="R63" s="946">
        <f>+IF(C63&gt;=sales!$D$36,'Development Cash Flow'!AL63,0)</f>
        <v>0</v>
      </c>
      <c r="S63" s="931">
        <f>IF(AND(A63=$A$5,C63&lt;financing!$D$55),M63-SUM(P63:R63,O63),MIN(M63-SUM(P63:R63,O63),financing!$F$10-SUM(S$5:S62)))</f>
        <v>0</v>
      </c>
      <c r="T63" s="931">
        <f>+MAX(MIN(IF(C63&gt;=financing!$D$55,M63-SUM(P63:S63)-J63,0),financing!$D$57-SUM(T$5:T62)),0)</f>
        <v>0</v>
      </c>
      <c r="U63" s="931">
        <f>+MAX(IF(C63&gt;=general!$C$23,M63-SUM(P63:T63),0)+IF(C63=general!$C$23,reserves!AZ62+AY63,0),0)</f>
        <v>0</v>
      </c>
      <c r="V63" s="946"/>
      <c r="W63" s="946">
        <f>SUMPRODUCT(--($C63=sales!$C$50:$C$54),sales!$F$50:$F$54)</f>
        <v>0</v>
      </c>
      <c r="X63" s="946">
        <f t="shared" si="44"/>
        <v>0</v>
      </c>
      <c r="Y63" s="946">
        <f t="shared" si="31"/>
        <v>0</v>
      </c>
      <c r="Z63" s="946">
        <f t="shared" si="45"/>
        <v>0</v>
      </c>
      <c r="AA63" s="946"/>
      <c r="AB63" s="932" cm="1">
        <f t="array" ref="AB63">SUMPRODUCT(--(C63=sales!$D$22:$D$27),sales!$G$22:$G$27)</f>
        <v>0</v>
      </c>
      <c r="AC63" s="946"/>
      <c r="AD63" s="931">
        <f t="shared" si="32"/>
        <v>0</v>
      </c>
      <c r="AE63" s="932"/>
      <c r="AF63" s="932">
        <f t="shared" si="24"/>
        <v>0</v>
      </c>
      <c r="AG63" s="932">
        <f t="shared" si="25"/>
        <v>0</v>
      </c>
      <c r="AH63" s="931">
        <f t="shared" si="54"/>
        <v>0</v>
      </c>
      <c r="AI63" s="932"/>
      <c r="AJ63" s="931">
        <f t="shared" si="55"/>
        <v>0</v>
      </c>
      <c r="AK63" s="946"/>
      <c r="AL63" s="947">
        <f>+IF(financing!$C$12="YES",'Development Cash Flow'!M63,0)</f>
        <v>0</v>
      </c>
      <c r="AM63" s="947">
        <f t="shared" si="33"/>
        <v>0</v>
      </c>
      <c r="AN63" s="947">
        <f t="shared" si="46"/>
        <v>0</v>
      </c>
      <c r="AO63" s="946"/>
      <c r="AP63" s="947">
        <f>+SUM('Development Cash Flow'!G63:J63)-'Development Cash Flow'!M63</f>
        <v>0</v>
      </c>
      <c r="AQ63" s="947">
        <f t="shared" si="34"/>
        <v>0</v>
      </c>
      <c r="AR63" s="947">
        <f t="shared" si="47"/>
        <v>0</v>
      </c>
      <c r="AS63" s="946"/>
      <c r="AT63" s="947">
        <f t="shared" si="48"/>
        <v>0</v>
      </c>
      <c r="AU63" s="947">
        <f t="shared" si="49"/>
        <v>0</v>
      </c>
      <c r="AV63" s="948">
        <f t="shared" si="50"/>
        <v>0</v>
      </c>
      <c r="AW63" s="946"/>
      <c r="AX63" s="947">
        <f t="shared" si="35"/>
        <v>0</v>
      </c>
      <c r="AY63" s="947">
        <f>+AZ62*financing!$E$30/12</f>
        <v>0</v>
      </c>
      <c r="AZ63" s="947">
        <f t="shared" si="51"/>
        <v>0</v>
      </c>
      <c r="BA63" s="946"/>
      <c r="BB63" s="947">
        <f t="shared" si="36"/>
        <v>0</v>
      </c>
      <c r="BC63" s="947">
        <f>+IF(AND(BD62+BB63+MAX(BD62*financing!$E$15/12,financing!$D$59-SUM(reserves!BC$6:BC62)-SUM(J$6:J63))-reserves!AD63&lt;=0,financing!$D$58&gt;=0),MAX(BD62*financing!$E$15/12,financing!$D$59-SUM(reserves!BC$6:BC62)-SUM(J$6:J63)),BD62*financing!$E$15/12)</f>
        <v>0</v>
      </c>
      <c r="BD63" s="947">
        <f t="shared" si="17"/>
        <v>0</v>
      </c>
      <c r="BE63" s="946"/>
      <c r="BF63" s="947">
        <f t="shared" si="52"/>
        <v>0</v>
      </c>
      <c r="BG63" s="947">
        <f>+IF(AND(BH62+BF63+MAX((BH62*(LIBOR!AA64)*(D63-D62)/360)+BY63,financing!$C$16-SUM(reserves!BG$6:BG62))-reserves!AD63&lt;=0,financing!$L$17&gt;=0),MAX((BH62*(LIBOR!AA64)*(D63-D62)/360)+BY63,financing!$C$16-SUM(reserves!BG$6:BG62)),(BH62*(LIBOR!AA64)*(D63-D62)/360)+BY63)</f>
        <v>0</v>
      </c>
      <c r="BH63" s="947">
        <f t="shared" si="53"/>
        <v>0</v>
      </c>
      <c r="BI63" s="946"/>
      <c r="BJ63" s="937"/>
      <c r="BK63" s="938">
        <f t="shared" si="41"/>
        <v>0</v>
      </c>
      <c r="BL63" s="939">
        <f>-S63+AJ63+AF63-AX63+AH63+AG63-BB63-BF63+'Development Cash Flow'!Y63</f>
        <v>0</v>
      </c>
      <c r="BM63" s="940"/>
      <c r="BN63" s="941">
        <f t="shared" si="37"/>
        <v>0</v>
      </c>
      <c r="BO63" s="940"/>
      <c r="BP63" s="942">
        <f t="shared" si="38"/>
        <v>0</v>
      </c>
      <c r="BS63" s="949" t="e">
        <f t="shared" si="42"/>
        <v>#DIV/0!</v>
      </c>
      <c r="BT63" s="922">
        <f>+IF(SUM(BT$5:BT62)&lt;1,IF(BU63=MAX($BU$6:$BU$54),1,0),0)</f>
        <v>0</v>
      </c>
      <c r="BU63" s="922">
        <f t="shared" si="43"/>
        <v>4000000</v>
      </c>
      <c r="BV63" s="943" t="str">
        <f t="shared" si="39"/>
        <v/>
      </c>
      <c r="BW63" s="922" t="str">
        <f t="shared" si="40"/>
        <v/>
      </c>
      <c r="BY63" s="208">
        <f>ROUND(IF(A63="Dev",IF(AND(BK63&gt;general!$D$23,SUM($BZ$6:$BZ62)&lt;1,financing!$L$15&gt;BH62+BF63),financing!$L$16*(BK63-BK62)/360*(financing!$L$15-BH62-BF63),0),0),-2)</f>
        <v>0</v>
      </c>
      <c r="BZ63" s="909">
        <f>+IF(AND(BH63&gt;=financing!$L$15,SUM(BZ$6:BZ62)=0),1,0)</f>
        <v>0</v>
      </c>
      <c r="CA63" s="950">
        <f t="shared" si="56"/>
        <v>0</v>
      </c>
      <c r="CD63" s="909">
        <f>SUM($S$6:S63)</f>
        <v>4000000</v>
      </c>
      <c r="CF63" s="208">
        <f>+IF(C63&lt;general!$C$22,0,IF(AND(C63=general!$C$22,OR(A63="Pred",A63="Dev")),SUM(S$6:S63),S63))</f>
        <v>0</v>
      </c>
    </row>
    <row r="64" spans="1:84" ht="16" outlineLevel="1">
      <c r="A64" s="906" t="str">
        <f>+'Development Cash Flow'!A64</f>
        <v>post dev</v>
      </c>
      <c r="B64" s="908"/>
      <c r="C64" s="944">
        <f>IF('Development Cash Flow'!D63&lt;general!$D$28,'Development Cash Flow'!C63+1,0)</f>
        <v>0</v>
      </c>
      <c r="D64" s="945">
        <f t="shared" si="23"/>
        <v>48029</v>
      </c>
      <c r="E64" s="945"/>
      <c r="F64" s="928">
        <f>'Development Cash Flow'!P64*D$4+SUM('Development Cash Flow'!Q64:T64)*F$4</f>
        <v>0</v>
      </c>
      <c r="G64" s="928">
        <f>'Development Cash Flow'!AL64-F64</f>
        <v>0</v>
      </c>
      <c r="H64" s="928"/>
      <c r="I64" s="928"/>
      <c r="J64" s="931">
        <f>+financing!$D$54/12*reserves!BD63</f>
        <v>0</v>
      </c>
      <c r="K64" s="928">
        <f>IF(C64=0,0,IF(C64=sales!$D$32,financing!$E$12*financing!$F$11,IF(OR(C64&gt;general!$C$27,C64&lt;sales!$D$32),0,IF((C64-sales!$D$32)/12=ROUND((C64-sales!$D$32)/12,0),financing!$E$12*financing!$F$11,0))))</f>
        <v>0</v>
      </c>
      <c r="L64" s="928"/>
      <c r="M64" s="928">
        <f t="shared" si="26"/>
        <v>0</v>
      </c>
      <c r="N64" s="946"/>
      <c r="O64" s="946">
        <f>IF(D64=general!$D$21,financing!$F$30,0)</f>
        <v>0</v>
      </c>
      <c r="P64" s="946">
        <f>+MIN(IF(D64&lt;=general!$D$24,SUM(F$6:F64)-SUM(P$6:P63),reserves!F64),AR63)</f>
        <v>0</v>
      </c>
      <c r="Q64" s="946">
        <f>+MAX(MIN(SUM(G$6:$G64)-R64,AN63,SUM(G$6:$G64)-SUM(Q$6:Q63)),0)</f>
        <v>0</v>
      </c>
      <c r="R64" s="946">
        <f>+IF(C64&gt;=sales!$D$36,'Development Cash Flow'!AL64,0)</f>
        <v>0</v>
      </c>
      <c r="S64" s="931">
        <f>IF(AND(A64=$A$5,C64&lt;financing!$D$55),M64-SUM(P64:R64,O64),MIN(M64-SUM(P64:R64,O64),financing!$F$10-SUM(S$5:S63)))</f>
        <v>0</v>
      </c>
      <c r="T64" s="931">
        <f>+MAX(MIN(IF(C64&gt;=financing!$D$55,M64-SUM(P64:S64)-J64,0),financing!$D$57-SUM(T$5:T63)),0)</f>
        <v>0</v>
      </c>
      <c r="U64" s="931">
        <f>+MAX(IF(C64&gt;=general!$C$23,M64-SUM(P64:T64),0)+IF(C64=general!$C$23,reserves!AZ63+AY64,0),0)</f>
        <v>0</v>
      </c>
      <c r="V64" s="946"/>
      <c r="W64" s="946">
        <f>SUMPRODUCT(--($C64=sales!$C$50:$C$54),sales!$F$50:$F$54)</f>
        <v>0</v>
      </c>
      <c r="X64" s="946">
        <f t="shared" si="44"/>
        <v>0</v>
      </c>
      <c r="Y64" s="946">
        <f t="shared" si="31"/>
        <v>0</v>
      </c>
      <c r="Z64" s="946">
        <f t="shared" si="45"/>
        <v>0</v>
      </c>
      <c r="AA64" s="946"/>
      <c r="AB64" s="932" cm="1">
        <f t="array" ref="AB64">SUMPRODUCT(--(C64=sales!$D$22:$D$27),sales!$G$22:$G$27)</f>
        <v>0</v>
      </c>
      <c r="AC64" s="946"/>
      <c r="AD64" s="931">
        <f t="shared" si="32"/>
        <v>0</v>
      </c>
      <c r="AE64" s="932"/>
      <c r="AF64" s="932">
        <f t="shared" si="24"/>
        <v>0</v>
      </c>
      <c r="AG64" s="932">
        <f t="shared" si="25"/>
        <v>0</v>
      </c>
      <c r="AH64" s="931">
        <f t="shared" si="54"/>
        <v>0</v>
      </c>
      <c r="AI64" s="932"/>
      <c r="AJ64" s="931">
        <f t="shared" si="55"/>
        <v>0</v>
      </c>
      <c r="AK64" s="946"/>
      <c r="AL64" s="947">
        <f>+IF(financing!$C$12="YES",'Development Cash Flow'!M64,0)</f>
        <v>0</v>
      </c>
      <c r="AM64" s="947">
        <f t="shared" si="33"/>
        <v>0</v>
      </c>
      <c r="AN64" s="947">
        <f t="shared" si="46"/>
        <v>0</v>
      </c>
      <c r="AO64" s="946"/>
      <c r="AP64" s="947">
        <f>+SUM('Development Cash Flow'!G64:J64)-'Development Cash Flow'!M64</f>
        <v>0</v>
      </c>
      <c r="AQ64" s="947">
        <f t="shared" si="34"/>
        <v>0</v>
      </c>
      <c r="AR64" s="947">
        <f t="shared" si="47"/>
        <v>0</v>
      </c>
      <c r="AS64" s="946"/>
      <c r="AT64" s="947">
        <f t="shared" si="48"/>
        <v>0</v>
      </c>
      <c r="AU64" s="947">
        <f t="shared" si="49"/>
        <v>0</v>
      </c>
      <c r="AV64" s="948">
        <f t="shared" si="50"/>
        <v>0</v>
      </c>
      <c r="AW64" s="946"/>
      <c r="AX64" s="947">
        <f t="shared" si="35"/>
        <v>0</v>
      </c>
      <c r="AY64" s="947">
        <f>+AZ63*financing!$E$30/12</f>
        <v>0</v>
      </c>
      <c r="AZ64" s="947">
        <f t="shared" si="51"/>
        <v>0</v>
      </c>
      <c r="BA64" s="946"/>
      <c r="BB64" s="947">
        <f t="shared" si="36"/>
        <v>0</v>
      </c>
      <c r="BC64" s="947">
        <f>+IF(AND(BD63+BB64+MAX(BD63*financing!$E$15/12,financing!$D$59-SUM(reserves!BC$6:BC63)-SUM(J$6:J64))-reserves!AD64&lt;=0,financing!$D$58&gt;=0),MAX(BD63*financing!$E$15/12,financing!$D$59-SUM(reserves!BC$6:BC63)-SUM(J$6:J64)),BD63*financing!$E$15/12)</f>
        <v>0</v>
      </c>
      <c r="BD64" s="947">
        <f t="shared" si="17"/>
        <v>0</v>
      </c>
      <c r="BE64" s="946"/>
      <c r="BF64" s="947">
        <f t="shared" si="52"/>
        <v>0</v>
      </c>
      <c r="BG64" s="947">
        <f>+IF(AND(BH63+BF64+MAX((BH63*(LIBOR!AA65)*(D64-D63)/360)+BY64,financing!$C$16-SUM(reserves!BG$6:BG63))-reserves!AD64&lt;=0,financing!$L$17&gt;=0),MAX((BH63*(LIBOR!AA65)*(D64-D63)/360)+BY64,financing!$C$16-SUM(reserves!BG$6:BG63)),(BH63*(LIBOR!AA65)*(D64-D63)/360)+BY64)</f>
        <v>0</v>
      </c>
      <c r="BH64" s="947">
        <f t="shared" si="53"/>
        <v>0</v>
      </c>
      <c r="BI64" s="946"/>
      <c r="BJ64" s="937"/>
      <c r="BK64" s="938">
        <f t="shared" si="41"/>
        <v>0</v>
      </c>
      <c r="BL64" s="939">
        <f>-S64+AJ64+AF64-AX64+AH64+AG64-BB64-BF64+'Development Cash Flow'!Y64</f>
        <v>0</v>
      </c>
      <c r="BM64" s="940"/>
      <c r="BN64" s="941">
        <f t="shared" si="37"/>
        <v>0</v>
      </c>
      <c r="BO64" s="940"/>
      <c r="BP64" s="942">
        <f t="shared" si="38"/>
        <v>0</v>
      </c>
      <c r="BS64" s="949" t="e">
        <f t="shared" si="42"/>
        <v>#DIV/0!</v>
      </c>
      <c r="BT64" s="922">
        <f>+IF(SUM(BT$5:BT63)&lt;1,IF(BU64=MAX($BU$6:$BU$54),1,0),0)</f>
        <v>0</v>
      </c>
      <c r="BU64" s="922">
        <f t="shared" si="43"/>
        <v>4000000</v>
      </c>
      <c r="BV64" s="943" t="str">
        <f t="shared" si="39"/>
        <v/>
      </c>
      <c r="BW64" s="922" t="str">
        <f t="shared" si="40"/>
        <v/>
      </c>
      <c r="BY64" s="208">
        <f>ROUND(IF(A64="Dev",IF(AND(BK64&gt;general!$D$23,SUM($BZ$6:$BZ63)&lt;1,financing!$L$15&gt;BH63+BF64),financing!$L$16*(BK64-BK63)/360*(financing!$L$15-BH63-BF64),0),0),-2)</f>
        <v>0</v>
      </c>
      <c r="BZ64" s="909">
        <f>+IF(AND(BH64&gt;=financing!$L$15,SUM(BZ$6:BZ63)=0),1,0)</f>
        <v>0</v>
      </c>
      <c r="CA64" s="950">
        <f t="shared" si="56"/>
        <v>0</v>
      </c>
      <c r="CD64" s="909">
        <f>SUM($S$6:S64)</f>
        <v>4000000</v>
      </c>
      <c r="CF64" s="208">
        <f>+IF(C64&lt;general!$C$22,0,IF(AND(C64=general!$C$22,OR(A64="Pred",A64="Dev")),SUM(S$6:S64),S64))</f>
        <v>0</v>
      </c>
    </row>
    <row r="65" spans="1:84" ht="16" outlineLevel="1">
      <c r="A65" s="906" t="str">
        <f>+'Development Cash Flow'!A65</f>
        <v>post dev</v>
      </c>
      <c r="B65" s="908"/>
      <c r="C65" s="944">
        <f>IF('Development Cash Flow'!D64&lt;general!$D$28,'Development Cash Flow'!C64+1,0)</f>
        <v>0</v>
      </c>
      <c r="D65" s="945">
        <f t="shared" si="23"/>
        <v>48060</v>
      </c>
      <c r="E65" s="945"/>
      <c r="F65" s="928">
        <f>'Development Cash Flow'!P65*D$4+SUM('Development Cash Flow'!Q65:T65)*F$4</f>
        <v>0</v>
      </c>
      <c r="G65" s="928">
        <f>'Development Cash Flow'!AL65-F65</f>
        <v>0</v>
      </c>
      <c r="H65" s="928"/>
      <c r="I65" s="928"/>
      <c r="J65" s="931">
        <f>+financing!$D$54/12*reserves!BD64</f>
        <v>0</v>
      </c>
      <c r="K65" s="928">
        <f>IF(C65=0,0,IF(C65=sales!$D$32,financing!$E$12*financing!$F$11,IF(OR(C65&gt;general!$C$27,C65&lt;sales!$D$32),0,IF((C65-sales!$D$32)/12=ROUND((C65-sales!$D$32)/12,0),financing!$E$12*financing!$F$11,0))))</f>
        <v>0</v>
      </c>
      <c r="L65" s="928"/>
      <c r="M65" s="928">
        <f t="shared" si="26"/>
        <v>0</v>
      </c>
      <c r="N65" s="946"/>
      <c r="O65" s="946">
        <f>IF(D65=general!$D$21,financing!$F$30,0)</f>
        <v>0</v>
      </c>
      <c r="P65" s="946">
        <f>+MIN(IF(D65&lt;=general!$D$24,SUM(F$6:F65)-SUM(P$6:P64),reserves!F65),AR64)</f>
        <v>0</v>
      </c>
      <c r="Q65" s="946">
        <f>+MAX(MIN(SUM(G$6:$G65)-R65,AN64,SUM(G$6:$G65)-SUM(Q$6:Q64)),0)</f>
        <v>0</v>
      </c>
      <c r="R65" s="946">
        <f>+IF(C65&gt;=sales!$D$36,'Development Cash Flow'!AL65,0)</f>
        <v>0</v>
      </c>
      <c r="S65" s="931">
        <f>IF(AND(A65=$A$5,C65&lt;financing!$D$55),M65-SUM(P65:R65,O65),MIN(M65-SUM(P65:R65,O65),financing!$F$10-SUM(S$5:S64)))</f>
        <v>0</v>
      </c>
      <c r="T65" s="931">
        <f>+MAX(MIN(IF(C65&gt;=financing!$D$55,M65-SUM(P65:S65)-J65,0),financing!$D$57-SUM(T$5:T64)),0)</f>
        <v>0</v>
      </c>
      <c r="U65" s="931">
        <f>+MAX(IF(C65&gt;=general!$C$23,M65-SUM(P65:T65),0)+IF(C65=general!$C$23,reserves!AZ64+AY65,0),0)</f>
        <v>0</v>
      </c>
      <c r="V65" s="946"/>
      <c r="W65" s="946">
        <f>SUMPRODUCT(--($C65=sales!$C$50:$C$54),sales!$F$50:$F$54)</f>
        <v>0</v>
      </c>
      <c r="X65" s="946">
        <f t="shared" si="44"/>
        <v>0</v>
      </c>
      <c r="Y65" s="946">
        <f t="shared" si="31"/>
        <v>0</v>
      </c>
      <c r="Z65" s="946">
        <f t="shared" si="45"/>
        <v>0</v>
      </c>
      <c r="AA65" s="946"/>
      <c r="AB65" s="932" cm="1">
        <f t="array" ref="AB65">SUMPRODUCT(--(C65=sales!$D$22:$D$27),sales!$G$22:$G$27)</f>
        <v>0</v>
      </c>
      <c r="AC65" s="946"/>
      <c r="AD65" s="931">
        <f t="shared" si="32"/>
        <v>0</v>
      </c>
      <c r="AE65" s="932"/>
      <c r="AF65" s="932">
        <f t="shared" si="24"/>
        <v>0</v>
      </c>
      <c r="AG65" s="932">
        <f t="shared" si="25"/>
        <v>0</v>
      </c>
      <c r="AH65" s="931">
        <f t="shared" si="54"/>
        <v>0</v>
      </c>
      <c r="AI65" s="932"/>
      <c r="AJ65" s="931">
        <f t="shared" si="55"/>
        <v>0</v>
      </c>
      <c r="AK65" s="946"/>
      <c r="AL65" s="947">
        <f>+IF(financing!$C$12="YES",'Development Cash Flow'!M65,0)</f>
        <v>0</v>
      </c>
      <c r="AM65" s="947">
        <f t="shared" si="33"/>
        <v>0</v>
      </c>
      <c r="AN65" s="947">
        <f t="shared" si="46"/>
        <v>0</v>
      </c>
      <c r="AO65" s="946"/>
      <c r="AP65" s="947">
        <f>+SUM('Development Cash Flow'!G65:J65)-'Development Cash Flow'!M65</f>
        <v>0</v>
      </c>
      <c r="AQ65" s="947">
        <f t="shared" si="34"/>
        <v>0</v>
      </c>
      <c r="AR65" s="947">
        <f t="shared" si="47"/>
        <v>0</v>
      </c>
      <c r="AS65" s="946"/>
      <c r="AT65" s="947">
        <f t="shared" si="48"/>
        <v>0</v>
      </c>
      <c r="AU65" s="947">
        <f t="shared" si="49"/>
        <v>0</v>
      </c>
      <c r="AV65" s="948">
        <f t="shared" si="50"/>
        <v>0</v>
      </c>
      <c r="AW65" s="946"/>
      <c r="AX65" s="947">
        <f t="shared" si="35"/>
        <v>0</v>
      </c>
      <c r="AY65" s="947">
        <f>+AZ64*financing!$E$30/12</f>
        <v>0</v>
      </c>
      <c r="AZ65" s="947">
        <f t="shared" si="51"/>
        <v>0</v>
      </c>
      <c r="BA65" s="946"/>
      <c r="BB65" s="947">
        <f t="shared" si="36"/>
        <v>0</v>
      </c>
      <c r="BC65" s="947">
        <f>+IF(AND(BD64+BB65+MAX(BD64*financing!$E$15/12,financing!$D$59-SUM(reserves!BC$6:BC64)-SUM(J$6:J65))-reserves!AD65&lt;=0,financing!$D$58&gt;=0),MAX(BD64*financing!$E$15/12,financing!$D$59-SUM(reserves!BC$6:BC64)-SUM(J$6:J65)),BD64*financing!$E$15/12)</f>
        <v>0</v>
      </c>
      <c r="BD65" s="947">
        <f t="shared" si="17"/>
        <v>0</v>
      </c>
      <c r="BE65" s="946"/>
      <c r="BF65" s="947">
        <f t="shared" si="52"/>
        <v>0</v>
      </c>
      <c r="BG65" s="947">
        <f>+IF(AND(BH64+BF65+MAX((BH64*(LIBOR!AA66)*(D65-D64)/360)+BY65,financing!$C$16-SUM(reserves!BG$6:BG64))-reserves!AD65&lt;=0,financing!$L$17&gt;=0),MAX((BH64*(LIBOR!AA66)*(D65-D64)/360)+BY65,financing!$C$16-SUM(reserves!BG$6:BG64)),(BH64*(LIBOR!AA66)*(D65-D64)/360)+BY65)</f>
        <v>0</v>
      </c>
      <c r="BH65" s="947">
        <f t="shared" si="53"/>
        <v>0</v>
      </c>
      <c r="BI65" s="946"/>
      <c r="BJ65" s="937"/>
      <c r="BK65" s="938">
        <f t="shared" si="41"/>
        <v>0</v>
      </c>
      <c r="BL65" s="939">
        <f>-S65+AJ65+AF65-AX65+AH65+AG65-BB65-BF65+'Development Cash Flow'!Y65</f>
        <v>0</v>
      </c>
      <c r="BM65" s="940"/>
      <c r="BN65" s="941">
        <f t="shared" si="37"/>
        <v>0</v>
      </c>
      <c r="BO65" s="940"/>
      <c r="BP65" s="942">
        <f t="shared" si="38"/>
        <v>0</v>
      </c>
      <c r="BS65" s="949" t="e">
        <f t="shared" si="42"/>
        <v>#DIV/0!</v>
      </c>
      <c r="BT65" s="922">
        <f>+IF(SUM(BT$5:BT64)&lt;1,IF(BU65=MAX($BU$6:$BU$54),1,0),0)</f>
        <v>0</v>
      </c>
      <c r="BU65" s="922">
        <f t="shared" si="43"/>
        <v>4000000</v>
      </c>
      <c r="BV65" s="943" t="str">
        <f t="shared" si="39"/>
        <v/>
      </c>
      <c r="BW65" s="922" t="str">
        <f t="shared" si="40"/>
        <v/>
      </c>
      <c r="BY65" s="208">
        <f>ROUND(IF(A65="Dev",IF(AND(BK65&gt;general!$D$23,SUM($BZ$6:$BZ64)&lt;1,financing!$L$15&gt;BH64+BF65),financing!$L$16*(BK65-BK64)/360*(financing!$L$15-BH64-BF65),0),0),-2)</f>
        <v>0</v>
      </c>
      <c r="BZ65" s="909">
        <f>+IF(AND(BH65&gt;=financing!$L$15,SUM(BZ$6:BZ64)=0),1,0)</f>
        <v>0</v>
      </c>
      <c r="CA65" s="950">
        <f t="shared" si="56"/>
        <v>0</v>
      </c>
      <c r="CD65" s="909">
        <f>SUM($S$6:S65)</f>
        <v>4000000</v>
      </c>
      <c r="CF65" s="208">
        <f>+IF(C65&lt;general!$C$22,0,IF(AND(C65=general!$C$22,OR(A65="Pred",A65="Dev")),SUM(S$6:S65),S65))</f>
        <v>0</v>
      </c>
    </row>
    <row r="66" spans="1:84" ht="16" outlineLevel="1">
      <c r="A66" s="906" t="str">
        <f>+'Development Cash Flow'!A66</f>
        <v>post dev</v>
      </c>
      <c r="B66" s="908"/>
      <c r="C66" s="944">
        <f>IF('Development Cash Flow'!D65&lt;general!$D$28,'Development Cash Flow'!C65+1,0)</f>
        <v>0</v>
      </c>
      <c r="D66" s="945">
        <f t="shared" si="23"/>
        <v>48091</v>
      </c>
      <c r="E66" s="945"/>
      <c r="F66" s="928">
        <f>'Development Cash Flow'!P66*D$4+SUM('Development Cash Flow'!Q66:T66)*F$4</f>
        <v>0</v>
      </c>
      <c r="G66" s="928">
        <f>'Development Cash Flow'!AL66-F66</f>
        <v>0</v>
      </c>
      <c r="H66" s="928"/>
      <c r="I66" s="928"/>
      <c r="J66" s="931">
        <f>+financing!$D$54/12*reserves!BD65</f>
        <v>0</v>
      </c>
      <c r="K66" s="928">
        <f>IF(C66=0,0,IF(C66=sales!$D$32,financing!$E$12*financing!$F$11,IF(OR(C66&gt;general!$C$27,C66&lt;sales!$D$32),0,IF((C66-sales!$D$32)/12=ROUND((C66-sales!$D$32)/12,0),financing!$E$12*financing!$F$11,0))))</f>
        <v>0</v>
      </c>
      <c r="L66" s="928"/>
      <c r="M66" s="928">
        <f t="shared" si="26"/>
        <v>0</v>
      </c>
      <c r="N66" s="946"/>
      <c r="O66" s="946">
        <f>IF(D66=general!$D$21,financing!$F$30,0)</f>
        <v>0</v>
      </c>
      <c r="P66" s="946">
        <f>+MIN(IF(D66&lt;=general!$D$24,SUM(F$6:F66)-SUM(P$6:P65),reserves!F66),AR65)</f>
        <v>0</v>
      </c>
      <c r="Q66" s="946">
        <f>+MAX(MIN(SUM(G$6:$G66)-R66,AN65,SUM(G$6:$G66)-SUM(Q$6:Q65)),0)</f>
        <v>0</v>
      </c>
      <c r="R66" s="946">
        <f>+IF(C66&gt;=sales!$D$36,'Development Cash Flow'!AL66,0)</f>
        <v>0</v>
      </c>
      <c r="S66" s="931">
        <f>IF(AND(A66=$A$5,C66&lt;financing!$D$55),M66-SUM(P66:R66,O66),MIN(M66-SUM(P66:R66,O66),financing!$F$10-SUM(S$5:S65)))</f>
        <v>0</v>
      </c>
      <c r="T66" s="931">
        <f>+MAX(MIN(IF(C66&gt;=financing!$D$55,M66-SUM(P66:S66)-J66,0),financing!$D$57-SUM(T$5:T65)),0)</f>
        <v>0</v>
      </c>
      <c r="U66" s="931">
        <f>+MAX(IF(C66&gt;=general!$C$23,M66-SUM(P66:T66),0)+IF(C66=general!$C$23,reserves!AZ65+AY66,0),0)</f>
        <v>0</v>
      </c>
      <c r="V66" s="946"/>
      <c r="W66" s="946">
        <f>SUMPRODUCT(--($C66=sales!$C$50:$C$54),sales!$F$50:$F$54)</f>
        <v>0</v>
      </c>
      <c r="X66" s="946">
        <f t="shared" si="44"/>
        <v>0</v>
      </c>
      <c r="Y66" s="946">
        <f t="shared" si="31"/>
        <v>0</v>
      </c>
      <c r="Z66" s="946">
        <f t="shared" si="45"/>
        <v>0</v>
      </c>
      <c r="AA66" s="946"/>
      <c r="AB66" s="932" cm="1">
        <f t="array" ref="AB66">SUMPRODUCT(--(C66=sales!$D$22:$D$27),sales!$G$22:$G$27)</f>
        <v>0</v>
      </c>
      <c r="AC66" s="946"/>
      <c r="AD66" s="931">
        <f t="shared" si="32"/>
        <v>0</v>
      </c>
      <c r="AE66" s="932"/>
      <c r="AF66" s="932">
        <f t="shared" si="24"/>
        <v>0</v>
      </c>
      <c r="AG66" s="932">
        <f t="shared" si="25"/>
        <v>0</v>
      </c>
      <c r="AH66" s="931">
        <f t="shared" si="54"/>
        <v>0</v>
      </c>
      <c r="AI66" s="932"/>
      <c r="AJ66" s="931">
        <f t="shared" si="55"/>
        <v>0</v>
      </c>
      <c r="AK66" s="946"/>
      <c r="AL66" s="947">
        <f>+IF(financing!$C$12="YES",'Development Cash Flow'!M66,0)</f>
        <v>0</v>
      </c>
      <c r="AM66" s="947">
        <f t="shared" si="33"/>
        <v>0</v>
      </c>
      <c r="AN66" s="947">
        <f t="shared" si="46"/>
        <v>0</v>
      </c>
      <c r="AO66" s="946"/>
      <c r="AP66" s="947">
        <f>+SUM('Development Cash Flow'!G66:J66)-'Development Cash Flow'!M66</f>
        <v>0</v>
      </c>
      <c r="AQ66" s="947">
        <f t="shared" si="34"/>
        <v>0</v>
      </c>
      <c r="AR66" s="947">
        <f t="shared" si="47"/>
        <v>0</v>
      </c>
      <c r="AS66" s="946"/>
      <c r="AT66" s="947">
        <f t="shared" si="48"/>
        <v>0</v>
      </c>
      <c r="AU66" s="947">
        <f t="shared" si="49"/>
        <v>0</v>
      </c>
      <c r="AV66" s="948">
        <f t="shared" si="50"/>
        <v>0</v>
      </c>
      <c r="AW66" s="946"/>
      <c r="AX66" s="947">
        <f t="shared" si="35"/>
        <v>0</v>
      </c>
      <c r="AY66" s="947">
        <f>+AZ65*financing!$E$30/12</f>
        <v>0</v>
      </c>
      <c r="AZ66" s="947">
        <f t="shared" si="51"/>
        <v>0</v>
      </c>
      <c r="BA66" s="946"/>
      <c r="BB66" s="947">
        <f t="shared" si="36"/>
        <v>0</v>
      </c>
      <c r="BC66" s="947">
        <f>+IF(AND(BD65+BB66+MAX(BD65*financing!$E$15/12,financing!$D$59-SUM(reserves!BC$6:BC65)-SUM(J$6:J66))-reserves!AD66&lt;=0,financing!$D$58&gt;=0),MAX(BD65*financing!$E$15/12,financing!$D$59-SUM(reserves!BC$6:BC65)-SUM(J$6:J66)),BD65*financing!$E$15/12)</f>
        <v>0</v>
      </c>
      <c r="BD66" s="947">
        <f t="shared" si="17"/>
        <v>0</v>
      </c>
      <c r="BE66" s="946"/>
      <c r="BF66" s="947">
        <f t="shared" si="52"/>
        <v>0</v>
      </c>
      <c r="BG66" s="947">
        <f>+IF(AND(BH65+BF66+MAX((BH65*(LIBOR!AA67)*(D66-D65)/360)+BY66,financing!$C$16-SUM(reserves!BG$6:BG65))-reserves!AD66&lt;=0,financing!$L$17&gt;=0),MAX((BH65*(LIBOR!AA67)*(D66-D65)/360)+BY66,financing!$C$16-SUM(reserves!BG$6:BG65)),(BH65*(LIBOR!AA67)*(D66-D65)/360)+BY66)</f>
        <v>0</v>
      </c>
      <c r="BH66" s="947">
        <f t="shared" si="53"/>
        <v>0</v>
      </c>
      <c r="BI66" s="946"/>
      <c r="BJ66" s="937"/>
      <c r="BK66" s="938">
        <f t="shared" si="41"/>
        <v>0</v>
      </c>
      <c r="BL66" s="939">
        <f>-S66+AJ66+AF66-AX66+AH66+AG66-BB66-BF66+'Development Cash Flow'!Y66</f>
        <v>0</v>
      </c>
      <c r="BM66" s="940"/>
      <c r="BN66" s="941">
        <f t="shared" si="37"/>
        <v>0</v>
      </c>
      <c r="BO66" s="940"/>
      <c r="BP66" s="942">
        <f t="shared" si="38"/>
        <v>0</v>
      </c>
      <c r="BS66" s="949" t="e">
        <f t="shared" si="42"/>
        <v>#DIV/0!</v>
      </c>
      <c r="BT66" s="922">
        <f>+IF(SUM(BT$5:BT65)&lt;1,IF(BU66=MAX($BU$6:$BU$54),1,0),0)</f>
        <v>0</v>
      </c>
      <c r="BU66" s="922">
        <f t="shared" si="43"/>
        <v>4000000</v>
      </c>
      <c r="BV66" s="943" t="str">
        <f t="shared" si="39"/>
        <v/>
      </c>
      <c r="BW66" s="922" t="str">
        <f t="shared" si="40"/>
        <v/>
      </c>
      <c r="BY66" s="208">
        <f>ROUND(IF(A66="Dev",IF(AND(BK66&gt;general!$D$23,SUM($BZ$6:$BZ65)&lt;1,financing!$L$15&gt;BH65+BF66),financing!$L$16*(BK66-BK65)/360*(financing!$L$15-BH65-BF66),0),0),-2)</f>
        <v>0</v>
      </c>
      <c r="BZ66" s="909">
        <f>+IF(AND(BH66&gt;=financing!$L$15,SUM(BZ$6:BZ65)=0),1,0)</f>
        <v>0</v>
      </c>
      <c r="CA66" s="950">
        <f t="shared" si="56"/>
        <v>0</v>
      </c>
      <c r="CD66" s="909">
        <f>SUM($S$6:S66)</f>
        <v>4000000</v>
      </c>
      <c r="CF66" s="208">
        <f>+IF(C66&lt;general!$C$22,0,IF(AND(C66=general!$C$22,OR(A66="Pred",A66="Dev")),SUM(S$6:S66),S66))</f>
        <v>0</v>
      </c>
    </row>
    <row r="67" spans="1:84" ht="16" hidden="1" outlineLevel="2">
      <c r="A67" s="906" t="str">
        <f>+'Development Cash Flow'!A67</f>
        <v>post dev</v>
      </c>
      <c r="B67" s="908"/>
      <c r="C67" s="944">
        <f>IF('Development Cash Flow'!D66&lt;general!$D$28,'Development Cash Flow'!C66+1,0)</f>
        <v>0</v>
      </c>
      <c r="D67" s="945">
        <f t="shared" si="23"/>
        <v>48121</v>
      </c>
      <c r="E67" s="945"/>
      <c r="F67" s="928">
        <f>'Development Cash Flow'!P67*D$4+SUM('Development Cash Flow'!Q67:T67)*F$4</f>
        <v>0</v>
      </c>
      <c r="G67" s="928">
        <f>'Development Cash Flow'!AL67-F67</f>
        <v>0</v>
      </c>
      <c r="H67" s="928"/>
      <c r="I67" s="928"/>
      <c r="J67" s="931">
        <f>+financing!$D$54/12*reserves!BD66</f>
        <v>0</v>
      </c>
      <c r="K67" s="928">
        <f>IF(C67=0,0,IF(C67=sales!$D$32,financing!$E$12*financing!$F$11,IF(OR(C67&gt;general!$C$27,C67&lt;sales!$D$32),0,IF((C67-sales!$D$32)/12=ROUND((C67-sales!$D$32)/12,0),financing!$E$12*financing!$F$11,0))))</f>
        <v>0</v>
      </c>
      <c r="L67" s="928"/>
      <c r="M67" s="928">
        <f t="shared" si="26"/>
        <v>0</v>
      </c>
      <c r="N67" s="946"/>
      <c r="O67" s="946">
        <f>IF(D67=general!$D$21,financing!$F$30,0)</f>
        <v>0</v>
      </c>
      <c r="P67" s="946">
        <f>+MIN(IF(D67&lt;=general!$D$24,SUM(F$6:F67)-SUM(P$6:P66),reserves!F67),AR66)</f>
        <v>0</v>
      </c>
      <c r="Q67" s="946">
        <f>+MAX(MIN(SUM(G$6:$G67)-R67,AN66,SUM(G$6:$G67)-SUM(Q$6:Q66)),0)</f>
        <v>0</v>
      </c>
      <c r="R67" s="946">
        <f>+IF(C67&gt;=sales!$D$36,'Development Cash Flow'!AL67,0)</f>
        <v>0</v>
      </c>
      <c r="S67" s="931">
        <f>IF(AND(A67=$A$5,C67&lt;financing!$D$55),M67-SUM(P67:R67,O67),MIN(M67-SUM(P67:R67,O67),financing!$F$10-SUM(S$5:S66)))</f>
        <v>0</v>
      </c>
      <c r="T67" s="931">
        <f>+MAX(MIN(IF(C67&gt;=financing!$D$55,M67-SUM(P67:S67)-J67,0),financing!$D$57-SUM(T$5:T66)),0)</f>
        <v>0</v>
      </c>
      <c r="U67" s="931">
        <f>+MAX(IF(C67&gt;=general!$C$23,M67-SUM(P67:T67),0)+IF(C67=general!$C$23,reserves!AZ66+AY67,0),0)</f>
        <v>0</v>
      </c>
      <c r="V67" s="946"/>
      <c r="W67" s="946">
        <f>SUMPRODUCT(--($C67=sales!$C$50:$C$54),sales!$F$50:$F$54)</f>
        <v>0</v>
      </c>
      <c r="X67" s="946">
        <f t="shared" si="44"/>
        <v>0</v>
      </c>
      <c r="Y67" s="946">
        <f t="shared" si="31"/>
        <v>0</v>
      </c>
      <c r="Z67" s="946">
        <f t="shared" si="45"/>
        <v>0</v>
      </c>
      <c r="AA67" s="946"/>
      <c r="AB67" s="932">
        <f>IF(C67=sales!$D$22,sales!$I$22,0)+IF(C67=sales!$D$23,sales!$I$23,0)+IF(C67=sales!$D$24,sales!$I$24,0)+IF(C67=sales!$D$25,sales!$I$25,0)+IF(C67=sales!$D$26,sales!$I$26,0)+IF(C67=sales!$D$27,sales!$I$27,0)</f>
        <v>0</v>
      </c>
      <c r="AC67" s="946"/>
      <c r="AD67" s="931">
        <f t="shared" si="32"/>
        <v>0</v>
      </c>
      <c r="AE67" s="932"/>
      <c r="AF67" s="932">
        <f t="shared" si="24"/>
        <v>0</v>
      </c>
      <c r="AG67" s="932">
        <f t="shared" si="25"/>
        <v>0</v>
      </c>
      <c r="AH67" s="931">
        <f t="shared" si="54"/>
        <v>0</v>
      </c>
      <c r="AI67" s="932"/>
      <c r="AJ67" s="931">
        <f t="shared" si="55"/>
        <v>0</v>
      </c>
      <c r="AK67" s="946"/>
      <c r="AL67" s="947">
        <f>+IF(financing!$C$12="YES",'Development Cash Flow'!M67,0)</f>
        <v>0</v>
      </c>
      <c r="AM67" s="947">
        <f t="shared" si="33"/>
        <v>0</v>
      </c>
      <c r="AN67" s="947">
        <f t="shared" si="46"/>
        <v>0</v>
      </c>
      <c r="AO67" s="946"/>
      <c r="AP67" s="947">
        <f>+SUM('Development Cash Flow'!G67:J67)-'Development Cash Flow'!M67</f>
        <v>0</v>
      </c>
      <c r="AQ67" s="947">
        <f t="shared" si="34"/>
        <v>0</v>
      </c>
      <c r="AR67" s="947">
        <f t="shared" si="47"/>
        <v>0</v>
      </c>
      <c r="AS67" s="946"/>
      <c r="AT67" s="947">
        <f t="shared" si="48"/>
        <v>0</v>
      </c>
      <c r="AU67" s="947">
        <f t="shared" si="49"/>
        <v>0</v>
      </c>
      <c r="AV67" s="948">
        <f t="shared" si="50"/>
        <v>0</v>
      </c>
      <c r="AW67" s="946"/>
      <c r="AX67" s="947">
        <f t="shared" si="35"/>
        <v>0</v>
      </c>
      <c r="AY67" s="947">
        <f>+AZ66*financing!$E$30/12</f>
        <v>0</v>
      </c>
      <c r="AZ67" s="947">
        <f t="shared" si="51"/>
        <v>0</v>
      </c>
      <c r="BA67" s="946"/>
      <c r="BB67" s="947">
        <f t="shared" si="36"/>
        <v>0</v>
      </c>
      <c r="BC67" s="947">
        <f>+IF(AND(BD66+BB67+MAX(BD66*financing!$E$15/12,financing!$D$59-SUM(reserves!BC$6:BC66)-SUM(J$6:J67))-reserves!AD67&lt;=0,financing!$D$58&gt;=0),MAX(BD66*financing!$E$15/12,financing!$D$59-SUM(reserves!BC$6:BC66)-SUM(J$6:J67)),BD66*financing!$E$15/12)</f>
        <v>0</v>
      </c>
      <c r="BD67" s="947">
        <f t="shared" si="17"/>
        <v>0</v>
      </c>
      <c r="BE67" s="946"/>
      <c r="BF67" s="947">
        <f t="shared" si="52"/>
        <v>0</v>
      </c>
      <c r="BG67" s="947">
        <f>+IF(AND(BH66+BF67+MAX((BH66*(LIBOR!AA68)*(D67-D66)/360)+BY67,financing!$C$16-SUM(reserves!BG$6:BG66))-reserves!AD67&lt;=0,financing!$L$17&gt;=0),MAX((BH66*(LIBOR!AA68)*(D67-D66)/360)+BY67,financing!$C$16-SUM(reserves!BG$6:BG66)),(BH66*(LIBOR!AA68)*(D67-D66)/360)+BY67)</f>
        <v>0</v>
      </c>
      <c r="BH67" s="947">
        <f t="shared" si="53"/>
        <v>0</v>
      </c>
      <c r="BI67" s="946"/>
      <c r="BJ67" s="937"/>
      <c r="BK67" s="938">
        <f t="shared" si="41"/>
        <v>0</v>
      </c>
      <c r="BL67" s="939">
        <f>-S67+AJ67+AF67-AX67+AH67+AG67-BB67-BF67+'Development Cash Flow'!Y67</f>
        <v>0</v>
      </c>
      <c r="BM67" s="940"/>
      <c r="BN67" s="941">
        <f t="shared" si="37"/>
        <v>0</v>
      </c>
      <c r="BO67" s="940"/>
      <c r="BP67" s="942">
        <f t="shared" si="38"/>
        <v>0</v>
      </c>
      <c r="BS67" s="949" t="e">
        <f t="shared" si="42"/>
        <v>#DIV/0!</v>
      </c>
      <c r="BT67" s="922">
        <f>+IF(SUM(BT$5:BT66)&lt;1,IF(BU67=MAX($BU$6:$BU$54),1,0),0)</f>
        <v>0</v>
      </c>
      <c r="BU67" s="922">
        <f t="shared" si="43"/>
        <v>4000000</v>
      </c>
      <c r="BV67" s="943" t="str">
        <f t="shared" si="39"/>
        <v/>
      </c>
      <c r="BW67" s="922" t="str">
        <f t="shared" si="40"/>
        <v/>
      </c>
      <c r="BY67" s="208">
        <f>ROUND(IF(A67="Dev",IF(AND(BK67&gt;general!$D$23,SUM($BZ$6:$BZ66)&lt;1,financing!$L$15&gt;BH66+BF67),financing!$L$16*(BK67-BK66)/360*(financing!$L$15-BH66-BF67),0),0),-2)</f>
        <v>0</v>
      </c>
      <c r="BZ67" s="909">
        <f>+IF(AND(BH67&gt;=financing!$L$15,SUM(BZ$6:BZ66)=0),1,0)</f>
        <v>0</v>
      </c>
      <c r="CA67" s="950">
        <f t="shared" si="56"/>
        <v>0</v>
      </c>
      <c r="CD67" s="909">
        <f>SUM($S$6:S67)</f>
        <v>4000000</v>
      </c>
      <c r="CF67" s="208">
        <f>+IF(C67&lt;general!$C$22,0,IF(AND(C67=general!$C$22,OR(A67="Pred",A67="Dev")),SUM(S$6:S67),S67))</f>
        <v>0</v>
      </c>
    </row>
    <row r="68" spans="1:84" ht="16" hidden="1" outlineLevel="2">
      <c r="A68" s="906" t="str">
        <f>+'Development Cash Flow'!A68</f>
        <v>post dev</v>
      </c>
      <c r="B68" s="908"/>
      <c r="C68" s="944">
        <f>IF('Development Cash Flow'!D67&lt;general!$D$28,'Development Cash Flow'!C67+1,0)</f>
        <v>0</v>
      </c>
      <c r="D68" s="945">
        <f t="shared" si="23"/>
        <v>48152</v>
      </c>
      <c r="E68" s="945"/>
      <c r="F68" s="928">
        <f>'Development Cash Flow'!P68*D$4+SUM('Development Cash Flow'!Q68:T68)*F$4</f>
        <v>0</v>
      </c>
      <c r="G68" s="928">
        <f>'Development Cash Flow'!AL68-F68</f>
        <v>0</v>
      </c>
      <c r="H68" s="928"/>
      <c r="I68" s="928"/>
      <c r="J68" s="931">
        <f>+financing!$D$54/12*reserves!BD67</f>
        <v>0</v>
      </c>
      <c r="K68" s="928">
        <f>IF(C68=0,0,IF(C68=sales!$D$32,financing!$E$12*financing!$F$11,IF(OR(C68&gt;general!$C$27,C68&lt;sales!$D$32),0,IF((C68-sales!$D$32)/12=ROUND((C68-sales!$D$32)/12,0),financing!$E$12*financing!$F$11,0))))</f>
        <v>0</v>
      </c>
      <c r="L68" s="928"/>
      <c r="M68" s="928">
        <f t="shared" si="26"/>
        <v>0</v>
      </c>
      <c r="N68" s="946"/>
      <c r="O68" s="946">
        <f>IF(D68=general!$D$21,financing!$F$30,0)</f>
        <v>0</v>
      </c>
      <c r="P68" s="946">
        <f>+MIN(IF(D68&lt;=general!$D$24,SUM(F$6:F68)-SUM(P$6:P67),reserves!F68),AR67)</f>
        <v>0</v>
      </c>
      <c r="Q68" s="946">
        <f>+MAX(MIN(SUM(G$6:$G68)-R68,AN67,SUM(G$6:$G68)-SUM(Q$6:Q67)),0)</f>
        <v>0</v>
      </c>
      <c r="R68" s="946">
        <f>+IF(C68&gt;=sales!$D$36,'Development Cash Flow'!AL68,0)</f>
        <v>0</v>
      </c>
      <c r="S68" s="931">
        <f>IF(AND(A68=$A$5,C68&lt;financing!$D$55),M68-SUM(P68:R68,O68),MIN(M68-SUM(P68:R68,O68),financing!$F$10-SUM(S$5:S67)))</f>
        <v>0</v>
      </c>
      <c r="T68" s="931">
        <f>+MAX(MIN(IF(C68&gt;=financing!$D$55,M68-SUM(P68:S68)-J68,0),financing!$D$57-SUM(T$5:T67)),0)</f>
        <v>0</v>
      </c>
      <c r="U68" s="931">
        <f>+MAX(IF(C68&gt;=general!$C$23,M68-SUM(P68:T68),0)+IF(C68=general!$C$23,reserves!AZ67+AY68,0),0)</f>
        <v>0</v>
      </c>
      <c r="V68" s="946"/>
      <c r="W68" s="946">
        <f>SUMPRODUCT(--($C68=sales!$C$50:$C$54),sales!$F$50:$F$54)</f>
        <v>0</v>
      </c>
      <c r="X68" s="946">
        <f t="shared" si="44"/>
        <v>0</v>
      </c>
      <c r="Y68" s="946">
        <f t="shared" si="31"/>
        <v>0</v>
      </c>
      <c r="Z68" s="946">
        <f t="shared" si="45"/>
        <v>0</v>
      </c>
      <c r="AA68" s="946"/>
      <c r="AB68" s="932">
        <f>IF(C68=sales!$D$22,sales!$I$22,0)+IF(C68=sales!$D$23,sales!$I$23,0)+IF(C68=sales!$D$24,sales!$I$24,0)+IF(C68=sales!$D$25,sales!$I$25,0)+IF(C68=sales!$D$26,sales!$I$26,0)+IF(C68=sales!$D$27,sales!$I$27,0)</f>
        <v>0</v>
      </c>
      <c r="AC68" s="946"/>
      <c r="AD68" s="931">
        <f t="shared" si="32"/>
        <v>0</v>
      </c>
      <c r="AE68" s="932"/>
      <c r="AF68" s="932">
        <f t="shared" si="24"/>
        <v>0</v>
      </c>
      <c r="AG68" s="932">
        <f t="shared" si="25"/>
        <v>0</v>
      </c>
      <c r="AH68" s="931">
        <f t="shared" si="54"/>
        <v>0</v>
      </c>
      <c r="AI68" s="932"/>
      <c r="AJ68" s="931">
        <f t="shared" si="55"/>
        <v>0</v>
      </c>
      <c r="AK68" s="946"/>
      <c r="AL68" s="947">
        <f>+IF(financing!$C$12="YES",'Development Cash Flow'!M68,0)</f>
        <v>0</v>
      </c>
      <c r="AM68" s="947">
        <f t="shared" si="33"/>
        <v>0</v>
      </c>
      <c r="AN68" s="947">
        <f t="shared" si="46"/>
        <v>0</v>
      </c>
      <c r="AO68" s="946"/>
      <c r="AP68" s="947">
        <f>+SUM('Development Cash Flow'!G68:J68)-'Development Cash Flow'!M68</f>
        <v>0</v>
      </c>
      <c r="AQ68" s="947">
        <f t="shared" si="34"/>
        <v>0</v>
      </c>
      <c r="AR68" s="947">
        <f t="shared" si="47"/>
        <v>0</v>
      </c>
      <c r="AS68" s="946"/>
      <c r="AT68" s="947">
        <f t="shared" si="48"/>
        <v>0</v>
      </c>
      <c r="AU68" s="947">
        <f t="shared" si="49"/>
        <v>0</v>
      </c>
      <c r="AV68" s="948">
        <f t="shared" si="50"/>
        <v>0</v>
      </c>
      <c r="AW68" s="946"/>
      <c r="AX68" s="947">
        <f t="shared" si="35"/>
        <v>0</v>
      </c>
      <c r="AY68" s="947">
        <f>+AZ67*financing!$E$30/12</f>
        <v>0</v>
      </c>
      <c r="AZ68" s="947">
        <f t="shared" si="51"/>
        <v>0</v>
      </c>
      <c r="BA68" s="946"/>
      <c r="BB68" s="947">
        <f t="shared" si="36"/>
        <v>0</v>
      </c>
      <c r="BC68" s="947">
        <f>+IF(AND(BD67+BB68+MAX(BD67*financing!$E$15/12,financing!$D$59-SUM(reserves!BC$6:BC67)-SUM(J$6:J68))-reserves!AD68&lt;=0,financing!$D$58&gt;=0),MAX(BD67*financing!$E$15/12,financing!$D$59-SUM(reserves!BC$6:BC67)-SUM(J$6:J68)),BD67*financing!$E$15/12)</f>
        <v>0</v>
      </c>
      <c r="BD68" s="947">
        <f t="shared" si="17"/>
        <v>0</v>
      </c>
      <c r="BE68" s="946"/>
      <c r="BF68" s="947">
        <f t="shared" si="52"/>
        <v>0</v>
      </c>
      <c r="BG68" s="947">
        <f>+IF(AND(BH67+BF68+MAX((BH67*(LIBOR!AA69)*(D68-D67)/360)+BY68,financing!$C$16-SUM(reserves!BG$6:BG67))-reserves!AD68&lt;=0,financing!$L$17&gt;=0),MAX((BH67*(LIBOR!AA69)*(D68-D67)/360)+BY68,financing!$C$16-SUM(reserves!BG$6:BG67)),(BH67*(LIBOR!AA69)*(D68-D67)/360)+BY68)</f>
        <v>0</v>
      </c>
      <c r="BH68" s="947">
        <f t="shared" si="53"/>
        <v>0</v>
      </c>
      <c r="BI68" s="946"/>
      <c r="BJ68" s="937"/>
      <c r="BK68" s="938">
        <f t="shared" si="41"/>
        <v>0</v>
      </c>
      <c r="BL68" s="939">
        <f>-S68+AJ68+AF68-AX68+AH68+AG68-BB68-BF68+'Development Cash Flow'!Y68</f>
        <v>0</v>
      </c>
      <c r="BM68" s="940"/>
      <c r="BN68" s="941">
        <f t="shared" si="37"/>
        <v>0</v>
      </c>
      <c r="BO68" s="940"/>
      <c r="BP68" s="942">
        <f t="shared" si="38"/>
        <v>0</v>
      </c>
      <c r="BS68" s="949" t="e">
        <f t="shared" si="42"/>
        <v>#DIV/0!</v>
      </c>
      <c r="BT68" s="922">
        <f>+IF(SUM(BT$5:BT67)&lt;1,IF(BU68=MAX($BU$6:$BU$54),1,0),0)</f>
        <v>0</v>
      </c>
      <c r="BU68" s="922">
        <f t="shared" si="43"/>
        <v>4000000</v>
      </c>
      <c r="BV68" s="943" t="str">
        <f t="shared" si="39"/>
        <v/>
      </c>
      <c r="BW68" s="922" t="str">
        <f t="shared" si="40"/>
        <v/>
      </c>
      <c r="BY68" s="208">
        <f>ROUND(IF(A68="Dev",IF(AND(BK68&gt;general!$D$23,SUM($BZ$6:$BZ67)&lt;1,financing!$L$15&gt;BH67+BF68),financing!$L$16*(BK68-BK67)/360*(financing!$L$15-BH67-BF68),0),0),-2)</f>
        <v>0</v>
      </c>
      <c r="BZ68" s="909">
        <f>+IF(AND(BH68&gt;=financing!$L$15,SUM(BZ$6:BZ67)=0),1,0)</f>
        <v>0</v>
      </c>
      <c r="CA68" s="950">
        <f t="shared" si="56"/>
        <v>0</v>
      </c>
      <c r="CD68" s="909">
        <f>SUM($S$6:S68)</f>
        <v>4000000</v>
      </c>
      <c r="CF68" s="208">
        <f>+IF(C68&lt;general!$C$22,0,IF(AND(C68=general!$C$22,OR(A68="Pred",A68="Dev")),SUM(S$6:S68),S68))</f>
        <v>0</v>
      </c>
    </row>
    <row r="69" spans="1:84" ht="16" hidden="1" outlineLevel="2">
      <c r="A69" s="906" t="str">
        <f>+'Development Cash Flow'!A69</f>
        <v>post dev</v>
      </c>
      <c r="B69" s="908"/>
      <c r="C69" s="944">
        <f>IF('Development Cash Flow'!D68&lt;general!$D$28,'Development Cash Flow'!C68+1,0)</f>
        <v>0</v>
      </c>
      <c r="D69" s="945">
        <f t="shared" si="23"/>
        <v>48182</v>
      </c>
      <c r="E69" s="945"/>
      <c r="F69" s="928">
        <f>'Development Cash Flow'!P69*D$4+SUM('Development Cash Flow'!Q69:T69)*F$4</f>
        <v>0</v>
      </c>
      <c r="G69" s="928">
        <f>'Development Cash Flow'!AL69-F69</f>
        <v>0</v>
      </c>
      <c r="H69" s="928"/>
      <c r="I69" s="928"/>
      <c r="J69" s="931">
        <f>+financing!$D$54/12*reserves!BD68</f>
        <v>0</v>
      </c>
      <c r="K69" s="928">
        <f>IF(C69=0,0,IF(C69=sales!$D$32,financing!$E$12*financing!$F$11,IF(OR(C69&gt;general!$C$27,C69&lt;sales!$D$32),0,IF((C69-sales!$D$32)/12=ROUND((C69-sales!$D$32)/12,0),financing!$E$12*financing!$F$11,0))))</f>
        <v>0</v>
      </c>
      <c r="L69" s="928"/>
      <c r="M69" s="928">
        <f t="shared" si="26"/>
        <v>0</v>
      </c>
      <c r="N69" s="946"/>
      <c r="O69" s="946">
        <f>IF(D69=general!$D$21,financing!$F$30,0)</f>
        <v>0</v>
      </c>
      <c r="P69" s="946">
        <f>+MIN(IF(D69&lt;=general!$D$24,SUM(F$6:F69)-SUM(P$6:P68),reserves!F69),AR68)</f>
        <v>0</v>
      </c>
      <c r="Q69" s="946">
        <f>+MAX(MIN(SUM(G$6:$G69)-R69,AN68,SUM(G$6:$G69)-SUM(Q$6:Q68)),0)</f>
        <v>0</v>
      </c>
      <c r="R69" s="946">
        <f>+IF(C69&gt;=sales!$D$36,'Development Cash Flow'!AL69,0)</f>
        <v>0</v>
      </c>
      <c r="S69" s="931">
        <f>IF(AND(A69=$A$5,C69&lt;financing!$D$55),M69-SUM(P69:R69,O69),MIN(M69-SUM(P69:R69,O69),financing!$F$10-SUM(S$5:S68)))</f>
        <v>0</v>
      </c>
      <c r="T69" s="931">
        <f>+MAX(MIN(IF(C69&gt;=financing!$D$55,M69-SUM(P69:S69)-J69,0),financing!$D$57-SUM(T$5:T68)),0)</f>
        <v>0</v>
      </c>
      <c r="U69" s="931">
        <f>+MAX(IF(C69&gt;=general!$C$23,M69-SUM(P69:T69),0)+IF(C69=general!$C$23,reserves!AZ68+AY69,0),0)</f>
        <v>0</v>
      </c>
      <c r="V69" s="946"/>
      <c r="W69" s="946">
        <f>SUMPRODUCT(--($C69=sales!$C$50:$C$54),sales!$F$50:$F$54)</f>
        <v>0</v>
      </c>
      <c r="X69" s="946">
        <f t="shared" si="44"/>
        <v>0</v>
      </c>
      <c r="Y69" s="946">
        <f t="shared" si="31"/>
        <v>0</v>
      </c>
      <c r="Z69" s="946">
        <f t="shared" si="45"/>
        <v>0</v>
      </c>
      <c r="AA69" s="946"/>
      <c r="AB69" s="932">
        <f>IF(C69=sales!$D$22,sales!$I$22,0)+IF(C69=sales!$D$23,sales!$I$23,0)+IF(C69=sales!$D$24,sales!$I$24,0)+IF(C69=sales!$D$25,sales!$I$25,0)+IF(C69=sales!$D$26,sales!$I$26,0)+IF(C69=sales!$D$27,sales!$I$27,0)</f>
        <v>0</v>
      </c>
      <c r="AC69" s="946"/>
      <c r="AD69" s="931">
        <f t="shared" si="32"/>
        <v>0</v>
      </c>
      <c r="AE69" s="932"/>
      <c r="AF69" s="932">
        <f t="shared" si="24"/>
        <v>0</v>
      </c>
      <c r="AG69" s="932">
        <f t="shared" si="25"/>
        <v>0</v>
      </c>
      <c r="AH69" s="931">
        <f t="shared" si="54"/>
        <v>0</v>
      </c>
      <c r="AI69" s="932"/>
      <c r="AJ69" s="931">
        <f t="shared" si="55"/>
        <v>0</v>
      </c>
      <c r="AK69" s="946"/>
      <c r="AL69" s="947">
        <f>+IF(financing!$C$12="YES",'Development Cash Flow'!M69,0)</f>
        <v>0</v>
      </c>
      <c r="AM69" s="947">
        <f t="shared" si="33"/>
        <v>0</v>
      </c>
      <c r="AN69" s="947">
        <f t="shared" si="46"/>
        <v>0</v>
      </c>
      <c r="AO69" s="946"/>
      <c r="AP69" s="947">
        <f>+SUM('Development Cash Flow'!G69:J69)-'Development Cash Flow'!M69</f>
        <v>0</v>
      </c>
      <c r="AQ69" s="947">
        <f t="shared" si="34"/>
        <v>0</v>
      </c>
      <c r="AR69" s="947">
        <f t="shared" si="47"/>
        <v>0</v>
      </c>
      <c r="AS69" s="946"/>
      <c r="AT69" s="947">
        <f t="shared" si="48"/>
        <v>0</v>
      </c>
      <c r="AU69" s="947">
        <f t="shared" si="49"/>
        <v>0</v>
      </c>
      <c r="AV69" s="948">
        <f t="shared" si="50"/>
        <v>0</v>
      </c>
      <c r="AW69" s="946"/>
      <c r="AX69" s="947">
        <f t="shared" si="35"/>
        <v>0</v>
      </c>
      <c r="AY69" s="947">
        <f>+AZ68*financing!$E$30/12</f>
        <v>0</v>
      </c>
      <c r="AZ69" s="947">
        <f t="shared" si="51"/>
        <v>0</v>
      </c>
      <c r="BA69" s="946"/>
      <c r="BB69" s="947">
        <f t="shared" si="36"/>
        <v>0</v>
      </c>
      <c r="BC69" s="947">
        <f>+IF(AND(BD68+BB69+MAX(BD68*financing!$E$15/12,financing!$D$59-SUM(reserves!BC$6:BC68)-SUM(J$6:J69))-reserves!AD69&lt;=0,financing!$D$58&gt;=0),MAX(BD68*financing!$E$15/12,financing!$D$59-SUM(reserves!BC$6:BC68)-SUM(J$6:J69)),BD68*financing!$E$15/12)</f>
        <v>0</v>
      </c>
      <c r="BD69" s="947">
        <f t="shared" si="17"/>
        <v>0</v>
      </c>
      <c r="BE69" s="946"/>
      <c r="BF69" s="947">
        <f t="shared" si="52"/>
        <v>0</v>
      </c>
      <c r="BG69" s="947">
        <f>+IF(AND(BH68+BF69+MAX((BH68*(LIBOR!AA70)*(D69-D68)/360)+BY69,financing!$C$16-SUM(reserves!BG$6:BG68))-reserves!AD69&lt;=0,financing!$L$17&gt;=0),MAX((BH68*(LIBOR!AA70)*(D69-D68)/360)+BY69,financing!$C$16-SUM(reserves!BG$6:BG68)),(BH68*(LIBOR!AA70)*(D69-D68)/360)+BY69)</f>
        <v>0</v>
      </c>
      <c r="BH69" s="947">
        <f t="shared" si="53"/>
        <v>0</v>
      </c>
      <c r="BI69" s="946"/>
      <c r="BJ69" s="937"/>
      <c r="BK69" s="938">
        <f t="shared" si="41"/>
        <v>0</v>
      </c>
      <c r="BL69" s="939">
        <f>-S69+AJ69+AF69-AX69+AH69+AG69-BB69-BF69+'Development Cash Flow'!Y69</f>
        <v>0</v>
      </c>
      <c r="BM69" s="940"/>
      <c r="BN69" s="941">
        <f t="shared" si="37"/>
        <v>0</v>
      </c>
      <c r="BO69" s="940"/>
      <c r="BP69" s="942">
        <f t="shared" si="38"/>
        <v>0</v>
      </c>
      <c r="BS69" s="949" t="e">
        <f t="shared" si="42"/>
        <v>#DIV/0!</v>
      </c>
      <c r="BT69" s="922">
        <f>+IF(SUM(BT$5:BT68)&lt;1,IF(BU69=MAX($BU$6:$BU$54),1,0),0)</f>
        <v>0</v>
      </c>
      <c r="BU69" s="922">
        <f t="shared" si="43"/>
        <v>4000000</v>
      </c>
      <c r="BV69" s="943" t="str">
        <f t="shared" si="39"/>
        <v/>
      </c>
      <c r="BW69" s="922" t="str">
        <f t="shared" si="40"/>
        <v/>
      </c>
      <c r="BY69" s="208">
        <f>ROUND(IF(A69="Dev",IF(AND(BK69&gt;general!$D$23,SUM($BZ$6:$BZ68)&lt;1,financing!$L$15&gt;BH68+BF69),financing!$L$16*(BK69-BK68)/360*(financing!$L$15-BH68-BF69),0),0),-2)</f>
        <v>0</v>
      </c>
      <c r="BZ69" s="909">
        <f>+IF(AND(BH69&gt;=financing!$L$15,SUM(BZ$6:BZ68)=0),1,0)</f>
        <v>0</v>
      </c>
      <c r="CA69" s="950">
        <f t="shared" si="56"/>
        <v>0</v>
      </c>
      <c r="CD69" s="909">
        <f>SUM($S$6:S69)</f>
        <v>4000000</v>
      </c>
      <c r="CF69" s="208">
        <f>+IF(C69&lt;general!$C$22,0,IF(AND(C69=general!$C$22,OR(A69="Pred",A69="Dev")),SUM(S$6:S69),S69))</f>
        <v>0</v>
      </c>
    </row>
    <row r="70" spans="1:84" ht="16" hidden="1" outlineLevel="2">
      <c r="A70" s="906" t="str">
        <f>+'Development Cash Flow'!A70</f>
        <v>post dev</v>
      </c>
      <c r="B70" s="908"/>
      <c r="C70" s="944">
        <f>IF('Development Cash Flow'!D69&lt;general!$D$28,'Development Cash Flow'!C69+1,0)</f>
        <v>0</v>
      </c>
      <c r="D70" s="945">
        <f t="shared" si="23"/>
        <v>48213</v>
      </c>
      <c r="E70" s="945"/>
      <c r="F70" s="928">
        <f>'Development Cash Flow'!P70*D$4+SUM('Development Cash Flow'!Q70:T70)*F$4</f>
        <v>0</v>
      </c>
      <c r="G70" s="928">
        <f>'Development Cash Flow'!AL70-F70</f>
        <v>0</v>
      </c>
      <c r="H70" s="928"/>
      <c r="I70" s="928"/>
      <c r="J70" s="931">
        <f>+financing!$D$54/12*reserves!BD69</f>
        <v>0</v>
      </c>
      <c r="K70" s="928">
        <f>IF(C70=0,0,IF(C70=sales!$D$32,financing!$E$12*financing!$F$11,IF(OR(C70&gt;general!$C$27,C70&lt;sales!$D$32),0,IF((C70-sales!$D$32)/12=ROUND((C70-sales!$D$32)/12,0),financing!$E$12*financing!$F$11,0))))</f>
        <v>0</v>
      </c>
      <c r="L70" s="928"/>
      <c r="M70" s="928">
        <f t="shared" si="26"/>
        <v>0</v>
      </c>
      <c r="N70" s="946"/>
      <c r="O70" s="946">
        <f>IF(D70=general!$D$21,financing!$F$30,0)</f>
        <v>0</v>
      </c>
      <c r="P70" s="946">
        <f>+MIN(IF(D70&lt;=general!$D$24,SUM(F$6:F70)-SUM(P$6:P69),reserves!F70),AR69)</f>
        <v>0</v>
      </c>
      <c r="Q70" s="946">
        <f>+MAX(MIN(SUM(G$6:$G70)-R70,AN69,SUM(G$6:$G70)-SUM(Q$6:Q69)),0)</f>
        <v>0</v>
      </c>
      <c r="R70" s="946">
        <f>+IF(C70&gt;=sales!$D$36,'Development Cash Flow'!AL70,0)</f>
        <v>0</v>
      </c>
      <c r="S70" s="931">
        <f>IF(AND(A70=$A$5,C70&lt;financing!$D$55),M70-SUM(P70:R70,O70),MIN(M70-SUM(P70:R70,O70),financing!$F$10-SUM(S$5:S69)))</f>
        <v>0</v>
      </c>
      <c r="T70" s="931">
        <f>+MAX(MIN(IF(C70&gt;=financing!$D$55,M70-SUM(P70:S70)-J70,0),financing!$D$57-SUM(T$5:T69)),0)</f>
        <v>0</v>
      </c>
      <c r="U70" s="931">
        <f>+MAX(IF(C70&gt;=general!$C$23,M70-SUM(P70:T70),0)+IF(C70=general!$C$23,reserves!AZ69+AY70,0),0)</f>
        <v>0</v>
      </c>
      <c r="V70" s="946"/>
      <c r="W70" s="946">
        <f>SUMPRODUCT(--($C70=sales!$C$50:$C$54),sales!$F$50:$F$54)</f>
        <v>0</v>
      </c>
      <c r="X70" s="946">
        <f t="shared" si="44"/>
        <v>0</v>
      </c>
      <c r="Y70" s="946">
        <f t="shared" ref="Y70:Y101" si="57">+R70</f>
        <v>0</v>
      </c>
      <c r="Z70" s="946">
        <f t="shared" si="45"/>
        <v>0</v>
      </c>
      <c r="AA70" s="946"/>
      <c r="AB70" s="932">
        <f>IF(C70=sales!$D$22,sales!$I$22,0)+IF(C70=sales!$D$23,sales!$I$23,0)+IF(C70=sales!$D$24,sales!$I$24,0)+IF(C70=sales!$D$25,sales!$I$25,0)+IF(C70=sales!$D$26,sales!$I$26,0)+IF(C70=sales!$D$27,sales!$I$27,0)</f>
        <v>0</v>
      </c>
      <c r="AC70" s="946"/>
      <c r="AD70" s="931">
        <f t="shared" ref="AD70:AD101" si="58">+SUM(O70:U70)-M70+Z70+AB70</f>
        <v>0</v>
      </c>
      <c r="AE70" s="932"/>
      <c r="AF70" s="932">
        <f t="shared" si="24"/>
        <v>0</v>
      </c>
      <c r="AG70" s="932">
        <f t="shared" si="25"/>
        <v>0</v>
      </c>
      <c r="AH70" s="931">
        <f t="shared" si="54"/>
        <v>0</v>
      </c>
      <c r="AI70" s="932"/>
      <c r="AJ70" s="931">
        <f t="shared" si="55"/>
        <v>0</v>
      </c>
      <c r="AK70" s="946"/>
      <c r="AL70" s="947">
        <f>+IF(financing!$C$12="YES",'Development Cash Flow'!M70,0)</f>
        <v>0</v>
      </c>
      <c r="AM70" s="947">
        <f t="shared" ref="AM70:AM101" si="59">+Q70</f>
        <v>0</v>
      </c>
      <c r="AN70" s="947">
        <f t="shared" si="46"/>
        <v>0</v>
      </c>
      <c r="AO70" s="946"/>
      <c r="AP70" s="947">
        <f>+SUM('Development Cash Flow'!G70:J70)-'Development Cash Flow'!M70</f>
        <v>0</v>
      </c>
      <c r="AQ70" s="947">
        <f t="shared" ref="AQ70:AQ101" si="60">+P70</f>
        <v>0</v>
      </c>
      <c r="AR70" s="947">
        <f t="shared" si="47"/>
        <v>0</v>
      </c>
      <c r="AS70" s="946"/>
      <c r="AT70" s="947">
        <f t="shared" si="48"/>
        <v>0</v>
      </c>
      <c r="AU70" s="947">
        <f t="shared" si="49"/>
        <v>0</v>
      </c>
      <c r="AV70" s="948">
        <f t="shared" si="50"/>
        <v>0</v>
      </c>
      <c r="AW70" s="946"/>
      <c r="AX70" s="947">
        <f t="shared" ref="AX70:AX101" si="61">+O70</f>
        <v>0</v>
      </c>
      <c r="AY70" s="947">
        <f>+AZ69*financing!$E$30/12</f>
        <v>0</v>
      </c>
      <c r="AZ70" s="947">
        <f t="shared" si="51"/>
        <v>0</v>
      </c>
      <c r="BA70" s="946"/>
      <c r="BB70" s="947">
        <f t="shared" ref="BB70:BB101" si="62">+T70</f>
        <v>0</v>
      </c>
      <c r="BC70" s="947">
        <f>+IF(AND(BD69+BB70+MAX(BD69*financing!$E$15/12,financing!$D$59-SUM(reserves!BC$6:BC69)-SUM(J$6:J70))-reserves!AD70&lt;=0,financing!$D$58&gt;=0),MAX(BD69*financing!$E$15/12,financing!$D$59-SUM(reserves!BC$6:BC69)-SUM(J$6:J70)),BD69*financing!$E$15/12)</f>
        <v>0</v>
      </c>
      <c r="BD70" s="947">
        <f t="shared" si="17"/>
        <v>0</v>
      </c>
      <c r="BE70" s="946"/>
      <c r="BF70" s="947">
        <f t="shared" si="52"/>
        <v>0</v>
      </c>
      <c r="BG70" s="947">
        <f>+IF(AND(BH69+BF70+MAX((BH69*(LIBOR!AA71)*(D70-D69)/360)+BY70,financing!$C$16-SUM(reserves!BG$6:BG69))-reserves!AD70&lt;=0,financing!$L$17&gt;=0),MAX((BH69*(LIBOR!AA71)*(D70-D69)/360)+BY70,financing!$C$16-SUM(reserves!BG$6:BG69)),(BH69*(LIBOR!AA71)*(D70-D69)/360)+BY70)</f>
        <v>0</v>
      </c>
      <c r="BH70" s="947">
        <f t="shared" si="53"/>
        <v>0</v>
      </c>
      <c r="BI70" s="946"/>
      <c r="BJ70" s="937"/>
      <c r="BK70" s="938">
        <f t="shared" si="41"/>
        <v>0</v>
      </c>
      <c r="BL70" s="939">
        <f>-S70+AJ70+AF70-AX70+AH70+AG70-BB70-BF70+'Development Cash Flow'!Y70</f>
        <v>0</v>
      </c>
      <c r="BM70" s="940"/>
      <c r="BN70" s="941">
        <f t="shared" ref="BN70:BN101" si="63">-S70+AJ70</f>
        <v>0</v>
      </c>
      <c r="BO70" s="940"/>
      <c r="BP70" s="942">
        <f t="shared" ref="BP70:BP101" si="64">+M70-S70-O70-AM70-AQ70-BF70+AF70-R70-BB70</f>
        <v>0</v>
      </c>
      <c r="BS70" s="949" t="e">
        <f t="shared" si="42"/>
        <v>#DIV/0!</v>
      </c>
      <c r="BT70" s="922">
        <f>+IF(SUM(BT$5:BT69)&lt;1,IF(BU70=MAX($BU$6:$BU$54),1,0),0)</f>
        <v>0</v>
      </c>
      <c r="BU70" s="922">
        <f t="shared" si="43"/>
        <v>4000000</v>
      </c>
      <c r="BV70" s="943" t="str">
        <f t="shared" ref="BV70:BV101" si="65">+IF(BT70=1,D70,"")</f>
        <v/>
      </c>
      <c r="BW70" s="922" t="str">
        <f t="shared" ref="BW70:BW101" si="66">+IF(BT70=1,C70,"")</f>
        <v/>
      </c>
      <c r="BY70" s="208">
        <f>ROUND(IF(A70="Dev",IF(AND(BK70&gt;general!$D$23,SUM($BZ$6:$BZ69)&lt;1,financing!$L$15&gt;BH69+BF70),financing!$L$16*(BK70-BK69)/360*(financing!$L$15-BH69-BF70),0),0),-2)</f>
        <v>0</v>
      </c>
      <c r="BZ70" s="909">
        <f>+IF(AND(BH70&gt;=financing!$L$15,SUM(BZ$6:BZ69)=0),1,0)</f>
        <v>0</v>
      </c>
      <c r="CA70" s="950">
        <f t="shared" si="56"/>
        <v>0</v>
      </c>
      <c r="CD70" s="909">
        <f>SUM($S$6:S70)</f>
        <v>4000000</v>
      </c>
      <c r="CF70" s="208">
        <f>+IF(C70&lt;general!$C$22,0,IF(AND(C70=general!$C$22,OR(A70="Pred",A70="Dev")),SUM(S$6:S70),S70))</f>
        <v>0</v>
      </c>
    </row>
    <row r="71" spans="1:84" ht="16" hidden="1" outlineLevel="2">
      <c r="A71" s="906" t="str">
        <f>+'Development Cash Flow'!A71</f>
        <v>post dev</v>
      </c>
      <c r="B71" s="908"/>
      <c r="C71" s="944">
        <f>IF('Development Cash Flow'!D70&lt;general!$D$28,'Development Cash Flow'!C70+1,0)</f>
        <v>0</v>
      </c>
      <c r="D71" s="945">
        <f t="shared" si="23"/>
        <v>48244</v>
      </c>
      <c r="E71" s="945"/>
      <c r="F71" s="928">
        <f>'Development Cash Flow'!P71*D$4+SUM('Development Cash Flow'!Q71:T71)*F$4</f>
        <v>0</v>
      </c>
      <c r="G71" s="928">
        <f>'Development Cash Flow'!AL71-F71</f>
        <v>0</v>
      </c>
      <c r="H71" s="928"/>
      <c r="I71" s="928"/>
      <c r="J71" s="931">
        <f>+financing!$D$54/12*reserves!BD70</f>
        <v>0</v>
      </c>
      <c r="K71" s="928">
        <f>IF(C71=0,0,IF(C71=sales!$D$32,financing!$E$12*financing!$F$11,IF(OR(C71&gt;general!$C$27,C71&lt;sales!$D$32),0,IF((C71-sales!$D$32)/12=ROUND((C71-sales!$D$32)/12,0),financing!$E$12*financing!$F$11,0))))</f>
        <v>0</v>
      </c>
      <c r="L71" s="928"/>
      <c r="M71" s="928">
        <f t="shared" si="26"/>
        <v>0</v>
      </c>
      <c r="N71" s="946"/>
      <c r="O71" s="946">
        <f>IF(D71=general!$D$21,financing!$F$30,0)</f>
        <v>0</v>
      </c>
      <c r="P71" s="946">
        <f>+MIN(IF(D71&lt;=general!$D$24,SUM(F$6:F71)-SUM(P$6:P70),reserves!F71),AR70)</f>
        <v>0</v>
      </c>
      <c r="Q71" s="946">
        <f>+MAX(MIN(SUM(G$6:$G71)-R71,AN70,SUM(G$6:$G71)-SUM(Q$6:Q70)),0)</f>
        <v>0</v>
      </c>
      <c r="R71" s="946">
        <f>+IF(C71&gt;=sales!$D$36,'Development Cash Flow'!AL71,0)</f>
        <v>0</v>
      </c>
      <c r="S71" s="931">
        <f>IF(AND(A71=$A$5,C71&lt;financing!$D$55),M71-SUM(P71:R71,O71),MIN(M71-SUM(P71:R71,O71),financing!$F$10-SUM(S$5:S70)))</f>
        <v>0</v>
      </c>
      <c r="T71" s="931">
        <f>+MAX(MIN(IF(C71&gt;=financing!$D$55,M71-SUM(P71:S71)-J71,0),financing!$D$57-SUM(T$5:T70)),0)</f>
        <v>0</v>
      </c>
      <c r="U71" s="931">
        <f>+MAX(IF(C71&gt;=general!$C$23,M71-SUM(P71:T71),0)+IF(C71=general!$C$23,reserves!AZ70+AY71,0),0)</f>
        <v>0</v>
      </c>
      <c r="V71" s="946"/>
      <c r="W71" s="946">
        <f>SUMPRODUCT(--($C71=sales!$C$50:$C$54),sales!$F$50:$F$54)</f>
        <v>0</v>
      </c>
      <c r="X71" s="946">
        <f t="shared" si="44"/>
        <v>0</v>
      </c>
      <c r="Y71" s="946">
        <f t="shared" si="57"/>
        <v>0</v>
      </c>
      <c r="Z71" s="946">
        <f t="shared" si="45"/>
        <v>0</v>
      </c>
      <c r="AA71" s="946"/>
      <c r="AB71" s="932">
        <f>IF(C71=sales!$D$22,sales!$I$22,0)+IF(C71=sales!$D$23,sales!$I$23,0)+IF(C71=sales!$D$24,sales!$I$24,0)+IF(C71=sales!$D$25,sales!$I$25,0)+IF(C71=sales!$D$26,sales!$I$26,0)+IF(C71=sales!$D$27,sales!$I$27,0)</f>
        <v>0</v>
      </c>
      <c r="AC71" s="946"/>
      <c r="AD71" s="931">
        <f t="shared" si="58"/>
        <v>0</v>
      </c>
      <c r="AE71" s="932"/>
      <c r="AF71" s="932">
        <f t="shared" si="24"/>
        <v>0</v>
      </c>
      <c r="AG71" s="932">
        <f t="shared" si="25"/>
        <v>0</v>
      </c>
      <c r="AH71" s="931">
        <f t="shared" si="54"/>
        <v>0</v>
      </c>
      <c r="AI71" s="932"/>
      <c r="AJ71" s="931">
        <f t="shared" si="55"/>
        <v>0</v>
      </c>
      <c r="AK71" s="946"/>
      <c r="AL71" s="947">
        <f>+IF(financing!$C$12="YES",'Development Cash Flow'!M71,0)</f>
        <v>0</v>
      </c>
      <c r="AM71" s="947">
        <f t="shared" si="59"/>
        <v>0</v>
      </c>
      <c r="AN71" s="947">
        <f t="shared" si="46"/>
        <v>0</v>
      </c>
      <c r="AO71" s="946"/>
      <c r="AP71" s="947">
        <f>+SUM('Development Cash Flow'!G71:J71)-'Development Cash Flow'!M71</f>
        <v>0</v>
      </c>
      <c r="AQ71" s="947">
        <f t="shared" si="60"/>
        <v>0</v>
      </c>
      <c r="AR71" s="947">
        <f t="shared" si="47"/>
        <v>0</v>
      </c>
      <c r="AS71" s="946"/>
      <c r="AT71" s="947">
        <f t="shared" si="48"/>
        <v>0</v>
      </c>
      <c r="AU71" s="947">
        <f t="shared" si="49"/>
        <v>0</v>
      </c>
      <c r="AV71" s="948">
        <f t="shared" si="50"/>
        <v>0</v>
      </c>
      <c r="AW71" s="946"/>
      <c r="AX71" s="947">
        <f t="shared" si="61"/>
        <v>0</v>
      </c>
      <c r="AY71" s="947">
        <f>+AZ70*financing!$E$30/12</f>
        <v>0</v>
      </c>
      <c r="AZ71" s="947">
        <f t="shared" si="51"/>
        <v>0</v>
      </c>
      <c r="BA71" s="946"/>
      <c r="BB71" s="947">
        <f t="shared" si="62"/>
        <v>0</v>
      </c>
      <c r="BC71" s="947">
        <f>+IF(AND(BD70+BB71+MAX(BD70*financing!$E$15/12,financing!$D$59-SUM(reserves!BC$6:BC70)-SUM(J$6:J71))-reserves!AD71&lt;=0,financing!$D$58&gt;=0),MAX(BD70*financing!$E$15/12,financing!$D$59-SUM(reserves!BC$6:BC70)-SUM(J$6:J71)),BD70*financing!$E$15/12)</f>
        <v>0</v>
      </c>
      <c r="BD71" s="947">
        <f t="shared" ref="BD71:BD126" si="67">+BD70+BC71+BB71-AH71</f>
        <v>0</v>
      </c>
      <c r="BE71" s="946"/>
      <c r="BF71" s="947">
        <f t="shared" si="52"/>
        <v>0</v>
      </c>
      <c r="BG71" s="947">
        <f>+IF(AND(BH70+BF71+MAX((BH70*(LIBOR!AA72)*(D71-D70)/360)+BY71,financing!$C$16-SUM(reserves!BG$6:BG70))-reserves!AD71&lt;=0,financing!$L$17&gt;=0),MAX((BH70*(LIBOR!AA72)*(D71-D70)/360)+BY71,financing!$C$16-SUM(reserves!BG$6:BG70)),(BH70*(LIBOR!AA72)*(D71-D70)/360)+BY71)</f>
        <v>0</v>
      </c>
      <c r="BH71" s="947">
        <f t="shared" si="53"/>
        <v>0</v>
      </c>
      <c r="BI71" s="946"/>
      <c r="BJ71" s="937"/>
      <c r="BK71" s="938">
        <f t="shared" ref="BK71:BK102" si="68">IF(C71=0,0,D71)</f>
        <v>0</v>
      </c>
      <c r="BL71" s="939">
        <f>-S71+AJ71+AF71-AX71+AH71+AG71-BB71-BF71+'Development Cash Flow'!Y71</f>
        <v>0</v>
      </c>
      <c r="BM71" s="940"/>
      <c r="BN71" s="941">
        <f t="shared" si="63"/>
        <v>0</v>
      </c>
      <c r="BO71" s="940"/>
      <c r="BP71" s="942">
        <f t="shared" si="64"/>
        <v>0</v>
      </c>
      <c r="BS71" s="949" t="e">
        <f t="shared" ref="BS71:BS102" si="69">+(BC71+J71)*12/BD70</f>
        <v>#DIV/0!</v>
      </c>
      <c r="BT71" s="922">
        <f>+IF(SUM(BT$5:BT70)&lt;1,IF(BU71=MAX($BU$6:$BU$54),1,0),0)</f>
        <v>0</v>
      </c>
      <c r="BU71" s="922">
        <f t="shared" ref="BU71:BU102" si="70">+BU70+S71</f>
        <v>4000000</v>
      </c>
      <c r="BV71" s="943" t="str">
        <f t="shared" si="65"/>
        <v/>
      </c>
      <c r="BW71" s="922" t="str">
        <f t="shared" si="66"/>
        <v/>
      </c>
      <c r="BY71" s="208">
        <f>ROUND(IF(A71="Dev",IF(AND(BK71&gt;general!$D$23,SUM($BZ$6:$BZ70)&lt;1,financing!$L$15&gt;BH70+BF71),financing!$L$16*(BK71-BK70)/360*(financing!$L$15-BH70-BF71),0),0),-2)</f>
        <v>0</v>
      </c>
      <c r="BZ71" s="909">
        <f>+IF(AND(BH71&gt;=financing!$L$15,SUM(BZ$6:BZ70)=0),1,0)</f>
        <v>0</v>
      </c>
      <c r="CA71" s="950">
        <f t="shared" si="56"/>
        <v>0</v>
      </c>
      <c r="CD71" s="909">
        <f>SUM($S$6:S71)</f>
        <v>4000000</v>
      </c>
      <c r="CF71" s="208">
        <f>+IF(C71&lt;general!$C$22,0,IF(AND(C71=general!$C$22,OR(A71="Pred",A71="Dev")),SUM(S$6:S71),S71))</f>
        <v>0</v>
      </c>
    </row>
    <row r="72" spans="1:84" ht="16" hidden="1" outlineLevel="2">
      <c r="A72" s="906" t="str">
        <f>+'Development Cash Flow'!A72</f>
        <v>post dev</v>
      </c>
      <c r="B72" s="908"/>
      <c r="C72" s="944">
        <f>IF('Development Cash Flow'!D71&lt;general!$D$28,'Development Cash Flow'!C71+1,0)</f>
        <v>0</v>
      </c>
      <c r="D72" s="945">
        <f t="shared" si="23"/>
        <v>48273</v>
      </c>
      <c r="E72" s="945"/>
      <c r="F72" s="928">
        <f>'Development Cash Flow'!P72*D$4+SUM('Development Cash Flow'!Q72:T72)*F$4</f>
        <v>0</v>
      </c>
      <c r="G72" s="928">
        <f>'Development Cash Flow'!AL72-F72</f>
        <v>0</v>
      </c>
      <c r="H72" s="928"/>
      <c r="I72" s="928"/>
      <c r="J72" s="931">
        <f>+financing!$D$54/12*reserves!BD71</f>
        <v>0</v>
      </c>
      <c r="K72" s="928">
        <f>IF(C72=0,0,IF(C72=sales!$D$32,financing!$E$12*financing!$F$11,IF(OR(C72&gt;general!$C$27,C72&lt;sales!$D$32),0,IF((C72-sales!$D$32)/12=ROUND((C72-sales!$D$32)/12,0),financing!$E$12*financing!$F$11,0))))</f>
        <v>0</v>
      </c>
      <c r="L72" s="928"/>
      <c r="M72" s="928">
        <f t="shared" si="26"/>
        <v>0</v>
      </c>
      <c r="N72" s="946"/>
      <c r="O72" s="946">
        <f>IF(D72=general!$D$21,financing!$F$30,0)</f>
        <v>0</v>
      </c>
      <c r="P72" s="946">
        <f>+MIN(IF(D72&lt;=general!$D$24,SUM(F$6:F72)-SUM(P$6:P71),reserves!F72),AR71)</f>
        <v>0</v>
      </c>
      <c r="Q72" s="946">
        <f>+MAX(MIN(SUM(G$6:$G72)-R72,AN71,SUM(G$6:$G72)-SUM(Q$6:Q71)),0)</f>
        <v>0</v>
      </c>
      <c r="R72" s="946">
        <f>+IF(C72&gt;=sales!$D$36,'Development Cash Flow'!AL72,0)</f>
        <v>0</v>
      </c>
      <c r="S72" s="931">
        <f>IF(AND(A72=$A$5,C72&lt;financing!$D$55),M72-SUM(P72:R72,O72),MIN(M72-SUM(P72:R72,O72),financing!$F$10-SUM(S$5:S71)))</f>
        <v>0</v>
      </c>
      <c r="T72" s="931">
        <f>+MAX(MIN(IF(C72&gt;=financing!$D$55,M72-SUM(P72:S72)-J72,0),financing!$D$57-SUM(T$5:T71)),0)</f>
        <v>0</v>
      </c>
      <c r="U72" s="931">
        <f>+MAX(IF(C72&gt;=general!$C$23,M72-SUM(P72:T72),0)+IF(C72=general!$C$23,reserves!AZ71+AY72,0),0)</f>
        <v>0</v>
      </c>
      <c r="V72" s="946"/>
      <c r="W72" s="946">
        <f>SUMPRODUCT(--($C72=sales!$C$50:$C$54),sales!$F$50:$F$54)</f>
        <v>0</v>
      </c>
      <c r="X72" s="946">
        <f t="shared" si="44"/>
        <v>0</v>
      </c>
      <c r="Y72" s="946">
        <f t="shared" si="57"/>
        <v>0</v>
      </c>
      <c r="Z72" s="946">
        <f t="shared" si="45"/>
        <v>0</v>
      </c>
      <c r="AA72" s="946"/>
      <c r="AB72" s="932">
        <f>IF(C72=sales!$D$22,sales!$I$22,0)+IF(C72=sales!$D$23,sales!$I$23,0)+IF(C72=sales!$D$24,sales!$I$24,0)+IF(C72=sales!$D$25,sales!$I$25,0)+IF(C72=sales!$D$26,sales!$I$26,0)+IF(C72=sales!$D$27,sales!$I$27,0)</f>
        <v>0</v>
      </c>
      <c r="AC72" s="946"/>
      <c r="AD72" s="931">
        <f t="shared" si="58"/>
        <v>0</v>
      </c>
      <c r="AE72" s="932"/>
      <c r="AF72" s="932">
        <f t="shared" ref="AF72:AF126" si="71">+MAX(MIN(AZ71+AX72+AY72,AD72),0)</f>
        <v>0</v>
      </c>
      <c r="AG72" s="932">
        <f t="shared" ref="AG72:AG126" si="72">+MAX(MIN(BH71+BF72+BG72,AD72-AF72),0)</f>
        <v>0</v>
      </c>
      <c r="AH72" s="931">
        <f t="shared" si="54"/>
        <v>0</v>
      </c>
      <c r="AI72" s="932"/>
      <c r="AJ72" s="931">
        <f t="shared" si="55"/>
        <v>0</v>
      </c>
      <c r="AK72" s="946"/>
      <c r="AL72" s="947">
        <f>+IF(financing!$C$12="YES",'Development Cash Flow'!M72,0)</f>
        <v>0</v>
      </c>
      <c r="AM72" s="947">
        <f t="shared" si="59"/>
        <v>0</v>
      </c>
      <c r="AN72" s="947">
        <f t="shared" si="46"/>
        <v>0</v>
      </c>
      <c r="AO72" s="946"/>
      <c r="AP72" s="947">
        <f>+SUM('Development Cash Flow'!G72:J72)-'Development Cash Flow'!M72</f>
        <v>0</v>
      </c>
      <c r="AQ72" s="947">
        <f t="shared" si="60"/>
        <v>0</v>
      </c>
      <c r="AR72" s="947">
        <f t="shared" si="47"/>
        <v>0</v>
      </c>
      <c r="AS72" s="946"/>
      <c r="AT72" s="947">
        <f t="shared" si="48"/>
        <v>0</v>
      </c>
      <c r="AU72" s="947">
        <f t="shared" si="49"/>
        <v>0</v>
      </c>
      <c r="AV72" s="948">
        <f t="shared" si="50"/>
        <v>0</v>
      </c>
      <c r="AW72" s="946"/>
      <c r="AX72" s="947">
        <f t="shared" si="61"/>
        <v>0</v>
      </c>
      <c r="AY72" s="947">
        <f>+AZ71*financing!$E$30/12</f>
        <v>0</v>
      </c>
      <c r="AZ72" s="947">
        <f t="shared" si="51"/>
        <v>0</v>
      </c>
      <c r="BA72" s="946"/>
      <c r="BB72" s="947">
        <f t="shared" si="62"/>
        <v>0</v>
      </c>
      <c r="BC72" s="947">
        <f>+IF(AND(BD71+BB72+MAX(BD71*financing!$E$15/12,financing!$D$59-SUM(reserves!BC$6:BC71)-SUM(J$6:J72))-reserves!AD72&lt;=0,financing!$D$58&gt;=0),MAX(BD71*financing!$E$15/12,financing!$D$59-SUM(reserves!BC$6:BC71)-SUM(J$6:J72)),BD71*financing!$E$15/12)</f>
        <v>0</v>
      </c>
      <c r="BD72" s="947">
        <f t="shared" si="67"/>
        <v>0</v>
      </c>
      <c r="BE72" s="946"/>
      <c r="BF72" s="947">
        <f t="shared" si="52"/>
        <v>0</v>
      </c>
      <c r="BG72" s="947">
        <f>+IF(AND(BH71+BF72+MAX((BH71*(LIBOR!AA73)*(D72-D71)/360)+BY72,financing!$C$16-SUM(reserves!BG$6:BG71))-reserves!AD72&lt;=0,financing!$L$17&gt;=0),MAX((BH71*(LIBOR!AA73)*(D72-D71)/360)+BY72,financing!$C$16-SUM(reserves!BG$6:BG71)),(BH71*(LIBOR!AA73)*(D72-D71)/360)+BY72)</f>
        <v>0</v>
      </c>
      <c r="BH72" s="947">
        <f t="shared" si="53"/>
        <v>0</v>
      </c>
      <c r="BI72" s="946"/>
      <c r="BJ72" s="937"/>
      <c r="BK72" s="938">
        <f t="shared" si="68"/>
        <v>0</v>
      </c>
      <c r="BL72" s="939">
        <f>-S72+AJ72+AF72-AX72+AH72+AG72-BB72-BF72+'Development Cash Flow'!Y72</f>
        <v>0</v>
      </c>
      <c r="BM72" s="940"/>
      <c r="BN72" s="941">
        <f t="shared" si="63"/>
        <v>0</v>
      </c>
      <c r="BO72" s="940"/>
      <c r="BP72" s="942">
        <f t="shared" si="64"/>
        <v>0</v>
      </c>
      <c r="BS72" s="949" t="e">
        <f t="shared" si="69"/>
        <v>#DIV/0!</v>
      </c>
      <c r="BT72" s="922">
        <f>+IF(SUM(BT$5:BT71)&lt;1,IF(BU72=MAX($BU$6:$BU$54),1,0),0)</f>
        <v>0</v>
      </c>
      <c r="BU72" s="922">
        <f t="shared" si="70"/>
        <v>4000000</v>
      </c>
      <c r="BV72" s="943" t="str">
        <f t="shared" si="65"/>
        <v/>
      </c>
      <c r="BW72" s="922" t="str">
        <f t="shared" si="66"/>
        <v/>
      </c>
      <c r="BY72" s="208">
        <f>ROUND(IF(A72="Dev",IF(AND(BK72&gt;general!$D$23,SUM($BZ$6:$BZ71)&lt;1,financing!$L$15&gt;BH71+BF72),financing!$L$16*(BK72-BK71)/360*(financing!$L$15-BH71-BF72),0),0),-2)</f>
        <v>0</v>
      </c>
      <c r="BZ72" s="909">
        <f>+IF(AND(BH72&gt;=financing!$L$15,SUM(BZ$6:BZ71)=0),1,0)</f>
        <v>0</v>
      </c>
      <c r="CA72" s="950">
        <f t="shared" si="56"/>
        <v>0</v>
      </c>
      <c r="CD72" s="909">
        <f>SUM($S$6:S72)</f>
        <v>4000000</v>
      </c>
      <c r="CF72" s="208">
        <f>+IF(C72&lt;general!$C$22,0,IF(AND(C72=general!$C$22,OR(A72="Pred",A72="Dev")),SUM(S$6:S72),S72))</f>
        <v>0</v>
      </c>
    </row>
    <row r="73" spans="1:84" ht="16" hidden="1" outlineLevel="2">
      <c r="A73" s="906" t="str">
        <f>+'Development Cash Flow'!A73</f>
        <v>post dev</v>
      </c>
      <c r="B73" s="908"/>
      <c r="C73" s="944">
        <f>IF('Development Cash Flow'!D72&lt;general!$D$28,'Development Cash Flow'!C72+1,0)</f>
        <v>0</v>
      </c>
      <c r="D73" s="945">
        <f t="shared" si="23"/>
        <v>48304</v>
      </c>
      <c r="E73" s="945"/>
      <c r="F73" s="928">
        <f>'Development Cash Flow'!P73*D$4+SUM('Development Cash Flow'!Q73:T73)*F$4</f>
        <v>0</v>
      </c>
      <c r="G73" s="928">
        <f>'Development Cash Flow'!AL73-F73</f>
        <v>0</v>
      </c>
      <c r="H73" s="928"/>
      <c r="I73" s="928"/>
      <c r="J73" s="931">
        <f>+financing!$D$54/12*reserves!BD72</f>
        <v>0</v>
      </c>
      <c r="K73" s="928">
        <f>IF(C73=0,0,IF(C73=sales!$D$32,financing!$E$12*financing!$F$11,IF(OR(C73&gt;general!$C$27,C73&lt;sales!$D$32),0,IF((C73-sales!$D$32)/12=ROUND((C73-sales!$D$32)/12,0),financing!$E$12*financing!$F$11,0))))</f>
        <v>0</v>
      </c>
      <c r="L73" s="928"/>
      <c r="M73" s="928">
        <f t="shared" ref="M73:M126" si="73">SUM(F73:K73)</f>
        <v>0</v>
      </c>
      <c r="N73" s="946"/>
      <c r="O73" s="946">
        <f>IF(D73=general!$D$21,financing!$F$30,0)</f>
        <v>0</v>
      </c>
      <c r="P73" s="946">
        <f>+MIN(IF(D73&lt;=general!$D$24,SUM(F$6:F73)-SUM(P$6:P72),reserves!F73),AR72)</f>
        <v>0</v>
      </c>
      <c r="Q73" s="946">
        <f>+MAX(MIN(SUM(G$6:$G73)-R73,AN72,SUM(G$6:$G73)-SUM(Q$6:Q72)),0)</f>
        <v>0</v>
      </c>
      <c r="R73" s="946">
        <f>+IF(C73&gt;=sales!$D$36,'Development Cash Flow'!AL73,0)</f>
        <v>0</v>
      </c>
      <c r="S73" s="931">
        <f>IF(AND(A73=$A$5,C73&lt;financing!$D$55),M73-SUM(P73:R73,O73),MIN(M73-SUM(P73:R73,O73),financing!$F$10-SUM(S$5:S72)))</f>
        <v>0</v>
      </c>
      <c r="T73" s="931">
        <f>+MAX(MIN(IF(C73&gt;=financing!$D$55,M73-SUM(P73:S73)-J73,0),financing!$D$57-SUM(T$5:T72)),0)</f>
        <v>0</v>
      </c>
      <c r="U73" s="931">
        <f>+MAX(IF(C73&gt;=general!$C$23,M73-SUM(P73:T73),0)+IF(C73=general!$C$23,reserves!AZ72+AY73,0),0)</f>
        <v>0</v>
      </c>
      <c r="V73" s="946"/>
      <c r="W73" s="946">
        <f>SUMPRODUCT(--($C73=sales!$C$50:$C$54),sales!$F$50:$F$54)</f>
        <v>0</v>
      </c>
      <c r="X73" s="946">
        <f t="shared" si="44"/>
        <v>0</v>
      </c>
      <c r="Y73" s="946">
        <f t="shared" si="57"/>
        <v>0</v>
      </c>
      <c r="Z73" s="946">
        <f t="shared" si="45"/>
        <v>0</v>
      </c>
      <c r="AA73" s="946"/>
      <c r="AB73" s="932">
        <f>IF(C73=sales!$D$22,sales!$I$22,0)+IF(C73=sales!$D$23,sales!$I$23,0)+IF(C73=sales!$D$24,sales!$I$24,0)+IF(C73=sales!$D$25,sales!$I$25,0)+IF(C73=sales!$D$26,sales!$I$26,0)+IF(C73=sales!$D$27,sales!$I$27,0)</f>
        <v>0</v>
      </c>
      <c r="AC73" s="946"/>
      <c r="AD73" s="931">
        <f t="shared" si="58"/>
        <v>0</v>
      </c>
      <c r="AE73" s="932"/>
      <c r="AF73" s="932">
        <f t="shared" si="71"/>
        <v>0</v>
      </c>
      <c r="AG73" s="932">
        <f t="shared" si="72"/>
        <v>0</v>
      </c>
      <c r="AH73" s="931">
        <f t="shared" si="54"/>
        <v>0</v>
      </c>
      <c r="AI73" s="932"/>
      <c r="AJ73" s="931">
        <f t="shared" si="55"/>
        <v>0</v>
      </c>
      <c r="AK73" s="946"/>
      <c r="AL73" s="947">
        <f>+IF(financing!$C$12="YES",'Development Cash Flow'!M73,0)</f>
        <v>0</v>
      </c>
      <c r="AM73" s="947">
        <f t="shared" si="59"/>
        <v>0</v>
      </c>
      <c r="AN73" s="947">
        <f t="shared" si="46"/>
        <v>0</v>
      </c>
      <c r="AO73" s="946"/>
      <c r="AP73" s="947">
        <f>+SUM('Development Cash Flow'!G73:J73)-'Development Cash Flow'!M73</f>
        <v>0</v>
      </c>
      <c r="AQ73" s="947">
        <f t="shared" si="60"/>
        <v>0</v>
      </c>
      <c r="AR73" s="947">
        <f t="shared" si="47"/>
        <v>0</v>
      </c>
      <c r="AS73" s="946"/>
      <c r="AT73" s="947">
        <f t="shared" si="48"/>
        <v>0</v>
      </c>
      <c r="AU73" s="947">
        <f t="shared" si="49"/>
        <v>0</v>
      </c>
      <c r="AV73" s="948">
        <f t="shared" si="50"/>
        <v>0</v>
      </c>
      <c r="AW73" s="946"/>
      <c r="AX73" s="947">
        <f t="shared" si="61"/>
        <v>0</v>
      </c>
      <c r="AY73" s="947">
        <f>+AZ72*financing!$E$30/12</f>
        <v>0</v>
      </c>
      <c r="AZ73" s="947">
        <f t="shared" si="51"/>
        <v>0</v>
      </c>
      <c r="BA73" s="946"/>
      <c r="BB73" s="947">
        <f t="shared" si="62"/>
        <v>0</v>
      </c>
      <c r="BC73" s="947">
        <f>+IF(AND(BD72+BB73+MAX(BD72*financing!$E$15/12,financing!$D$59-SUM(reserves!BC$6:BC72)-SUM(J$6:J73))-reserves!AD73&lt;=0,financing!$D$58&gt;=0),MAX(BD72*financing!$E$15/12,financing!$D$59-SUM(reserves!BC$6:BC72)-SUM(J$6:J73)),BD72*financing!$E$15/12)</f>
        <v>0</v>
      </c>
      <c r="BD73" s="947">
        <f t="shared" si="67"/>
        <v>0</v>
      </c>
      <c r="BE73" s="946"/>
      <c r="BF73" s="947">
        <f t="shared" si="52"/>
        <v>0</v>
      </c>
      <c r="BG73" s="947">
        <f>+IF(AND(BH72+BF73+MAX((BH72*(LIBOR!AA74)*(D73-D72)/360)+BY73,financing!$C$16-SUM(reserves!BG$6:BG72))-reserves!AD73&lt;=0,financing!$L$17&gt;=0),MAX((BH72*(LIBOR!AA74)*(D73-D72)/360)+BY73,financing!$C$16-SUM(reserves!BG$6:BG72)),(BH72*(LIBOR!AA74)*(D73-D72)/360)+BY73)</f>
        <v>0</v>
      </c>
      <c r="BH73" s="947">
        <f t="shared" si="53"/>
        <v>0</v>
      </c>
      <c r="BI73" s="946"/>
      <c r="BJ73" s="937"/>
      <c r="BK73" s="938">
        <f t="shared" si="68"/>
        <v>0</v>
      </c>
      <c r="BL73" s="939">
        <f>-S73+AJ73+AF73-AX73+AH73+AG73-BB73-BF73+'Development Cash Flow'!Y73</f>
        <v>0</v>
      </c>
      <c r="BM73" s="940"/>
      <c r="BN73" s="941">
        <f t="shared" si="63"/>
        <v>0</v>
      </c>
      <c r="BO73" s="940"/>
      <c r="BP73" s="942">
        <f t="shared" si="64"/>
        <v>0</v>
      </c>
      <c r="BS73" s="949" t="e">
        <f t="shared" si="69"/>
        <v>#DIV/0!</v>
      </c>
      <c r="BT73" s="922">
        <f>+IF(SUM(BT$5:BT72)&lt;1,IF(BU73=MAX($BU$6:$BU$54),1,0),0)</f>
        <v>0</v>
      </c>
      <c r="BU73" s="922">
        <f t="shared" si="70"/>
        <v>4000000</v>
      </c>
      <c r="BV73" s="943" t="str">
        <f t="shared" si="65"/>
        <v/>
      </c>
      <c r="BW73" s="922" t="str">
        <f t="shared" si="66"/>
        <v/>
      </c>
      <c r="BY73" s="208">
        <f>ROUND(IF(A73="Dev",IF(AND(BK73&gt;general!$D$23,SUM($BZ$6:$BZ72)&lt;1,financing!$L$15&gt;BH72+BF73),financing!$L$16*(BK73-BK72)/360*(financing!$L$15-BH72-BF73),0),0),-2)</f>
        <v>0</v>
      </c>
      <c r="BZ73" s="909">
        <f>+IF(AND(BH73&gt;=financing!$L$15,SUM(BZ$6:BZ72)=0),1,0)</f>
        <v>0</v>
      </c>
      <c r="CA73" s="950">
        <f t="shared" si="56"/>
        <v>0</v>
      </c>
      <c r="CD73" s="909">
        <f>SUM($S$6:S73)</f>
        <v>4000000</v>
      </c>
      <c r="CF73" s="208">
        <f>+IF(C73&lt;general!$C$22,0,IF(AND(C73=general!$C$22,OR(A73="Pred",A73="Dev")),SUM(S$6:S73),S73))</f>
        <v>0</v>
      </c>
    </row>
    <row r="74" spans="1:84" ht="16" hidden="1" outlineLevel="2">
      <c r="A74" s="906" t="str">
        <f>+'Development Cash Flow'!A74</f>
        <v>post dev</v>
      </c>
      <c r="B74" s="908"/>
      <c r="C74" s="944">
        <f>IF('Development Cash Flow'!D73&lt;general!$D$28,'Development Cash Flow'!C73+1,0)</f>
        <v>0</v>
      </c>
      <c r="D74" s="945">
        <f t="shared" si="23"/>
        <v>48334</v>
      </c>
      <c r="E74" s="945"/>
      <c r="F74" s="928">
        <f>'Development Cash Flow'!P74*D$4+SUM('Development Cash Flow'!Q74:T74)*F$4</f>
        <v>0</v>
      </c>
      <c r="G74" s="928">
        <f>'Development Cash Flow'!AL74-F74</f>
        <v>0</v>
      </c>
      <c r="H74" s="928"/>
      <c r="I74" s="928"/>
      <c r="J74" s="931">
        <f>+financing!$D$54/12*reserves!BD73</f>
        <v>0</v>
      </c>
      <c r="K74" s="928">
        <f>IF(C74=0,0,IF(C74=sales!$D$32,financing!$E$12*financing!$F$11,IF(OR(C74&gt;general!$C$27,C74&lt;sales!$D$32),0,IF((C74-sales!$D$32)/12=ROUND((C74-sales!$D$32)/12,0),financing!$E$12*financing!$F$11,0))))</f>
        <v>0</v>
      </c>
      <c r="L74" s="928"/>
      <c r="M74" s="928">
        <f t="shared" si="73"/>
        <v>0</v>
      </c>
      <c r="N74" s="946"/>
      <c r="O74" s="946">
        <f>IF(D74=general!$D$21,financing!$F$30,0)</f>
        <v>0</v>
      </c>
      <c r="P74" s="946">
        <f>+MIN(IF(D74&lt;=general!$D$24,SUM(F$6:F74)-SUM(P$6:P73),reserves!F74),AR73)</f>
        <v>0</v>
      </c>
      <c r="Q74" s="946">
        <f>+MAX(MIN(SUM(G$6:$G74)-R74,AN73,SUM(G$6:$G74)-SUM(Q$6:Q73)),0)</f>
        <v>0</v>
      </c>
      <c r="R74" s="946">
        <f>+IF(C74&gt;=sales!$D$36,'Development Cash Flow'!AL74,0)</f>
        <v>0</v>
      </c>
      <c r="S74" s="931">
        <f>IF(AND(A74=$A$5,C74&lt;financing!$D$55),M74-SUM(P74:R74,O74),MIN(M74-SUM(P74:R74,O74),financing!$F$10-SUM(S$5:S73)))</f>
        <v>0</v>
      </c>
      <c r="T74" s="931">
        <f>+MAX(MIN(IF(C74&gt;=financing!$D$55,M74-SUM(P74:S74)-J74,0),financing!$D$57-SUM(T$5:T73)),0)</f>
        <v>0</v>
      </c>
      <c r="U74" s="931">
        <f>+MAX(IF(C74&gt;=general!$C$23,M74-SUM(P74:T74),0)+IF(C74=general!$C$23,reserves!AZ73+AY74,0),0)</f>
        <v>0</v>
      </c>
      <c r="V74" s="946"/>
      <c r="W74" s="946">
        <f>SUMPRODUCT(--($C74=sales!$C$50:$C$54),sales!$F$50:$F$54)</f>
        <v>0</v>
      </c>
      <c r="X74" s="946">
        <f t="shared" si="44"/>
        <v>0</v>
      </c>
      <c r="Y74" s="946">
        <f t="shared" si="57"/>
        <v>0</v>
      </c>
      <c r="Z74" s="946">
        <f t="shared" si="45"/>
        <v>0</v>
      </c>
      <c r="AA74" s="946"/>
      <c r="AB74" s="932">
        <f>IF(C74=sales!$D$22,sales!$I$22,0)+IF(C74=sales!$D$23,sales!$I$23,0)+IF(C74=sales!$D$24,sales!$I$24,0)+IF(C74=sales!$D$25,sales!$I$25,0)+IF(C74=sales!$D$26,sales!$I$26,0)+IF(C74=sales!$D$27,sales!$I$27,0)</f>
        <v>0</v>
      </c>
      <c r="AC74" s="946"/>
      <c r="AD74" s="931">
        <f t="shared" si="58"/>
        <v>0</v>
      </c>
      <c r="AE74" s="932"/>
      <c r="AF74" s="932">
        <f t="shared" si="71"/>
        <v>0</v>
      </c>
      <c r="AG74" s="932">
        <f t="shared" si="72"/>
        <v>0</v>
      </c>
      <c r="AH74" s="931">
        <f t="shared" si="54"/>
        <v>0</v>
      </c>
      <c r="AI74" s="932"/>
      <c r="AJ74" s="931">
        <f t="shared" si="55"/>
        <v>0</v>
      </c>
      <c r="AK74" s="946"/>
      <c r="AL74" s="947">
        <f>+IF(financing!$C$12="YES",'Development Cash Flow'!M74,0)</f>
        <v>0</v>
      </c>
      <c r="AM74" s="947">
        <f t="shared" si="59"/>
        <v>0</v>
      </c>
      <c r="AN74" s="947">
        <f t="shared" si="46"/>
        <v>0</v>
      </c>
      <c r="AO74" s="946"/>
      <c r="AP74" s="947">
        <f>+SUM('Development Cash Flow'!G74:J74)-'Development Cash Flow'!M74</f>
        <v>0</v>
      </c>
      <c r="AQ74" s="947">
        <f t="shared" si="60"/>
        <v>0</v>
      </c>
      <c r="AR74" s="947">
        <f t="shared" si="47"/>
        <v>0</v>
      </c>
      <c r="AS74" s="946"/>
      <c r="AT74" s="947">
        <f t="shared" si="48"/>
        <v>0</v>
      </c>
      <c r="AU74" s="947">
        <f t="shared" si="49"/>
        <v>0</v>
      </c>
      <c r="AV74" s="948">
        <f t="shared" si="50"/>
        <v>0</v>
      </c>
      <c r="AW74" s="946"/>
      <c r="AX74" s="947">
        <f t="shared" si="61"/>
        <v>0</v>
      </c>
      <c r="AY74" s="947">
        <f>+AZ73*financing!$E$30/12</f>
        <v>0</v>
      </c>
      <c r="AZ74" s="947">
        <f t="shared" si="51"/>
        <v>0</v>
      </c>
      <c r="BA74" s="946"/>
      <c r="BB74" s="947">
        <f t="shared" si="62"/>
        <v>0</v>
      </c>
      <c r="BC74" s="947">
        <f>+IF(AND(BD73+BB74+MAX(BD73*financing!$E$15/12,financing!$D$59-SUM(reserves!BC$6:BC73)-SUM(J$6:J74))-reserves!AD74&lt;=0,financing!$D$58&gt;=0),MAX(BD73*financing!$E$15/12,financing!$D$59-SUM(reserves!BC$6:BC73)-SUM(J$6:J74)),BD73*financing!$E$15/12)</f>
        <v>0</v>
      </c>
      <c r="BD74" s="947">
        <f t="shared" si="67"/>
        <v>0</v>
      </c>
      <c r="BE74" s="946"/>
      <c r="BF74" s="947">
        <f t="shared" si="52"/>
        <v>0</v>
      </c>
      <c r="BG74" s="947">
        <f>+IF(AND(BH73+BF74+MAX((BH73*(LIBOR!AA75)*(D74-D73)/360)+BY74,financing!$C$16-SUM(reserves!BG$6:BG73))-reserves!AD74&lt;=0,financing!$L$17&gt;=0),MAX((BH73*(LIBOR!AA75)*(D74-D73)/360)+BY74,financing!$C$16-SUM(reserves!BG$6:BG73)),(BH73*(LIBOR!AA75)*(D74-D73)/360)+BY74)</f>
        <v>0</v>
      </c>
      <c r="BH74" s="947">
        <f t="shared" si="53"/>
        <v>0</v>
      </c>
      <c r="BI74" s="946"/>
      <c r="BJ74" s="937"/>
      <c r="BK74" s="938">
        <f t="shared" si="68"/>
        <v>0</v>
      </c>
      <c r="BL74" s="939">
        <f>-S74+AJ74+AF74-AX74+AH74+AG74-BB74-BF74+'Development Cash Flow'!Y74</f>
        <v>0</v>
      </c>
      <c r="BM74" s="940"/>
      <c r="BN74" s="941">
        <f t="shared" si="63"/>
        <v>0</v>
      </c>
      <c r="BO74" s="940"/>
      <c r="BP74" s="942">
        <f t="shared" si="64"/>
        <v>0</v>
      </c>
      <c r="BS74" s="949" t="e">
        <f t="shared" si="69"/>
        <v>#DIV/0!</v>
      </c>
      <c r="BT74" s="922">
        <f>+IF(SUM(BT$5:BT73)&lt;1,IF(BU74=MAX($BU$6:$BU$54),1,0),0)</f>
        <v>0</v>
      </c>
      <c r="BU74" s="922">
        <f t="shared" si="70"/>
        <v>4000000</v>
      </c>
      <c r="BV74" s="943" t="str">
        <f t="shared" si="65"/>
        <v/>
      </c>
      <c r="BW74" s="922" t="str">
        <f t="shared" si="66"/>
        <v/>
      </c>
      <c r="BY74" s="208">
        <f>ROUND(IF(A74="Dev",IF(AND(BK74&gt;general!$D$23,SUM($BZ$6:$BZ73)&lt;1,financing!$L$15&gt;BH73+BF74),financing!$L$16*(BK74-BK73)/360*(financing!$L$15-BH73-BF74),0),0),-2)</f>
        <v>0</v>
      </c>
      <c r="BZ74" s="909">
        <f>+IF(AND(BH74&gt;=financing!$L$15,SUM(BZ$6:BZ73)=0),1,0)</f>
        <v>0</v>
      </c>
      <c r="CA74" s="950">
        <f t="shared" si="56"/>
        <v>0</v>
      </c>
      <c r="CD74" s="909">
        <f>SUM($S$6:S74)</f>
        <v>4000000</v>
      </c>
      <c r="CF74" s="208">
        <f>+IF(C74&lt;general!$C$22,0,IF(AND(C74=general!$C$22,OR(A74="Pred",A74="Dev")),SUM(S$6:S74),S74))</f>
        <v>0</v>
      </c>
    </row>
    <row r="75" spans="1:84" ht="16" hidden="1" outlineLevel="2">
      <c r="A75" s="906" t="str">
        <f>+'Development Cash Flow'!A75</f>
        <v>post dev</v>
      </c>
      <c r="B75" s="908"/>
      <c r="C75" s="944">
        <f>IF('Development Cash Flow'!D74&lt;general!$D$28,'Development Cash Flow'!C74+1,0)</f>
        <v>0</v>
      </c>
      <c r="D75" s="945">
        <f t="shared" si="23"/>
        <v>48365</v>
      </c>
      <c r="E75" s="945"/>
      <c r="F75" s="928">
        <f>'Development Cash Flow'!P75*D$4+SUM('Development Cash Flow'!Q75:T75)*F$4</f>
        <v>0</v>
      </c>
      <c r="G75" s="928">
        <f>'Development Cash Flow'!AL75-F75</f>
        <v>0</v>
      </c>
      <c r="H75" s="928"/>
      <c r="I75" s="928"/>
      <c r="J75" s="931">
        <f>+financing!$D$54/12*reserves!BD74</f>
        <v>0</v>
      </c>
      <c r="K75" s="928">
        <f>IF(C75=0,0,IF(C75=sales!$D$32,financing!$E$12*financing!$F$11,IF(OR(C75&gt;general!$C$27,C75&lt;sales!$D$32),0,IF((C75-sales!$D$32)/12=ROUND((C75-sales!$D$32)/12,0),financing!$E$12*financing!$F$11,0))))</f>
        <v>0</v>
      </c>
      <c r="L75" s="928"/>
      <c r="M75" s="928">
        <f t="shared" si="73"/>
        <v>0</v>
      </c>
      <c r="N75" s="946"/>
      <c r="O75" s="946">
        <f>IF(D75=general!$D$21,financing!$F$30,0)</f>
        <v>0</v>
      </c>
      <c r="P75" s="946">
        <f>+MIN(IF(D75&lt;=general!$D$24,SUM(F$6:F75)-SUM(P$6:P74),reserves!F75),AR74)</f>
        <v>0</v>
      </c>
      <c r="Q75" s="946">
        <f>+MAX(MIN(SUM(G$6:$G75)-R75,AN74,SUM(G$6:$G75)-SUM(Q$6:Q74)),0)</f>
        <v>0</v>
      </c>
      <c r="R75" s="946">
        <f>+IF(C75&gt;=sales!$D$36,'Development Cash Flow'!AL75,0)</f>
        <v>0</v>
      </c>
      <c r="S75" s="931">
        <f>IF(AND(A75=$A$5,C75&lt;financing!$D$55),M75-SUM(P75:R75,O75),MIN(M75-SUM(P75:R75,O75),financing!$F$10-SUM(S$5:S74)))</f>
        <v>0</v>
      </c>
      <c r="T75" s="931">
        <f>+MAX(MIN(IF(C75&gt;=financing!$D$55,M75-SUM(P75:S75)-J75,0),financing!$D$57-SUM(T$5:T74)),0)</f>
        <v>0</v>
      </c>
      <c r="U75" s="931">
        <f>+MAX(IF(C75&gt;=general!$C$23,M75-SUM(P75:T75),0)+IF(C75=general!$C$23,reserves!AZ74+AY75,0),0)</f>
        <v>0</v>
      </c>
      <c r="V75" s="946"/>
      <c r="W75" s="946">
        <f>SUMPRODUCT(--($C75=sales!$C$50:$C$54),sales!$F$50:$F$54)</f>
        <v>0</v>
      </c>
      <c r="X75" s="946">
        <f t="shared" si="44"/>
        <v>0</v>
      </c>
      <c r="Y75" s="946">
        <f t="shared" si="57"/>
        <v>0</v>
      </c>
      <c r="Z75" s="946">
        <f t="shared" si="45"/>
        <v>0</v>
      </c>
      <c r="AA75" s="946"/>
      <c r="AB75" s="932">
        <f>IF(C75=sales!$D$22,sales!$I$22,0)+IF(C75=sales!$D$23,sales!$I$23,0)+IF(C75=sales!$D$24,sales!$I$24,0)+IF(C75=sales!$D$25,sales!$I$25,0)+IF(C75=sales!$D$26,sales!$I$26,0)+IF(C75=sales!$D$27,sales!$I$27,0)</f>
        <v>0</v>
      </c>
      <c r="AC75" s="946"/>
      <c r="AD75" s="931">
        <f t="shared" si="58"/>
        <v>0</v>
      </c>
      <c r="AE75" s="932"/>
      <c r="AF75" s="932">
        <f t="shared" si="71"/>
        <v>0</v>
      </c>
      <c r="AG75" s="932">
        <f t="shared" si="72"/>
        <v>0</v>
      </c>
      <c r="AH75" s="931">
        <f t="shared" si="54"/>
        <v>0</v>
      </c>
      <c r="AI75" s="932"/>
      <c r="AJ75" s="931">
        <f t="shared" si="55"/>
        <v>0</v>
      </c>
      <c r="AK75" s="946"/>
      <c r="AL75" s="947">
        <f>+IF(financing!$C$12="YES",'Development Cash Flow'!M75,0)</f>
        <v>0</v>
      </c>
      <c r="AM75" s="947">
        <f t="shared" si="59"/>
        <v>0</v>
      </c>
      <c r="AN75" s="947">
        <f t="shared" si="46"/>
        <v>0</v>
      </c>
      <c r="AO75" s="946"/>
      <c r="AP75" s="947">
        <f>+SUM('Development Cash Flow'!G75:J75)-'Development Cash Flow'!M75</f>
        <v>0</v>
      </c>
      <c r="AQ75" s="947">
        <f t="shared" si="60"/>
        <v>0</v>
      </c>
      <c r="AR75" s="947">
        <f t="shared" si="47"/>
        <v>0</v>
      </c>
      <c r="AS75" s="946"/>
      <c r="AT75" s="947">
        <f t="shared" si="48"/>
        <v>0</v>
      </c>
      <c r="AU75" s="947">
        <f t="shared" si="49"/>
        <v>0</v>
      </c>
      <c r="AV75" s="948">
        <f t="shared" si="50"/>
        <v>0</v>
      </c>
      <c r="AW75" s="946"/>
      <c r="AX75" s="947">
        <f t="shared" si="61"/>
        <v>0</v>
      </c>
      <c r="AY75" s="947">
        <f>+AZ74*financing!$E$30/12</f>
        <v>0</v>
      </c>
      <c r="AZ75" s="947">
        <f t="shared" si="51"/>
        <v>0</v>
      </c>
      <c r="BA75" s="946"/>
      <c r="BB75" s="947">
        <f t="shared" si="62"/>
        <v>0</v>
      </c>
      <c r="BC75" s="947">
        <f>+IF(AND(BD74+BB75+MAX(BD74*financing!$E$15/12,financing!$D$59-SUM(reserves!BC$6:BC74)-SUM(J$6:J75))-reserves!AD75&lt;=0,financing!$D$58&gt;=0),MAX(BD74*financing!$E$15/12,financing!$D$59-SUM(reserves!BC$6:BC74)-SUM(J$6:J75)),BD74*financing!$E$15/12)</f>
        <v>0</v>
      </c>
      <c r="BD75" s="947">
        <f t="shared" si="67"/>
        <v>0</v>
      </c>
      <c r="BE75" s="946"/>
      <c r="BF75" s="947">
        <f t="shared" si="52"/>
        <v>0</v>
      </c>
      <c r="BG75" s="947">
        <f>+IF(AND(BH74+BF75+MAX((BH74*(LIBOR!AA76)*(D75-D74)/360)+BY75,financing!$C$16-SUM(reserves!BG$6:BG74))-reserves!AD75&lt;=0,financing!$L$17&gt;=0),MAX((BH74*(LIBOR!AA76)*(D75-D74)/360)+BY75,financing!$C$16-SUM(reserves!BG$6:BG74)),(BH74*(LIBOR!AA76)*(D75-D74)/360)+BY75)</f>
        <v>0</v>
      </c>
      <c r="BH75" s="947">
        <f t="shared" si="53"/>
        <v>0</v>
      </c>
      <c r="BI75" s="946"/>
      <c r="BJ75" s="937"/>
      <c r="BK75" s="938">
        <f t="shared" si="68"/>
        <v>0</v>
      </c>
      <c r="BL75" s="939">
        <f>-S75+AJ75+AF75-AX75+AH75+AG75-BB75-BF75+'Development Cash Flow'!Y75</f>
        <v>0</v>
      </c>
      <c r="BM75" s="940"/>
      <c r="BN75" s="941">
        <f t="shared" si="63"/>
        <v>0</v>
      </c>
      <c r="BO75" s="940"/>
      <c r="BP75" s="942">
        <f t="shared" si="64"/>
        <v>0</v>
      </c>
      <c r="BS75" s="949" t="e">
        <f t="shared" si="69"/>
        <v>#DIV/0!</v>
      </c>
      <c r="BT75" s="922">
        <f>+IF(SUM(BT$5:BT74)&lt;1,IF(BU75=MAX($BU$6:$BU$54),1,0),0)</f>
        <v>0</v>
      </c>
      <c r="BU75" s="922">
        <f t="shared" si="70"/>
        <v>4000000</v>
      </c>
      <c r="BV75" s="943" t="str">
        <f t="shared" si="65"/>
        <v/>
      </c>
      <c r="BW75" s="922" t="str">
        <f t="shared" si="66"/>
        <v/>
      </c>
      <c r="BY75" s="208">
        <f>ROUND(IF(A75="Dev",IF(AND(BK75&gt;general!$D$23,SUM($BZ$6:$BZ74)&lt;1,financing!$L$15&gt;BH74+BF75),financing!$L$16*(BK75-BK74)/360*(financing!$L$15-BH74-BF75),0),0),-2)</f>
        <v>0</v>
      </c>
      <c r="BZ75" s="909">
        <f>+IF(AND(BH75&gt;=financing!$L$15,SUM(BZ$6:BZ74)=0),1,0)</f>
        <v>0</v>
      </c>
      <c r="CA75" s="950">
        <f t="shared" si="56"/>
        <v>0</v>
      </c>
      <c r="CD75" s="909">
        <f>SUM($S$6:S75)</f>
        <v>4000000</v>
      </c>
      <c r="CF75" s="208">
        <f>+IF(C75&lt;general!$C$22,0,IF(AND(C75=general!$C$22,OR(A75="Pred",A75="Dev")),SUM(S$6:S75),S75))</f>
        <v>0</v>
      </c>
    </row>
    <row r="76" spans="1:84" ht="16" hidden="1" outlineLevel="2">
      <c r="A76" s="906" t="str">
        <f>+'Development Cash Flow'!A76</f>
        <v>post dev</v>
      </c>
      <c r="B76" s="908"/>
      <c r="C76" s="944">
        <f>IF('Development Cash Flow'!D75&lt;general!$D$28,'Development Cash Flow'!C75+1,0)</f>
        <v>0</v>
      </c>
      <c r="D76" s="945">
        <f t="shared" si="23"/>
        <v>48395</v>
      </c>
      <c r="E76" s="945"/>
      <c r="F76" s="928">
        <f>'Development Cash Flow'!P76*D$4+SUM('Development Cash Flow'!Q76:T76)*F$4</f>
        <v>0</v>
      </c>
      <c r="G76" s="928">
        <f>'Development Cash Flow'!AL76-F76</f>
        <v>0</v>
      </c>
      <c r="H76" s="928"/>
      <c r="I76" s="928"/>
      <c r="J76" s="931">
        <f>+financing!$D$54/12*reserves!BD75</f>
        <v>0</v>
      </c>
      <c r="K76" s="928">
        <f>IF(C76=0,0,IF(C76=sales!$D$32,financing!$E$12*financing!$F$11,IF(OR(C76&gt;general!$C$27,C76&lt;sales!$D$32),0,IF((C76-sales!$D$32)/12=ROUND((C76-sales!$D$32)/12,0),financing!$E$12*financing!$F$11,0))))</f>
        <v>0</v>
      </c>
      <c r="L76" s="928"/>
      <c r="M76" s="928">
        <f t="shared" si="73"/>
        <v>0</v>
      </c>
      <c r="N76" s="946"/>
      <c r="O76" s="946">
        <f>IF(D76=general!$D$21,financing!$F$30,0)</f>
        <v>0</v>
      </c>
      <c r="P76" s="946">
        <f>+MIN(IF(D76&lt;=general!$D$24,SUM(F$6:F76)-SUM(P$6:P75),reserves!F76),AR75)</f>
        <v>0</v>
      </c>
      <c r="Q76" s="946">
        <f>+MAX(MIN(SUM(G$6:$G76)-R76,AN75,SUM(G$6:$G76)-SUM(Q$6:Q75)),0)</f>
        <v>0</v>
      </c>
      <c r="R76" s="946">
        <f>+IF(C76&gt;=sales!$D$36,'Development Cash Flow'!AL76,0)</f>
        <v>0</v>
      </c>
      <c r="S76" s="931">
        <f>IF(AND(A76=$A$5,C76&lt;financing!$D$55),M76-SUM(P76:R76,O76),MIN(M76-SUM(P76:R76,O76),financing!$F$10-SUM(S$5:S75)))</f>
        <v>0</v>
      </c>
      <c r="T76" s="931">
        <f>+MAX(MIN(IF(C76&gt;=financing!$D$55,M76-SUM(P76:S76)-J76,0),financing!$D$57-SUM(T$5:T75)),0)</f>
        <v>0</v>
      </c>
      <c r="U76" s="931">
        <f>+MAX(IF(C76&gt;=general!$C$23,M76-SUM(P76:T76),0)+IF(C76=general!$C$23,reserves!AZ75+AY76,0),0)</f>
        <v>0</v>
      </c>
      <c r="V76" s="946"/>
      <c r="W76" s="946">
        <f>SUMPRODUCT(--($C76=sales!$C$50:$C$54),sales!$F$50:$F$54)</f>
        <v>0</v>
      </c>
      <c r="X76" s="946">
        <f t="shared" si="44"/>
        <v>0</v>
      </c>
      <c r="Y76" s="946">
        <f t="shared" si="57"/>
        <v>0</v>
      </c>
      <c r="Z76" s="946">
        <f t="shared" si="45"/>
        <v>0</v>
      </c>
      <c r="AA76" s="946"/>
      <c r="AB76" s="932">
        <f>IF(C76=sales!$D$22,sales!$I$22,0)+IF(C76=sales!$D$23,sales!$I$23,0)+IF(C76=sales!$D$24,sales!$I$24,0)+IF(C76=sales!$D$25,sales!$I$25,0)+IF(C76=sales!$D$26,sales!$I$26,0)+IF(C76=sales!$D$27,sales!$I$27,0)</f>
        <v>0</v>
      </c>
      <c r="AC76" s="946"/>
      <c r="AD76" s="931">
        <f t="shared" si="58"/>
        <v>0</v>
      </c>
      <c r="AE76" s="932"/>
      <c r="AF76" s="932">
        <f t="shared" si="71"/>
        <v>0</v>
      </c>
      <c r="AG76" s="932">
        <f t="shared" si="72"/>
        <v>0</v>
      </c>
      <c r="AH76" s="931">
        <f t="shared" si="54"/>
        <v>0</v>
      </c>
      <c r="AI76" s="932"/>
      <c r="AJ76" s="931">
        <f t="shared" si="55"/>
        <v>0</v>
      </c>
      <c r="AK76" s="946"/>
      <c r="AL76" s="947">
        <f>+IF(financing!$C$12="YES",'Development Cash Flow'!M76,0)</f>
        <v>0</v>
      </c>
      <c r="AM76" s="947">
        <f t="shared" si="59"/>
        <v>0</v>
      </c>
      <c r="AN76" s="947">
        <f t="shared" si="46"/>
        <v>0</v>
      </c>
      <c r="AO76" s="946"/>
      <c r="AP76" s="947">
        <f>+SUM('Development Cash Flow'!G76:J76)-'Development Cash Flow'!M76</f>
        <v>0</v>
      </c>
      <c r="AQ76" s="947">
        <f t="shared" si="60"/>
        <v>0</v>
      </c>
      <c r="AR76" s="947">
        <f t="shared" si="47"/>
        <v>0</v>
      </c>
      <c r="AS76" s="946"/>
      <c r="AT76" s="947">
        <f t="shared" si="48"/>
        <v>0</v>
      </c>
      <c r="AU76" s="947">
        <f t="shared" si="49"/>
        <v>0</v>
      </c>
      <c r="AV76" s="948">
        <f t="shared" si="50"/>
        <v>0</v>
      </c>
      <c r="AW76" s="946"/>
      <c r="AX76" s="947">
        <f t="shared" si="61"/>
        <v>0</v>
      </c>
      <c r="AY76" s="947">
        <f>+AZ75*financing!$E$30/12</f>
        <v>0</v>
      </c>
      <c r="AZ76" s="947">
        <f t="shared" si="51"/>
        <v>0</v>
      </c>
      <c r="BA76" s="946"/>
      <c r="BB76" s="947">
        <f t="shared" si="62"/>
        <v>0</v>
      </c>
      <c r="BC76" s="947">
        <f>+IF(AND(BD75+BB76+MAX(BD75*financing!$E$15/12,financing!$D$59-SUM(reserves!BC$6:BC75)-SUM(J$6:J76))-reserves!AD76&lt;=0,financing!$D$58&gt;=0),MAX(BD75*financing!$E$15/12,financing!$D$59-SUM(reserves!BC$6:BC75)-SUM(J$6:J76)),BD75*financing!$E$15/12)</f>
        <v>0</v>
      </c>
      <c r="BD76" s="947">
        <f t="shared" si="67"/>
        <v>0</v>
      </c>
      <c r="BE76" s="946"/>
      <c r="BF76" s="947">
        <f t="shared" si="52"/>
        <v>0</v>
      </c>
      <c r="BG76" s="947">
        <f>+IF(AND(BH75+BF76+MAX((BH75*(LIBOR!AA77)*(D76-D75)/360)+BY76,financing!$C$16-SUM(reserves!BG$6:BG75))-reserves!AD76&lt;=0,financing!$L$17&gt;=0),MAX((BH75*(LIBOR!AA77)*(D76-D75)/360)+BY76,financing!$C$16-SUM(reserves!BG$6:BG75)),(BH75*(LIBOR!AA77)*(D76-D75)/360)+BY76)</f>
        <v>0</v>
      </c>
      <c r="BH76" s="947">
        <f t="shared" si="53"/>
        <v>0</v>
      </c>
      <c r="BI76" s="946"/>
      <c r="BJ76" s="937"/>
      <c r="BK76" s="938">
        <f t="shared" si="68"/>
        <v>0</v>
      </c>
      <c r="BL76" s="939">
        <f>-S76+AJ76+AF76-AX76+AH76+AG76-BB76-BF76+'Development Cash Flow'!Y76</f>
        <v>0</v>
      </c>
      <c r="BM76" s="940"/>
      <c r="BN76" s="941">
        <f t="shared" si="63"/>
        <v>0</v>
      </c>
      <c r="BO76" s="940"/>
      <c r="BP76" s="942">
        <f t="shared" si="64"/>
        <v>0</v>
      </c>
      <c r="BS76" s="949" t="e">
        <f t="shared" si="69"/>
        <v>#DIV/0!</v>
      </c>
      <c r="BT76" s="922">
        <f>+IF(SUM(BT$5:BT75)&lt;1,IF(BU76=MAX($BU$6:$BU$54),1,0),0)</f>
        <v>0</v>
      </c>
      <c r="BU76" s="922">
        <f t="shared" si="70"/>
        <v>4000000</v>
      </c>
      <c r="BV76" s="943" t="str">
        <f t="shared" si="65"/>
        <v/>
      </c>
      <c r="BW76" s="922" t="str">
        <f t="shared" si="66"/>
        <v/>
      </c>
      <c r="BY76" s="208">
        <f>ROUND(IF(A76="Dev",IF(AND(BK76&gt;general!$D$23,SUM($BZ$6:$BZ75)&lt;1,financing!$L$15&gt;BH75+BF76),financing!$L$16*(BK76-BK75)/360*(financing!$L$15-BH75-BF76),0),0),-2)</f>
        <v>0</v>
      </c>
      <c r="BZ76" s="909">
        <f>+IF(AND(BH76&gt;=financing!$L$15,SUM(BZ$6:BZ75)=0),1,0)</f>
        <v>0</v>
      </c>
      <c r="CA76" s="950">
        <f t="shared" si="56"/>
        <v>0</v>
      </c>
      <c r="CD76" s="909">
        <f>SUM($S$6:S76)</f>
        <v>4000000</v>
      </c>
      <c r="CF76" s="208">
        <f>+IF(C76&lt;general!$C$22,0,IF(AND(C76=general!$C$22,OR(A76="Pred",A76="Dev")),SUM(S$6:S76),S76))</f>
        <v>0</v>
      </c>
    </row>
    <row r="77" spans="1:84" ht="16" hidden="1" outlineLevel="2">
      <c r="A77" s="906" t="str">
        <f>+'Development Cash Flow'!A77</f>
        <v>post dev</v>
      </c>
      <c r="B77" s="908"/>
      <c r="C77" s="944">
        <f>IF('Development Cash Flow'!D76&lt;general!$D$28,'Development Cash Flow'!C76+1,0)</f>
        <v>0</v>
      </c>
      <c r="D77" s="945">
        <f t="shared" si="23"/>
        <v>48426</v>
      </c>
      <c r="E77" s="945"/>
      <c r="F77" s="928">
        <f>'Development Cash Flow'!P77*D$4+SUM('Development Cash Flow'!Q77:T77)*F$4</f>
        <v>0</v>
      </c>
      <c r="G77" s="928">
        <f>'Development Cash Flow'!AL77-F77</f>
        <v>0</v>
      </c>
      <c r="H77" s="928"/>
      <c r="I77" s="928"/>
      <c r="J77" s="931">
        <f>+financing!$D$54/12*reserves!BD76</f>
        <v>0</v>
      </c>
      <c r="K77" s="928">
        <f>IF(C77=0,0,IF(C77=sales!$D$32,financing!$E$12*financing!$F$11,IF(OR(C77&gt;general!$C$27,C77&lt;sales!$D$32),0,IF((C77-sales!$D$32)/12=ROUND((C77-sales!$D$32)/12,0),financing!$E$12*financing!$F$11,0))))</f>
        <v>0</v>
      </c>
      <c r="L77" s="928"/>
      <c r="M77" s="928">
        <f t="shared" si="73"/>
        <v>0</v>
      </c>
      <c r="N77" s="946"/>
      <c r="O77" s="946">
        <f>IF(D77=general!$D$21,financing!$F$30,0)</f>
        <v>0</v>
      </c>
      <c r="P77" s="946">
        <f>+MIN(IF(D77&lt;=general!$D$24,SUM(F$6:F77)-SUM(P$6:P76),reserves!F77),AR76)</f>
        <v>0</v>
      </c>
      <c r="Q77" s="946">
        <f>+MAX(MIN(SUM(G$6:$G77)-R77,AN76,SUM(G$6:$G77)-SUM(Q$6:Q76)),0)</f>
        <v>0</v>
      </c>
      <c r="R77" s="946">
        <f>+IF(C77&gt;=sales!$D$36,'Development Cash Flow'!AL77,0)</f>
        <v>0</v>
      </c>
      <c r="S77" s="931">
        <f>IF(AND(A77=$A$5,C77&lt;financing!$D$55),M77-SUM(P77:R77,O77),MIN(M77-SUM(P77:R77,O77),financing!$F$10-SUM(S$5:S76)))</f>
        <v>0</v>
      </c>
      <c r="T77" s="931">
        <f>+MAX(MIN(IF(C77&gt;=financing!$D$55,M77-SUM(P77:S77)-J77,0),financing!$D$57-SUM(T$5:T76)),0)</f>
        <v>0</v>
      </c>
      <c r="U77" s="931">
        <f>+MAX(IF(C77&gt;=general!$C$23,M77-SUM(P77:T77),0)+IF(C77=general!$C$23,reserves!AZ76+AY77,0),0)</f>
        <v>0</v>
      </c>
      <c r="V77" s="946"/>
      <c r="W77" s="946">
        <f>SUMPRODUCT(--($C77=sales!$C$50:$C$54),sales!$F$50:$F$54)</f>
        <v>0</v>
      </c>
      <c r="X77" s="946">
        <f t="shared" si="44"/>
        <v>0</v>
      </c>
      <c r="Y77" s="946">
        <f t="shared" si="57"/>
        <v>0</v>
      </c>
      <c r="Z77" s="946">
        <f t="shared" si="45"/>
        <v>0</v>
      </c>
      <c r="AA77" s="946"/>
      <c r="AB77" s="932">
        <f>IF(C77=sales!$D$22,sales!$I$22,0)+IF(C77=sales!$D$23,sales!$I$23,0)+IF(C77=sales!$D$24,sales!$I$24,0)+IF(C77=sales!$D$25,sales!$I$25,0)+IF(C77=sales!$D$26,sales!$I$26,0)+IF(C77=sales!$D$27,sales!$I$27,0)</f>
        <v>0</v>
      </c>
      <c r="AC77" s="946"/>
      <c r="AD77" s="931">
        <f t="shared" si="58"/>
        <v>0</v>
      </c>
      <c r="AE77" s="932"/>
      <c r="AF77" s="932">
        <f t="shared" si="71"/>
        <v>0</v>
      </c>
      <c r="AG77" s="932">
        <f t="shared" si="72"/>
        <v>0</v>
      </c>
      <c r="AH77" s="931">
        <f t="shared" si="54"/>
        <v>0</v>
      </c>
      <c r="AI77" s="932"/>
      <c r="AJ77" s="931">
        <f t="shared" si="55"/>
        <v>0</v>
      </c>
      <c r="AK77" s="946"/>
      <c r="AL77" s="947">
        <f>+IF(financing!$C$12="YES",'Development Cash Flow'!M77,0)</f>
        <v>0</v>
      </c>
      <c r="AM77" s="947">
        <f t="shared" si="59"/>
        <v>0</v>
      </c>
      <c r="AN77" s="947">
        <f t="shared" si="46"/>
        <v>0</v>
      </c>
      <c r="AO77" s="946"/>
      <c r="AP77" s="947">
        <f>+SUM('Development Cash Flow'!G77:J77)-'Development Cash Flow'!M77</f>
        <v>0</v>
      </c>
      <c r="AQ77" s="947">
        <f t="shared" si="60"/>
        <v>0</v>
      </c>
      <c r="AR77" s="947">
        <f t="shared" si="47"/>
        <v>0</v>
      </c>
      <c r="AS77" s="946"/>
      <c r="AT77" s="947">
        <f t="shared" si="48"/>
        <v>0</v>
      </c>
      <c r="AU77" s="947">
        <f t="shared" si="49"/>
        <v>0</v>
      </c>
      <c r="AV77" s="948">
        <f t="shared" si="50"/>
        <v>0</v>
      </c>
      <c r="AW77" s="946"/>
      <c r="AX77" s="947">
        <f t="shared" si="61"/>
        <v>0</v>
      </c>
      <c r="AY77" s="947">
        <f>+AZ76*financing!$E$30/12</f>
        <v>0</v>
      </c>
      <c r="AZ77" s="947">
        <f t="shared" si="51"/>
        <v>0</v>
      </c>
      <c r="BA77" s="946"/>
      <c r="BB77" s="947">
        <f t="shared" si="62"/>
        <v>0</v>
      </c>
      <c r="BC77" s="947">
        <f>+IF(AND(BD76+BB77+MAX(BD76*financing!$E$15/12,financing!$D$59-SUM(reserves!BC$6:BC76)-SUM(J$6:J77))-reserves!AD77&lt;=0,financing!$D$58&gt;=0),MAX(BD76*financing!$E$15/12,financing!$D$59-SUM(reserves!BC$6:BC76)-SUM(J$6:J77)),BD76*financing!$E$15/12)</f>
        <v>0</v>
      </c>
      <c r="BD77" s="947">
        <f t="shared" si="67"/>
        <v>0</v>
      </c>
      <c r="BE77" s="946"/>
      <c r="BF77" s="947">
        <f t="shared" si="52"/>
        <v>0</v>
      </c>
      <c r="BG77" s="947">
        <f>+IF(AND(BH76+BF77+MAX((BH76*(LIBOR!AA78)*(D77-D76)/360)+BY77,financing!$C$16-SUM(reserves!BG$6:BG76))-reserves!AD77&lt;=0,financing!$L$17&gt;=0),MAX((BH76*(LIBOR!AA78)*(D77-D76)/360)+BY77,financing!$C$16-SUM(reserves!BG$6:BG76)),(BH76*(LIBOR!AA78)*(D77-D76)/360)+BY77)</f>
        <v>0</v>
      </c>
      <c r="BH77" s="947">
        <f t="shared" si="53"/>
        <v>0</v>
      </c>
      <c r="BI77" s="946"/>
      <c r="BJ77" s="937"/>
      <c r="BK77" s="938">
        <f t="shared" si="68"/>
        <v>0</v>
      </c>
      <c r="BL77" s="939">
        <f>-S77+AJ77+AF77-AX77+AH77+AG77-BB77-BF77+'Development Cash Flow'!Y77</f>
        <v>0</v>
      </c>
      <c r="BM77" s="940"/>
      <c r="BN77" s="941">
        <f t="shared" si="63"/>
        <v>0</v>
      </c>
      <c r="BO77" s="940"/>
      <c r="BP77" s="942">
        <f t="shared" si="64"/>
        <v>0</v>
      </c>
      <c r="BS77" s="949" t="e">
        <f t="shared" si="69"/>
        <v>#DIV/0!</v>
      </c>
      <c r="BT77" s="922">
        <f>+IF(SUM(BT$5:BT76)&lt;1,IF(BU77=MAX($BU$6:$BU$54),1,0),0)</f>
        <v>0</v>
      </c>
      <c r="BU77" s="922">
        <f t="shared" si="70"/>
        <v>4000000</v>
      </c>
      <c r="BV77" s="943" t="str">
        <f t="shared" si="65"/>
        <v/>
      </c>
      <c r="BW77" s="922" t="str">
        <f t="shared" si="66"/>
        <v/>
      </c>
      <c r="BY77" s="208">
        <f>ROUND(IF(A77="Dev",IF(AND(BK77&gt;general!$D$23,SUM($BZ$6:$BZ76)&lt;1,financing!$L$15&gt;BH76+BF77),financing!$L$16*(BK77-BK76)/360*(financing!$L$15-BH76-BF77),0),0),-2)</f>
        <v>0</v>
      </c>
      <c r="BZ77" s="909">
        <f>+IF(AND(BH77&gt;=financing!$L$15,SUM(BZ$6:BZ76)=0),1,0)</f>
        <v>0</v>
      </c>
      <c r="CA77" s="950">
        <f t="shared" si="56"/>
        <v>0</v>
      </c>
      <c r="CD77" s="909">
        <f>SUM($S$6:S77)</f>
        <v>4000000</v>
      </c>
      <c r="CF77" s="208">
        <f>+IF(C77&lt;general!$C$22,0,IF(AND(C77=general!$C$22,OR(A77="Pred",A77="Dev")),SUM(S$6:S77),S77))</f>
        <v>0</v>
      </c>
    </row>
    <row r="78" spans="1:84" ht="16" hidden="1" outlineLevel="2">
      <c r="A78" s="906" t="str">
        <f>+'Development Cash Flow'!A78</f>
        <v>post dev</v>
      </c>
      <c r="B78" s="908"/>
      <c r="C78" s="944">
        <f>IF('Development Cash Flow'!D77&lt;general!$D$28,'Development Cash Flow'!C77+1,0)</f>
        <v>0</v>
      </c>
      <c r="D78" s="945">
        <f t="shared" si="23"/>
        <v>48457</v>
      </c>
      <c r="E78" s="945"/>
      <c r="F78" s="928">
        <f>'Development Cash Flow'!P78*D$4+SUM('Development Cash Flow'!Q78:T78)*F$4</f>
        <v>0</v>
      </c>
      <c r="G78" s="928">
        <f>'Development Cash Flow'!AL78-F78</f>
        <v>0</v>
      </c>
      <c r="H78" s="928"/>
      <c r="I78" s="928"/>
      <c r="J78" s="931">
        <f>+financing!$D$54/12*reserves!BD77</f>
        <v>0</v>
      </c>
      <c r="K78" s="928">
        <f>IF(C78=0,0,IF(C78=sales!$D$32,financing!$E$12*financing!$F$11,IF(OR(C78&gt;general!$C$27,C78&lt;sales!$D$32),0,IF((C78-sales!$D$32)/12=ROUND((C78-sales!$D$32)/12,0),financing!$E$12*financing!$F$11,0))))</f>
        <v>0</v>
      </c>
      <c r="L78" s="928"/>
      <c r="M78" s="928">
        <f t="shared" si="73"/>
        <v>0</v>
      </c>
      <c r="N78" s="946"/>
      <c r="O78" s="946">
        <f>IF(D78=general!$D$21,financing!$F$30,0)</f>
        <v>0</v>
      </c>
      <c r="P78" s="946">
        <f>+MIN(IF(D78&lt;=general!$D$24,SUM(F$6:F78)-SUM(P$6:P77),reserves!F78),AR77)</f>
        <v>0</v>
      </c>
      <c r="Q78" s="946">
        <f>+MAX(MIN(SUM(G$6:$G78)-R78,AN77,SUM(G$6:$G78)-SUM(Q$6:Q77)),0)</f>
        <v>0</v>
      </c>
      <c r="R78" s="946">
        <f>+IF(C78&gt;=sales!$D$36,'Development Cash Flow'!AL78,0)</f>
        <v>0</v>
      </c>
      <c r="S78" s="931">
        <f>IF(AND(A78=$A$5,C78&lt;financing!$D$55),M78-SUM(P78:R78,O78),MIN(M78-SUM(P78:R78,O78),financing!$F$10-SUM(S$5:S77)))</f>
        <v>0</v>
      </c>
      <c r="T78" s="931">
        <f>+MAX(MIN(IF(C78&gt;=financing!$D$55,M78-SUM(P78:S78)-J78,0),financing!$D$57-SUM(T$5:T77)),0)</f>
        <v>0</v>
      </c>
      <c r="U78" s="931">
        <f>+MAX(IF(C78&gt;=general!$C$23,M78-SUM(P78:T78),0)+IF(C78=general!$C$23,reserves!AZ77+AY78,0),0)</f>
        <v>0</v>
      </c>
      <c r="V78" s="946"/>
      <c r="W78" s="946">
        <f>SUMPRODUCT(--($C78=sales!$C$50:$C$54),sales!$F$50:$F$54)</f>
        <v>0</v>
      </c>
      <c r="X78" s="946">
        <f t="shared" si="44"/>
        <v>0</v>
      </c>
      <c r="Y78" s="946">
        <f t="shared" si="57"/>
        <v>0</v>
      </c>
      <c r="Z78" s="946">
        <f t="shared" si="45"/>
        <v>0</v>
      </c>
      <c r="AA78" s="946"/>
      <c r="AB78" s="932">
        <f>IF(C78=sales!$D$22,sales!$I$22,0)+IF(C78=sales!$D$23,sales!$I$23,0)+IF(C78=sales!$D$24,sales!$I$24,0)+IF(C78=sales!$D$25,sales!$I$25,0)+IF(C78=sales!$D$26,sales!$I$26,0)+IF(C78=sales!$D$27,sales!$I$27,0)</f>
        <v>0</v>
      </c>
      <c r="AC78" s="946"/>
      <c r="AD78" s="931">
        <f t="shared" si="58"/>
        <v>0</v>
      </c>
      <c r="AE78" s="932"/>
      <c r="AF78" s="932">
        <f t="shared" si="71"/>
        <v>0</v>
      </c>
      <c r="AG78" s="932">
        <f t="shared" si="72"/>
        <v>0</v>
      </c>
      <c r="AH78" s="931">
        <f t="shared" si="54"/>
        <v>0</v>
      </c>
      <c r="AI78" s="932"/>
      <c r="AJ78" s="931">
        <f t="shared" si="55"/>
        <v>0</v>
      </c>
      <c r="AK78" s="946"/>
      <c r="AL78" s="947">
        <f>+IF(financing!$C$12="YES",'Development Cash Flow'!M78,0)</f>
        <v>0</v>
      </c>
      <c r="AM78" s="947">
        <f t="shared" si="59"/>
        <v>0</v>
      </c>
      <c r="AN78" s="947">
        <f t="shared" si="46"/>
        <v>0</v>
      </c>
      <c r="AO78" s="946"/>
      <c r="AP78" s="947">
        <f>+SUM('Development Cash Flow'!G78:J78)-'Development Cash Flow'!M78</f>
        <v>0</v>
      </c>
      <c r="AQ78" s="947">
        <f t="shared" si="60"/>
        <v>0</v>
      </c>
      <c r="AR78" s="947">
        <f t="shared" si="47"/>
        <v>0</v>
      </c>
      <c r="AS78" s="946"/>
      <c r="AT78" s="947">
        <f t="shared" si="48"/>
        <v>0</v>
      </c>
      <c r="AU78" s="947">
        <f t="shared" si="49"/>
        <v>0</v>
      </c>
      <c r="AV78" s="948">
        <f t="shared" si="50"/>
        <v>0</v>
      </c>
      <c r="AW78" s="946"/>
      <c r="AX78" s="947">
        <f t="shared" si="61"/>
        <v>0</v>
      </c>
      <c r="AY78" s="947">
        <f>+AZ77*financing!$E$30/12</f>
        <v>0</v>
      </c>
      <c r="AZ78" s="947">
        <f t="shared" si="51"/>
        <v>0</v>
      </c>
      <c r="BA78" s="946"/>
      <c r="BB78" s="947">
        <f t="shared" si="62"/>
        <v>0</v>
      </c>
      <c r="BC78" s="947">
        <f>+IF(AND(BD77+BB78+MAX(BD77*financing!$E$15/12,financing!$D$59-SUM(reserves!BC$6:BC77)-SUM(J$6:J78))-reserves!AD78&lt;=0,financing!$D$58&gt;=0),MAX(BD77*financing!$E$15/12,financing!$D$59-SUM(reserves!BC$6:BC77)-SUM(J$6:J78)),BD77*financing!$E$15/12)</f>
        <v>0</v>
      </c>
      <c r="BD78" s="947">
        <f t="shared" si="67"/>
        <v>0</v>
      </c>
      <c r="BE78" s="946"/>
      <c r="BF78" s="947">
        <f t="shared" si="52"/>
        <v>0</v>
      </c>
      <c r="BG78" s="947">
        <f>+IF(AND(BH77+BF78+MAX((BH77*(LIBOR!AA79)*(D78-D77)/360)+BY78,financing!$C$16-SUM(reserves!BG$6:BG77))-reserves!AD78&lt;=0,financing!$L$17&gt;=0),MAX((BH77*(LIBOR!AA79)*(D78-D77)/360)+BY78,financing!$C$16-SUM(reserves!BG$6:BG77)),(BH77*(LIBOR!AA79)*(D78-D77)/360)+BY78)</f>
        <v>0</v>
      </c>
      <c r="BH78" s="947">
        <f t="shared" si="53"/>
        <v>0</v>
      </c>
      <c r="BI78" s="946"/>
      <c r="BJ78" s="937"/>
      <c r="BK78" s="938">
        <f t="shared" si="68"/>
        <v>0</v>
      </c>
      <c r="BL78" s="939">
        <f>-S78+AJ78+AF78-AX78+AH78+AG78-BB78-BF78+'Development Cash Flow'!Y78</f>
        <v>0</v>
      </c>
      <c r="BM78" s="940"/>
      <c r="BN78" s="941">
        <f t="shared" si="63"/>
        <v>0</v>
      </c>
      <c r="BO78" s="940"/>
      <c r="BP78" s="942">
        <f t="shared" si="64"/>
        <v>0</v>
      </c>
      <c r="BS78" s="949" t="e">
        <f t="shared" si="69"/>
        <v>#DIV/0!</v>
      </c>
      <c r="BT78" s="922">
        <f>+IF(SUM(BT$5:BT77)&lt;1,IF(BU78=MAX($BU$6:$BU$54),1,0),0)</f>
        <v>0</v>
      </c>
      <c r="BU78" s="922">
        <f t="shared" si="70"/>
        <v>4000000</v>
      </c>
      <c r="BV78" s="943" t="str">
        <f t="shared" si="65"/>
        <v/>
      </c>
      <c r="BW78" s="922" t="str">
        <f t="shared" si="66"/>
        <v/>
      </c>
      <c r="BY78" s="208">
        <f>ROUND(IF(A78="Dev",IF(AND(BK78&gt;general!$D$23,SUM($BZ$6:$BZ77)&lt;1,financing!$L$15&gt;BH77+BF78),financing!$L$16*(BK78-BK77)/360*(financing!$L$15-BH77-BF78),0),0),-2)</f>
        <v>0</v>
      </c>
      <c r="BZ78" s="909">
        <f>+IF(AND(BH78&gt;=financing!$L$15,SUM(BZ$6:BZ77)=0),1,0)</f>
        <v>0</v>
      </c>
      <c r="CA78" s="950">
        <f t="shared" si="56"/>
        <v>0</v>
      </c>
      <c r="CD78" s="909">
        <f>SUM($S$6:S78)</f>
        <v>4000000</v>
      </c>
      <c r="CF78" s="208">
        <f>+IF(C78&lt;general!$C$22,0,IF(AND(C78=general!$C$22,OR(A78="Pred",A78="Dev")),SUM(S$6:S78),S78))</f>
        <v>0</v>
      </c>
    </row>
    <row r="79" spans="1:84" ht="16" hidden="1" outlineLevel="2">
      <c r="A79" s="906" t="str">
        <f>+'Development Cash Flow'!A79</f>
        <v>post dev</v>
      </c>
      <c r="B79" s="908"/>
      <c r="C79" s="944">
        <f>IF('Development Cash Flow'!D78&lt;general!$D$28,'Development Cash Flow'!C78+1,0)</f>
        <v>0</v>
      </c>
      <c r="D79" s="945">
        <f t="shared" si="23"/>
        <v>48487</v>
      </c>
      <c r="E79" s="945"/>
      <c r="F79" s="928">
        <f>'Development Cash Flow'!P79*D$4+SUM('Development Cash Flow'!Q79:T79)*F$4</f>
        <v>0</v>
      </c>
      <c r="G79" s="928">
        <f>'Development Cash Flow'!AL79-F79</f>
        <v>0</v>
      </c>
      <c r="H79" s="928"/>
      <c r="I79" s="928"/>
      <c r="J79" s="931">
        <f>+financing!$D$54/12*reserves!BD78</f>
        <v>0</v>
      </c>
      <c r="K79" s="928">
        <f>IF(C79=0,0,IF(C79=sales!$D$32,financing!$E$12*financing!$F$11,IF(OR(C79&gt;general!$C$27,C79&lt;sales!$D$32),0,IF((C79-sales!$D$32)/12=ROUND((C79-sales!$D$32)/12,0),financing!$E$12*financing!$F$11,0))))</f>
        <v>0</v>
      </c>
      <c r="L79" s="928"/>
      <c r="M79" s="928">
        <f t="shared" si="73"/>
        <v>0</v>
      </c>
      <c r="N79" s="946"/>
      <c r="O79" s="946">
        <f>IF(D79=general!$D$21,financing!$F$30,0)</f>
        <v>0</v>
      </c>
      <c r="P79" s="946">
        <f>+MIN(IF(D79&lt;=general!$D$24,SUM(F$6:F79)-SUM(P$6:P78),reserves!F79),AR78)</f>
        <v>0</v>
      </c>
      <c r="Q79" s="946">
        <f>+MAX(MIN(SUM(G$6:$G79)-R79,AN78,SUM(G$6:$G79)-SUM(Q$6:Q78)),0)</f>
        <v>0</v>
      </c>
      <c r="R79" s="946">
        <f>+IF(C79&gt;=sales!$D$36,'Development Cash Flow'!AL79,0)</f>
        <v>0</v>
      </c>
      <c r="S79" s="931">
        <f>IF(AND(A79=$A$5,C79&lt;financing!$D$55),M79-SUM(P79:R79,O79),MIN(M79-SUM(P79:R79,O79),financing!$F$10-SUM(S$5:S78)))</f>
        <v>0</v>
      </c>
      <c r="T79" s="931">
        <f>+MAX(MIN(IF(C79&gt;=financing!$D$55,M79-SUM(P79:S79)-J79,0),financing!$D$57-SUM(T$5:T78)),0)</f>
        <v>0</v>
      </c>
      <c r="U79" s="931">
        <f>+MAX(IF(C79&gt;=general!$C$23,M79-SUM(P79:T79),0)+IF(C79=general!$C$23,reserves!AZ78+AY79,0),0)</f>
        <v>0</v>
      </c>
      <c r="V79" s="946"/>
      <c r="W79" s="946">
        <f>SUMPRODUCT(--($C79=sales!$C$50:$C$54),sales!$F$50:$F$54)</f>
        <v>0</v>
      </c>
      <c r="X79" s="946">
        <f t="shared" si="44"/>
        <v>0</v>
      </c>
      <c r="Y79" s="946">
        <f t="shared" si="57"/>
        <v>0</v>
      </c>
      <c r="Z79" s="946">
        <f t="shared" si="45"/>
        <v>0</v>
      </c>
      <c r="AA79" s="946"/>
      <c r="AB79" s="932">
        <f>IF(C79=sales!$D$22,sales!$I$22,0)+IF(C79=sales!$D$23,sales!$I$23,0)+IF(C79=sales!$D$24,sales!$I$24,0)+IF(C79=sales!$D$25,sales!$I$25,0)+IF(C79=sales!$D$26,sales!$I$26,0)+IF(C79=sales!$D$27,sales!$I$27,0)</f>
        <v>0</v>
      </c>
      <c r="AC79" s="946"/>
      <c r="AD79" s="931">
        <f t="shared" si="58"/>
        <v>0</v>
      </c>
      <c r="AE79" s="932"/>
      <c r="AF79" s="932">
        <f t="shared" si="71"/>
        <v>0</v>
      </c>
      <c r="AG79" s="932">
        <f t="shared" si="72"/>
        <v>0</v>
      </c>
      <c r="AH79" s="931">
        <f t="shared" si="54"/>
        <v>0</v>
      </c>
      <c r="AI79" s="932"/>
      <c r="AJ79" s="931">
        <f t="shared" si="55"/>
        <v>0</v>
      </c>
      <c r="AK79" s="946"/>
      <c r="AL79" s="947">
        <f>+IF(financing!$C$12="YES",'Development Cash Flow'!M79,0)</f>
        <v>0</v>
      </c>
      <c r="AM79" s="947">
        <f t="shared" si="59"/>
        <v>0</v>
      </c>
      <c r="AN79" s="947">
        <f t="shared" si="46"/>
        <v>0</v>
      </c>
      <c r="AO79" s="946"/>
      <c r="AP79" s="947">
        <f>+SUM('Development Cash Flow'!G79:J79)-'Development Cash Flow'!M79</f>
        <v>0</v>
      </c>
      <c r="AQ79" s="947">
        <f t="shared" si="60"/>
        <v>0</v>
      </c>
      <c r="AR79" s="947">
        <f t="shared" si="47"/>
        <v>0</v>
      </c>
      <c r="AS79" s="946"/>
      <c r="AT79" s="947">
        <f t="shared" si="48"/>
        <v>0</v>
      </c>
      <c r="AU79" s="947">
        <f t="shared" si="49"/>
        <v>0</v>
      </c>
      <c r="AV79" s="948">
        <f t="shared" si="50"/>
        <v>0</v>
      </c>
      <c r="AW79" s="946"/>
      <c r="AX79" s="947">
        <f t="shared" si="61"/>
        <v>0</v>
      </c>
      <c r="AY79" s="947">
        <f>+AZ78*financing!$E$30/12</f>
        <v>0</v>
      </c>
      <c r="AZ79" s="947">
        <f t="shared" si="51"/>
        <v>0</v>
      </c>
      <c r="BA79" s="946"/>
      <c r="BB79" s="947">
        <f t="shared" si="62"/>
        <v>0</v>
      </c>
      <c r="BC79" s="947">
        <f>+IF(AND(BD78+BB79+MAX(BD78*financing!$E$15/12,financing!$D$59-SUM(reserves!BC$6:BC78)-SUM(J$6:J79))-reserves!AD79&lt;=0,financing!$D$58&gt;=0),MAX(BD78*financing!$E$15/12,financing!$D$59-SUM(reserves!BC$6:BC78)-SUM(J$6:J79)),BD78*financing!$E$15/12)</f>
        <v>0</v>
      </c>
      <c r="BD79" s="947">
        <f t="shared" si="67"/>
        <v>0</v>
      </c>
      <c r="BE79" s="946"/>
      <c r="BF79" s="947">
        <f t="shared" si="52"/>
        <v>0</v>
      </c>
      <c r="BG79" s="947">
        <f>+IF(AND(BH78+BF79+MAX((BH78*(LIBOR!AA80)*(D79-D78)/360)+BY79,financing!$C$16-SUM(reserves!BG$6:BG78))-reserves!AD79&lt;=0,financing!$L$17&gt;=0),MAX((BH78*(LIBOR!AA80)*(D79-D78)/360)+BY79,financing!$C$16-SUM(reserves!BG$6:BG78)),(BH78*(LIBOR!AA80)*(D79-D78)/360)+BY79)</f>
        <v>0</v>
      </c>
      <c r="BH79" s="947">
        <f t="shared" si="53"/>
        <v>0</v>
      </c>
      <c r="BI79" s="946"/>
      <c r="BJ79" s="937"/>
      <c r="BK79" s="938">
        <f t="shared" si="68"/>
        <v>0</v>
      </c>
      <c r="BL79" s="939">
        <f>-S79+AJ79+AF79-AX79+AH79+AG79-BB79-BF79+'Development Cash Flow'!Y79</f>
        <v>0</v>
      </c>
      <c r="BM79" s="940"/>
      <c r="BN79" s="941">
        <f t="shared" si="63"/>
        <v>0</v>
      </c>
      <c r="BO79" s="940"/>
      <c r="BP79" s="942">
        <f t="shared" si="64"/>
        <v>0</v>
      </c>
      <c r="BS79" s="949" t="e">
        <f t="shared" si="69"/>
        <v>#DIV/0!</v>
      </c>
      <c r="BT79" s="922">
        <f>+IF(SUM(BT$5:BT78)&lt;1,IF(BU79=MAX($BU$6:$BU$54),1,0),0)</f>
        <v>0</v>
      </c>
      <c r="BU79" s="922">
        <f t="shared" si="70"/>
        <v>4000000</v>
      </c>
      <c r="BV79" s="943" t="str">
        <f t="shared" si="65"/>
        <v/>
      </c>
      <c r="BW79" s="922" t="str">
        <f t="shared" si="66"/>
        <v/>
      </c>
      <c r="BY79" s="208">
        <f>ROUND(IF(A79="Dev",IF(AND(BK79&gt;general!$D$23,SUM($BZ$6:$BZ78)&lt;1,financing!$L$15&gt;BH78+BF79),financing!$L$16*(BK79-BK78)/360*(financing!$L$15-BH78-BF79),0),0),-2)</f>
        <v>0</v>
      </c>
      <c r="BZ79" s="909">
        <f>+IF(AND(BH79&gt;=financing!$L$15,SUM(BZ$6:BZ78)=0),1,0)</f>
        <v>0</v>
      </c>
      <c r="CA79" s="950">
        <f t="shared" si="56"/>
        <v>0</v>
      </c>
      <c r="CD79" s="909">
        <f>SUM($S$6:S79)</f>
        <v>4000000</v>
      </c>
      <c r="CF79" s="208">
        <f>+IF(C79&lt;general!$C$22,0,IF(AND(C79=general!$C$22,OR(A79="Pred",A79="Dev")),SUM(S$6:S79),S79))</f>
        <v>0</v>
      </c>
    </row>
    <row r="80" spans="1:84" ht="16" hidden="1" outlineLevel="2">
      <c r="A80" s="906" t="str">
        <f>+'Development Cash Flow'!A80</f>
        <v>post dev</v>
      </c>
      <c r="B80" s="908"/>
      <c r="C80" s="944">
        <f>IF('Development Cash Flow'!D79&lt;general!$D$28,'Development Cash Flow'!C79+1,0)</f>
        <v>0</v>
      </c>
      <c r="D80" s="945">
        <f t="shared" si="23"/>
        <v>48518</v>
      </c>
      <c r="E80" s="945"/>
      <c r="F80" s="928">
        <f>'Development Cash Flow'!P80*D$4+SUM('Development Cash Flow'!Q80:T80)*F$4</f>
        <v>0</v>
      </c>
      <c r="G80" s="928">
        <f>'Development Cash Flow'!AL80-F80</f>
        <v>0</v>
      </c>
      <c r="H80" s="928"/>
      <c r="I80" s="928"/>
      <c r="J80" s="931">
        <f>+financing!$D$54/12*reserves!BD79</f>
        <v>0</v>
      </c>
      <c r="K80" s="928">
        <f>IF(C80=0,0,IF(C80=sales!$D$32,financing!$E$12*financing!$F$11,IF(OR(C80&gt;general!$C$27,C80&lt;sales!$D$32),0,IF((C80-sales!$D$32)/12=ROUND((C80-sales!$D$32)/12,0),financing!$E$12*financing!$F$11,0))))</f>
        <v>0</v>
      </c>
      <c r="L80" s="928"/>
      <c r="M80" s="928">
        <f t="shared" si="73"/>
        <v>0</v>
      </c>
      <c r="N80" s="946"/>
      <c r="O80" s="946">
        <f>IF(D80=general!$D$21,financing!$F$30,0)</f>
        <v>0</v>
      </c>
      <c r="P80" s="946">
        <f>+MIN(IF(D80&lt;=general!$D$24,SUM(F$6:F80)-SUM(P$6:P79),reserves!F80),AR79)</f>
        <v>0</v>
      </c>
      <c r="Q80" s="946">
        <f>+MAX(MIN(SUM(G$6:$G80)-R80,AN79,SUM(G$6:$G80)-SUM(Q$6:Q79)),0)</f>
        <v>0</v>
      </c>
      <c r="R80" s="946">
        <f>+IF(C80&gt;=sales!$D$36,'Development Cash Flow'!AL80,0)</f>
        <v>0</v>
      </c>
      <c r="S80" s="931">
        <f>IF(AND(A80=$A$5,C80&lt;financing!$D$55),M80-SUM(P80:R80,O80),MIN(M80-SUM(P80:R80,O80),financing!$F$10-SUM(S$5:S79)))</f>
        <v>0</v>
      </c>
      <c r="T80" s="931">
        <f>+MAX(MIN(IF(C80&gt;=financing!$D$55,M80-SUM(P80:S80)-J80,0),financing!$D$57-SUM(T$5:T79)),0)</f>
        <v>0</v>
      </c>
      <c r="U80" s="931">
        <f>+MAX(IF(C80&gt;=general!$C$23,M80-SUM(P80:T80),0)+IF(C80=general!$C$23,reserves!AZ79+AY80,0),0)</f>
        <v>0</v>
      </c>
      <c r="V80" s="946"/>
      <c r="W80" s="946">
        <f>SUMPRODUCT(--($C80=sales!$C$50:$C$54),sales!$F$50:$F$54)</f>
        <v>0</v>
      </c>
      <c r="X80" s="946">
        <f t="shared" si="44"/>
        <v>0</v>
      </c>
      <c r="Y80" s="946">
        <f t="shared" si="57"/>
        <v>0</v>
      </c>
      <c r="Z80" s="946">
        <f t="shared" si="45"/>
        <v>0</v>
      </c>
      <c r="AA80" s="946"/>
      <c r="AB80" s="932">
        <f>IF(C80=sales!$D$22,sales!$I$22,0)+IF(C80=sales!$D$23,sales!$I$23,0)+IF(C80=sales!$D$24,sales!$I$24,0)+IF(C80=sales!$D$25,sales!$I$25,0)+IF(C80=sales!$D$26,sales!$I$26,0)+IF(C80=sales!$D$27,sales!$I$27,0)</f>
        <v>0</v>
      </c>
      <c r="AC80" s="946"/>
      <c r="AD80" s="931">
        <f t="shared" si="58"/>
        <v>0</v>
      </c>
      <c r="AE80" s="932"/>
      <c r="AF80" s="932">
        <f t="shared" si="71"/>
        <v>0</v>
      </c>
      <c r="AG80" s="932">
        <f t="shared" si="72"/>
        <v>0</v>
      </c>
      <c r="AH80" s="931">
        <f t="shared" si="54"/>
        <v>0</v>
      </c>
      <c r="AI80" s="932"/>
      <c r="AJ80" s="931">
        <f t="shared" si="55"/>
        <v>0</v>
      </c>
      <c r="AK80" s="946"/>
      <c r="AL80" s="947">
        <f>+IF(financing!$C$12="YES",'Development Cash Flow'!M80,0)</f>
        <v>0</v>
      </c>
      <c r="AM80" s="947">
        <f t="shared" si="59"/>
        <v>0</v>
      </c>
      <c r="AN80" s="947">
        <f t="shared" si="46"/>
        <v>0</v>
      </c>
      <c r="AO80" s="946"/>
      <c r="AP80" s="947">
        <f>+SUM('Development Cash Flow'!G80:J80)-'Development Cash Flow'!M80</f>
        <v>0</v>
      </c>
      <c r="AQ80" s="947">
        <f t="shared" si="60"/>
        <v>0</v>
      </c>
      <c r="AR80" s="947">
        <f t="shared" si="47"/>
        <v>0</v>
      </c>
      <c r="AS80" s="946"/>
      <c r="AT80" s="947">
        <f t="shared" si="48"/>
        <v>0</v>
      </c>
      <c r="AU80" s="947">
        <f t="shared" si="49"/>
        <v>0</v>
      </c>
      <c r="AV80" s="948">
        <f t="shared" si="50"/>
        <v>0</v>
      </c>
      <c r="AW80" s="946"/>
      <c r="AX80" s="947">
        <f t="shared" si="61"/>
        <v>0</v>
      </c>
      <c r="AY80" s="947">
        <f>+AZ79*financing!$E$30/12</f>
        <v>0</v>
      </c>
      <c r="AZ80" s="947">
        <f t="shared" si="51"/>
        <v>0</v>
      </c>
      <c r="BA80" s="946"/>
      <c r="BB80" s="947">
        <f t="shared" si="62"/>
        <v>0</v>
      </c>
      <c r="BC80" s="947">
        <f>+IF(AND(BD79+BB80+MAX(BD79*financing!$E$15/12,financing!$D$59-SUM(reserves!BC$6:BC79)-SUM(J$6:J80))-reserves!AD80&lt;=0,financing!$D$58&gt;=0),MAX(BD79*financing!$E$15/12,financing!$D$59-SUM(reserves!BC$6:BC79)-SUM(J$6:J80)),BD79*financing!$E$15/12)</f>
        <v>0</v>
      </c>
      <c r="BD80" s="947">
        <f t="shared" si="67"/>
        <v>0</v>
      </c>
      <c r="BE80" s="946"/>
      <c r="BF80" s="947">
        <f t="shared" si="52"/>
        <v>0</v>
      </c>
      <c r="BG80" s="947">
        <f>+IF(AND(BH79+BF80+MAX((BH79*(LIBOR!AA81)*(D80-D79)/360)+BY80,financing!$C$16-SUM(reserves!BG$6:BG79))-reserves!AD80&lt;=0,financing!$L$17&gt;=0),MAX((BH79*(LIBOR!AA81)*(D80-D79)/360)+BY80,financing!$C$16-SUM(reserves!BG$6:BG79)),(BH79*(LIBOR!AA81)*(D80-D79)/360)+BY80)</f>
        <v>0</v>
      </c>
      <c r="BH80" s="947">
        <f t="shared" si="53"/>
        <v>0</v>
      </c>
      <c r="BI80" s="946"/>
      <c r="BJ80" s="937"/>
      <c r="BK80" s="938">
        <f t="shared" si="68"/>
        <v>0</v>
      </c>
      <c r="BL80" s="939">
        <f>-S80+AJ80+AF80-AX80+AH80+AG80-BB80-BF80+'Development Cash Flow'!Y80</f>
        <v>0</v>
      </c>
      <c r="BM80" s="940"/>
      <c r="BN80" s="941">
        <f t="shared" si="63"/>
        <v>0</v>
      </c>
      <c r="BO80" s="940"/>
      <c r="BP80" s="942">
        <f t="shared" si="64"/>
        <v>0</v>
      </c>
      <c r="BS80" s="949" t="e">
        <f t="shared" si="69"/>
        <v>#DIV/0!</v>
      </c>
      <c r="BT80" s="922">
        <f>+IF(SUM(BT$5:BT79)&lt;1,IF(BU80=MAX($BU$6:$BU$54),1,0),0)</f>
        <v>0</v>
      </c>
      <c r="BU80" s="922">
        <f t="shared" si="70"/>
        <v>4000000</v>
      </c>
      <c r="BV80" s="943" t="str">
        <f t="shared" si="65"/>
        <v/>
      </c>
      <c r="BW80" s="922" t="str">
        <f t="shared" si="66"/>
        <v/>
      </c>
      <c r="BY80" s="208">
        <f>ROUND(IF(A80="Dev",IF(AND(BK80&gt;general!$D$23,SUM($BZ$6:$BZ79)&lt;1,financing!$L$15&gt;BH79+BF80),financing!$L$16*(BK80-BK79)/360*(financing!$L$15-BH79-BF80),0),0),-2)</f>
        <v>0</v>
      </c>
      <c r="BZ80" s="909">
        <f>+IF(AND(BH80&gt;=financing!$L$15,SUM(BZ$6:BZ79)=0),1,0)</f>
        <v>0</v>
      </c>
      <c r="CA80" s="950">
        <f t="shared" si="56"/>
        <v>0</v>
      </c>
      <c r="CD80" s="909">
        <f>SUM($S$6:S80)</f>
        <v>4000000</v>
      </c>
      <c r="CF80" s="208">
        <f>+IF(C80&lt;general!$C$22,0,IF(AND(C80=general!$C$22,OR(A80="Pred",A80="Dev")),SUM(S$6:S80),S80))</f>
        <v>0</v>
      </c>
    </row>
    <row r="81" spans="1:84" ht="16" hidden="1" outlineLevel="2">
      <c r="A81" s="906" t="str">
        <f>+'Development Cash Flow'!A81</f>
        <v>post dev</v>
      </c>
      <c r="B81" s="908"/>
      <c r="C81" s="944">
        <f>IF('Development Cash Flow'!D80&lt;general!$D$28,'Development Cash Flow'!C80+1,0)</f>
        <v>0</v>
      </c>
      <c r="D81" s="945">
        <f t="shared" si="23"/>
        <v>48548</v>
      </c>
      <c r="E81" s="945"/>
      <c r="F81" s="928">
        <f>'Development Cash Flow'!P81*D$4+SUM('Development Cash Flow'!Q81:T81)*F$4</f>
        <v>0</v>
      </c>
      <c r="G81" s="928">
        <f>'Development Cash Flow'!AL81-F81</f>
        <v>0</v>
      </c>
      <c r="H81" s="928"/>
      <c r="I81" s="928"/>
      <c r="J81" s="931">
        <f>+financing!$D$54/12*reserves!BD80</f>
        <v>0</v>
      </c>
      <c r="K81" s="928">
        <f>IF(C81=0,0,IF(C81=sales!$D$32,financing!$E$12*financing!$F$11,IF(OR(C81&gt;general!$C$27,C81&lt;sales!$D$32),0,IF((C81-sales!$D$32)/12=ROUND((C81-sales!$D$32)/12,0),financing!$E$12*financing!$F$11,0))))</f>
        <v>0</v>
      </c>
      <c r="L81" s="928"/>
      <c r="M81" s="928">
        <f t="shared" si="73"/>
        <v>0</v>
      </c>
      <c r="N81" s="946"/>
      <c r="O81" s="946">
        <f>IF(D81=general!$D$21,financing!$F$30,0)</f>
        <v>0</v>
      </c>
      <c r="P81" s="946">
        <f>+MIN(IF(D81&lt;=general!$D$24,SUM(F$6:F81)-SUM(P$6:P80),reserves!F81),AR80)</f>
        <v>0</v>
      </c>
      <c r="Q81" s="946">
        <f>+MAX(MIN(SUM(G$6:$G81)-R81,AN80,SUM(G$6:$G81)-SUM(Q$6:Q80)),0)</f>
        <v>0</v>
      </c>
      <c r="R81" s="946">
        <f>+IF(C81&gt;=sales!$D$36,'Development Cash Flow'!AL81,0)</f>
        <v>0</v>
      </c>
      <c r="S81" s="931">
        <f>IF(AND(A81=$A$5,C81&lt;financing!$D$55),M81-SUM(P81:R81,O81),MIN(M81-SUM(P81:R81,O81),financing!$F$10-SUM(S$5:S80)))</f>
        <v>0</v>
      </c>
      <c r="T81" s="931">
        <f>+MAX(MIN(IF(C81&gt;=financing!$D$55,M81-SUM(P81:S81)-J81,0),financing!$D$57-SUM(T$5:T80)),0)</f>
        <v>0</v>
      </c>
      <c r="U81" s="931">
        <f>+MAX(IF(C81&gt;=general!$C$23,M81-SUM(P81:T81),0)+IF(C81=general!$C$23,reserves!AZ80+AY81,0),0)</f>
        <v>0</v>
      </c>
      <c r="V81" s="946"/>
      <c r="W81" s="946">
        <f>SUMPRODUCT(--($C81=sales!$C$50:$C$54),sales!$F$50:$F$54)</f>
        <v>0</v>
      </c>
      <c r="X81" s="946">
        <f t="shared" si="44"/>
        <v>0</v>
      </c>
      <c r="Y81" s="946">
        <f t="shared" si="57"/>
        <v>0</v>
      </c>
      <c r="Z81" s="946">
        <f t="shared" si="45"/>
        <v>0</v>
      </c>
      <c r="AA81" s="946"/>
      <c r="AB81" s="932">
        <f>IF(C81=sales!$D$22,sales!$I$22,0)+IF(C81=sales!$D$23,sales!$I$23,0)+IF(C81=sales!$D$24,sales!$I$24,0)+IF(C81=sales!$D$25,sales!$I$25,0)+IF(C81=sales!$D$26,sales!$I$26,0)+IF(C81=sales!$D$27,sales!$I$27,0)</f>
        <v>0</v>
      </c>
      <c r="AC81" s="946"/>
      <c r="AD81" s="931">
        <f t="shared" si="58"/>
        <v>0</v>
      </c>
      <c r="AE81" s="932"/>
      <c r="AF81" s="932">
        <f t="shared" si="71"/>
        <v>0</v>
      </c>
      <c r="AG81" s="932">
        <f t="shared" si="72"/>
        <v>0</v>
      </c>
      <c r="AH81" s="931">
        <f t="shared" si="54"/>
        <v>0</v>
      </c>
      <c r="AI81" s="932"/>
      <c r="AJ81" s="931">
        <f t="shared" si="55"/>
        <v>0</v>
      </c>
      <c r="AK81" s="946"/>
      <c r="AL81" s="947">
        <f>+IF(financing!$C$12="YES",'Development Cash Flow'!M81,0)</f>
        <v>0</v>
      </c>
      <c r="AM81" s="947">
        <f t="shared" si="59"/>
        <v>0</v>
      </c>
      <c r="AN81" s="947">
        <f t="shared" si="46"/>
        <v>0</v>
      </c>
      <c r="AO81" s="946"/>
      <c r="AP81" s="947">
        <f>+SUM('Development Cash Flow'!G81:J81)-'Development Cash Flow'!M81</f>
        <v>0</v>
      </c>
      <c r="AQ81" s="947">
        <f t="shared" si="60"/>
        <v>0</v>
      </c>
      <c r="AR81" s="947">
        <f t="shared" si="47"/>
        <v>0</v>
      </c>
      <c r="AS81" s="946"/>
      <c r="AT81" s="947">
        <f t="shared" si="48"/>
        <v>0</v>
      </c>
      <c r="AU81" s="947">
        <f t="shared" si="49"/>
        <v>0</v>
      </c>
      <c r="AV81" s="948">
        <f t="shared" si="50"/>
        <v>0</v>
      </c>
      <c r="AW81" s="946"/>
      <c r="AX81" s="947">
        <f t="shared" si="61"/>
        <v>0</v>
      </c>
      <c r="AY81" s="947">
        <f>+AZ80*financing!$E$30/12</f>
        <v>0</v>
      </c>
      <c r="AZ81" s="947">
        <f t="shared" si="51"/>
        <v>0</v>
      </c>
      <c r="BA81" s="946"/>
      <c r="BB81" s="947">
        <f t="shared" si="62"/>
        <v>0</v>
      </c>
      <c r="BC81" s="947">
        <f>+IF(AND(BD80+BB81+MAX(BD80*financing!$E$15/12,financing!$D$59-SUM(reserves!BC$6:BC80)-SUM(J$6:J81))-reserves!AD81&lt;=0,financing!$D$58&gt;=0),MAX(BD80*financing!$E$15/12,financing!$D$59-SUM(reserves!BC$6:BC80)-SUM(J$6:J81)),BD80*financing!$E$15/12)</f>
        <v>0</v>
      </c>
      <c r="BD81" s="947">
        <f t="shared" si="67"/>
        <v>0</v>
      </c>
      <c r="BE81" s="946"/>
      <c r="BF81" s="947">
        <f t="shared" si="52"/>
        <v>0</v>
      </c>
      <c r="BG81" s="947">
        <f>+IF(AND(BH80+BF81+MAX((BH80*(LIBOR!AA82)*(D81-D80)/360)+BY81,financing!$C$16-SUM(reserves!BG$6:BG80))-reserves!AD81&lt;=0,financing!$L$17&gt;=0),MAX((BH80*(LIBOR!AA82)*(D81-D80)/360)+BY81,financing!$C$16-SUM(reserves!BG$6:BG80)),(BH80*(LIBOR!AA82)*(D81-D80)/360)+BY81)</f>
        <v>0</v>
      </c>
      <c r="BH81" s="947">
        <f t="shared" si="53"/>
        <v>0</v>
      </c>
      <c r="BI81" s="946"/>
      <c r="BJ81" s="937"/>
      <c r="BK81" s="938">
        <f t="shared" si="68"/>
        <v>0</v>
      </c>
      <c r="BL81" s="939">
        <f>-S81+AJ81+AF81-AX81+AH81+AG81-BB81-BF81+'Development Cash Flow'!Y81</f>
        <v>0</v>
      </c>
      <c r="BM81" s="940"/>
      <c r="BN81" s="941">
        <f t="shared" si="63"/>
        <v>0</v>
      </c>
      <c r="BO81" s="940"/>
      <c r="BP81" s="942">
        <f t="shared" si="64"/>
        <v>0</v>
      </c>
      <c r="BS81" s="949" t="e">
        <f t="shared" si="69"/>
        <v>#DIV/0!</v>
      </c>
      <c r="BT81" s="922">
        <f>+IF(SUM(BT$5:BT80)&lt;1,IF(BU81=MAX($BU$6:$BU$54),1,0),0)</f>
        <v>0</v>
      </c>
      <c r="BU81" s="922">
        <f t="shared" si="70"/>
        <v>4000000</v>
      </c>
      <c r="BV81" s="943" t="str">
        <f t="shared" si="65"/>
        <v/>
      </c>
      <c r="BW81" s="922" t="str">
        <f t="shared" si="66"/>
        <v/>
      </c>
      <c r="BY81" s="208">
        <f>ROUND(IF(A81="Dev",IF(AND(BK81&gt;general!$D$23,SUM($BZ$6:$BZ80)&lt;1,financing!$L$15&gt;BH80+BF81),financing!$L$16*(BK81-BK80)/360*(financing!$L$15-BH80-BF81),0),0),-2)</f>
        <v>0</v>
      </c>
      <c r="BZ81" s="909">
        <f>+IF(AND(BH81&gt;=financing!$L$15,SUM(BZ$6:BZ80)=0),1,0)</f>
        <v>0</v>
      </c>
      <c r="CA81" s="950">
        <f t="shared" si="56"/>
        <v>0</v>
      </c>
      <c r="CD81" s="909">
        <f>SUM($S$6:S81)</f>
        <v>4000000</v>
      </c>
      <c r="CF81" s="208">
        <f>+IF(C81&lt;general!$C$22,0,IF(AND(C81=general!$C$22,OR(A81="Pred",A81="Dev")),SUM(S$6:S81),S81))</f>
        <v>0</v>
      </c>
    </row>
    <row r="82" spans="1:84" ht="16" hidden="1" outlineLevel="2">
      <c r="A82" s="906" t="str">
        <f>+'Development Cash Flow'!A82</f>
        <v>post dev</v>
      </c>
      <c r="B82" s="908"/>
      <c r="C82" s="944">
        <f>IF('Development Cash Flow'!D81&lt;general!$D$28,'Development Cash Flow'!C81+1,0)</f>
        <v>0</v>
      </c>
      <c r="D82" s="945">
        <f t="shared" si="23"/>
        <v>48579</v>
      </c>
      <c r="E82" s="945"/>
      <c r="F82" s="928">
        <f>'Development Cash Flow'!P82*D$4+SUM('Development Cash Flow'!Q82:T82)*F$4</f>
        <v>0</v>
      </c>
      <c r="G82" s="928">
        <f>'Development Cash Flow'!AL82-F82</f>
        <v>0</v>
      </c>
      <c r="H82" s="928"/>
      <c r="I82" s="928"/>
      <c r="J82" s="931">
        <f>+financing!$D$54/12*reserves!BD81</f>
        <v>0</v>
      </c>
      <c r="K82" s="928">
        <f>IF(C82=0,0,IF(C82=sales!$D$32,financing!$E$12*financing!$F$11,IF(OR(C82&gt;general!$C$27,C82&lt;sales!$D$32),0,IF((C82-sales!$D$32)/12=ROUND((C82-sales!$D$32)/12,0),financing!$E$12*financing!$F$11,0))))</f>
        <v>0</v>
      </c>
      <c r="L82" s="928"/>
      <c r="M82" s="928">
        <f t="shared" si="73"/>
        <v>0</v>
      </c>
      <c r="N82" s="946"/>
      <c r="O82" s="946">
        <f>IF(D82=general!$D$21,financing!$F$30,0)</f>
        <v>0</v>
      </c>
      <c r="P82" s="946">
        <f>+MIN(IF(D82&lt;=general!$D$24,SUM(F$6:F82)-SUM(P$6:P81),reserves!F82),AR81)</f>
        <v>0</v>
      </c>
      <c r="Q82" s="946">
        <f>+MAX(MIN(SUM(G$6:$G82)-R82,AN81,SUM(G$6:$G82)-SUM(Q$6:Q81)),0)</f>
        <v>0</v>
      </c>
      <c r="R82" s="946">
        <f>+IF(C82&gt;=sales!$D$36,'Development Cash Flow'!AL82,0)</f>
        <v>0</v>
      </c>
      <c r="S82" s="931">
        <f>IF(AND(A82=$A$5,C82&lt;financing!$D$55),M82-SUM(P82:R82,O82),MIN(M82-SUM(P82:R82,O82),financing!$F$10-SUM(S$5:S81)))</f>
        <v>0</v>
      </c>
      <c r="T82" s="931">
        <f>+MAX(MIN(IF(C82&gt;=financing!$D$55,M82-SUM(P82:S82)-J82,0),financing!$D$57-SUM(T$5:T81)),0)</f>
        <v>0</v>
      </c>
      <c r="U82" s="931">
        <f>+MAX(IF(C82&gt;=general!$C$23,M82-SUM(P82:T82),0)+IF(C82=general!$C$23,reserves!AZ81+AY82,0),0)</f>
        <v>0</v>
      </c>
      <c r="V82" s="946"/>
      <c r="W82" s="946">
        <f>SUMPRODUCT(--($C82=sales!$C$50:$C$54),sales!$F$50:$F$54)</f>
        <v>0</v>
      </c>
      <c r="X82" s="946">
        <f t="shared" si="44"/>
        <v>0</v>
      </c>
      <c r="Y82" s="946">
        <f t="shared" si="57"/>
        <v>0</v>
      </c>
      <c r="Z82" s="946">
        <f t="shared" si="45"/>
        <v>0</v>
      </c>
      <c r="AA82" s="946"/>
      <c r="AB82" s="932">
        <f>IF(C82=sales!$D$22,sales!$I$22,0)+IF(C82=sales!$D$23,sales!$I$23,0)+IF(C82=sales!$D$24,sales!$I$24,0)+IF(C82=sales!$D$25,sales!$I$25,0)+IF(C82=sales!$D$26,sales!$I$26,0)+IF(C82=sales!$D$27,sales!$I$27,0)</f>
        <v>0</v>
      </c>
      <c r="AC82" s="946"/>
      <c r="AD82" s="931">
        <f t="shared" si="58"/>
        <v>0</v>
      </c>
      <c r="AE82" s="932"/>
      <c r="AF82" s="932">
        <f t="shared" si="71"/>
        <v>0</v>
      </c>
      <c r="AG82" s="932">
        <f t="shared" si="72"/>
        <v>0</v>
      </c>
      <c r="AH82" s="931">
        <f t="shared" si="54"/>
        <v>0</v>
      </c>
      <c r="AI82" s="932"/>
      <c r="AJ82" s="931">
        <f t="shared" si="55"/>
        <v>0</v>
      </c>
      <c r="AK82" s="946"/>
      <c r="AL82" s="947">
        <f>+IF(financing!$C$12="YES",'Development Cash Flow'!M82,0)</f>
        <v>0</v>
      </c>
      <c r="AM82" s="947">
        <f t="shared" si="59"/>
        <v>0</v>
      </c>
      <c r="AN82" s="947">
        <f t="shared" si="46"/>
        <v>0</v>
      </c>
      <c r="AO82" s="946"/>
      <c r="AP82" s="947">
        <f>+SUM('Development Cash Flow'!G82:J82)-'Development Cash Flow'!M82</f>
        <v>0</v>
      </c>
      <c r="AQ82" s="947">
        <f t="shared" si="60"/>
        <v>0</v>
      </c>
      <c r="AR82" s="947">
        <f t="shared" si="47"/>
        <v>0</v>
      </c>
      <c r="AS82" s="946"/>
      <c r="AT82" s="947">
        <f t="shared" si="48"/>
        <v>0</v>
      </c>
      <c r="AU82" s="947">
        <f t="shared" si="49"/>
        <v>0</v>
      </c>
      <c r="AV82" s="948">
        <f t="shared" si="50"/>
        <v>0</v>
      </c>
      <c r="AW82" s="946"/>
      <c r="AX82" s="947">
        <f t="shared" si="61"/>
        <v>0</v>
      </c>
      <c r="AY82" s="947">
        <f>+AZ81*financing!$E$30/12</f>
        <v>0</v>
      </c>
      <c r="AZ82" s="947">
        <f t="shared" si="51"/>
        <v>0</v>
      </c>
      <c r="BA82" s="946"/>
      <c r="BB82" s="947">
        <f t="shared" si="62"/>
        <v>0</v>
      </c>
      <c r="BC82" s="947">
        <f>+IF(AND(BD81+BB82+MAX(BD81*financing!$E$15/12,financing!$D$59-SUM(reserves!BC$6:BC81)-SUM(J$6:J82))-reserves!AD82&lt;=0,financing!$D$58&gt;=0),MAX(BD81*financing!$E$15/12,financing!$D$59-SUM(reserves!BC$6:BC81)-SUM(J$6:J82)),BD81*financing!$E$15/12)</f>
        <v>0</v>
      </c>
      <c r="BD82" s="947">
        <f t="shared" si="67"/>
        <v>0</v>
      </c>
      <c r="BE82" s="946"/>
      <c r="BF82" s="947">
        <f t="shared" si="52"/>
        <v>0</v>
      </c>
      <c r="BG82" s="947">
        <f>+IF(AND(BH81+BF82+MAX((BH81*(LIBOR!AA83)*(D82-D81)/360)+BY82,financing!$C$16-SUM(reserves!BG$6:BG81))-reserves!AD82&lt;=0,financing!$L$17&gt;=0),MAX((BH81*(LIBOR!AA83)*(D82-D81)/360)+BY82,financing!$C$16-SUM(reserves!BG$6:BG81)),(BH81*(LIBOR!AA83)*(D82-D81)/360)+BY82)</f>
        <v>0</v>
      </c>
      <c r="BH82" s="947">
        <f t="shared" si="53"/>
        <v>0</v>
      </c>
      <c r="BI82" s="946"/>
      <c r="BJ82" s="937"/>
      <c r="BK82" s="938">
        <f t="shared" si="68"/>
        <v>0</v>
      </c>
      <c r="BL82" s="939">
        <f>-S82+AJ82+AF82-AX82+AH82+AG82-BB82-BF82+'Development Cash Flow'!Y82</f>
        <v>0</v>
      </c>
      <c r="BM82" s="940"/>
      <c r="BN82" s="941">
        <f t="shared" si="63"/>
        <v>0</v>
      </c>
      <c r="BO82" s="940"/>
      <c r="BP82" s="942">
        <f t="shared" si="64"/>
        <v>0</v>
      </c>
      <c r="BS82" s="949" t="e">
        <f t="shared" si="69"/>
        <v>#DIV/0!</v>
      </c>
      <c r="BT82" s="922">
        <f>+IF(SUM(BT$5:BT81)&lt;1,IF(BU82=MAX($BU$6:$BU$54),1,0),0)</f>
        <v>0</v>
      </c>
      <c r="BU82" s="922">
        <f t="shared" si="70"/>
        <v>4000000</v>
      </c>
      <c r="BV82" s="943" t="str">
        <f t="shared" si="65"/>
        <v/>
      </c>
      <c r="BW82" s="922" t="str">
        <f t="shared" si="66"/>
        <v/>
      </c>
      <c r="BY82" s="208">
        <f>ROUND(IF(A82="Dev",IF(AND(BK82&gt;general!$D$23,SUM($BZ$6:$BZ81)&lt;1,financing!$L$15&gt;BH81+BF82),financing!$L$16*(BK82-BK81)/360*(financing!$L$15-BH81-BF82),0),0),-2)</f>
        <v>0</v>
      </c>
      <c r="BZ82" s="909">
        <f>+IF(AND(BH82&gt;=financing!$L$15,SUM(BZ$6:BZ81)=0),1,0)</f>
        <v>0</v>
      </c>
      <c r="CA82" s="950">
        <f t="shared" si="56"/>
        <v>0</v>
      </c>
      <c r="CD82" s="909">
        <f>SUM($S$6:S82)</f>
        <v>4000000</v>
      </c>
      <c r="CF82" s="208">
        <f>+IF(C82&lt;general!$C$22,0,IF(AND(C82=general!$C$22,OR(A82="Pred",A82="Dev")),SUM(S$6:S82),S82))</f>
        <v>0</v>
      </c>
    </row>
    <row r="83" spans="1:84" ht="16" hidden="1" outlineLevel="2">
      <c r="A83" s="906" t="str">
        <f>+'Development Cash Flow'!A83</f>
        <v>post dev</v>
      </c>
      <c r="B83" s="908"/>
      <c r="C83" s="944">
        <f>IF('Development Cash Flow'!D82&lt;general!$D$28,'Development Cash Flow'!C82+1,0)</f>
        <v>0</v>
      </c>
      <c r="D83" s="945">
        <f t="shared" si="23"/>
        <v>48610</v>
      </c>
      <c r="E83" s="945"/>
      <c r="F83" s="928">
        <f>'Development Cash Flow'!P83*D$4+SUM('Development Cash Flow'!Q83:T83)*F$4</f>
        <v>0</v>
      </c>
      <c r="G83" s="928">
        <f>'Development Cash Flow'!AL83-F83</f>
        <v>0</v>
      </c>
      <c r="H83" s="928"/>
      <c r="I83" s="928"/>
      <c r="J83" s="931">
        <f>+financing!$D$54/12*reserves!BD82</f>
        <v>0</v>
      </c>
      <c r="K83" s="928">
        <f>IF(C83=0,0,IF(C83=sales!$D$32,financing!$E$12*financing!$F$11,IF(OR(C83&gt;general!$C$27,C83&lt;sales!$D$32),0,IF((C83-sales!$D$32)/12=ROUND((C83-sales!$D$32)/12,0),financing!$E$12*financing!$F$11,0))))</f>
        <v>0</v>
      </c>
      <c r="L83" s="928"/>
      <c r="M83" s="928">
        <f t="shared" si="73"/>
        <v>0</v>
      </c>
      <c r="N83" s="946"/>
      <c r="O83" s="946">
        <f>IF(D83=general!$D$21,financing!$F$30,0)</f>
        <v>0</v>
      </c>
      <c r="P83" s="946">
        <f>+MIN(IF(D83&lt;=general!$D$24,SUM(F$6:F83)-SUM(P$6:P82),reserves!F83),AR82)</f>
        <v>0</v>
      </c>
      <c r="Q83" s="946">
        <f>+MAX(MIN(SUM(G$6:$G83)-R83,AN82,SUM(G$6:$G83)-SUM(Q$6:Q82)),0)</f>
        <v>0</v>
      </c>
      <c r="R83" s="946">
        <f>+IF(C83&gt;=sales!$D$36,'Development Cash Flow'!AL83,0)</f>
        <v>0</v>
      </c>
      <c r="S83" s="931">
        <f>IF(AND(A83=$A$5,C83&lt;financing!$D$55),M83-SUM(P83:R83,O83),MIN(M83-SUM(P83:R83,O83),financing!$F$10-SUM(S$5:S82)))</f>
        <v>0</v>
      </c>
      <c r="T83" s="931">
        <f>+MAX(MIN(IF(C83&gt;=financing!$D$55,M83-SUM(P83:S83)-J83,0),financing!$D$57-SUM(T$5:T82)),0)</f>
        <v>0</v>
      </c>
      <c r="U83" s="931">
        <f>+MAX(IF(C83&gt;=general!$C$23,M83-SUM(P83:T83),0)+IF(C83=general!$C$23,reserves!AZ82+AY83,0),0)</f>
        <v>0</v>
      </c>
      <c r="V83" s="946"/>
      <c r="W83" s="946">
        <f>SUMPRODUCT(--($C83=sales!$C$50:$C$54),sales!$F$50:$F$54)</f>
        <v>0</v>
      </c>
      <c r="X83" s="946">
        <f t="shared" si="44"/>
        <v>0</v>
      </c>
      <c r="Y83" s="946">
        <f t="shared" si="57"/>
        <v>0</v>
      </c>
      <c r="Z83" s="946">
        <f t="shared" si="45"/>
        <v>0</v>
      </c>
      <c r="AA83" s="946"/>
      <c r="AB83" s="932">
        <f>IF(C83=sales!$D$22,sales!$I$22,0)+IF(C83=sales!$D$23,sales!$I$23,0)+IF(C83=sales!$D$24,sales!$I$24,0)+IF(C83=sales!$D$25,sales!$I$25,0)+IF(C83=sales!$D$26,sales!$I$26,0)+IF(C83=sales!$D$27,sales!$I$27,0)</f>
        <v>0</v>
      </c>
      <c r="AC83" s="946"/>
      <c r="AD83" s="931">
        <f t="shared" si="58"/>
        <v>0</v>
      </c>
      <c r="AE83" s="932"/>
      <c r="AF83" s="932">
        <f t="shared" si="71"/>
        <v>0</v>
      </c>
      <c r="AG83" s="932">
        <f t="shared" si="72"/>
        <v>0</v>
      </c>
      <c r="AH83" s="931">
        <f t="shared" si="54"/>
        <v>0</v>
      </c>
      <c r="AI83" s="932"/>
      <c r="AJ83" s="931">
        <f t="shared" si="55"/>
        <v>0</v>
      </c>
      <c r="AK83" s="946"/>
      <c r="AL83" s="947">
        <f>+IF(financing!$C$12="YES",'Development Cash Flow'!M83,0)</f>
        <v>0</v>
      </c>
      <c r="AM83" s="947">
        <f t="shared" si="59"/>
        <v>0</v>
      </c>
      <c r="AN83" s="947">
        <f t="shared" si="46"/>
        <v>0</v>
      </c>
      <c r="AO83" s="946"/>
      <c r="AP83" s="947">
        <f>+SUM('Development Cash Flow'!G83:J83)-'Development Cash Flow'!M83</f>
        <v>0</v>
      </c>
      <c r="AQ83" s="947">
        <f t="shared" si="60"/>
        <v>0</v>
      </c>
      <c r="AR83" s="947">
        <f t="shared" si="47"/>
        <v>0</v>
      </c>
      <c r="AS83" s="946"/>
      <c r="AT83" s="947">
        <f t="shared" si="48"/>
        <v>0</v>
      </c>
      <c r="AU83" s="947">
        <f t="shared" si="49"/>
        <v>0</v>
      </c>
      <c r="AV83" s="948">
        <f t="shared" si="50"/>
        <v>0</v>
      </c>
      <c r="AW83" s="946"/>
      <c r="AX83" s="947">
        <f t="shared" si="61"/>
        <v>0</v>
      </c>
      <c r="AY83" s="947">
        <f>+AZ82*financing!$E$30/12</f>
        <v>0</v>
      </c>
      <c r="AZ83" s="947">
        <f t="shared" si="51"/>
        <v>0</v>
      </c>
      <c r="BA83" s="946"/>
      <c r="BB83" s="947">
        <f t="shared" si="62"/>
        <v>0</v>
      </c>
      <c r="BC83" s="947">
        <f>+IF(AND(BD82+BB83+MAX(BD82*financing!$E$15/12,financing!$D$59-SUM(reserves!BC$6:BC82)-SUM(J$6:J83))-reserves!AD83&lt;=0,financing!$D$58&gt;=0),MAX(BD82*financing!$E$15/12,financing!$D$59-SUM(reserves!BC$6:BC82)-SUM(J$6:J83)),BD82*financing!$E$15/12)</f>
        <v>0</v>
      </c>
      <c r="BD83" s="947">
        <f t="shared" si="67"/>
        <v>0</v>
      </c>
      <c r="BE83" s="946"/>
      <c r="BF83" s="947">
        <f t="shared" si="52"/>
        <v>0</v>
      </c>
      <c r="BG83" s="947">
        <f>+IF(AND(BH82+BF83+MAX((BH82*(LIBOR!AA84)*(D83-D82)/360)+BY83,financing!$C$16-SUM(reserves!BG$6:BG82))-reserves!AD83&lt;=0,financing!$L$17&gt;=0),MAX((BH82*(LIBOR!AA84)*(D83-D82)/360)+BY83,financing!$C$16-SUM(reserves!BG$6:BG82)),(BH82*(LIBOR!AA84)*(D83-D82)/360)+BY83)</f>
        <v>0</v>
      </c>
      <c r="BH83" s="947">
        <f t="shared" si="53"/>
        <v>0</v>
      </c>
      <c r="BI83" s="946"/>
      <c r="BJ83" s="937"/>
      <c r="BK83" s="938">
        <f t="shared" si="68"/>
        <v>0</v>
      </c>
      <c r="BL83" s="939">
        <f>-S83+AJ83+AF83-AX83+AH83+AG83-BB83-BF83+'Development Cash Flow'!Y83</f>
        <v>0</v>
      </c>
      <c r="BM83" s="940"/>
      <c r="BN83" s="941">
        <f t="shared" si="63"/>
        <v>0</v>
      </c>
      <c r="BO83" s="940"/>
      <c r="BP83" s="942">
        <f t="shared" si="64"/>
        <v>0</v>
      </c>
      <c r="BS83" s="949" t="e">
        <f t="shared" si="69"/>
        <v>#DIV/0!</v>
      </c>
      <c r="BT83" s="922">
        <f>+IF(SUM(BT$5:BT82)&lt;1,IF(BU83=MAX($BU$6:$BU$54),1,0),0)</f>
        <v>0</v>
      </c>
      <c r="BU83" s="922">
        <f t="shared" si="70"/>
        <v>4000000</v>
      </c>
      <c r="BV83" s="943" t="str">
        <f t="shared" si="65"/>
        <v/>
      </c>
      <c r="BW83" s="922" t="str">
        <f t="shared" si="66"/>
        <v/>
      </c>
      <c r="BY83" s="208">
        <f>ROUND(IF(A83="Dev",IF(AND(BK83&gt;general!$D$23,SUM($BZ$6:$BZ82)&lt;1,financing!$L$15&gt;BH82+BF83),financing!$L$16*(BK83-BK82)/360*(financing!$L$15-BH82-BF83),0),0),-2)</f>
        <v>0</v>
      </c>
      <c r="BZ83" s="909">
        <f>+IF(AND(BH83&gt;=financing!$L$15,SUM(BZ$6:BZ82)=0),1,0)</f>
        <v>0</v>
      </c>
      <c r="CA83" s="950">
        <f t="shared" si="56"/>
        <v>0</v>
      </c>
      <c r="CD83" s="909">
        <f>SUM($S$6:S83)</f>
        <v>4000000</v>
      </c>
      <c r="CF83" s="208">
        <f>+IF(C83&lt;general!$C$22,0,IF(AND(C83=general!$C$22,OR(A83="Pred",A83="Dev")),SUM(S$6:S83),S83))</f>
        <v>0</v>
      </c>
    </row>
    <row r="84" spans="1:84" ht="16" hidden="1" outlineLevel="2">
      <c r="A84" s="906" t="str">
        <f>+'Development Cash Flow'!A84</f>
        <v>post dev</v>
      </c>
      <c r="B84" s="908"/>
      <c r="C84" s="944">
        <f>IF('Development Cash Flow'!D83&lt;general!$D$28,'Development Cash Flow'!C83+1,0)</f>
        <v>0</v>
      </c>
      <c r="D84" s="945">
        <f t="shared" si="23"/>
        <v>48638</v>
      </c>
      <c r="E84" s="945"/>
      <c r="F84" s="928">
        <f>'Development Cash Flow'!P84*D$4+SUM('Development Cash Flow'!Q84:T84)*F$4</f>
        <v>0</v>
      </c>
      <c r="G84" s="928">
        <f>'Development Cash Flow'!AL84-F84</f>
        <v>0</v>
      </c>
      <c r="H84" s="928"/>
      <c r="I84" s="928"/>
      <c r="J84" s="931">
        <f>+financing!$D$54/12*reserves!BD83</f>
        <v>0</v>
      </c>
      <c r="K84" s="928">
        <f>IF(C84=0,0,IF(C84=sales!$D$32,financing!$E$12*financing!$F$11,IF(OR(C84&gt;general!$C$27,C84&lt;sales!$D$32),0,IF((C84-sales!$D$32)/12=ROUND((C84-sales!$D$32)/12,0),financing!$E$12*financing!$F$11,0))))</f>
        <v>0</v>
      </c>
      <c r="L84" s="928"/>
      <c r="M84" s="928">
        <f t="shared" si="73"/>
        <v>0</v>
      </c>
      <c r="N84" s="946"/>
      <c r="O84" s="946">
        <f>IF(D84=general!$D$21,financing!$F$30,0)</f>
        <v>0</v>
      </c>
      <c r="P84" s="946">
        <f>+MIN(IF(D84&lt;=general!$D$24,SUM(F$6:F84)-SUM(P$6:P83),reserves!F84),AR83)</f>
        <v>0</v>
      </c>
      <c r="Q84" s="946">
        <f>+MAX(MIN(SUM(G$6:$G84)-R84,AN83,SUM(G$6:$G84)-SUM(Q$6:Q83)),0)</f>
        <v>0</v>
      </c>
      <c r="R84" s="946">
        <f>+IF(C84&gt;=sales!$D$36,'Development Cash Flow'!AL84,0)</f>
        <v>0</v>
      </c>
      <c r="S84" s="931">
        <f>IF(AND(A84=$A$5,C84&lt;financing!$D$55),M84-SUM(P84:R84,O84),MIN(M84-SUM(P84:R84,O84),financing!$F$10-SUM(S$5:S83)))</f>
        <v>0</v>
      </c>
      <c r="T84" s="931">
        <f>+MAX(MIN(IF(C84&gt;=financing!$D$55,M84-SUM(P84:S84)-J84,0),financing!$D$57-SUM(T$5:T83)),0)</f>
        <v>0</v>
      </c>
      <c r="U84" s="931">
        <f>+MAX(IF(C84&gt;=general!$C$23,M84-SUM(P84:T84),0)+IF(C84=general!$C$23,reserves!AZ83+AY84,0),0)</f>
        <v>0</v>
      </c>
      <c r="V84" s="946"/>
      <c r="W84" s="946">
        <f>SUMPRODUCT(--($C84=sales!$C$50:$C$54),sales!$F$50:$F$54)</f>
        <v>0</v>
      </c>
      <c r="X84" s="946">
        <f t="shared" si="44"/>
        <v>0</v>
      </c>
      <c r="Y84" s="946">
        <f t="shared" si="57"/>
        <v>0</v>
      </c>
      <c r="Z84" s="946">
        <f t="shared" si="45"/>
        <v>0</v>
      </c>
      <c r="AA84" s="946"/>
      <c r="AB84" s="932">
        <f>IF(C84=sales!$D$22,sales!$I$22,0)+IF(C84=sales!$D$23,sales!$I$23,0)+IF(C84=sales!$D$24,sales!$I$24,0)+IF(C84=sales!$D$25,sales!$I$25,0)+IF(C84=sales!$D$26,sales!$I$26,0)+IF(C84=sales!$D$27,sales!$I$27,0)</f>
        <v>0</v>
      </c>
      <c r="AC84" s="946"/>
      <c r="AD84" s="931">
        <f t="shared" si="58"/>
        <v>0</v>
      </c>
      <c r="AE84" s="932"/>
      <c r="AF84" s="932">
        <f t="shared" si="71"/>
        <v>0</v>
      </c>
      <c r="AG84" s="932">
        <f t="shared" si="72"/>
        <v>0</v>
      </c>
      <c r="AH84" s="931">
        <f t="shared" si="54"/>
        <v>0</v>
      </c>
      <c r="AI84" s="932"/>
      <c r="AJ84" s="931">
        <f t="shared" si="55"/>
        <v>0</v>
      </c>
      <c r="AK84" s="946"/>
      <c r="AL84" s="947">
        <f>+IF(financing!$C$12="YES",'Development Cash Flow'!M84,0)</f>
        <v>0</v>
      </c>
      <c r="AM84" s="947">
        <f t="shared" si="59"/>
        <v>0</v>
      </c>
      <c r="AN84" s="947">
        <f t="shared" si="46"/>
        <v>0</v>
      </c>
      <c r="AO84" s="946"/>
      <c r="AP84" s="947">
        <f>+SUM('Development Cash Flow'!G84:J84)-'Development Cash Flow'!M84</f>
        <v>0</v>
      </c>
      <c r="AQ84" s="947">
        <f t="shared" si="60"/>
        <v>0</v>
      </c>
      <c r="AR84" s="947">
        <f t="shared" si="47"/>
        <v>0</v>
      </c>
      <c r="AS84" s="946"/>
      <c r="AT84" s="947">
        <f t="shared" si="48"/>
        <v>0</v>
      </c>
      <c r="AU84" s="947">
        <f t="shared" si="49"/>
        <v>0</v>
      </c>
      <c r="AV84" s="948">
        <f t="shared" si="50"/>
        <v>0</v>
      </c>
      <c r="AW84" s="946"/>
      <c r="AX84" s="947">
        <f t="shared" si="61"/>
        <v>0</v>
      </c>
      <c r="AY84" s="947">
        <f>+AZ83*financing!$E$30/12</f>
        <v>0</v>
      </c>
      <c r="AZ84" s="947">
        <f t="shared" si="51"/>
        <v>0</v>
      </c>
      <c r="BA84" s="946"/>
      <c r="BB84" s="947">
        <f t="shared" si="62"/>
        <v>0</v>
      </c>
      <c r="BC84" s="947">
        <f>+IF(AND(BD83+BB84+MAX(BD83*financing!$E$15/12,financing!$D$59-SUM(reserves!BC$6:BC83)-SUM(J$6:J84))-reserves!AD84&lt;=0,financing!$D$58&gt;=0),MAX(BD83*financing!$E$15/12,financing!$D$59-SUM(reserves!BC$6:BC83)-SUM(J$6:J84)),BD83*financing!$E$15/12)</f>
        <v>0</v>
      </c>
      <c r="BD84" s="947">
        <f t="shared" si="67"/>
        <v>0</v>
      </c>
      <c r="BE84" s="946"/>
      <c r="BF84" s="947">
        <f t="shared" si="52"/>
        <v>0</v>
      </c>
      <c r="BG84" s="947">
        <f>+IF(AND(BH83+BF84+MAX((BH83*(LIBOR!AA85)*(D84-D83)/360)+BY84,financing!$C$16-SUM(reserves!BG$6:BG83))-reserves!AD84&lt;=0,financing!$L$17&gt;=0),MAX((BH83*(LIBOR!AA85)*(D84-D83)/360)+BY84,financing!$C$16-SUM(reserves!BG$6:BG83)),(BH83*(LIBOR!AA85)*(D84-D83)/360)+BY84)</f>
        <v>0</v>
      </c>
      <c r="BH84" s="947">
        <f t="shared" si="53"/>
        <v>0</v>
      </c>
      <c r="BI84" s="946"/>
      <c r="BJ84" s="937"/>
      <c r="BK84" s="938">
        <f t="shared" si="68"/>
        <v>0</v>
      </c>
      <c r="BL84" s="939">
        <f>-S84+AJ84+AF84-AX84+AH84+AG84-BB84-BF84+'Development Cash Flow'!Y84</f>
        <v>0</v>
      </c>
      <c r="BM84" s="940"/>
      <c r="BN84" s="941">
        <f t="shared" si="63"/>
        <v>0</v>
      </c>
      <c r="BO84" s="940"/>
      <c r="BP84" s="942">
        <f t="shared" si="64"/>
        <v>0</v>
      </c>
      <c r="BS84" s="949" t="e">
        <f t="shared" si="69"/>
        <v>#DIV/0!</v>
      </c>
      <c r="BT84" s="922">
        <f>+IF(SUM(BT$5:BT83)&lt;1,IF(BU84=MAX($BU$6:$BU$54),1,0),0)</f>
        <v>0</v>
      </c>
      <c r="BU84" s="922">
        <f t="shared" si="70"/>
        <v>4000000</v>
      </c>
      <c r="BV84" s="943" t="str">
        <f t="shared" si="65"/>
        <v/>
      </c>
      <c r="BW84" s="922" t="str">
        <f t="shared" si="66"/>
        <v/>
      </c>
      <c r="BY84" s="208">
        <f>ROUND(IF(A84="Dev",IF(AND(BK84&gt;general!$D$23,SUM($BZ$6:$BZ83)&lt;1,financing!$L$15&gt;BH83+BF84),financing!$L$16*(BK84-BK83)/360*(financing!$L$15-BH83-BF84),0),0),-2)</f>
        <v>0</v>
      </c>
      <c r="BZ84" s="909">
        <f>+IF(AND(BH84&gt;=financing!$L$15,SUM(BZ$6:BZ83)=0),1,0)</f>
        <v>0</v>
      </c>
      <c r="CA84" s="950">
        <f t="shared" si="56"/>
        <v>0</v>
      </c>
      <c r="CD84" s="909">
        <f>SUM($S$6:S84)</f>
        <v>4000000</v>
      </c>
      <c r="CF84" s="208">
        <f>+IF(C84&lt;general!$C$22,0,IF(AND(C84=general!$C$22,OR(A84="Pred",A84="Dev")),SUM(S$6:S84),S84))</f>
        <v>0</v>
      </c>
    </row>
    <row r="85" spans="1:84" ht="16" hidden="1" outlineLevel="2">
      <c r="A85" s="906" t="str">
        <f>+'Development Cash Flow'!A85</f>
        <v>post dev</v>
      </c>
      <c r="B85" s="908"/>
      <c r="C85" s="944">
        <f>IF('Development Cash Flow'!D84&lt;general!$D$28,'Development Cash Flow'!C84+1,0)</f>
        <v>0</v>
      </c>
      <c r="D85" s="945">
        <f t="shared" si="23"/>
        <v>48669</v>
      </c>
      <c r="E85" s="945"/>
      <c r="F85" s="928">
        <f>'Development Cash Flow'!P85*D$4+SUM('Development Cash Flow'!Q85:T85)*F$4</f>
        <v>0</v>
      </c>
      <c r="G85" s="928">
        <f>'Development Cash Flow'!AL85-F85</f>
        <v>0</v>
      </c>
      <c r="H85" s="928"/>
      <c r="I85" s="928"/>
      <c r="J85" s="931">
        <f>+financing!$D$54/12*reserves!BD84</f>
        <v>0</v>
      </c>
      <c r="K85" s="928">
        <f>IF(C85=0,0,IF(C85=sales!$D$32,financing!$E$12*financing!$F$11,IF(OR(C85&gt;general!$C$27,C85&lt;sales!$D$32),0,IF((C85-sales!$D$32)/12=ROUND((C85-sales!$D$32)/12,0),financing!$E$12*financing!$F$11,0))))</f>
        <v>0</v>
      </c>
      <c r="L85" s="928"/>
      <c r="M85" s="928">
        <f t="shared" si="73"/>
        <v>0</v>
      </c>
      <c r="N85" s="946"/>
      <c r="O85" s="946">
        <f>IF(D85=general!$D$21,financing!$F$30,0)</f>
        <v>0</v>
      </c>
      <c r="P85" s="946">
        <f>+MIN(IF(D85&lt;=general!$D$24,SUM(F$6:F85)-SUM(P$6:P84),reserves!F85),AR84)</f>
        <v>0</v>
      </c>
      <c r="Q85" s="946">
        <f>+MAX(MIN(SUM(G$6:$G85)-R85,AN84,SUM(G$6:$G85)-SUM(Q$6:Q84)),0)</f>
        <v>0</v>
      </c>
      <c r="R85" s="946">
        <f>+IF(C85&gt;=sales!$D$36,'Development Cash Flow'!AL85,0)</f>
        <v>0</v>
      </c>
      <c r="S85" s="931">
        <f>IF(AND(A85=$A$5,C85&lt;financing!$D$55),M85-SUM(P85:R85,O85),MIN(M85-SUM(P85:R85,O85),financing!$F$10-SUM(S$5:S84)))</f>
        <v>0</v>
      </c>
      <c r="T85" s="931">
        <f>+MAX(MIN(IF(C85&gt;=financing!$D$55,M85-SUM(P85:S85)-J85,0),financing!$D$57-SUM(T$5:T84)),0)</f>
        <v>0</v>
      </c>
      <c r="U85" s="931">
        <f>+MAX(IF(C85&gt;=general!$C$23,M85-SUM(P85:T85),0)+IF(C85=general!$C$23,reserves!AZ84+AY85,0),0)</f>
        <v>0</v>
      </c>
      <c r="V85" s="946"/>
      <c r="W85" s="946">
        <f>SUMPRODUCT(--($C85=sales!$C$50:$C$54),sales!$F$50:$F$54)</f>
        <v>0</v>
      </c>
      <c r="X85" s="946">
        <f t="shared" si="44"/>
        <v>0</v>
      </c>
      <c r="Y85" s="946">
        <f t="shared" si="57"/>
        <v>0</v>
      </c>
      <c r="Z85" s="946">
        <f t="shared" si="45"/>
        <v>0</v>
      </c>
      <c r="AA85" s="946"/>
      <c r="AB85" s="932">
        <f>IF(C85=sales!$D$22,sales!$I$22,0)+IF(C85=sales!$D$23,sales!$I$23,0)+IF(C85=sales!$D$24,sales!$I$24,0)+IF(C85=sales!$D$25,sales!$I$25,0)+IF(C85=sales!$D$26,sales!$I$26,0)+IF(C85=sales!$D$27,sales!$I$27,0)</f>
        <v>0</v>
      </c>
      <c r="AC85" s="946"/>
      <c r="AD85" s="931">
        <f t="shared" si="58"/>
        <v>0</v>
      </c>
      <c r="AE85" s="932"/>
      <c r="AF85" s="932">
        <f t="shared" si="71"/>
        <v>0</v>
      </c>
      <c r="AG85" s="932">
        <f t="shared" si="72"/>
        <v>0</v>
      </c>
      <c r="AH85" s="931">
        <f t="shared" si="54"/>
        <v>0</v>
      </c>
      <c r="AI85" s="932"/>
      <c r="AJ85" s="931">
        <f t="shared" si="55"/>
        <v>0</v>
      </c>
      <c r="AK85" s="946"/>
      <c r="AL85" s="947">
        <f>+IF(financing!$C$12="YES",'Development Cash Flow'!M85,0)</f>
        <v>0</v>
      </c>
      <c r="AM85" s="947">
        <f t="shared" si="59"/>
        <v>0</v>
      </c>
      <c r="AN85" s="947">
        <f t="shared" si="46"/>
        <v>0</v>
      </c>
      <c r="AO85" s="946"/>
      <c r="AP85" s="947">
        <f>+SUM('Development Cash Flow'!G85:J85)-'Development Cash Flow'!M85</f>
        <v>0</v>
      </c>
      <c r="AQ85" s="947">
        <f t="shared" si="60"/>
        <v>0</v>
      </c>
      <c r="AR85" s="947">
        <f t="shared" si="47"/>
        <v>0</v>
      </c>
      <c r="AS85" s="946"/>
      <c r="AT85" s="947">
        <f t="shared" si="48"/>
        <v>0</v>
      </c>
      <c r="AU85" s="947">
        <f t="shared" si="49"/>
        <v>0</v>
      </c>
      <c r="AV85" s="948">
        <f t="shared" si="50"/>
        <v>0</v>
      </c>
      <c r="AW85" s="946"/>
      <c r="AX85" s="947">
        <f t="shared" si="61"/>
        <v>0</v>
      </c>
      <c r="AY85" s="947">
        <f>+AZ84*financing!$E$30/12</f>
        <v>0</v>
      </c>
      <c r="AZ85" s="947">
        <f t="shared" si="51"/>
        <v>0</v>
      </c>
      <c r="BA85" s="946"/>
      <c r="BB85" s="947">
        <f t="shared" si="62"/>
        <v>0</v>
      </c>
      <c r="BC85" s="947">
        <f>+IF(AND(BD84+BB85+MAX(BD84*financing!$E$15/12,financing!$D$59-SUM(reserves!BC$6:BC84)-SUM(J$6:J85))-reserves!AD85&lt;=0,financing!$D$58&gt;=0),MAX(BD84*financing!$E$15/12,financing!$D$59-SUM(reserves!BC$6:BC84)-SUM(J$6:J85)),BD84*financing!$E$15/12)</f>
        <v>0</v>
      </c>
      <c r="BD85" s="947">
        <f t="shared" si="67"/>
        <v>0</v>
      </c>
      <c r="BE85" s="946"/>
      <c r="BF85" s="947">
        <f t="shared" si="52"/>
        <v>0</v>
      </c>
      <c r="BG85" s="947">
        <f>+IF(AND(BH84+BF85+MAX((BH84*(LIBOR!AA86)*(D85-D84)/360)+BY85,financing!$C$16-SUM(reserves!BG$6:BG84))-reserves!AD85&lt;=0,financing!$L$17&gt;=0),MAX((BH84*(LIBOR!AA86)*(D85-D84)/360)+BY85,financing!$C$16-SUM(reserves!BG$6:BG84)),(BH84*(LIBOR!AA86)*(D85-D84)/360)+BY85)</f>
        <v>0</v>
      </c>
      <c r="BH85" s="947">
        <f t="shared" si="53"/>
        <v>0</v>
      </c>
      <c r="BI85" s="946"/>
      <c r="BJ85" s="937"/>
      <c r="BK85" s="938">
        <f t="shared" si="68"/>
        <v>0</v>
      </c>
      <c r="BL85" s="939">
        <f>-S85+AJ85+AF85-AX85+AH85+AG85-BB85-BF85+'Development Cash Flow'!Y85</f>
        <v>0</v>
      </c>
      <c r="BM85" s="940"/>
      <c r="BN85" s="941">
        <f t="shared" si="63"/>
        <v>0</v>
      </c>
      <c r="BO85" s="940"/>
      <c r="BP85" s="942">
        <f t="shared" si="64"/>
        <v>0</v>
      </c>
      <c r="BS85" s="949" t="e">
        <f t="shared" si="69"/>
        <v>#DIV/0!</v>
      </c>
      <c r="BT85" s="922">
        <f>+IF(SUM(BT$5:BT84)&lt;1,IF(BU85=MAX($BU$6:$BU$54),1,0),0)</f>
        <v>0</v>
      </c>
      <c r="BU85" s="922">
        <f t="shared" si="70"/>
        <v>4000000</v>
      </c>
      <c r="BV85" s="943" t="str">
        <f t="shared" si="65"/>
        <v/>
      </c>
      <c r="BW85" s="922" t="str">
        <f t="shared" si="66"/>
        <v/>
      </c>
      <c r="BY85" s="208">
        <f>ROUND(IF(A85="Dev",IF(AND(BK85&gt;general!$D$23,SUM($BZ$6:$BZ84)&lt;1,financing!$L$15&gt;BH84+BF85),financing!$L$16*(BK85-BK84)/360*(financing!$L$15-BH84-BF85),0),0),-2)</f>
        <v>0</v>
      </c>
      <c r="BZ85" s="909">
        <f>+IF(AND(BH85&gt;=financing!$L$15,SUM(BZ$6:BZ84)=0),1,0)</f>
        <v>0</v>
      </c>
      <c r="CA85" s="950">
        <f t="shared" si="56"/>
        <v>0</v>
      </c>
      <c r="CD85" s="909">
        <f>SUM($S$6:S85)</f>
        <v>4000000</v>
      </c>
      <c r="CF85" s="208">
        <f>+IF(C85&lt;general!$C$22,0,IF(AND(C85=general!$C$22,OR(A85="Pred",A85="Dev")),SUM(S$6:S85),S85))</f>
        <v>0</v>
      </c>
    </row>
    <row r="86" spans="1:84" ht="16" hidden="1" outlineLevel="2">
      <c r="A86" s="906" t="str">
        <f>+'Development Cash Flow'!A86</f>
        <v>post dev</v>
      </c>
      <c r="B86" s="908"/>
      <c r="C86" s="944">
        <f>IF('Development Cash Flow'!D85&lt;general!$D$28,'Development Cash Flow'!C85+1,0)</f>
        <v>0</v>
      </c>
      <c r="D86" s="945">
        <f t="shared" si="23"/>
        <v>48699</v>
      </c>
      <c r="E86" s="945"/>
      <c r="F86" s="928">
        <f>'Development Cash Flow'!P86*D$4+SUM('Development Cash Flow'!Q86:T86)*F$4</f>
        <v>0</v>
      </c>
      <c r="G86" s="928">
        <f>'Development Cash Flow'!AL86-F86</f>
        <v>0</v>
      </c>
      <c r="H86" s="928"/>
      <c r="I86" s="928"/>
      <c r="J86" s="931">
        <f>+financing!$D$54/12*reserves!BD85</f>
        <v>0</v>
      </c>
      <c r="K86" s="928">
        <f>IF(C86=0,0,IF(C86=sales!$D$32,financing!$E$12*financing!$F$11,IF(OR(C86&gt;general!$C$27,C86&lt;sales!$D$32),0,IF((C86-sales!$D$32)/12=ROUND((C86-sales!$D$32)/12,0),financing!$E$12*financing!$F$11,0))))</f>
        <v>0</v>
      </c>
      <c r="L86" s="928"/>
      <c r="M86" s="928">
        <f t="shared" si="73"/>
        <v>0</v>
      </c>
      <c r="N86" s="946"/>
      <c r="O86" s="946">
        <f>IF(D86=general!$D$21,financing!$F$30,0)</f>
        <v>0</v>
      </c>
      <c r="P86" s="946">
        <f>+MIN(IF(D86&lt;=general!$D$24,SUM(F$6:F86)-SUM(P$6:P85),reserves!F86),AR85)</f>
        <v>0</v>
      </c>
      <c r="Q86" s="946">
        <f>+MAX(MIN(SUM(G$6:$G86)-R86,AN85,SUM(G$6:$G86)-SUM(Q$6:Q85)),0)</f>
        <v>0</v>
      </c>
      <c r="R86" s="946">
        <f>+IF(C86&gt;=sales!$D$36,'Development Cash Flow'!AL86,0)</f>
        <v>0</v>
      </c>
      <c r="S86" s="931">
        <f>IF(AND(A86=$A$5,C86&lt;financing!$D$55),M86-SUM(P86:R86,O86),MIN(M86-SUM(P86:R86,O86),financing!$F$10-SUM(S$5:S85)))</f>
        <v>0</v>
      </c>
      <c r="T86" s="931">
        <f>+MAX(MIN(IF(C86&gt;=financing!$D$55,M86-SUM(P86:S86)-J86,0),financing!$D$57-SUM(T$5:T85)),0)</f>
        <v>0</v>
      </c>
      <c r="U86" s="931">
        <f>+MAX(IF(C86&gt;=general!$C$23,M86-SUM(P86:T86),0)+IF(C86=general!$C$23,reserves!AZ85+AY86,0),0)</f>
        <v>0</v>
      </c>
      <c r="V86" s="946"/>
      <c r="W86" s="946">
        <f>SUMPRODUCT(--($C86=sales!$C$50:$C$54),sales!$F$50:$F$54)</f>
        <v>0</v>
      </c>
      <c r="X86" s="946">
        <f t="shared" si="44"/>
        <v>0</v>
      </c>
      <c r="Y86" s="946">
        <f t="shared" si="57"/>
        <v>0</v>
      </c>
      <c r="Z86" s="946">
        <f t="shared" si="45"/>
        <v>0</v>
      </c>
      <c r="AA86" s="946"/>
      <c r="AB86" s="932">
        <f>IF(C86=sales!$D$22,sales!$I$22,0)+IF(C86=sales!$D$23,sales!$I$23,0)+IF(C86=sales!$D$24,sales!$I$24,0)+IF(C86=sales!$D$25,sales!$I$25,0)+IF(C86=sales!$D$26,sales!$I$26,0)+IF(C86=sales!$D$27,sales!$I$27,0)</f>
        <v>0</v>
      </c>
      <c r="AC86" s="946"/>
      <c r="AD86" s="931">
        <f t="shared" si="58"/>
        <v>0</v>
      </c>
      <c r="AE86" s="932"/>
      <c r="AF86" s="932">
        <f t="shared" si="71"/>
        <v>0</v>
      </c>
      <c r="AG86" s="932">
        <f t="shared" si="72"/>
        <v>0</v>
      </c>
      <c r="AH86" s="931">
        <f t="shared" si="54"/>
        <v>0</v>
      </c>
      <c r="AI86" s="932"/>
      <c r="AJ86" s="931">
        <f t="shared" si="55"/>
        <v>0</v>
      </c>
      <c r="AK86" s="946"/>
      <c r="AL86" s="947">
        <f>+IF(financing!$C$12="YES",'Development Cash Flow'!M86,0)</f>
        <v>0</v>
      </c>
      <c r="AM86" s="947">
        <f t="shared" si="59"/>
        <v>0</v>
      </c>
      <c r="AN86" s="947">
        <f t="shared" si="46"/>
        <v>0</v>
      </c>
      <c r="AO86" s="946"/>
      <c r="AP86" s="947">
        <f>+SUM('Development Cash Flow'!G86:J86)-'Development Cash Flow'!M86</f>
        <v>0</v>
      </c>
      <c r="AQ86" s="947">
        <f t="shared" si="60"/>
        <v>0</v>
      </c>
      <c r="AR86" s="947">
        <f t="shared" si="47"/>
        <v>0</v>
      </c>
      <c r="AS86" s="946"/>
      <c r="AT86" s="947">
        <f t="shared" si="48"/>
        <v>0</v>
      </c>
      <c r="AU86" s="947">
        <f t="shared" si="49"/>
        <v>0</v>
      </c>
      <c r="AV86" s="948">
        <f t="shared" si="50"/>
        <v>0</v>
      </c>
      <c r="AW86" s="946"/>
      <c r="AX86" s="947">
        <f t="shared" si="61"/>
        <v>0</v>
      </c>
      <c r="AY86" s="947">
        <f>+AZ85*financing!$E$30/12</f>
        <v>0</v>
      </c>
      <c r="AZ86" s="947">
        <f t="shared" si="51"/>
        <v>0</v>
      </c>
      <c r="BA86" s="946"/>
      <c r="BB86" s="947">
        <f t="shared" si="62"/>
        <v>0</v>
      </c>
      <c r="BC86" s="947">
        <f>+IF(AND(BD85+BB86+MAX(BD85*financing!$E$15/12,financing!$D$59-SUM(reserves!BC$6:BC85)-SUM(J$6:J86))-reserves!AD86&lt;=0,financing!$D$58&gt;=0),MAX(BD85*financing!$E$15/12,financing!$D$59-SUM(reserves!BC$6:BC85)-SUM(J$6:J86)),BD85*financing!$E$15/12)</f>
        <v>0</v>
      </c>
      <c r="BD86" s="947">
        <f t="shared" si="67"/>
        <v>0</v>
      </c>
      <c r="BE86" s="946"/>
      <c r="BF86" s="947">
        <f t="shared" si="52"/>
        <v>0</v>
      </c>
      <c r="BG86" s="947">
        <f>+IF(AND(BH85+BF86+MAX((BH85*(LIBOR!AA87)*(D86-D85)/360)+BY86,financing!$C$16-SUM(reserves!BG$6:BG85))-reserves!AD86&lt;=0,financing!$L$17&gt;=0),MAX((BH85*(LIBOR!AA87)*(D86-D85)/360)+BY86,financing!$C$16-SUM(reserves!BG$6:BG85)),(BH85*(LIBOR!AA87)*(D86-D85)/360)+BY86)</f>
        <v>0</v>
      </c>
      <c r="BH86" s="947">
        <f t="shared" si="53"/>
        <v>0</v>
      </c>
      <c r="BI86" s="946"/>
      <c r="BJ86" s="937"/>
      <c r="BK86" s="938">
        <f t="shared" si="68"/>
        <v>0</v>
      </c>
      <c r="BL86" s="939">
        <f>-S86+AJ86+AF86-AX86+AH86+AG86-BB86-BF86+'Development Cash Flow'!Y86</f>
        <v>0</v>
      </c>
      <c r="BM86" s="940"/>
      <c r="BN86" s="941">
        <f t="shared" si="63"/>
        <v>0</v>
      </c>
      <c r="BO86" s="940"/>
      <c r="BP86" s="942">
        <f t="shared" si="64"/>
        <v>0</v>
      </c>
      <c r="BS86" s="949" t="e">
        <f t="shared" si="69"/>
        <v>#DIV/0!</v>
      </c>
      <c r="BT86" s="922">
        <f>+IF(SUM(BT$5:BT85)&lt;1,IF(BU86=MAX($BU$6:$BU$54),1,0),0)</f>
        <v>0</v>
      </c>
      <c r="BU86" s="922">
        <f t="shared" si="70"/>
        <v>4000000</v>
      </c>
      <c r="BV86" s="943" t="str">
        <f t="shared" si="65"/>
        <v/>
      </c>
      <c r="BW86" s="922" t="str">
        <f t="shared" si="66"/>
        <v/>
      </c>
      <c r="BY86" s="208">
        <f>ROUND(IF(A86="Dev",IF(AND(BK86&gt;general!$D$23,SUM($BZ$6:$BZ85)&lt;1,financing!$L$15&gt;BH85+BF86),financing!$L$16*(BK86-BK85)/360*(financing!$L$15-BH85-BF86),0),0),-2)</f>
        <v>0</v>
      </c>
      <c r="BZ86" s="909">
        <f>+IF(AND(BH86&gt;=financing!$L$15,SUM(BZ$6:BZ85)=0),1,0)</f>
        <v>0</v>
      </c>
      <c r="CA86" s="950">
        <f t="shared" si="56"/>
        <v>0</v>
      </c>
      <c r="CD86" s="909">
        <f>SUM($S$6:S86)</f>
        <v>4000000</v>
      </c>
      <c r="CF86" s="208">
        <f>+IF(C86&lt;general!$C$22,0,IF(AND(C86=general!$C$22,OR(A86="Pred",A86="Dev")),SUM(S$6:S86),S86))</f>
        <v>0</v>
      </c>
    </row>
    <row r="87" spans="1:84" ht="16" hidden="1" outlineLevel="2">
      <c r="A87" s="906" t="str">
        <f>+'Development Cash Flow'!A87</f>
        <v>post dev</v>
      </c>
      <c r="B87" s="908"/>
      <c r="C87" s="944">
        <f>IF('Development Cash Flow'!D86&lt;general!$D$28,'Development Cash Flow'!C86+1,0)</f>
        <v>0</v>
      </c>
      <c r="D87" s="945">
        <f t="shared" si="23"/>
        <v>48730</v>
      </c>
      <c r="E87" s="945"/>
      <c r="F87" s="928">
        <f>'Development Cash Flow'!P87*D$4+SUM('Development Cash Flow'!Q87:T87)*F$4</f>
        <v>0</v>
      </c>
      <c r="G87" s="928">
        <f>'Development Cash Flow'!AL87-F87</f>
        <v>0</v>
      </c>
      <c r="H87" s="928"/>
      <c r="I87" s="928"/>
      <c r="J87" s="931">
        <f>+financing!$D$54/12*reserves!BD86</f>
        <v>0</v>
      </c>
      <c r="K87" s="928">
        <f>IF(C87=0,0,IF(C87=sales!$D$32,financing!$E$12*financing!$F$11,IF(OR(C87&gt;general!$C$27,C87&lt;sales!$D$32),0,IF((C87-sales!$D$32)/12=ROUND((C87-sales!$D$32)/12,0),financing!$E$12*financing!$F$11,0))))</f>
        <v>0</v>
      </c>
      <c r="L87" s="928"/>
      <c r="M87" s="928">
        <f t="shared" si="73"/>
        <v>0</v>
      </c>
      <c r="N87" s="946"/>
      <c r="O87" s="946">
        <f>IF(D87=general!$D$21,financing!$F$30,0)</f>
        <v>0</v>
      </c>
      <c r="P87" s="946">
        <f>+MIN(IF(D87&lt;=general!$D$24,SUM(F$6:F87)-SUM(P$6:P86),reserves!F87),AR86)</f>
        <v>0</v>
      </c>
      <c r="Q87" s="946">
        <f>+MAX(MIN(SUM(G$6:$G87)-R87,AN86,SUM(G$6:$G87)-SUM(Q$6:Q86)),0)</f>
        <v>0</v>
      </c>
      <c r="R87" s="946">
        <f>+IF(C87&gt;=sales!$D$36,'Development Cash Flow'!AL87,0)</f>
        <v>0</v>
      </c>
      <c r="S87" s="931">
        <f>IF(AND(A87=$A$5,C87&lt;financing!$D$55),M87-SUM(P87:R87,O87),MIN(M87-SUM(P87:R87,O87),financing!$F$10-SUM(S$5:S86)))</f>
        <v>0</v>
      </c>
      <c r="T87" s="931">
        <f>+MAX(MIN(IF(C87&gt;=financing!$D$55,M87-SUM(P87:S87)-J87,0),financing!$D$57-SUM(T$5:T86)),0)</f>
        <v>0</v>
      </c>
      <c r="U87" s="931">
        <f>+MAX(IF(C87&gt;=general!$C$23,M87-SUM(P87:T87),0)+IF(C87=general!$C$23,reserves!AZ86+AY87,0),0)</f>
        <v>0</v>
      </c>
      <c r="V87" s="946"/>
      <c r="W87" s="946">
        <f>SUMPRODUCT(--($C87=sales!$C$50:$C$54),sales!$F$50:$F$54)</f>
        <v>0</v>
      </c>
      <c r="X87" s="946">
        <f t="shared" si="44"/>
        <v>0</v>
      </c>
      <c r="Y87" s="946">
        <f t="shared" si="57"/>
        <v>0</v>
      </c>
      <c r="Z87" s="946">
        <f t="shared" si="45"/>
        <v>0</v>
      </c>
      <c r="AA87" s="946"/>
      <c r="AB87" s="932">
        <f>IF(C87=sales!$D$22,sales!$I$22,0)+IF(C87=sales!$D$23,sales!$I$23,0)+IF(C87=sales!$D$24,sales!$I$24,0)+IF(C87=sales!$D$25,sales!$I$25,0)+IF(C87=sales!$D$26,sales!$I$26,0)+IF(C87=sales!$D$27,sales!$I$27,0)</f>
        <v>0</v>
      </c>
      <c r="AC87" s="946"/>
      <c r="AD87" s="931">
        <f t="shared" si="58"/>
        <v>0</v>
      </c>
      <c r="AE87" s="932"/>
      <c r="AF87" s="932">
        <f t="shared" si="71"/>
        <v>0</v>
      </c>
      <c r="AG87" s="932">
        <f t="shared" si="72"/>
        <v>0</v>
      </c>
      <c r="AH87" s="931">
        <f t="shared" si="54"/>
        <v>0</v>
      </c>
      <c r="AI87" s="932"/>
      <c r="AJ87" s="931">
        <f t="shared" si="55"/>
        <v>0</v>
      </c>
      <c r="AK87" s="946"/>
      <c r="AL87" s="947">
        <f>+IF(financing!$C$12="YES",'Development Cash Flow'!M87,0)</f>
        <v>0</v>
      </c>
      <c r="AM87" s="947">
        <f t="shared" si="59"/>
        <v>0</v>
      </c>
      <c r="AN87" s="947">
        <f t="shared" si="46"/>
        <v>0</v>
      </c>
      <c r="AO87" s="946"/>
      <c r="AP87" s="947">
        <f>+SUM('Development Cash Flow'!G87:J87)-'Development Cash Flow'!M87</f>
        <v>0</v>
      </c>
      <c r="AQ87" s="947">
        <f t="shared" si="60"/>
        <v>0</v>
      </c>
      <c r="AR87" s="947">
        <f t="shared" si="47"/>
        <v>0</v>
      </c>
      <c r="AS87" s="946"/>
      <c r="AT87" s="947">
        <f t="shared" si="48"/>
        <v>0</v>
      </c>
      <c r="AU87" s="947">
        <f t="shared" si="49"/>
        <v>0</v>
      </c>
      <c r="AV87" s="948">
        <f t="shared" si="50"/>
        <v>0</v>
      </c>
      <c r="AW87" s="946"/>
      <c r="AX87" s="947">
        <f t="shared" si="61"/>
        <v>0</v>
      </c>
      <c r="AY87" s="947">
        <f>+AZ86*financing!$E$30/12</f>
        <v>0</v>
      </c>
      <c r="AZ87" s="947">
        <f t="shared" si="51"/>
        <v>0</v>
      </c>
      <c r="BA87" s="946"/>
      <c r="BB87" s="947">
        <f t="shared" si="62"/>
        <v>0</v>
      </c>
      <c r="BC87" s="947">
        <f>+IF(AND(BD86+BB87+MAX(BD86*financing!$E$15/12,financing!$D$59-SUM(reserves!BC$6:BC86)-SUM(J$6:J87))-reserves!AD87&lt;=0,financing!$D$58&gt;=0),MAX(BD86*financing!$E$15/12,financing!$D$59-SUM(reserves!BC$6:BC86)-SUM(J$6:J87)),BD86*financing!$E$15/12)</f>
        <v>0</v>
      </c>
      <c r="BD87" s="947">
        <f t="shared" si="67"/>
        <v>0</v>
      </c>
      <c r="BE87" s="946"/>
      <c r="BF87" s="947">
        <f t="shared" si="52"/>
        <v>0</v>
      </c>
      <c r="BG87" s="947">
        <f>+IF(AND(BH86+BF87+MAX((BH86*(LIBOR!AA88)*(D87-D86)/360)+BY87,financing!$C$16-SUM(reserves!BG$6:BG86))-reserves!AD87&lt;=0,financing!$L$17&gt;=0),MAX((BH86*(LIBOR!AA88)*(D87-D86)/360)+BY87,financing!$C$16-SUM(reserves!BG$6:BG86)),(BH86*(LIBOR!AA88)*(D87-D86)/360)+BY87)</f>
        <v>0</v>
      </c>
      <c r="BH87" s="947">
        <f t="shared" si="53"/>
        <v>0</v>
      </c>
      <c r="BI87" s="946"/>
      <c r="BJ87" s="937"/>
      <c r="BK87" s="938">
        <f t="shared" si="68"/>
        <v>0</v>
      </c>
      <c r="BL87" s="939">
        <f>-S87+AJ87+AF87-AX87+AH87+AG87-BB87-BF87+'Development Cash Flow'!Y87</f>
        <v>0</v>
      </c>
      <c r="BM87" s="940"/>
      <c r="BN87" s="941">
        <f t="shared" si="63"/>
        <v>0</v>
      </c>
      <c r="BO87" s="940"/>
      <c r="BP87" s="942">
        <f t="shared" si="64"/>
        <v>0</v>
      </c>
      <c r="BS87" s="949" t="e">
        <f t="shared" si="69"/>
        <v>#DIV/0!</v>
      </c>
      <c r="BT87" s="922">
        <f>+IF(SUM(BT$5:BT86)&lt;1,IF(BU87=MAX($BU$6:$BU$54),1,0),0)</f>
        <v>0</v>
      </c>
      <c r="BU87" s="922">
        <f t="shared" si="70"/>
        <v>4000000</v>
      </c>
      <c r="BV87" s="943" t="str">
        <f t="shared" si="65"/>
        <v/>
      </c>
      <c r="BW87" s="922" t="str">
        <f t="shared" si="66"/>
        <v/>
      </c>
      <c r="BY87" s="208">
        <f>ROUND(IF(A87="Dev",IF(AND(BK87&gt;general!$D$23,SUM($BZ$6:$BZ86)&lt;1,financing!$L$15&gt;BH86+BF87),financing!$L$16*(BK87-BK86)/360*(financing!$L$15-BH86-BF87),0),0),-2)</f>
        <v>0</v>
      </c>
      <c r="BZ87" s="909">
        <f>+IF(AND(BH87&gt;=financing!$L$15,SUM(BZ$6:BZ86)=0),1,0)</f>
        <v>0</v>
      </c>
      <c r="CA87" s="950">
        <f t="shared" si="56"/>
        <v>0</v>
      </c>
      <c r="CD87" s="909">
        <f>SUM($S$6:S87)</f>
        <v>4000000</v>
      </c>
      <c r="CF87" s="208">
        <f>+IF(C87&lt;general!$C$22,0,IF(AND(C87=general!$C$22,OR(A87="Pred",A87="Dev")),SUM(S$6:S87),S87))</f>
        <v>0</v>
      </c>
    </row>
    <row r="88" spans="1:84" ht="16" hidden="1" outlineLevel="2">
      <c r="A88" s="906" t="str">
        <f>+'Development Cash Flow'!A88</f>
        <v>post dev</v>
      </c>
      <c r="B88" s="908"/>
      <c r="C88" s="944">
        <f>IF('Development Cash Flow'!D87&lt;general!$D$28,'Development Cash Flow'!C87+1,0)</f>
        <v>0</v>
      </c>
      <c r="D88" s="945">
        <f t="shared" si="23"/>
        <v>48760</v>
      </c>
      <c r="E88" s="945"/>
      <c r="F88" s="928">
        <f>'Development Cash Flow'!P88*D$4+SUM('Development Cash Flow'!Q88:T88)*F$4</f>
        <v>0</v>
      </c>
      <c r="G88" s="928">
        <f>'Development Cash Flow'!AL88-F88</f>
        <v>0</v>
      </c>
      <c r="H88" s="928"/>
      <c r="I88" s="928"/>
      <c r="J88" s="931">
        <f>+financing!$D$54/12*reserves!BD87</f>
        <v>0</v>
      </c>
      <c r="K88" s="928">
        <f>IF(C88=0,0,IF(C88=sales!$D$32,financing!$E$12*financing!$F$11,IF(OR(C88&gt;general!$C$27,C88&lt;sales!$D$32),0,IF((C88-sales!$D$32)/12=ROUND((C88-sales!$D$32)/12,0),financing!$E$12*financing!$F$11,0))))</f>
        <v>0</v>
      </c>
      <c r="L88" s="928"/>
      <c r="M88" s="928">
        <f t="shared" si="73"/>
        <v>0</v>
      </c>
      <c r="N88" s="946"/>
      <c r="O88" s="946">
        <f>IF(D88=general!$D$21,financing!$F$30,0)</f>
        <v>0</v>
      </c>
      <c r="P88" s="946">
        <f>+MIN(IF(D88&lt;=general!$D$24,SUM(F$6:F88)-SUM(P$6:P87),reserves!F88),AR87)</f>
        <v>0</v>
      </c>
      <c r="Q88" s="946">
        <f>+MAX(MIN(SUM(G$6:$G88)-R88,AN87,SUM(G$6:$G88)-SUM(Q$6:Q87)),0)</f>
        <v>0</v>
      </c>
      <c r="R88" s="946">
        <f>+IF(C88&gt;=sales!$D$36,'Development Cash Flow'!AL88,0)</f>
        <v>0</v>
      </c>
      <c r="S88" s="931">
        <f>IF(AND(A88=$A$5,C88&lt;financing!$D$55),M88-SUM(P88:R88,O88),MIN(M88-SUM(P88:R88,O88),financing!$F$10-SUM(S$5:S87)))</f>
        <v>0</v>
      </c>
      <c r="T88" s="931">
        <f>+MAX(MIN(IF(C88&gt;=financing!$D$55,M88-SUM(P88:S88)-J88,0),financing!$D$57-SUM(T$5:T87)),0)</f>
        <v>0</v>
      </c>
      <c r="U88" s="931">
        <f>+MAX(IF(C88&gt;=general!$C$23,M88-SUM(P88:T88),0)+IF(C88=general!$C$23,reserves!AZ87+AY88,0),0)</f>
        <v>0</v>
      </c>
      <c r="V88" s="946"/>
      <c r="W88" s="946">
        <f>SUMPRODUCT(--($C88=sales!$C$50:$C$54),sales!$F$50:$F$54)</f>
        <v>0</v>
      </c>
      <c r="X88" s="946">
        <f t="shared" si="44"/>
        <v>0</v>
      </c>
      <c r="Y88" s="946">
        <f t="shared" si="57"/>
        <v>0</v>
      </c>
      <c r="Z88" s="946">
        <f t="shared" si="45"/>
        <v>0</v>
      </c>
      <c r="AA88" s="946"/>
      <c r="AB88" s="932">
        <f>IF(C88=sales!$D$22,sales!$I$22,0)+IF(C88=sales!$D$23,sales!$I$23,0)+IF(C88=sales!$D$24,sales!$I$24,0)+IF(C88=sales!$D$25,sales!$I$25,0)+IF(C88=sales!$D$26,sales!$I$26,0)+IF(C88=sales!$D$27,sales!$I$27,0)</f>
        <v>0</v>
      </c>
      <c r="AC88" s="946"/>
      <c r="AD88" s="931">
        <f t="shared" si="58"/>
        <v>0</v>
      </c>
      <c r="AE88" s="932"/>
      <c r="AF88" s="932">
        <f t="shared" si="71"/>
        <v>0</v>
      </c>
      <c r="AG88" s="932">
        <f t="shared" si="72"/>
        <v>0</v>
      </c>
      <c r="AH88" s="931">
        <f t="shared" si="54"/>
        <v>0</v>
      </c>
      <c r="AI88" s="932"/>
      <c r="AJ88" s="931">
        <f t="shared" si="55"/>
        <v>0</v>
      </c>
      <c r="AK88" s="946"/>
      <c r="AL88" s="947">
        <f>+IF(financing!$C$12="YES",'Development Cash Flow'!M88,0)</f>
        <v>0</v>
      </c>
      <c r="AM88" s="947">
        <f t="shared" si="59"/>
        <v>0</v>
      </c>
      <c r="AN88" s="947">
        <f t="shared" si="46"/>
        <v>0</v>
      </c>
      <c r="AO88" s="946"/>
      <c r="AP88" s="947">
        <f>+SUM('Development Cash Flow'!G88:J88)-'Development Cash Flow'!M88</f>
        <v>0</v>
      </c>
      <c r="AQ88" s="947">
        <f t="shared" si="60"/>
        <v>0</v>
      </c>
      <c r="AR88" s="947">
        <f t="shared" si="47"/>
        <v>0</v>
      </c>
      <c r="AS88" s="946"/>
      <c r="AT88" s="947">
        <f t="shared" si="48"/>
        <v>0</v>
      </c>
      <c r="AU88" s="947">
        <f t="shared" si="49"/>
        <v>0</v>
      </c>
      <c r="AV88" s="948">
        <f t="shared" si="50"/>
        <v>0</v>
      </c>
      <c r="AW88" s="946"/>
      <c r="AX88" s="947">
        <f t="shared" si="61"/>
        <v>0</v>
      </c>
      <c r="AY88" s="947">
        <f>+AZ87*financing!$E$30/12</f>
        <v>0</v>
      </c>
      <c r="AZ88" s="947">
        <f t="shared" si="51"/>
        <v>0</v>
      </c>
      <c r="BA88" s="946"/>
      <c r="BB88" s="947">
        <f t="shared" si="62"/>
        <v>0</v>
      </c>
      <c r="BC88" s="947">
        <f>+IF(AND(BD87+BB88+MAX(BD87*financing!$E$15/12,financing!$D$59-SUM(reserves!BC$6:BC87)-SUM(J$6:J88))-reserves!AD88&lt;=0,financing!$D$58&gt;=0),MAX(BD87*financing!$E$15/12,financing!$D$59-SUM(reserves!BC$6:BC87)-SUM(J$6:J88)),BD87*financing!$E$15/12)</f>
        <v>0</v>
      </c>
      <c r="BD88" s="947">
        <f t="shared" si="67"/>
        <v>0</v>
      </c>
      <c r="BE88" s="946"/>
      <c r="BF88" s="947">
        <f t="shared" si="52"/>
        <v>0</v>
      </c>
      <c r="BG88" s="947">
        <f>+IF(AND(BH87+BF88+MAX((BH87*(LIBOR!AA89)*(D88-D87)/360)+BY88,financing!$C$16-SUM(reserves!BG$6:BG87))-reserves!AD88&lt;=0,financing!$L$17&gt;=0),MAX((BH87*(LIBOR!AA89)*(D88-D87)/360)+BY88,financing!$C$16-SUM(reserves!BG$6:BG87)),(BH87*(LIBOR!AA89)*(D88-D87)/360)+BY88)</f>
        <v>0</v>
      </c>
      <c r="BH88" s="947">
        <f t="shared" si="53"/>
        <v>0</v>
      </c>
      <c r="BI88" s="946"/>
      <c r="BJ88" s="937"/>
      <c r="BK88" s="938">
        <f t="shared" si="68"/>
        <v>0</v>
      </c>
      <c r="BL88" s="939">
        <f>-S88+AJ88+AF88-AX88+AH88+AG88-BB88-BF88+'Development Cash Flow'!Y88</f>
        <v>0</v>
      </c>
      <c r="BM88" s="940"/>
      <c r="BN88" s="941">
        <f t="shared" si="63"/>
        <v>0</v>
      </c>
      <c r="BO88" s="940"/>
      <c r="BP88" s="942">
        <f t="shared" si="64"/>
        <v>0</v>
      </c>
      <c r="BS88" s="949" t="e">
        <f t="shared" si="69"/>
        <v>#DIV/0!</v>
      </c>
      <c r="BT88" s="922">
        <f>+IF(SUM(BT$5:BT87)&lt;1,IF(BU88=MAX($BU$6:$BU$54),1,0),0)</f>
        <v>0</v>
      </c>
      <c r="BU88" s="922">
        <f t="shared" si="70"/>
        <v>4000000</v>
      </c>
      <c r="BV88" s="943" t="str">
        <f t="shared" si="65"/>
        <v/>
      </c>
      <c r="BW88" s="922" t="str">
        <f t="shared" si="66"/>
        <v/>
      </c>
      <c r="BY88" s="208">
        <f>ROUND(IF(A88="Dev",IF(AND(BK88&gt;general!$D$23,SUM($BZ$6:$BZ87)&lt;1,financing!$L$15&gt;BH87+BF88),financing!$L$16*(BK88-BK87)/360*(financing!$L$15-BH87-BF88),0),0),-2)</f>
        <v>0</v>
      </c>
      <c r="BZ88" s="909">
        <f>+IF(AND(BH88&gt;=financing!$L$15,SUM(BZ$6:BZ87)=0),1,0)</f>
        <v>0</v>
      </c>
      <c r="CA88" s="950">
        <f t="shared" si="56"/>
        <v>0</v>
      </c>
      <c r="CD88" s="909">
        <f>SUM($S$6:S88)</f>
        <v>4000000</v>
      </c>
      <c r="CF88" s="208">
        <f>+IF(C88&lt;general!$C$22,0,IF(AND(C88=general!$C$22,OR(A88="Pred",A88="Dev")),SUM(S$6:S88),S88))</f>
        <v>0</v>
      </c>
    </row>
    <row r="89" spans="1:84" ht="16" hidden="1" outlineLevel="2">
      <c r="A89" s="906" t="str">
        <f>+'Development Cash Flow'!A89</f>
        <v>post dev</v>
      </c>
      <c r="B89" s="908"/>
      <c r="C89" s="944">
        <f>IF('Development Cash Flow'!D88&lt;general!$D$28,'Development Cash Flow'!C88+1,0)</f>
        <v>0</v>
      </c>
      <c r="D89" s="945">
        <f t="shared" si="23"/>
        <v>48791</v>
      </c>
      <c r="E89" s="945"/>
      <c r="F89" s="928">
        <f>'Development Cash Flow'!P89*D$4+SUM('Development Cash Flow'!Q89:T89)*F$4</f>
        <v>0</v>
      </c>
      <c r="G89" s="928">
        <f>'Development Cash Flow'!AL89-F89</f>
        <v>0</v>
      </c>
      <c r="H89" s="928"/>
      <c r="I89" s="928"/>
      <c r="J89" s="931">
        <f>+financing!$D$54/12*reserves!BD88</f>
        <v>0</v>
      </c>
      <c r="K89" s="928">
        <f>IF(C89=0,0,IF(C89=sales!$D$32,financing!$E$12*financing!$F$11,IF(OR(C89&gt;general!$C$27,C89&lt;sales!$D$32),0,IF((C89-sales!$D$32)/12=ROUND((C89-sales!$D$32)/12,0),financing!$E$12*financing!$F$11,0))))</f>
        <v>0</v>
      </c>
      <c r="L89" s="928"/>
      <c r="M89" s="928">
        <f t="shared" si="73"/>
        <v>0</v>
      </c>
      <c r="N89" s="946"/>
      <c r="O89" s="946">
        <f>IF(D89=general!$D$21,financing!$F$30,0)</f>
        <v>0</v>
      </c>
      <c r="P89" s="946">
        <f>+MIN(IF(D89&lt;=general!$D$24,SUM(F$6:F89)-SUM(P$6:P88),reserves!F89),AR88)</f>
        <v>0</v>
      </c>
      <c r="Q89" s="946">
        <f>+MAX(MIN(SUM(G$6:$G89)-R89,AN88,SUM(G$6:$G89)-SUM(Q$6:Q88)),0)</f>
        <v>0</v>
      </c>
      <c r="R89" s="946">
        <f>+IF(C89&gt;=sales!$D$36,'Development Cash Flow'!AL89,0)</f>
        <v>0</v>
      </c>
      <c r="S89" s="931">
        <f>IF(AND(A89=$A$5,C89&lt;financing!$D$55),M89-SUM(P89:R89,O89),MIN(M89-SUM(P89:R89,O89),financing!$F$10-SUM(S$5:S88)))</f>
        <v>0</v>
      </c>
      <c r="T89" s="931">
        <f>+MAX(MIN(IF(C89&gt;=financing!$D$55,M89-SUM(P89:S89)-J89,0),financing!$D$57-SUM(T$5:T88)),0)</f>
        <v>0</v>
      </c>
      <c r="U89" s="931">
        <f>+MAX(IF(C89&gt;=general!$C$23,M89-SUM(P89:T89),0)+IF(C89=general!$C$23,reserves!AZ88+AY89,0),0)</f>
        <v>0</v>
      </c>
      <c r="V89" s="946"/>
      <c r="W89" s="946">
        <f>SUMPRODUCT(--($C89=sales!$C$50:$C$54),sales!$F$50:$F$54)</f>
        <v>0</v>
      </c>
      <c r="X89" s="946">
        <f t="shared" si="44"/>
        <v>0</v>
      </c>
      <c r="Y89" s="946">
        <f t="shared" si="57"/>
        <v>0</v>
      </c>
      <c r="Z89" s="946">
        <f t="shared" si="45"/>
        <v>0</v>
      </c>
      <c r="AA89" s="946"/>
      <c r="AB89" s="932">
        <f>IF(C89=sales!$D$22,sales!$I$22,0)+IF(C89=sales!$D$23,sales!$I$23,0)+IF(C89=sales!$D$24,sales!$I$24,0)+IF(C89=sales!$D$25,sales!$I$25,0)+IF(C89=sales!$D$26,sales!$I$26,0)+IF(C89=sales!$D$27,sales!$I$27,0)</f>
        <v>0</v>
      </c>
      <c r="AC89" s="946"/>
      <c r="AD89" s="931">
        <f t="shared" si="58"/>
        <v>0</v>
      </c>
      <c r="AE89" s="932"/>
      <c r="AF89" s="932">
        <f t="shared" si="71"/>
        <v>0</v>
      </c>
      <c r="AG89" s="932">
        <f t="shared" si="72"/>
        <v>0</v>
      </c>
      <c r="AH89" s="931">
        <f t="shared" si="54"/>
        <v>0</v>
      </c>
      <c r="AI89" s="932"/>
      <c r="AJ89" s="931">
        <f t="shared" si="55"/>
        <v>0</v>
      </c>
      <c r="AK89" s="946"/>
      <c r="AL89" s="947">
        <f>+IF(financing!$C$12="YES",'Development Cash Flow'!M89,0)</f>
        <v>0</v>
      </c>
      <c r="AM89" s="947">
        <f t="shared" si="59"/>
        <v>0</v>
      </c>
      <c r="AN89" s="947">
        <f t="shared" si="46"/>
        <v>0</v>
      </c>
      <c r="AO89" s="946"/>
      <c r="AP89" s="947">
        <f>+SUM('Development Cash Flow'!G89:J89)-'Development Cash Flow'!M89</f>
        <v>0</v>
      </c>
      <c r="AQ89" s="947">
        <f t="shared" si="60"/>
        <v>0</v>
      </c>
      <c r="AR89" s="947">
        <f t="shared" si="47"/>
        <v>0</v>
      </c>
      <c r="AS89" s="946"/>
      <c r="AT89" s="947">
        <f t="shared" si="48"/>
        <v>0</v>
      </c>
      <c r="AU89" s="947">
        <f t="shared" si="49"/>
        <v>0</v>
      </c>
      <c r="AV89" s="948">
        <f t="shared" si="50"/>
        <v>0</v>
      </c>
      <c r="AW89" s="946"/>
      <c r="AX89" s="947">
        <f t="shared" si="61"/>
        <v>0</v>
      </c>
      <c r="AY89" s="947">
        <f>+AZ88*financing!$E$30/12</f>
        <v>0</v>
      </c>
      <c r="AZ89" s="947">
        <f t="shared" si="51"/>
        <v>0</v>
      </c>
      <c r="BA89" s="946"/>
      <c r="BB89" s="947">
        <f t="shared" si="62"/>
        <v>0</v>
      </c>
      <c r="BC89" s="947">
        <f>+IF(AND(BD88+BB89+MAX(BD88*financing!$E$15/12,financing!$D$59-SUM(reserves!BC$6:BC88)-SUM(J$6:J89))-reserves!AD89&lt;=0,financing!$D$58&gt;=0),MAX(BD88*financing!$E$15/12,financing!$D$59-SUM(reserves!BC$6:BC88)-SUM(J$6:J89)),BD88*financing!$E$15/12)</f>
        <v>0</v>
      </c>
      <c r="BD89" s="947">
        <f t="shared" si="67"/>
        <v>0</v>
      </c>
      <c r="BE89" s="946"/>
      <c r="BF89" s="947">
        <f t="shared" si="52"/>
        <v>0</v>
      </c>
      <c r="BG89" s="947">
        <f>+IF(AND(BH88+BF89+MAX((BH88*(LIBOR!AA90)*(D89-D88)/360)+BY89,financing!$C$16-SUM(reserves!BG$6:BG88))-reserves!AD89&lt;=0,financing!$L$17&gt;=0),MAX((BH88*(LIBOR!AA90)*(D89-D88)/360)+BY89,financing!$C$16-SUM(reserves!BG$6:BG88)),(BH88*(LIBOR!AA90)*(D89-D88)/360)+BY89)</f>
        <v>0</v>
      </c>
      <c r="BH89" s="947">
        <f t="shared" si="53"/>
        <v>0</v>
      </c>
      <c r="BI89" s="946"/>
      <c r="BJ89" s="937"/>
      <c r="BK89" s="938">
        <f t="shared" si="68"/>
        <v>0</v>
      </c>
      <c r="BL89" s="939">
        <f>-S89+AJ89+AF89-AX89+AH89+AG89-BB89-BF89+'Development Cash Flow'!Y89</f>
        <v>0</v>
      </c>
      <c r="BM89" s="940"/>
      <c r="BN89" s="941">
        <f t="shared" si="63"/>
        <v>0</v>
      </c>
      <c r="BO89" s="940"/>
      <c r="BP89" s="942">
        <f t="shared" si="64"/>
        <v>0</v>
      </c>
      <c r="BS89" s="949" t="e">
        <f t="shared" si="69"/>
        <v>#DIV/0!</v>
      </c>
      <c r="BT89" s="922">
        <f>+IF(SUM(BT$5:BT88)&lt;1,IF(BU89=MAX($BU$6:$BU$54),1,0),0)</f>
        <v>0</v>
      </c>
      <c r="BU89" s="922">
        <f t="shared" si="70"/>
        <v>4000000</v>
      </c>
      <c r="BV89" s="943" t="str">
        <f t="shared" si="65"/>
        <v/>
      </c>
      <c r="BW89" s="922" t="str">
        <f t="shared" si="66"/>
        <v/>
      </c>
      <c r="BY89" s="208">
        <f>ROUND(IF(A89="Dev",IF(AND(BK89&gt;general!$D$23,SUM($BZ$6:$BZ88)&lt;1,financing!$L$15&gt;BH88+BF89),financing!$L$16*(BK89-BK88)/360*(financing!$L$15-BH88-BF89),0),0),-2)</f>
        <v>0</v>
      </c>
      <c r="BZ89" s="909">
        <f>+IF(AND(BH89&gt;=financing!$L$15,SUM(BZ$6:BZ88)=0),1,0)</f>
        <v>0</v>
      </c>
      <c r="CA89" s="950">
        <f t="shared" si="56"/>
        <v>0</v>
      </c>
      <c r="CD89" s="909">
        <f>SUM($S$6:S89)</f>
        <v>4000000</v>
      </c>
      <c r="CF89" s="208">
        <f>+IF(C89&lt;general!$C$22,0,IF(AND(C89=general!$C$22,OR(A89="Pred",A89="Dev")),SUM(S$6:S89),S89))</f>
        <v>0</v>
      </c>
    </row>
    <row r="90" spans="1:84" ht="16" hidden="1" outlineLevel="2">
      <c r="A90" s="906" t="str">
        <f>+'Development Cash Flow'!A90</f>
        <v>post dev</v>
      </c>
      <c r="B90" s="908"/>
      <c r="C90" s="944">
        <f>IF('Development Cash Flow'!D89&lt;general!$D$28,'Development Cash Flow'!C89+1,0)</f>
        <v>0</v>
      </c>
      <c r="D90" s="945">
        <f t="shared" si="23"/>
        <v>48822</v>
      </c>
      <c r="E90" s="945"/>
      <c r="F90" s="928">
        <f>'Development Cash Flow'!P90*D$4+SUM('Development Cash Flow'!Q90:T90)*F$4</f>
        <v>0</v>
      </c>
      <c r="G90" s="928">
        <f>'Development Cash Flow'!AL90-F90</f>
        <v>0</v>
      </c>
      <c r="H90" s="928"/>
      <c r="I90" s="928"/>
      <c r="J90" s="931">
        <f>+financing!$D$54/12*reserves!BD89</f>
        <v>0</v>
      </c>
      <c r="K90" s="928">
        <f>IF(C90=0,0,IF(C90=sales!$D$32,financing!$E$12*financing!$F$11,IF(OR(C90&gt;general!$C$27,C90&lt;sales!$D$32),0,IF((C90-sales!$D$32)/12=ROUND((C90-sales!$D$32)/12,0),financing!$E$12*financing!$F$11,0))))</f>
        <v>0</v>
      </c>
      <c r="L90" s="928"/>
      <c r="M90" s="928">
        <f t="shared" si="73"/>
        <v>0</v>
      </c>
      <c r="N90" s="946"/>
      <c r="O90" s="946">
        <f>IF(D90=general!$D$21,financing!$F$30,0)</f>
        <v>0</v>
      </c>
      <c r="P90" s="946">
        <f>+MIN(IF(D90&lt;=general!$D$24,SUM(F$6:F90)-SUM(P$6:P89),reserves!F90),AR89)</f>
        <v>0</v>
      </c>
      <c r="Q90" s="946">
        <f>+MAX(MIN(SUM(G$6:$G90)-R90,AN89,SUM(G$6:$G90)-SUM(Q$6:Q89)),0)</f>
        <v>0</v>
      </c>
      <c r="R90" s="946">
        <f>+IF(C90&gt;=sales!$D$36,'Development Cash Flow'!AL90,0)</f>
        <v>0</v>
      </c>
      <c r="S90" s="931">
        <f>IF(AND(A90=$A$5,C90&lt;financing!$D$55),M90-SUM(P90:R90,O90),MIN(M90-SUM(P90:R90,O90),financing!$F$10-SUM(S$5:S89)))</f>
        <v>0</v>
      </c>
      <c r="T90" s="931">
        <f>+MAX(MIN(IF(C90&gt;=financing!$D$55,M90-SUM(P90:S90)-J90,0),financing!$D$57-SUM(T$5:T89)),0)</f>
        <v>0</v>
      </c>
      <c r="U90" s="931">
        <f>+MAX(IF(C90&gt;=general!$C$23,M90-SUM(P90:T90),0)+IF(C90=general!$C$23,reserves!AZ89+AY90,0),0)</f>
        <v>0</v>
      </c>
      <c r="V90" s="946"/>
      <c r="W90" s="946">
        <f>SUMPRODUCT(--($C90=sales!$C$50:$C$54),sales!$F$50:$F$54)</f>
        <v>0</v>
      </c>
      <c r="X90" s="946">
        <f t="shared" si="44"/>
        <v>0</v>
      </c>
      <c r="Y90" s="946">
        <f t="shared" si="57"/>
        <v>0</v>
      </c>
      <c r="Z90" s="946">
        <f t="shared" si="45"/>
        <v>0</v>
      </c>
      <c r="AA90" s="946"/>
      <c r="AB90" s="932">
        <f>IF(C90=sales!$D$22,sales!$I$22,0)+IF(C90=sales!$D$23,sales!$I$23,0)+IF(C90=sales!$D$24,sales!$I$24,0)+IF(C90=sales!$D$25,sales!$I$25,0)+IF(C90=sales!$D$26,sales!$I$26,0)+IF(C90=sales!$D$27,sales!$I$27,0)</f>
        <v>0</v>
      </c>
      <c r="AC90" s="946"/>
      <c r="AD90" s="931">
        <f t="shared" si="58"/>
        <v>0</v>
      </c>
      <c r="AE90" s="932"/>
      <c r="AF90" s="932">
        <f t="shared" si="71"/>
        <v>0</v>
      </c>
      <c r="AG90" s="932">
        <f t="shared" si="72"/>
        <v>0</v>
      </c>
      <c r="AH90" s="931">
        <f t="shared" si="54"/>
        <v>0</v>
      </c>
      <c r="AI90" s="932"/>
      <c r="AJ90" s="931">
        <f t="shared" si="55"/>
        <v>0</v>
      </c>
      <c r="AK90" s="946"/>
      <c r="AL90" s="947">
        <f>+IF(financing!$C$12="YES",'Development Cash Flow'!M90,0)</f>
        <v>0</v>
      </c>
      <c r="AM90" s="947">
        <f t="shared" si="59"/>
        <v>0</v>
      </c>
      <c r="AN90" s="947">
        <f t="shared" si="46"/>
        <v>0</v>
      </c>
      <c r="AO90" s="946"/>
      <c r="AP90" s="947">
        <f>+SUM('Development Cash Flow'!G90:J90)-'Development Cash Flow'!M90</f>
        <v>0</v>
      </c>
      <c r="AQ90" s="947">
        <f t="shared" si="60"/>
        <v>0</v>
      </c>
      <c r="AR90" s="947">
        <f t="shared" si="47"/>
        <v>0</v>
      </c>
      <c r="AS90" s="946"/>
      <c r="AT90" s="947">
        <f t="shared" si="48"/>
        <v>0</v>
      </c>
      <c r="AU90" s="947">
        <f t="shared" si="49"/>
        <v>0</v>
      </c>
      <c r="AV90" s="948">
        <f t="shared" si="50"/>
        <v>0</v>
      </c>
      <c r="AW90" s="946"/>
      <c r="AX90" s="947">
        <f t="shared" si="61"/>
        <v>0</v>
      </c>
      <c r="AY90" s="947">
        <f>+AZ89*financing!$E$30/12</f>
        <v>0</v>
      </c>
      <c r="AZ90" s="947">
        <f t="shared" si="51"/>
        <v>0</v>
      </c>
      <c r="BA90" s="946"/>
      <c r="BB90" s="947">
        <f t="shared" si="62"/>
        <v>0</v>
      </c>
      <c r="BC90" s="947">
        <f>+IF(AND(BD89+BB90+MAX(BD89*financing!$E$15/12,financing!$D$59-SUM(reserves!BC$6:BC89)-SUM(J$6:J90))-reserves!AD90&lt;=0,financing!$D$58&gt;=0),MAX(BD89*financing!$E$15/12,financing!$D$59-SUM(reserves!BC$6:BC89)-SUM(J$6:J90)),BD89*financing!$E$15/12)</f>
        <v>0</v>
      </c>
      <c r="BD90" s="947">
        <f t="shared" si="67"/>
        <v>0</v>
      </c>
      <c r="BE90" s="946"/>
      <c r="BF90" s="947">
        <f t="shared" si="52"/>
        <v>0</v>
      </c>
      <c r="BG90" s="947">
        <f>+IF(AND(BH89+BF90+MAX((BH89*(LIBOR!AA91)*(D90-D89)/360)+BY90,financing!$C$16-SUM(reserves!BG$6:BG89))-reserves!AD90&lt;=0,financing!$L$17&gt;=0),MAX((BH89*(LIBOR!AA91)*(D90-D89)/360)+BY90,financing!$C$16-SUM(reserves!BG$6:BG89)),(BH89*(LIBOR!AA91)*(D90-D89)/360)+BY90)</f>
        <v>0</v>
      </c>
      <c r="BH90" s="947">
        <f t="shared" si="53"/>
        <v>0</v>
      </c>
      <c r="BI90" s="946"/>
      <c r="BJ90" s="937"/>
      <c r="BK90" s="938">
        <f t="shared" si="68"/>
        <v>0</v>
      </c>
      <c r="BL90" s="939">
        <f>-S90+AJ90+AF90-AX90+AH90+AG90-BB90-BF90+'Development Cash Flow'!Y90</f>
        <v>0</v>
      </c>
      <c r="BM90" s="940"/>
      <c r="BN90" s="941">
        <f t="shared" si="63"/>
        <v>0</v>
      </c>
      <c r="BO90" s="940"/>
      <c r="BP90" s="942">
        <f t="shared" si="64"/>
        <v>0</v>
      </c>
      <c r="BS90" s="949" t="e">
        <f t="shared" si="69"/>
        <v>#DIV/0!</v>
      </c>
      <c r="BT90" s="922">
        <f>+IF(SUM(BT$5:BT89)&lt;1,IF(BU90=MAX($BU$6:$BU$54),1,0),0)</f>
        <v>0</v>
      </c>
      <c r="BU90" s="922">
        <f t="shared" si="70"/>
        <v>4000000</v>
      </c>
      <c r="BV90" s="943" t="str">
        <f t="shared" si="65"/>
        <v/>
      </c>
      <c r="BW90" s="922" t="str">
        <f t="shared" si="66"/>
        <v/>
      </c>
      <c r="BY90" s="208">
        <f>ROUND(IF(A90="Dev",IF(AND(BK90&gt;general!$D$23,SUM($BZ$6:$BZ89)&lt;1,financing!$L$15&gt;BH89+BF90),financing!$L$16*(BK90-BK89)/360*(financing!$L$15-BH89-BF90),0),0),-2)</f>
        <v>0</v>
      </c>
      <c r="BZ90" s="909">
        <f>+IF(AND(BH90&gt;=financing!$L$15,SUM(BZ$6:BZ89)=0),1,0)</f>
        <v>0</v>
      </c>
      <c r="CA90" s="950">
        <f t="shared" si="56"/>
        <v>0</v>
      </c>
      <c r="CD90" s="909">
        <f>SUM($S$6:S90)</f>
        <v>4000000</v>
      </c>
      <c r="CF90" s="208">
        <f>+IF(C90&lt;general!$C$22,0,IF(AND(C90=general!$C$22,OR(A90="Pred",A90="Dev")),SUM(S$6:S90),S90))</f>
        <v>0</v>
      </c>
    </row>
    <row r="91" spans="1:84" ht="16" hidden="1" outlineLevel="2">
      <c r="A91" s="906" t="str">
        <f>+'Development Cash Flow'!A91</f>
        <v>post dev</v>
      </c>
      <c r="B91" s="908"/>
      <c r="C91" s="944">
        <f>IF('Development Cash Flow'!D90&lt;general!$D$28,'Development Cash Flow'!C90+1,0)</f>
        <v>0</v>
      </c>
      <c r="D91" s="945">
        <f t="shared" si="23"/>
        <v>48852</v>
      </c>
      <c r="E91" s="945"/>
      <c r="F91" s="928">
        <f>'Development Cash Flow'!P91*D$4+SUM('Development Cash Flow'!Q91:T91)*F$4</f>
        <v>0</v>
      </c>
      <c r="G91" s="928">
        <f>'Development Cash Flow'!AL91-F91</f>
        <v>0</v>
      </c>
      <c r="H91" s="928"/>
      <c r="I91" s="928"/>
      <c r="J91" s="931">
        <f>+financing!$D$54/12*reserves!BD90</f>
        <v>0</v>
      </c>
      <c r="K91" s="928">
        <f>IF(C91=0,0,IF(C91=sales!$D$32,financing!$E$12*financing!$F$11,IF(OR(C91&gt;general!$C$27,C91&lt;sales!$D$32),0,IF((C91-sales!$D$32)/12=ROUND((C91-sales!$D$32)/12,0),financing!$E$12*financing!$F$11,0))))</f>
        <v>0</v>
      </c>
      <c r="L91" s="928"/>
      <c r="M91" s="928">
        <f t="shared" si="73"/>
        <v>0</v>
      </c>
      <c r="N91" s="946"/>
      <c r="O91" s="946">
        <f>IF(D91=general!$D$21,financing!$F$30,0)</f>
        <v>0</v>
      </c>
      <c r="P91" s="946">
        <f>+MIN(IF(D91&lt;=general!$D$24,SUM(F$6:F91)-SUM(P$6:P90),reserves!F91),AR90)</f>
        <v>0</v>
      </c>
      <c r="Q91" s="946">
        <f>+MAX(MIN(SUM(G$6:$G91)-R91,AN90,SUM(G$6:$G91)-SUM(Q$6:Q90)),0)</f>
        <v>0</v>
      </c>
      <c r="R91" s="946">
        <f>+IF(C91&gt;=sales!$D$36,'Development Cash Flow'!AL91,0)</f>
        <v>0</v>
      </c>
      <c r="S91" s="931">
        <f>IF(AND(A91=$A$5,C91&lt;financing!$D$55),M91-SUM(P91:R91,O91),MIN(M91-SUM(P91:R91,O91),financing!$F$10-SUM(S$5:S90)))</f>
        <v>0</v>
      </c>
      <c r="T91" s="931">
        <f>+MAX(MIN(IF(C91&gt;=financing!$D$55,M91-SUM(P91:S91)-J91,0),financing!$D$57-SUM(T$5:T90)),0)</f>
        <v>0</v>
      </c>
      <c r="U91" s="931">
        <f>+MAX(IF(C91&gt;=general!$C$23,M91-SUM(P91:T91),0)+IF(C91=general!$C$23,reserves!AZ90+AY91,0),0)</f>
        <v>0</v>
      </c>
      <c r="V91" s="946"/>
      <c r="W91" s="946">
        <f>SUMPRODUCT(--($C91=sales!$C$50:$C$54),sales!$F$50:$F$54)</f>
        <v>0</v>
      </c>
      <c r="X91" s="946">
        <f t="shared" si="44"/>
        <v>0</v>
      </c>
      <c r="Y91" s="946">
        <f t="shared" si="57"/>
        <v>0</v>
      </c>
      <c r="Z91" s="946">
        <f t="shared" si="45"/>
        <v>0</v>
      </c>
      <c r="AA91" s="946"/>
      <c r="AB91" s="932">
        <f>IF(C91=sales!$D$22,sales!$I$22,0)+IF(C91=sales!$D$23,sales!$I$23,0)+IF(C91=sales!$D$24,sales!$I$24,0)+IF(C91=sales!$D$25,sales!$I$25,0)+IF(C91=sales!$D$26,sales!$I$26,0)+IF(C91=sales!$D$27,sales!$I$27,0)</f>
        <v>0</v>
      </c>
      <c r="AC91" s="946"/>
      <c r="AD91" s="931">
        <f t="shared" si="58"/>
        <v>0</v>
      </c>
      <c r="AE91" s="932"/>
      <c r="AF91" s="932">
        <f t="shared" si="71"/>
        <v>0</v>
      </c>
      <c r="AG91" s="932">
        <f t="shared" si="72"/>
        <v>0</v>
      </c>
      <c r="AH91" s="931">
        <f t="shared" si="54"/>
        <v>0</v>
      </c>
      <c r="AI91" s="932"/>
      <c r="AJ91" s="931">
        <f t="shared" si="55"/>
        <v>0</v>
      </c>
      <c r="AK91" s="946"/>
      <c r="AL91" s="947">
        <f>+IF(financing!$C$12="YES",'Development Cash Flow'!M91,0)</f>
        <v>0</v>
      </c>
      <c r="AM91" s="947">
        <f t="shared" si="59"/>
        <v>0</v>
      </c>
      <c r="AN91" s="947">
        <f t="shared" si="46"/>
        <v>0</v>
      </c>
      <c r="AO91" s="946"/>
      <c r="AP91" s="947">
        <f>+SUM('Development Cash Flow'!G91:J91)-'Development Cash Flow'!M91</f>
        <v>0</v>
      </c>
      <c r="AQ91" s="947">
        <f t="shared" si="60"/>
        <v>0</v>
      </c>
      <c r="AR91" s="947">
        <f t="shared" si="47"/>
        <v>0</v>
      </c>
      <c r="AS91" s="946"/>
      <c r="AT91" s="947">
        <f t="shared" si="48"/>
        <v>0</v>
      </c>
      <c r="AU91" s="947">
        <f t="shared" si="49"/>
        <v>0</v>
      </c>
      <c r="AV91" s="948">
        <f t="shared" si="50"/>
        <v>0</v>
      </c>
      <c r="AW91" s="946"/>
      <c r="AX91" s="947">
        <f t="shared" si="61"/>
        <v>0</v>
      </c>
      <c r="AY91" s="947">
        <f>+AZ90*financing!$E$30/12</f>
        <v>0</v>
      </c>
      <c r="AZ91" s="947">
        <f t="shared" si="51"/>
        <v>0</v>
      </c>
      <c r="BA91" s="946"/>
      <c r="BB91" s="947">
        <f t="shared" si="62"/>
        <v>0</v>
      </c>
      <c r="BC91" s="947">
        <f>+IF(AND(BD90+BB91+MAX(BD90*financing!$E$15/12,financing!$D$59-SUM(reserves!BC$6:BC90)-SUM(J$6:J91))-reserves!AD91&lt;=0,financing!$D$58&gt;=0),MAX(BD90*financing!$E$15/12,financing!$D$59-SUM(reserves!BC$6:BC90)-SUM(J$6:J91)),BD90*financing!$E$15/12)</f>
        <v>0</v>
      </c>
      <c r="BD91" s="947">
        <f t="shared" si="67"/>
        <v>0</v>
      </c>
      <c r="BE91" s="946"/>
      <c r="BF91" s="947">
        <f t="shared" si="52"/>
        <v>0</v>
      </c>
      <c r="BG91" s="947">
        <f>+IF(AND(BH90+BF91+MAX((BH90*(LIBOR!AA92)*(D91-D90)/360)+BY91,financing!$C$16-SUM(reserves!BG$6:BG90))-reserves!AD91&lt;=0,financing!$L$17&gt;=0),MAX((BH90*(LIBOR!AA92)*(D91-D90)/360)+BY91,financing!$C$16-SUM(reserves!BG$6:BG90)),(BH90*(LIBOR!AA92)*(D91-D90)/360)+BY91)</f>
        <v>0</v>
      </c>
      <c r="BH91" s="947">
        <f t="shared" si="53"/>
        <v>0</v>
      </c>
      <c r="BI91" s="946"/>
      <c r="BJ91" s="937"/>
      <c r="BK91" s="938">
        <f t="shared" si="68"/>
        <v>0</v>
      </c>
      <c r="BL91" s="939">
        <f>-S91+AJ91+AF91-AX91+AH91+AG91-BB91-BF91+'Development Cash Flow'!Y91</f>
        <v>0</v>
      </c>
      <c r="BM91" s="940"/>
      <c r="BN91" s="941">
        <f t="shared" si="63"/>
        <v>0</v>
      </c>
      <c r="BO91" s="940"/>
      <c r="BP91" s="942">
        <f t="shared" si="64"/>
        <v>0</v>
      </c>
      <c r="BS91" s="949" t="e">
        <f t="shared" si="69"/>
        <v>#DIV/0!</v>
      </c>
      <c r="BT91" s="922">
        <f>+IF(SUM(BT$5:BT90)&lt;1,IF(BU91=MAX($BU$6:$BU$54),1,0),0)</f>
        <v>0</v>
      </c>
      <c r="BU91" s="922">
        <f t="shared" si="70"/>
        <v>4000000</v>
      </c>
      <c r="BV91" s="943" t="str">
        <f t="shared" si="65"/>
        <v/>
      </c>
      <c r="BW91" s="922" t="str">
        <f t="shared" si="66"/>
        <v/>
      </c>
      <c r="BY91" s="208">
        <f>ROUND(IF(A91="Dev",IF(AND(BK91&gt;general!$D$23,SUM($BZ$6:$BZ90)&lt;1,financing!$L$15&gt;BH90+BF91),financing!$L$16*(BK91-BK90)/360*(financing!$L$15-BH90-BF91),0),0),-2)</f>
        <v>0</v>
      </c>
      <c r="BZ91" s="909">
        <f>+IF(AND(BH91&gt;=financing!$L$15,SUM(BZ$6:BZ90)=0),1,0)</f>
        <v>0</v>
      </c>
      <c r="CA91" s="950">
        <f t="shared" si="56"/>
        <v>0</v>
      </c>
      <c r="CD91" s="909">
        <f>SUM($S$6:S91)</f>
        <v>4000000</v>
      </c>
      <c r="CF91" s="208">
        <f>+IF(C91&lt;general!$C$22,0,IF(AND(C91=general!$C$22,OR(A91="Pred",A91="Dev")),SUM(S$6:S91),S91))</f>
        <v>0</v>
      </c>
    </row>
    <row r="92" spans="1:84" ht="16" hidden="1" outlineLevel="2">
      <c r="A92" s="906" t="str">
        <f>+'Development Cash Flow'!A92</f>
        <v>post dev</v>
      </c>
      <c r="B92" s="908"/>
      <c r="C92" s="944">
        <f>IF('Development Cash Flow'!D91&lt;general!$D$28,'Development Cash Flow'!C91+1,0)</f>
        <v>0</v>
      </c>
      <c r="D92" s="945">
        <f t="shared" si="23"/>
        <v>48883</v>
      </c>
      <c r="E92" s="945"/>
      <c r="F92" s="928">
        <f>'Development Cash Flow'!P92*D$4+SUM('Development Cash Flow'!Q92:T92)*F$4</f>
        <v>0</v>
      </c>
      <c r="G92" s="928">
        <f>'Development Cash Flow'!AL92-F92</f>
        <v>0</v>
      </c>
      <c r="H92" s="928"/>
      <c r="I92" s="928"/>
      <c r="J92" s="931">
        <f>+financing!$D$54/12*reserves!BD91</f>
        <v>0</v>
      </c>
      <c r="K92" s="928">
        <f>IF(C92=0,0,IF(C92=sales!$D$32,financing!$E$12*financing!$F$11,IF(OR(C92&gt;general!$C$27,C92&lt;sales!$D$32),0,IF((C92-sales!$D$32)/12=ROUND((C92-sales!$D$32)/12,0),financing!$E$12*financing!$F$11,0))))</f>
        <v>0</v>
      </c>
      <c r="L92" s="928"/>
      <c r="M92" s="928">
        <f t="shared" si="73"/>
        <v>0</v>
      </c>
      <c r="N92" s="946"/>
      <c r="O92" s="946">
        <f>IF(D92=general!$D$21,financing!$F$30,0)</f>
        <v>0</v>
      </c>
      <c r="P92" s="946">
        <f>+MIN(IF(D92&lt;=general!$D$24,SUM(F$6:F92)-SUM(P$6:P91),reserves!F92),AR91)</f>
        <v>0</v>
      </c>
      <c r="Q92" s="946">
        <f>+MAX(MIN(SUM(G$6:$G92)-R92,AN91,SUM(G$6:$G92)-SUM(Q$6:Q91)),0)</f>
        <v>0</v>
      </c>
      <c r="R92" s="946">
        <f>+IF(C92&gt;=sales!$D$36,'Development Cash Flow'!AL92,0)</f>
        <v>0</v>
      </c>
      <c r="S92" s="931">
        <f>IF(AND(A92=$A$5,C92&lt;financing!$D$55),M92-SUM(P92:R92,O92),MIN(M92-SUM(P92:R92,O92),financing!$F$10-SUM(S$5:S91)))</f>
        <v>0</v>
      </c>
      <c r="T92" s="931">
        <f>+MAX(MIN(IF(C92&gt;=financing!$D$55,M92-SUM(P92:S92)-J92,0),financing!$D$57-SUM(T$5:T91)),0)</f>
        <v>0</v>
      </c>
      <c r="U92" s="931">
        <f>+MAX(IF(C92&gt;=general!$C$23,M92-SUM(P92:T92),0)+IF(C92=general!$C$23,reserves!AZ91+AY92,0),0)</f>
        <v>0</v>
      </c>
      <c r="V92" s="946"/>
      <c r="W92" s="946">
        <f>SUMPRODUCT(--($C92=sales!$C$50:$C$54),sales!$F$50:$F$54)</f>
        <v>0</v>
      </c>
      <c r="X92" s="946">
        <f t="shared" si="44"/>
        <v>0</v>
      </c>
      <c r="Y92" s="946">
        <f t="shared" si="57"/>
        <v>0</v>
      </c>
      <c r="Z92" s="946">
        <f t="shared" si="45"/>
        <v>0</v>
      </c>
      <c r="AA92" s="946"/>
      <c r="AB92" s="932">
        <f>IF(C92=sales!$D$22,sales!$I$22,0)+IF(C92=sales!$D$23,sales!$I$23,0)+IF(C92=sales!$D$24,sales!$I$24,0)+IF(C92=sales!$D$25,sales!$I$25,0)+IF(C92=sales!$D$26,sales!$I$26,0)+IF(C92=sales!$D$27,sales!$I$27,0)</f>
        <v>0</v>
      </c>
      <c r="AC92" s="946"/>
      <c r="AD92" s="931">
        <f t="shared" si="58"/>
        <v>0</v>
      </c>
      <c r="AE92" s="932"/>
      <c r="AF92" s="932">
        <f t="shared" si="71"/>
        <v>0</v>
      </c>
      <c r="AG92" s="932">
        <f t="shared" si="72"/>
        <v>0</v>
      </c>
      <c r="AH92" s="931">
        <f t="shared" si="54"/>
        <v>0</v>
      </c>
      <c r="AI92" s="932"/>
      <c r="AJ92" s="931">
        <f t="shared" si="55"/>
        <v>0</v>
      </c>
      <c r="AK92" s="946"/>
      <c r="AL92" s="947">
        <f>+IF(financing!$C$12="YES",'Development Cash Flow'!M92,0)</f>
        <v>0</v>
      </c>
      <c r="AM92" s="947">
        <f t="shared" si="59"/>
        <v>0</v>
      </c>
      <c r="AN92" s="947">
        <f t="shared" si="46"/>
        <v>0</v>
      </c>
      <c r="AO92" s="946"/>
      <c r="AP92" s="947">
        <f>+SUM('Development Cash Flow'!G92:J92)-'Development Cash Flow'!M92</f>
        <v>0</v>
      </c>
      <c r="AQ92" s="947">
        <f t="shared" si="60"/>
        <v>0</v>
      </c>
      <c r="AR92" s="947">
        <f t="shared" si="47"/>
        <v>0</v>
      </c>
      <c r="AS92" s="946"/>
      <c r="AT92" s="947">
        <f t="shared" si="48"/>
        <v>0</v>
      </c>
      <c r="AU92" s="947">
        <f t="shared" si="49"/>
        <v>0</v>
      </c>
      <c r="AV92" s="948">
        <f t="shared" si="50"/>
        <v>0</v>
      </c>
      <c r="AW92" s="946"/>
      <c r="AX92" s="947">
        <f t="shared" si="61"/>
        <v>0</v>
      </c>
      <c r="AY92" s="947">
        <f>+AZ91*financing!$E$30/12</f>
        <v>0</v>
      </c>
      <c r="AZ92" s="947">
        <f t="shared" si="51"/>
        <v>0</v>
      </c>
      <c r="BA92" s="946"/>
      <c r="BB92" s="947">
        <f t="shared" si="62"/>
        <v>0</v>
      </c>
      <c r="BC92" s="947">
        <f>+IF(AND(BD91+BB92+MAX(BD91*financing!$E$15/12,financing!$D$59-SUM(reserves!BC$6:BC91)-SUM(J$6:J92))-reserves!AD92&lt;=0,financing!$D$58&gt;=0),MAX(BD91*financing!$E$15/12,financing!$D$59-SUM(reserves!BC$6:BC91)-SUM(J$6:J92)),BD91*financing!$E$15/12)</f>
        <v>0</v>
      </c>
      <c r="BD92" s="947">
        <f t="shared" si="67"/>
        <v>0</v>
      </c>
      <c r="BE92" s="946"/>
      <c r="BF92" s="947">
        <f t="shared" si="52"/>
        <v>0</v>
      </c>
      <c r="BG92" s="947">
        <f>+IF(AND(BH91+BF92+MAX((BH91*(LIBOR!AA93)*(D92-D91)/360)+BY92,financing!$C$16-SUM(reserves!BG$6:BG91))-reserves!AD92&lt;=0,financing!$L$17&gt;=0),MAX((BH91*(LIBOR!AA93)*(D92-D91)/360)+BY92,financing!$C$16-SUM(reserves!BG$6:BG91)),(BH91*(LIBOR!AA93)*(D92-D91)/360)+BY92)</f>
        <v>0</v>
      </c>
      <c r="BH92" s="947">
        <f t="shared" si="53"/>
        <v>0</v>
      </c>
      <c r="BI92" s="946"/>
      <c r="BJ92" s="937"/>
      <c r="BK92" s="938">
        <f t="shared" si="68"/>
        <v>0</v>
      </c>
      <c r="BL92" s="939">
        <f>-S92+AJ92+AF92-AX92+AH92+AG92-BB92-BF92+'Development Cash Flow'!Y92</f>
        <v>0</v>
      </c>
      <c r="BM92" s="940"/>
      <c r="BN92" s="941">
        <f t="shared" si="63"/>
        <v>0</v>
      </c>
      <c r="BO92" s="940"/>
      <c r="BP92" s="942">
        <f t="shared" si="64"/>
        <v>0</v>
      </c>
      <c r="BS92" s="949" t="e">
        <f t="shared" si="69"/>
        <v>#DIV/0!</v>
      </c>
      <c r="BT92" s="922">
        <f>+IF(SUM(BT$5:BT91)&lt;1,IF(BU92=MAX($BU$6:$BU$54),1,0),0)</f>
        <v>0</v>
      </c>
      <c r="BU92" s="922">
        <f t="shared" si="70"/>
        <v>4000000</v>
      </c>
      <c r="BV92" s="943" t="str">
        <f t="shared" si="65"/>
        <v/>
      </c>
      <c r="BW92" s="922" t="str">
        <f t="shared" si="66"/>
        <v/>
      </c>
      <c r="BY92" s="208">
        <f>ROUND(IF(A92="Dev",IF(AND(BK92&gt;general!$D$23,SUM($BZ$6:$BZ91)&lt;1,financing!$L$15&gt;BH91+BF92),financing!$L$16*(BK92-BK91)/360*(financing!$L$15-BH91-BF92),0),0),-2)</f>
        <v>0</v>
      </c>
      <c r="BZ92" s="909">
        <f>+IF(AND(BH92&gt;=financing!$L$15,SUM(BZ$6:BZ91)=0),1,0)</f>
        <v>0</v>
      </c>
      <c r="CA92" s="950">
        <f t="shared" si="56"/>
        <v>0</v>
      </c>
      <c r="CD92" s="909">
        <f>SUM($S$6:S92)</f>
        <v>4000000</v>
      </c>
      <c r="CF92" s="208">
        <f>+IF(C92&lt;general!$C$22,0,IF(AND(C92=general!$C$22,OR(A92="Pred",A92="Dev")),SUM(S$6:S92),S92))</f>
        <v>0</v>
      </c>
    </row>
    <row r="93" spans="1:84" ht="16" hidden="1" outlineLevel="2">
      <c r="A93" s="906" t="str">
        <f>+'Development Cash Flow'!A93</f>
        <v>post dev</v>
      </c>
      <c r="B93" s="908"/>
      <c r="C93" s="944">
        <f>IF('Development Cash Flow'!D92&lt;general!$D$28,'Development Cash Flow'!C92+1,0)</f>
        <v>0</v>
      </c>
      <c r="D93" s="945">
        <f t="shared" si="23"/>
        <v>48913</v>
      </c>
      <c r="E93" s="945"/>
      <c r="F93" s="928">
        <f>'Development Cash Flow'!P93*D$4+SUM('Development Cash Flow'!Q93:T93)*F$4</f>
        <v>0</v>
      </c>
      <c r="G93" s="928">
        <f>'Development Cash Flow'!AL93-F93</f>
        <v>0</v>
      </c>
      <c r="H93" s="928"/>
      <c r="I93" s="928"/>
      <c r="J93" s="931">
        <f>+financing!$D$54/12*reserves!BD92</f>
        <v>0</v>
      </c>
      <c r="K93" s="928">
        <f>IF(C93=0,0,IF(C93=sales!$D$32,financing!$E$12*financing!$F$11,IF(OR(C93&gt;general!$C$27,C93&lt;sales!$D$32),0,IF((C93-sales!$D$32)/12=ROUND((C93-sales!$D$32)/12,0),financing!$E$12*financing!$F$11,0))))</f>
        <v>0</v>
      </c>
      <c r="L93" s="928"/>
      <c r="M93" s="928">
        <f t="shared" si="73"/>
        <v>0</v>
      </c>
      <c r="N93" s="946"/>
      <c r="O93" s="946">
        <f>IF(D93=general!$D$21,financing!$F$30,0)</f>
        <v>0</v>
      </c>
      <c r="P93" s="946">
        <f>+MIN(IF(D93&lt;=general!$D$24,SUM(F$6:F93)-SUM(P$6:P92),reserves!F93),AR92)</f>
        <v>0</v>
      </c>
      <c r="Q93" s="946">
        <f>+MAX(MIN(SUM(G$6:$G93)-R93,AN92,SUM(G$6:$G93)-SUM(Q$6:Q92)),0)</f>
        <v>0</v>
      </c>
      <c r="R93" s="946">
        <f>+IF(C93&gt;=sales!$D$36,'Development Cash Flow'!AL93,0)</f>
        <v>0</v>
      </c>
      <c r="S93" s="931">
        <f>IF(AND(A93=$A$5,C93&lt;financing!$D$55),M93-SUM(P93:R93,O93),MIN(M93-SUM(P93:R93,O93),financing!$F$10-SUM(S$5:S92)))</f>
        <v>0</v>
      </c>
      <c r="T93" s="931">
        <f>+MAX(MIN(IF(C93&gt;=financing!$D$55,M93-SUM(P93:S93)-J93,0),financing!$D$57-SUM(T$5:T92)),0)</f>
        <v>0</v>
      </c>
      <c r="U93" s="931">
        <f>+MAX(IF(C93&gt;=general!$C$23,M93-SUM(P93:T93),0)+IF(C93=general!$C$23,reserves!AZ92+AY93,0),0)</f>
        <v>0</v>
      </c>
      <c r="V93" s="946"/>
      <c r="W93" s="946">
        <f>SUMPRODUCT(--($C93=sales!$C$50:$C$54),sales!$F$50:$F$54)</f>
        <v>0</v>
      </c>
      <c r="X93" s="946">
        <f t="shared" si="44"/>
        <v>0</v>
      </c>
      <c r="Y93" s="946">
        <f t="shared" si="57"/>
        <v>0</v>
      </c>
      <c r="Z93" s="946">
        <f t="shared" si="45"/>
        <v>0</v>
      </c>
      <c r="AA93" s="946"/>
      <c r="AB93" s="932">
        <f>IF(C93=sales!$D$22,sales!$I$22,0)+IF(C93=sales!$D$23,sales!$I$23,0)+IF(C93=sales!$D$24,sales!$I$24,0)+IF(C93=sales!$D$25,sales!$I$25,0)+IF(C93=sales!$D$26,sales!$I$26,0)+IF(C93=sales!$D$27,sales!$I$27,0)</f>
        <v>0</v>
      </c>
      <c r="AC93" s="946"/>
      <c r="AD93" s="931">
        <f t="shared" si="58"/>
        <v>0</v>
      </c>
      <c r="AE93" s="932"/>
      <c r="AF93" s="932">
        <f t="shared" si="71"/>
        <v>0</v>
      </c>
      <c r="AG93" s="932">
        <f t="shared" si="72"/>
        <v>0</v>
      </c>
      <c r="AH93" s="931">
        <f t="shared" si="54"/>
        <v>0</v>
      </c>
      <c r="AI93" s="932"/>
      <c r="AJ93" s="931">
        <f t="shared" si="55"/>
        <v>0</v>
      </c>
      <c r="AK93" s="946"/>
      <c r="AL93" s="947">
        <f>+IF(financing!$C$12="YES",'Development Cash Flow'!M93,0)</f>
        <v>0</v>
      </c>
      <c r="AM93" s="947">
        <f t="shared" si="59"/>
        <v>0</v>
      </c>
      <c r="AN93" s="947">
        <f t="shared" si="46"/>
        <v>0</v>
      </c>
      <c r="AO93" s="946"/>
      <c r="AP93" s="947">
        <f>+SUM('Development Cash Flow'!G93:J93)-'Development Cash Flow'!M93</f>
        <v>0</v>
      </c>
      <c r="AQ93" s="947">
        <f t="shared" si="60"/>
        <v>0</v>
      </c>
      <c r="AR93" s="947">
        <f t="shared" si="47"/>
        <v>0</v>
      </c>
      <c r="AS93" s="946"/>
      <c r="AT93" s="947">
        <f t="shared" si="48"/>
        <v>0</v>
      </c>
      <c r="AU93" s="947">
        <f t="shared" si="49"/>
        <v>0</v>
      </c>
      <c r="AV93" s="948">
        <f t="shared" si="50"/>
        <v>0</v>
      </c>
      <c r="AW93" s="946"/>
      <c r="AX93" s="947">
        <f t="shared" si="61"/>
        <v>0</v>
      </c>
      <c r="AY93" s="947">
        <f>+AZ92*financing!$E$30/12</f>
        <v>0</v>
      </c>
      <c r="AZ93" s="947">
        <f t="shared" si="51"/>
        <v>0</v>
      </c>
      <c r="BA93" s="946"/>
      <c r="BB93" s="947">
        <f t="shared" si="62"/>
        <v>0</v>
      </c>
      <c r="BC93" s="947">
        <f>+IF(AND(BD92+BB93+MAX(BD92*financing!$E$15/12,financing!$D$59-SUM(reserves!BC$6:BC92)-SUM(J$6:J93))-reserves!AD93&lt;=0,financing!$D$58&gt;=0),MAX(BD92*financing!$E$15/12,financing!$D$59-SUM(reserves!BC$6:BC92)-SUM(J$6:J93)),BD92*financing!$E$15/12)</f>
        <v>0</v>
      </c>
      <c r="BD93" s="947">
        <f t="shared" si="67"/>
        <v>0</v>
      </c>
      <c r="BE93" s="946"/>
      <c r="BF93" s="947">
        <f t="shared" si="52"/>
        <v>0</v>
      </c>
      <c r="BG93" s="947">
        <f>+IF(AND(BH92+BF93+MAX((BH92*(LIBOR!AA94)*(D93-D92)/360)+BY93,financing!$C$16-SUM(reserves!BG$6:BG92))-reserves!AD93&lt;=0,financing!$L$17&gt;=0),MAX((BH92*(LIBOR!AA94)*(D93-D92)/360)+BY93,financing!$C$16-SUM(reserves!BG$6:BG92)),(BH92*(LIBOR!AA94)*(D93-D92)/360)+BY93)</f>
        <v>0</v>
      </c>
      <c r="BH93" s="947">
        <f t="shared" si="53"/>
        <v>0</v>
      </c>
      <c r="BI93" s="946"/>
      <c r="BJ93" s="937"/>
      <c r="BK93" s="938">
        <f t="shared" si="68"/>
        <v>0</v>
      </c>
      <c r="BL93" s="939">
        <f>-S93+AJ93+AF93-AX93+AH93+AG93-BB93-BF93+'Development Cash Flow'!Y93</f>
        <v>0</v>
      </c>
      <c r="BM93" s="940"/>
      <c r="BN93" s="941">
        <f t="shared" si="63"/>
        <v>0</v>
      </c>
      <c r="BO93" s="940"/>
      <c r="BP93" s="942">
        <f t="shared" si="64"/>
        <v>0</v>
      </c>
      <c r="BS93" s="949" t="e">
        <f t="shared" si="69"/>
        <v>#DIV/0!</v>
      </c>
      <c r="BT93" s="922">
        <f>+IF(SUM(BT$5:BT92)&lt;1,IF(BU93=MAX($BU$6:$BU$54),1,0),0)</f>
        <v>0</v>
      </c>
      <c r="BU93" s="922">
        <f t="shared" si="70"/>
        <v>4000000</v>
      </c>
      <c r="BV93" s="943" t="str">
        <f t="shared" si="65"/>
        <v/>
      </c>
      <c r="BW93" s="922" t="str">
        <f t="shared" si="66"/>
        <v/>
      </c>
      <c r="BY93" s="208">
        <f>ROUND(IF(A93="Dev",IF(AND(BK93&gt;general!$D$23,SUM($BZ$6:$BZ92)&lt;1,financing!$L$15&gt;BH92+BF93),financing!$L$16*(BK93-BK92)/360*(financing!$L$15-BH92-BF93),0),0),-2)</f>
        <v>0</v>
      </c>
      <c r="BZ93" s="909">
        <f>+IF(AND(BH93&gt;=financing!$L$15,SUM(BZ$6:BZ92)=0),1,0)</f>
        <v>0</v>
      </c>
      <c r="CA93" s="950">
        <f t="shared" si="56"/>
        <v>0</v>
      </c>
      <c r="CD93" s="909">
        <f>SUM($S$6:S93)</f>
        <v>4000000</v>
      </c>
      <c r="CF93" s="208">
        <f>+IF(C93&lt;general!$C$22,0,IF(AND(C93=general!$C$22,OR(A93="Pred",A93="Dev")),SUM(S$6:S93),S93))</f>
        <v>0</v>
      </c>
    </row>
    <row r="94" spans="1:84" ht="16" hidden="1" outlineLevel="2">
      <c r="A94" s="906" t="str">
        <f>+'Development Cash Flow'!A94</f>
        <v>post dev</v>
      </c>
      <c r="B94" s="908"/>
      <c r="C94" s="944">
        <f>IF('Development Cash Flow'!D93&lt;general!$D$28,'Development Cash Flow'!C93+1,0)</f>
        <v>0</v>
      </c>
      <c r="D94" s="945">
        <f t="shared" si="23"/>
        <v>48944</v>
      </c>
      <c r="E94" s="945"/>
      <c r="F94" s="928">
        <f>'Development Cash Flow'!P94*D$4+SUM('Development Cash Flow'!Q94:T94)*F$4</f>
        <v>0</v>
      </c>
      <c r="G94" s="928">
        <f>'Development Cash Flow'!AL94-F94</f>
        <v>0</v>
      </c>
      <c r="H94" s="928"/>
      <c r="I94" s="928"/>
      <c r="J94" s="931">
        <f>+financing!$D$54/12*reserves!BD93</f>
        <v>0</v>
      </c>
      <c r="K94" s="928">
        <f>IF(C94=0,0,IF(C94=sales!$D$32,financing!$E$12*financing!$F$11,IF(OR(C94&gt;general!$C$27,C94&lt;sales!$D$32),0,IF((C94-sales!$D$32)/12=ROUND((C94-sales!$D$32)/12,0),financing!$E$12*financing!$F$11,0))))</f>
        <v>0</v>
      </c>
      <c r="L94" s="928"/>
      <c r="M94" s="928">
        <f t="shared" si="73"/>
        <v>0</v>
      </c>
      <c r="N94" s="946"/>
      <c r="O94" s="946">
        <f>IF(D94=general!$D$21,financing!$F$30,0)</f>
        <v>0</v>
      </c>
      <c r="P94" s="946">
        <f>+MIN(IF(D94&lt;=general!$D$24,SUM(F$6:F94)-SUM(P$6:P93),reserves!F94),AR93)</f>
        <v>0</v>
      </c>
      <c r="Q94" s="946">
        <f>+MAX(MIN(SUM(G$6:$G94)-R94,AN93,SUM(G$6:$G94)-SUM(Q$6:Q93)),0)</f>
        <v>0</v>
      </c>
      <c r="R94" s="946">
        <f>+IF(C94&gt;=sales!$D$36,'Development Cash Flow'!AL94,0)</f>
        <v>0</v>
      </c>
      <c r="S94" s="931">
        <f>IF(AND(A94=$A$5,C94&lt;financing!$D$55),M94-SUM(P94:R94,O94),MIN(M94-SUM(P94:R94,O94),financing!$F$10-SUM(S$5:S93)))</f>
        <v>0</v>
      </c>
      <c r="T94" s="931">
        <f>+MAX(MIN(IF(C94&gt;=financing!$D$55,M94-SUM(P94:S94)-J94,0),financing!$D$57-SUM(T$5:T93)),0)</f>
        <v>0</v>
      </c>
      <c r="U94" s="931">
        <f>+MAX(IF(C94&gt;=general!$C$23,M94-SUM(P94:T94),0)+IF(C94=general!$C$23,reserves!AZ93+AY94,0),0)</f>
        <v>0</v>
      </c>
      <c r="V94" s="946"/>
      <c r="W94" s="946">
        <f>SUMPRODUCT(--($C94=sales!$C$50:$C$54),sales!$F$50:$F$54)</f>
        <v>0</v>
      </c>
      <c r="X94" s="946">
        <f t="shared" si="44"/>
        <v>0</v>
      </c>
      <c r="Y94" s="946">
        <f t="shared" si="57"/>
        <v>0</v>
      </c>
      <c r="Z94" s="946">
        <f t="shared" si="45"/>
        <v>0</v>
      </c>
      <c r="AA94" s="946"/>
      <c r="AB94" s="932">
        <f>IF(C94=sales!$D$22,sales!$I$22,0)+IF(C94=sales!$D$23,sales!$I$23,0)+IF(C94=sales!$D$24,sales!$I$24,0)+IF(C94=sales!$D$25,sales!$I$25,0)+IF(C94=sales!$D$26,sales!$I$26,0)+IF(C94=sales!$D$27,sales!$I$27,0)</f>
        <v>0</v>
      </c>
      <c r="AC94" s="946"/>
      <c r="AD94" s="931">
        <f t="shared" si="58"/>
        <v>0</v>
      </c>
      <c r="AE94" s="932"/>
      <c r="AF94" s="932">
        <f t="shared" si="71"/>
        <v>0</v>
      </c>
      <c r="AG94" s="932">
        <f t="shared" si="72"/>
        <v>0</v>
      </c>
      <c r="AH94" s="931">
        <f t="shared" si="54"/>
        <v>0</v>
      </c>
      <c r="AI94" s="932"/>
      <c r="AJ94" s="931">
        <f t="shared" si="55"/>
        <v>0</v>
      </c>
      <c r="AK94" s="946"/>
      <c r="AL94" s="947">
        <f>+IF(financing!$C$12="YES",'Development Cash Flow'!M94,0)</f>
        <v>0</v>
      </c>
      <c r="AM94" s="947">
        <f t="shared" si="59"/>
        <v>0</v>
      </c>
      <c r="AN94" s="947">
        <f t="shared" si="46"/>
        <v>0</v>
      </c>
      <c r="AO94" s="946"/>
      <c r="AP94" s="947">
        <f>+SUM('Development Cash Flow'!G94:J94)-'Development Cash Flow'!M94</f>
        <v>0</v>
      </c>
      <c r="AQ94" s="947">
        <f t="shared" si="60"/>
        <v>0</v>
      </c>
      <c r="AR94" s="947">
        <f t="shared" si="47"/>
        <v>0</v>
      </c>
      <c r="AS94" s="946"/>
      <c r="AT94" s="947">
        <f t="shared" si="48"/>
        <v>0</v>
      </c>
      <c r="AU94" s="947">
        <f t="shared" si="49"/>
        <v>0</v>
      </c>
      <c r="AV94" s="948">
        <f t="shared" si="50"/>
        <v>0</v>
      </c>
      <c r="AW94" s="946"/>
      <c r="AX94" s="947">
        <f t="shared" si="61"/>
        <v>0</v>
      </c>
      <c r="AY94" s="947">
        <f>+AZ93*financing!$E$30/12</f>
        <v>0</v>
      </c>
      <c r="AZ94" s="947">
        <f t="shared" si="51"/>
        <v>0</v>
      </c>
      <c r="BA94" s="946"/>
      <c r="BB94" s="947">
        <f t="shared" si="62"/>
        <v>0</v>
      </c>
      <c r="BC94" s="947">
        <f>+IF(AND(BD93+BB94+MAX(BD93*financing!$E$15/12,financing!$D$59-SUM(reserves!BC$6:BC93)-SUM(J$6:J94))-reserves!AD94&lt;=0,financing!$D$58&gt;=0),MAX(BD93*financing!$E$15/12,financing!$D$59-SUM(reserves!BC$6:BC93)-SUM(J$6:J94)),BD93*financing!$E$15/12)</f>
        <v>0</v>
      </c>
      <c r="BD94" s="947">
        <f t="shared" si="67"/>
        <v>0</v>
      </c>
      <c r="BE94" s="946"/>
      <c r="BF94" s="947">
        <f t="shared" si="52"/>
        <v>0</v>
      </c>
      <c r="BG94" s="947">
        <f>+IF(AND(BH93+BF94+MAX((BH93*(LIBOR!AA95)*(D94-D93)/360)+BY94,financing!$C$16-SUM(reserves!BG$6:BG93))-reserves!AD94&lt;=0,financing!$L$17&gt;=0),MAX((BH93*(LIBOR!AA95)*(D94-D93)/360)+BY94,financing!$C$16-SUM(reserves!BG$6:BG93)),(BH93*(LIBOR!AA95)*(D94-D93)/360)+BY94)</f>
        <v>0</v>
      </c>
      <c r="BH94" s="947">
        <f t="shared" si="53"/>
        <v>0</v>
      </c>
      <c r="BI94" s="946"/>
      <c r="BJ94" s="937"/>
      <c r="BK94" s="938">
        <f t="shared" si="68"/>
        <v>0</v>
      </c>
      <c r="BL94" s="939">
        <f>-S94+AJ94+AF94-AX94+AH94+AG94-BB94-BF94+'Development Cash Flow'!Y94</f>
        <v>0</v>
      </c>
      <c r="BM94" s="940"/>
      <c r="BN94" s="941">
        <f t="shared" si="63"/>
        <v>0</v>
      </c>
      <c r="BO94" s="940"/>
      <c r="BP94" s="942">
        <f t="shared" si="64"/>
        <v>0</v>
      </c>
      <c r="BS94" s="949" t="e">
        <f t="shared" si="69"/>
        <v>#DIV/0!</v>
      </c>
      <c r="BT94" s="922">
        <f>+IF(SUM(BT$5:BT93)&lt;1,IF(BU94=MAX($BU$6:$BU$54),1,0),0)</f>
        <v>0</v>
      </c>
      <c r="BU94" s="922">
        <f t="shared" si="70"/>
        <v>4000000</v>
      </c>
      <c r="BV94" s="943" t="str">
        <f t="shared" si="65"/>
        <v/>
      </c>
      <c r="BW94" s="922" t="str">
        <f t="shared" si="66"/>
        <v/>
      </c>
      <c r="BY94" s="208">
        <f>ROUND(IF(A94="Dev",IF(AND(BK94&gt;general!$D$23,SUM($BZ$6:$BZ93)&lt;1,financing!$L$15&gt;BH93+BF94),financing!$L$16*(BK94-BK93)/360*(financing!$L$15-BH93-BF94),0),0),-2)</f>
        <v>0</v>
      </c>
      <c r="BZ94" s="909">
        <f>+IF(AND(BH94&gt;=financing!$L$15,SUM(BZ$6:BZ93)=0),1,0)</f>
        <v>0</v>
      </c>
      <c r="CA94" s="950">
        <f t="shared" si="56"/>
        <v>0</v>
      </c>
      <c r="CD94" s="909">
        <f>SUM($S$6:S94)</f>
        <v>4000000</v>
      </c>
      <c r="CF94" s="208">
        <f>+IF(C94&lt;general!$C$22,0,IF(AND(C94=general!$C$22,OR(A94="Pred",A94="Dev")),SUM(S$6:S94),S94))</f>
        <v>0</v>
      </c>
    </row>
    <row r="95" spans="1:84" ht="16" hidden="1" outlineLevel="2">
      <c r="A95" s="906" t="str">
        <f>+'Development Cash Flow'!A95</f>
        <v>post dev</v>
      </c>
      <c r="B95" s="908"/>
      <c r="C95" s="944">
        <f>IF('Development Cash Flow'!D94&lt;general!$D$28,'Development Cash Flow'!C94+1,0)</f>
        <v>0</v>
      </c>
      <c r="D95" s="945">
        <f t="shared" si="23"/>
        <v>48975</v>
      </c>
      <c r="E95" s="945"/>
      <c r="F95" s="928">
        <f>'Development Cash Flow'!P95*D$4+SUM('Development Cash Flow'!Q95:T95)*F$4</f>
        <v>0</v>
      </c>
      <c r="G95" s="928">
        <f>'Development Cash Flow'!AL95-F95</f>
        <v>0</v>
      </c>
      <c r="H95" s="928"/>
      <c r="I95" s="928"/>
      <c r="J95" s="931">
        <f>+financing!$D$54/12*reserves!BD94</f>
        <v>0</v>
      </c>
      <c r="K95" s="928">
        <f>IF(C95=0,0,IF(C95=sales!$D$32,financing!$E$12*financing!$F$11,IF(OR(C95&gt;general!$C$27,C95&lt;sales!$D$32),0,IF((C95-sales!$D$32)/12=ROUND((C95-sales!$D$32)/12,0),financing!$E$12*financing!$F$11,0))))</f>
        <v>0</v>
      </c>
      <c r="L95" s="928"/>
      <c r="M95" s="928">
        <f t="shared" si="73"/>
        <v>0</v>
      </c>
      <c r="N95" s="946"/>
      <c r="O95" s="946">
        <f>IF(D95=general!$D$21,financing!$F$30,0)</f>
        <v>0</v>
      </c>
      <c r="P95" s="946">
        <f>+MIN(IF(D95&lt;=general!$D$24,SUM(F$6:F95)-SUM(P$6:P94),reserves!F95),AR94)</f>
        <v>0</v>
      </c>
      <c r="Q95" s="946">
        <f>+MAX(MIN(SUM(G$6:$G95)-R95,AN94,SUM(G$6:$G95)-SUM(Q$6:Q94)),0)</f>
        <v>0</v>
      </c>
      <c r="R95" s="946">
        <f>+IF(C95&gt;=sales!$D$36,'Development Cash Flow'!AL95,0)</f>
        <v>0</v>
      </c>
      <c r="S95" s="931">
        <f>IF(AND(A95=$A$5,C95&lt;financing!$D$55),M95-SUM(P95:R95,O95),MIN(M95-SUM(P95:R95,O95),financing!$F$10-SUM(S$5:S94)))</f>
        <v>0</v>
      </c>
      <c r="T95" s="931">
        <f>+MAX(MIN(IF(C95&gt;=financing!$D$55,M95-SUM(P95:S95)-J95,0),financing!$D$57-SUM(T$5:T94)),0)</f>
        <v>0</v>
      </c>
      <c r="U95" s="931">
        <f>+MAX(IF(C95&gt;=general!$C$23,M95-SUM(P95:T95),0)+IF(C95=general!$C$23,reserves!AZ94+AY95,0),0)</f>
        <v>0</v>
      </c>
      <c r="V95" s="946"/>
      <c r="W95" s="946">
        <f>SUMPRODUCT(--($C95=sales!$C$50:$C$54),sales!$F$50:$F$54)</f>
        <v>0</v>
      </c>
      <c r="X95" s="946">
        <f t="shared" si="44"/>
        <v>0</v>
      </c>
      <c r="Y95" s="946">
        <f t="shared" si="57"/>
        <v>0</v>
      </c>
      <c r="Z95" s="946">
        <f t="shared" si="45"/>
        <v>0</v>
      </c>
      <c r="AA95" s="946"/>
      <c r="AB95" s="932">
        <f>IF(C95=sales!$D$22,sales!$I$22,0)+IF(C95=sales!$D$23,sales!$I$23,0)+IF(C95=sales!$D$24,sales!$I$24,0)+IF(C95=sales!$D$25,sales!$I$25,0)+IF(C95=sales!$D$26,sales!$I$26,0)+IF(C95=sales!$D$27,sales!$I$27,0)</f>
        <v>0</v>
      </c>
      <c r="AC95" s="946"/>
      <c r="AD95" s="931">
        <f t="shared" si="58"/>
        <v>0</v>
      </c>
      <c r="AE95" s="932"/>
      <c r="AF95" s="932">
        <f t="shared" si="71"/>
        <v>0</v>
      </c>
      <c r="AG95" s="932">
        <f t="shared" si="72"/>
        <v>0</v>
      </c>
      <c r="AH95" s="931">
        <f t="shared" si="54"/>
        <v>0</v>
      </c>
      <c r="AI95" s="932"/>
      <c r="AJ95" s="931">
        <f t="shared" si="55"/>
        <v>0</v>
      </c>
      <c r="AK95" s="946"/>
      <c r="AL95" s="947">
        <f>+IF(financing!$C$12="YES",'Development Cash Flow'!M95,0)</f>
        <v>0</v>
      </c>
      <c r="AM95" s="947">
        <f t="shared" si="59"/>
        <v>0</v>
      </c>
      <c r="AN95" s="947">
        <f t="shared" si="46"/>
        <v>0</v>
      </c>
      <c r="AO95" s="946"/>
      <c r="AP95" s="947">
        <f>+SUM('Development Cash Flow'!G95:J95)-'Development Cash Flow'!M95</f>
        <v>0</v>
      </c>
      <c r="AQ95" s="947">
        <f t="shared" si="60"/>
        <v>0</v>
      </c>
      <c r="AR95" s="947">
        <f t="shared" si="47"/>
        <v>0</v>
      </c>
      <c r="AS95" s="946"/>
      <c r="AT95" s="947">
        <f t="shared" si="48"/>
        <v>0</v>
      </c>
      <c r="AU95" s="947">
        <f t="shared" si="49"/>
        <v>0</v>
      </c>
      <c r="AV95" s="948">
        <f t="shared" si="50"/>
        <v>0</v>
      </c>
      <c r="AW95" s="946"/>
      <c r="AX95" s="947">
        <f t="shared" si="61"/>
        <v>0</v>
      </c>
      <c r="AY95" s="947">
        <f>+AZ94*financing!$E$30/12</f>
        <v>0</v>
      </c>
      <c r="AZ95" s="947">
        <f t="shared" si="51"/>
        <v>0</v>
      </c>
      <c r="BA95" s="946"/>
      <c r="BB95" s="947">
        <f t="shared" si="62"/>
        <v>0</v>
      </c>
      <c r="BC95" s="947">
        <f>+IF(AND(BD94+BB95+MAX(BD94*financing!$E$15/12,financing!$D$59-SUM(reserves!BC$6:BC94)-SUM(J$6:J95))-reserves!AD95&lt;=0,financing!$D$58&gt;=0),MAX(BD94*financing!$E$15/12,financing!$D$59-SUM(reserves!BC$6:BC94)-SUM(J$6:J95)),BD94*financing!$E$15/12)</f>
        <v>0</v>
      </c>
      <c r="BD95" s="947">
        <f t="shared" si="67"/>
        <v>0</v>
      </c>
      <c r="BE95" s="946"/>
      <c r="BF95" s="947">
        <f t="shared" si="52"/>
        <v>0</v>
      </c>
      <c r="BG95" s="947">
        <f>+IF(AND(BH94+BF95+MAX((BH94*(LIBOR!AA96)*(D95-D94)/360)+BY95,financing!$C$16-SUM(reserves!BG$6:BG94))-reserves!AD95&lt;=0,financing!$L$17&gt;=0),MAX((BH94*(LIBOR!AA96)*(D95-D94)/360)+BY95,financing!$C$16-SUM(reserves!BG$6:BG94)),(BH94*(LIBOR!AA96)*(D95-D94)/360)+BY95)</f>
        <v>0</v>
      </c>
      <c r="BH95" s="947">
        <f t="shared" si="53"/>
        <v>0</v>
      </c>
      <c r="BI95" s="946"/>
      <c r="BJ95" s="937"/>
      <c r="BK95" s="938">
        <f t="shared" si="68"/>
        <v>0</v>
      </c>
      <c r="BL95" s="939">
        <f>-S95+AJ95+AF95-AX95+AH95+AG95-BB95-BF95+'Development Cash Flow'!Y95</f>
        <v>0</v>
      </c>
      <c r="BM95" s="940"/>
      <c r="BN95" s="941">
        <f t="shared" si="63"/>
        <v>0</v>
      </c>
      <c r="BO95" s="940"/>
      <c r="BP95" s="942">
        <f t="shared" si="64"/>
        <v>0</v>
      </c>
      <c r="BS95" s="949" t="e">
        <f t="shared" si="69"/>
        <v>#DIV/0!</v>
      </c>
      <c r="BT95" s="922">
        <f>+IF(SUM(BT$5:BT94)&lt;1,IF(BU95=MAX($BU$6:$BU$54),1,0),0)</f>
        <v>0</v>
      </c>
      <c r="BU95" s="922">
        <f t="shared" si="70"/>
        <v>4000000</v>
      </c>
      <c r="BV95" s="943" t="str">
        <f t="shared" si="65"/>
        <v/>
      </c>
      <c r="BW95" s="922" t="str">
        <f t="shared" si="66"/>
        <v/>
      </c>
      <c r="BY95" s="208">
        <f>ROUND(IF(A95="Dev",IF(AND(BK95&gt;general!$D$23,SUM($BZ$6:$BZ94)&lt;1,financing!$L$15&gt;BH94+BF95),financing!$L$16*(BK95-BK94)/360*(financing!$L$15-BH94-BF95),0),0),-2)</f>
        <v>0</v>
      </c>
      <c r="BZ95" s="909">
        <f>+IF(AND(BH95&gt;=financing!$L$15,SUM(BZ$6:BZ94)=0),1,0)</f>
        <v>0</v>
      </c>
      <c r="CA95" s="950">
        <f t="shared" si="56"/>
        <v>0</v>
      </c>
      <c r="CD95" s="909">
        <f>SUM($S$6:S95)</f>
        <v>4000000</v>
      </c>
      <c r="CF95" s="208">
        <f>+IF(C95&lt;general!$C$22,0,IF(AND(C95=general!$C$22,OR(A95="Pred",A95="Dev")),SUM(S$6:S95),S95))</f>
        <v>0</v>
      </c>
    </row>
    <row r="96" spans="1:84" ht="16" hidden="1" outlineLevel="2">
      <c r="A96" s="906" t="str">
        <f>+'Development Cash Flow'!A96</f>
        <v>post dev</v>
      </c>
      <c r="B96" s="908"/>
      <c r="C96" s="944">
        <f>IF('Development Cash Flow'!D95&lt;general!$D$28,'Development Cash Flow'!C95+1,0)</f>
        <v>0</v>
      </c>
      <c r="D96" s="945">
        <f t="shared" si="23"/>
        <v>49003</v>
      </c>
      <c r="E96" s="945"/>
      <c r="F96" s="928">
        <f>'Development Cash Flow'!P96*D$4+SUM('Development Cash Flow'!Q96:T96)*F$4</f>
        <v>0</v>
      </c>
      <c r="G96" s="928">
        <f>'Development Cash Flow'!AL96-F96</f>
        <v>0</v>
      </c>
      <c r="H96" s="928"/>
      <c r="I96" s="928"/>
      <c r="J96" s="931">
        <f>+financing!$D$54/12*reserves!BD95</f>
        <v>0</v>
      </c>
      <c r="K96" s="928">
        <f>IF(C96=0,0,IF(C96=sales!$D$32,financing!$E$12*financing!$F$11,IF(OR(C96&gt;general!$C$27,C96&lt;sales!$D$32),0,IF((C96-sales!$D$32)/12=ROUND((C96-sales!$D$32)/12,0),financing!$E$12*financing!$F$11,0))))</f>
        <v>0</v>
      </c>
      <c r="L96" s="928"/>
      <c r="M96" s="928">
        <f t="shared" si="73"/>
        <v>0</v>
      </c>
      <c r="N96" s="946"/>
      <c r="O96" s="946">
        <f>IF(D96=general!$D$21,financing!$F$30,0)</f>
        <v>0</v>
      </c>
      <c r="P96" s="946">
        <f>+MIN(IF(D96&lt;=general!$D$24,SUM(F$6:F96)-SUM(P$6:P95),reserves!F96),AR95)</f>
        <v>0</v>
      </c>
      <c r="Q96" s="946">
        <f>+MAX(MIN(SUM(G$6:$G96)-R96,AN95,SUM(G$6:$G96)-SUM(Q$6:Q95)),0)</f>
        <v>0</v>
      </c>
      <c r="R96" s="946">
        <f>+IF(C96&gt;=sales!$D$36,'Development Cash Flow'!AL96,0)</f>
        <v>0</v>
      </c>
      <c r="S96" s="931">
        <f>IF(AND(A96=$A$5,C96&lt;financing!$D$55),M96-SUM(P96:R96,O96),MIN(M96-SUM(P96:R96,O96),financing!$F$10-SUM(S$5:S95)))</f>
        <v>0</v>
      </c>
      <c r="T96" s="931">
        <f>+MAX(MIN(IF(C96&gt;=financing!$D$55,M96-SUM(P96:S96)-J96,0),financing!$D$57-SUM(T$5:T95)),0)</f>
        <v>0</v>
      </c>
      <c r="U96" s="931">
        <f>+MAX(IF(C96&gt;=general!$C$23,M96-SUM(P96:T96),0)+IF(C96=general!$C$23,reserves!AZ95+AY96,0),0)</f>
        <v>0</v>
      </c>
      <c r="V96" s="946"/>
      <c r="W96" s="946">
        <f>SUMPRODUCT(--($C96=sales!$C$50:$C$54),sales!$F$50:$F$54)</f>
        <v>0</v>
      </c>
      <c r="X96" s="946">
        <f t="shared" si="44"/>
        <v>0</v>
      </c>
      <c r="Y96" s="946">
        <f t="shared" si="57"/>
        <v>0</v>
      </c>
      <c r="Z96" s="946">
        <f t="shared" si="45"/>
        <v>0</v>
      </c>
      <c r="AA96" s="946"/>
      <c r="AB96" s="932">
        <f>IF(C96=sales!$D$22,sales!$I$22,0)+IF(C96=sales!$D$23,sales!$I$23,0)+IF(C96=sales!$D$24,sales!$I$24,0)+IF(C96=sales!$D$25,sales!$I$25,0)+IF(C96=sales!$D$26,sales!$I$26,0)+IF(C96=sales!$D$27,sales!$I$27,0)</f>
        <v>0</v>
      </c>
      <c r="AC96" s="946"/>
      <c r="AD96" s="931">
        <f t="shared" si="58"/>
        <v>0</v>
      </c>
      <c r="AE96" s="932"/>
      <c r="AF96" s="932">
        <f t="shared" si="71"/>
        <v>0</v>
      </c>
      <c r="AG96" s="932">
        <f t="shared" si="72"/>
        <v>0</v>
      </c>
      <c r="AH96" s="931">
        <f t="shared" si="54"/>
        <v>0</v>
      </c>
      <c r="AI96" s="932"/>
      <c r="AJ96" s="931">
        <f t="shared" si="55"/>
        <v>0</v>
      </c>
      <c r="AK96" s="946"/>
      <c r="AL96" s="947">
        <f>+IF(financing!$C$12="YES",'Development Cash Flow'!M96,0)</f>
        <v>0</v>
      </c>
      <c r="AM96" s="947">
        <f t="shared" si="59"/>
        <v>0</v>
      </c>
      <c r="AN96" s="947">
        <f t="shared" si="46"/>
        <v>0</v>
      </c>
      <c r="AO96" s="946"/>
      <c r="AP96" s="947">
        <f>+SUM('Development Cash Flow'!G96:J96)-'Development Cash Flow'!M96</f>
        <v>0</v>
      </c>
      <c r="AQ96" s="947">
        <f t="shared" si="60"/>
        <v>0</v>
      </c>
      <c r="AR96" s="947">
        <f t="shared" si="47"/>
        <v>0</v>
      </c>
      <c r="AS96" s="946"/>
      <c r="AT96" s="947">
        <f t="shared" si="48"/>
        <v>0</v>
      </c>
      <c r="AU96" s="947">
        <f t="shared" si="49"/>
        <v>0</v>
      </c>
      <c r="AV96" s="948">
        <f t="shared" si="50"/>
        <v>0</v>
      </c>
      <c r="AW96" s="946"/>
      <c r="AX96" s="947">
        <f t="shared" si="61"/>
        <v>0</v>
      </c>
      <c r="AY96" s="947">
        <f>+AZ95*financing!$E$30/12</f>
        <v>0</v>
      </c>
      <c r="AZ96" s="947">
        <f t="shared" si="51"/>
        <v>0</v>
      </c>
      <c r="BA96" s="946"/>
      <c r="BB96" s="947">
        <f t="shared" si="62"/>
        <v>0</v>
      </c>
      <c r="BC96" s="947">
        <f>+IF(AND(BD95+BB96+MAX(BD95*financing!$E$15/12,financing!$D$59-SUM(reserves!BC$6:BC95)-SUM(J$6:J96))-reserves!AD96&lt;=0,financing!$D$58&gt;=0),MAX(BD95*financing!$E$15/12,financing!$D$59-SUM(reserves!BC$6:BC95)-SUM(J$6:J96)),BD95*financing!$E$15/12)</f>
        <v>0</v>
      </c>
      <c r="BD96" s="947">
        <f t="shared" si="67"/>
        <v>0</v>
      </c>
      <c r="BE96" s="946"/>
      <c r="BF96" s="947">
        <f t="shared" si="52"/>
        <v>0</v>
      </c>
      <c r="BG96" s="947">
        <f>+IF(AND(BH95+BF96+MAX((BH95*(LIBOR!AA97)*(D96-D95)/360)+BY96,financing!$C$16-SUM(reserves!BG$6:BG95))-reserves!AD96&lt;=0,financing!$L$17&gt;=0),MAX((BH95*(LIBOR!AA97)*(D96-D95)/360)+BY96,financing!$C$16-SUM(reserves!BG$6:BG95)),(BH95*(LIBOR!AA97)*(D96-D95)/360)+BY96)</f>
        <v>0</v>
      </c>
      <c r="BH96" s="947">
        <f t="shared" si="53"/>
        <v>0</v>
      </c>
      <c r="BI96" s="946"/>
      <c r="BJ96" s="937"/>
      <c r="BK96" s="938">
        <f t="shared" si="68"/>
        <v>0</v>
      </c>
      <c r="BL96" s="939">
        <f>-S96+AJ96+AF96-AX96+AH96+AG96-BB96-BF96+'Development Cash Flow'!Y96</f>
        <v>0</v>
      </c>
      <c r="BM96" s="940"/>
      <c r="BN96" s="941">
        <f t="shared" si="63"/>
        <v>0</v>
      </c>
      <c r="BO96" s="940"/>
      <c r="BP96" s="942">
        <f t="shared" si="64"/>
        <v>0</v>
      </c>
      <c r="BS96" s="949" t="e">
        <f t="shared" si="69"/>
        <v>#DIV/0!</v>
      </c>
      <c r="BT96" s="922">
        <f>+IF(SUM(BT$5:BT95)&lt;1,IF(BU96=MAX($BU$6:$BU$54),1,0),0)</f>
        <v>0</v>
      </c>
      <c r="BU96" s="922">
        <f t="shared" si="70"/>
        <v>4000000</v>
      </c>
      <c r="BV96" s="943" t="str">
        <f t="shared" si="65"/>
        <v/>
      </c>
      <c r="BW96" s="922" t="str">
        <f t="shared" si="66"/>
        <v/>
      </c>
      <c r="BY96" s="208">
        <f>ROUND(IF(A96="Dev",IF(AND(BK96&gt;general!$D$23,SUM($BZ$6:$BZ95)&lt;1,financing!$L$15&gt;BH95+BF96),financing!$L$16*(BK96-BK95)/360*(financing!$L$15-BH95-BF96),0),0),-2)</f>
        <v>0</v>
      </c>
      <c r="BZ96" s="909">
        <f>+IF(AND(BH96&gt;=financing!$L$15,SUM(BZ$6:BZ95)=0),1,0)</f>
        <v>0</v>
      </c>
      <c r="CA96" s="950">
        <f t="shared" si="56"/>
        <v>0</v>
      </c>
      <c r="CD96" s="909">
        <f>SUM($S$6:S96)</f>
        <v>4000000</v>
      </c>
      <c r="CF96" s="208">
        <f>+IF(C96&lt;general!$C$22,0,IF(AND(C96=general!$C$22,OR(A96="Pred",A96="Dev")),SUM(S$6:S96),S96))</f>
        <v>0</v>
      </c>
    </row>
    <row r="97" spans="1:84" ht="16" hidden="1" outlineLevel="2">
      <c r="A97" s="906" t="str">
        <f>+'Development Cash Flow'!A97</f>
        <v>post dev</v>
      </c>
      <c r="B97" s="908"/>
      <c r="C97" s="944">
        <f>IF('Development Cash Flow'!D96&lt;general!$D$28,'Development Cash Flow'!C96+1,0)</f>
        <v>0</v>
      </c>
      <c r="D97" s="945">
        <f t="shared" si="23"/>
        <v>49034</v>
      </c>
      <c r="E97" s="945"/>
      <c r="F97" s="928">
        <f>'Development Cash Flow'!P97*D$4+SUM('Development Cash Flow'!Q97:T97)*F$4</f>
        <v>0</v>
      </c>
      <c r="G97" s="928">
        <f>'Development Cash Flow'!AL97-F97</f>
        <v>0</v>
      </c>
      <c r="H97" s="928"/>
      <c r="I97" s="928"/>
      <c r="J97" s="931">
        <f>+financing!$D$54/12*reserves!BD96</f>
        <v>0</v>
      </c>
      <c r="K97" s="928">
        <f>IF(C97=0,0,IF(C97=sales!$D$32,financing!$E$12*financing!$F$11,IF(OR(C97&gt;general!$C$27,C97&lt;sales!$D$32),0,IF((C97-sales!$D$32)/12=ROUND((C97-sales!$D$32)/12,0),financing!$E$12*financing!$F$11,0))))</f>
        <v>0</v>
      </c>
      <c r="L97" s="928"/>
      <c r="M97" s="928">
        <f t="shared" si="73"/>
        <v>0</v>
      </c>
      <c r="N97" s="946"/>
      <c r="O97" s="946">
        <f>IF(D97=general!$D$21,financing!$F$30,0)</f>
        <v>0</v>
      </c>
      <c r="P97" s="946">
        <f>+MIN(IF(D97&lt;=general!$D$24,SUM(F$6:F97)-SUM(P$6:P96),reserves!F97),AR96)</f>
        <v>0</v>
      </c>
      <c r="Q97" s="946">
        <f>+MAX(MIN(SUM(G$6:$G97)-R97,AN96,SUM(G$6:$G97)-SUM(Q$6:Q96)),0)</f>
        <v>0</v>
      </c>
      <c r="R97" s="946">
        <f>+IF(C97&gt;=sales!$D$36,'Development Cash Flow'!AL97,0)</f>
        <v>0</v>
      </c>
      <c r="S97" s="931">
        <f>IF(AND(A97=$A$5,C97&lt;financing!$D$55),M97-SUM(P97:R97,O97),MIN(M97-SUM(P97:R97,O97),financing!$F$10-SUM(S$5:S96)))</f>
        <v>0</v>
      </c>
      <c r="T97" s="931">
        <f>+MAX(MIN(IF(C97&gt;=financing!$D$55,M97-SUM(P97:S97)-J97,0),financing!$D$57-SUM(T$5:T96)),0)</f>
        <v>0</v>
      </c>
      <c r="U97" s="931">
        <f>+MAX(IF(C97&gt;=general!$C$23,M97-SUM(P97:T97),0)+IF(C97=general!$C$23,reserves!AZ96+AY97,0),0)</f>
        <v>0</v>
      </c>
      <c r="V97" s="946"/>
      <c r="W97" s="946">
        <f>SUMPRODUCT(--($C97=sales!$C$50:$C$54),sales!$F$50:$F$54)</f>
        <v>0</v>
      </c>
      <c r="X97" s="946">
        <f t="shared" si="44"/>
        <v>0</v>
      </c>
      <c r="Y97" s="946">
        <f t="shared" si="57"/>
        <v>0</v>
      </c>
      <c r="Z97" s="946">
        <f t="shared" si="45"/>
        <v>0</v>
      </c>
      <c r="AA97" s="946"/>
      <c r="AB97" s="932">
        <f>IF(C97=sales!$D$22,sales!$I$22,0)+IF(C97=sales!$D$23,sales!$I$23,0)+IF(C97=sales!$D$24,sales!$I$24,0)+IF(C97=sales!$D$25,sales!$I$25,0)+IF(C97=sales!$D$26,sales!$I$26,0)+IF(C97=sales!$D$27,sales!$I$27,0)</f>
        <v>0</v>
      </c>
      <c r="AC97" s="946"/>
      <c r="AD97" s="931">
        <f t="shared" si="58"/>
        <v>0</v>
      </c>
      <c r="AE97" s="932"/>
      <c r="AF97" s="932">
        <f t="shared" si="71"/>
        <v>0</v>
      </c>
      <c r="AG97" s="932">
        <f t="shared" si="72"/>
        <v>0</v>
      </c>
      <c r="AH97" s="931">
        <f t="shared" si="54"/>
        <v>0</v>
      </c>
      <c r="AI97" s="932"/>
      <c r="AJ97" s="931">
        <f t="shared" si="55"/>
        <v>0</v>
      </c>
      <c r="AK97" s="946"/>
      <c r="AL97" s="947">
        <f>+IF(financing!$C$12="YES",'Development Cash Flow'!M97,0)</f>
        <v>0</v>
      </c>
      <c r="AM97" s="947">
        <f t="shared" si="59"/>
        <v>0</v>
      </c>
      <c r="AN97" s="947">
        <f t="shared" si="46"/>
        <v>0</v>
      </c>
      <c r="AO97" s="946"/>
      <c r="AP97" s="947">
        <f>+SUM('Development Cash Flow'!G97:J97)-'Development Cash Flow'!M97</f>
        <v>0</v>
      </c>
      <c r="AQ97" s="947">
        <f t="shared" si="60"/>
        <v>0</v>
      </c>
      <c r="AR97" s="947">
        <f t="shared" si="47"/>
        <v>0</v>
      </c>
      <c r="AS97" s="946"/>
      <c r="AT97" s="947">
        <f t="shared" si="48"/>
        <v>0</v>
      </c>
      <c r="AU97" s="947">
        <f t="shared" si="49"/>
        <v>0</v>
      </c>
      <c r="AV97" s="948">
        <f t="shared" si="50"/>
        <v>0</v>
      </c>
      <c r="AW97" s="946"/>
      <c r="AX97" s="947">
        <f t="shared" si="61"/>
        <v>0</v>
      </c>
      <c r="AY97" s="947">
        <f>+AZ96*financing!$E$30/12</f>
        <v>0</v>
      </c>
      <c r="AZ97" s="947">
        <f t="shared" si="51"/>
        <v>0</v>
      </c>
      <c r="BA97" s="946"/>
      <c r="BB97" s="947">
        <f t="shared" si="62"/>
        <v>0</v>
      </c>
      <c r="BC97" s="947">
        <f>+IF(AND(BD96+BB97+MAX(BD96*financing!$E$15/12,financing!$D$59-SUM(reserves!BC$6:BC96)-SUM(J$6:J97))-reserves!AD97&lt;=0,financing!$D$58&gt;=0),MAX(BD96*financing!$E$15/12,financing!$D$59-SUM(reserves!BC$6:BC96)-SUM(J$6:J97)),BD96*financing!$E$15/12)</f>
        <v>0</v>
      </c>
      <c r="BD97" s="947">
        <f t="shared" si="67"/>
        <v>0</v>
      </c>
      <c r="BE97" s="946"/>
      <c r="BF97" s="947">
        <f t="shared" si="52"/>
        <v>0</v>
      </c>
      <c r="BG97" s="947">
        <f>+IF(AND(BH96+BF97+MAX((BH96*(LIBOR!AA98)*(D97-D96)/360)+BY97,financing!$C$16-SUM(reserves!BG$6:BG96))-reserves!AD97&lt;=0,financing!$L$17&gt;=0),MAX((BH96*(LIBOR!AA98)*(D97-D96)/360)+BY97,financing!$C$16-SUM(reserves!BG$6:BG96)),(BH96*(LIBOR!AA98)*(D97-D96)/360)+BY97)</f>
        <v>0</v>
      </c>
      <c r="BH97" s="947">
        <f t="shared" si="53"/>
        <v>0</v>
      </c>
      <c r="BI97" s="946"/>
      <c r="BJ97" s="937"/>
      <c r="BK97" s="938">
        <f t="shared" si="68"/>
        <v>0</v>
      </c>
      <c r="BL97" s="939">
        <f>-S97+AJ97+AF97-AX97+AH97+AG97-BB97-BF97+'Development Cash Flow'!Y97</f>
        <v>0</v>
      </c>
      <c r="BM97" s="940"/>
      <c r="BN97" s="941">
        <f t="shared" si="63"/>
        <v>0</v>
      </c>
      <c r="BO97" s="940"/>
      <c r="BP97" s="942">
        <f t="shared" si="64"/>
        <v>0</v>
      </c>
      <c r="BS97" s="949" t="e">
        <f t="shared" si="69"/>
        <v>#DIV/0!</v>
      </c>
      <c r="BT97" s="922">
        <f>+IF(SUM(BT$5:BT96)&lt;1,IF(BU97=MAX($BU$6:$BU$54),1,0),0)</f>
        <v>0</v>
      </c>
      <c r="BU97" s="922">
        <f t="shared" si="70"/>
        <v>4000000</v>
      </c>
      <c r="BV97" s="943" t="str">
        <f t="shared" si="65"/>
        <v/>
      </c>
      <c r="BW97" s="922" t="str">
        <f t="shared" si="66"/>
        <v/>
      </c>
      <c r="BY97" s="208">
        <f>ROUND(IF(A97="Dev",IF(AND(BK97&gt;general!$D$23,SUM($BZ$6:$BZ96)&lt;1,financing!$L$15&gt;BH96+BF97),financing!$L$16*(BK97-BK96)/360*(financing!$L$15-BH96-BF97),0),0),-2)</f>
        <v>0</v>
      </c>
      <c r="BZ97" s="909">
        <f>+IF(AND(BH97&gt;=financing!$L$15,SUM(BZ$6:BZ96)=0),1,0)</f>
        <v>0</v>
      </c>
      <c r="CA97" s="950">
        <f t="shared" si="56"/>
        <v>0</v>
      </c>
      <c r="CD97" s="909">
        <f>SUM($S$6:S97)</f>
        <v>4000000</v>
      </c>
      <c r="CF97" s="208">
        <f>+IF(C97&lt;general!$C$22,0,IF(AND(C97=general!$C$22,OR(A97="Pred",A97="Dev")),SUM(S$6:S97),S97))</f>
        <v>0</v>
      </c>
    </row>
    <row r="98" spans="1:84" ht="16" hidden="1" outlineLevel="2">
      <c r="A98" s="906" t="str">
        <f>+'Development Cash Flow'!A98</f>
        <v>post dev</v>
      </c>
      <c r="B98" s="908"/>
      <c r="C98" s="944">
        <f>IF('Development Cash Flow'!D97&lt;general!$D$28,'Development Cash Flow'!C97+1,0)</f>
        <v>0</v>
      </c>
      <c r="D98" s="945">
        <f t="shared" si="23"/>
        <v>49064</v>
      </c>
      <c r="E98" s="945"/>
      <c r="F98" s="928">
        <f>'Development Cash Flow'!P98*D$4+SUM('Development Cash Flow'!Q98:T98)*F$4</f>
        <v>0</v>
      </c>
      <c r="G98" s="928">
        <f>'Development Cash Flow'!AL98-F98</f>
        <v>0</v>
      </c>
      <c r="H98" s="928"/>
      <c r="I98" s="928"/>
      <c r="J98" s="931">
        <f>+financing!$D$54/12*reserves!BD97</f>
        <v>0</v>
      </c>
      <c r="K98" s="928">
        <f>IF(C98=0,0,IF(C98=sales!$D$32,financing!$E$12*financing!$F$11,IF(OR(C98&gt;general!$C$27,C98&lt;sales!$D$32),0,IF((C98-sales!$D$32)/12=ROUND((C98-sales!$D$32)/12,0),financing!$E$12*financing!$F$11,0))))</f>
        <v>0</v>
      </c>
      <c r="L98" s="928"/>
      <c r="M98" s="928">
        <f t="shared" si="73"/>
        <v>0</v>
      </c>
      <c r="N98" s="946"/>
      <c r="O98" s="946">
        <f>IF(D98=general!$D$21,financing!$F$30,0)</f>
        <v>0</v>
      </c>
      <c r="P98" s="946">
        <f>+MIN(IF(D98&lt;=general!$D$24,SUM(F$6:F98)-SUM(P$6:P97),reserves!F98),AR97)</f>
        <v>0</v>
      </c>
      <c r="Q98" s="946">
        <f>+MAX(MIN(SUM(G$6:$G98)-R98,AN97,SUM(G$6:$G98)-SUM(Q$6:Q97)),0)</f>
        <v>0</v>
      </c>
      <c r="R98" s="946">
        <f>+IF(C98&gt;=sales!$D$36,'Development Cash Flow'!AL98,0)</f>
        <v>0</v>
      </c>
      <c r="S98" s="931">
        <f>IF(AND(A98=$A$5,C98&lt;financing!$D$55),M98-SUM(P98:R98,O98),MIN(M98-SUM(P98:R98,O98),financing!$F$10-SUM(S$5:S97)))</f>
        <v>0</v>
      </c>
      <c r="T98" s="931">
        <f>+MAX(MIN(IF(C98&gt;=financing!$D$55,M98-SUM(P98:S98)-J98,0),financing!$D$57-SUM(T$5:T97)),0)</f>
        <v>0</v>
      </c>
      <c r="U98" s="931">
        <f>+MAX(IF(C98&gt;=general!$C$23,M98-SUM(P98:T98),0)+IF(C98=general!$C$23,reserves!AZ97+AY98,0),0)</f>
        <v>0</v>
      </c>
      <c r="V98" s="946"/>
      <c r="W98" s="946">
        <f>SUMPRODUCT(--($C98=sales!$C$50:$C$54),sales!$F$50:$F$54)</f>
        <v>0</v>
      </c>
      <c r="X98" s="946">
        <f t="shared" si="44"/>
        <v>0</v>
      </c>
      <c r="Y98" s="946">
        <f t="shared" si="57"/>
        <v>0</v>
      </c>
      <c r="Z98" s="946">
        <f t="shared" si="45"/>
        <v>0</v>
      </c>
      <c r="AA98" s="946"/>
      <c r="AB98" s="932">
        <f>IF(C98=sales!$D$22,sales!$I$22,0)+IF(C98=sales!$D$23,sales!$I$23,0)+IF(C98=sales!$D$24,sales!$I$24,0)+IF(C98=sales!$D$25,sales!$I$25,0)+IF(C98=sales!$D$26,sales!$I$26,0)+IF(C98=sales!$D$27,sales!$I$27,0)</f>
        <v>0</v>
      </c>
      <c r="AC98" s="946"/>
      <c r="AD98" s="931">
        <f t="shared" si="58"/>
        <v>0</v>
      </c>
      <c r="AE98" s="932"/>
      <c r="AF98" s="932">
        <f t="shared" si="71"/>
        <v>0</v>
      </c>
      <c r="AG98" s="932">
        <f t="shared" si="72"/>
        <v>0</v>
      </c>
      <c r="AH98" s="931">
        <f t="shared" si="54"/>
        <v>0</v>
      </c>
      <c r="AI98" s="932"/>
      <c r="AJ98" s="931">
        <f t="shared" si="55"/>
        <v>0</v>
      </c>
      <c r="AK98" s="946"/>
      <c r="AL98" s="947">
        <f>+IF(financing!$C$12="YES",'Development Cash Flow'!M98,0)</f>
        <v>0</v>
      </c>
      <c r="AM98" s="947">
        <f t="shared" si="59"/>
        <v>0</v>
      </c>
      <c r="AN98" s="947">
        <f t="shared" si="46"/>
        <v>0</v>
      </c>
      <c r="AO98" s="946"/>
      <c r="AP98" s="947">
        <f>+SUM('Development Cash Flow'!G98:J98)-'Development Cash Flow'!M98</f>
        <v>0</v>
      </c>
      <c r="AQ98" s="947">
        <f t="shared" si="60"/>
        <v>0</v>
      </c>
      <c r="AR98" s="947">
        <f t="shared" si="47"/>
        <v>0</v>
      </c>
      <c r="AS98" s="946"/>
      <c r="AT98" s="947">
        <f t="shared" si="48"/>
        <v>0</v>
      </c>
      <c r="AU98" s="947">
        <f t="shared" si="49"/>
        <v>0</v>
      </c>
      <c r="AV98" s="948">
        <f t="shared" si="50"/>
        <v>0</v>
      </c>
      <c r="AW98" s="946"/>
      <c r="AX98" s="947">
        <f t="shared" si="61"/>
        <v>0</v>
      </c>
      <c r="AY98" s="947">
        <f>+AZ97*financing!$E$30/12</f>
        <v>0</v>
      </c>
      <c r="AZ98" s="947">
        <f t="shared" si="51"/>
        <v>0</v>
      </c>
      <c r="BA98" s="946"/>
      <c r="BB98" s="947">
        <f t="shared" si="62"/>
        <v>0</v>
      </c>
      <c r="BC98" s="947">
        <f>+IF(AND(BD97+BB98+MAX(BD97*financing!$E$15/12,financing!$D$59-SUM(reserves!BC$6:BC97)-SUM(J$6:J98))-reserves!AD98&lt;=0,financing!$D$58&gt;=0),MAX(BD97*financing!$E$15/12,financing!$D$59-SUM(reserves!BC$6:BC97)-SUM(J$6:J98)),BD97*financing!$E$15/12)</f>
        <v>0</v>
      </c>
      <c r="BD98" s="947">
        <f t="shared" si="67"/>
        <v>0</v>
      </c>
      <c r="BE98" s="946"/>
      <c r="BF98" s="947">
        <f t="shared" si="52"/>
        <v>0</v>
      </c>
      <c r="BG98" s="947">
        <f>+IF(AND(BH97+BF98+MAX((BH97*(LIBOR!AA99)*(D98-D97)/360)+BY98,financing!$C$16-SUM(reserves!BG$6:BG97))-reserves!AD98&lt;=0,financing!$L$17&gt;=0),MAX((BH97*(LIBOR!AA99)*(D98-D97)/360)+BY98,financing!$C$16-SUM(reserves!BG$6:BG97)),(BH97*(LIBOR!AA99)*(D98-D97)/360)+BY98)</f>
        <v>0</v>
      </c>
      <c r="BH98" s="947">
        <f t="shared" si="53"/>
        <v>0</v>
      </c>
      <c r="BI98" s="946"/>
      <c r="BJ98" s="937"/>
      <c r="BK98" s="938">
        <f t="shared" si="68"/>
        <v>0</v>
      </c>
      <c r="BL98" s="939">
        <f>-S98+AJ98+AF98-AX98+AH98+AG98-BB98-BF98+'Development Cash Flow'!Y98</f>
        <v>0</v>
      </c>
      <c r="BM98" s="940"/>
      <c r="BN98" s="941">
        <f t="shared" si="63"/>
        <v>0</v>
      </c>
      <c r="BO98" s="940"/>
      <c r="BP98" s="942">
        <f t="shared" si="64"/>
        <v>0</v>
      </c>
      <c r="BS98" s="949" t="e">
        <f t="shared" si="69"/>
        <v>#DIV/0!</v>
      </c>
      <c r="BT98" s="922">
        <f>+IF(SUM(BT$5:BT97)&lt;1,IF(BU98=MAX($BU$6:$BU$54),1,0),0)</f>
        <v>0</v>
      </c>
      <c r="BU98" s="922">
        <f t="shared" si="70"/>
        <v>4000000</v>
      </c>
      <c r="BV98" s="943" t="str">
        <f t="shared" si="65"/>
        <v/>
      </c>
      <c r="BW98" s="922" t="str">
        <f t="shared" si="66"/>
        <v/>
      </c>
      <c r="BY98" s="208">
        <f>ROUND(IF(A98="Dev",IF(AND(BK98&gt;general!$D$23,SUM($BZ$6:$BZ97)&lt;1,financing!$L$15&gt;BH97+BF98),financing!$L$16*(BK98-BK97)/360*(financing!$L$15-BH97-BF98),0),0),-2)</f>
        <v>0</v>
      </c>
      <c r="BZ98" s="909">
        <f>+IF(AND(BH98&gt;=financing!$L$15,SUM(BZ$6:BZ97)=0),1,0)</f>
        <v>0</v>
      </c>
      <c r="CA98" s="950">
        <f t="shared" si="56"/>
        <v>0</v>
      </c>
      <c r="CD98" s="909">
        <f>SUM($S$6:S98)</f>
        <v>4000000</v>
      </c>
      <c r="CF98" s="208">
        <f>+IF(C98&lt;general!$C$22,0,IF(AND(C98=general!$C$22,OR(A98="Pred",A98="Dev")),SUM(S$6:S98),S98))</f>
        <v>0</v>
      </c>
    </row>
    <row r="99" spans="1:84" ht="16" hidden="1" outlineLevel="2">
      <c r="A99" s="906" t="str">
        <f>+'Development Cash Flow'!A99</f>
        <v>post dev</v>
      </c>
      <c r="B99" s="908"/>
      <c r="C99" s="944">
        <f>IF('Development Cash Flow'!D98&lt;general!$D$28,'Development Cash Flow'!C98+1,0)</f>
        <v>0</v>
      </c>
      <c r="D99" s="945">
        <f t="shared" si="23"/>
        <v>49095</v>
      </c>
      <c r="E99" s="945"/>
      <c r="F99" s="928">
        <f>'Development Cash Flow'!P99*D$4+SUM('Development Cash Flow'!Q99:T99)*F$4</f>
        <v>0</v>
      </c>
      <c r="G99" s="928">
        <f>'Development Cash Flow'!AL99-F99</f>
        <v>0</v>
      </c>
      <c r="H99" s="928"/>
      <c r="I99" s="928"/>
      <c r="J99" s="931">
        <f>+financing!$D$54/12*reserves!BD98</f>
        <v>0</v>
      </c>
      <c r="K99" s="928">
        <f>IF(C99=0,0,IF(C99=sales!$D$32,financing!$E$12*financing!$F$11,IF(OR(C99&gt;general!$C$27,C99&lt;sales!$D$32),0,IF((C99-sales!$D$32)/12=ROUND((C99-sales!$D$32)/12,0),financing!$E$12*financing!$F$11,0))))</f>
        <v>0</v>
      </c>
      <c r="L99" s="928"/>
      <c r="M99" s="928">
        <f t="shared" si="73"/>
        <v>0</v>
      </c>
      <c r="N99" s="946"/>
      <c r="O99" s="946">
        <f>IF(D99=general!$D$21,financing!$F$30,0)</f>
        <v>0</v>
      </c>
      <c r="P99" s="946">
        <f>+MIN(IF(D99&lt;=general!$D$24,SUM(F$6:F99)-SUM(P$6:P98),reserves!F99),AR98)</f>
        <v>0</v>
      </c>
      <c r="Q99" s="946">
        <f>+MAX(MIN(SUM(G$6:$G99)-R99,AN98,SUM(G$6:$G99)-SUM(Q$6:Q98)),0)</f>
        <v>0</v>
      </c>
      <c r="R99" s="946">
        <f>+IF(C99&gt;=sales!$D$36,'Development Cash Flow'!AL99,0)</f>
        <v>0</v>
      </c>
      <c r="S99" s="931">
        <f>IF(AND(A99=$A$5,C99&lt;financing!$D$55),M99-SUM(P99:R99,O99),MIN(M99-SUM(P99:R99,O99),financing!$F$10-SUM(S$5:S98)))</f>
        <v>0</v>
      </c>
      <c r="T99" s="931">
        <f>+MAX(MIN(IF(C99&gt;=financing!$D$55,M99-SUM(P99:S99)-J99,0),financing!$D$57-SUM(T$5:T98)),0)</f>
        <v>0</v>
      </c>
      <c r="U99" s="931">
        <f>+MAX(IF(C99&gt;=general!$C$23,M99-SUM(P99:T99),0)+IF(C99=general!$C$23,reserves!AZ98+AY99,0),0)</f>
        <v>0</v>
      </c>
      <c r="V99" s="946"/>
      <c r="W99" s="946">
        <f>SUMPRODUCT(--($C99=sales!$C$50:$C$54),sales!$F$50:$F$54)</f>
        <v>0</v>
      </c>
      <c r="X99" s="946">
        <f t="shared" si="44"/>
        <v>0</v>
      </c>
      <c r="Y99" s="946">
        <f t="shared" si="57"/>
        <v>0</v>
      </c>
      <c r="Z99" s="946">
        <f t="shared" si="45"/>
        <v>0</v>
      </c>
      <c r="AA99" s="946"/>
      <c r="AB99" s="932">
        <f>IF(C99=sales!$D$22,sales!$I$22,0)+IF(C99=sales!$D$23,sales!$I$23,0)+IF(C99=sales!$D$24,sales!$I$24,0)+IF(C99=sales!$D$25,sales!$I$25,0)+IF(C99=sales!$D$26,sales!$I$26,0)+IF(C99=sales!$D$27,sales!$I$27,0)</f>
        <v>0</v>
      </c>
      <c r="AC99" s="946"/>
      <c r="AD99" s="931">
        <f t="shared" si="58"/>
        <v>0</v>
      </c>
      <c r="AE99" s="932"/>
      <c r="AF99" s="932">
        <f t="shared" si="71"/>
        <v>0</v>
      </c>
      <c r="AG99" s="932">
        <f t="shared" si="72"/>
        <v>0</v>
      </c>
      <c r="AH99" s="931">
        <f t="shared" si="54"/>
        <v>0</v>
      </c>
      <c r="AI99" s="932"/>
      <c r="AJ99" s="931">
        <f t="shared" si="55"/>
        <v>0</v>
      </c>
      <c r="AK99" s="946"/>
      <c r="AL99" s="947">
        <f>+IF(financing!$C$12="YES",'Development Cash Flow'!M99,0)</f>
        <v>0</v>
      </c>
      <c r="AM99" s="947">
        <f t="shared" si="59"/>
        <v>0</v>
      </c>
      <c r="AN99" s="947">
        <f t="shared" si="46"/>
        <v>0</v>
      </c>
      <c r="AO99" s="946"/>
      <c r="AP99" s="947">
        <f>+SUM('Development Cash Flow'!G99:J99)-'Development Cash Flow'!M99</f>
        <v>0</v>
      </c>
      <c r="AQ99" s="947">
        <f t="shared" si="60"/>
        <v>0</v>
      </c>
      <c r="AR99" s="947">
        <f t="shared" si="47"/>
        <v>0</v>
      </c>
      <c r="AS99" s="946"/>
      <c r="AT99" s="947">
        <f t="shared" si="48"/>
        <v>0</v>
      </c>
      <c r="AU99" s="947">
        <f t="shared" si="49"/>
        <v>0</v>
      </c>
      <c r="AV99" s="948">
        <f t="shared" si="50"/>
        <v>0</v>
      </c>
      <c r="AW99" s="946"/>
      <c r="AX99" s="947">
        <f t="shared" si="61"/>
        <v>0</v>
      </c>
      <c r="AY99" s="947">
        <f>+AZ98*financing!$E$30/12</f>
        <v>0</v>
      </c>
      <c r="AZ99" s="947">
        <f t="shared" si="51"/>
        <v>0</v>
      </c>
      <c r="BA99" s="946"/>
      <c r="BB99" s="947">
        <f t="shared" si="62"/>
        <v>0</v>
      </c>
      <c r="BC99" s="947">
        <f>+IF(AND(BD98+BB99+MAX(BD98*financing!$E$15/12,financing!$D$59-SUM(reserves!BC$6:BC98)-SUM(J$6:J99))-reserves!AD99&lt;=0,financing!$D$58&gt;=0),MAX(BD98*financing!$E$15/12,financing!$D$59-SUM(reserves!BC$6:BC98)-SUM(J$6:J99)),BD98*financing!$E$15/12)</f>
        <v>0</v>
      </c>
      <c r="BD99" s="947">
        <f t="shared" si="67"/>
        <v>0</v>
      </c>
      <c r="BE99" s="946"/>
      <c r="BF99" s="947">
        <f t="shared" si="52"/>
        <v>0</v>
      </c>
      <c r="BG99" s="947">
        <f>+IF(AND(BH98+BF99+MAX((BH98*(LIBOR!AA100)*(D99-D98)/360)+BY99,financing!$C$16-SUM(reserves!BG$6:BG98))-reserves!AD99&lt;=0,financing!$L$17&gt;=0),MAX((BH98*(LIBOR!AA100)*(D99-D98)/360)+BY99,financing!$C$16-SUM(reserves!BG$6:BG98)),(BH98*(LIBOR!AA100)*(D99-D98)/360)+BY99)</f>
        <v>0</v>
      </c>
      <c r="BH99" s="947">
        <f t="shared" si="53"/>
        <v>0</v>
      </c>
      <c r="BI99" s="946"/>
      <c r="BJ99" s="937"/>
      <c r="BK99" s="938">
        <f t="shared" si="68"/>
        <v>0</v>
      </c>
      <c r="BL99" s="939">
        <f>-S99+AJ99+AF99-AX99+AH99+AG99-BB99-BF99+'Development Cash Flow'!Y99</f>
        <v>0</v>
      </c>
      <c r="BM99" s="940"/>
      <c r="BN99" s="941">
        <f t="shared" si="63"/>
        <v>0</v>
      </c>
      <c r="BO99" s="940"/>
      <c r="BP99" s="942">
        <f t="shared" si="64"/>
        <v>0</v>
      </c>
      <c r="BS99" s="949" t="e">
        <f t="shared" si="69"/>
        <v>#DIV/0!</v>
      </c>
      <c r="BT99" s="922">
        <f>+IF(SUM(BT$5:BT98)&lt;1,IF(BU99=MAX($BU$6:$BU$54),1,0),0)</f>
        <v>0</v>
      </c>
      <c r="BU99" s="922">
        <f t="shared" si="70"/>
        <v>4000000</v>
      </c>
      <c r="BV99" s="943" t="str">
        <f t="shared" si="65"/>
        <v/>
      </c>
      <c r="BW99" s="922" t="str">
        <f t="shared" si="66"/>
        <v/>
      </c>
      <c r="BY99" s="208">
        <f>ROUND(IF(A99="Dev",IF(AND(BK99&gt;general!$D$23,SUM($BZ$6:$BZ98)&lt;1,financing!$L$15&gt;BH98+BF99),financing!$L$16*(BK99-BK98)/360*(financing!$L$15-BH98-BF99),0),0),-2)</f>
        <v>0</v>
      </c>
      <c r="BZ99" s="909">
        <f>+IF(AND(BH99&gt;=financing!$L$15,SUM(BZ$6:BZ98)=0),1,0)</f>
        <v>0</v>
      </c>
      <c r="CA99" s="950">
        <f t="shared" si="56"/>
        <v>0</v>
      </c>
      <c r="CD99" s="909">
        <f>SUM($S$6:S99)</f>
        <v>4000000</v>
      </c>
      <c r="CF99" s="208">
        <f>+IF(C99&lt;general!$C$22,0,IF(AND(C99=general!$C$22,OR(A99="Pred",A99="Dev")),SUM(S$6:S99),S99))</f>
        <v>0</v>
      </c>
    </row>
    <row r="100" spans="1:84" ht="16" hidden="1" outlineLevel="2">
      <c r="A100" s="906" t="str">
        <f>+'Development Cash Flow'!A100</f>
        <v>post dev</v>
      </c>
      <c r="B100" s="908"/>
      <c r="C100" s="944">
        <f>IF('Development Cash Flow'!D99&lt;general!$D$28,'Development Cash Flow'!C99+1,0)</f>
        <v>0</v>
      </c>
      <c r="D100" s="945">
        <f t="shared" si="23"/>
        <v>49125</v>
      </c>
      <c r="E100" s="945"/>
      <c r="F100" s="928">
        <f>'Development Cash Flow'!P100*D$4+SUM('Development Cash Flow'!Q100:T100)*F$4</f>
        <v>0</v>
      </c>
      <c r="G100" s="928">
        <f>'Development Cash Flow'!AL100-F100</f>
        <v>0</v>
      </c>
      <c r="H100" s="928"/>
      <c r="I100" s="928"/>
      <c r="J100" s="931">
        <f>+financing!$D$54/12*reserves!BD99</f>
        <v>0</v>
      </c>
      <c r="K100" s="928">
        <f>IF(C100=0,0,IF(C100=sales!$D$32,financing!$E$12*financing!$F$11,IF(OR(C100&gt;general!$C$27,C100&lt;sales!$D$32),0,IF((C100-sales!$D$32)/12=ROUND((C100-sales!$D$32)/12,0),financing!$E$12*financing!$F$11,0))))</f>
        <v>0</v>
      </c>
      <c r="L100" s="928"/>
      <c r="M100" s="928">
        <f t="shared" si="73"/>
        <v>0</v>
      </c>
      <c r="N100" s="946"/>
      <c r="O100" s="946">
        <f>IF(D100=general!$D$21,financing!$F$30,0)</f>
        <v>0</v>
      </c>
      <c r="P100" s="946">
        <f>+MIN(IF(D100&lt;=general!$D$24,SUM(F$6:F100)-SUM(P$6:P99),reserves!F100),AR99)</f>
        <v>0</v>
      </c>
      <c r="Q100" s="946">
        <f>+MAX(MIN(SUM(G$6:$G100)-R100,AN99,SUM(G$6:$G100)-SUM(Q$6:Q99)),0)</f>
        <v>0</v>
      </c>
      <c r="R100" s="946">
        <f>+IF(C100&gt;=sales!$D$36,'Development Cash Flow'!AL100,0)</f>
        <v>0</v>
      </c>
      <c r="S100" s="931">
        <f>IF(AND(A100=$A$5,C100&lt;financing!$D$55),M100-SUM(P100:R100,O100),MIN(M100-SUM(P100:R100,O100),financing!$F$10-SUM(S$5:S99)))</f>
        <v>0</v>
      </c>
      <c r="T100" s="931">
        <f>+MAX(MIN(IF(C100&gt;=financing!$D$55,M100-SUM(P100:S100)-J100,0),financing!$D$57-SUM(T$5:T99)),0)</f>
        <v>0</v>
      </c>
      <c r="U100" s="931">
        <f>+MAX(IF(C100&gt;=general!$C$23,M100-SUM(P100:T100),0)+IF(C100=general!$C$23,reserves!AZ99+AY100,0),0)</f>
        <v>0</v>
      </c>
      <c r="V100" s="946"/>
      <c r="W100" s="946">
        <f>SUMPRODUCT(--($C100=sales!$C$50:$C$54),sales!$F$50:$F$54)</f>
        <v>0</v>
      </c>
      <c r="X100" s="946">
        <f t="shared" si="44"/>
        <v>0</v>
      </c>
      <c r="Y100" s="946">
        <f t="shared" si="57"/>
        <v>0</v>
      </c>
      <c r="Z100" s="946">
        <f t="shared" si="45"/>
        <v>0</v>
      </c>
      <c r="AA100" s="946"/>
      <c r="AB100" s="932">
        <f>IF(C100=sales!$D$22,sales!$I$22,0)+IF(C100=sales!$D$23,sales!$I$23,0)+IF(C100=sales!$D$24,sales!$I$24,0)+IF(C100=sales!$D$25,sales!$I$25,0)+IF(C100=sales!$D$26,sales!$I$26,0)+IF(C100=sales!$D$27,sales!$I$27,0)</f>
        <v>0</v>
      </c>
      <c r="AC100" s="946"/>
      <c r="AD100" s="931">
        <f t="shared" si="58"/>
        <v>0</v>
      </c>
      <c r="AE100" s="932"/>
      <c r="AF100" s="932">
        <f t="shared" si="71"/>
        <v>0</v>
      </c>
      <c r="AG100" s="932">
        <f t="shared" si="72"/>
        <v>0</v>
      </c>
      <c r="AH100" s="931">
        <f t="shared" si="54"/>
        <v>0</v>
      </c>
      <c r="AI100" s="932"/>
      <c r="AJ100" s="931">
        <f t="shared" si="55"/>
        <v>0</v>
      </c>
      <c r="AK100" s="946"/>
      <c r="AL100" s="947">
        <f>+IF(financing!$C$12="YES",'Development Cash Flow'!M100,0)</f>
        <v>0</v>
      </c>
      <c r="AM100" s="947">
        <f t="shared" si="59"/>
        <v>0</v>
      </c>
      <c r="AN100" s="947">
        <f t="shared" si="46"/>
        <v>0</v>
      </c>
      <c r="AO100" s="946"/>
      <c r="AP100" s="947">
        <f>+SUM('Development Cash Flow'!G100:J100)-'Development Cash Flow'!M100</f>
        <v>0</v>
      </c>
      <c r="AQ100" s="947">
        <f t="shared" si="60"/>
        <v>0</v>
      </c>
      <c r="AR100" s="947">
        <f t="shared" si="47"/>
        <v>0</v>
      </c>
      <c r="AS100" s="946"/>
      <c r="AT100" s="947">
        <f t="shared" si="48"/>
        <v>0</v>
      </c>
      <c r="AU100" s="947">
        <f t="shared" si="49"/>
        <v>0</v>
      </c>
      <c r="AV100" s="948">
        <f t="shared" si="50"/>
        <v>0</v>
      </c>
      <c r="AW100" s="946"/>
      <c r="AX100" s="947">
        <f t="shared" si="61"/>
        <v>0</v>
      </c>
      <c r="AY100" s="947">
        <f>+AZ99*financing!$E$30/12</f>
        <v>0</v>
      </c>
      <c r="AZ100" s="947">
        <f t="shared" si="51"/>
        <v>0</v>
      </c>
      <c r="BA100" s="946"/>
      <c r="BB100" s="947">
        <f t="shared" si="62"/>
        <v>0</v>
      </c>
      <c r="BC100" s="947">
        <f>+IF(AND(BD99+BB100+MAX(BD99*financing!$E$15/12,financing!$D$59-SUM(reserves!BC$6:BC99)-SUM(J$6:J100))-reserves!AD100&lt;=0,financing!$D$58&gt;=0),MAX(BD99*financing!$E$15/12,financing!$D$59-SUM(reserves!BC$6:BC99)-SUM(J$6:J100)),BD99*financing!$E$15/12)</f>
        <v>0</v>
      </c>
      <c r="BD100" s="947">
        <f t="shared" si="67"/>
        <v>0</v>
      </c>
      <c r="BE100" s="946"/>
      <c r="BF100" s="947">
        <f t="shared" si="52"/>
        <v>0</v>
      </c>
      <c r="BG100" s="947">
        <f>+IF(AND(BH99+BF100+MAX((BH99*(LIBOR!AA101)*(D100-D99)/360)+BY100,financing!$C$16-SUM(reserves!BG$6:BG99))-reserves!AD100&lt;=0,financing!$L$17&gt;=0),MAX((BH99*(LIBOR!AA101)*(D100-D99)/360)+BY100,financing!$C$16-SUM(reserves!BG$6:BG99)),(BH99*(LIBOR!AA101)*(D100-D99)/360)+BY100)</f>
        <v>0</v>
      </c>
      <c r="BH100" s="947">
        <f t="shared" si="53"/>
        <v>0</v>
      </c>
      <c r="BI100" s="946"/>
      <c r="BJ100" s="937"/>
      <c r="BK100" s="938">
        <f t="shared" si="68"/>
        <v>0</v>
      </c>
      <c r="BL100" s="939">
        <f>-S100+AJ100+AF100-AX100+AH100+AG100-BB100-BF100+'Development Cash Flow'!Y100</f>
        <v>0</v>
      </c>
      <c r="BM100" s="940"/>
      <c r="BN100" s="941">
        <f t="shared" si="63"/>
        <v>0</v>
      </c>
      <c r="BO100" s="940"/>
      <c r="BP100" s="942">
        <f t="shared" si="64"/>
        <v>0</v>
      </c>
      <c r="BS100" s="949" t="e">
        <f t="shared" si="69"/>
        <v>#DIV/0!</v>
      </c>
      <c r="BT100" s="922">
        <f>+IF(SUM(BT$5:BT99)&lt;1,IF(BU100=MAX($BU$6:$BU$54),1,0),0)</f>
        <v>0</v>
      </c>
      <c r="BU100" s="922">
        <f t="shared" si="70"/>
        <v>4000000</v>
      </c>
      <c r="BV100" s="943" t="str">
        <f t="shared" si="65"/>
        <v/>
      </c>
      <c r="BW100" s="922" t="str">
        <f t="shared" si="66"/>
        <v/>
      </c>
      <c r="BY100" s="208">
        <f>ROUND(IF(A100="Dev",IF(AND(BK100&gt;general!$D$23,SUM($BZ$6:$BZ99)&lt;1,financing!$L$15&gt;BH99+BF100),financing!$L$16*(BK100-BK99)/360*(financing!$L$15-BH99-BF100),0),0),-2)</f>
        <v>0</v>
      </c>
      <c r="BZ100" s="909">
        <f>+IF(AND(BH100&gt;=financing!$L$15,SUM(BZ$6:BZ99)=0),1,0)</f>
        <v>0</v>
      </c>
      <c r="CA100" s="950">
        <f t="shared" si="56"/>
        <v>0</v>
      </c>
      <c r="CD100" s="909">
        <f>SUM($S$6:S100)</f>
        <v>4000000</v>
      </c>
      <c r="CF100" s="208">
        <f>+IF(C100&lt;general!$C$22,0,IF(AND(C100=general!$C$22,OR(A100="Pred",A100="Dev")),SUM(S$6:S100),S100))</f>
        <v>0</v>
      </c>
    </row>
    <row r="101" spans="1:84" ht="16" hidden="1" outlineLevel="2">
      <c r="A101" s="906" t="str">
        <f>+'Development Cash Flow'!A101</f>
        <v>post dev</v>
      </c>
      <c r="B101" s="908"/>
      <c r="C101" s="944">
        <f>IF('Development Cash Flow'!D100&lt;general!$D$28,'Development Cash Flow'!C100+1,0)</f>
        <v>0</v>
      </c>
      <c r="D101" s="945">
        <f t="shared" si="23"/>
        <v>49156</v>
      </c>
      <c r="E101" s="945"/>
      <c r="F101" s="928">
        <f>'Development Cash Flow'!P101*D$4+SUM('Development Cash Flow'!Q101:T101)*F$4</f>
        <v>0</v>
      </c>
      <c r="G101" s="928">
        <f>'Development Cash Flow'!AL101-F101</f>
        <v>0</v>
      </c>
      <c r="H101" s="928"/>
      <c r="I101" s="928"/>
      <c r="J101" s="931">
        <f>+financing!$D$54/12*reserves!BD100</f>
        <v>0</v>
      </c>
      <c r="K101" s="928">
        <f>IF(C101=0,0,IF(C101=sales!$D$32,financing!$E$12*financing!$F$11,IF(OR(C101&gt;general!$C$27,C101&lt;sales!$D$32),0,IF((C101-sales!$D$32)/12=ROUND((C101-sales!$D$32)/12,0),financing!$E$12*financing!$F$11,0))))</f>
        <v>0</v>
      </c>
      <c r="L101" s="928"/>
      <c r="M101" s="928">
        <f t="shared" si="73"/>
        <v>0</v>
      </c>
      <c r="N101" s="946"/>
      <c r="O101" s="946">
        <f>IF(D101=general!$D$21,financing!$F$30,0)</f>
        <v>0</v>
      </c>
      <c r="P101" s="946">
        <f>+MIN(IF(D101&lt;=general!$D$24,SUM(F$6:F101)-SUM(P$6:P100),reserves!F101),AR100)</f>
        <v>0</v>
      </c>
      <c r="Q101" s="946">
        <f>+MAX(MIN(SUM(G$6:$G101)-R101,AN100,SUM(G$6:$G101)-SUM(Q$6:Q100)),0)</f>
        <v>0</v>
      </c>
      <c r="R101" s="946">
        <f>+IF(C101&gt;=sales!$D$36,'Development Cash Flow'!AL101,0)</f>
        <v>0</v>
      </c>
      <c r="S101" s="931">
        <f>IF(AND(A101=$A$5,C101&lt;financing!$D$55),M101-SUM(P101:R101,O101),MIN(M101-SUM(P101:R101,O101),financing!$F$10-SUM(S$5:S100)))</f>
        <v>0</v>
      </c>
      <c r="T101" s="931">
        <f>+MAX(MIN(IF(C101&gt;=financing!$D$55,M101-SUM(P101:S101)-J101,0),financing!$D$57-SUM(T$5:T100)),0)</f>
        <v>0</v>
      </c>
      <c r="U101" s="931">
        <f>+MAX(IF(C101&gt;=general!$C$23,M101-SUM(P101:T101),0)+IF(C101=general!$C$23,reserves!AZ100+AY101,0),0)</f>
        <v>0</v>
      </c>
      <c r="V101" s="946"/>
      <c r="W101" s="946">
        <f>SUMPRODUCT(--($C101=sales!$C$50:$C$54),sales!$F$50:$F$54)</f>
        <v>0</v>
      </c>
      <c r="X101" s="946">
        <f t="shared" si="44"/>
        <v>0</v>
      </c>
      <c r="Y101" s="946">
        <f t="shared" si="57"/>
        <v>0</v>
      </c>
      <c r="Z101" s="946">
        <f t="shared" si="45"/>
        <v>0</v>
      </c>
      <c r="AA101" s="946"/>
      <c r="AB101" s="932">
        <f>IF(C101=sales!$D$22,sales!$I$22,0)+IF(C101=sales!$D$23,sales!$I$23,0)+IF(C101=sales!$D$24,sales!$I$24,0)+IF(C101=sales!$D$25,sales!$I$25,0)+IF(C101=sales!$D$26,sales!$I$26,0)+IF(C101=sales!$D$27,sales!$I$27,0)</f>
        <v>0</v>
      </c>
      <c r="AC101" s="946"/>
      <c r="AD101" s="931">
        <f t="shared" si="58"/>
        <v>0</v>
      </c>
      <c r="AE101" s="932"/>
      <c r="AF101" s="932">
        <f t="shared" si="71"/>
        <v>0</v>
      </c>
      <c r="AG101" s="932">
        <f t="shared" si="72"/>
        <v>0</v>
      </c>
      <c r="AH101" s="931">
        <f t="shared" si="54"/>
        <v>0</v>
      </c>
      <c r="AI101" s="932"/>
      <c r="AJ101" s="931">
        <f t="shared" si="55"/>
        <v>0</v>
      </c>
      <c r="AK101" s="946"/>
      <c r="AL101" s="947">
        <f>+IF(financing!$C$12="YES",'Development Cash Flow'!M101,0)</f>
        <v>0</v>
      </c>
      <c r="AM101" s="947">
        <f t="shared" si="59"/>
        <v>0</v>
      </c>
      <c r="AN101" s="947">
        <f t="shared" si="46"/>
        <v>0</v>
      </c>
      <c r="AO101" s="946"/>
      <c r="AP101" s="947">
        <f>+SUM('Development Cash Flow'!G101:J101)-'Development Cash Flow'!M101</f>
        <v>0</v>
      </c>
      <c r="AQ101" s="947">
        <f t="shared" si="60"/>
        <v>0</v>
      </c>
      <c r="AR101" s="947">
        <f t="shared" si="47"/>
        <v>0</v>
      </c>
      <c r="AS101" s="946"/>
      <c r="AT101" s="947">
        <f t="shared" si="48"/>
        <v>0</v>
      </c>
      <c r="AU101" s="947">
        <f t="shared" si="49"/>
        <v>0</v>
      </c>
      <c r="AV101" s="948">
        <f t="shared" si="50"/>
        <v>0</v>
      </c>
      <c r="AW101" s="946"/>
      <c r="AX101" s="947">
        <f t="shared" si="61"/>
        <v>0</v>
      </c>
      <c r="AY101" s="947">
        <f>+AZ100*financing!$E$30/12</f>
        <v>0</v>
      </c>
      <c r="AZ101" s="947">
        <f t="shared" si="51"/>
        <v>0</v>
      </c>
      <c r="BA101" s="946"/>
      <c r="BB101" s="947">
        <f t="shared" si="62"/>
        <v>0</v>
      </c>
      <c r="BC101" s="947">
        <f>+IF(AND(BD100+BB101+MAX(BD100*financing!$E$15/12,financing!$D$59-SUM(reserves!BC$6:BC100)-SUM(J$6:J101))-reserves!AD101&lt;=0,financing!$D$58&gt;=0),MAX(BD100*financing!$E$15/12,financing!$D$59-SUM(reserves!BC$6:BC100)-SUM(J$6:J101)),BD100*financing!$E$15/12)</f>
        <v>0</v>
      </c>
      <c r="BD101" s="947">
        <f t="shared" si="67"/>
        <v>0</v>
      </c>
      <c r="BE101" s="946"/>
      <c r="BF101" s="947">
        <f t="shared" si="52"/>
        <v>0</v>
      </c>
      <c r="BG101" s="947">
        <f>+IF(AND(BH100+BF101+MAX((BH100*(LIBOR!AA102)*(D101-D100)/360)+BY101,financing!$C$16-SUM(reserves!BG$6:BG100))-reserves!AD101&lt;=0,financing!$L$17&gt;=0),MAX((BH100*(LIBOR!AA102)*(D101-D100)/360)+BY101,financing!$C$16-SUM(reserves!BG$6:BG100)),(BH100*(LIBOR!AA102)*(D101-D100)/360)+BY101)</f>
        <v>0</v>
      </c>
      <c r="BH101" s="947">
        <f t="shared" si="53"/>
        <v>0</v>
      </c>
      <c r="BI101" s="946"/>
      <c r="BJ101" s="937"/>
      <c r="BK101" s="938">
        <f t="shared" si="68"/>
        <v>0</v>
      </c>
      <c r="BL101" s="939">
        <f>-S101+AJ101+AF101-AX101+AH101+AG101-BB101-BF101+'Development Cash Flow'!Y101</f>
        <v>0</v>
      </c>
      <c r="BM101" s="940"/>
      <c r="BN101" s="941">
        <f t="shared" si="63"/>
        <v>0</v>
      </c>
      <c r="BO101" s="940"/>
      <c r="BP101" s="942">
        <f t="shared" si="64"/>
        <v>0</v>
      </c>
      <c r="BS101" s="949" t="e">
        <f t="shared" si="69"/>
        <v>#DIV/0!</v>
      </c>
      <c r="BT101" s="922">
        <f>+IF(SUM(BT$5:BT100)&lt;1,IF(BU101=MAX($BU$6:$BU$54),1,0),0)</f>
        <v>0</v>
      </c>
      <c r="BU101" s="922">
        <f t="shared" si="70"/>
        <v>4000000</v>
      </c>
      <c r="BV101" s="943" t="str">
        <f t="shared" si="65"/>
        <v/>
      </c>
      <c r="BW101" s="922" t="str">
        <f t="shared" si="66"/>
        <v/>
      </c>
      <c r="BY101" s="208">
        <f>ROUND(IF(A101="Dev",IF(AND(BK101&gt;general!$D$23,SUM($BZ$6:$BZ100)&lt;1,financing!$L$15&gt;BH100+BF101),financing!$L$16*(BK101-BK100)/360*(financing!$L$15-BH100-BF101),0),0),-2)</f>
        <v>0</v>
      </c>
      <c r="BZ101" s="909">
        <f>+IF(AND(BH101&gt;=financing!$L$15,SUM(BZ$6:BZ100)=0),1,0)</f>
        <v>0</v>
      </c>
      <c r="CA101" s="950">
        <f t="shared" si="56"/>
        <v>0</v>
      </c>
      <c r="CD101" s="909">
        <f>SUM($S$6:S101)</f>
        <v>4000000</v>
      </c>
      <c r="CF101" s="208">
        <f>+IF(C101&lt;general!$C$22,0,IF(AND(C101=general!$C$22,OR(A101="Pred",A101="Dev")),SUM(S$6:S101),S101))</f>
        <v>0</v>
      </c>
    </row>
    <row r="102" spans="1:84" ht="16" hidden="1" outlineLevel="2">
      <c r="A102" s="906" t="str">
        <f>+'Development Cash Flow'!A102</f>
        <v>post dev</v>
      </c>
      <c r="B102" s="908"/>
      <c r="C102" s="944">
        <f>IF('Development Cash Flow'!D101&lt;general!$D$28,'Development Cash Flow'!C101+1,0)</f>
        <v>0</v>
      </c>
      <c r="D102" s="945">
        <f t="shared" si="23"/>
        <v>49187</v>
      </c>
      <c r="E102" s="945"/>
      <c r="F102" s="928">
        <f>'Development Cash Flow'!P102*D$4+SUM('Development Cash Flow'!Q102:T102)*F$4</f>
        <v>0</v>
      </c>
      <c r="G102" s="928">
        <f>'Development Cash Flow'!AL102-F102</f>
        <v>0</v>
      </c>
      <c r="H102" s="928"/>
      <c r="I102" s="928"/>
      <c r="J102" s="931">
        <f>+financing!$D$54/12*reserves!BD101</f>
        <v>0</v>
      </c>
      <c r="K102" s="928">
        <f>IF(C102=0,0,IF(C102=sales!$D$32,financing!$E$12*financing!$F$11,IF(OR(C102&gt;general!$C$27,C102&lt;sales!$D$32),0,IF((C102-sales!$D$32)/12=ROUND((C102-sales!$D$32)/12,0),financing!$E$12*financing!$F$11,0))))</f>
        <v>0</v>
      </c>
      <c r="L102" s="928"/>
      <c r="M102" s="928">
        <f t="shared" si="73"/>
        <v>0</v>
      </c>
      <c r="N102" s="946"/>
      <c r="O102" s="946">
        <f>IF(D102=general!$D$21,financing!$F$30,0)</f>
        <v>0</v>
      </c>
      <c r="P102" s="946">
        <f>+MIN(IF(D102&lt;=general!$D$24,SUM(F$6:F102)-SUM(P$6:P101),reserves!F102),AR101)</f>
        <v>0</v>
      </c>
      <c r="Q102" s="946">
        <f>+MAX(MIN(SUM(G$6:$G102)-R102,AN101,SUM(G$6:$G102)-SUM(Q$6:Q101)),0)</f>
        <v>0</v>
      </c>
      <c r="R102" s="946">
        <f>+IF(C102&gt;=sales!$D$36,'Development Cash Flow'!AL102,0)</f>
        <v>0</v>
      </c>
      <c r="S102" s="931">
        <f>IF(AND(A102=$A$5,C102&lt;financing!$D$55),M102-SUM(P102:R102,O102),MIN(M102-SUM(P102:R102,O102),financing!$F$10-SUM(S$5:S101)))</f>
        <v>0</v>
      </c>
      <c r="T102" s="931">
        <f>+MAX(MIN(IF(C102&gt;=financing!$D$55,M102-SUM(P102:S102)-J102,0),financing!$D$57-SUM(T$5:T101)),0)</f>
        <v>0</v>
      </c>
      <c r="U102" s="931">
        <f>+MAX(IF(C102&gt;=general!$C$23,M102-SUM(P102:T102),0)+IF(C102=general!$C$23,reserves!AZ101+AY102,0),0)</f>
        <v>0</v>
      </c>
      <c r="V102" s="946"/>
      <c r="W102" s="946">
        <f>SUMPRODUCT(--($C102=sales!$C$50:$C$54),sales!$F$50:$F$54)</f>
        <v>0</v>
      </c>
      <c r="X102" s="946">
        <f t="shared" si="44"/>
        <v>0</v>
      </c>
      <c r="Y102" s="946">
        <f t="shared" ref="Y102:Y126" si="74">+R102</f>
        <v>0</v>
      </c>
      <c r="Z102" s="946">
        <f t="shared" si="45"/>
        <v>0</v>
      </c>
      <c r="AA102" s="946"/>
      <c r="AB102" s="932">
        <f>IF(C102=sales!$D$22,sales!$I$22,0)+IF(C102=sales!$D$23,sales!$I$23,0)+IF(C102=sales!$D$24,sales!$I$24,0)+IF(C102=sales!$D$25,sales!$I$25,0)+IF(C102=sales!$D$26,sales!$I$26,0)+IF(C102=sales!$D$27,sales!$I$27,0)</f>
        <v>0</v>
      </c>
      <c r="AC102" s="946"/>
      <c r="AD102" s="931">
        <f t="shared" ref="AD102:AD126" si="75">+SUM(O102:U102)-M102+Z102+AB102</f>
        <v>0</v>
      </c>
      <c r="AE102" s="932"/>
      <c r="AF102" s="932">
        <f t="shared" si="71"/>
        <v>0</v>
      </c>
      <c r="AG102" s="932">
        <f t="shared" si="72"/>
        <v>0</v>
      </c>
      <c r="AH102" s="931">
        <f t="shared" si="54"/>
        <v>0</v>
      </c>
      <c r="AI102" s="932"/>
      <c r="AJ102" s="931">
        <f t="shared" si="55"/>
        <v>0</v>
      </c>
      <c r="AK102" s="946"/>
      <c r="AL102" s="947">
        <f>+IF(financing!$C$12="YES",'Development Cash Flow'!M102,0)</f>
        <v>0</v>
      </c>
      <c r="AM102" s="947">
        <f t="shared" ref="AM102:AM126" si="76">+Q102</f>
        <v>0</v>
      </c>
      <c r="AN102" s="947">
        <f t="shared" si="46"/>
        <v>0</v>
      </c>
      <c r="AO102" s="946"/>
      <c r="AP102" s="947">
        <f>+SUM('Development Cash Flow'!G102:J102)-'Development Cash Flow'!M102</f>
        <v>0</v>
      </c>
      <c r="AQ102" s="947">
        <f t="shared" ref="AQ102:AQ126" si="77">+P102</f>
        <v>0</v>
      </c>
      <c r="AR102" s="947">
        <f t="shared" si="47"/>
        <v>0</v>
      </c>
      <c r="AS102" s="946"/>
      <c r="AT102" s="947">
        <f t="shared" si="48"/>
        <v>0</v>
      </c>
      <c r="AU102" s="947">
        <f t="shared" si="49"/>
        <v>0</v>
      </c>
      <c r="AV102" s="948">
        <f t="shared" si="50"/>
        <v>0</v>
      </c>
      <c r="AW102" s="946"/>
      <c r="AX102" s="947">
        <f t="shared" ref="AX102:AX126" si="78">+O102</f>
        <v>0</v>
      </c>
      <c r="AY102" s="947">
        <f>+AZ101*financing!$E$30/12</f>
        <v>0</v>
      </c>
      <c r="AZ102" s="947">
        <f t="shared" si="51"/>
        <v>0</v>
      </c>
      <c r="BA102" s="946"/>
      <c r="BB102" s="947">
        <f t="shared" ref="BB102:BB126" si="79">+T102</f>
        <v>0</v>
      </c>
      <c r="BC102" s="947">
        <f>+IF(AND(BD101+BB102+MAX(BD101*financing!$E$15/12,financing!$D$59-SUM(reserves!BC$6:BC101)-SUM(J$6:J102))-reserves!AD102&lt;=0,financing!$D$58&gt;=0),MAX(BD101*financing!$E$15/12,financing!$D$59-SUM(reserves!BC$6:BC101)-SUM(J$6:J102)),BD101*financing!$E$15/12)</f>
        <v>0</v>
      </c>
      <c r="BD102" s="947">
        <f t="shared" si="67"/>
        <v>0</v>
      </c>
      <c r="BE102" s="946"/>
      <c r="BF102" s="947">
        <f t="shared" si="52"/>
        <v>0</v>
      </c>
      <c r="BG102" s="947">
        <f>+IF(AND(BH101+BF102+MAX((BH101*(LIBOR!AA103)*(D102-D101)/360)+BY102,financing!$C$16-SUM(reserves!BG$6:BG101))-reserves!AD102&lt;=0,financing!$L$17&gt;=0),MAX((BH101*(LIBOR!AA103)*(D102-D101)/360)+BY102,financing!$C$16-SUM(reserves!BG$6:BG101)),(BH101*(LIBOR!AA103)*(D102-D101)/360)+BY102)</f>
        <v>0</v>
      </c>
      <c r="BH102" s="947">
        <f t="shared" si="53"/>
        <v>0</v>
      </c>
      <c r="BI102" s="946"/>
      <c r="BJ102" s="937"/>
      <c r="BK102" s="938">
        <f t="shared" si="68"/>
        <v>0</v>
      </c>
      <c r="BL102" s="939">
        <f>-S102+AJ102+AF102-AX102+AH102+AG102-BB102-BF102+'Development Cash Flow'!Y102</f>
        <v>0</v>
      </c>
      <c r="BM102" s="940"/>
      <c r="BN102" s="941">
        <f t="shared" ref="BN102:BN126" si="80">-S102+AJ102</f>
        <v>0</v>
      </c>
      <c r="BO102" s="940"/>
      <c r="BP102" s="942">
        <f t="shared" ref="BP102:BP126" si="81">+M102-S102-O102-AM102-AQ102-BF102+AF102-R102-BB102</f>
        <v>0</v>
      </c>
      <c r="BS102" s="949" t="e">
        <f t="shared" si="69"/>
        <v>#DIV/0!</v>
      </c>
      <c r="BT102" s="922">
        <f>+IF(SUM(BT$5:BT101)&lt;1,IF(BU102=MAX($BU$6:$BU$54),1,0),0)</f>
        <v>0</v>
      </c>
      <c r="BU102" s="922">
        <f t="shared" si="70"/>
        <v>4000000</v>
      </c>
      <c r="BV102" s="943" t="str">
        <f t="shared" ref="BV102:BV125" si="82">+IF(BT102=1,D102,"")</f>
        <v/>
      </c>
      <c r="BW102" s="922" t="str">
        <f t="shared" ref="BW102:BW125" si="83">+IF(BT102=1,C102,"")</f>
        <v/>
      </c>
      <c r="BY102" s="208">
        <f>ROUND(IF(A102="Dev",IF(AND(BK102&gt;general!$D$23,SUM($BZ$6:$BZ101)&lt;1,financing!$L$15&gt;BH101+BF102),financing!$L$16*(BK102-BK101)/360*(financing!$L$15-BH101-BF102),0),0),-2)</f>
        <v>0</v>
      </c>
      <c r="BZ102" s="909">
        <f>+IF(AND(BH102&gt;=financing!$L$15,SUM(BZ$6:BZ101)=0),1,0)</f>
        <v>0</v>
      </c>
      <c r="CA102" s="950">
        <f t="shared" si="56"/>
        <v>0</v>
      </c>
      <c r="CD102" s="909">
        <f>SUM($S$6:S102)</f>
        <v>4000000</v>
      </c>
      <c r="CF102" s="208">
        <f>+IF(C102&lt;general!$C$22,0,IF(AND(C102=general!$C$22,OR(A102="Pred",A102="Dev")),SUM(S$6:S102),S102))</f>
        <v>0</v>
      </c>
    </row>
    <row r="103" spans="1:84" ht="16" hidden="1" outlineLevel="2">
      <c r="A103" s="906" t="str">
        <f>+'Development Cash Flow'!A103</f>
        <v>post dev</v>
      </c>
      <c r="B103" s="908"/>
      <c r="C103" s="944">
        <f>IF('Development Cash Flow'!D102&lt;general!$D$28,'Development Cash Flow'!C102+1,0)</f>
        <v>0</v>
      </c>
      <c r="D103" s="945">
        <f t="shared" si="23"/>
        <v>49217</v>
      </c>
      <c r="E103" s="945"/>
      <c r="F103" s="928">
        <f>'Development Cash Flow'!P103*D$4+SUM('Development Cash Flow'!Q103:T103)*F$4</f>
        <v>0</v>
      </c>
      <c r="G103" s="928">
        <f>'Development Cash Flow'!AL103-F103</f>
        <v>0</v>
      </c>
      <c r="H103" s="928"/>
      <c r="I103" s="928"/>
      <c r="J103" s="931">
        <f>+financing!$D$54/12*reserves!BD102</f>
        <v>0</v>
      </c>
      <c r="K103" s="928">
        <f>IF(C103=0,0,IF(C103=sales!$D$32,financing!$E$12*financing!$F$11,IF(OR(C103&gt;general!$C$27,C103&lt;sales!$D$32),0,IF((C103-sales!$D$32)/12=ROUND((C103-sales!$D$32)/12,0),financing!$E$12*financing!$F$11,0))))</f>
        <v>0</v>
      </c>
      <c r="L103" s="928"/>
      <c r="M103" s="928">
        <f t="shared" si="73"/>
        <v>0</v>
      </c>
      <c r="N103" s="946"/>
      <c r="O103" s="946">
        <f>IF(D103=general!$D$21,financing!$F$30,0)</f>
        <v>0</v>
      </c>
      <c r="P103" s="946">
        <f>+MIN(IF(D103&lt;=general!$D$24,SUM(F$6:F103)-SUM(P$6:P102),reserves!F103),AR102)</f>
        <v>0</v>
      </c>
      <c r="Q103" s="946">
        <f>+MAX(MIN(SUM(G$6:$G103)-R103,AN102,SUM(G$6:$G103)-SUM(Q$6:Q102)),0)</f>
        <v>0</v>
      </c>
      <c r="R103" s="946">
        <f>+IF(C103&gt;=sales!$D$36,'Development Cash Flow'!AL103,0)</f>
        <v>0</v>
      </c>
      <c r="S103" s="931">
        <f>IF(AND(A103=$A$5,C103&lt;financing!$D$55),M103-SUM(P103:R103,O103),MIN(M103-SUM(P103:R103,O103),financing!$F$10-SUM(S$5:S102)))</f>
        <v>0</v>
      </c>
      <c r="T103" s="931">
        <f>+MAX(MIN(IF(C103&gt;=financing!$D$55,M103-SUM(P103:S103)-J103,0),financing!$D$57-SUM(T$5:T102)),0)</f>
        <v>0</v>
      </c>
      <c r="U103" s="931">
        <f>+MAX(IF(C103&gt;=general!$C$23,M103-SUM(P103:T103),0)+IF(C103=general!$C$23,reserves!AZ102+AY103,0),0)</f>
        <v>0</v>
      </c>
      <c r="V103" s="946"/>
      <c r="W103" s="946">
        <f>SUMPRODUCT(--($C103=sales!$C$50:$C$54),sales!$F$50:$F$54)</f>
        <v>0</v>
      </c>
      <c r="X103" s="946">
        <f t="shared" si="44"/>
        <v>0</v>
      </c>
      <c r="Y103" s="946">
        <f t="shared" si="74"/>
        <v>0</v>
      </c>
      <c r="Z103" s="946">
        <f t="shared" si="45"/>
        <v>0</v>
      </c>
      <c r="AA103" s="946"/>
      <c r="AB103" s="932">
        <f>IF(C103=sales!$D$22,sales!$I$22,0)+IF(C103=sales!$D$23,sales!$I$23,0)+IF(C103=sales!$D$24,sales!$I$24,0)+IF(C103=sales!$D$25,sales!$I$25,0)+IF(C103=sales!$D$26,sales!$I$26,0)+IF(C103=sales!$D$27,sales!$I$27,0)</f>
        <v>0</v>
      </c>
      <c r="AC103" s="946"/>
      <c r="AD103" s="931">
        <f t="shared" si="75"/>
        <v>0</v>
      </c>
      <c r="AE103" s="932"/>
      <c r="AF103" s="932">
        <f t="shared" si="71"/>
        <v>0</v>
      </c>
      <c r="AG103" s="932">
        <f t="shared" si="72"/>
        <v>0</v>
      </c>
      <c r="AH103" s="931">
        <f t="shared" si="54"/>
        <v>0</v>
      </c>
      <c r="AI103" s="932"/>
      <c r="AJ103" s="931">
        <f t="shared" si="55"/>
        <v>0</v>
      </c>
      <c r="AK103" s="946"/>
      <c r="AL103" s="947">
        <f>+IF(financing!$C$12="YES",'Development Cash Flow'!M103,0)</f>
        <v>0</v>
      </c>
      <c r="AM103" s="947">
        <f t="shared" si="76"/>
        <v>0</v>
      </c>
      <c r="AN103" s="947">
        <f t="shared" si="46"/>
        <v>0</v>
      </c>
      <c r="AO103" s="946"/>
      <c r="AP103" s="947">
        <f>+SUM('Development Cash Flow'!G103:J103)-'Development Cash Flow'!M103</f>
        <v>0</v>
      </c>
      <c r="AQ103" s="947">
        <f t="shared" si="77"/>
        <v>0</v>
      </c>
      <c r="AR103" s="947">
        <f t="shared" si="47"/>
        <v>0</v>
      </c>
      <c r="AS103" s="946"/>
      <c r="AT103" s="947">
        <f t="shared" si="48"/>
        <v>0</v>
      </c>
      <c r="AU103" s="947">
        <f t="shared" si="49"/>
        <v>0</v>
      </c>
      <c r="AV103" s="948">
        <f t="shared" si="50"/>
        <v>0</v>
      </c>
      <c r="AW103" s="946"/>
      <c r="AX103" s="947">
        <f t="shared" si="78"/>
        <v>0</v>
      </c>
      <c r="AY103" s="947">
        <f>+AZ102*financing!$E$30/12</f>
        <v>0</v>
      </c>
      <c r="AZ103" s="947">
        <f t="shared" si="51"/>
        <v>0</v>
      </c>
      <c r="BA103" s="946"/>
      <c r="BB103" s="947">
        <f t="shared" si="79"/>
        <v>0</v>
      </c>
      <c r="BC103" s="947">
        <f>+IF(AND(BD102+BB103+MAX(BD102*financing!$E$15/12,financing!$D$59-SUM(reserves!BC$6:BC102)-SUM(J$6:J103))-reserves!AD103&lt;=0,financing!$D$58&gt;=0),MAX(BD102*financing!$E$15/12,financing!$D$59-SUM(reserves!BC$6:BC102)-SUM(J$6:J103)),BD102*financing!$E$15/12)</f>
        <v>0</v>
      </c>
      <c r="BD103" s="947">
        <f t="shared" si="67"/>
        <v>0</v>
      </c>
      <c r="BE103" s="946"/>
      <c r="BF103" s="947">
        <f t="shared" si="52"/>
        <v>0</v>
      </c>
      <c r="BG103" s="947">
        <f>+IF(AND(BH102+BF103+MAX((BH102*(LIBOR!AA104)*(D103-D102)/360)+BY103,financing!$C$16-SUM(reserves!BG$6:BG102))-reserves!AD103&lt;=0,financing!$L$17&gt;=0),MAX((BH102*(LIBOR!AA104)*(D103-D102)/360)+BY103,financing!$C$16-SUM(reserves!BG$6:BG102)),(BH102*(LIBOR!AA104)*(D103-D102)/360)+BY103)</f>
        <v>0</v>
      </c>
      <c r="BH103" s="947">
        <f t="shared" si="53"/>
        <v>0</v>
      </c>
      <c r="BI103" s="946"/>
      <c r="BJ103" s="937"/>
      <c r="BK103" s="938">
        <f t="shared" ref="BK103:BK126" si="84">IF(C103=0,0,D103)</f>
        <v>0</v>
      </c>
      <c r="BL103" s="939">
        <f>-S103+AJ103+AF103-AX103+AH103+AG103-BB103-BF103+'Development Cash Flow'!Y103</f>
        <v>0</v>
      </c>
      <c r="BM103" s="940"/>
      <c r="BN103" s="941">
        <f t="shared" si="80"/>
        <v>0</v>
      </c>
      <c r="BO103" s="940"/>
      <c r="BP103" s="942">
        <f t="shared" si="81"/>
        <v>0</v>
      </c>
      <c r="BS103" s="949" t="e">
        <f t="shared" ref="BS103:BS126" si="85">+(BC103+J103)*12/BD102</f>
        <v>#DIV/0!</v>
      </c>
      <c r="BT103" s="922">
        <f>+IF(SUM(BT$5:BT102)&lt;1,IF(BU103=MAX($BU$6:$BU$54),1,0),0)</f>
        <v>0</v>
      </c>
      <c r="BU103" s="922">
        <f t="shared" ref="BU103:BU125" si="86">+BU102+S103</f>
        <v>4000000</v>
      </c>
      <c r="BV103" s="943" t="str">
        <f t="shared" si="82"/>
        <v/>
      </c>
      <c r="BW103" s="922" t="str">
        <f t="shared" si="83"/>
        <v/>
      </c>
      <c r="BY103" s="208">
        <f>ROUND(IF(A103="Dev",IF(AND(BK103&gt;general!$D$23,SUM($BZ$6:$BZ102)&lt;1,financing!$L$15&gt;BH102+BF103),financing!$L$16*(BK103-BK102)/360*(financing!$L$15-BH102-BF103),0),0),-2)</f>
        <v>0</v>
      </c>
      <c r="BZ103" s="909">
        <f>+IF(AND(BH103&gt;=financing!$L$15,SUM(BZ$6:BZ102)=0),1,0)</f>
        <v>0</v>
      </c>
      <c r="CA103" s="950">
        <f t="shared" si="56"/>
        <v>0</v>
      </c>
      <c r="CD103" s="909">
        <f>SUM($S$6:S103)</f>
        <v>4000000</v>
      </c>
      <c r="CF103" s="208">
        <f>+IF(C103&lt;general!$C$22,0,IF(AND(C103=general!$C$22,OR(A103="Pred",A103="Dev")),SUM(S$6:S103),S103))</f>
        <v>0</v>
      </c>
    </row>
    <row r="104" spans="1:84" ht="16" hidden="1" outlineLevel="2">
      <c r="A104" s="906" t="str">
        <f>+'Development Cash Flow'!A104</f>
        <v>post dev</v>
      </c>
      <c r="B104" s="908"/>
      <c r="C104" s="944">
        <f>IF('Development Cash Flow'!D103&lt;general!$D$28,'Development Cash Flow'!C103+1,0)</f>
        <v>0</v>
      </c>
      <c r="D104" s="945">
        <f t="shared" si="23"/>
        <v>49248</v>
      </c>
      <c r="E104" s="945"/>
      <c r="F104" s="928">
        <f>'Development Cash Flow'!P104*D$4+SUM('Development Cash Flow'!Q104:T104)*F$4</f>
        <v>0</v>
      </c>
      <c r="G104" s="928">
        <f>'Development Cash Flow'!AL104-F104</f>
        <v>0</v>
      </c>
      <c r="H104" s="928"/>
      <c r="I104" s="928"/>
      <c r="J104" s="931">
        <f>+financing!$D$54/12*reserves!BD103</f>
        <v>0</v>
      </c>
      <c r="K104" s="928">
        <f>IF(C104=0,0,IF(C104=sales!$D$32,financing!$E$12*financing!$F$11,IF(OR(C104&gt;general!$C$27,C104&lt;sales!$D$32),0,IF((C104-sales!$D$32)/12=ROUND((C104-sales!$D$32)/12,0),financing!$E$12*financing!$F$11,0))))</f>
        <v>0</v>
      </c>
      <c r="L104" s="928"/>
      <c r="M104" s="928">
        <f t="shared" si="73"/>
        <v>0</v>
      </c>
      <c r="N104" s="946"/>
      <c r="O104" s="946">
        <f>IF(D104=general!$D$21,financing!$F$30,0)</f>
        <v>0</v>
      </c>
      <c r="P104" s="946">
        <f>+MIN(IF(D104&lt;=general!$D$24,SUM(F$6:F104)-SUM(P$6:P103),reserves!F104),AR103)</f>
        <v>0</v>
      </c>
      <c r="Q104" s="946">
        <f>+MAX(MIN(SUM(G$6:$G104)-R104,AN103,SUM(G$6:$G104)-SUM(Q$6:Q103)),0)</f>
        <v>0</v>
      </c>
      <c r="R104" s="946">
        <f>+IF(C104&gt;=sales!$D$36,'Development Cash Flow'!AL104,0)</f>
        <v>0</v>
      </c>
      <c r="S104" s="931">
        <f>IF(AND(A104=$A$5,C104&lt;financing!$D$55),M104-SUM(P104:R104,O104),MIN(M104-SUM(P104:R104,O104),financing!$F$10-SUM(S$5:S103)))</f>
        <v>0</v>
      </c>
      <c r="T104" s="931">
        <f>+MAX(MIN(IF(C104&gt;=financing!$D$55,M104-SUM(P104:S104)-J104,0),financing!$D$57-SUM(T$5:T103)),0)</f>
        <v>0</v>
      </c>
      <c r="U104" s="931">
        <f>+MAX(IF(C104&gt;=general!$C$23,M104-SUM(P104:T104),0)+IF(C104=general!$C$23,reserves!AZ103+AY104,0),0)</f>
        <v>0</v>
      </c>
      <c r="V104" s="946"/>
      <c r="W104" s="946">
        <f>SUMPRODUCT(--($C104=sales!$C$50:$C$54),sales!$F$50:$F$54)</f>
        <v>0</v>
      </c>
      <c r="X104" s="946">
        <f t="shared" ref="X104:X126" si="87">+W104*-AV104</f>
        <v>0</v>
      </c>
      <c r="Y104" s="946">
        <f t="shared" si="74"/>
        <v>0</v>
      </c>
      <c r="Z104" s="946">
        <f t="shared" ref="Z104:Z126" si="88">+W104+X104-Y104</f>
        <v>0</v>
      </c>
      <c r="AA104" s="946"/>
      <c r="AB104" s="932">
        <f>IF(C104=sales!$D$22,sales!$I$22,0)+IF(C104=sales!$D$23,sales!$I$23,0)+IF(C104=sales!$D$24,sales!$I$24,0)+IF(C104=sales!$D$25,sales!$I$25,0)+IF(C104=sales!$D$26,sales!$I$26,0)+IF(C104=sales!$D$27,sales!$I$27,0)</f>
        <v>0</v>
      </c>
      <c r="AC104" s="946"/>
      <c r="AD104" s="931">
        <f t="shared" si="75"/>
        <v>0</v>
      </c>
      <c r="AE104" s="932"/>
      <c r="AF104" s="932">
        <f t="shared" si="71"/>
        <v>0</v>
      </c>
      <c r="AG104" s="932">
        <f t="shared" si="72"/>
        <v>0</v>
      </c>
      <c r="AH104" s="931">
        <f t="shared" si="54"/>
        <v>0</v>
      </c>
      <c r="AI104" s="932"/>
      <c r="AJ104" s="931">
        <f t="shared" si="55"/>
        <v>0</v>
      </c>
      <c r="AK104" s="946"/>
      <c r="AL104" s="947">
        <f>+IF(financing!$C$12="YES",'Development Cash Flow'!M104,0)</f>
        <v>0</v>
      </c>
      <c r="AM104" s="947">
        <f t="shared" si="76"/>
        <v>0</v>
      </c>
      <c r="AN104" s="947">
        <f t="shared" ref="AN104:AN126" si="89">+AN103+AL104-AM104</f>
        <v>0</v>
      </c>
      <c r="AO104" s="946"/>
      <c r="AP104" s="947">
        <f>+SUM('Development Cash Flow'!G104:J104)-'Development Cash Flow'!M104</f>
        <v>0</v>
      </c>
      <c r="AQ104" s="947">
        <f t="shared" si="77"/>
        <v>0</v>
      </c>
      <c r="AR104" s="947">
        <f t="shared" ref="AR104:AR126" si="90">+AR103+AP104-AQ104</f>
        <v>0</v>
      </c>
      <c r="AS104" s="946"/>
      <c r="AT104" s="947">
        <f t="shared" ref="AT104:AT126" si="91">+AT103-W103</f>
        <v>0</v>
      </c>
      <c r="AU104" s="947">
        <f t="shared" ref="AU104:AU126" si="92">+AM104+AQ104+AU103+X103</f>
        <v>0</v>
      </c>
      <c r="AV104" s="948">
        <f t="shared" ref="AV104:AV126" si="93">+IF(AT104=0,0,AU104/AT104)</f>
        <v>0</v>
      </c>
      <c r="AW104" s="946"/>
      <c r="AX104" s="947">
        <f t="shared" si="78"/>
        <v>0</v>
      </c>
      <c r="AY104" s="947">
        <f>+AZ103*financing!$E$30/12</f>
        <v>0</v>
      </c>
      <c r="AZ104" s="947">
        <f t="shared" ref="AZ104:AZ126" si="94">+AZ103+AY104+AX104-AF104</f>
        <v>0</v>
      </c>
      <c r="BA104" s="946"/>
      <c r="BB104" s="947">
        <f t="shared" si="79"/>
        <v>0</v>
      </c>
      <c r="BC104" s="947">
        <f>+IF(AND(BD103+BB104+MAX(BD103*financing!$E$15/12,financing!$D$59-SUM(reserves!BC$6:BC103)-SUM(J$6:J104))-reserves!AD104&lt;=0,financing!$D$58&gt;=0),MAX(BD103*financing!$E$15/12,financing!$D$59-SUM(reserves!BC$6:BC103)-SUM(J$6:J104)),BD103*financing!$E$15/12)</f>
        <v>0</v>
      </c>
      <c r="BD104" s="947">
        <f t="shared" si="67"/>
        <v>0</v>
      </c>
      <c r="BE104" s="946"/>
      <c r="BF104" s="947">
        <f t="shared" ref="BF104:BF126" si="95">+U104</f>
        <v>0</v>
      </c>
      <c r="BG104" s="947">
        <f>+IF(AND(BH103+BF104+MAX((BH103*(LIBOR!AA105)*(D104-D103)/360)+BY104,financing!$C$16-SUM(reserves!BG$6:BG103))-reserves!AD104&lt;=0,financing!$L$17&gt;=0),MAX((BH103*(LIBOR!AA105)*(D104-D103)/360)+BY104,financing!$C$16-SUM(reserves!BG$6:BG103)),(BH103*(LIBOR!AA105)*(D104-D103)/360)+BY104)</f>
        <v>0</v>
      </c>
      <c r="BH104" s="947">
        <f t="shared" ref="BH104:BH126" si="96">+BH103+BG104+BF104-AG104</f>
        <v>0</v>
      </c>
      <c r="BI104" s="946"/>
      <c r="BJ104" s="937"/>
      <c r="BK104" s="938">
        <f t="shared" si="84"/>
        <v>0</v>
      </c>
      <c r="BL104" s="939">
        <f>-S104+AJ104+AF104-AX104+AH104+AG104-BB104-BF104+'Development Cash Flow'!Y104</f>
        <v>0</v>
      </c>
      <c r="BM104" s="940"/>
      <c r="BN104" s="941">
        <f t="shared" si="80"/>
        <v>0</v>
      </c>
      <c r="BO104" s="940"/>
      <c r="BP104" s="942">
        <f t="shared" si="81"/>
        <v>0</v>
      </c>
      <c r="BS104" s="949" t="e">
        <f t="shared" si="85"/>
        <v>#DIV/0!</v>
      </c>
      <c r="BT104" s="922">
        <f>+IF(SUM(BT$5:BT103)&lt;1,IF(BU104=MAX($BU$6:$BU$54),1,0),0)</f>
        <v>0</v>
      </c>
      <c r="BU104" s="922">
        <f t="shared" si="86"/>
        <v>4000000</v>
      </c>
      <c r="BV104" s="943" t="str">
        <f t="shared" si="82"/>
        <v/>
      </c>
      <c r="BW104" s="922" t="str">
        <f t="shared" si="83"/>
        <v/>
      </c>
      <c r="BY104" s="208">
        <f>ROUND(IF(A104="Dev",IF(AND(BK104&gt;general!$D$23,SUM($BZ$6:$BZ103)&lt;1,financing!$L$15&gt;BH103+BF104),financing!$L$16*(BK104-BK103)/360*(financing!$L$15-BH103-BF104),0),0),-2)</f>
        <v>0</v>
      </c>
      <c r="BZ104" s="909">
        <f>+IF(AND(BH104&gt;=financing!$L$15,SUM(BZ$6:BZ103)=0),1,0)</f>
        <v>0</v>
      </c>
      <c r="CA104" s="950">
        <f t="shared" si="56"/>
        <v>0</v>
      </c>
      <c r="CD104" s="909">
        <f>SUM($S$6:S104)</f>
        <v>4000000</v>
      </c>
      <c r="CF104" s="208">
        <f>+IF(C104&lt;general!$C$22,0,IF(AND(C104=general!$C$22,OR(A104="Pred",A104="Dev")),SUM(S$6:S104),S104))</f>
        <v>0</v>
      </c>
    </row>
    <row r="105" spans="1:84" ht="16" hidden="1" outlineLevel="2">
      <c r="A105" s="906" t="str">
        <f>+'Development Cash Flow'!A105</f>
        <v>post dev</v>
      </c>
      <c r="B105" s="908"/>
      <c r="C105" s="944">
        <f>IF('Development Cash Flow'!D104&lt;general!$D$28,'Development Cash Flow'!C104+1,0)</f>
        <v>0</v>
      </c>
      <c r="D105" s="945">
        <f t="shared" si="23"/>
        <v>49278</v>
      </c>
      <c r="E105" s="945"/>
      <c r="F105" s="928">
        <f>'Development Cash Flow'!P105*D$4+SUM('Development Cash Flow'!Q105:T105)*F$4</f>
        <v>0</v>
      </c>
      <c r="G105" s="928">
        <f>'Development Cash Flow'!AL105-F105</f>
        <v>0</v>
      </c>
      <c r="H105" s="928"/>
      <c r="I105" s="928"/>
      <c r="J105" s="931">
        <f>+financing!$D$54/12*reserves!BD104</f>
        <v>0</v>
      </c>
      <c r="K105" s="928">
        <f>IF(C105=0,0,IF(C105=sales!$D$32,financing!$E$12*financing!$F$11,IF(OR(C105&gt;general!$C$27,C105&lt;sales!$D$32),0,IF((C105-sales!$D$32)/12=ROUND((C105-sales!$D$32)/12,0),financing!$E$12*financing!$F$11,0))))</f>
        <v>0</v>
      </c>
      <c r="L105" s="928"/>
      <c r="M105" s="928">
        <f t="shared" si="73"/>
        <v>0</v>
      </c>
      <c r="N105" s="946"/>
      <c r="O105" s="946">
        <f>IF(D105=general!$D$21,financing!$F$30,0)</f>
        <v>0</v>
      </c>
      <c r="P105" s="946">
        <f>+MIN(IF(D105&lt;=general!$D$24,SUM(F$6:F105)-SUM(P$6:P104),reserves!F105),AR104)</f>
        <v>0</v>
      </c>
      <c r="Q105" s="946">
        <f>+MAX(MIN(SUM(G$6:$G105)-R105,AN104,SUM(G$6:$G105)-SUM(Q$6:Q104)),0)</f>
        <v>0</v>
      </c>
      <c r="R105" s="946">
        <f>+IF(C105&gt;=sales!$D$36,'Development Cash Flow'!AL105,0)</f>
        <v>0</v>
      </c>
      <c r="S105" s="931">
        <f>IF(AND(A105=$A$5,C105&lt;financing!$D$55),M105-SUM(P105:R105,O105),MIN(M105-SUM(P105:R105,O105),financing!$F$10-SUM(S$5:S104)))</f>
        <v>0</v>
      </c>
      <c r="T105" s="931">
        <f>+MAX(MIN(IF(C105&gt;=financing!$D$55,M105-SUM(P105:S105)-J105,0),financing!$D$57-SUM(T$5:T104)),0)</f>
        <v>0</v>
      </c>
      <c r="U105" s="931">
        <f>+MAX(IF(C105&gt;=general!$C$23,M105-SUM(P105:T105),0)+IF(C105=general!$C$23,reserves!AZ104+AY105,0),0)</f>
        <v>0</v>
      </c>
      <c r="V105" s="946"/>
      <c r="W105" s="946">
        <f>SUMPRODUCT(--($C105=sales!$C$50:$C$54),sales!$F$50:$F$54)</f>
        <v>0</v>
      </c>
      <c r="X105" s="946">
        <f t="shared" si="87"/>
        <v>0</v>
      </c>
      <c r="Y105" s="946">
        <f t="shared" si="74"/>
        <v>0</v>
      </c>
      <c r="Z105" s="946">
        <f t="shared" si="88"/>
        <v>0</v>
      </c>
      <c r="AA105" s="946"/>
      <c r="AB105" s="932">
        <f>IF(C105=sales!$D$22,sales!$I$22,0)+IF(C105=sales!$D$23,sales!$I$23,0)+IF(C105=sales!$D$24,sales!$I$24,0)+IF(C105=sales!$D$25,sales!$I$25,0)+IF(C105=sales!$D$26,sales!$I$26,0)+IF(C105=sales!$D$27,sales!$I$27,0)</f>
        <v>0</v>
      </c>
      <c r="AC105" s="946"/>
      <c r="AD105" s="931">
        <f t="shared" si="75"/>
        <v>0</v>
      </c>
      <c r="AE105" s="932"/>
      <c r="AF105" s="932">
        <f t="shared" si="71"/>
        <v>0</v>
      </c>
      <c r="AG105" s="932">
        <f t="shared" si="72"/>
        <v>0</v>
      </c>
      <c r="AH105" s="931">
        <f t="shared" si="54"/>
        <v>0</v>
      </c>
      <c r="AI105" s="932"/>
      <c r="AJ105" s="931">
        <f t="shared" si="55"/>
        <v>0</v>
      </c>
      <c r="AK105" s="946"/>
      <c r="AL105" s="947">
        <f>+IF(financing!$C$12="YES",'Development Cash Flow'!M105,0)</f>
        <v>0</v>
      </c>
      <c r="AM105" s="947">
        <f t="shared" si="76"/>
        <v>0</v>
      </c>
      <c r="AN105" s="947">
        <f t="shared" si="89"/>
        <v>0</v>
      </c>
      <c r="AO105" s="946"/>
      <c r="AP105" s="947">
        <f>+SUM('Development Cash Flow'!G105:J105)-'Development Cash Flow'!M105</f>
        <v>0</v>
      </c>
      <c r="AQ105" s="947">
        <f t="shared" si="77"/>
        <v>0</v>
      </c>
      <c r="AR105" s="947">
        <f t="shared" si="90"/>
        <v>0</v>
      </c>
      <c r="AS105" s="946"/>
      <c r="AT105" s="947">
        <f t="shared" si="91"/>
        <v>0</v>
      </c>
      <c r="AU105" s="947">
        <f t="shared" si="92"/>
        <v>0</v>
      </c>
      <c r="AV105" s="948">
        <f t="shared" si="93"/>
        <v>0</v>
      </c>
      <c r="AW105" s="946"/>
      <c r="AX105" s="947">
        <f t="shared" si="78"/>
        <v>0</v>
      </c>
      <c r="AY105" s="947">
        <f>+AZ104*financing!$E$30/12</f>
        <v>0</v>
      </c>
      <c r="AZ105" s="947">
        <f t="shared" si="94"/>
        <v>0</v>
      </c>
      <c r="BA105" s="946"/>
      <c r="BB105" s="947">
        <f t="shared" si="79"/>
        <v>0</v>
      </c>
      <c r="BC105" s="947">
        <f>+IF(AND(BD104+BB105+MAX(BD104*financing!$E$15/12,financing!$D$59-SUM(reserves!BC$6:BC104)-SUM(J$6:J105))-reserves!AD105&lt;=0,financing!$D$58&gt;=0),MAX(BD104*financing!$E$15/12,financing!$D$59-SUM(reserves!BC$6:BC104)-SUM(J$6:J105)),BD104*financing!$E$15/12)</f>
        <v>0</v>
      </c>
      <c r="BD105" s="947">
        <f t="shared" si="67"/>
        <v>0</v>
      </c>
      <c r="BE105" s="946"/>
      <c r="BF105" s="947">
        <f t="shared" si="95"/>
        <v>0</v>
      </c>
      <c r="BG105" s="947">
        <f>+IF(AND(BH104+BF105+MAX((BH104*(LIBOR!AA106)*(D105-D104)/360)+BY105,financing!$C$16-SUM(reserves!BG$6:BG104))-reserves!AD105&lt;=0,financing!$L$17&gt;=0),MAX((BH104*(LIBOR!AA106)*(D105-D104)/360)+BY105,financing!$C$16-SUM(reserves!BG$6:BG104)),(BH104*(LIBOR!AA106)*(D105-D104)/360)+BY105)</f>
        <v>0</v>
      </c>
      <c r="BH105" s="947">
        <f t="shared" si="96"/>
        <v>0</v>
      </c>
      <c r="BI105" s="946"/>
      <c r="BJ105" s="937"/>
      <c r="BK105" s="938">
        <f t="shared" si="84"/>
        <v>0</v>
      </c>
      <c r="BL105" s="939">
        <f>-S105+AJ105+AF105-AX105+AH105+AG105-BB105-BF105+'Development Cash Flow'!Y105</f>
        <v>0</v>
      </c>
      <c r="BM105" s="940"/>
      <c r="BN105" s="941">
        <f t="shared" si="80"/>
        <v>0</v>
      </c>
      <c r="BO105" s="940"/>
      <c r="BP105" s="942">
        <f t="shared" si="81"/>
        <v>0</v>
      </c>
      <c r="BS105" s="949" t="e">
        <f t="shared" si="85"/>
        <v>#DIV/0!</v>
      </c>
      <c r="BT105" s="922">
        <f>+IF(SUM(BT$5:BT104)&lt;1,IF(BU105=MAX($BU$6:$BU$54),1,0),0)</f>
        <v>0</v>
      </c>
      <c r="BU105" s="922">
        <f t="shared" si="86"/>
        <v>4000000</v>
      </c>
      <c r="BV105" s="943" t="str">
        <f t="shared" si="82"/>
        <v/>
      </c>
      <c r="BW105" s="922" t="str">
        <f t="shared" si="83"/>
        <v/>
      </c>
      <c r="BY105" s="208">
        <f>ROUND(IF(A105="Dev",IF(AND(BK105&gt;general!$D$23,SUM($BZ$6:$BZ104)&lt;1,financing!$L$15&gt;BH104+BF105),financing!$L$16*(BK105-BK104)/360*(financing!$L$15-BH104-BF105),0),0),-2)</f>
        <v>0</v>
      </c>
      <c r="BZ105" s="909">
        <f>+IF(AND(BH105&gt;=financing!$L$15,SUM(BZ$6:BZ104)=0),1,0)</f>
        <v>0</v>
      </c>
      <c r="CA105" s="950">
        <f t="shared" si="56"/>
        <v>0</v>
      </c>
      <c r="CD105" s="909">
        <f>SUM($S$6:S105)</f>
        <v>4000000</v>
      </c>
      <c r="CF105" s="208">
        <f>+IF(C105&lt;general!$C$22,0,IF(AND(C105=general!$C$22,OR(A105="Pred",A105="Dev")),SUM(S$6:S105),S105))</f>
        <v>0</v>
      </c>
    </row>
    <row r="106" spans="1:84" ht="16" hidden="1" outlineLevel="2">
      <c r="A106" s="906" t="str">
        <f>+'Development Cash Flow'!A106</f>
        <v>post dev</v>
      </c>
      <c r="B106" s="908"/>
      <c r="C106" s="944">
        <f>IF('Development Cash Flow'!D105&lt;general!$D$28,'Development Cash Flow'!C105+1,0)</f>
        <v>0</v>
      </c>
      <c r="D106" s="945">
        <f t="shared" si="23"/>
        <v>49309</v>
      </c>
      <c r="E106" s="945"/>
      <c r="F106" s="928">
        <f>'Development Cash Flow'!P106*D$4+SUM('Development Cash Flow'!Q106:T106)*F$4</f>
        <v>0</v>
      </c>
      <c r="G106" s="928">
        <f>'Development Cash Flow'!AL106-F106</f>
        <v>0</v>
      </c>
      <c r="H106" s="928"/>
      <c r="I106" s="928"/>
      <c r="J106" s="931">
        <f>+financing!$D$54/12*reserves!BD105</f>
        <v>0</v>
      </c>
      <c r="K106" s="928">
        <f>IF(C106=0,0,IF(C106=sales!$D$32,financing!$E$12*financing!$F$11,IF(OR(C106&gt;general!$C$27,C106&lt;sales!$D$32),0,IF((C106-sales!$D$32)/12=ROUND((C106-sales!$D$32)/12,0),financing!$E$12*financing!$F$11,0))))</f>
        <v>0</v>
      </c>
      <c r="L106" s="928"/>
      <c r="M106" s="928">
        <f t="shared" si="73"/>
        <v>0</v>
      </c>
      <c r="N106" s="946"/>
      <c r="O106" s="946">
        <f>IF(D106=general!$D$21,financing!$F$30,0)</f>
        <v>0</v>
      </c>
      <c r="P106" s="946">
        <f>+MIN(IF(D106&lt;=general!$D$24,SUM(F$6:F106)-SUM(P$6:P105),reserves!F106),AR105)</f>
        <v>0</v>
      </c>
      <c r="Q106" s="946">
        <f>+MAX(MIN(SUM(G$6:$G106)-R106,AN105,SUM(G$6:$G106)-SUM(Q$6:Q105)),0)</f>
        <v>0</v>
      </c>
      <c r="R106" s="946">
        <f>+IF(C106&gt;=sales!$D$36,'Development Cash Flow'!AL106,0)</f>
        <v>0</v>
      </c>
      <c r="S106" s="931">
        <f>IF(AND(A106=$A$5,C106&lt;financing!$D$55),M106-SUM(P106:R106,O106),MIN(M106-SUM(P106:R106,O106),financing!$F$10-SUM(S$5:S105)))</f>
        <v>0</v>
      </c>
      <c r="T106" s="931">
        <f>+MAX(MIN(IF(C106&gt;=financing!$D$55,M106-SUM(P106:S106)-J106,0),financing!$D$57-SUM(T$5:T105)),0)</f>
        <v>0</v>
      </c>
      <c r="U106" s="931">
        <f>+MAX(IF(C106&gt;=general!$C$23,M106-SUM(P106:T106),0)+IF(C106=general!$C$23,reserves!AZ105+AY106,0),0)</f>
        <v>0</v>
      </c>
      <c r="V106" s="946"/>
      <c r="W106" s="946">
        <f>SUMPRODUCT(--($C106=sales!$C$50:$C$54),sales!$F$50:$F$54)</f>
        <v>0</v>
      </c>
      <c r="X106" s="946">
        <f t="shared" si="87"/>
        <v>0</v>
      </c>
      <c r="Y106" s="946">
        <f t="shared" si="74"/>
        <v>0</v>
      </c>
      <c r="Z106" s="946">
        <f t="shared" si="88"/>
        <v>0</v>
      </c>
      <c r="AA106" s="946"/>
      <c r="AB106" s="932">
        <f>IF(C106=sales!$D$22,sales!$I$22,0)+IF(C106=sales!$D$23,sales!$I$23,0)+IF(C106=sales!$D$24,sales!$I$24,0)+IF(C106=sales!$D$25,sales!$I$25,0)+IF(C106=sales!$D$26,sales!$I$26,0)+IF(C106=sales!$D$27,sales!$I$27,0)</f>
        <v>0</v>
      </c>
      <c r="AC106" s="946"/>
      <c r="AD106" s="931">
        <f t="shared" si="75"/>
        <v>0</v>
      </c>
      <c r="AE106" s="932"/>
      <c r="AF106" s="932">
        <f t="shared" si="71"/>
        <v>0</v>
      </c>
      <c r="AG106" s="932">
        <f t="shared" si="72"/>
        <v>0</v>
      </c>
      <c r="AH106" s="931">
        <f t="shared" si="54"/>
        <v>0</v>
      </c>
      <c r="AI106" s="932"/>
      <c r="AJ106" s="931">
        <f t="shared" si="55"/>
        <v>0</v>
      </c>
      <c r="AK106" s="946"/>
      <c r="AL106" s="947">
        <f>+IF(financing!$C$12="YES",'Development Cash Flow'!M106,0)</f>
        <v>0</v>
      </c>
      <c r="AM106" s="947">
        <f t="shared" si="76"/>
        <v>0</v>
      </c>
      <c r="AN106" s="947">
        <f t="shared" si="89"/>
        <v>0</v>
      </c>
      <c r="AO106" s="946"/>
      <c r="AP106" s="947">
        <f>+SUM('Development Cash Flow'!G106:J106)-'Development Cash Flow'!M106</f>
        <v>0</v>
      </c>
      <c r="AQ106" s="947">
        <f t="shared" si="77"/>
        <v>0</v>
      </c>
      <c r="AR106" s="947">
        <f t="shared" si="90"/>
        <v>0</v>
      </c>
      <c r="AS106" s="946"/>
      <c r="AT106" s="947">
        <f t="shared" si="91"/>
        <v>0</v>
      </c>
      <c r="AU106" s="947">
        <f t="shared" si="92"/>
        <v>0</v>
      </c>
      <c r="AV106" s="948">
        <f t="shared" si="93"/>
        <v>0</v>
      </c>
      <c r="AW106" s="946"/>
      <c r="AX106" s="947">
        <f t="shared" si="78"/>
        <v>0</v>
      </c>
      <c r="AY106" s="947">
        <f>+AZ105*financing!$E$30/12</f>
        <v>0</v>
      </c>
      <c r="AZ106" s="947">
        <f t="shared" si="94"/>
        <v>0</v>
      </c>
      <c r="BA106" s="946"/>
      <c r="BB106" s="947">
        <f t="shared" si="79"/>
        <v>0</v>
      </c>
      <c r="BC106" s="947">
        <f>+IF(AND(BD105+BB106+MAX(BD105*financing!$E$15/12,financing!$D$59-SUM(reserves!BC$6:BC105)-SUM(J$6:J106))-reserves!AD106&lt;=0,financing!$D$58&gt;=0),MAX(BD105*financing!$E$15/12,financing!$D$59-SUM(reserves!BC$6:BC105)-SUM(J$6:J106)),BD105*financing!$E$15/12)</f>
        <v>0</v>
      </c>
      <c r="BD106" s="947">
        <f t="shared" si="67"/>
        <v>0</v>
      </c>
      <c r="BE106" s="946"/>
      <c r="BF106" s="947">
        <f t="shared" si="95"/>
        <v>0</v>
      </c>
      <c r="BG106" s="947">
        <f>+IF(AND(BH105+BF106+MAX((BH105*(LIBOR!AA107)*(D106-D105)/360)+BY106,financing!$C$16-SUM(reserves!BG$6:BG105))-reserves!AD106&lt;=0,financing!$L$17&gt;=0),MAX((BH105*(LIBOR!AA107)*(D106-D105)/360)+BY106,financing!$C$16-SUM(reserves!BG$6:BG105)),(BH105*(LIBOR!AA107)*(D106-D105)/360)+BY106)</f>
        <v>0</v>
      </c>
      <c r="BH106" s="947">
        <f t="shared" si="96"/>
        <v>0</v>
      </c>
      <c r="BI106" s="946"/>
      <c r="BJ106" s="937"/>
      <c r="BK106" s="938">
        <f t="shared" si="84"/>
        <v>0</v>
      </c>
      <c r="BL106" s="939">
        <f>-S106+AJ106+AF106-AX106+AH106+AG106-BB106-BF106+'Development Cash Flow'!Y106</f>
        <v>0</v>
      </c>
      <c r="BM106" s="940"/>
      <c r="BN106" s="941">
        <f t="shared" si="80"/>
        <v>0</v>
      </c>
      <c r="BO106" s="940"/>
      <c r="BP106" s="942">
        <f t="shared" si="81"/>
        <v>0</v>
      </c>
      <c r="BS106" s="949" t="e">
        <f t="shared" si="85"/>
        <v>#DIV/0!</v>
      </c>
      <c r="BT106" s="922">
        <f>+IF(SUM(BT$5:BT105)&lt;1,IF(BU106=MAX($BU$6:$BU$54),1,0),0)</f>
        <v>0</v>
      </c>
      <c r="BU106" s="922">
        <f t="shared" si="86"/>
        <v>4000000</v>
      </c>
      <c r="BV106" s="943" t="str">
        <f t="shared" si="82"/>
        <v/>
      </c>
      <c r="BW106" s="922" t="str">
        <f t="shared" si="83"/>
        <v/>
      </c>
      <c r="BY106" s="208">
        <f>ROUND(IF(A106="Dev",IF(AND(BK106&gt;general!$D$23,SUM($BZ$6:$BZ105)&lt;1,financing!$L$15&gt;BH105+BF106),financing!$L$16*(BK106-BK105)/360*(financing!$L$15-BH105-BF106),0),0),-2)</f>
        <v>0</v>
      </c>
      <c r="BZ106" s="909">
        <f>+IF(AND(BH106&gt;=financing!$L$15,SUM(BZ$6:BZ105)=0),1,0)</f>
        <v>0</v>
      </c>
      <c r="CA106" s="950">
        <f t="shared" si="56"/>
        <v>0</v>
      </c>
      <c r="CD106" s="909">
        <f>SUM($S$6:S106)</f>
        <v>4000000</v>
      </c>
      <c r="CF106" s="208">
        <f>+IF(C106&lt;general!$C$22,0,IF(AND(C106=general!$C$22,OR(A106="Pred",A106="Dev")),SUM(S$6:S106),S106))</f>
        <v>0</v>
      </c>
    </row>
    <row r="107" spans="1:84" ht="16" hidden="1" outlineLevel="2">
      <c r="A107" s="906" t="str">
        <f>+'Development Cash Flow'!A107</f>
        <v>post dev</v>
      </c>
      <c r="B107" s="908"/>
      <c r="C107" s="944">
        <f>IF('Development Cash Flow'!D106&lt;general!$D$28,'Development Cash Flow'!C106+1,0)</f>
        <v>0</v>
      </c>
      <c r="D107" s="945">
        <f t="shared" si="23"/>
        <v>49340</v>
      </c>
      <c r="E107" s="945"/>
      <c r="F107" s="928">
        <f>'Development Cash Flow'!P107*D$4+SUM('Development Cash Flow'!Q107:T107)*F$4</f>
        <v>0</v>
      </c>
      <c r="G107" s="928">
        <f>'Development Cash Flow'!AL107-F107</f>
        <v>0</v>
      </c>
      <c r="H107" s="928"/>
      <c r="I107" s="928"/>
      <c r="J107" s="931">
        <f>+financing!$D$54/12*reserves!BD106</f>
        <v>0</v>
      </c>
      <c r="K107" s="928">
        <f>IF(C107=0,0,IF(C107=sales!$D$32,financing!$E$12*financing!$F$11,IF(OR(C107&gt;general!$C$27,C107&lt;sales!$D$32),0,IF((C107-sales!$D$32)/12=ROUND((C107-sales!$D$32)/12,0),financing!$E$12*financing!$F$11,0))))</f>
        <v>0</v>
      </c>
      <c r="L107" s="928"/>
      <c r="M107" s="928">
        <f t="shared" si="73"/>
        <v>0</v>
      </c>
      <c r="N107" s="946"/>
      <c r="O107" s="946">
        <f>IF(D107=general!$D$21,financing!$F$30,0)</f>
        <v>0</v>
      </c>
      <c r="P107" s="946">
        <f>+MIN(IF(D107&lt;=general!$D$24,SUM(F$6:F107)-SUM(P$6:P106),reserves!F107),AR106)</f>
        <v>0</v>
      </c>
      <c r="Q107" s="946">
        <f>+MAX(MIN(SUM(G$6:$G107)-R107,AN106,SUM(G$6:$G107)-SUM(Q$6:Q106)),0)</f>
        <v>0</v>
      </c>
      <c r="R107" s="946">
        <f>+IF(C107&gt;=sales!$D$36,'Development Cash Flow'!AL107,0)</f>
        <v>0</v>
      </c>
      <c r="S107" s="931">
        <f>IF(AND(A107=$A$5,C107&lt;financing!$D$55),M107-SUM(P107:R107,O107),MIN(M107-SUM(P107:R107,O107),financing!$F$10-SUM(S$5:S106)))</f>
        <v>0</v>
      </c>
      <c r="T107" s="931">
        <f>+MAX(MIN(IF(C107&gt;=financing!$D$55,M107-SUM(P107:S107)-J107,0),financing!$D$57-SUM(T$5:T106)),0)</f>
        <v>0</v>
      </c>
      <c r="U107" s="931">
        <f>+MAX(IF(C107&gt;=general!$C$23,M107-SUM(P107:T107),0)+IF(C107=general!$C$23,reserves!AZ106+AY107,0),0)</f>
        <v>0</v>
      </c>
      <c r="V107" s="946"/>
      <c r="W107" s="946">
        <f>SUMPRODUCT(--($C107=sales!$C$50:$C$54),sales!$F$50:$F$54)</f>
        <v>0</v>
      </c>
      <c r="X107" s="946">
        <f t="shared" si="87"/>
        <v>0</v>
      </c>
      <c r="Y107" s="946">
        <f t="shared" si="74"/>
        <v>0</v>
      </c>
      <c r="Z107" s="946">
        <f t="shared" si="88"/>
        <v>0</v>
      </c>
      <c r="AA107" s="946"/>
      <c r="AB107" s="932">
        <f>IF(C107=sales!$D$22,sales!$I$22,0)+IF(C107=sales!$D$23,sales!$I$23,0)+IF(C107=sales!$D$24,sales!$I$24,0)+IF(C107=sales!$D$25,sales!$I$25,0)+IF(C107=sales!$D$26,sales!$I$26,0)+IF(C107=sales!$D$27,sales!$I$27,0)</f>
        <v>0</v>
      </c>
      <c r="AC107" s="946"/>
      <c r="AD107" s="931">
        <f t="shared" si="75"/>
        <v>0</v>
      </c>
      <c r="AE107" s="932"/>
      <c r="AF107" s="932">
        <f t="shared" si="71"/>
        <v>0</v>
      </c>
      <c r="AG107" s="932">
        <f t="shared" si="72"/>
        <v>0</v>
      </c>
      <c r="AH107" s="931">
        <f t="shared" si="54"/>
        <v>0</v>
      </c>
      <c r="AI107" s="932"/>
      <c r="AJ107" s="931">
        <f t="shared" si="55"/>
        <v>0</v>
      </c>
      <c r="AK107" s="946"/>
      <c r="AL107" s="947">
        <f>+IF(financing!$C$12="YES",'Development Cash Flow'!M107,0)</f>
        <v>0</v>
      </c>
      <c r="AM107" s="947">
        <f t="shared" si="76"/>
        <v>0</v>
      </c>
      <c r="AN107" s="947">
        <f t="shared" si="89"/>
        <v>0</v>
      </c>
      <c r="AO107" s="946"/>
      <c r="AP107" s="947">
        <f>+SUM('Development Cash Flow'!G107:J107)-'Development Cash Flow'!M107</f>
        <v>0</v>
      </c>
      <c r="AQ107" s="947">
        <f t="shared" si="77"/>
        <v>0</v>
      </c>
      <c r="AR107" s="947">
        <f t="shared" si="90"/>
        <v>0</v>
      </c>
      <c r="AS107" s="946"/>
      <c r="AT107" s="947">
        <f t="shared" si="91"/>
        <v>0</v>
      </c>
      <c r="AU107" s="947">
        <f t="shared" si="92"/>
        <v>0</v>
      </c>
      <c r="AV107" s="948">
        <f t="shared" si="93"/>
        <v>0</v>
      </c>
      <c r="AW107" s="946"/>
      <c r="AX107" s="947">
        <f t="shared" si="78"/>
        <v>0</v>
      </c>
      <c r="AY107" s="947">
        <f>+AZ106*financing!$E$30/12</f>
        <v>0</v>
      </c>
      <c r="AZ107" s="947">
        <f t="shared" si="94"/>
        <v>0</v>
      </c>
      <c r="BA107" s="946"/>
      <c r="BB107" s="947">
        <f t="shared" si="79"/>
        <v>0</v>
      </c>
      <c r="BC107" s="947">
        <f>+IF(AND(BD106+BB107+MAX(BD106*financing!$E$15/12,financing!$D$59-SUM(reserves!BC$6:BC106)-SUM(J$6:J107))-reserves!AD107&lt;=0,financing!$D$58&gt;=0),MAX(BD106*financing!$E$15/12,financing!$D$59-SUM(reserves!BC$6:BC106)-SUM(J$6:J107)),BD106*financing!$E$15/12)</f>
        <v>0</v>
      </c>
      <c r="BD107" s="947">
        <f t="shared" si="67"/>
        <v>0</v>
      </c>
      <c r="BE107" s="946"/>
      <c r="BF107" s="947">
        <f t="shared" si="95"/>
        <v>0</v>
      </c>
      <c r="BG107" s="947">
        <f>+IF(AND(BH106+BF107+MAX((BH106*(LIBOR!AA108)*(D107-D106)/360)+BY107,financing!$C$16-SUM(reserves!BG$6:BG106))-reserves!AD107&lt;=0,financing!$L$17&gt;=0),MAX((BH106*(LIBOR!AA108)*(D107-D106)/360)+BY107,financing!$C$16-SUM(reserves!BG$6:BG106)),(BH106*(LIBOR!AA108)*(D107-D106)/360)+BY107)</f>
        <v>0</v>
      </c>
      <c r="BH107" s="947">
        <f t="shared" si="96"/>
        <v>0</v>
      </c>
      <c r="BI107" s="946"/>
      <c r="BJ107" s="937"/>
      <c r="BK107" s="938">
        <f t="shared" si="84"/>
        <v>0</v>
      </c>
      <c r="BL107" s="939">
        <f>-S107+AJ107+AF107-AX107+AH107+AG107-BB107-BF107+'Development Cash Flow'!Y107</f>
        <v>0</v>
      </c>
      <c r="BM107" s="940"/>
      <c r="BN107" s="941">
        <f t="shared" si="80"/>
        <v>0</v>
      </c>
      <c r="BO107" s="940"/>
      <c r="BP107" s="942">
        <f t="shared" si="81"/>
        <v>0</v>
      </c>
      <c r="BS107" s="949" t="e">
        <f t="shared" si="85"/>
        <v>#DIV/0!</v>
      </c>
      <c r="BT107" s="922">
        <f>+IF(SUM(BT$5:BT106)&lt;1,IF(BU107=MAX($BU$6:$BU$54),1,0),0)</f>
        <v>0</v>
      </c>
      <c r="BU107" s="922">
        <f t="shared" si="86"/>
        <v>4000000</v>
      </c>
      <c r="BV107" s="943" t="str">
        <f t="shared" si="82"/>
        <v/>
      </c>
      <c r="BW107" s="922" t="str">
        <f t="shared" si="83"/>
        <v/>
      </c>
      <c r="BY107" s="208">
        <f>ROUND(IF(A107="Dev",IF(AND(BK107&gt;general!$D$23,SUM($BZ$6:$BZ106)&lt;1,financing!$L$15&gt;BH106+BF107),financing!$L$16*(BK107-BK106)/360*(financing!$L$15-BH106-BF107),0),0),-2)</f>
        <v>0</v>
      </c>
      <c r="BZ107" s="909">
        <f>+IF(AND(BH107&gt;=financing!$L$15,SUM(BZ$6:BZ106)=0),1,0)</f>
        <v>0</v>
      </c>
      <c r="CA107" s="950">
        <f t="shared" si="56"/>
        <v>0</v>
      </c>
      <c r="CD107" s="909">
        <f>SUM($S$6:S107)</f>
        <v>4000000</v>
      </c>
      <c r="CF107" s="208">
        <f>+IF(C107&lt;general!$C$22,0,IF(AND(C107=general!$C$22,OR(A107="Pred",A107="Dev")),SUM(S$6:S107),S107))</f>
        <v>0</v>
      </c>
    </row>
    <row r="108" spans="1:84" ht="16" hidden="1" outlineLevel="2">
      <c r="A108" s="906" t="str">
        <f>+'Development Cash Flow'!A108</f>
        <v>post dev</v>
      </c>
      <c r="B108" s="908"/>
      <c r="C108" s="944">
        <f>IF('Development Cash Flow'!D107&lt;general!$D$28,'Development Cash Flow'!C107+1,0)</f>
        <v>0</v>
      </c>
      <c r="D108" s="945">
        <f t="shared" si="23"/>
        <v>49368</v>
      </c>
      <c r="E108" s="945"/>
      <c r="F108" s="928">
        <f>'Development Cash Flow'!P108*D$4+SUM('Development Cash Flow'!Q108:T108)*F$4</f>
        <v>0</v>
      </c>
      <c r="G108" s="928">
        <f>'Development Cash Flow'!AL108-F108</f>
        <v>0</v>
      </c>
      <c r="H108" s="928"/>
      <c r="I108" s="928"/>
      <c r="J108" s="931">
        <f>+financing!$D$54/12*reserves!BD107</f>
        <v>0</v>
      </c>
      <c r="K108" s="928">
        <f>IF(C108=0,0,IF(C108=sales!$D$32,financing!$E$12*financing!$F$11,IF(OR(C108&gt;general!$C$27,C108&lt;sales!$D$32),0,IF((C108-sales!$D$32)/12=ROUND((C108-sales!$D$32)/12,0),financing!$E$12*financing!$F$11,0))))</f>
        <v>0</v>
      </c>
      <c r="L108" s="928"/>
      <c r="M108" s="928">
        <f t="shared" si="73"/>
        <v>0</v>
      </c>
      <c r="N108" s="946"/>
      <c r="O108" s="946">
        <f>IF(D108=general!$D$21,financing!$F$30,0)</f>
        <v>0</v>
      </c>
      <c r="P108" s="946">
        <f>+MIN(IF(D108&lt;=general!$D$24,SUM(F$6:F108)-SUM(P$6:P107),reserves!F108),AR107)</f>
        <v>0</v>
      </c>
      <c r="Q108" s="946">
        <f>+MAX(MIN(SUM(G$6:$G108)-R108,AN107,SUM(G$6:$G108)-SUM(Q$6:Q107)),0)</f>
        <v>0</v>
      </c>
      <c r="R108" s="946">
        <f>+IF(C108&gt;=sales!$D$36,'Development Cash Flow'!AL108,0)</f>
        <v>0</v>
      </c>
      <c r="S108" s="931">
        <f>IF(AND(A108=$A$5,C108&lt;financing!$D$55),M108-SUM(P108:R108,O108),MIN(M108-SUM(P108:R108,O108),financing!$F$10-SUM(S$5:S107)))</f>
        <v>0</v>
      </c>
      <c r="T108" s="931">
        <f>+MAX(MIN(IF(C108&gt;=financing!$D$55,M108-SUM(P108:S108)-J108,0),financing!$D$57-SUM(T$5:T107)),0)</f>
        <v>0</v>
      </c>
      <c r="U108" s="931">
        <f>+MAX(IF(C108&gt;=general!$C$23,M108-SUM(P108:T108),0)+IF(C108=general!$C$23,reserves!AZ107+AY108,0),0)</f>
        <v>0</v>
      </c>
      <c r="V108" s="946"/>
      <c r="W108" s="946">
        <f>SUMPRODUCT(--($C108=sales!$C$50:$C$54),sales!$F$50:$F$54)</f>
        <v>0</v>
      </c>
      <c r="X108" s="946">
        <f t="shared" si="87"/>
        <v>0</v>
      </c>
      <c r="Y108" s="946">
        <f t="shared" si="74"/>
        <v>0</v>
      </c>
      <c r="Z108" s="946">
        <f t="shared" si="88"/>
        <v>0</v>
      </c>
      <c r="AA108" s="946"/>
      <c r="AB108" s="932">
        <f>IF(C108=sales!$D$22,sales!$I$22,0)+IF(C108=sales!$D$23,sales!$I$23,0)+IF(C108=sales!$D$24,sales!$I$24,0)+IF(C108=sales!$D$25,sales!$I$25,0)+IF(C108=sales!$D$26,sales!$I$26,0)+IF(C108=sales!$D$27,sales!$I$27,0)</f>
        <v>0</v>
      </c>
      <c r="AC108" s="946"/>
      <c r="AD108" s="931">
        <f t="shared" si="75"/>
        <v>0</v>
      </c>
      <c r="AE108" s="932"/>
      <c r="AF108" s="932">
        <f t="shared" si="71"/>
        <v>0</v>
      </c>
      <c r="AG108" s="932">
        <f t="shared" si="72"/>
        <v>0</v>
      </c>
      <c r="AH108" s="931">
        <f t="shared" si="54"/>
        <v>0</v>
      </c>
      <c r="AI108" s="932"/>
      <c r="AJ108" s="931">
        <f t="shared" si="55"/>
        <v>0</v>
      </c>
      <c r="AK108" s="946"/>
      <c r="AL108" s="947">
        <f>+IF(financing!$C$12="YES",'Development Cash Flow'!M108,0)</f>
        <v>0</v>
      </c>
      <c r="AM108" s="947">
        <f t="shared" si="76"/>
        <v>0</v>
      </c>
      <c r="AN108" s="947">
        <f t="shared" si="89"/>
        <v>0</v>
      </c>
      <c r="AO108" s="946"/>
      <c r="AP108" s="947">
        <f>+SUM('Development Cash Flow'!G108:J108)-'Development Cash Flow'!M108</f>
        <v>0</v>
      </c>
      <c r="AQ108" s="947">
        <f t="shared" si="77"/>
        <v>0</v>
      </c>
      <c r="AR108" s="947">
        <f t="shared" si="90"/>
        <v>0</v>
      </c>
      <c r="AS108" s="946"/>
      <c r="AT108" s="947">
        <f t="shared" si="91"/>
        <v>0</v>
      </c>
      <c r="AU108" s="947">
        <f t="shared" si="92"/>
        <v>0</v>
      </c>
      <c r="AV108" s="948">
        <f t="shared" si="93"/>
        <v>0</v>
      </c>
      <c r="AW108" s="946"/>
      <c r="AX108" s="947">
        <f t="shared" si="78"/>
        <v>0</v>
      </c>
      <c r="AY108" s="947">
        <f>+AZ107*financing!$E$30/12</f>
        <v>0</v>
      </c>
      <c r="AZ108" s="947">
        <f t="shared" si="94"/>
        <v>0</v>
      </c>
      <c r="BA108" s="946"/>
      <c r="BB108" s="947">
        <f t="shared" si="79"/>
        <v>0</v>
      </c>
      <c r="BC108" s="947">
        <f>+IF(AND(BD107+BB108+MAX(BD107*financing!$E$15/12,financing!$D$59-SUM(reserves!BC$6:BC107)-SUM(J$6:J108))-reserves!AD108&lt;=0,financing!$D$58&gt;=0),MAX(BD107*financing!$E$15/12,financing!$D$59-SUM(reserves!BC$6:BC107)-SUM(J$6:J108)),BD107*financing!$E$15/12)</f>
        <v>0</v>
      </c>
      <c r="BD108" s="947">
        <f t="shared" si="67"/>
        <v>0</v>
      </c>
      <c r="BE108" s="946"/>
      <c r="BF108" s="947">
        <f t="shared" si="95"/>
        <v>0</v>
      </c>
      <c r="BG108" s="947">
        <f>+IF(AND(BH107+BF108+MAX((BH107*(LIBOR!AA109)*(D108-D107)/360)+BY108,financing!$C$16-SUM(reserves!BG$6:BG107))-reserves!AD108&lt;=0,financing!$L$17&gt;=0),MAX((BH107*(LIBOR!AA109)*(D108-D107)/360)+BY108,financing!$C$16-SUM(reserves!BG$6:BG107)),(BH107*(LIBOR!AA109)*(D108-D107)/360)+BY108)</f>
        <v>0</v>
      </c>
      <c r="BH108" s="947">
        <f t="shared" si="96"/>
        <v>0</v>
      </c>
      <c r="BI108" s="946"/>
      <c r="BJ108" s="937"/>
      <c r="BK108" s="938">
        <f t="shared" si="84"/>
        <v>0</v>
      </c>
      <c r="BL108" s="939">
        <f>-S108+AJ108+AF108-AX108+AH108+AG108-BB108-BF108+'Development Cash Flow'!Y108</f>
        <v>0</v>
      </c>
      <c r="BM108" s="940"/>
      <c r="BN108" s="941">
        <f t="shared" si="80"/>
        <v>0</v>
      </c>
      <c r="BO108" s="940"/>
      <c r="BP108" s="942">
        <f t="shared" si="81"/>
        <v>0</v>
      </c>
      <c r="BS108" s="949" t="e">
        <f t="shared" si="85"/>
        <v>#DIV/0!</v>
      </c>
      <c r="BT108" s="922">
        <f>+IF(SUM(BT$5:BT107)&lt;1,IF(BU108=MAX($BU$6:$BU$54),1,0),0)</f>
        <v>0</v>
      </c>
      <c r="BU108" s="922">
        <f t="shared" si="86"/>
        <v>4000000</v>
      </c>
      <c r="BV108" s="943" t="str">
        <f t="shared" si="82"/>
        <v/>
      </c>
      <c r="BW108" s="922" t="str">
        <f t="shared" si="83"/>
        <v/>
      </c>
      <c r="BY108" s="208">
        <f>ROUND(IF(A108="Dev",IF(AND(BK108&gt;general!$D$23,SUM($BZ$6:$BZ107)&lt;1,financing!$L$15&gt;BH107+BF108),financing!$L$16*(BK108-BK107)/360*(financing!$L$15-BH107-BF108),0),0),-2)</f>
        <v>0</v>
      </c>
      <c r="BZ108" s="909">
        <f>+IF(AND(BH108&gt;=financing!$L$15,SUM(BZ$6:BZ107)=0),1,0)</f>
        <v>0</v>
      </c>
      <c r="CA108" s="950">
        <f t="shared" si="56"/>
        <v>0</v>
      </c>
      <c r="CD108" s="909">
        <f>SUM($S$6:S108)</f>
        <v>4000000</v>
      </c>
      <c r="CF108" s="208">
        <f>+IF(C108&lt;general!$C$22,0,IF(AND(C108=general!$C$22,OR(A108="Pred",A108="Dev")),SUM(S$6:S108),S108))</f>
        <v>0</v>
      </c>
    </row>
    <row r="109" spans="1:84" ht="16" hidden="1" outlineLevel="2">
      <c r="A109" s="906" t="str">
        <f>+'Development Cash Flow'!A109</f>
        <v>post dev</v>
      </c>
      <c r="B109" s="908"/>
      <c r="C109" s="944">
        <f>IF('Development Cash Flow'!D108&lt;general!$D$28,'Development Cash Flow'!C108+1,0)</f>
        <v>0</v>
      </c>
      <c r="D109" s="945">
        <f t="shared" si="23"/>
        <v>49399</v>
      </c>
      <c r="E109" s="945"/>
      <c r="F109" s="928">
        <f>'Development Cash Flow'!P109*D$4+SUM('Development Cash Flow'!Q109:T109)*F$4</f>
        <v>0</v>
      </c>
      <c r="G109" s="928">
        <f>'Development Cash Flow'!AL109-F109</f>
        <v>0</v>
      </c>
      <c r="H109" s="928"/>
      <c r="I109" s="928"/>
      <c r="J109" s="931">
        <f>+financing!$D$54/12*reserves!BD108</f>
        <v>0</v>
      </c>
      <c r="K109" s="928">
        <f>IF(C109=0,0,IF(C109=sales!$D$32,financing!$E$12*financing!$F$11,IF(OR(C109&gt;general!$C$27,C109&lt;sales!$D$32),0,IF((C109-sales!$D$32)/12=ROUND((C109-sales!$D$32)/12,0),financing!$E$12*financing!$F$11,0))))</f>
        <v>0</v>
      </c>
      <c r="L109" s="928"/>
      <c r="M109" s="928">
        <f t="shared" si="73"/>
        <v>0</v>
      </c>
      <c r="N109" s="946"/>
      <c r="O109" s="946">
        <f>IF(D109=general!$D$21,financing!$F$30,0)</f>
        <v>0</v>
      </c>
      <c r="P109" s="946">
        <f>+MIN(IF(D109&lt;=general!$D$24,SUM(F$6:F109)-SUM(P$6:P108),reserves!F109),AR108)</f>
        <v>0</v>
      </c>
      <c r="Q109" s="946">
        <f>+MAX(MIN(SUM(G$6:$G109)-R109,AN108,SUM(G$6:$G109)-SUM(Q$6:Q108)),0)</f>
        <v>0</v>
      </c>
      <c r="R109" s="946">
        <f>+IF(C109&gt;=sales!$D$36,'Development Cash Flow'!AL109,0)</f>
        <v>0</v>
      </c>
      <c r="S109" s="931">
        <f>IF(AND(A109=$A$5,C109&lt;financing!$D$55),M109-SUM(P109:R109,O109),MIN(M109-SUM(P109:R109,O109),financing!$F$10-SUM(S$5:S108)))</f>
        <v>0</v>
      </c>
      <c r="T109" s="931">
        <f>+MAX(MIN(IF(C109&gt;=financing!$D$55,M109-SUM(P109:S109)-J109,0),financing!$D$57-SUM(T$5:T108)),0)</f>
        <v>0</v>
      </c>
      <c r="U109" s="931">
        <f>+MAX(IF(C109&gt;=general!$C$23,M109-SUM(P109:T109),0)+IF(C109=general!$C$23,reserves!AZ108+AY109,0),0)</f>
        <v>0</v>
      </c>
      <c r="V109" s="946"/>
      <c r="W109" s="946">
        <f>SUMPRODUCT(--($C109=sales!$C$50:$C$54),sales!$F$50:$F$54)</f>
        <v>0</v>
      </c>
      <c r="X109" s="946">
        <f t="shared" si="87"/>
        <v>0</v>
      </c>
      <c r="Y109" s="946">
        <f t="shared" si="74"/>
        <v>0</v>
      </c>
      <c r="Z109" s="946">
        <f t="shared" si="88"/>
        <v>0</v>
      </c>
      <c r="AA109" s="946"/>
      <c r="AB109" s="932">
        <f>IF(C109=sales!$D$22,sales!$I$22,0)+IF(C109=sales!$D$23,sales!$I$23,0)+IF(C109=sales!$D$24,sales!$I$24,0)+IF(C109=sales!$D$25,sales!$I$25,0)+IF(C109=sales!$D$26,sales!$I$26,0)+IF(C109=sales!$D$27,sales!$I$27,0)</f>
        <v>0</v>
      </c>
      <c r="AC109" s="946"/>
      <c r="AD109" s="931">
        <f t="shared" si="75"/>
        <v>0</v>
      </c>
      <c r="AE109" s="932"/>
      <c r="AF109" s="932">
        <f t="shared" si="71"/>
        <v>0</v>
      </c>
      <c r="AG109" s="932">
        <f t="shared" si="72"/>
        <v>0</v>
      </c>
      <c r="AH109" s="931">
        <f t="shared" si="54"/>
        <v>0</v>
      </c>
      <c r="AI109" s="932"/>
      <c r="AJ109" s="931">
        <f t="shared" si="55"/>
        <v>0</v>
      </c>
      <c r="AK109" s="946"/>
      <c r="AL109" s="947">
        <f>+IF(financing!$C$12="YES",'Development Cash Flow'!M109,0)</f>
        <v>0</v>
      </c>
      <c r="AM109" s="947">
        <f t="shared" si="76"/>
        <v>0</v>
      </c>
      <c r="AN109" s="947">
        <f t="shared" si="89"/>
        <v>0</v>
      </c>
      <c r="AO109" s="946"/>
      <c r="AP109" s="947">
        <f>+SUM('Development Cash Flow'!G109:J109)-'Development Cash Flow'!M109</f>
        <v>0</v>
      </c>
      <c r="AQ109" s="947">
        <f t="shared" si="77"/>
        <v>0</v>
      </c>
      <c r="AR109" s="947">
        <f t="shared" si="90"/>
        <v>0</v>
      </c>
      <c r="AS109" s="946"/>
      <c r="AT109" s="947">
        <f t="shared" si="91"/>
        <v>0</v>
      </c>
      <c r="AU109" s="947">
        <f t="shared" si="92"/>
        <v>0</v>
      </c>
      <c r="AV109" s="948">
        <f t="shared" si="93"/>
        <v>0</v>
      </c>
      <c r="AW109" s="946"/>
      <c r="AX109" s="947">
        <f t="shared" si="78"/>
        <v>0</v>
      </c>
      <c r="AY109" s="947">
        <f>+AZ108*financing!$E$30/12</f>
        <v>0</v>
      </c>
      <c r="AZ109" s="947">
        <f t="shared" si="94"/>
        <v>0</v>
      </c>
      <c r="BA109" s="946"/>
      <c r="BB109" s="947">
        <f t="shared" si="79"/>
        <v>0</v>
      </c>
      <c r="BC109" s="947">
        <f>+IF(AND(BD108+BB109+MAX(BD108*financing!$E$15/12,financing!$D$59-SUM(reserves!BC$6:BC108)-SUM(J$6:J109))-reserves!AD109&lt;=0,financing!$D$58&gt;=0),MAX(BD108*financing!$E$15/12,financing!$D$59-SUM(reserves!BC$6:BC108)-SUM(J$6:J109)),BD108*financing!$E$15/12)</f>
        <v>0</v>
      </c>
      <c r="BD109" s="947">
        <f t="shared" si="67"/>
        <v>0</v>
      </c>
      <c r="BE109" s="946"/>
      <c r="BF109" s="947">
        <f t="shared" si="95"/>
        <v>0</v>
      </c>
      <c r="BG109" s="947">
        <f>+IF(AND(BH108+BF109+MAX((BH108*(LIBOR!AA110)*(D109-D108)/360)+BY109,financing!$C$16-SUM(reserves!BG$6:BG108))-reserves!AD109&lt;=0,financing!$L$17&gt;=0),MAX((BH108*(LIBOR!AA110)*(D109-D108)/360)+BY109,financing!$C$16-SUM(reserves!BG$6:BG108)),(BH108*(LIBOR!AA110)*(D109-D108)/360)+BY109)</f>
        <v>0</v>
      </c>
      <c r="BH109" s="947">
        <f t="shared" si="96"/>
        <v>0</v>
      </c>
      <c r="BI109" s="946"/>
      <c r="BJ109" s="937"/>
      <c r="BK109" s="938">
        <f t="shared" si="84"/>
        <v>0</v>
      </c>
      <c r="BL109" s="939">
        <f>-S109+AJ109+AF109-AX109+AH109+AG109-BB109-BF109+'Development Cash Flow'!Y109</f>
        <v>0</v>
      </c>
      <c r="BM109" s="940"/>
      <c r="BN109" s="941">
        <f t="shared" si="80"/>
        <v>0</v>
      </c>
      <c r="BO109" s="940"/>
      <c r="BP109" s="942">
        <f t="shared" si="81"/>
        <v>0</v>
      </c>
      <c r="BS109" s="949" t="e">
        <f t="shared" si="85"/>
        <v>#DIV/0!</v>
      </c>
      <c r="BT109" s="922">
        <f>+IF(SUM(BT$5:BT108)&lt;1,IF(BU109=MAX($BU$6:$BU$54),1,0),0)</f>
        <v>0</v>
      </c>
      <c r="BU109" s="922">
        <f t="shared" si="86"/>
        <v>4000000</v>
      </c>
      <c r="BV109" s="943" t="str">
        <f t="shared" si="82"/>
        <v/>
      </c>
      <c r="BW109" s="922" t="str">
        <f t="shared" si="83"/>
        <v/>
      </c>
      <c r="BY109" s="208">
        <f>ROUND(IF(A109="Dev",IF(AND(BK109&gt;general!$D$23,SUM($BZ$6:$BZ108)&lt;1,financing!$L$15&gt;BH108+BF109),financing!$L$16*(BK109-BK108)/360*(financing!$L$15-BH108-BF109),0),0),-2)</f>
        <v>0</v>
      </c>
      <c r="BZ109" s="909">
        <f>+IF(AND(BH109&gt;=financing!$L$15,SUM(BZ$6:BZ108)=0),1,0)</f>
        <v>0</v>
      </c>
      <c r="CA109" s="950">
        <f t="shared" si="56"/>
        <v>0</v>
      </c>
      <c r="CD109" s="909">
        <f>SUM($S$6:S109)</f>
        <v>4000000</v>
      </c>
      <c r="CF109" s="208">
        <f>+IF(C109&lt;general!$C$22,0,IF(AND(C109=general!$C$22,OR(A109="Pred",A109="Dev")),SUM(S$6:S109),S109))</f>
        <v>0</v>
      </c>
    </row>
    <row r="110" spans="1:84" ht="16" hidden="1" outlineLevel="2">
      <c r="A110" s="906" t="str">
        <f>+'Development Cash Flow'!A110</f>
        <v>post dev</v>
      </c>
      <c r="B110" s="908"/>
      <c r="C110" s="944">
        <f>IF('Development Cash Flow'!D109&lt;general!$D$28,'Development Cash Flow'!C109+1,0)</f>
        <v>0</v>
      </c>
      <c r="D110" s="945">
        <f t="shared" si="23"/>
        <v>49429</v>
      </c>
      <c r="E110" s="945"/>
      <c r="F110" s="928">
        <f>'Development Cash Flow'!P110*D$4+SUM('Development Cash Flow'!Q110:T110)*F$4</f>
        <v>0</v>
      </c>
      <c r="G110" s="928">
        <f>'Development Cash Flow'!AL110-F110</f>
        <v>0</v>
      </c>
      <c r="H110" s="928"/>
      <c r="I110" s="928"/>
      <c r="J110" s="931">
        <f>+financing!$D$54/12*reserves!BD109</f>
        <v>0</v>
      </c>
      <c r="K110" s="928">
        <f>IF(C110=0,0,IF(C110=sales!$D$32,financing!$E$12*financing!$F$11,IF(OR(C110&gt;general!$C$27,C110&lt;sales!$D$32),0,IF((C110-sales!$D$32)/12=ROUND((C110-sales!$D$32)/12,0),financing!$E$12*financing!$F$11,0))))</f>
        <v>0</v>
      </c>
      <c r="L110" s="928"/>
      <c r="M110" s="928">
        <f t="shared" si="73"/>
        <v>0</v>
      </c>
      <c r="N110" s="946"/>
      <c r="O110" s="946">
        <f>IF(D110=general!$D$21,financing!$F$30,0)</f>
        <v>0</v>
      </c>
      <c r="P110" s="946">
        <f>+MIN(IF(D110&lt;=general!$D$24,SUM(F$6:F110)-SUM(P$6:P109),reserves!F110),AR109)</f>
        <v>0</v>
      </c>
      <c r="Q110" s="946">
        <f>+MAX(MIN(SUM(G$6:$G110)-R110,AN109,SUM(G$6:$G110)-SUM(Q$6:Q109)),0)</f>
        <v>0</v>
      </c>
      <c r="R110" s="946">
        <f>+IF(C110&gt;=sales!$D$36,'Development Cash Flow'!AL110,0)</f>
        <v>0</v>
      </c>
      <c r="S110" s="931">
        <f>IF(AND(A110=$A$5,C110&lt;financing!$D$55),M110-SUM(P110:R110,O110),MIN(M110-SUM(P110:R110,O110),financing!$F$10-SUM(S$5:S109)))</f>
        <v>0</v>
      </c>
      <c r="T110" s="931">
        <f>+MAX(MIN(IF(C110&gt;=financing!$D$55,M110-SUM(P110:S110)-J110,0),financing!$D$57-SUM(T$5:T109)),0)</f>
        <v>0</v>
      </c>
      <c r="U110" s="931">
        <f>+MAX(IF(C110&gt;=general!$C$23,M110-SUM(P110:T110),0)+IF(C110=general!$C$23,reserves!AZ109+AY110,0),0)</f>
        <v>0</v>
      </c>
      <c r="V110" s="946"/>
      <c r="W110" s="946">
        <f>SUMPRODUCT(--($C110=sales!$C$50:$C$54),sales!$F$50:$F$54)</f>
        <v>0</v>
      </c>
      <c r="X110" s="946">
        <f t="shared" si="87"/>
        <v>0</v>
      </c>
      <c r="Y110" s="946">
        <f t="shared" si="74"/>
        <v>0</v>
      </c>
      <c r="Z110" s="946">
        <f t="shared" si="88"/>
        <v>0</v>
      </c>
      <c r="AA110" s="946"/>
      <c r="AB110" s="932">
        <f>IF(C110=sales!$D$22,sales!$I$22,0)+IF(C110=sales!$D$23,sales!$I$23,0)+IF(C110=sales!$D$24,sales!$I$24,0)+IF(C110=sales!$D$25,sales!$I$25,0)+IF(C110=sales!$D$26,sales!$I$26,0)+IF(C110=sales!$D$27,sales!$I$27,0)</f>
        <v>0</v>
      </c>
      <c r="AC110" s="946"/>
      <c r="AD110" s="931">
        <f t="shared" si="75"/>
        <v>0</v>
      </c>
      <c r="AE110" s="932"/>
      <c r="AF110" s="932">
        <f t="shared" si="71"/>
        <v>0</v>
      </c>
      <c r="AG110" s="932">
        <f t="shared" si="72"/>
        <v>0</v>
      </c>
      <c r="AH110" s="931">
        <f t="shared" si="54"/>
        <v>0</v>
      </c>
      <c r="AI110" s="932"/>
      <c r="AJ110" s="931">
        <f t="shared" si="55"/>
        <v>0</v>
      </c>
      <c r="AK110" s="946"/>
      <c r="AL110" s="947">
        <f>+IF(financing!$C$12="YES",'Development Cash Flow'!M110,0)</f>
        <v>0</v>
      </c>
      <c r="AM110" s="947">
        <f t="shared" si="76"/>
        <v>0</v>
      </c>
      <c r="AN110" s="947">
        <f t="shared" si="89"/>
        <v>0</v>
      </c>
      <c r="AO110" s="946"/>
      <c r="AP110" s="947">
        <f>+SUM('Development Cash Flow'!G110:J110)-'Development Cash Flow'!M110</f>
        <v>0</v>
      </c>
      <c r="AQ110" s="947">
        <f t="shared" si="77"/>
        <v>0</v>
      </c>
      <c r="AR110" s="947">
        <f t="shared" si="90"/>
        <v>0</v>
      </c>
      <c r="AS110" s="946"/>
      <c r="AT110" s="947">
        <f t="shared" si="91"/>
        <v>0</v>
      </c>
      <c r="AU110" s="947">
        <f t="shared" si="92"/>
        <v>0</v>
      </c>
      <c r="AV110" s="948">
        <f t="shared" si="93"/>
        <v>0</v>
      </c>
      <c r="AW110" s="946"/>
      <c r="AX110" s="947">
        <f t="shared" si="78"/>
        <v>0</v>
      </c>
      <c r="AY110" s="947">
        <f>+AZ109*financing!$E$30/12</f>
        <v>0</v>
      </c>
      <c r="AZ110" s="947">
        <f t="shared" si="94"/>
        <v>0</v>
      </c>
      <c r="BA110" s="946"/>
      <c r="BB110" s="947">
        <f t="shared" si="79"/>
        <v>0</v>
      </c>
      <c r="BC110" s="947">
        <f>+IF(AND(BD109+BB110+MAX(BD109*financing!$E$15/12,financing!$D$59-SUM(reserves!BC$6:BC109)-SUM(J$6:J110))-reserves!AD110&lt;=0,financing!$D$58&gt;=0),MAX(BD109*financing!$E$15/12,financing!$D$59-SUM(reserves!BC$6:BC109)-SUM(J$6:J110)),BD109*financing!$E$15/12)</f>
        <v>0</v>
      </c>
      <c r="BD110" s="947">
        <f t="shared" si="67"/>
        <v>0</v>
      </c>
      <c r="BE110" s="946"/>
      <c r="BF110" s="947">
        <f t="shared" si="95"/>
        <v>0</v>
      </c>
      <c r="BG110" s="947">
        <f>+IF(AND(BH109+BF110+MAX((BH109*(LIBOR!AA111)*(D110-D109)/360)+BY110,financing!$C$16-SUM(reserves!BG$6:BG109))-reserves!AD110&lt;=0,financing!$L$17&gt;=0),MAX((BH109*(LIBOR!AA111)*(D110-D109)/360)+BY110,financing!$C$16-SUM(reserves!BG$6:BG109)),(BH109*(LIBOR!AA111)*(D110-D109)/360)+BY110)</f>
        <v>0</v>
      </c>
      <c r="BH110" s="947">
        <f t="shared" si="96"/>
        <v>0</v>
      </c>
      <c r="BI110" s="946"/>
      <c r="BJ110" s="937"/>
      <c r="BK110" s="938">
        <f t="shared" si="84"/>
        <v>0</v>
      </c>
      <c r="BL110" s="939">
        <f>-S110+AJ110+AF110-AX110+AH110+AG110-BB110-BF110+'Development Cash Flow'!Y110</f>
        <v>0</v>
      </c>
      <c r="BM110" s="940"/>
      <c r="BN110" s="941">
        <f t="shared" si="80"/>
        <v>0</v>
      </c>
      <c r="BO110" s="940"/>
      <c r="BP110" s="942">
        <f t="shared" si="81"/>
        <v>0</v>
      </c>
      <c r="BS110" s="949" t="e">
        <f t="shared" si="85"/>
        <v>#DIV/0!</v>
      </c>
      <c r="BT110" s="922">
        <f>+IF(SUM(BT$5:BT109)&lt;1,IF(BU110=MAX($BU$6:$BU$54),1,0),0)</f>
        <v>0</v>
      </c>
      <c r="BU110" s="922">
        <f t="shared" si="86"/>
        <v>4000000</v>
      </c>
      <c r="BV110" s="943" t="str">
        <f t="shared" si="82"/>
        <v/>
      </c>
      <c r="BW110" s="922" t="str">
        <f t="shared" si="83"/>
        <v/>
      </c>
      <c r="BY110" s="208">
        <f>ROUND(IF(A110="Dev",IF(AND(BK110&gt;general!$D$23,SUM($BZ$6:$BZ109)&lt;1,financing!$L$15&gt;BH109+BF110),financing!$L$16*(BK110-BK109)/360*(financing!$L$15-BH109-BF110),0),0),-2)</f>
        <v>0</v>
      </c>
      <c r="BZ110" s="909">
        <f>+IF(AND(BH110&gt;=financing!$L$15,SUM(BZ$6:BZ109)=0),1,0)</f>
        <v>0</v>
      </c>
      <c r="CA110" s="950">
        <f t="shared" si="56"/>
        <v>0</v>
      </c>
      <c r="CD110" s="909">
        <f>SUM($S$6:S110)</f>
        <v>4000000</v>
      </c>
      <c r="CF110" s="208">
        <f>+IF(C110&lt;general!$C$22,0,IF(AND(C110=general!$C$22,OR(A110="Pred",A110="Dev")),SUM(S$6:S110),S110))</f>
        <v>0</v>
      </c>
    </row>
    <row r="111" spans="1:84" ht="16" hidden="1" outlineLevel="2">
      <c r="A111" s="906" t="str">
        <f>+'Development Cash Flow'!A111</f>
        <v>post dev</v>
      </c>
      <c r="B111" s="908"/>
      <c r="C111" s="944">
        <f>IF('Development Cash Flow'!D110&lt;general!$D$28,'Development Cash Flow'!C110+1,0)</f>
        <v>0</v>
      </c>
      <c r="D111" s="945">
        <f t="shared" si="23"/>
        <v>49460</v>
      </c>
      <c r="E111" s="945"/>
      <c r="F111" s="928">
        <f>'Development Cash Flow'!P111*D$4+SUM('Development Cash Flow'!Q111:T111)*F$4</f>
        <v>0</v>
      </c>
      <c r="G111" s="928">
        <f>'Development Cash Flow'!AL111-F111</f>
        <v>0</v>
      </c>
      <c r="H111" s="928"/>
      <c r="I111" s="928"/>
      <c r="J111" s="931">
        <f>+financing!$D$54/12*reserves!BD110</f>
        <v>0</v>
      </c>
      <c r="K111" s="928">
        <f>IF(C111=0,0,IF(C111=sales!$D$32,financing!$E$12*financing!$F$11,IF(OR(C111&gt;general!$C$27,C111&lt;sales!$D$32),0,IF((C111-sales!$D$32)/12=ROUND((C111-sales!$D$32)/12,0),financing!$E$12*financing!$F$11,0))))</f>
        <v>0</v>
      </c>
      <c r="L111" s="928"/>
      <c r="M111" s="928">
        <f t="shared" si="73"/>
        <v>0</v>
      </c>
      <c r="N111" s="946"/>
      <c r="O111" s="946">
        <f>IF(D111=general!$D$21,financing!$F$30,0)</f>
        <v>0</v>
      </c>
      <c r="P111" s="946">
        <f>+MIN(IF(D111&lt;=general!$D$24,SUM(F$6:F111)-SUM(P$6:P110),reserves!F111),AR110)</f>
        <v>0</v>
      </c>
      <c r="Q111" s="946">
        <f>+MAX(MIN(SUM(G$6:$G111)-R111,AN110,SUM(G$6:$G111)-SUM(Q$6:Q110)),0)</f>
        <v>0</v>
      </c>
      <c r="R111" s="946">
        <f>+IF(C111&gt;=sales!$D$36,'Development Cash Flow'!AL111,0)</f>
        <v>0</v>
      </c>
      <c r="S111" s="931">
        <f>IF(AND(A111=$A$5,C111&lt;financing!$D$55),M111-SUM(P111:R111,O111),MIN(M111-SUM(P111:R111,O111),financing!$F$10-SUM(S$5:S110)))</f>
        <v>0</v>
      </c>
      <c r="T111" s="931">
        <f>+MAX(MIN(IF(C111&gt;=financing!$D$55,M111-SUM(P111:S111)-J111,0),financing!$D$57-SUM(T$5:T110)),0)</f>
        <v>0</v>
      </c>
      <c r="U111" s="931">
        <f>+MAX(IF(C111&gt;=general!$C$23,M111-SUM(P111:T111),0)+IF(C111=general!$C$23,reserves!AZ110+AY111,0),0)</f>
        <v>0</v>
      </c>
      <c r="V111" s="946"/>
      <c r="W111" s="946">
        <f>SUMPRODUCT(--($C111=sales!$C$50:$C$54),sales!$F$50:$F$54)</f>
        <v>0</v>
      </c>
      <c r="X111" s="946">
        <f t="shared" si="87"/>
        <v>0</v>
      </c>
      <c r="Y111" s="946">
        <f t="shared" si="74"/>
        <v>0</v>
      </c>
      <c r="Z111" s="946">
        <f t="shared" si="88"/>
        <v>0</v>
      </c>
      <c r="AA111" s="946"/>
      <c r="AB111" s="932">
        <f>IF(C111=sales!$D$22,sales!$I$22,0)+IF(C111=sales!$D$23,sales!$I$23,0)+IF(C111=sales!$D$24,sales!$I$24,0)+IF(C111=sales!$D$25,sales!$I$25,0)+IF(C111=sales!$D$26,sales!$I$26,0)+IF(C111=sales!$D$27,sales!$I$27,0)</f>
        <v>0</v>
      </c>
      <c r="AC111" s="946"/>
      <c r="AD111" s="931">
        <f t="shared" si="75"/>
        <v>0</v>
      </c>
      <c r="AE111" s="932"/>
      <c r="AF111" s="932">
        <f t="shared" si="71"/>
        <v>0</v>
      </c>
      <c r="AG111" s="932">
        <f t="shared" si="72"/>
        <v>0</v>
      </c>
      <c r="AH111" s="931">
        <f t="shared" ref="AH111:AH126" si="97">+MIN(BD110+BB111+BC111,AD111-SUM(AF111:AG111))</f>
        <v>0</v>
      </c>
      <c r="AI111" s="932"/>
      <c r="AJ111" s="931">
        <f t="shared" ref="AJ111:AJ126" si="98">+AD111-SUM(AF111:AH111)</f>
        <v>0</v>
      </c>
      <c r="AK111" s="946"/>
      <c r="AL111" s="947">
        <f>+IF(financing!$C$12="YES",'Development Cash Flow'!M111,0)</f>
        <v>0</v>
      </c>
      <c r="AM111" s="947">
        <f t="shared" si="76"/>
        <v>0</v>
      </c>
      <c r="AN111" s="947">
        <f t="shared" si="89"/>
        <v>0</v>
      </c>
      <c r="AO111" s="946"/>
      <c r="AP111" s="947">
        <f>+SUM('Development Cash Flow'!G111:J111)-'Development Cash Flow'!M111</f>
        <v>0</v>
      </c>
      <c r="AQ111" s="947">
        <f t="shared" si="77"/>
        <v>0</v>
      </c>
      <c r="AR111" s="947">
        <f t="shared" si="90"/>
        <v>0</v>
      </c>
      <c r="AS111" s="946"/>
      <c r="AT111" s="947">
        <f t="shared" si="91"/>
        <v>0</v>
      </c>
      <c r="AU111" s="947">
        <f t="shared" si="92"/>
        <v>0</v>
      </c>
      <c r="AV111" s="948">
        <f t="shared" si="93"/>
        <v>0</v>
      </c>
      <c r="AW111" s="946"/>
      <c r="AX111" s="947">
        <f t="shared" si="78"/>
        <v>0</v>
      </c>
      <c r="AY111" s="947">
        <f>+AZ110*financing!$E$30/12</f>
        <v>0</v>
      </c>
      <c r="AZ111" s="947">
        <f t="shared" si="94"/>
        <v>0</v>
      </c>
      <c r="BA111" s="946"/>
      <c r="BB111" s="947">
        <f t="shared" si="79"/>
        <v>0</v>
      </c>
      <c r="BC111" s="947">
        <f>+IF(AND(BD110+BB111+MAX(BD110*financing!$E$15/12,financing!$D$59-SUM(reserves!BC$6:BC110)-SUM(J$6:J111))-reserves!AD111&lt;=0,financing!$D$58&gt;=0),MAX(BD110*financing!$E$15/12,financing!$D$59-SUM(reserves!BC$6:BC110)-SUM(J$6:J111)),BD110*financing!$E$15/12)</f>
        <v>0</v>
      </c>
      <c r="BD111" s="947">
        <f t="shared" si="67"/>
        <v>0</v>
      </c>
      <c r="BE111" s="946"/>
      <c r="BF111" s="947">
        <f t="shared" si="95"/>
        <v>0</v>
      </c>
      <c r="BG111" s="947">
        <f>+IF(AND(BH110+BF111+MAX((BH110*(LIBOR!AA112)*(D111-D110)/360)+BY111,financing!$C$16-SUM(reserves!BG$6:BG110))-reserves!AD111&lt;=0,financing!$L$17&gt;=0),MAX((BH110*(LIBOR!AA112)*(D111-D110)/360)+BY111,financing!$C$16-SUM(reserves!BG$6:BG110)),(BH110*(LIBOR!AA112)*(D111-D110)/360)+BY111)</f>
        <v>0</v>
      </c>
      <c r="BH111" s="947">
        <f t="shared" si="96"/>
        <v>0</v>
      </c>
      <c r="BI111" s="946"/>
      <c r="BJ111" s="937"/>
      <c r="BK111" s="938">
        <f t="shared" si="84"/>
        <v>0</v>
      </c>
      <c r="BL111" s="939">
        <f>-S111+AJ111+AF111-AX111+AH111+AG111-BB111-BF111+'Development Cash Flow'!Y111</f>
        <v>0</v>
      </c>
      <c r="BM111" s="940"/>
      <c r="BN111" s="941">
        <f t="shared" si="80"/>
        <v>0</v>
      </c>
      <c r="BO111" s="940"/>
      <c r="BP111" s="942">
        <f t="shared" si="81"/>
        <v>0</v>
      </c>
      <c r="BS111" s="949" t="e">
        <f t="shared" si="85"/>
        <v>#DIV/0!</v>
      </c>
      <c r="BT111" s="922">
        <f>+IF(SUM(BT$5:BT110)&lt;1,IF(BU111=MAX($BU$6:$BU$54),1,0),0)</f>
        <v>0</v>
      </c>
      <c r="BU111" s="922">
        <f t="shared" si="86"/>
        <v>4000000</v>
      </c>
      <c r="BV111" s="943" t="str">
        <f t="shared" si="82"/>
        <v/>
      </c>
      <c r="BW111" s="922" t="str">
        <f t="shared" si="83"/>
        <v/>
      </c>
      <c r="BY111" s="208">
        <f>ROUND(IF(A111="Dev",IF(AND(BK111&gt;general!$D$23,SUM($BZ$6:$BZ110)&lt;1,financing!$L$15&gt;BH110+BF111),financing!$L$16*(BK111-BK110)/360*(financing!$L$15-BH110-BF111),0),0),-2)</f>
        <v>0</v>
      </c>
      <c r="BZ111" s="909">
        <f>+IF(AND(BH111&gt;=financing!$L$15,SUM(BZ$6:BZ110)=0),1,0)</f>
        <v>0</v>
      </c>
      <c r="CA111" s="950">
        <f t="shared" ref="CA111:CA126" si="99">+BZ111*BK111</f>
        <v>0</v>
      </c>
      <c r="CD111" s="909">
        <f>SUM($S$6:S111)</f>
        <v>4000000</v>
      </c>
      <c r="CF111" s="208">
        <f>+IF(C111&lt;general!$C$22,0,IF(AND(C111=general!$C$22,OR(A111="Pred",A111="Dev")),SUM(S$6:S111),S111))</f>
        <v>0</v>
      </c>
    </row>
    <row r="112" spans="1:84" ht="16" hidden="1" outlineLevel="2">
      <c r="A112" s="906" t="str">
        <f>+'Development Cash Flow'!A112</f>
        <v>post dev</v>
      </c>
      <c r="B112" s="908"/>
      <c r="C112" s="944">
        <f>IF('Development Cash Flow'!D111&lt;general!$D$28,'Development Cash Flow'!C111+1,0)</f>
        <v>0</v>
      </c>
      <c r="D112" s="945">
        <f t="shared" si="23"/>
        <v>49490</v>
      </c>
      <c r="E112" s="945"/>
      <c r="F112" s="928">
        <f>'Development Cash Flow'!P112*D$4+SUM('Development Cash Flow'!Q112:T112)*F$4</f>
        <v>0</v>
      </c>
      <c r="G112" s="928">
        <f>'Development Cash Flow'!AL112-F112</f>
        <v>0</v>
      </c>
      <c r="H112" s="928"/>
      <c r="I112" s="928"/>
      <c r="J112" s="931">
        <f>+financing!$D$54/12*reserves!BD111</f>
        <v>0</v>
      </c>
      <c r="K112" s="928">
        <f>IF(C112=0,0,IF(C112=sales!$D$32,financing!$E$12*financing!$F$11,IF(OR(C112&gt;general!$C$27,C112&lt;sales!$D$32),0,IF((C112-sales!$D$32)/12=ROUND((C112-sales!$D$32)/12,0),financing!$E$12*financing!$F$11,0))))</f>
        <v>0</v>
      </c>
      <c r="L112" s="928"/>
      <c r="M112" s="928">
        <f t="shared" si="73"/>
        <v>0</v>
      </c>
      <c r="N112" s="946"/>
      <c r="O112" s="946">
        <f>IF(D112=general!$D$21,financing!$F$30,0)</f>
        <v>0</v>
      </c>
      <c r="P112" s="946">
        <f>+MIN(IF(D112&lt;=general!$D$24,SUM(F$6:F112)-SUM(P$6:P111),reserves!F112),AR111)</f>
        <v>0</v>
      </c>
      <c r="Q112" s="946">
        <f>+MAX(MIN(SUM(G$6:$G112)-R112,AN111,SUM(G$6:$G112)-SUM(Q$6:Q111)),0)</f>
        <v>0</v>
      </c>
      <c r="R112" s="946">
        <f>+IF(C112&gt;=sales!$D$36,'Development Cash Flow'!AL112,0)</f>
        <v>0</v>
      </c>
      <c r="S112" s="931">
        <f>IF(AND(A112=$A$5,C112&lt;financing!$D$55),M112-SUM(P112:R112,O112),MIN(M112-SUM(P112:R112,O112),financing!$F$10-SUM(S$5:S111)))</f>
        <v>0</v>
      </c>
      <c r="T112" s="931">
        <f>+MAX(MIN(IF(C112&gt;=financing!$D$55,M112-SUM(P112:S112)-J112,0),financing!$D$57-SUM(T$5:T111)),0)</f>
        <v>0</v>
      </c>
      <c r="U112" s="931">
        <f>+MAX(IF(C112&gt;=general!$C$23,M112-SUM(P112:T112),0)+IF(C112=general!$C$23,reserves!AZ111+AY112,0),0)</f>
        <v>0</v>
      </c>
      <c r="V112" s="946"/>
      <c r="W112" s="946">
        <f>SUMPRODUCT(--($C112=sales!$C$50:$C$54),sales!$F$50:$F$54)</f>
        <v>0</v>
      </c>
      <c r="X112" s="946">
        <f t="shared" si="87"/>
        <v>0</v>
      </c>
      <c r="Y112" s="946">
        <f t="shared" si="74"/>
        <v>0</v>
      </c>
      <c r="Z112" s="946">
        <f t="shared" si="88"/>
        <v>0</v>
      </c>
      <c r="AA112" s="946"/>
      <c r="AB112" s="932">
        <f>IF(C112=sales!$D$22,sales!$I$22,0)+IF(C112=sales!$D$23,sales!$I$23,0)+IF(C112=sales!$D$24,sales!$I$24,0)+IF(C112=sales!$D$25,sales!$I$25,0)+IF(C112=sales!$D$26,sales!$I$26,0)+IF(C112=sales!$D$27,sales!$I$27,0)</f>
        <v>0</v>
      </c>
      <c r="AC112" s="946"/>
      <c r="AD112" s="931">
        <f t="shared" si="75"/>
        <v>0</v>
      </c>
      <c r="AE112" s="932"/>
      <c r="AF112" s="932">
        <f t="shared" si="71"/>
        <v>0</v>
      </c>
      <c r="AG112" s="932">
        <f t="shared" si="72"/>
        <v>0</v>
      </c>
      <c r="AH112" s="931">
        <f t="shared" si="97"/>
        <v>0</v>
      </c>
      <c r="AI112" s="932"/>
      <c r="AJ112" s="931">
        <f t="shared" si="98"/>
        <v>0</v>
      </c>
      <c r="AK112" s="946"/>
      <c r="AL112" s="947">
        <f>+IF(financing!$C$12="YES",'Development Cash Flow'!M112,0)</f>
        <v>0</v>
      </c>
      <c r="AM112" s="947">
        <f t="shared" si="76"/>
        <v>0</v>
      </c>
      <c r="AN112" s="947">
        <f t="shared" si="89"/>
        <v>0</v>
      </c>
      <c r="AO112" s="946"/>
      <c r="AP112" s="947">
        <f>+SUM('Development Cash Flow'!G112:J112)-'Development Cash Flow'!M112</f>
        <v>0</v>
      </c>
      <c r="AQ112" s="947">
        <f t="shared" si="77"/>
        <v>0</v>
      </c>
      <c r="AR112" s="947">
        <f t="shared" si="90"/>
        <v>0</v>
      </c>
      <c r="AS112" s="946"/>
      <c r="AT112" s="947">
        <f t="shared" si="91"/>
        <v>0</v>
      </c>
      <c r="AU112" s="947">
        <f t="shared" si="92"/>
        <v>0</v>
      </c>
      <c r="AV112" s="948">
        <f t="shared" si="93"/>
        <v>0</v>
      </c>
      <c r="AW112" s="946"/>
      <c r="AX112" s="947">
        <f t="shared" si="78"/>
        <v>0</v>
      </c>
      <c r="AY112" s="947">
        <f>+AZ111*financing!$E$30/12</f>
        <v>0</v>
      </c>
      <c r="AZ112" s="947">
        <f t="shared" si="94"/>
        <v>0</v>
      </c>
      <c r="BA112" s="946"/>
      <c r="BB112" s="947">
        <f t="shared" si="79"/>
        <v>0</v>
      </c>
      <c r="BC112" s="947">
        <f>+IF(AND(BD111+BB112+MAX(BD111*financing!$E$15/12,financing!$D$59-SUM(reserves!BC$6:BC111)-SUM(J$6:J112))-reserves!AD112&lt;=0,financing!$D$58&gt;=0),MAX(BD111*financing!$E$15/12,financing!$D$59-SUM(reserves!BC$6:BC111)-SUM(J$6:J112)),BD111*financing!$E$15/12)</f>
        <v>0</v>
      </c>
      <c r="BD112" s="947">
        <f t="shared" si="67"/>
        <v>0</v>
      </c>
      <c r="BE112" s="946"/>
      <c r="BF112" s="947">
        <f t="shared" si="95"/>
        <v>0</v>
      </c>
      <c r="BG112" s="947">
        <f>+IF(AND(BH111+BF112+MAX((BH111*(LIBOR!AA113)*(D112-D111)/360)+BY112,financing!$C$16-SUM(reserves!BG$6:BG111))-reserves!AD112&lt;=0,financing!$L$17&gt;=0),MAX((BH111*(LIBOR!AA113)*(D112-D111)/360)+BY112,financing!$C$16-SUM(reserves!BG$6:BG111)),(BH111*(LIBOR!AA113)*(D112-D111)/360)+BY112)</f>
        <v>0</v>
      </c>
      <c r="BH112" s="947">
        <f t="shared" si="96"/>
        <v>0</v>
      </c>
      <c r="BI112" s="946"/>
      <c r="BJ112" s="937"/>
      <c r="BK112" s="938">
        <f t="shared" si="84"/>
        <v>0</v>
      </c>
      <c r="BL112" s="939">
        <f>-S112+AJ112+AF112-AX112+AH112+AG112-BB112-BF112+'Development Cash Flow'!Y112</f>
        <v>0</v>
      </c>
      <c r="BM112" s="940"/>
      <c r="BN112" s="941">
        <f t="shared" si="80"/>
        <v>0</v>
      </c>
      <c r="BO112" s="940"/>
      <c r="BP112" s="942">
        <f t="shared" si="81"/>
        <v>0</v>
      </c>
      <c r="BS112" s="949" t="e">
        <f t="shared" si="85"/>
        <v>#DIV/0!</v>
      </c>
      <c r="BT112" s="922">
        <f>+IF(SUM(BT$5:BT111)&lt;1,IF(BU112=MAX($BU$6:$BU$54),1,0),0)</f>
        <v>0</v>
      </c>
      <c r="BU112" s="922">
        <f t="shared" si="86"/>
        <v>4000000</v>
      </c>
      <c r="BV112" s="943" t="str">
        <f t="shared" si="82"/>
        <v/>
      </c>
      <c r="BW112" s="922" t="str">
        <f t="shared" si="83"/>
        <v/>
      </c>
      <c r="BY112" s="208">
        <f>ROUND(IF(A112="Dev",IF(AND(BK112&gt;general!$D$23,SUM($BZ$6:$BZ111)&lt;1,financing!$L$15&gt;BH111+BF112),financing!$L$16*(BK112-BK111)/360*(financing!$L$15-BH111-BF112),0),0),-2)</f>
        <v>0</v>
      </c>
      <c r="BZ112" s="909">
        <f>+IF(AND(BH112&gt;=financing!$L$15,SUM(BZ$6:BZ111)=0),1,0)</f>
        <v>0</v>
      </c>
      <c r="CA112" s="950">
        <f t="shared" si="99"/>
        <v>0</v>
      </c>
      <c r="CD112" s="909">
        <f>SUM($S$6:S112)</f>
        <v>4000000</v>
      </c>
      <c r="CF112" s="208">
        <f>+IF(C112&lt;general!$C$22,0,IF(AND(C112=general!$C$22,OR(A112="Pred",A112="Dev")),SUM(S$6:S112),S112))</f>
        <v>0</v>
      </c>
    </row>
    <row r="113" spans="1:84" ht="16" hidden="1" outlineLevel="2">
      <c r="A113" s="906" t="str">
        <f>+'Development Cash Flow'!A113</f>
        <v>post dev</v>
      </c>
      <c r="B113" s="908"/>
      <c r="C113" s="944">
        <f>IF('Development Cash Flow'!D112&lt;general!$D$28,'Development Cash Flow'!C112+1,0)</f>
        <v>0</v>
      </c>
      <c r="D113" s="945">
        <f t="shared" si="23"/>
        <v>49521</v>
      </c>
      <c r="E113" s="945"/>
      <c r="F113" s="928">
        <f>'Development Cash Flow'!P113*D$4+SUM('Development Cash Flow'!Q113:T113)*F$4</f>
        <v>0</v>
      </c>
      <c r="G113" s="928">
        <f>'Development Cash Flow'!AL113-F113</f>
        <v>0</v>
      </c>
      <c r="H113" s="928"/>
      <c r="I113" s="928"/>
      <c r="J113" s="931">
        <f>+financing!$D$54/12*reserves!BD112</f>
        <v>0</v>
      </c>
      <c r="K113" s="928">
        <f>IF(C113=0,0,IF(C113=sales!$D$32,financing!$E$12*financing!$F$11,IF(OR(C113&gt;general!$C$27,C113&lt;sales!$D$32),0,IF((C113-sales!$D$32)/12=ROUND((C113-sales!$D$32)/12,0),financing!$E$12*financing!$F$11,0))))</f>
        <v>0</v>
      </c>
      <c r="L113" s="928"/>
      <c r="M113" s="928">
        <f t="shared" si="73"/>
        <v>0</v>
      </c>
      <c r="N113" s="946"/>
      <c r="O113" s="946">
        <f>IF(D113=general!$D$21,financing!$F$30,0)</f>
        <v>0</v>
      </c>
      <c r="P113" s="946">
        <f>+MIN(IF(D113&lt;=general!$D$24,SUM(F$6:F113)-SUM(P$6:P112),reserves!F113),AR112)</f>
        <v>0</v>
      </c>
      <c r="Q113" s="946">
        <f>+MAX(MIN(SUM(G$6:$G113)-R113,AN112,SUM(G$6:$G113)-SUM(Q$6:Q112)),0)</f>
        <v>0</v>
      </c>
      <c r="R113" s="946">
        <f>+IF(C113&gt;=sales!$D$36,'Development Cash Flow'!AL113,0)</f>
        <v>0</v>
      </c>
      <c r="S113" s="931">
        <f>IF(AND(A113=$A$5,C113&lt;financing!$D$55),M113-SUM(P113:R113,O113),MIN(M113-SUM(P113:R113,O113),financing!$F$10-SUM(S$5:S112)))</f>
        <v>0</v>
      </c>
      <c r="T113" s="931">
        <f>+MAX(MIN(IF(C113&gt;=financing!$D$55,M113-SUM(P113:S113)-J113,0),financing!$D$57-SUM(T$5:T112)),0)</f>
        <v>0</v>
      </c>
      <c r="U113" s="931">
        <f>+MAX(IF(C113&gt;=general!$C$23,M113-SUM(P113:T113),0)+IF(C113=general!$C$23,reserves!AZ112+AY113,0),0)</f>
        <v>0</v>
      </c>
      <c r="V113" s="946"/>
      <c r="W113" s="946">
        <f>SUMPRODUCT(--($C113=sales!$C$50:$C$54),sales!$F$50:$F$54)</f>
        <v>0</v>
      </c>
      <c r="X113" s="946">
        <f t="shared" si="87"/>
        <v>0</v>
      </c>
      <c r="Y113" s="946">
        <f t="shared" si="74"/>
        <v>0</v>
      </c>
      <c r="Z113" s="946">
        <f t="shared" si="88"/>
        <v>0</v>
      </c>
      <c r="AA113" s="946"/>
      <c r="AB113" s="932">
        <f>IF(C113=sales!$D$22,sales!$I$22,0)+IF(C113=sales!$D$23,sales!$I$23,0)+IF(C113=sales!$D$24,sales!$I$24,0)+IF(C113=sales!$D$25,sales!$I$25,0)+IF(C113=sales!$D$26,sales!$I$26,0)+IF(C113=sales!$D$27,sales!$I$27,0)</f>
        <v>0</v>
      </c>
      <c r="AC113" s="946"/>
      <c r="AD113" s="931">
        <f t="shared" si="75"/>
        <v>0</v>
      </c>
      <c r="AE113" s="932"/>
      <c r="AF113" s="932">
        <f t="shared" si="71"/>
        <v>0</v>
      </c>
      <c r="AG113" s="932">
        <f t="shared" si="72"/>
        <v>0</v>
      </c>
      <c r="AH113" s="931">
        <f t="shared" si="97"/>
        <v>0</v>
      </c>
      <c r="AI113" s="932"/>
      <c r="AJ113" s="931">
        <f t="shared" si="98"/>
        <v>0</v>
      </c>
      <c r="AK113" s="946"/>
      <c r="AL113" s="947">
        <f>+IF(financing!$C$12="YES",'Development Cash Flow'!M113,0)</f>
        <v>0</v>
      </c>
      <c r="AM113" s="947">
        <f t="shared" si="76"/>
        <v>0</v>
      </c>
      <c r="AN113" s="947">
        <f t="shared" si="89"/>
        <v>0</v>
      </c>
      <c r="AO113" s="946"/>
      <c r="AP113" s="947">
        <f>+SUM('Development Cash Flow'!G113:J113)-'Development Cash Flow'!M113</f>
        <v>0</v>
      </c>
      <c r="AQ113" s="947">
        <f t="shared" si="77"/>
        <v>0</v>
      </c>
      <c r="AR113" s="947">
        <f t="shared" si="90"/>
        <v>0</v>
      </c>
      <c r="AS113" s="946"/>
      <c r="AT113" s="947">
        <f t="shared" si="91"/>
        <v>0</v>
      </c>
      <c r="AU113" s="947">
        <f t="shared" si="92"/>
        <v>0</v>
      </c>
      <c r="AV113" s="948">
        <f t="shared" si="93"/>
        <v>0</v>
      </c>
      <c r="AW113" s="946"/>
      <c r="AX113" s="947">
        <f t="shared" si="78"/>
        <v>0</v>
      </c>
      <c r="AY113" s="947">
        <f>+AZ112*financing!$E$30/12</f>
        <v>0</v>
      </c>
      <c r="AZ113" s="947">
        <f t="shared" si="94"/>
        <v>0</v>
      </c>
      <c r="BA113" s="946"/>
      <c r="BB113" s="947">
        <f t="shared" si="79"/>
        <v>0</v>
      </c>
      <c r="BC113" s="947">
        <f>+IF(AND(BD112+BB113+MAX(BD112*financing!$E$15/12,financing!$D$59-SUM(reserves!BC$6:BC112)-SUM(J$6:J113))-reserves!AD113&lt;=0,financing!$D$58&gt;=0),MAX(BD112*financing!$E$15/12,financing!$D$59-SUM(reserves!BC$6:BC112)-SUM(J$6:J113)),BD112*financing!$E$15/12)</f>
        <v>0</v>
      </c>
      <c r="BD113" s="947">
        <f t="shared" si="67"/>
        <v>0</v>
      </c>
      <c r="BE113" s="946"/>
      <c r="BF113" s="947">
        <f t="shared" si="95"/>
        <v>0</v>
      </c>
      <c r="BG113" s="947">
        <f>+IF(AND(BH112+BF113+MAX((BH112*(LIBOR!AA114)*(D113-D112)/360)+BY113,financing!$C$16-SUM(reserves!BG$6:BG112))-reserves!AD113&lt;=0,financing!$L$17&gt;=0),MAX((BH112*(LIBOR!AA114)*(D113-D112)/360)+BY113,financing!$C$16-SUM(reserves!BG$6:BG112)),(BH112*(LIBOR!AA114)*(D113-D112)/360)+BY113)</f>
        <v>0</v>
      </c>
      <c r="BH113" s="947">
        <f t="shared" si="96"/>
        <v>0</v>
      </c>
      <c r="BI113" s="946"/>
      <c r="BJ113" s="937"/>
      <c r="BK113" s="938">
        <f t="shared" si="84"/>
        <v>0</v>
      </c>
      <c r="BL113" s="939">
        <f>-S113+AJ113+AF113-AX113+AH113+AG113-BB113-BF113+'Development Cash Flow'!Y113</f>
        <v>0</v>
      </c>
      <c r="BM113" s="940"/>
      <c r="BN113" s="941">
        <f t="shared" si="80"/>
        <v>0</v>
      </c>
      <c r="BO113" s="940"/>
      <c r="BP113" s="942">
        <f t="shared" si="81"/>
        <v>0</v>
      </c>
      <c r="BS113" s="949" t="e">
        <f t="shared" si="85"/>
        <v>#DIV/0!</v>
      </c>
      <c r="BT113" s="922">
        <f>+IF(SUM(BT$5:BT112)&lt;1,IF(BU113=MAX($BU$6:$BU$54),1,0),0)</f>
        <v>0</v>
      </c>
      <c r="BU113" s="922">
        <f t="shared" si="86"/>
        <v>4000000</v>
      </c>
      <c r="BV113" s="943" t="str">
        <f t="shared" si="82"/>
        <v/>
      </c>
      <c r="BW113" s="922" t="str">
        <f t="shared" si="83"/>
        <v/>
      </c>
      <c r="BY113" s="208">
        <f>ROUND(IF(A113="Dev",IF(AND(BK113&gt;general!$D$23,SUM($BZ$6:$BZ112)&lt;1,financing!$L$15&gt;BH112+BF113),financing!$L$16*(BK113-BK112)/360*(financing!$L$15-BH112-BF113),0),0),-2)</f>
        <v>0</v>
      </c>
      <c r="BZ113" s="909">
        <f>+IF(AND(BH113&gt;=financing!$L$15,SUM(BZ$6:BZ112)=0),1,0)</f>
        <v>0</v>
      </c>
      <c r="CA113" s="950">
        <f t="shared" si="99"/>
        <v>0</v>
      </c>
      <c r="CD113" s="909">
        <f>SUM($S$6:S113)</f>
        <v>4000000</v>
      </c>
      <c r="CF113" s="208">
        <f>+IF(C113&lt;general!$C$22,0,IF(AND(C113=general!$C$22,OR(A113="Pred",A113="Dev")),SUM(S$6:S113),S113))</f>
        <v>0</v>
      </c>
    </row>
    <row r="114" spans="1:84" ht="16" hidden="1" outlineLevel="2">
      <c r="A114" s="906" t="str">
        <f>+'Development Cash Flow'!A114</f>
        <v>post dev</v>
      </c>
      <c r="B114" s="908"/>
      <c r="C114" s="944">
        <f>IF('Development Cash Flow'!D113&lt;general!$D$28,'Development Cash Flow'!C113+1,0)</f>
        <v>0</v>
      </c>
      <c r="D114" s="945">
        <f t="shared" si="23"/>
        <v>49552</v>
      </c>
      <c r="E114" s="945"/>
      <c r="F114" s="928">
        <f>'Development Cash Flow'!P114*D$4+SUM('Development Cash Flow'!Q114:T114)*F$4</f>
        <v>0</v>
      </c>
      <c r="G114" s="928">
        <f>'Development Cash Flow'!AL114-F114</f>
        <v>0</v>
      </c>
      <c r="H114" s="928"/>
      <c r="I114" s="928"/>
      <c r="J114" s="931">
        <f>+financing!$D$54/12*reserves!BD113</f>
        <v>0</v>
      </c>
      <c r="K114" s="928">
        <f>IF(C114=0,0,IF(C114=sales!$D$32,financing!$E$12*financing!$F$11,IF(OR(C114&gt;general!$C$27,C114&lt;sales!$D$32),0,IF((C114-sales!$D$32)/12=ROUND((C114-sales!$D$32)/12,0),financing!$E$12*financing!$F$11,0))))</f>
        <v>0</v>
      </c>
      <c r="L114" s="928"/>
      <c r="M114" s="928">
        <f t="shared" si="73"/>
        <v>0</v>
      </c>
      <c r="N114" s="946"/>
      <c r="O114" s="946">
        <f>IF(D114=general!$D$21,financing!$F$30,0)</f>
        <v>0</v>
      </c>
      <c r="P114" s="946">
        <f>+MIN(IF(D114&lt;=general!$D$24,SUM(F$6:F114)-SUM(P$6:P113),reserves!F114),AR113)</f>
        <v>0</v>
      </c>
      <c r="Q114" s="946">
        <f>+MAX(MIN(SUM(G$6:$G114)-R114,AN113,SUM(G$6:$G114)-SUM(Q$6:Q113)),0)</f>
        <v>0</v>
      </c>
      <c r="R114" s="946">
        <f>+IF(C114&gt;=sales!$D$36,'Development Cash Flow'!AL114,0)</f>
        <v>0</v>
      </c>
      <c r="S114" s="931">
        <f>IF(AND(A114=$A$5,C114&lt;financing!$D$55),M114-SUM(P114:R114,O114),MIN(M114-SUM(P114:R114,O114),financing!$F$10-SUM(S$5:S113)))</f>
        <v>0</v>
      </c>
      <c r="T114" s="931">
        <f>+MAX(MIN(IF(C114&gt;=financing!$D$55,M114-SUM(P114:S114)-J114,0),financing!$D$57-SUM(T$5:T113)),0)</f>
        <v>0</v>
      </c>
      <c r="U114" s="931">
        <f>+MAX(IF(C114&gt;=general!$C$23,M114-SUM(P114:T114),0)+IF(C114=general!$C$23,reserves!AZ113+AY114,0),0)</f>
        <v>0</v>
      </c>
      <c r="V114" s="946"/>
      <c r="W114" s="946">
        <f>SUMPRODUCT(--($C114=sales!$C$50:$C$54),sales!$F$50:$F$54)</f>
        <v>0</v>
      </c>
      <c r="X114" s="946">
        <f t="shared" si="87"/>
        <v>0</v>
      </c>
      <c r="Y114" s="946">
        <f t="shared" si="74"/>
        <v>0</v>
      </c>
      <c r="Z114" s="946">
        <f t="shared" si="88"/>
        <v>0</v>
      </c>
      <c r="AA114" s="946"/>
      <c r="AB114" s="932">
        <f>IF(C114=sales!$D$22,sales!$I$22,0)+IF(C114=sales!$D$23,sales!$I$23,0)+IF(C114=sales!$D$24,sales!$I$24,0)+IF(C114=sales!$D$25,sales!$I$25,0)+IF(C114=sales!$D$26,sales!$I$26,0)+IF(C114=sales!$D$27,sales!$I$27,0)</f>
        <v>0</v>
      </c>
      <c r="AC114" s="946"/>
      <c r="AD114" s="931">
        <f t="shared" si="75"/>
        <v>0</v>
      </c>
      <c r="AE114" s="932"/>
      <c r="AF114" s="932">
        <f t="shared" si="71"/>
        <v>0</v>
      </c>
      <c r="AG114" s="932">
        <f t="shared" si="72"/>
        <v>0</v>
      </c>
      <c r="AH114" s="931">
        <f t="shared" si="97"/>
        <v>0</v>
      </c>
      <c r="AI114" s="932"/>
      <c r="AJ114" s="931">
        <f t="shared" si="98"/>
        <v>0</v>
      </c>
      <c r="AK114" s="946"/>
      <c r="AL114" s="947">
        <f>+IF(financing!$C$12="YES",'Development Cash Flow'!M114,0)</f>
        <v>0</v>
      </c>
      <c r="AM114" s="947">
        <f t="shared" si="76"/>
        <v>0</v>
      </c>
      <c r="AN114" s="947">
        <f t="shared" si="89"/>
        <v>0</v>
      </c>
      <c r="AO114" s="946"/>
      <c r="AP114" s="947">
        <f>+SUM('Development Cash Flow'!G114:J114)-'Development Cash Flow'!M114</f>
        <v>0</v>
      </c>
      <c r="AQ114" s="947">
        <f t="shared" si="77"/>
        <v>0</v>
      </c>
      <c r="AR114" s="947">
        <f t="shared" si="90"/>
        <v>0</v>
      </c>
      <c r="AS114" s="946"/>
      <c r="AT114" s="947">
        <f t="shared" si="91"/>
        <v>0</v>
      </c>
      <c r="AU114" s="947">
        <f t="shared" si="92"/>
        <v>0</v>
      </c>
      <c r="AV114" s="948">
        <f t="shared" si="93"/>
        <v>0</v>
      </c>
      <c r="AW114" s="946"/>
      <c r="AX114" s="947">
        <f t="shared" si="78"/>
        <v>0</v>
      </c>
      <c r="AY114" s="947">
        <f>+AZ113*financing!$E$30/12</f>
        <v>0</v>
      </c>
      <c r="AZ114" s="947">
        <f t="shared" si="94"/>
        <v>0</v>
      </c>
      <c r="BA114" s="946"/>
      <c r="BB114" s="947">
        <f t="shared" si="79"/>
        <v>0</v>
      </c>
      <c r="BC114" s="947">
        <f>+IF(AND(BD113+BB114+MAX(BD113*financing!$E$15/12,financing!$D$59-SUM(reserves!BC$6:BC113)-SUM(J$6:J114))-reserves!AD114&lt;=0,financing!$D$58&gt;=0),MAX(BD113*financing!$E$15/12,financing!$D$59-SUM(reserves!BC$6:BC113)-SUM(J$6:J114)),BD113*financing!$E$15/12)</f>
        <v>0</v>
      </c>
      <c r="BD114" s="947">
        <f t="shared" si="67"/>
        <v>0</v>
      </c>
      <c r="BE114" s="946"/>
      <c r="BF114" s="947">
        <f t="shared" si="95"/>
        <v>0</v>
      </c>
      <c r="BG114" s="947">
        <f>+IF(AND(BH113+BF114+MAX((BH113*(LIBOR!AA115)*(D114-D113)/360)+BY114,financing!$C$16-SUM(reserves!BG$6:BG113))-reserves!AD114&lt;=0,financing!$L$17&gt;=0),MAX((BH113*(LIBOR!AA115)*(D114-D113)/360)+BY114,financing!$C$16-SUM(reserves!BG$6:BG113)),(BH113*(LIBOR!AA115)*(D114-D113)/360)+BY114)</f>
        <v>0</v>
      </c>
      <c r="BH114" s="947">
        <f t="shared" si="96"/>
        <v>0</v>
      </c>
      <c r="BI114" s="946"/>
      <c r="BJ114" s="937"/>
      <c r="BK114" s="938">
        <f t="shared" si="84"/>
        <v>0</v>
      </c>
      <c r="BL114" s="939">
        <f>-S114+AJ114+AF114-AX114+AH114+AG114-BB114-BF114+'Development Cash Flow'!Y114</f>
        <v>0</v>
      </c>
      <c r="BM114" s="940"/>
      <c r="BN114" s="941">
        <f t="shared" si="80"/>
        <v>0</v>
      </c>
      <c r="BO114" s="940"/>
      <c r="BP114" s="942">
        <f t="shared" si="81"/>
        <v>0</v>
      </c>
      <c r="BS114" s="949" t="e">
        <f t="shared" si="85"/>
        <v>#DIV/0!</v>
      </c>
      <c r="BT114" s="922">
        <f>+IF(SUM(BT$5:BT113)&lt;1,IF(BU114=MAX($BU$6:$BU$54),1,0),0)</f>
        <v>0</v>
      </c>
      <c r="BU114" s="922">
        <f t="shared" si="86"/>
        <v>4000000</v>
      </c>
      <c r="BV114" s="943" t="str">
        <f t="shared" si="82"/>
        <v/>
      </c>
      <c r="BW114" s="922" t="str">
        <f t="shared" si="83"/>
        <v/>
      </c>
      <c r="BY114" s="208">
        <f>ROUND(IF(A114="Dev",IF(AND(BK114&gt;general!$D$23,SUM($BZ$6:$BZ113)&lt;1,financing!$L$15&gt;BH113+BF114),financing!$L$16*(BK114-BK113)/360*(financing!$L$15-BH113-BF114),0),0),-2)</f>
        <v>0</v>
      </c>
      <c r="BZ114" s="909">
        <f>+IF(AND(BH114&gt;=financing!$L$15,SUM(BZ$6:BZ113)=0),1,0)</f>
        <v>0</v>
      </c>
      <c r="CA114" s="950">
        <f t="shared" si="99"/>
        <v>0</v>
      </c>
      <c r="CD114" s="909">
        <f>SUM($S$6:S114)</f>
        <v>4000000</v>
      </c>
      <c r="CF114" s="208">
        <f>+IF(C114&lt;general!$C$22,0,IF(AND(C114=general!$C$22,OR(A114="Pred",A114="Dev")),SUM(S$6:S114),S114))</f>
        <v>0</v>
      </c>
    </row>
    <row r="115" spans="1:84" ht="16" hidden="1" outlineLevel="2">
      <c r="A115" s="906" t="str">
        <f>+'Development Cash Flow'!A115</f>
        <v>post dev</v>
      </c>
      <c r="B115" s="908"/>
      <c r="C115" s="944">
        <f>IF('Development Cash Flow'!D114&lt;general!$D$28,'Development Cash Flow'!C114+1,0)</f>
        <v>0</v>
      </c>
      <c r="D115" s="945">
        <f t="shared" si="23"/>
        <v>49582</v>
      </c>
      <c r="E115" s="945"/>
      <c r="F115" s="928">
        <f>'Development Cash Flow'!P115*D$4+SUM('Development Cash Flow'!Q115:T115)*F$4</f>
        <v>0</v>
      </c>
      <c r="G115" s="928">
        <f>'Development Cash Flow'!AL115-F115</f>
        <v>0</v>
      </c>
      <c r="H115" s="928"/>
      <c r="I115" s="928"/>
      <c r="J115" s="931">
        <f>+financing!$D$54/12*reserves!BD114</f>
        <v>0</v>
      </c>
      <c r="K115" s="928">
        <f>IF(C115=0,0,IF(C115=sales!$D$32,financing!$E$12*financing!$F$11,IF(OR(C115&gt;general!$C$27,C115&lt;sales!$D$32),0,IF((C115-sales!$D$32)/12=ROUND((C115-sales!$D$32)/12,0),financing!$E$12*financing!$F$11,0))))</f>
        <v>0</v>
      </c>
      <c r="L115" s="928"/>
      <c r="M115" s="928">
        <f t="shared" si="73"/>
        <v>0</v>
      </c>
      <c r="N115" s="946"/>
      <c r="O115" s="946">
        <f>IF(D115=general!$D$21,financing!$F$30,0)</f>
        <v>0</v>
      </c>
      <c r="P115" s="946">
        <f>+MIN(IF(D115&lt;=general!$D$24,SUM(F$6:F115)-SUM(P$6:P114),reserves!F115),AR114)</f>
        <v>0</v>
      </c>
      <c r="Q115" s="946">
        <f>+MAX(MIN(SUM(G$6:$G115)-R115,AN114,SUM(G$6:$G115)-SUM(Q$6:Q114)),0)</f>
        <v>0</v>
      </c>
      <c r="R115" s="946">
        <f>+IF(C115&gt;=sales!$D$36,'Development Cash Flow'!AL115,0)</f>
        <v>0</v>
      </c>
      <c r="S115" s="931">
        <f>IF(AND(A115=$A$5,C115&lt;financing!$D$55),M115-SUM(P115:R115,O115),MIN(M115-SUM(P115:R115,O115),financing!$F$10-SUM(S$5:S114)))</f>
        <v>0</v>
      </c>
      <c r="T115" s="931">
        <f>+MAX(MIN(IF(C115&gt;=financing!$D$55,M115-SUM(P115:S115)-J115,0),financing!$D$57-SUM(T$5:T114)),0)</f>
        <v>0</v>
      </c>
      <c r="U115" s="931">
        <f>+MAX(IF(C115&gt;=general!$C$23,M115-SUM(P115:T115),0)+IF(C115=general!$C$23,reserves!AZ114+AY115,0),0)</f>
        <v>0</v>
      </c>
      <c r="V115" s="946"/>
      <c r="W115" s="946">
        <f>SUMPRODUCT(--($C115=sales!$C$50:$C$54),sales!$F$50:$F$54)</f>
        <v>0</v>
      </c>
      <c r="X115" s="946">
        <f t="shared" si="87"/>
        <v>0</v>
      </c>
      <c r="Y115" s="946">
        <f t="shared" si="74"/>
        <v>0</v>
      </c>
      <c r="Z115" s="946">
        <f t="shared" si="88"/>
        <v>0</v>
      </c>
      <c r="AA115" s="946"/>
      <c r="AB115" s="932">
        <f>IF(C115=sales!$D$22,sales!$I$22,0)+IF(C115=sales!$D$23,sales!$I$23,0)+IF(C115=sales!$D$24,sales!$I$24,0)+IF(C115=sales!$D$25,sales!$I$25,0)+IF(C115=sales!$D$26,sales!$I$26,0)+IF(C115=sales!$D$27,sales!$I$27,0)</f>
        <v>0</v>
      </c>
      <c r="AC115" s="946"/>
      <c r="AD115" s="931">
        <f t="shared" si="75"/>
        <v>0</v>
      </c>
      <c r="AE115" s="932"/>
      <c r="AF115" s="932">
        <f t="shared" si="71"/>
        <v>0</v>
      </c>
      <c r="AG115" s="932">
        <f t="shared" si="72"/>
        <v>0</v>
      </c>
      <c r="AH115" s="931">
        <f t="shared" si="97"/>
        <v>0</v>
      </c>
      <c r="AI115" s="932"/>
      <c r="AJ115" s="931">
        <f t="shared" si="98"/>
        <v>0</v>
      </c>
      <c r="AK115" s="946"/>
      <c r="AL115" s="947">
        <f>+IF(financing!$C$12="YES",'Development Cash Flow'!M115,0)</f>
        <v>0</v>
      </c>
      <c r="AM115" s="947">
        <f t="shared" si="76"/>
        <v>0</v>
      </c>
      <c r="AN115" s="947">
        <f t="shared" si="89"/>
        <v>0</v>
      </c>
      <c r="AO115" s="946"/>
      <c r="AP115" s="947">
        <f>+SUM('Development Cash Flow'!G115:J115)-'Development Cash Flow'!M115</f>
        <v>0</v>
      </c>
      <c r="AQ115" s="947">
        <f t="shared" si="77"/>
        <v>0</v>
      </c>
      <c r="AR115" s="947">
        <f t="shared" si="90"/>
        <v>0</v>
      </c>
      <c r="AS115" s="946"/>
      <c r="AT115" s="947">
        <f t="shared" si="91"/>
        <v>0</v>
      </c>
      <c r="AU115" s="947">
        <f t="shared" si="92"/>
        <v>0</v>
      </c>
      <c r="AV115" s="948">
        <f t="shared" si="93"/>
        <v>0</v>
      </c>
      <c r="AW115" s="946"/>
      <c r="AX115" s="947">
        <f t="shared" si="78"/>
        <v>0</v>
      </c>
      <c r="AY115" s="947">
        <f>+AZ114*financing!$E$30/12</f>
        <v>0</v>
      </c>
      <c r="AZ115" s="947">
        <f t="shared" si="94"/>
        <v>0</v>
      </c>
      <c r="BA115" s="946"/>
      <c r="BB115" s="947">
        <f t="shared" si="79"/>
        <v>0</v>
      </c>
      <c r="BC115" s="947">
        <f>+IF(AND(BD114+BB115+MAX(BD114*financing!$E$15/12,financing!$D$59-SUM(reserves!BC$6:BC114)-SUM(J$6:J115))-reserves!AD115&lt;=0,financing!$D$58&gt;=0),MAX(BD114*financing!$E$15/12,financing!$D$59-SUM(reserves!BC$6:BC114)-SUM(J$6:J115)),BD114*financing!$E$15/12)</f>
        <v>0</v>
      </c>
      <c r="BD115" s="947">
        <f t="shared" si="67"/>
        <v>0</v>
      </c>
      <c r="BE115" s="946"/>
      <c r="BF115" s="947">
        <f t="shared" si="95"/>
        <v>0</v>
      </c>
      <c r="BG115" s="947">
        <f>+IF(AND(BH114+BF115+MAX((BH114*(LIBOR!AA116)*(D115-D114)/360)+BY115,financing!$C$16-SUM(reserves!BG$6:BG114))-reserves!AD115&lt;=0,financing!$L$17&gt;=0),MAX((BH114*(LIBOR!AA116)*(D115-D114)/360)+BY115,financing!$C$16-SUM(reserves!BG$6:BG114)),(BH114*(LIBOR!AA116)*(D115-D114)/360)+BY115)</f>
        <v>0</v>
      </c>
      <c r="BH115" s="947">
        <f t="shared" si="96"/>
        <v>0</v>
      </c>
      <c r="BI115" s="946"/>
      <c r="BJ115" s="937"/>
      <c r="BK115" s="938">
        <f t="shared" si="84"/>
        <v>0</v>
      </c>
      <c r="BL115" s="939">
        <f>-S115+AJ115+AF115-AX115+AH115+AG115-BB115-BF115+'Development Cash Flow'!Y115</f>
        <v>0</v>
      </c>
      <c r="BM115" s="940"/>
      <c r="BN115" s="941">
        <f t="shared" si="80"/>
        <v>0</v>
      </c>
      <c r="BO115" s="940"/>
      <c r="BP115" s="942">
        <f t="shared" si="81"/>
        <v>0</v>
      </c>
      <c r="BS115" s="949" t="e">
        <f t="shared" si="85"/>
        <v>#DIV/0!</v>
      </c>
      <c r="BT115" s="922">
        <f>+IF(SUM(BT$5:BT114)&lt;1,IF(BU115=MAX($BU$6:$BU$54),1,0),0)</f>
        <v>0</v>
      </c>
      <c r="BU115" s="922">
        <f t="shared" si="86"/>
        <v>4000000</v>
      </c>
      <c r="BV115" s="943" t="str">
        <f t="shared" si="82"/>
        <v/>
      </c>
      <c r="BW115" s="922" t="str">
        <f t="shared" si="83"/>
        <v/>
      </c>
      <c r="BY115" s="208">
        <f>ROUND(IF(A115="Dev",IF(AND(BK115&gt;general!$D$23,SUM($BZ$6:$BZ114)&lt;1,financing!$L$15&gt;BH114+BF115),financing!$L$16*(BK115-BK114)/360*(financing!$L$15-BH114-BF115),0),0),-2)</f>
        <v>0</v>
      </c>
      <c r="BZ115" s="909">
        <f>+IF(AND(BH115&gt;=financing!$L$15,SUM(BZ$6:BZ114)=0),1,0)</f>
        <v>0</v>
      </c>
      <c r="CA115" s="950">
        <f t="shared" si="99"/>
        <v>0</v>
      </c>
      <c r="CD115" s="909">
        <f>SUM($S$6:S115)</f>
        <v>4000000</v>
      </c>
      <c r="CF115" s="208">
        <f>+IF(C115&lt;general!$C$22,0,IF(AND(C115=general!$C$22,OR(A115="Pred",A115="Dev")),SUM(S$6:S115),S115))</f>
        <v>0</v>
      </c>
    </row>
    <row r="116" spans="1:84" ht="16" hidden="1" outlineLevel="2">
      <c r="A116" s="906" t="str">
        <f>+'Development Cash Flow'!A116</f>
        <v>post dev</v>
      </c>
      <c r="B116" s="908"/>
      <c r="C116" s="944">
        <f>IF('Development Cash Flow'!D115&lt;general!$D$28,'Development Cash Flow'!C115+1,0)</f>
        <v>0</v>
      </c>
      <c r="D116" s="945">
        <f t="shared" si="23"/>
        <v>49613</v>
      </c>
      <c r="E116" s="945"/>
      <c r="F116" s="928">
        <f>'Development Cash Flow'!P116*D$4+SUM('Development Cash Flow'!Q116:T116)*F$4</f>
        <v>0</v>
      </c>
      <c r="G116" s="928">
        <f>'Development Cash Flow'!AL116-F116</f>
        <v>0</v>
      </c>
      <c r="H116" s="928"/>
      <c r="I116" s="928"/>
      <c r="J116" s="931">
        <f>+financing!$D$54/12*reserves!BD115</f>
        <v>0</v>
      </c>
      <c r="K116" s="928">
        <f>IF(C116=0,0,IF(C116=sales!$D$32,financing!$E$12*financing!$F$11,IF(OR(C116&gt;general!$C$27,C116&lt;sales!$D$32),0,IF((C116-sales!$D$32)/12=ROUND((C116-sales!$D$32)/12,0),financing!$E$12*financing!$F$11,0))))</f>
        <v>0</v>
      </c>
      <c r="L116" s="928"/>
      <c r="M116" s="928">
        <f t="shared" si="73"/>
        <v>0</v>
      </c>
      <c r="N116" s="946"/>
      <c r="O116" s="946">
        <f>IF(D116=general!$D$21,financing!$F$30,0)</f>
        <v>0</v>
      </c>
      <c r="P116" s="946">
        <f>+MIN(IF(D116&lt;=general!$D$24,SUM(F$6:F116)-SUM(P$6:P115),reserves!F116),AR115)</f>
        <v>0</v>
      </c>
      <c r="Q116" s="946">
        <f>+MAX(MIN(SUM(G$6:$G116)-R116,AN115,SUM(G$6:$G116)-SUM(Q$6:Q115)),0)</f>
        <v>0</v>
      </c>
      <c r="R116" s="946">
        <f>+IF(C116&gt;=sales!$D$36,'Development Cash Flow'!AL116,0)</f>
        <v>0</v>
      </c>
      <c r="S116" s="931">
        <f>IF(AND(A116=$A$5,C116&lt;financing!$D$55),M116-SUM(P116:R116,O116),MIN(M116-SUM(P116:R116,O116),financing!$F$10-SUM(S$5:S115)))</f>
        <v>0</v>
      </c>
      <c r="T116" s="931">
        <f>+MAX(MIN(IF(C116&gt;=financing!$D$55,M116-SUM(P116:S116)-J116,0),financing!$D$57-SUM(T$5:T115)),0)</f>
        <v>0</v>
      </c>
      <c r="U116" s="931">
        <f>+MAX(IF(C116&gt;=general!$C$23,M116-SUM(P116:T116),0)+IF(C116=general!$C$23,reserves!AZ115+AY116,0),0)</f>
        <v>0</v>
      </c>
      <c r="V116" s="946"/>
      <c r="W116" s="946">
        <f>SUMPRODUCT(--($C116=sales!$C$50:$C$54),sales!$F$50:$F$54)</f>
        <v>0</v>
      </c>
      <c r="X116" s="946">
        <f t="shared" si="87"/>
        <v>0</v>
      </c>
      <c r="Y116" s="946">
        <f t="shared" si="74"/>
        <v>0</v>
      </c>
      <c r="Z116" s="946">
        <f t="shared" si="88"/>
        <v>0</v>
      </c>
      <c r="AA116" s="946"/>
      <c r="AB116" s="932">
        <f>IF(C116=sales!$D$22,sales!$I$22,0)+IF(C116=sales!$D$23,sales!$I$23,0)+IF(C116=sales!$D$24,sales!$I$24,0)+IF(C116=sales!$D$25,sales!$I$25,0)+IF(C116=sales!$D$26,sales!$I$26,0)+IF(C116=sales!$D$27,sales!$I$27,0)</f>
        <v>0</v>
      </c>
      <c r="AC116" s="946"/>
      <c r="AD116" s="931">
        <f t="shared" si="75"/>
        <v>0</v>
      </c>
      <c r="AE116" s="932"/>
      <c r="AF116" s="932">
        <f t="shared" si="71"/>
        <v>0</v>
      </c>
      <c r="AG116" s="932">
        <f t="shared" si="72"/>
        <v>0</v>
      </c>
      <c r="AH116" s="931">
        <f t="shared" si="97"/>
        <v>0</v>
      </c>
      <c r="AI116" s="932"/>
      <c r="AJ116" s="931">
        <f t="shared" si="98"/>
        <v>0</v>
      </c>
      <c r="AK116" s="946"/>
      <c r="AL116" s="947">
        <f>+IF(financing!$C$12="YES",'Development Cash Flow'!M116,0)</f>
        <v>0</v>
      </c>
      <c r="AM116" s="947">
        <f t="shared" si="76"/>
        <v>0</v>
      </c>
      <c r="AN116" s="947">
        <f t="shared" si="89"/>
        <v>0</v>
      </c>
      <c r="AO116" s="946"/>
      <c r="AP116" s="947">
        <f>+SUM('Development Cash Flow'!G116:J116)-'Development Cash Flow'!M116</f>
        <v>0</v>
      </c>
      <c r="AQ116" s="947">
        <f t="shared" si="77"/>
        <v>0</v>
      </c>
      <c r="AR116" s="947">
        <f t="shared" si="90"/>
        <v>0</v>
      </c>
      <c r="AS116" s="946"/>
      <c r="AT116" s="947">
        <f t="shared" si="91"/>
        <v>0</v>
      </c>
      <c r="AU116" s="947">
        <f t="shared" si="92"/>
        <v>0</v>
      </c>
      <c r="AV116" s="948">
        <f t="shared" si="93"/>
        <v>0</v>
      </c>
      <c r="AW116" s="946"/>
      <c r="AX116" s="947">
        <f t="shared" si="78"/>
        <v>0</v>
      </c>
      <c r="AY116" s="947">
        <f>+AZ115*financing!$E$30/12</f>
        <v>0</v>
      </c>
      <c r="AZ116" s="947">
        <f t="shared" si="94"/>
        <v>0</v>
      </c>
      <c r="BA116" s="946"/>
      <c r="BB116" s="947">
        <f t="shared" si="79"/>
        <v>0</v>
      </c>
      <c r="BC116" s="947">
        <f>+IF(AND(BD115+BB116+MAX(BD115*financing!$E$15/12,financing!$D$59-SUM(reserves!BC$6:BC115)-SUM(J$6:J116))-reserves!AD116&lt;=0,financing!$D$58&gt;=0),MAX(BD115*financing!$E$15/12,financing!$D$59-SUM(reserves!BC$6:BC115)-SUM(J$6:J116)),BD115*financing!$E$15/12)</f>
        <v>0</v>
      </c>
      <c r="BD116" s="947">
        <f t="shared" si="67"/>
        <v>0</v>
      </c>
      <c r="BE116" s="946"/>
      <c r="BF116" s="947">
        <f t="shared" si="95"/>
        <v>0</v>
      </c>
      <c r="BG116" s="947">
        <f>+IF(AND(BH115+BF116+MAX((BH115*(LIBOR!AA117)*(D116-D115)/360)+BY116,financing!$C$16-SUM(reserves!BG$6:BG115))-reserves!AD116&lt;=0,financing!$L$17&gt;=0),MAX((BH115*(LIBOR!AA117)*(D116-D115)/360)+BY116,financing!$C$16-SUM(reserves!BG$6:BG115)),(BH115*(LIBOR!AA117)*(D116-D115)/360)+BY116)</f>
        <v>0</v>
      </c>
      <c r="BH116" s="947">
        <f t="shared" si="96"/>
        <v>0</v>
      </c>
      <c r="BI116" s="946"/>
      <c r="BJ116" s="937"/>
      <c r="BK116" s="938">
        <f t="shared" si="84"/>
        <v>0</v>
      </c>
      <c r="BL116" s="939">
        <f>-S116+AJ116+AF116-AX116+AH116+AG116-BB116-BF116+'Development Cash Flow'!Y116</f>
        <v>0</v>
      </c>
      <c r="BM116" s="940"/>
      <c r="BN116" s="941">
        <f t="shared" si="80"/>
        <v>0</v>
      </c>
      <c r="BO116" s="940"/>
      <c r="BP116" s="942">
        <f t="shared" si="81"/>
        <v>0</v>
      </c>
      <c r="BS116" s="949" t="e">
        <f t="shared" si="85"/>
        <v>#DIV/0!</v>
      </c>
      <c r="BT116" s="922">
        <f>+IF(SUM(BT$5:BT115)&lt;1,IF(BU116=MAX($BU$6:$BU$54),1,0),0)</f>
        <v>0</v>
      </c>
      <c r="BU116" s="922">
        <f t="shared" si="86"/>
        <v>4000000</v>
      </c>
      <c r="BV116" s="943" t="str">
        <f t="shared" si="82"/>
        <v/>
      </c>
      <c r="BW116" s="922" t="str">
        <f t="shared" si="83"/>
        <v/>
      </c>
      <c r="BY116" s="208">
        <f>ROUND(IF(A116="Dev",IF(AND(BK116&gt;general!$D$23,SUM($BZ$6:$BZ115)&lt;1,financing!$L$15&gt;BH115+BF116),financing!$L$16*(BK116-BK115)/360*(financing!$L$15-BH115-BF116),0),0),-2)</f>
        <v>0</v>
      </c>
      <c r="BZ116" s="909">
        <f>+IF(AND(BH116&gt;=financing!$L$15,SUM(BZ$6:BZ115)=0),1,0)</f>
        <v>0</v>
      </c>
      <c r="CA116" s="950">
        <f t="shared" si="99"/>
        <v>0</v>
      </c>
      <c r="CD116" s="909">
        <f>SUM($S$6:S116)</f>
        <v>4000000</v>
      </c>
      <c r="CF116" s="208">
        <f>+IF(C116&lt;general!$C$22,0,IF(AND(C116=general!$C$22,OR(A116="Pred",A116="Dev")),SUM(S$6:S116),S116))</f>
        <v>0</v>
      </c>
    </row>
    <row r="117" spans="1:84" ht="16" hidden="1" outlineLevel="2">
      <c r="A117" s="906" t="str">
        <f>+'Development Cash Flow'!A117</f>
        <v>post dev</v>
      </c>
      <c r="B117" s="908"/>
      <c r="C117" s="944">
        <f>IF('Development Cash Flow'!D116&lt;general!$D$28,'Development Cash Flow'!C116+1,0)</f>
        <v>0</v>
      </c>
      <c r="D117" s="945">
        <f t="shared" si="23"/>
        <v>49643</v>
      </c>
      <c r="E117" s="945"/>
      <c r="F117" s="928">
        <f>'Development Cash Flow'!P117*D$4+SUM('Development Cash Flow'!Q117:T117)*F$4</f>
        <v>0</v>
      </c>
      <c r="G117" s="928">
        <f>'Development Cash Flow'!AL117-F117</f>
        <v>0</v>
      </c>
      <c r="H117" s="928"/>
      <c r="I117" s="928"/>
      <c r="J117" s="931">
        <f>+financing!$D$54/12*reserves!BD116</f>
        <v>0</v>
      </c>
      <c r="K117" s="928">
        <f>IF(C117=0,0,IF(C117=sales!$D$32,financing!$E$12*financing!$F$11,IF(OR(C117&gt;general!$C$27,C117&lt;sales!$D$32),0,IF((C117-sales!$D$32)/12=ROUND((C117-sales!$D$32)/12,0),financing!$E$12*financing!$F$11,0))))</f>
        <v>0</v>
      </c>
      <c r="L117" s="928"/>
      <c r="M117" s="928">
        <f t="shared" si="73"/>
        <v>0</v>
      </c>
      <c r="N117" s="946"/>
      <c r="O117" s="946">
        <f>IF(D117=general!$D$21,financing!$F$30,0)</f>
        <v>0</v>
      </c>
      <c r="P117" s="946">
        <f>+MIN(IF(D117&lt;=general!$D$24,SUM(F$6:F117)-SUM(P$6:P116),reserves!F117),AR116)</f>
        <v>0</v>
      </c>
      <c r="Q117" s="946">
        <f>+MAX(MIN(SUM(G$6:$G117)-R117,AN116,SUM(G$6:$G117)-SUM(Q$6:Q116)),0)</f>
        <v>0</v>
      </c>
      <c r="R117" s="946">
        <f>+IF(C117&gt;=sales!$D$36,'Development Cash Flow'!AL117,0)</f>
        <v>0</v>
      </c>
      <c r="S117" s="931">
        <f>IF(AND(A117=$A$5,C117&lt;financing!$D$55),M117-SUM(P117:R117,O117),MIN(M117-SUM(P117:R117,O117),financing!$F$10-SUM(S$5:S116)))</f>
        <v>0</v>
      </c>
      <c r="T117" s="931">
        <f>+MAX(MIN(IF(C117&gt;=financing!$D$55,M117-SUM(P117:S117)-J117,0),financing!$D$57-SUM(T$5:T116)),0)</f>
        <v>0</v>
      </c>
      <c r="U117" s="931">
        <f>+MAX(IF(C117&gt;=general!$C$23,M117-SUM(P117:T117),0)+IF(C117=general!$C$23,reserves!AZ116+AY117,0),0)</f>
        <v>0</v>
      </c>
      <c r="V117" s="946"/>
      <c r="W117" s="946">
        <f>SUMPRODUCT(--($C117=sales!$C$50:$C$54),sales!$F$50:$F$54)</f>
        <v>0</v>
      </c>
      <c r="X117" s="946">
        <f t="shared" si="87"/>
        <v>0</v>
      </c>
      <c r="Y117" s="946">
        <f t="shared" si="74"/>
        <v>0</v>
      </c>
      <c r="Z117" s="946">
        <f t="shared" si="88"/>
        <v>0</v>
      </c>
      <c r="AA117" s="946"/>
      <c r="AB117" s="932">
        <f>IF(C117=sales!$D$22,sales!$I$22,0)+IF(C117=sales!$D$23,sales!$I$23,0)+IF(C117=sales!$D$24,sales!$I$24,0)+IF(C117=sales!$D$25,sales!$I$25,0)+IF(C117=sales!$D$26,sales!$I$26,0)+IF(C117=sales!$D$27,sales!$I$27,0)</f>
        <v>0</v>
      </c>
      <c r="AC117" s="946"/>
      <c r="AD117" s="931">
        <f t="shared" si="75"/>
        <v>0</v>
      </c>
      <c r="AE117" s="932"/>
      <c r="AF117" s="932">
        <f t="shared" si="71"/>
        <v>0</v>
      </c>
      <c r="AG117" s="932">
        <f t="shared" si="72"/>
        <v>0</v>
      </c>
      <c r="AH117" s="931">
        <f t="shared" si="97"/>
        <v>0</v>
      </c>
      <c r="AI117" s="932"/>
      <c r="AJ117" s="931">
        <f t="shared" si="98"/>
        <v>0</v>
      </c>
      <c r="AK117" s="946"/>
      <c r="AL117" s="947">
        <f>+IF(financing!$C$12="YES",'Development Cash Flow'!M117,0)</f>
        <v>0</v>
      </c>
      <c r="AM117" s="947">
        <f t="shared" si="76"/>
        <v>0</v>
      </c>
      <c r="AN117" s="947">
        <f t="shared" si="89"/>
        <v>0</v>
      </c>
      <c r="AO117" s="946"/>
      <c r="AP117" s="947">
        <f>+SUM('Development Cash Flow'!G117:J117)-'Development Cash Flow'!M117</f>
        <v>0</v>
      </c>
      <c r="AQ117" s="947">
        <f t="shared" si="77"/>
        <v>0</v>
      </c>
      <c r="AR117" s="947">
        <f t="shared" si="90"/>
        <v>0</v>
      </c>
      <c r="AS117" s="946"/>
      <c r="AT117" s="947">
        <f t="shared" si="91"/>
        <v>0</v>
      </c>
      <c r="AU117" s="947">
        <f t="shared" si="92"/>
        <v>0</v>
      </c>
      <c r="AV117" s="948">
        <f t="shared" si="93"/>
        <v>0</v>
      </c>
      <c r="AW117" s="946"/>
      <c r="AX117" s="947">
        <f t="shared" si="78"/>
        <v>0</v>
      </c>
      <c r="AY117" s="947">
        <f>+AZ116*financing!$E$30/12</f>
        <v>0</v>
      </c>
      <c r="AZ117" s="947">
        <f t="shared" si="94"/>
        <v>0</v>
      </c>
      <c r="BA117" s="946"/>
      <c r="BB117" s="947">
        <f t="shared" si="79"/>
        <v>0</v>
      </c>
      <c r="BC117" s="947">
        <f>+IF(AND(BD116+BB117+MAX(BD116*financing!$E$15/12,financing!$D$59-SUM(reserves!BC$6:BC116)-SUM(J$6:J117))-reserves!AD117&lt;=0,financing!$D$58&gt;=0),MAX(BD116*financing!$E$15/12,financing!$D$59-SUM(reserves!BC$6:BC116)-SUM(J$6:J117)),BD116*financing!$E$15/12)</f>
        <v>0</v>
      </c>
      <c r="BD117" s="947">
        <f t="shared" si="67"/>
        <v>0</v>
      </c>
      <c r="BE117" s="946"/>
      <c r="BF117" s="947">
        <f t="shared" si="95"/>
        <v>0</v>
      </c>
      <c r="BG117" s="947">
        <f>+IF(AND(BH116+BF117+MAX((BH116*(LIBOR!AA118)*(D117-D116)/360)+BY117,financing!$C$16-SUM(reserves!BG$6:BG116))-reserves!AD117&lt;=0,financing!$L$17&gt;=0),MAX((BH116*(LIBOR!AA118)*(D117-D116)/360)+BY117,financing!$C$16-SUM(reserves!BG$6:BG116)),(BH116*(LIBOR!AA118)*(D117-D116)/360)+BY117)</f>
        <v>0</v>
      </c>
      <c r="BH117" s="947">
        <f t="shared" si="96"/>
        <v>0</v>
      </c>
      <c r="BI117" s="946"/>
      <c r="BJ117" s="937"/>
      <c r="BK117" s="938">
        <f t="shared" si="84"/>
        <v>0</v>
      </c>
      <c r="BL117" s="939">
        <f>-S117+AJ117+AF117-AX117+AH117+AG117-BB117-BF117+'Development Cash Flow'!Y117</f>
        <v>0</v>
      </c>
      <c r="BM117" s="940"/>
      <c r="BN117" s="941">
        <f t="shared" si="80"/>
        <v>0</v>
      </c>
      <c r="BO117" s="940"/>
      <c r="BP117" s="942">
        <f t="shared" si="81"/>
        <v>0</v>
      </c>
      <c r="BS117" s="949" t="e">
        <f t="shared" si="85"/>
        <v>#DIV/0!</v>
      </c>
      <c r="BT117" s="922">
        <f>+IF(SUM(BT$5:BT116)&lt;1,IF(BU117=MAX($BU$6:$BU$54),1,0),0)</f>
        <v>0</v>
      </c>
      <c r="BU117" s="922">
        <f t="shared" si="86"/>
        <v>4000000</v>
      </c>
      <c r="BV117" s="943" t="str">
        <f t="shared" si="82"/>
        <v/>
      </c>
      <c r="BW117" s="922" t="str">
        <f t="shared" si="83"/>
        <v/>
      </c>
      <c r="BY117" s="208">
        <f>ROUND(IF(A117="Dev",IF(AND(BK117&gt;general!$D$23,SUM($BZ$6:$BZ116)&lt;1,financing!$L$15&gt;BH116+BF117),financing!$L$16*(BK117-BK116)/360*(financing!$L$15-BH116-BF117),0),0),-2)</f>
        <v>0</v>
      </c>
      <c r="BZ117" s="909">
        <f>+IF(AND(BH117&gt;=financing!$L$15,SUM(BZ$6:BZ116)=0),1,0)</f>
        <v>0</v>
      </c>
      <c r="CA117" s="950">
        <f t="shared" si="99"/>
        <v>0</v>
      </c>
      <c r="CD117" s="909">
        <f>SUM($S$6:S117)</f>
        <v>4000000</v>
      </c>
      <c r="CF117" s="208">
        <f>+IF(C117&lt;general!$C$22,0,IF(AND(C117=general!$C$22,OR(A117="Pred",A117="Dev")),SUM(S$6:S117),S117))</f>
        <v>0</v>
      </c>
    </row>
    <row r="118" spans="1:84" ht="16" hidden="1" outlineLevel="2">
      <c r="A118" s="906" t="str">
        <f>+'Development Cash Flow'!A118</f>
        <v>post dev</v>
      </c>
      <c r="B118" s="908"/>
      <c r="C118" s="944">
        <f>IF('Development Cash Flow'!D117&lt;general!$D$28,'Development Cash Flow'!C117+1,0)</f>
        <v>0</v>
      </c>
      <c r="D118" s="945">
        <f t="shared" si="23"/>
        <v>49674</v>
      </c>
      <c r="E118" s="945"/>
      <c r="F118" s="928">
        <f>'Development Cash Flow'!P118*D$4+SUM('Development Cash Flow'!Q118:T118)*F$4</f>
        <v>0</v>
      </c>
      <c r="G118" s="928">
        <f>'Development Cash Flow'!AL118-F118</f>
        <v>0</v>
      </c>
      <c r="H118" s="928"/>
      <c r="I118" s="928"/>
      <c r="J118" s="931">
        <f>+financing!$D$54/12*reserves!BD117</f>
        <v>0</v>
      </c>
      <c r="K118" s="928">
        <f>IF(C118=0,0,IF(C118=sales!$D$32,financing!$E$12*financing!$F$11,IF(OR(C118&gt;general!$C$27,C118&lt;sales!$D$32),0,IF((C118-sales!$D$32)/12=ROUND((C118-sales!$D$32)/12,0),financing!$E$12*financing!$F$11,0))))</f>
        <v>0</v>
      </c>
      <c r="L118" s="928"/>
      <c r="M118" s="928">
        <f t="shared" si="73"/>
        <v>0</v>
      </c>
      <c r="N118" s="946"/>
      <c r="O118" s="946">
        <f>IF(D118=general!$D$21,financing!$F$30,0)</f>
        <v>0</v>
      </c>
      <c r="P118" s="946">
        <f>+MIN(IF(D118&lt;=general!$D$24,SUM(F$6:F118)-SUM(P$6:P117),reserves!F118),AR117)</f>
        <v>0</v>
      </c>
      <c r="Q118" s="946">
        <f>+MAX(MIN(SUM(G$6:$G118)-R118,AN117,SUM(G$6:$G118)-SUM(Q$6:Q117)),0)</f>
        <v>0</v>
      </c>
      <c r="R118" s="946">
        <f>+IF(C118&gt;=sales!$D$36,'Development Cash Flow'!AL118,0)</f>
        <v>0</v>
      </c>
      <c r="S118" s="931">
        <f>IF(AND(A118=$A$5,C118&lt;financing!$D$55),M118-SUM(P118:R118,O118),MIN(M118-SUM(P118:R118,O118),financing!$F$10-SUM(S$5:S117)))</f>
        <v>0</v>
      </c>
      <c r="T118" s="931">
        <f>+MAX(MIN(IF(C118&gt;=financing!$D$55,M118-SUM(P118:S118)-J118,0),financing!$D$57-SUM(T$5:T117)),0)</f>
        <v>0</v>
      </c>
      <c r="U118" s="931">
        <f>+MAX(IF(C118&gt;=general!$C$23,M118-SUM(P118:T118),0)+IF(C118=general!$C$23,reserves!AZ117+AY118,0),0)</f>
        <v>0</v>
      </c>
      <c r="V118" s="946"/>
      <c r="W118" s="946">
        <f>SUMPRODUCT(--($C118=sales!$C$50:$C$54),sales!$F$50:$F$54)</f>
        <v>0</v>
      </c>
      <c r="X118" s="946">
        <f t="shared" si="87"/>
        <v>0</v>
      </c>
      <c r="Y118" s="946">
        <f t="shared" si="74"/>
        <v>0</v>
      </c>
      <c r="Z118" s="946">
        <f t="shared" si="88"/>
        <v>0</v>
      </c>
      <c r="AA118" s="946"/>
      <c r="AB118" s="932">
        <f>IF(C118=sales!$D$22,sales!$I$22,0)+IF(C118=sales!$D$23,sales!$I$23,0)+IF(C118=sales!$D$24,sales!$I$24,0)+IF(C118=sales!$D$25,sales!$I$25,0)+IF(C118=sales!$D$26,sales!$I$26,0)+IF(C118=sales!$D$27,sales!$I$27,0)</f>
        <v>0</v>
      </c>
      <c r="AC118" s="946"/>
      <c r="AD118" s="931">
        <f t="shared" si="75"/>
        <v>0</v>
      </c>
      <c r="AE118" s="932"/>
      <c r="AF118" s="932">
        <f t="shared" si="71"/>
        <v>0</v>
      </c>
      <c r="AG118" s="932">
        <f t="shared" si="72"/>
        <v>0</v>
      </c>
      <c r="AH118" s="931">
        <f t="shared" si="97"/>
        <v>0</v>
      </c>
      <c r="AI118" s="932"/>
      <c r="AJ118" s="931">
        <f t="shared" si="98"/>
        <v>0</v>
      </c>
      <c r="AK118" s="946"/>
      <c r="AL118" s="947">
        <f>+IF(financing!$C$12="YES",'Development Cash Flow'!M118,0)</f>
        <v>0</v>
      </c>
      <c r="AM118" s="947">
        <f t="shared" si="76"/>
        <v>0</v>
      </c>
      <c r="AN118" s="947">
        <f t="shared" si="89"/>
        <v>0</v>
      </c>
      <c r="AO118" s="946"/>
      <c r="AP118" s="947">
        <f>+SUM('Development Cash Flow'!G118:J118)-'Development Cash Flow'!M118</f>
        <v>0</v>
      </c>
      <c r="AQ118" s="947">
        <f t="shared" si="77"/>
        <v>0</v>
      </c>
      <c r="AR118" s="947">
        <f t="shared" si="90"/>
        <v>0</v>
      </c>
      <c r="AS118" s="946"/>
      <c r="AT118" s="947">
        <f t="shared" si="91"/>
        <v>0</v>
      </c>
      <c r="AU118" s="947">
        <f t="shared" si="92"/>
        <v>0</v>
      </c>
      <c r="AV118" s="948">
        <f t="shared" si="93"/>
        <v>0</v>
      </c>
      <c r="AW118" s="946"/>
      <c r="AX118" s="947">
        <f t="shared" si="78"/>
        <v>0</v>
      </c>
      <c r="AY118" s="947">
        <f>+AZ117*financing!$E$30/12</f>
        <v>0</v>
      </c>
      <c r="AZ118" s="947">
        <f t="shared" si="94"/>
        <v>0</v>
      </c>
      <c r="BA118" s="946"/>
      <c r="BB118" s="947">
        <f t="shared" si="79"/>
        <v>0</v>
      </c>
      <c r="BC118" s="947">
        <f>+IF(AND(BD117+BB118+MAX(BD117*financing!$E$15/12,financing!$D$59-SUM(reserves!BC$6:BC117)-SUM(J$6:J118))-reserves!AD118&lt;=0,financing!$D$58&gt;=0),MAX(BD117*financing!$E$15/12,financing!$D$59-SUM(reserves!BC$6:BC117)-SUM(J$6:J118)),BD117*financing!$E$15/12)</f>
        <v>0</v>
      </c>
      <c r="BD118" s="947">
        <f t="shared" si="67"/>
        <v>0</v>
      </c>
      <c r="BE118" s="946"/>
      <c r="BF118" s="947">
        <f t="shared" si="95"/>
        <v>0</v>
      </c>
      <c r="BG118" s="947">
        <f>+IF(AND(BH117+BF118+MAX((BH117*(LIBOR!AA119)*(D118-D117)/360)+BY118,financing!$C$16-SUM(reserves!BG$6:BG117))-reserves!AD118&lt;=0,financing!$L$17&gt;=0),MAX((BH117*(LIBOR!AA119)*(D118-D117)/360)+BY118,financing!$C$16-SUM(reserves!BG$6:BG117)),(BH117*(LIBOR!AA119)*(D118-D117)/360)+BY118)</f>
        <v>0</v>
      </c>
      <c r="BH118" s="947">
        <f t="shared" si="96"/>
        <v>0</v>
      </c>
      <c r="BI118" s="946"/>
      <c r="BJ118" s="937"/>
      <c r="BK118" s="938">
        <f t="shared" si="84"/>
        <v>0</v>
      </c>
      <c r="BL118" s="939">
        <f>-S118+AJ118+AF118-AX118+AH118+AG118-BB118-BF118+'Development Cash Flow'!Y118</f>
        <v>0</v>
      </c>
      <c r="BM118" s="940"/>
      <c r="BN118" s="941">
        <f t="shared" si="80"/>
        <v>0</v>
      </c>
      <c r="BO118" s="940"/>
      <c r="BP118" s="942">
        <f t="shared" si="81"/>
        <v>0</v>
      </c>
      <c r="BS118" s="949" t="e">
        <f t="shared" si="85"/>
        <v>#DIV/0!</v>
      </c>
      <c r="BT118" s="922">
        <f>+IF(SUM(BT$5:BT117)&lt;1,IF(BU118=MAX($BU$6:$BU$54),1,0),0)</f>
        <v>0</v>
      </c>
      <c r="BU118" s="922">
        <f t="shared" si="86"/>
        <v>4000000</v>
      </c>
      <c r="BV118" s="943" t="str">
        <f t="shared" si="82"/>
        <v/>
      </c>
      <c r="BW118" s="922" t="str">
        <f t="shared" si="83"/>
        <v/>
      </c>
      <c r="BY118" s="208">
        <f>ROUND(IF(A118="Dev",IF(AND(BK118&gt;general!$D$23,SUM($BZ$6:$BZ117)&lt;1,financing!$L$15&gt;BH117+BF118),financing!$L$16*(BK118-BK117)/360*(financing!$L$15-BH117-BF118),0),0),-2)</f>
        <v>0</v>
      </c>
      <c r="BZ118" s="909">
        <f>+IF(AND(BH118&gt;=financing!$L$15,SUM(BZ$6:BZ117)=0),1,0)</f>
        <v>0</v>
      </c>
      <c r="CA118" s="950">
        <f t="shared" si="99"/>
        <v>0</v>
      </c>
      <c r="CD118" s="909">
        <f>SUM($S$6:S118)</f>
        <v>4000000</v>
      </c>
      <c r="CF118" s="208">
        <f>+IF(C118&lt;general!$C$22,0,IF(AND(C118=general!$C$22,OR(A118="Pred",A118="Dev")),SUM(S$6:S118),S118))</f>
        <v>0</v>
      </c>
    </row>
    <row r="119" spans="1:84" ht="16" hidden="1" outlineLevel="2">
      <c r="A119" s="906" t="str">
        <f>+'Development Cash Flow'!A119</f>
        <v>post dev</v>
      </c>
      <c r="B119" s="908"/>
      <c r="C119" s="944">
        <f>IF('Development Cash Flow'!D118&lt;general!$D$28,'Development Cash Flow'!C118+1,0)</f>
        <v>0</v>
      </c>
      <c r="D119" s="945">
        <f t="shared" si="23"/>
        <v>49705</v>
      </c>
      <c r="E119" s="945"/>
      <c r="F119" s="928">
        <f>'Development Cash Flow'!P119*D$4+SUM('Development Cash Flow'!Q119:T119)*F$4</f>
        <v>0</v>
      </c>
      <c r="G119" s="928">
        <f>'Development Cash Flow'!AL119-F119</f>
        <v>0</v>
      </c>
      <c r="H119" s="928"/>
      <c r="I119" s="928"/>
      <c r="J119" s="931">
        <f>+financing!$D$54/12*reserves!BD118</f>
        <v>0</v>
      </c>
      <c r="K119" s="928">
        <f>IF(C119=0,0,IF(C119=sales!$D$32,financing!$E$12*financing!$F$11,IF(OR(C119&gt;general!$C$27,C119&lt;sales!$D$32),0,IF((C119-sales!$D$32)/12=ROUND((C119-sales!$D$32)/12,0),financing!$E$12*financing!$F$11,0))))</f>
        <v>0</v>
      </c>
      <c r="L119" s="928"/>
      <c r="M119" s="928">
        <f t="shared" si="73"/>
        <v>0</v>
      </c>
      <c r="N119" s="946"/>
      <c r="O119" s="946">
        <f>IF(D119=general!$D$21,financing!$F$30,0)</f>
        <v>0</v>
      </c>
      <c r="P119" s="946">
        <f>+MIN(IF(D119&lt;=general!$D$24,SUM(F$6:F119)-SUM(P$6:P118),reserves!F119),AR118)</f>
        <v>0</v>
      </c>
      <c r="Q119" s="946">
        <f>+MAX(MIN(SUM(G$6:$G119)-R119,AN118,SUM(G$6:$G119)-SUM(Q$6:Q118)),0)</f>
        <v>0</v>
      </c>
      <c r="R119" s="946">
        <f>+IF(C119&gt;=sales!$D$36,'Development Cash Flow'!AL119,0)</f>
        <v>0</v>
      </c>
      <c r="S119" s="931">
        <f>IF(AND(A119=$A$5,C119&lt;financing!$D$55),M119-SUM(P119:R119,O119),MIN(M119-SUM(P119:R119,O119),financing!$F$10-SUM(S$5:S118)))</f>
        <v>0</v>
      </c>
      <c r="T119" s="931">
        <f>+MAX(MIN(IF(C119&gt;=financing!$D$55,M119-SUM(P119:S119)-J119,0),financing!$D$57-SUM(T$5:T118)),0)</f>
        <v>0</v>
      </c>
      <c r="U119" s="931">
        <f>+MAX(IF(C119&gt;=general!$C$23,M119-SUM(P119:T119),0)+IF(C119=general!$C$23,reserves!AZ118+AY119,0),0)</f>
        <v>0</v>
      </c>
      <c r="V119" s="946"/>
      <c r="W119" s="946">
        <f>SUMPRODUCT(--($C119=sales!$C$50:$C$54),sales!$F$50:$F$54)</f>
        <v>0</v>
      </c>
      <c r="X119" s="946">
        <f t="shared" si="87"/>
        <v>0</v>
      </c>
      <c r="Y119" s="946">
        <f t="shared" si="74"/>
        <v>0</v>
      </c>
      <c r="Z119" s="946">
        <f t="shared" si="88"/>
        <v>0</v>
      </c>
      <c r="AA119" s="946"/>
      <c r="AB119" s="932">
        <f>IF(C119=sales!$D$22,sales!$I$22,0)+IF(C119=sales!$D$23,sales!$I$23,0)+IF(C119=sales!$D$24,sales!$I$24,0)+IF(C119=sales!$D$25,sales!$I$25,0)+IF(C119=sales!$D$26,sales!$I$26,0)+IF(C119=sales!$D$27,sales!$I$27,0)</f>
        <v>0</v>
      </c>
      <c r="AC119" s="946"/>
      <c r="AD119" s="931">
        <f t="shared" si="75"/>
        <v>0</v>
      </c>
      <c r="AE119" s="932"/>
      <c r="AF119" s="932">
        <f t="shared" si="71"/>
        <v>0</v>
      </c>
      <c r="AG119" s="932">
        <f t="shared" si="72"/>
        <v>0</v>
      </c>
      <c r="AH119" s="931">
        <f t="shared" si="97"/>
        <v>0</v>
      </c>
      <c r="AI119" s="932"/>
      <c r="AJ119" s="931">
        <f t="shared" si="98"/>
        <v>0</v>
      </c>
      <c r="AK119" s="946"/>
      <c r="AL119" s="947">
        <f>+IF(financing!$C$12="YES",'Development Cash Flow'!M119,0)</f>
        <v>0</v>
      </c>
      <c r="AM119" s="947">
        <f t="shared" si="76"/>
        <v>0</v>
      </c>
      <c r="AN119" s="947">
        <f t="shared" si="89"/>
        <v>0</v>
      </c>
      <c r="AO119" s="946"/>
      <c r="AP119" s="947">
        <f>+SUM('Development Cash Flow'!G119:J119)-'Development Cash Flow'!M119</f>
        <v>0</v>
      </c>
      <c r="AQ119" s="947">
        <f t="shared" si="77"/>
        <v>0</v>
      </c>
      <c r="AR119" s="947">
        <f t="shared" si="90"/>
        <v>0</v>
      </c>
      <c r="AS119" s="946"/>
      <c r="AT119" s="947">
        <f t="shared" si="91"/>
        <v>0</v>
      </c>
      <c r="AU119" s="947">
        <f t="shared" si="92"/>
        <v>0</v>
      </c>
      <c r="AV119" s="948">
        <f t="shared" si="93"/>
        <v>0</v>
      </c>
      <c r="AW119" s="946"/>
      <c r="AX119" s="947">
        <f t="shared" si="78"/>
        <v>0</v>
      </c>
      <c r="AY119" s="947">
        <f>+AZ118*financing!$E$30/12</f>
        <v>0</v>
      </c>
      <c r="AZ119" s="947">
        <f t="shared" si="94"/>
        <v>0</v>
      </c>
      <c r="BA119" s="946"/>
      <c r="BB119" s="947">
        <f t="shared" si="79"/>
        <v>0</v>
      </c>
      <c r="BC119" s="947">
        <f>+IF(AND(BD118+BB119+MAX(BD118*financing!$E$15/12,financing!$D$59-SUM(reserves!BC$6:BC118)-SUM(J$6:J119))-reserves!AD119&lt;=0,financing!$D$58&gt;=0),MAX(BD118*financing!$E$15/12,financing!$D$59-SUM(reserves!BC$6:BC118)-SUM(J$6:J119)),BD118*financing!$E$15/12)</f>
        <v>0</v>
      </c>
      <c r="BD119" s="947">
        <f t="shared" si="67"/>
        <v>0</v>
      </c>
      <c r="BE119" s="946"/>
      <c r="BF119" s="947">
        <f t="shared" si="95"/>
        <v>0</v>
      </c>
      <c r="BG119" s="947">
        <f>+IF(AND(BH118+BF119+MAX((BH118*(LIBOR!AA120)*(D119-D118)/360)+BY119,financing!$C$16-SUM(reserves!BG$6:BG118))-reserves!AD119&lt;=0,financing!$L$17&gt;=0),MAX((BH118*(LIBOR!AA120)*(D119-D118)/360)+BY119,financing!$C$16-SUM(reserves!BG$6:BG118)),(BH118*(LIBOR!AA120)*(D119-D118)/360)+BY119)</f>
        <v>0</v>
      </c>
      <c r="BH119" s="947">
        <f t="shared" si="96"/>
        <v>0</v>
      </c>
      <c r="BI119" s="946"/>
      <c r="BJ119" s="937"/>
      <c r="BK119" s="938">
        <f t="shared" si="84"/>
        <v>0</v>
      </c>
      <c r="BL119" s="939">
        <f>-S119+AJ119+AF119-AX119+AH119+AG119-BB119-BF119+'Development Cash Flow'!Y119</f>
        <v>0</v>
      </c>
      <c r="BM119" s="940"/>
      <c r="BN119" s="941">
        <f t="shared" si="80"/>
        <v>0</v>
      </c>
      <c r="BO119" s="940"/>
      <c r="BP119" s="942">
        <f t="shared" si="81"/>
        <v>0</v>
      </c>
      <c r="BS119" s="949" t="e">
        <f t="shared" si="85"/>
        <v>#DIV/0!</v>
      </c>
      <c r="BT119" s="922">
        <f>+IF(SUM(BT$5:BT118)&lt;1,IF(BU119=MAX($BU$6:$BU$54),1,0),0)</f>
        <v>0</v>
      </c>
      <c r="BU119" s="922">
        <f t="shared" si="86"/>
        <v>4000000</v>
      </c>
      <c r="BV119" s="943" t="str">
        <f t="shared" si="82"/>
        <v/>
      </c>
      <c r="BW119" s="922" t="str">
        <f t="shared" si="83"/>
        <v/>
      </c>
      <c r="BY119" s="208">
        <f>ROUND(IF(A119="Dev",IF(AND(BK119&gt;general!$D$23,SUM($BZ$6:$BZ118)&lt;1,financing!$L$15&gt;BH118+BF119),financing!$L$16*(BK119-BK118)/360*(financing!$L$15-BH118-BF119),0),0),-2)</f>
        <v>0</v>
      </c>
      <c r="BZ119" s="909">
        <f>+IF(AND(BH119&gt;=financing!$L$15,SUM(BZ$6:BZ118)=0),1,0)</f>
        <v>0</v>
      </c>
      <c r="CA119" s="950">
        <f t="shared" si="99"/>
        <v>0</v>
      </c>
      <c r="CD119" s="909">
        <f>SUM($S$6:S119)</f>
        <v>4000000</v>
      </c>
      <c r="CF119" s="208">
        <f>+IF(C119&lt;general!$C$22,0,IF(AND(C119=general!$C$22,OR(A119="Pred",A119="Dev")),SUM(S$6:S119),S119))</f>
        <v>0</v>
      </c>
    </row>
    <row r="120" spans="1:84" ht="16" hidden="1" outlineLevel="2">
      <c r="A120" s="906" t="str">
        <f>+'Development Cash Flow'!A120</f>
        <v>post dev</v>
      </c>
      <c r="B120" s="908"/>
      <c r="C120" s="944">
        <f>IF('Development Cash Flow'!D119&lt;general!$D$28,'Development Cash Flow'!C119+1,0)</f>
        <v>0</v>
      </c>
      <c r="D120" s="945">
        <f t="shared" si="23"/>
        <v>49734</v>
      </c>
      <c r="E120" s="945"/>
      <c r="F120" s="928">
        <f>'Development Cash Flow'!P120*D$4+SUM('Development Cash Flow'!Q120:T120)*F$4</f>
        <v>0</v>
      </c>
      <c r="G120" s="928">
        <f>'Development Cash Flow'!AL120-F120</f>
        <v>0</v>
      </c>
      <c r="H120" s="928"/>
      <c r="I120" s="928"/>
      <c r="J120" s="931">
        <f>+financing!$D$54/12*reserves!BD119</f>
        <v>0</v>
      </c>
      <c r="K120" s="928">
        <f>IF(C120=0,0,IF(C120=sales!$D$32,financing!$E$12*financing!$F$11,IF(OR(C120&gt;general!$C$27,C120&lt;sales!$D$32),0,IF((C120-sales!$D$32)/12=ROUND((C120-sales!$D$32)/12,0),financing!$E$12*financing!$F$11,0))))</f>
        <v>0</v>
      </c>
      <c r="L120" s="928"/>
      <c r="M120" s="928">
        <f t="shared" si="73"/>
        <v>0</v>
      </c>
      <c r="N120" s="946"/>
      <c r="O120" s="946">
        <f>IF(D120=general!$D$21,financing!$F$30,0)</f>
        <v>0</v>
      </c>
      <c r="P120" s="946">
        <f>+MIN(IF(D120&lt;=general!$D$24,SUM(F$6:F120)-SUM(P$6:P119),reserves!F120),AR119)</f>
        <v>0</v>
      </c>
      <c r="Q120" s="946">
        <f>+MAX(MIN(SUM(G$6:$G120)-R120,AN119,SUM(G$6:$G120)-SUM(Q$6:Q119)),0)</f>
        <v>0</v>
      </c>
      <c r="R120" s="946">
        <f>+IF(C120&gt;=sales!$D$36,'Development Cash Flow'!AL120,0)</f>
        <v>0</v>
      </c>
      <c r="S120" s="931">
        <f>IF(AND(A120=$A$5,C120&lt;financing!$D$55),M120-SUM(P120:R120,O120),MIN(M120-SUM(P120:R120,O120),financing!$F$10-SUM(S$5:S119)))</f>
        <v>0</v>
      </c>
      <c r="T120" s="931">
        <f>+MAX(MIN(IF(C120&gt;=financing!$D$55,M120-SUM(P120:S120)-J120,0),financing!$D$57-SUM(T$5:T119)),0)</f>
        <v>0</v>
      </c>
      <c r="U120" s="931">
        <f>+MAX(IF(C120&gt;=general!$C$23,M120-SUM(P120:T120),0)+IF(C120=general!$C$23,reserves!AZ119+AY120,0),0)</f>
        <v>0</v>
      </c>
      <c r="V120" s="946"/>
      <c r="W120" s="946">
        <f>SUMPRODUCT(--($C120=sales!$C$50:$C$54),sales!$F$50:$F$54)</f>
        <v>0</v>
      </c>
      <c r="X120" s="946">
        <f t="shared" si="87"/>
        <v>0</v>
      </c>
      <c r="Y120" s="946">
        <f t="shared" si="74"/>
        <v>0</v>
      </c>
      <c r="Z120" s="946">
        <f t="shared" si="88"/>
        <v>0</v>
      </c>
      <c r="AA120" s="946"/>
      <c r="AB120" s="932">
        <f>IF(C120=sales!$D$22,sales!$I$22,0)+IF(C120=sales!$D$23,sales!$I$23,0)+IF(C120=sales!$D$24,sales!$I$24,0)+IF(C120=sales!$D$25,sales!$I$25,0)+IF(C120=sales!$D$26,sales!$I$26,0)+IF(C120=sales!$D$27,sales!$I$27,0)</f>
        <v>0</v>
      </c>
      <c r="AC120" s="946"/>
      <c r="AD120" s="931">
        <f t="shared" si="75"/>
        <v>0</v>
      </c>
      <c r="AE120" s="932"/>
      <c r="AF120" s="932">
        <f t="shared" si="71"/>
        <v>0</v>
      </c>
      <c r="AG120" s="932">
        <f t="shared" si="72"/>
        <v>0</v>
      </c>
      <c r="AH120" s="931">
        <f t="shared" si="97"/>
        <v>0</v>
      </c>
      <c r="AI120" s="932"/>
      <c r="AJ120" s="931">
        <f t="shared" si="98"/>
        <v>0</v>
      </c>
      <c r="AK120" s="946"/>
      <c r="AL120" s="947">
        <f>+IF(financing!$C$12="YES",'Development Cash Flow'!M120,0)</f>
        <v>0</v>
      </c>
      <c r="AM120" s="947">
        <f t="shared" si="76"/>
        <v>0</v>
      </c>
      <c r="AN120" s="947">
        <f t="shared" si="89"/>
        <v>0</v>
      </c>
      <c r="AO120" s="946"/>
      <c r="AP120" s="947">
        <f>+SUM('Development Cash Flow'!G120:J120)-'Development Cash Flow'!M120</f>
        <v>0</v>
      </c>
      <c r="AQ120" s="947">
        <f t="shared" si="77"/>
        <v>0</v>
      </c>
      <c r="AR120" s="947">
        <f t="shared" si="90"/>
        <v>0</v>
      </c>
      <c r="AS120" s="946"/>
      <c r="AT120" s="947">
        <f t="shared" si="91"/>
        <v>0</v>
      </c>
      <c r="AU120" s="947">
        <f t="shared" si="92"/>
        <v>0</v>
      </c>
      <c r="AV120" s="948">
        <f t="shared" si="93"/>
        <v>0</v>
      </c>
      <c r="AW120" s="946"/>
      <c r="AX120" s="947">
        <f t="shared" si="78"/>
        <v>0</v>
      </c>
      <c r="AY120" s="947">
        <f>+AZ119*financing!$E$30/12</f>
        <v>0</v>
      </c>
      <c r="AZ120" s="947">
        <f t="shared" si="94"/>
        <v>0</v>
      </c>
      <c r="BA120" s="946"/>
      <c r="BB120" s="947">
        <f t="shared" si="79"/>
        <v>0</v>
      </c>
      <c r="BC120" s="947">
        <f>+IF(AND(BD119+BB120+MAX(BD119*financing!$E$15/12,financing!$D$59-SUM(reserves!BC$6:BC119)-SUM(J$6:J120))-reserves!AD120&lt;=0,financing!$D$58&gt;=0),MAX(BD119*financing!$E$15/12,financing!$D$59-SUM(reserves!BC$6:BC119)-SUM(J$6:J120)),BD119*financing!$E$15/12)</f>
        <v>0</v>
      </c>
      <c r="BD120" s="947">
        <f t="shared" si="67"/>
        <v>0</v>
      </c>
      <c r="BE120" s="946"/>
      <c r="BF120" s="947">
        <f t="shared" si="95"/>
        <v>0</v>
      </c>
      <c r="BG120" s="947">
        <f>+IF(AND(BH119+BF120+MAX((BH119*(LIBOR!AA121)*(D120-D119)/360)+BY120,financing!$C$16-SUM(reserves!BG$6:BG119))-reserves!AD120&lt;=0,financing!$L$17&gt;=0),MAX((BH119*(LIBOR!AA121)*(D120-D119)/360)+BY120,financing!$C$16-SUM(reserves!BG$6:BG119)),(BH119*(LIBOR!AA121)*(D120-D119)/360)+BY120)</f>
        <v>0</v>
      </c>
      <c r="BH120" s="947">
        <f t="shared" si="96"/>
        <v>0</v>
      </c>
      <c r="BI120" s="946"/>
      <c r="BJ120" s="937"/>
      <c r="BK120" s="938">
        <f t="shared" si="84"/>
        <v>0</v>
      </c>
      <c r="BL120" s="939">
        <f>-S120+AJ120+AF120-AX120+AH120+AG120-BB120-BF120+'Development Cash Flow'!Y120</f>
        <v>0</v>
      </c>
      <c r="BM120" s="940"/>
      <c r="BN120" s="941">
        <f t="shared" si="80"/>
        <v>0</v>
      </c>
      <c r="BO120" s="940"/>
      <c r="BP120" s="942">
        <f t="shared" si="81"/>
        <v>0</v>
      </c>
      <c r="BS120" s="949" t="e">
        <f t="shared" si="85"/>
        <v>#DIV/0!</v>
      </c>
      <c r="BT120" s="922">
        <f>+IF(SUM(BT$5:BT119)&lt;1,IF(BU120=MAX($BU$6:$BU$54),1,0),0)</f>
        <v>0</v>
      </c>
      <c r="BU120" s="922">
        <f t="shared" si="86"/>
        <v>4000000</v>
      </c>
      <c r="BV120" s="943" t="str">
        <f t="shared" si="82"/>
        <v/>
      </c>
      <c r="BW120" s="922" t="str">
        <f t="shared" si="83"/>
        <v/>
      </c>
      <c r="BY120" s="208">
        <f>ROUND(IF(A120="Dev",IF(AND(BK120&gt;general!$D$23,SUM($BZ$6:$BZ119)&lt;1,financing!$L$15&gt;BH119+BF120),financing!$L$16*(BK120-BK119)/360*(financing!$L$15-BH119-BF120),0),0),-2)</f>
        <v>0</v>
      </c>
      <c r="BZ120" s="909">
        <f>+IF(AND(BH120&gt;=financing!$L$15,SUM(BZ$6:BZ119)=0),1,0)</f>
        <v>0</v>
      </c>
      <c r="CA120" s="950">
        <f t="shared" si="99"/>
        <v>0</v>
      </c>
      <c r="CD120" s="909">
        <f>SUM($S$6:S120)</f>
        <v>4000000</v>
      </c>
      <c r="CF120" s="208">
        <f>+IF(C120&lt;general!$C$22,0,IF(AND(C120=general!$C$22,OR(A120="Pred",A120="Dev")),SUM(S$6:S120),S120))</f>
        <v>0</v>
      </c>
    </row>
    <row r="121" spans="1:84" ht="16" hidden="1" outlineLevel="2">
      <c r="A121" s="906" t="str">
        <f>+'Development Cash Flow'!A121</f>
        <v>post dev</v>
      </c>
      <c r="B121" s="908"/>
      <c r="C121" s="944">
        <f>IF('Development Cash Flow'!D120&lt;general!$D$28,'Development Cash Flow'!C120+1,0)</f>
        <v>0</v>
      </c>
      <c r="D121" s="945">
        <f t="shared" si="23"/>
        <v>49765</v>
      </c>
      <c r="E121" s="945"/>
      <c r="F121" s="928">
        <f>'Development Cash Flow'!P121*D$4+SUM('Development Cash Flow'!Q121:T121)*F$4</f>
        <v>0</v>
      </c>
      <c r="G121" s="928">
        <f>'Development Cash Flow'!AL121-F121</f>
        <v>0</v>
      </c>
      <c r="H121" s="928"/>
      <c r="I121" s="928"/>
      <c r="J121" s="931">
        <f>+financing!$D$54/12*reserves!BD120</f>
        <v>0</v>
      </c>
      <c r="K121" s="928">
        <f>IF(C121=0,0,IF(C121=sales!$D$32,financing!$E$12*financing!$F$11,IF(OR(C121&gt;general!$C$27,C121&lt;sales!$D$32),0,IF((C121-sales!$D$32)/12=ROUND((C121-sales!$D$32)/12,0),financing!$E$12*financing!$F$11,0))))</f>
        <v>0</v>
      </c>
      <c r="L121" s="928"/>
      <c r="M121" s="928">
        <f t="shared" si="73"/>
        <v>0</v>
      </c>
      <c r="N121" s="946"/>
      <c r="O121" s="946">
        <f>IF(D121=general!$D$21,financing!$F$30,0)</f>
        <v>0</v>
      </c>
      <c r="P121" s="946">
        <f>+MIN(IF(D121&lt;=general!$D$24,SUM(F$6:F121)-SUM(P$6:P120),reserves!F121),AR120)</f>
        <v>0</v>
      </c>
      <c r="Q121" s="946">
        <f>+MAX(MIN(SUM(G$6:$G121)-R121,AN120,SUM(G$6:$G121)-SUM(Q$6:Q120)),0)</f>
        <v>0</v>
      </c>
      <c r="R121" s="946">
        <f>+IF(C121&gt;=sales!$D$36,'Development Cash Flow'!AL121,0)</f>
        <v>0</v>
      </c>
      <c r="S121" s="931">
        <f>IF(AND(A121=$A$5,C121&lt;financing!$D$55),M121-SUM(P121:R121,O121),MIN(M121-SUM(P121:R121,O121),financing!$F$10-SUM(S$5:S120)))</f>
        <v>0</v>
      </c>
      <c r="T121" s="931">
        <f>+MAX(MIN(IF(C121&gt;=financing!$D$55,M121-SUM(P121:S121)-J121,0),financing!$D$57-SUM(T$5:T120)),0)</f>
        <v>0</v>
      </c>
      <c r="U121" s="931">
        <f>+MAX(IF(C121&gt;=general!$C$23,M121-SUM(P121:T121),0)+IF(C121=general!$C$23,reserves!AZ120+AY121,0),0)</f>
        <v>0</v>
      </c>
      <c r="V121" s="946"/>
      <c r="W121" s="946">
        <f>SUMPRODUCT(--($C121=sales!$C$50:$C$54),sales!$F$50:$F$54)</f>
        <v>0</v>
      </c>
      <c r="X121" s="946">
        <f t="shared" si="87"/>
        <v>0</v>
      </c>
      <c r="Y121" s="946">
        <f t="shared" si="74"/>
        <v>0</v>
      </c>
      <c r="Z121" s="946">
        <f t="shared" si="88"/>
        <v>0</v>
      </c>
      <c r="AA121" s="946"/>
      <c r="AB121" s="932">
        <f>IF(C121=sales!$D$22,sales!$I$22,0)+IF(C121=sales!$D$23,sales!$I$23,0)+IF(C121=sales!$D$24,sales!$I$24,0)+IF(C121=sales!$D$25,sales!$I$25,0)+IF(C121=sales!$D$26,sales!$I$26,0)+IF(C121=sales!$D$27,sales!$I$27,0)</f>
        <v>0</v>
      </c>
      <c r="AC121" s="946"/>
      <c r="AD121" s="931">
        <f t="shared" si="75"/>
        <v>0</v>
      </c>
      <c r="AE121" s="932"/>
      <c r="AF121" s="932">
        <f t="shared" si="71"/>
        <v>0</v>
      </c>
      <c r="AG121" s="932">
        <f t="shared" si="72"/>
        <v>0</v>
      </c>
      <c r="AH121" s="931">
        <f t="shared" si="97"/>
        <v>0</v>
      </c>
      <c r="AI121" s="932"/>
      <c r="AJ121" s="931">
        <f t="shared" si="98"/>
        <v>0</v>
      </c>
      <c r="AK121" s="946"/>
      <c r="AL121" s="947">
        <f>+IF(financing!$C$12="YES",'Development Cash Flow'!M121,0)</f>
        <v>0</v>
      </c>
      <c r="AM121" s="947">
        <f t="shared" si="76"/>
        <v>0</v>
      </c>
      <c r="AN121" s="947">
        <f t="shared" si="89"/>
        <v>0</v>
      </c>
      <c r="AO121" s="946"/>
      <c r="AP121" s="947">
        <f>+SUM('Development Cash Flow'!G121:J121)-'Development Cash Flow'!M121</f>
        <v>0</v>
      </c>
      <c r="AQ121" s="947">
        <f t="shared" si="77"/>
        <v>0</v>
      </c>
      <c r="AR121" s="947">
        <f t="shared" si="90"/>
        <v>0</v>
      </c>
      <c r="AS121" s="946"/>
      <c r="AT121" s="947">
        <f t="shared" si="91"/>
        <v>0</v>
      </c>
      <c r="AU121" s="947">
        <f t="shared" si="92"/>
        <v>0</v>
      </c>
      <c r="AV121" s="948">
        <f t="shared" si="93"/>
        <v>0</v>
      </c>
      <c r="AW121" s="946"/>
      <c r="AX121" s="947">
        <f t="shared" si="78"/>
        <v>0</v>
      </c>
      <c r="AY121" s="947">
        <f>+AZ120*financing!$E$30/12</f>
        <v>0</v>
      </c>
      <c r="AZ121" s="947">
        <f t="shared" si="94"/>
        <v>0</v>
      </c>
      <c r="BA121" s="946"/>
      <c r="BB121" s="947">
        <f t="shared" si="79"/>
        <v>0</v>
      </c>
      <c r="BC121" s="947">
        <f>+IF(AND(BD120+BB121+MAX(BD120*financing!$E$15/12,financing!$D$59-SUM(reserves!BC$6:BC120)-SUM(J$6:J121))-reserves!AD121&lt;=0,financing!$D$58&gt;=0),MAX(BD120*financing!$E$15/12,financing!$D$59-SUM(reserves!BC$6:BC120)-SUM(J$6:J121)),BD120*financing!$E$15/12)</f>
        <v>0</v>
      </c>
      <c r="BD121" s="947">
        <f t="shared" si="67"/>
        <v>0</v>
      </c>
      <c r="BE121" s="946"/>
      <c r="BF121" s="947">
        <f t="shared" si="95"/>
        <v>0</v>
      </c>
      <c r="BG121" s="947">
        <f>+IF(AND(BH120+BF121+MAX((BH120*(LIBOR!AA122)*(D121-D120)/360)+BY121,financing!$C$16-SUM(reserves!BG$6:BG120))-reserves!AD121&lt;=0,financing!$L$17&gt;=0),MAX((BH120*(LIBOR!AA122)*(D121-D120)/360)+BY121,financing!$C$16-SUM(reserves!BG$6:BG120)),(BH120*(LIBOR!AA122)*(D121-D120)/360)+BY121)</f>
        <v>0</v>
      </c>
      <c r="BH121" s="947">
        <f t="shared" si="96"/>
        <v>0</v>
      </c>
      <c r="BI121" s="946"/>
      <c r="BJ121" s="937"/>
      <c r="BK121" s="938">
        <f t="shared" si="84"/>
        <v>0</v>
      </c>
      <c r="BL121" s="939">
        <f>-S121+AJ121+AF121-AX121+AH121+AG121-BB121-BF121+'Development Cash Flow'!Y121</f>
        <v>0</v>
      </c>
      <c r="BM121" s="940"/>
      <c r="BN121" s="941">
        <f t="shared" si="80"/>
        <v>0</v>
      </c>
      <c r="BO121" s="940"/>
      <c r="BP121" s="942">
        <f t="shared" si="81"/>
        <v>0</v>
      </c>
      <c r="BS121" s="949" t="e">
        <f t="shared" si="85"/>
        <v>#DIV/0!</v>
      </c>
      <c r="BT121" s="922">
        <f>+IF(SUM(BT$5:BT120)&lt;1,IF(BU121=MAX($BU$6:$BU$54),1,0),0)</f>
        <v>0</v>
      </c>
      <c r="BU121" s="922">
        <f t="shared" si="86"/>
        <v>4000000</v>
      </c>
      <c r="BV121" s="943" t="str">
        <f t="shared" si="82"/>
        <v/>
      </c>
      <c r="BW121" s="922" t="str">
        <f t="shared" si="83"/>
        <v/>
      </c>
      <c r="BY121" s="208">
        <f>ROUND(IF(A121="Dev",IF(AND(BK121&gt;general!$D$23,SUM($BZ$6:$BZ120)&lt;1,financing!$L$15&gt;BH120+BF121),financing!$L$16*(BK121-BK120)/360*(financing!$L$15-BH120-BF121),0),0),-2)</f>
        <v>0</v>
      </c>
      <c r="BZ121" s="909">
        <f>+IF(AND(BH121&gt;=financing!$L$15,SUM(BZ$6:BZ120)=0),1,0)</f>
        <v>0</v>
      </c>
      <c r="CA121" s="950">
        <f t="shared" si="99"/>
        <v>0</v>
      </c>
      <c r="CD121" s="909">
        <f>SUM($S$6:S121)</f>
        <v>4000000</v>
      </c>
      <c r="CF121" s="208">
        <f>+IF(C121&lt;general!$C$22,0,IF(AND(C121=general!$C$22,OR(A121="Pred",A121="Dev")),SUM(S$6:S121),S121))</f>
        <v>0</v>
      </c>
    </row>
    <row r="122" spans="1:84" ht="16" hidden="1" outlineLevel="2">
      <c r="A122" s="906" t="str">
        <f>+'Development Cash Flow'!A122</f>
        <v>post dev</v>
      </c>
      <c r="B122" s="908"/>
      <c r="C122" s="944">
        <f>IF('Development Cash Flow'!D121&lt;general!$D$28,'Development Cash Flow'!C121+1,0)</f>
        <v>0</v>
      </c>
      <c r="D122" s="945">
        <f t="shared" si="23"/>
        <v>49795</v>
      </c>
      <c r="E122" s="945"/>
      <c r="F122" s="928">
        <f>'Development Cash Flow'!P122*D$4+SUM('Development Cash Flow'!Q122:T122)*F$4</f>
        <v>0</v>
      </c>
      <c r="G122" s="928">
        <f>'Development Cash Flow'!AL122-F122</f>
        <v>0</v>
      </c>
      <c r="H122" s="928"/>
      <c r="I122" s="928"/>
      <c r="J122" s="931">
        <f>+financing!$D$54/12*reserves!BD121</f>
        <v>0</v>
      </c>
      <c r="K122" s="928">
        <f>IF(C122=0,0,IF(C122=sales!$D$32,financing!$E$12*financing!$F$11,IF(OR(C122&gt;general!$C$27,C122&lt;sales!$D$32),0,IF((C122-sales!$D$32)/12=ROUND((C122-sales!$D$32)/12,0),financing!$E$12*financing!$F$11,0))))</f>
        <v>0</v>
      </c>
      <c r="L122" s="928"/>
      <c r="M122" s="928">
        <f t="shared" si="73"/>
        <v>0</v>
      </c>
      <c r="N122" s="946"/>
      <c r="O122" s="946">
        <f>IF(D122=general!$D$21,financing!$F$30,0)</f>
        <v>0</v>
      </c>
      <c r="P122" s="946">
        <f>+MIN(IF(D122&lt;=general!$D$24,SUM(F$6:F122)-SUM(P$6:P121),reserves!F122),AR121)</f>
        <v>0</v>
      </c>
      <c r="Q122" s="946">
        <f>+MAX(MIN(SUM(G$6:$G122)-R122,AN121,SUM(G$6:$G122)-SUM(Q$6:Q121)),0)</f>
        <v>0</v>
      </c>
      <c r="R122" s="946">
        <f>+IF(C122&gt;=sales!$D$36,'Development Cash Flow'!AL122,0)</f>
        <v>0</v>
      </c>
      <c r="S122" s="931">
        <f>IF(AND(A122=$A$5,C122&lt;financing!$D$55),M122-SUM(P122:R122,O122),MIN(M122-SUM(P122:R122,O122),financing!$F$10-SUM(S$5:S121)))</f>
        <v>0</v>
      </c>
      <c r="T122" s="931">
        <f>+MAX(MIN(IF(C122&gt;=financing!$D$55,M122-SUM(P122:S122)-J122,0),financing!$D$57-SUM(T$5:T121)),0)</f>
        <v>0</v>
      </c>
      <c r="U122" s="931">
        <f>+MAX(IF(C122&gt;=general!$C$23,M122-SUM(P122:T122),0)+IF(C122=general!$C$23,reserves!AZ121+AY122,0),0)</f>
        <v>0</v>
      </c>
      <c r="V122" s="946"/>
      <c r="W122" s="946">
        <f>SUMPRODUCT(--($C122=sales!$C$50:$C$54),sales!$F$50:$F$54)</f>
        <v>0</v>
      </c>
      <c r="X122" s="946">
        <f t="shared" si="87"/>
        <v>0</v>
      </c>
      <c r="Y122" s="946">
        <f t="shared" si="74"/>
        <v>0</v>
      </c>
      <c r="Z122" s="946">
        <f t="shared" si="88"/>
        <v>0</v>
      </c>
      <c r="AA122" s="946"/>
      <c r="AB122" s="932">
        <f>IF(C122=sales!$D$22,sales!$I$22,0)+IF(C122=sales!$D$23,sales!$I$23,0)+IF(C122=sales!$D$24,sales!$I$24,0)+IF(C122=sales!$D$25,sales!$I$25,0)+IF(C122=sales!$D$26,sales!$I$26,0)+IF(C122=sales!$D$27,sales!$I$27,0)</f>
        <v>0</v>
      </c>
      <c r="AC122" s="946"/>
      <c r="AD122" s="931">
        <f t="shared" si="75"/>
        <v>0</v>
      </c>
      <c r="AE122" s="932"/>
      <c r="AF122" s="932">
        <f t="shared" si="71"/>
        <v>0</v>
      </c>
      <c r="AG122" s="932">
        <f t="shared" si="72"/>
        <v>0</v>
      </c>
      <c r="AH122" s="931">
        <f t="shared" si="97"/>
        <v>0</v>
      </c>
      <c r="AI122" s="932"/>
      <c r="AJ122" s="931">
        <f t="shared" si="98"/>
        <v>0</v>
      </c>
      <c r="AK122" s="946"/>
      <c r="AL122" s="947">
        <f>+IF(financing!$C$12="YES",'Development Cash Flow'!M122,0)</f>
        <v>0</v>
      </c>
      <c r="AM122" s="947">
        <f t="shared" si="76"/>
        <v>0</v>
      </c>
      <c r="AN122" s="947">
        <f t="shared" si="89"/>
        <v>0</v>
      </c>
      <c r="AO122" s="946"/>
      <c r="AP122" s="947">
        <f>+SUM('Development Cash Flow'!G122:J122)-'Development Cash Flow'!M122</f>
        <v>0</v>
      </c>
      <c r="AQ122" s="947">
        <f t="shared" si="77"/>
        <v>0</v>
      </c>
      <c r="AR122" s="947">
        <f t="shared" si="90"/>
        <v>0</v>
      </c>
      <c r="AS122" s="946"/>
      <c r="AT122" s="947">
        <f t="shared" si="91"/>
        <v>0</v>
      </c>
      <c r="AU122" s="947">
        <f t="shared" si="92"/>
        <v>0</v>
      </c>
      <c r="AV122" s="948">
        <f t="shared" si="93"/>
        <v>0</v>
      </c>
      <c r="AW122" s="946"/>
      <c r="AX122" s="947">
        <f t="shared" si="78"/>
        <v>0</v>
      </c>
      <c r="AY122" s="947">
        <f>+AZ121*financing!$E$30/12</f>
        <v>0</v>
      </c>
      <c r="AZ122" s="947">
        <f t="shared" si="94"/>
        <v>0</v>
      </c>
      <c r="BA122" s="946"/>
      <c r="BB122" s="947">
        <f t="shared" si="79"/>
        <v>0</v>
      </c>
      <c r="BC122" s="947">
        <f>+IF(AND(BD121+BB122+MAX(BD121*financing!$E$15/12,financing!$D$59-SUM(reserves!BC$6:BC121)-SUM(J$6:J122))-reserves!AD122&lt;=0,financing!$D$58&gt;=0),MAX(BD121*financing!$E$15/12,financing!$D$59-SUM(reserves!BC$6:BC121)-SUM(J$6:J122)),BD121*financing!$E$15/12)</f>
        <v>0</v>
      </c>
      <c r="BD122" s="947">
        <f t="shared" si="67"/>
        <v>0</v>
      </c>
      <c r="BE122" s="946"/>
      <c r="BF122" s="947">
        <f t="shared" si="95"/>
        <v>0</v>
      </c>
      <c r="BG122" s="947">
        <f>+IF(AND(BH121+BF122+MAX((BH121*(LIBOR!AA123)*(D122-D121)/360)+BY122,financing!$C$16-SUM(reserves!BG$6:BG121))-reserves!AD122&lt;=0,financing!$L$17&gt;=0),MAX((BH121*(LIBOR!AA123)*(D122-D121)/360)+BY122,financing!$C$16-SUM(reserves!BG$6:BG121)),(BH121*(LIBOR!AA123)*(D122-D121)/360)+BY122)</f>
        <v>0</v>
      </c>
      <c r="BH122" s="947">
        <f t="shared" si="96"/>
        <v>0</v>
      </c>
      <c r="BI122" s="946"/>
      <c r="BJ122" s="937"/>
      <c r="BK122" s="938">
        <f t="shared" si="84"/>
        <v>0</v>
      </c>
      <c r="BL122" s="939">
        <f>-S122+AJ122+AF122-AX122+AH122+AG122-BB122-BF122+'Development Cash Flow'!Y122</f>
        <v>0</v>
      </c>
      <c r="BM122" s="940"/>
      <c r="BN122" s="941">
        <f t="shared" si="80"/>
        <v>0</v>
      </c>
      <c r="BO122" s="940"/>
      <c r="BP122" s="942">
        <f t="shared" si="81"/>
        <v>0</v>
      </c>
      <c r="BS122" s="949" t="e">
        <f t="shared" si="85"/>
        <v>#DIV/0!</v>
      </c>
      <c r="BT122" s="922">
        <f>+IF(SUM(BT$5:BT121)&lt;1,IF(BU122=MAX($BU$6:$BU$54),1,0),0)</f>
        <v>0</v>
      </c>
      <c r="BU122" s="922">
        <f t="shared" si="86"/>
        <v>4000000</v>
      </c>
      <c r="BV122" s="943" t="str">
        <f t="shared" si="82"/>
        <v/>
      </c>
      <c r="BW122" s="922" t="str">
        <f t="shared" si="83"/>
        <v/>
      </c>
      <c r="BY122" s="208">
        <f>ROUND(IF(A122="Dev",IF(AND(BK122&gt;general!$D$23,SUM($BZ$6:$BZ121)&lt;1,financing!$L$15&gt;BH121+BF122),financing!$L$16*(BK122-BK121)/360*(financing!$L$15-BH121-BF122),0),0),-2)</f>
        <v>0</v>
      </c>
      <c r="BZ122" s="909">
        <f>+IF(AND(BH122&gt;=financing!$L$15,SUM(BZ$6:BZ121)=0),1,0)</f>
        <v>0</v>
      </c>
      <c r="CA122" s="950">
        <f t="shared" si="99"/>
        <v>0</v>
      </c>
      <c r="CD122" s="909">
        <f>SUM($S$6:S122)</f>
        <v>4000000</v>
      </c>
      <c r="CF122" s="208">
        <f>+IF(C122&lt;general!$C$22,0,IF(AND(C122=general!$C$22,OR(A122="Pred",A122="Dev")),SUM(S$6:S122),S122))</f>
        <v>0</v>
      </c>
    </row>
    <row r="123" spans="1:84" ht="16" hidden="1" outlineLevel="2">
      <c r="A123" s="906" t="str">
        <f>+'Development Cash Flow'!A123</f>
        <v>post dev</v>
      </c>
      <c r="B123" s="908"/>
      <c r="C123" s="944">
        <f>IF('Development Cash Flow'!D122&lt;general!$D$28,'Development Cash Flow'!C122+1,0)</f>
        <v>0</v>
      </c>
      <c r="D123" s="945">
        <f t="shared" si="23"/>
        <v>49826</v>
      </c>
      <c r="E123" s="945"/>
      <c r="F123" s="928">
        <f>'Development Cash Flow'!P123*D$4+SUM('Development Cash Flow'!Q123:T123)*F$4</f>
        <v>0</v>
      </c>
      <c r="G123" s="928">
        <f>'Development Cash Flow'!AL123-F123</f>
        <v>0</v>
      </c>
      <c r="H123" s="928"/>
      <c r="I123" s="928"/>
      <c r="J123" s="931">
        <f>+financing!$D$54/12*reserves!BD122</f>
        <v>0</v>
      </c>
      <c r="K123" s="928">
        <f>IF(C123=0,0,IF(C123=sales!$D$32,financing!$E$12*financing!$F$11,IF(OR(C123&gt;general!$C$27,C123&lt;sales!$D$32),0,IF((C123-sales!$D$32)/12=ROUND((C123-sales!$D$32)/12,0),financing!$E$12*financing!$F$11,0))))</f>
        <v>0</v>
      </c>
      <c r="L123" s="928"/>
      <c r="M123" s="928">
        <f t="shared" si="73"/>
        <v>0</v>
      </c>
      <c r="N123" s="946"/>
      <c r="O123" s="946">
        <f>IF(D123=general!$D$21,financing!$F$30,0)</f>
        <v>0</v>
      </c>
      <c r="P123" s="946">
        <f>+MIN(IF(D123&lt;=general!$D$24,SUM(F$6:F123)-SUM(P$6:P122),reserves!F123),AR122)</f>
        <v>0</v>
      </c>
      <c r="Q123" s="946">
        <f>+MAX(MIN(SUM(G$6:$G123)-R123,AN122,SUM(G$6:$G123)-SUM(Q$6:Q122)),0)</f>
        <v>0</v>
      </c>
      <c r="R123" s="946">
        <f>+IF(C123&gt;=sales!$D$36,'Development Cash Flow'!AL123,0)</f>
        <v>0</v>
      </c>
      <c r="S123" s="931">
        <f>IF(AND(A123=$A$5,C123&lt;financing!$D$55),M123-SUM(P123:R123,O123),MIN(M123-SUM(P123:R123,O123),financing!$F$10-SUM(S$5:S122)))</f>
        <v>0</v>
      </c>
      <c r="T123" s="931">
        <f>+MAX(MIN(IF(C123&gt;=financing!$D$55,M123-SUM(P123:S123)-J123,0),financing!$D$57-SUM(T$5:T122)),0)</f>
        <v>0</v>
      </c>
      <c r="U123" s="931">
        <f>+MAX(IF(C123&gt;=general!$C$23,M123-SUM(P123:T123),0)+IF(C123=general!$C$23,reserves!AZ122+AY123,0),0)</f>
        <v>0</v>
      </c>
      <c r="V123" s="946"/>
      <c r="W123" s="946">
        <f>SUMPRODUCT(--($C123=sales!$C$50:$C$54),sales!$F$50:$F$54)</f>
        <v>0</v>
      </c>
      <c r="X123" s="946">
        <f t="shared" si="87"/>
        <v>0</v>
      </c>
      <c r="Y123" s="946">
        <f t="shared" si="74"/>
        <v>0</v>
      </c>
      <c r="Z123" s="946">
        <f t="shared" si="88"/>
        <v>0</v>
      </c>
      <c r="AA123" s="946"/>
      <c r="AB123" s="932">
        <f>IF(C123=sales!$D$22,sales!$I$22,0)+IF(C123=sales!$D$23,sales!$I$23,0)+IF(C123=sales!$D$24,sales!$I$24,0)+IF(C123=sales!$D$25,sales!$I$25,0)+IF(C123=sales!$D$26,sales!$I$26,0)+IF(C123=sales!$D$27,sales!$I$27,0)</f>
        <v>0</v>
      </c>
      <c r="AC123" s="946"/>
      <c r="AD123" s="931">
        <f t="shared" si="75"/>
        <v>0</v>
      </c>
      <c r="AE123" s="932"/>
      <c r="AF123" s="932">
        <f t="shared" si="71"/>
        <v>0</v>
      </c>
      <c r="AG123" s="932">
        <f t="shared" si="72"/>
        <v>0</v>
      </c>
      <c r="AH123" s="931">
        <f t="shared" si="97"/>
        <v>0</v>
      </c>
      <c r="AI123" s="932"/>
      <c r="AJ123" s="931">
        <f t="shared" si="98"/>
        <v>0</v>
      </c>
      <c r="AK123" s="946"/>
      <c r="AL123" s="947">
        <f>+IF(financing!$C$12="YES",'Development Cash Flow'!M123,0)</f>
        <v>0</v>
      </c>
      <c r="AM123" s="947">
        <f t="shared" si="76"/>
        <v>0</v>
      </c>
      <c r="AN123" s="947">
        <f t="shared" si="89"/>
        <v>0</v>
      </c>
      <c r="AO123" s="946"/>
      <c r="AP123" s="947">
        <f>+SUM('Development Cash Flow'!G123:J123)-'Development Cash Flow'!M123</f>
        <v>0</v>
      </c>
      <c r="AQ123" s="947">
        <f t="shared" si="77"/>
        <v>0</v>
      </c>
      <c r="AR123" s="947">
        <f t="shared" si="90"/>
        <v>0</v>
      </c>
      <c r="AS123" s="946"/>
      <c r="AT123" s="947">
        <f t="shared" si="91"/>
        <v>0</v>
      </c>
      <c r="AU123" s="947">
        <f t="shared" si="92"/>
        <v>0</v>
      </c>
      <c r="AV123" s="948">
        <f t="shared" si="93"/>
        <v>0</v>
      </c>
      <c r="AW123" s="946"/>
      <c r="AX123" s="947">
        <f t="shared" si="78"/>
        <v>0</v>
      </c>
      <c r="AY123" s="947">
        <f>+AZ122*financing!$E$30/12</f>
        <v>0</v>
      </c>
      <c r="AZ123" s="947">
        <f t="shared" si="94"/>
        <v>0</v>
      </c>
      <c r="BA123" s="946"/>
      <c r="BB123" s="947">
        <f t="shared" si="79"/>
        <v>0</v>
      </c>
      <c r="BC123" s="947">
        <f>+IF(AND(BD122+BB123+MAX(BD122*financing!$E$15/12,financing!$D$59-SUM(reserves!BC$6:BC122)-SUM(J$6:J123))-reserves!AD123&lt;=0,financing!$D$58&gt;=0),MAX(BD122*financing!$E$15/12,financing!$D$59-SUM(reserves!BC$6:BC122)-SUM(J$6:J123)),BD122*financing!$E$15/12)</f>
        <v>0</v>
      </c>
      <c r="BD123" s="947">
        <f t="shared" si="67"/>
        <v>0</v>
      </c>
      <c r="BE123" s="946"/>
      <c r="BF123" s="947">
        <f t="shared" si="95"/>
        <v>0</v>
      </c>
      <c r="BG123" s="947">
        <f>+IF(AND(BH122+BF123+MAX((BH122*(LIBOR!AA124)*(D123-D122)/360)+BY123,financing!$C$16-SUM(reserves!BG$6:BG122))-reserves!AD123&lt;=0,financing!$L$17&gt;=0),MAX((BH122*(LIBOR!AA124)*(D123-D122)/360)+BY123,financing!$C$16-SUM(reserves!BG$6:BG122)),(BH122*(LIBOR!AA124)*(D123-D122)/360)+BY123)</f>
        <v>0</v>
      </c>
      <c r="BH123" s="947">
        <f t="shared" si="96"/>
        <v>0</v>
      </c>
      <c r="BI123" s="946"/>
      <c r="BJ123" s="937"/>
      <c r="BK123" s="938">
        <f t="shared" si="84"/>
        <v>0</v>
      </c>
      <c r="BL123" s="939">
        <f>-S123+AJ123+AF123-AX123+AH123+AG123-BB123-BF123+'Development Cash Flow'!Y123</f>
        <v>0</v>
      </c>
      <c r="BM123" s="940"/>
      <c r="BN123" s="941">
        <f t="shared" si="80"/>
        <v>0</v>
      </c>
      <c r="BO123" s="940"/>
      <c r="BP123" s="942">
        <f t="shared" si="81"/>
        <v>0</v>
      </c>
      <c r="BS123" s="949" t="e">
        <f t="shared" si="85"/>
        <v>#DIV/0!</v>
      </c>
      <c r="BT123" s="922">
        <f>+IF(SUM(BT$5:BT122)&lt;1,IF(BU123=MAX($BU$6:$BU$54),1,0),0)</f>
        <v>0</v>
      </c>
      <c r="BU123" s="922">
        <f t="shared" si="86"/>
        <v>4000000</v>
      </c>
      <c r="BV123" s="943" t="str">
        <f t="shared" si="82"/>
        <v/>
      </c>
      <c r="BW123" s="922" t="str">
        <f t="shared" si="83"/>
        <v/>
      </c>
      <c r="BY123" s="208">
        <f>ROUND(IF(A123="Dev",IF(AND(BK123&gt;general!$D$23,SUM($BZ$6:$BZ122)&lt;1,financing!$L$15&gt;BH122+BF123),financing!$L$16*(BK123-BK122)/360*(financing!$L$15-BH122-BF123),0),0),-2)</f>
        <v>0</v>
      </c>
      <c r="BZ123" s="909">
        <f>+IF(AND(BH123&gt;=financing!$L$15,SUM(BZ$6:BZ122)=0),1,0)</f>
        <v>0</v>
      </c>
      <c r="CA123" s="950">
        <f t="shared" si="99"/>
        <v>0</v>
      </c>
      <c r="CD123" s="909">
        <f>SUM($S$6:S123)</f>
        <v>4000000</v>
      </c>
      <c r="CF123" s="208">
        <f>+IF(C123&lt;general!$C$22,0,IF(AND(C123=general!$C$22,OR(A123="Pred",A123="Dev")),SUM(S$6:S123),S123))</f>
        <v>0</v>
      </c>
    </row>
    <row r="124" spans="1:84" ht="16" hidden="1" outlineLevel="2">
      <c r="A124" s="906" t="str">
        <f>+'Development Cash Flow'!A124</f>
        <v>post dev</v>
      </c>
      <c r="B124" s="908"/>
      <c r="C124" s="944">
        <f>IF('Development Cash Flow'!D123&lt;general!$D$28,'Development Cash Flow'!C123+1,0)</f>
        <v>0</v>
      </c>
      <c r="D124" s="945">
        <f t="shared" si="23"/>
        <v>49856</v>
      </c>
      <c r="E124" s="945"/>
      <c r="F124" s="928">
        <f>'Development Cash Flow'!P124*D$4+SUM('Development Cash Flow'!Q124:T124)*F$4</f>
        <v>0</v>
      </c>
      <c r="G124" s="928">
        <f>'Development Cash Flow'!AL124-F124</f>
        <v>0</v>
      </c>
      <c r="H124" s="928"/>
      <c r="I124" s="928"/>
      <c r="J124" s="931">
        <f>+financing!$D$54/12*reserves!BD123</f>
        <v>0</v>
      </c>
      <c r="K124" s="928">
        <f>IF(C124=0,0,IF(C124=sales!$D$32,financing!$E$12*financing!$F$11,IF(OR(C124&gt;general!$C$27,C124&lt;sales!$D$32),0,IF((C124-sales!$D$32)/12=ROUND((C124-sales!$D$32)/12,0),financing!$E$12*financing!$F$11,0))))</f>
        <v>0</v>
      </c>
      <c r="L124" s="928"/>
      <c r="M124" s="928">
        <f t="shared" si="73"/>
        <v>0</v>
      </c>
      <c r="N124" s="946"/>
      <c r="O124" s="946">
        <f>IF(D124=general!$D$21,financing!$F$30,0)</f>
        <v>0</v>
      </c>
      <c r="P124" s="946">
        <f>+MIN(IF(D124&lt;=general!$D$24,SUM(F$6:F124)-SUM(P$6:P123),reserves!F124),AR123)</f>
        <v>0</v>
      </c>
      <c r="Q124" s="946">
        <f>+MAX(MIN(SUM(G$6:$G124)-R124,AN123,SUM(G$6:$G124)-SUM(Q$6:Q123)),0)</f>
        <v>0</v>
      </c>
      <c r="R124" s="946">
        <f>+IF(C124&gt;=sales!$D$36,'Development Cash Flow'!AL124,0)</f>
        <v>0</v>
      </c>
      <c r="S124" s="931">
        <f>IF(AND(A124=$A$5,C124&lt;financing!$D$55),M124-SUM(P124:R124,O124),MIN(M124-SUM(P124:R124,O124),financing!$F$10-SUM(S$5:S123)))</f>
        <v>0</v>
      </c>
      <c r="T124" s="931">
        <f>+MAX(MIN(IF(C124&gt;=financing!$D$55,M124-SUM(P124:S124)-J124,0),financing!$D$57-SUM(T$5:T123)),0)</f>
        <v>0</v>
      </c>
      <c r="U124" s="931">
        <f>+MAX(IF(C124&gt;=general!$C$23,M124-SUM(P124:T124),0)+IF(C124=general!$C$23,reserves!AZ123+AY124,0),0)</f>
        <v>0</v>
      </c>
      <c r="V124" s="946"/>
      <c r="W124" s="946">
        <f>SUMPRODUCT(--($C124=sales!$C$50:$C$54),sales!$F$50:$F$54)</f>
        <v>0</v>
      </c>
      <c r="X124" s="946">
        <f t="shared" si="87"/>
        <v>0</v>
      </c>
      <c r="Y124" s="946">
        <f t="shared" si="74"/>
        <v>0</v>
      </c>
      <c r="Z124" s="946">
        <f t="shared" si="88"/>
        <v>0</v>
      </c>
      <c r="AA124" s="946"/>
      <c r="AB124" s="932">
        <f>IF(C124=sales!$D$22,sales!$I$22,0)+IF(C124=sales!$D$23,sales!$I$23,0)+IF(C124=sales!$D$24,sales!$I$24,0)+IF(C124=sales!$D$25,sales!$I$25,0)+IF(C124=sales!$D$26,sales!$I$26,0)+IF(C124=sales!$D$27,sales!$I$27,0)</f>
        <v>0</v>
      </c>
      <c r="AC124" s="946"/>
      <c r="AD124" s="931">
        <f t="shared" si="75"/>
        <v>0</v>
      </c>
      <c r="AE124" s="932"/>
      <c r="AF124" s="932">
        <f t="shared" si="71"/>
        <v>0</v>
      </c>
      <c r="AG124" s="932">
        <f t="shared" si="72"/>
        <v>0</v>
      </c>
      <c r="AH124" s="931">
        <f t="shared" si="97"/>
        <v>0</v>
      </c>
      <c r="AI124" s="932"/>
      <c r="AJ124" s="931">
        <f t="shared" si="98"/>
        <v>0</v>
      </c>
      <c r="AK124" s="946"/>
      <c r="AL124" s="947">
        <f>+IF(financing!$C$12="YES",'Development Cash Flow'!M124,0)</f>
        <v>0</v>
      </c>
      <c r="AM124" s="947">
        <f t="shared" si="76"/>
        <v>0</v>
      </c>
      <c r="AN124" s="947">
        <f t="shared" si="89"/>
        <v>0</v>
      </c>
      <c r="AO124" s="946"/>
      <c r="AP124" s="947">
        <f>+SUM('Development Cash Flow'!G124:J124)-'Development Cash Flow'!M124</f>
        <v>0</v>
      </c>
      <c r="AQ124" s="947">
        <f t="shared" si="77"/>
        <v>0</v>
      </c>
      <c r="AR124" s="947">
        <f t="shared" si="90"/>
        <v>0</v>
      </c>
      <c r="AS124" s="946"/>
      <c r="AT124" s="947">
        <f t="shared" si="91"/>
        <v>0</v>
      </c>
      <c r="AU124" s="947">
        <f t="shared" si="92"/>
        <v>0</v>
      </c>
      <c r="AV124" s="948">
        <f t="shared" si="93"/>
        <v>0</v>
      </c>
      <c r="AW124" s="946"/>
      <c r="AX124" s="947">
        <f t="shared" si="78"/>
        <v>0</v>
      </c>
      <c r="AY124" s="947">
        <f>+AZ123*financing!$E$30/12</f>
        <v>0</v>
      </c>
      <c r="AZ124" s="947">
        <f t="shared" si="94"/>
        <v>0</v>
      </c>
      <c r="BA124" s="946"/>
      <c r="BB124" s="947">
        <f t="shared" si="79"/>
        <v>0</v>
      </c>
      <c r="BC124" s="947">
        <f>+IF(AND(BD123+BB124+MAX(BD123*financing!$E$15/12,financing!$D$59-SUM(reserves!BC$6:BC123)-SUM(J$6:J124))-reserves!AD124&lt;=0,financing!$D$58&gt;=0),MAX(BD123*financing!$E$15/12,financing!$D$59-SUM(reserves!BC$6:BC123)-SUM(J$6:J124)),BD123*financing!$E$15/12)</f>
        <v>0</v>
      </c>
      <c r="BD124" s="947">
        <f t="shared" si="67"/>
        <v>0</v>
      </c>
      <c r="BE124" s="946"/>
      <c r="BF124" s="947">
        <f t="shared" si="95"/>
        <v>0</v>
      </c>
      <c r="BG124" s="947">
        <f>+IF(AND(BH123+BF124+MAX((BH123*(LIBOR!AA125)*(D124-D123)/360)+BY124,financing!$C$16-SUM(reserves!BG$6:BG123))-reserves!AD124&lt;=0,financing!$L$17&gt;=0),MAX((BH123*(LIBOR!AA125)*(D124-D123)/360)+BY124,financing!$C$16-SUM(reserves!BG$6:BG123)),(BH123*(LIBOR!AA125)*(D124-D123)/360)+BY124)</f>
        <v>0</v>
      </c>
      <c r="BH124" s="947">
        <f t="shared" si="96"/>
        <v>0</v>
      </c>
      <c r="BI124" s="946"/>
      <c r="BJ124" s="937"/>
      <c r="BK124" s="938">
        <f t="shared" si="84"/>
        <v>0</v>
      </c>
      <c r="BL124" s="939">
        <f>-S124+AJ124+AF124-AX124+AH124+AG124-BB124-BF124+'Development Cash Flow'!Y124</f>
        <v>0</v>
      </c>
      <c r="BM124" s="940"/>
      <c r="BN124" s="941">
        <f t="shared" si="80"/>
        <v>0</v>
      </c>
      <c r="BO124" s="940"/>
      <c r="BP124" s="942">
        <f t="shared" si="81"/>
        <v>0</v>
      </c>
      <c r="BS124" s="949" t="e">
        <f t="shared" si="85"/>
        <v>#DIV/0!</v>
      </c>
      <c r="BT124" s="922">
        <f>+IF(SUM(BT$5:BT123)&lt;1,IF(BU124=MAX($BU$6:$BU$54),1,0),0)</f>
        <v>0</v>
      </c>
      <c r="BU124" s="922">
        <f t="shared" si="86"/>
        <v>4000000</v>
      </c>
      <c r="BV124" s="943" t="str">
        <f t="shared" si="82"/>
        <v/>
      </c>
      <c r="BW124" s="922" t="str">
        <f t="shared" si="83"/>
        <v/>
      </c>
      <c r="BY124" s="208">
        <f>ROUND(IF(A124="Dev",IF(AND(BK124&gt;general!$D$23,SUM($BZ$6:$BZ123)&lt;1,financing!$L$15&gt;BH123+BF124),financing!$L$16*(BK124-BK123)/360*(financing!$L$15-BH123-BF124),0),0),-2)</f>
        <v>0</v>
      </c>
      <c r="BZ124" s="909">
        <f>+IF(AND(BH124&gt;=financing!$L$15,SUM(BZ$6:BZ123)=0),1,0)</f>
        <v>0</v>
      </c>
      <c r="CA124" s="950">
        <f t="shared" si="99"/>
        <v>0</v>
      </c>
      <c r="CD124" s="909">
        <f>SUM($S$6:S124)</f>
        <v>4000000</v>
      </c>
      <c r="CF124" s="208">
        <f>+IF(C124&lt;general!$C$22,0,IF(AND(C124=general!$C$22,OR(A124="Pred",A124="Dev")),SUM(S$6:S124),S124))</f>
        <v>0</v>
      </c>
    </row>
    <row r="125" spans="1:84" ht="16" hidden="1" outlineLevel="2">
      <c r="A125" s="906" t="str">
        <f>+'Development Cash Flow'!A125</f>
        <v>post dev</v>
      </c>
      <c r="B125" s="908"/>
      <c r="C125" s="944">
        <f>IF('Development Cash Flow'!D124&lt;general!$D$28,'Development Cash Flow'!C124+1,0)</f>
        <v>0</v>
      </c>
      <c r="D125" s="945">
        <f t="shared" si="23"/>
        <v>49887</v>
      </c>
      <c r="E125" s="945"/>
      <c r="F125" s="928">
        <f>'Development Cash Flow'!P125*D$4+SUM('Development Cash Flow'!Q125:T125)*F$4</f>
        <v>0</v>
      </c>
      <c r="G125" s="928">
        <f>'Development Cash Flow'!AL125-F125</f>
        <v>0</v>
      </c>
      <c r="H125" s="928"/>
      <c r="I125" s="928"/>
      <c r="J125" s="931">
        <f>+financing!$D$54/12*reserves!BD124</f>
        <v>0</v>
      </c>
      <c r="K125" s="928">
        <f>IF(C125=0,0,IF(C125=sales!$D$32,financing!$E$12*financing!$F$11,IF(OR(C125&gt;general!$C$27,C125&lt;sales!$D$32),0,IF((C125-sales!$D$32)/12=ROUND((C125-sales!$D$32)/12,0),financing!$E$12*financing!$F$11,0))))</f>
        <v>0</v>
      </c>
      <c r="L125" s="928"/>
      <c r="M125" s="928">
        <f t="shared" si="73"/>
        <v>0</v>
      </c>
      <c r="N125" s="946"/>
      <c r="O125" s="946">
        <f>IF(D125=general!$D$21,financing!$F$30,0)</f>
        <v>0</v>
      </c>
      <c r="P125" s="946">
        <f>+MIN(IF(D125&lt;=general!$D$24,SUM(F$6:F125)-SUM(P$6:P124),reserves!F125),AR124)</f>
        <v>0</v>
      </c>
      <c r="Q125" s="946">
        <f>+MAX(MIN(SUM(G$6:$G125)-R125,AN124,SUM(G$6:$G125)-SUM(Q$6:Q124)),0)</f>
        <v>0</v>
      </c>
      <c r="R125" s="946">
        <f>+IF(C125&gt;=sales!$D$36,'Development Cash Flow'!AL125,0)</f>
        <v>0</v>
      </c>
      <c r="S125" s="931">
        <f>IF(AND(A125=$A$5,C125&lt;financing!$D$55),M125-SUM(P125:R125,O125),MIN(M125-SUM(P125:R125,O125),financing!$F$10-SUM(S$5:S124)))</f>
        <v>0</v>
      </c>
      <c r="T125" s="931">
        <f>+MAX(MIN(IF(C125&gt;=financing!$D$55,M125-SUM(P125:S125)-J125,0),financing!$D$57-SUM(T$5:T124)),0)</f>
        <v>0</v>
      </c>
      <c r="U125" s="931">
        <f>+MAX(IF(C125&gt;=general!$C$23,M125-SUM(P125:T125),0)+IF(C125=general!$C$23,reserves!AZ124+AY125,0),0)</f>
        <v>0</v>
      </c>
      <c r="V125" s="946"/>
      <c r="W125" s="946">
        <f>SUMPRODUCT(--($C125=sales!$C$50:$C$54),sales!$F$50:$F$54)</f>
        <v>0</v>
      </c>
      <c r="X125" s="946">
        <f t="shared" si="87"/>
        <v>0</v>
      </c>
      <c r="Y125" s="946">
        <f t="shared" si="74"/>
        <v>0</v>
      </c>
      <c r="Z125" s="946">
        <f t="shared" si="88"/>
        <v>0</v>
      </c>
      <c r="AA125" s="946"/>
      <c r="AB125" s="932">
        <f>IF(C125=sales!$D$22,sales!$I$22,0)+IF(C125=sales!$D$23,sales!$I$23,0)+IF(C125=sales!$D$24,sales!$I$24,0)+IF(C125=sales!$D$25,sales!$I$25,0)+IF(C125=sales!$D$26,sales!$I$26,0)+IF(C125=sales!$D$27,sales!$I$27,0)</f>
        <v>0</v>
      </c>
      <c r="AC125" s="946"/>
      <c r="AD125" s="931">
        <f t="shared" si="75"/>
        <v>0</v>
      </c>
      <c r="AE125" s="932"/>
      <c r="AF125" s="932">
        <f t="shared" si="71"/>
        <v>0</v>
      </c>
      <c r="AG125" s="932">
        <f t="shared" si="72"/>
        <v>0</v>
      </c>
      <c r="AH125" s="931">
        <f t="shared" si="97"/>
        <v>0</v>
      </c>
      <c r="AI125" s="932"/>
      <c r="AJ125" s="931">
        <f t="shared" si="98"/>
        <v>0</v>
      </c>
      <c r="AK125" s="946"/>
      <c r="AL125" s="947">
        <f>+IF(financing!$C$12="YES",'Development Cash Flow'!M125,0)</f>
        <v>0</v>
      </c>
      <c r="AM125" s="947">
        <f t="shared" si="76"/>
        <v>0</v>
      </c>
      <c r="AN125" s="947">
        <f t="shared" si="89"/>
        <v>0</v>
      </c>
      <c r="AO125" s="946"/>
      <c r="AP125" s="947">
        <f>+SUM('Development Cash Flow'!G125:J125)-'Development Cash Flow'!M125</f>
        <v>0</v>
      </c>
      <c r="AQ125" s="947">
        <f t="shared" si="77"/>
        <v>0</v>
      </c>
      <c r="AR125" s="947">
        <f t="shared" si="90"/>
        <v>0</v>
      </c>
      <c r="AS125" s="946"/>
      <c r="AT125" s="947">
        <f t="shared" si="91"/>
        <v>0</v>
      </c>
      <c r="AU125" s="947">
        <f t="shared" si="92"/>
        <v>0</v>
      </c>
      <c r="AV125" s="948">
        <f t="shared" si="93"/>
        <v>0</v>
      </c>
      <c r="AW125" s="946"/>
      <c r="AX125" s="947">
        <f t="shared" si="78"/>
        <v>0</v>
      </c>
      <c r="AY125" s="947">
        <f>+AZ124*financing!$E$30/12</f>
        <v>0</v>
      </c>
      <c r="AZ125" s="947">
        <f t="shared" si="94"/>
        <v>0</v>
      </c>
      <c r="BA125" s="946"/>
      <c r="BB125" s="947">
        <f t="shared" si="79"/>
        <v>0</v>
      </c>
      <c r="BC125" s="947">
        <f>+IF(AND(BD124+BB125+MAX(BD124*financing!$E$15/12,financing!$D$59-SUM(reserves!BC$6:BC124)-SUM(J$6:J125))-reserves!AD125&lt;=0,financing!$D$58&gt;=0),MAX(BD124*financing!$E$15/12,financing!$D$59-SUM(reserves!BC$6:BC124)-SUM(J$6:J125)),BD124*financing!$E$15/12)</f>
        <v>0</v>
      </c>
      <c r="BD125" s="947">
        <f t="shared" si="67"/>
        <v>0</v>
      </c>
      <c r="BE125" s="946"/>
      <c r="BF125" s="947">
        <f t="shared" si="95"/>
        <v>0</v>
      </c>
      <c r="BG125" s="947">
        <f>+IF(AND(BH124+BF125+MAX((BH124*(LIBOR!AA126)*(D125-D124)/360)+BY125,financing!$C$16-SUM(reserves!BG$6:BG124))-reserves!AD125&lt;=0,financing!$L$17&gt;=0),MAX((BH124*(LIBOR!AA126)*(D125-D124)/360)+BY125,financing!$C$16-SUM(reserves!BG$6:BG124)),(BH124*(LIBOR!AA126)*(D125-D124)/360)+BY125)</f>
        <v>0</v>
      </c>
      <c r="BH125" s="947">
        <f t="shared" si="96"/>
        <v>0</v>
      </c>
      <c r="BI125" s="946"/>
      <c r="BJ125" s="937"/>
      <c r="BK125" s="938">
        <f t="shared" si="84"/>
        <v>0</v>
      </c>
      <c r="BL125" s="939">
        <f>-S125+AJ125+AF125-AX125+AH125+AG125-BB125-BF125+'Development Cash Flow'!Y125</f>
        <v>0</v>
      </c>
      <c r="BM125" s="940"/>
      <c r="BN125" s="941">
        <f t="shared" si="80"/>
        <v>0</v>
      </c>
      <c r="BO125" s="940"/>
      <c r="BP125" s="942">
        <f t="shared" si="81"/>
        <v>0</v>
      </c>
      <c r="BS125" s="949" t="e">
        <f t="shared" si="85"/>
        <v>#DIV/0!</v>
      </c>
      <c r="BT125" s="922">
        <f>+IF(SUM(BT$5:BT124)&lt;1,IF(BU125=MAX($BU$6:$BU$54),1,0),0)</f>
        <v>0</v>
      </c>
      <c r="BU125" s="922">
        <f t="shared" si="86"/>
        <v>4000000</v>
      </c>
      <c r="BV125" s="943" t="str">
        <f t="shared" si="82"/>
        <v/>
      </c>
      <c r="BW125" s="922" t="str">
        <f t="shared" si="83"/>
        <v/>
      </c>
      <c r="BY125" s="208">
        <f>ROUND(IF(A125="Dev",IF(AND(BK125&gt;general!$D$23,SUM($BZ$6:$BZ124)&lt;1,financing!$L$15&gt;BH124+BF125),financing!$L$16*(BK125-BK124)/360*(financing!$L$15-BH124-BF125),0),0),-2)</f>
        <v>0</v>
      </c>
      <c r="BZ125" s="909">
        <f>+IF(AND(BH125&gt;=financing!$L$15,SUM(BZ$6:BZ124)=0),1,0)</f>
        <v>0</v>
      </c>
      <c r="CA125" s="950">
        <f t="shared" si="99"/>
        <v>0</v>
      </c>
      <c r="CD125" s="909">
        <f>SUM($S$6:S125)</f>
        <v>4000000</v>
      </c>
      <c r="CF125" s="208">
        <f>+IF(C125&lt;general!$C$22,0,IF(AND(C125=general!$C$22,OR(A125="Pred",A125="Dev")),SUM(S$6:S125),S125))</f>
        <v>0</v>
      </c>
    </row>
    <row r="126" spans="1:84" ht="16" hidden="1" outlineLevel="2">
      <c r="A126" s="907" t="str">
        <f>+'Development Cash Flow'!A126</f>
        <v>post dev</v>
      </c>
      <c r="B126" s="908"/>
      <c r="C126" s="953">
        <f>IF('Development Cash Flow'!D125&lt;general!$D$28,'Development Cash Flow'!C125+1,0)</f>
        <v>0</v>
      </c>
      <c r="D126" s="954">
        <f>EOMONTH(D125,1)</f>
        <v>49918</v>
      </c>
      <c r="E126" s="954"/>
      <c r="F126" s="955">
        <f>'Development Cash Flow'!P126*D$4+SUM('Development Cash Flow'!Q126:T126)*F$4</f>
        <v>0</v>
      </c>
      <c r="G126" s="955">
        <f>'Development Cash Flow'!AL126-F126</f>
        <v>0</v>
      </c>
      <c r="H126" s="955"/>
      <c r="I126" s="955"/>
      <c r="J126" s="956">
        <f>+financing!$D$54/12*reserves!BD125</f>
        <v>0</v>
      </c>
      <c r="K126" s="955">
        <f>IF(C126=0,0,IF(C126=sales!$D$32,financing!$E$12*financing!$F$11,IF(OR(C126&gt;general!$C$27,C126&lt;sales!$D$32),0,IF((C126-sales!$D$32)/12=ROUND((C126-sales!$D$32)/12,0),financing!$E$12*financing!$F$11,0))))</f>
        <v>0</v>
      </c>
      <c r="L126" s="955"/>
      <c r="M126" s="955">
        <f t="shared" si="73"/>
        <v>0</v>
      </c>
      <c r="N126" s="957"/>
      <c r="O126" s="957">
        <f>IF(D126=general!$D$21,financing!$F$30,0)</f>
        <v>0</v>
      </c>
      <c r="P126" s="946">
        <f>+MIN(IF(D126&lt;=general!$D$24,SUM(F$6:F126)-SUM(P$6:P125),reserves!F126),AR125)</f>
        <v>0</v>
      </c>
      <c r="Q126" s="946">
        <f>+MAX(MIN(SUM(G$6:$G126)-R126,AN125,SUM(G$6:$G126)-SUM(Q$6:Q125)),0)</f>
        <v>0</v>
      </c>
      <c r="R126" s="957">
        <f>+IF(C126&gt;=sales!$D$36,'Development Cash Flow'!AL126,0)</f>
        <v>0</v>
      </c>
      <c r="S126" s="956">
        <f>IF(AND(A126=$A$5,C126&lt;financing!$D$55),M126-SUM(P126:R126,O126),MIN(M126-SUM(P126:R126,O126),financing!$F$10-SUM(S$5:S125)))</f>
        <v>0</v>
      </c>
      <c r="T126" s="956">
        <f>+MAX(MIN(IF(C126&gt;=financing!$D$55,M126-SUM(P126:S126)-J126,0),financing!$D$57-SUM(T$5:T125)),0)</f>
        <v>0</v>
      </c>
      <c r="U126" s="956">
        <f>+MAX(IF(C126&gt;=general!$C$23,M126-SUM(P126:T126),0)+IF(C126=general!$C$23,reserves!AZ125+AY126,0),0)</f>
        <v>0</v>
      </c>
      <c r="V126" s="957"/>
      <c r="W126" s="957">
        <f>SUMPRODUCT(--($C126=sales!$C$50:$C$54),sales!$F$50:$F$54)</f>
        <v>0</v>
      </c>
      <c r="X126" s="957">
        <f t="shared" si="87"/>
        <v>0</v>
      </c>
      <c r="Y126" s="957">
        <f t="shared" si="74"/>
        <v>0</v>
      </c>
      <c r="Z126" s="957">
        <f t="shared" si="88"/>
        <v>0</v>
      </c>
      <c r="AA126" s="957"/>
      <c r="AB126" s="958">
        <f>IF(C126=sales!$D$22,sales!$I$22,0)+IF(C126=sales!$D$23,sales!$I$23,0)+IF(C126=sales!$D$24,sales!$I$24,0)+IF(C126=sales!$D$25,sales!$I$25,0)+IF(C126=sales!$D$26,sales!$I$26,0)+IF(C126=sales!$D$27,sales!$I$27,0)</f>
        <v>0</v>
      </c>
      <c r="AC126" s="957"/>
      <c r="AD126" s="956">
        <f t="shared" si="75"/>
        <v>0</v>
      </c>
      <c r="AE126" s="958"/>
      <c r="AF126" s="958">
        <f t="shared" si="71"/>
        <v>0</v>
      </c>
      <c r="AG126" s="958">
        <f t="shared" si="72"/>
        <v>0</v>
      </c>
      <c r="AH126" s="956">
        <f t="shared" si="97"/>
        <v>0</v>
      </c>
      <c r="AI126" s="958"/>
      <c r="AJ126" s="956">
        <f t="shared" si="98"/>
        <v>0</v>
      </c>
      <c r="AK126" s="957"/>
      <c r="AL126" s="959">
        <f>+IF(financing!$C$12="YES",'Development Cash Flow'!M126,0)</f>
        <v>0</v>
      </c>
      <c r="AM126" s="959">
        <f t="shared" si="76"/>
        <v>0</v>
      </c>
      <c r="AN126" s="959">
        <f t="shared" si="89"/>
        <v>0</v>
      </c>
      <c r="AO126" s="957"/>
      <c r="AP126" s="959">
        <f>+SUM('Development Cash Flow'!G126:J126)-'Development Cash Flow'!M126</f>
        <v>0</v>
      </c>
      <c r="AQ126" s="959">
        <f t="shared" si="77"/>
        <v>0</v>
      </c>
      <c r="AR126" s="959">
        <f t="shared" si="90"/>
        <v>0</v>
      </c>
      <c r="AS126" s="957"/>
      <c r="AT126" s="959">
        <f t="shared" si="91"/>
        <v>0</v>
      </c>
      <c r="AU126" s="959">
        <f t="shared" si="92"/>
        <v>0</v>
      </c>
      <c r="AV126" s="960">
        <f t="shared" si="93"/>
        <v>0</v>
      </c>
      <c r="AW126" s="957"/>
      <c r="AX126" s="959">
        <f t="shared" si="78"/>
        <v>0</v>
      </c>
      <c r="AY126" s="959">
        <f>+AZ125*financing!$E$30/12</f>
        <v>0</v>
      </c>
      <c r="AZ126" s="959">
        <f t="shared" si="94"/>
        <v>0</v>
      </c>
      <c r="BA126" s="957"/>
      <c r="BB126" s="959">
        <f t="shared" si="79"/>
        <v>0</v>
      </c>
      <c r="BC126" s="959">
        <f>+IF(AND(BD125+BB126+MAX(BD125*financing!$E$15/12,financing!$D$59-SUM(reserves!BC$6:BC125)-SUM(J$6:J126))-reserves!AD126&lt;=0,financing!$D$58&gt;=0),MAX(BD125*financing!$E$15/12,financing!$D$59-SUM(reserves!BC$6:BC125)-SUM(J$6:J126)),BD125*financing!$E$15/12)</f>
        <v>0</v>
      </c>
      <c r="BD126" s="959">
        <f t="shared" si="67"/>
        <v>0</v>
      </c>
      <c r="BE126" s="957"/>
      <c r="BF126" s="959">
        <f t="shared" si="95"/>
        <v>0</v>
      </c>
      <c r="BG126" s="947">
        <f>+IF(AND(BH125+BF126+MAX((BH125*(LIBOR!AA127)*(D126-D125)/360)+BY126,financing!$C$16-SUM(reserves!BG$6:BG125))-reserves!AD126&lt;=0,financing!$L$17&gt;=0),MAX((BH125*(LIBOR!AA127)*(D126-D125)/360)+BY126,financing!$C$16-SUM(reserves!BG$6:BG125)),(BH125*(LIBOR!AA127)*(D126-D125)/360)+BY126)</f>
        <v>0</v>
      </c>
      <c r="BH126" s="959">
        <f t="shared" si="96"/>
        <v>0</v>
      </c>
      <c r="BI126" s="957"/>
      <c r="BJ126" s="937"/>
      <c r="BK126" s="938">
        <f t="shared" si="84"/>
        <v>0</v>
      </c>
      <c r="BL126" s="939">
        <f>-S126+AJ126+AF126-AX126+AH126+AG126-BB126-BF126+'Development Cash Flow'!Y126</f>
        <v>0</v>
      </c>
      <c r="BM126" s="940"/>
      <c r="BN126" s="941">
        <f t="shared" si="80"/>
        <v>0</v>
      </c>
      <c r="BO126" s="940"/>
      <c r="BP126" s="942">
        <f t="shared" si="81"/>
        <v>0</v>
      </c>
      <c r="BS126" s="949" t="e">
        <f t="shared" si="85"/>
        <v>#DIV/0!</v>
      </c>
      <c r="BY126" s="208">
        <f>ROUND(IF(A126="Dev",IF(AND(BK126&gt;general!$D$23,SUM($BZ$6:$BZ125)&lt;1,financing!$L$15&gt;BH125+BF126),financing!$L$16*(BK126-BK125)/360*(financing!$L$15-BH125-BF126),0),0),-2)</f>
        <v>0</v>
      </c>
      <c r="BZ126" s="909">
        <f>+IF(AND(BH126&gt;=financing!$L$15,SUM(BZ$6:BZ125)=0),1,0)</f>
        <v>0</v>
      </c>
      <c r="CA126" s="950">
        <f t="shared" si="99"/>
        <v>0</v>
      </c>
      <c r="CD126" s="909">
        <f>SUM($S$6:S126)</f>
        <v>4000000</v>
      </c>
      <c r="CF126" s="208">
        <f>+IF(C126&lt;general!$C$22,0,IF(AND(C126=general!$C$22,OR(A126="Pred",A126="Dev")),SUM(S$6:S126),S126))</f>
        <v>0</v>
      </c>
    </row>
    <row r="127" spans="1:84" outlineLevel="1" collapsed="1">
      <c r="A127" s="199"/>
      <c r="B127" s="908"/>
      <c r="C127" s="961"/>
      <c r="D127" s="962"/>
      <c r="E127" s="962"/>
      <c r="F127" s="963"/>
      <c r="G127" s="963"/>
      <c r="H127" s="963"/>
      <c r="I127" s="963"/>
      <c r="J127" s="963"/>
      <c r="K127" s="963"/>
      <c r="L127" s="963"/>
      <c r="M127" s="963"/>
      <c r="N127" s="963"/>
      <c r="O127" s="963"/>
      <c r="P127" s="963"/>
      <c r="Q127" s="963"/>
      <c r="R127" s="963"/>
      <c r="S127" s="963"/>
      <c r="T127" s="963"/>
      <c r="U127" s="963"/>
      <c r="V127" s="963"/>
      <c r="W127" s="963"/>
      <c r="X127" s="963"/>
      <c r="Y127" s="963"/>
      <c r="Z127" s="963"/>
      <c r="AA127" s="963"/>
      <c r="AB127" s="963"/>
      <c r="AC127" s="963"/>
      <c r="AD127" s="963"/>
      <c r="AE127" s="963"/>
      <c r="AF127" s="963"/>
      <c r="AG127" s="963"/>
      <c r="AH127" s="963"/>
      <c r="AI127" s="963"/>
      <c r="AJ127" s="963"/>
      <c r="AK127" s="963"/>
      <c r="AL127" s="963"/>
      <c r="AM127" s="963"/>
      <c r="AN127" s="963"/>
      <c r="AO127" s="963"/>
      <c r="AP127" s="963"/>
      <c r="AQ127" s="963"/>
      <c r="AR127" s="963"/>
      <c r="AS127" s="963"/>
      <c r="AT127" s="963"/>
      <c r="AU127" s="963"/>
      <c r="AV127" s="963"/>
      <c r="AW127" s="963"/>
      <c r="AX127" s="963"/>
      <c r="AY127" s="963"/>
      <c r="AZ127" s="963"/>
      <c r="BA127" s="963"/>
      <c r="BB127" s="963"/>
      <c r="BC127" s="963"/>
      <c r="BD127" s="963"/>
      <c r="BE127" s="963"/>
      <c r="BF127" s="963"/>
      <c r="BG127" s="963"/>
      <c r="BH127" s="963"/>
      <c r="BI127" s="963"/>
      <c r="BJ127" s="937"/>
      <c r="BK127" s="938"/>
      <c r="BL127" s="964"/>
      <c r="BM127" s="940"/>
      <c r="BN127" s="941"/>
      <c r="BO127" s="940"/>
      <c r="BP127" s="965"/>
      <c r="BY127" s="914">
        <f>SUM(BY7:BY126)</f>
        <v>28700</v>
      </c>
      <c r="CF127" s="914">
        <f>SUM(CF6:CF126)</f>
        <v>4000000</v>
      </c>
    </row>
    <row r="128" spans="1:84" outlineLevel="1">
      <c r="C128" s="211" t="s">
        <v>352</v>
      </c>
      <c r="D128" s="966"/>
      <c r="E128" s="966"/>
      <c r="F128" s="967">
        <f t="shared" ref="F128:K128" si="100">+SUM(F6:F126)</f>
        <v>10057333.114285715</v>
      </c>
      <c r="G128" s="967">
        <f t="shared" si="100"/>
        <v>9078951.9264886286</v>
      </c>
      <c r="H128" s="967">
        <f t="shared" si="100"/>
        <v>0</v>
      </c>
      <c r="I128" s="967">
        <f t="shared" si="100"/>
        <v>0</v>
      </c>
      <c r="J128" s="967">
        <f t="shared" si="100"/>
        <v>0</v>
      </c>
      <c r="K128" s="967">
        <f t="shared" si="100"/>
        <v>24587.64</v>
      </c>
      <c r="L128" s="967"/>
      <c r="M128" s="967">
        <f>+SUM(M6:M126)</f>
        <v>19160872.680774342</v>
      </c>
      <c r="N128" s="967"/>
      <c r="O128" s="967">
        <f t="shared" ref="O128:U128" si="101">+SUM(O6:O126)</f>
        <v>2175000</v>
      </c>
      <c r="P128" s="967">
        <f t="shared" si="101"/>
        <v>2458764</v>
      </c>
      <c r="Q128" s="967">
        <f t="shared" si="101"/>
        <v>819588</v>
      </c>
      <c r="R128" s="967">
        <f t="shared" si="101"/>
        <v>1785226.6</v>
      </c>
      <c r="S128" s="967">
        <f t="shared" si="101"/>
        <v>4000000</v>
      </c>
      <c r="T128" s="967">
        <f>+SUM(T6:T126)</f>
        <v>0</v>
      </c>
      <c r="U128" s="967">
        <f t="shared" si="101"/>
        <v>10485546.695184547</v>
      </c>
      <c r="V128" s="967"/>
      <c r="W128" s="967">
        <f>+SUM(W6:W126)</f>
        <v>27319600</v>
      </c>
      <c r="X128" s="967">
        <f>+SUM(X6:X126)</f>
        <v>-3278352</v>
      </c>
      <c r="Y128" s="967">
        <f>+SUM(Y6:Y126)</f>
        <v>1785226.6</v>
      </c>
      <c r="Z128" s="967">
        <f>+SUM(Z6:Z126)</f>
        <v>22256021.399999999</v>
      </c>
      <c r="AA128" s="967"/>
      <c r="AB128" s="967">
        <f>+SUM(AB6:AB126)</f>
        <v>0</v>
      </c>
      <c r="AC128" s="967"/>
      <c r="AD128" s="967">
        <f>+SUM(AD6:AD126)</f>
        <v>24819274.014410198</v>
      </c>
      <c r="AE128" s="967"/>
      <c r="AF128" s="967">
        <f>+SUM(AF6:AF126)</f>
        <v>2563252.6144101992</v>
      </c>
      <c r="AG128" s="967">
        <f>+SUM(AG6:AG126)</f>
        <v>12019025.981361056</v>
      </c>
      <c r="AH128" s="967">
        <f>+SUM(AH6:AH126)</f>
        <v>0</v>
      </c>
      <c r="AI128" s="967"/>
      <c r="AJ128" s="212">
        <f>SUM(AJ5:AJ127)</f>
        <v>10236995.418638943</v>
      </c>
      <c r="AK128" s="967"/>
      <c r="AL128" s="967">
        <f>+SUM(AL6:AL126)</f>
        <v>819588</v>
      </c>
      <c r="AM128" s="967">
        <f>+SUM(AM6:AM126)</f>
        <v>819588</v>
      </c>
      <c r="AN128" s="967">
        <f>AN126</f>
        <v>0</v>
      </c>
      <c r="AO128" s="967"/>
      <c r="AP128" s="967">
        <f>+SUM(AP6:AP126)</f>
        <v>2458764</v>
      </c>
      <c r="AQ128" s="967">
        <f>+SUM(AQ6:AQ126)</f>
        <v>2458764</v>
      </c>
      <c r="AR128" s="967">
        <f>+AR126</f>
        <v>0</v>
      </c>
      <c r="AS128" s="967"/>
      <c r="AT128" s="967"/>
      <c r="AU128" s="967">
        <f>+MAX(AU6:AU126)</f>
        <v>3278352</v>
      </c>
      <c r="AV128" s="967"/>
      <c r="AW128" s="967"/>
      <c r="AX128" s="967">
        <f>+SUM(AX6:AX126)</f>
        <v>2175000</v>
      </c>
      <c r="AY128" s="967">
        <f>+SUM(AY6:AY126)</f>
        <v>388252.61441019975</v>
      </c>
      <c r="AZ128" s="967">
        <f>+AZ126</f>
        <v>0</v>
      </c>
      <c r="BA128" s="967"/>
      <c r="BB128" s="967">
        <f>+SUM(BB6:BB126)</f>
        <v>0</v>
      </c>
      <c r="BC128" s="967">
        <f>+SUM(BC6:BC126)</f>
        <v>0</v>
      </c>
      <c r="BD128" s="967">
        <f>+BD126</f>
        <v>0</v>
      </c>
      <c r="BE128" s="967"/>
      <c r="BF128" s="967">
        <f>+SUM(BF6:BF126)</f>
        <v>10485546.695184547</v>
      </c>
      <c r="BG128" s="967">
        <f>+SUM(BG6:BG126)</f>
        <v>1533479.2861765074</v>
      </c>
      <c r="BH128" s="967">
        <f>+BH126</f>
        <v>0</v>
      </c>
      <c r="BI128" s="212"/>
      <c r="BJ128" s="937"/>
      <c r="BK128" s="938"/>
      <c r="BL128" s="964"/>
      <c r="BM128" s="940"/>
      <c r="BN128" s="941"/>
      <c r="BO128" s="940"/>
      <c r="BP128" s="965"/>
    </row>
    <row r="129" spans="3:84" outlineLevel="1">
      <c r="D129" s="968"/>
      <c r="E129" s="968"/>
      <c r="F129" s="922"/>
      <c r="G129" s="922"/>
      <c r="H129" s="922"/>
      <c r="I129" s="922"/>
      <c r="J129" s="922"/>
      <c r="K129" s="922"/>
      <c r="N129" s="922"/>
      <c r="O129" s="922"/>
      <c r="P129" s="922"/>
      <c r="Q129" s="922"/>
      <c r="R129" s="922"/>
      <c r="S129" s="922"/>
      <c r="T129" s="922"/>
      <c r="U129" s="922"/>
      <c r="V129" s="922"/>
      <c r="W129" s="922"/>
      <c r="X129" s="922"/>
      <c r="Y129" s="922"/>
      <c r="Z129" s="922"/>
      <c r="AA129" s="922"/>
      <c r="AB129" s="922"/>
      <c r="AC129" s="922"/>
      <c r="AD129" s="922"/>
      <c r="AE129" s="922"/>
      <c r="AF129" s="922"/>
      <c r="AG129" s="922"/>
      <c r="AH129" s="922"/>
      <c r="AI129" s="922"/>
      <c r="AJ129" s="922"/>
      <c r="AK129" s="922"/>
      <c r="AL129" s="922"/>
      <c r="AM129" s="922"/>
      <c r="AN129" s="922"/>
      <c r="AO129" s="922"/>
      <c r="AP129" s="922"/>
      <c r="AQ129" s="922"/>
      <c r="AR129" s="922"/>
      <c r="AS129" s="922"/>
      <c r="AT129" s="922"/>
      <c r="AU129" s="922"/>
      <c r="AV129" s="922"/>
      <c r="AW129" s="922"/>
      <c r="AX129" s="922"/>
      <c r="AY129" s="922"/>
      <c r="AZ129" s="922"/>
      <c r="BA129" s="922"/>
      <c r="BB129" s="922"/>
      <c r="BC129" s="922"/>
      <c r="BD129" s="922"/>
      <c r="BE129" s="922"/>
      <c r="BF129" s="922"/>
      <c r="BG129" s="922"/>
      <c r="BH129" s="922"/>
      <c r="BI129" s="922"/>
      <c r="BJ129" s="937"/>
      <c r="BK129" s="938"/>
      <c r="BL129" s="964"/>
      <c r="BM129" s="940"/>
      <c r="BN129" s="941"/>
      <c r="BO129" s="940"/>
      <c r="BP129" s="965"/>
    </row>
    <row r="130" spans="3:84" outlineLevel="1">
      <c r="C130" s="925"/>
      <c r="D130" s="926"/>
      <c r="E130" s="926"/>
      <c r="F130" s="929"/>
      <c r="G130" s="929"/>
      <c r="H130" s="929"/>
      <c r="I130" s="929"/>
      <c r="J130" s="929"/>
      <c r="K130" s="929"/>
      <c r="L130" s="922" t="s">
        <v>388</v>
      </c>
      <c r="M130" s="922">
        <f>+BG128+AY128+BC128</f>
        <v>1921731.9005867071</v>
      </c>
      <c r="N130" s="929"/>
      <c r="O130" s="929"/>
      <c r="P130" s="929"/>
      <c r="Q130" s="929"/>
      <c r="R130" s="929"/>
      <c r="S130" s="929"/>
      <c r="T130" s="929"/>
      <c r="U130" s="929"/>
      <c r="V130" s="929"/>
      <c r="W130" s="929"/>
      <c r="X130" s="929"/>
      <c r="Y130" s="929"/>
      <c r="Z130" s="929"/>
      <c r="AA130" s="929"/>
      <c r="AB130" s="929"/>
      <c r="AC130" s="929"/>
      <c r="AD130" s="929"/>
      <c r="AE130" s="929"/>
      <c r="AF130" s="929"/>
      <c r="AG130" s="929"/>
      <c r="AH130" s="929"/>
      <c r="AI130" s="929"/>
      <c r="AJ130" s="929">
        <f>+S128</f>
        <v>4000000</v>
      </c>
      <c r="AK130" s="929"/>
      <c r="AL130" s="929"/>
      <c r="AM130" s="929"/>
      <c r="AN130" s="929"/>
      <c r="AO130" s="929"/>
      <c r="AP130" s="929"/>
      <c r="AQ130" s="929"/>
      <c r="AR130" s="929"/>
      <c r="AS130" s="929"/>
      <c r="AT130" s="929"/>
      <c r="AU130" s="929"/>
      <c r="AV130" s="929"/>
      <c r="AW130" s="929"/>
      <c r="AX130" s="929"/>
      <c r="AY130" s="929"/>
      <c r="AZ130" s="929"/>
      <c r="BA130" s="929"/>
      <c r="BB130" s="929"/>
      <c r="BC130" s="929"/>
      <c r="BD130" s="929"/>
      <c r="BE130" s="929"/>
      <c r="BF130" s="929"/>
      <c r="BG130" s="929"/>
      <c r="BH130" s="929"/>
      <c r="BI130" s="929"/>
      <c r="BJ130" s="937"/>
      <c r="BK130" s="938"/>
      <c r="BL130" s="964"/>
      <c r="BM130" s="940"/>
      <c r="BN130" s="941"/>
      <c r="BO130" s="940"/>
      <c r="BP130" s="965"/>
    </row>
    <row r="131" spans="3:84" outlineLevel="1">
      <c r="C131" s="944"/>
      <c r="D131" s="945"/>
      <c r="E131" s="945"/>
      <c r="F131" s="946"/>
      <c r="G131" s="946"/>
      <c r="H131" s="946"/>
      <c r="I131" s="946"/>
      <c r="J131" s="946"/>
      <c r="K131" s="946"/>
      <c r="L131" s="946" t="s">
        <v>387</v>
      </c>
      <c r="M131" s="946">
        <f>+bud_detail!F329</f>
        <v>20951604.581361048</v>
      </c>
      <c r="N131" s="946"/>
      <c r="O131" s="946"/>
      <c r="P131" s="946"/>
      <c r="Q131" s="946"/>
      <c r="R131" s="946"/>
      <c r="S131" s="946"/>
      <c r="T131" s="946"/>
      <c r="U131" s="946"/>
      <c r="V131" s="946"/>
      <c r="W131" s="946"/>
      <c r="X131" s="946"/>
      <c r="Y131" s="946"/>
      <c r="Z131" s="946"/>
      <c r="AA131" s="946"/>
      <c r="AB131" s="946"/>
      <c r="AC131" s="946"/>
      <c r="AD131" s="946"/>
      <c r="AE131" s="946"/>
      <c r="AF131" s="946"/>
      <c r="AG131" s="946"/>
      <c r="AH131" s="946"/>
      <c r="AI131" s="946"/>
      <c r="AJ131" s="946">
        <f>+AJ128-AJ130</f>
        <v>6236995.4186389428</v>
      </c>
      <c r="AK131" s="946"/>
      <c r="AL131" s="946"/>
      <c r="AM131" s="946"/>
      <c r="AN131" s="946"/>
      <c r="AO131" s="946"/>
      <c r="AP131" s="946"/>
      <c r="AQ131" s="946"/>
      <c r="AR131" s="946"/>
      <c r="AS131" s="946"/>
      <c r="AT131" s="946"/>
      <c r="AU131" s="946"/>
      <c r="AV131" s="946"/>
      <c r="AW131" s="946"/>
      <c r="AX131" s="946"/>
      <c r="AY131" s="946"/>
      <c r="AZ131" s="946"/>
      <c r="BA131" s="946"/>
      <c r="BB131" s="946"/>
      <c r="BC131" s="946"/>
      <c r="BD131" s="946"/>
      <c r="BE131" s="946"/>
      <c r="BF131" s="946"/>
      <c r="BG131" s="946"/>
      <c r="BH131" s="946"/>
      <c r="BI131" s="946"/>
      <c r="BJ131" s="937"/>
      <c r="BK131" s="938"/>
      <c r="BL131" s="964"/>
      <c r="BM131" s="940"/>
      <c r="BN131" s="941"/>
      <c r="BO131" s="940"/>
      <c r="BP131" s="965"/>
    </row>
    <row r="132" spans="3:84" outlineLevel="1">
      <c r="C132" s="944"/>
      <c r="D132" s="945"/>
      <c r="E132" s="945"/>
      <c r="F132" s="946"/>
      <c r="G132" s="946"/>
      <c r="H132" s="946"/>
      <c r="I132" s="946"/>
      <c r="J132" s="946"/>
      <c r="K132" s="946"/>
      <c r="L132" s="946"/>
      <c r="M132" s="946">
        <f>+M128+M130-M131</f>
        <v>131000</v>
      </c>
      <c r="N132" s="946"/>
      <c r="O132" s="946"/>
      <c r="P132" s="946"/>
      <c r="Q132" s="946"/>
      <c r="R132" s="946"/>
      <c r="S132" s="946"/>
      <c r="T132" s="946"/>
      <c r="U132" s="946"/>
      <c r="V132" s="946"/>
      <c r="W132" s="946"/>
      <c r="X132" s="946"/>
      <c r="Y132" s="946"/>
      <c r="Z132" s="946"/>
      <c r="AA132" s="946"/>
      <c r="AB132" s="946"/>
      <c r="AC132" s="946"/>
      <c r="AD132" s="946"/>
      <c r="AE132" s="946"/>
      <c r="AF132" s="946"/>
      <c r="AG132" s="946"/>
      <c r="AH132" s="946"/>
      <c r="AI132" s="946"/>
      <c r="AJ132" s="946">
        <f>+AJ131-'Budget Presentation'!D81</f>
        <v>-131000.00000000559</v>
      </c>
      <c r="AK132" s="946"/>
      <c r="AL132" s="946"/>
      <c r="AM132" s="946"/>
      <c r="AN132" s="946"/>
      <c r="AO132" s="946"/>
      <c r="AP132" s="946"/>
      <c r="AQ132" s="946"/>
      <c r="AR132" s="946"/>
      <c r="AS132" s="946"/>
      <c r="AT132" s="946"/>
      <c r="AU132" s="946"/>
      <c r="AV132" s="946"/>
      <c r="AW132" s="946"/>
      <c r="AX132" s="946"/>
      <c r="AY132" s="946"/>
      <c r="AZ132" s="946"/>
      <c r="BA132" s="946"/>
      <c r="BB132" s="946"/>
      <c r="BC132" s="946"/>
      <c r="BD132" s="946"/>
      <c r="BE132" s="946"/>
      <c r="BF132" s="946"/>
      <c r="BG132" s="946"/>
      <c r="BH132" s="946"/>
      <c r="BI132" s="946"/>
      <c r="BJ132" s="937"/>
      <c r="BK132" s="938"/>
      <c r="BL132" s="964"/>
      <c r="BM132" s="940"/>
      <c r="BN132" s="941"/>
      <c r="BO132" s="940"/>
      <c r="BP132" s="965"/>
    </row>
    <row r="133" spans="3:84" outlineLevel="1">
      <c r="F133" s="922"/>
      <c r="G133" s="922"/>
      <c r="H133" s="922"/>
      <c r="I133" s="922"/>
      <c r="J133" s="922"/>
      <c r="K133" s="922"/>
      <c r="L133" s="922"/>
      <c r="M133" s="922"/>
      <c r="N133" s="922"/>
      <c r="O133" s="922"/>
      <c r="P133" s="922"/>
      <c r="Q133" s="922"/>
      <c r="R133" s="922"/>
      <c r="S133" s="922"/>
      <c r="T133" s="922"/>
      <c r="U133" s="922"/>
      <c r="V133" s="922"/>
      <c r="W133" s="922"/>
      <c r="X133" s="922"/>
      <c r="Y133" s="922"/>
      <c r="Z133" s="922"/>
      <c r="AA133" s="922"/>
      <c r="AB133" s="922"/>
      <c r="AC133" s="922"/>
      <c r="AD133" s="922"/>
      <c r="AE133" s="922"/>
      <c r="AF133" s="922"/>
      <c r="AG133" s="922"/>
      <c r="AH133" s="922"/>
      <c r="AI133" s="922"/>
      <c r="AJ133" s="922"/>
      <c r="AK133" s="922"/>
      <c r="AL133" s="922"/>
      <c r="AM133" s="922"/>
      <c r="AN133" s="922"/>
      <c r="AO133" s="922"/>
      <c r="AP133" s="922"/>
      <c r="AQ133" s="922"/>
      <c r="AR133" s="922"/>
      <c r="AS133" s="922"/>
      <c r="AT133" s="922"/>
      <c r="AU133" s="922"/>
      <c r="AV133" s="922"/>
      <c r="AW133" s="922"/>
      <c r="AX133" s="922"/>
      <c r="AY133" s="922"/>
      <c r="AZ133" s="922"/>
      <c r="BA133" s="922"/>
      <c r="BB133" s="922"/>
      <c r="BC133" s="922"/>
      <c r="BD133" s="922"/>
      <c r="BE133" s="922"/>
      <c r="BF133" s="922"/>
      <c r="BG133" s="922"/>
      <c r="BH133" s="922"/>
      <c r="BI133" s="922"/>
      <c r="BJ133" s="937"/>
      <c r="BK133" s="940"/>
      <c r="BL133" s="940"/>
      <c r="BM133" s="940"/>
      <c r="BN133" s="940"/>
      <c r="BP133" s="965"/>
    </row>
    <row r="134" spans="3:84" outlineLevel="4">
      <c r="C134" s="211" t="s">
        <v>352</v>
      </c>
      <c r="D134" s="966"/>
      <c r="E134" s="966"/>
      <c r="F134" s="967"/>
      <c r="G134" s="967"/>
      <c r="H134" s="967"/>
      <c r="I134" s="967"/>
      <c r="J134" s="967"/>
      <c r="K134" s="967"/>
      <c r="L134" s="967"/>
      <c r="M134" s="967"/>
      <c r="N134" s="967"/>
      <c r="O134" s="967"/>
      <c r="P134" s="967"/>
      <c r="Q134" s="967"/>
      <c r="R134" s="967"/>
      <c r="S134" s="967"/>
      <c r="T134" s="967"/>
      <c r="U134" s="967"/>
      <c r="V134" s="967"/>
      <c r="W134" s="967"/>
      <c r="X134" s="967"/>
      <c r="Y134" s="967"/>
      <c r="Z134" s="967"/>
      <c r="AA134" s="967"/>
      <c r="AB134" s="967"/>
      <c r="AC134" s="967"/>
      <c r="AD134" s="967"/>
      <c r="AE134" s="967"/>
      <c r="AF134" s="967"/>
      <c r="AG134" s="967"/>
      <c r="AH134" s="967"/>
      <c r="AI134" s="967"/>
      <c r="AJ134" s="967"/>
      <c r="AK134" s="967"/>
      <c r="AL134" s="967"/>
      <c r="AM134" s="967"/>
      <c r="AN134" s="967"/>
      <c r="AO134" s="967"/>
      <c r="AP134" s="967"/>
      <c r="AQ134" s="967"/>
      <c r="AR134" s="967"/>
      <c r="AS134" s="967"/>
      <c r="AT134" s="967"/>
      <c r="AU134" s="967"/>
      <c r="AV134" s="967"/>
      <c r="AW134" s="967"/>
      <c r="AX134" s="967"/>
      <c r="AY134" s="967"/>
      <c r="AZ134" s="967"/>
      <c r="BA134" s="967"/>
      <c r="BB134" s="967"/>
      <c r="BC134" s="967"/>
      <c r="BD134" s="967"/>
      <c r="BE134" s="967"/>
      <c r="BF134" s="967"/>
      <c r="BG134" s="967"/>
      <c r="BH134" s="967"/>
      <c r="BI134" s="967"/>
      <c r="BJ134" s="937"/>
      <c r="BK134" s="940"/>
      <c r="BL134" s="940"/>
      <c r="BM134" s="940"/>
      <c r="BN134" s="940"/>
      <c r="BP134" s="965"/>
    </row>
    <row r="135" spans="3:84" outlineLevel="1">
      <c r="F135" s="922"/>
      <c r="G135" s="922"/>
      <c r="H135" s="922"/>
      <c r="I135" s="922"/>
      <c r="J135" s="922"/>
      <c r="K135" s="922"/>
      <c r="L135" s="922"/>
      <c r="M135" s="922"/>
      <c r="N135" s="922"/>
      <c r="O135" s="922"/>
      <c r="P135" s="922"/>
      <c r="Q135" s="922"/>
      <c r="R135" s="922"/>
      <c r="S135" s="922"/>
      <c r="T135" s="922"/>
      <c r="U135" s="922"/>
      <c r="V135" s="922"/>
      <c r="W135" s="922"/>
      <c r="X135" s="922"/>
      <c r="Y135" s="922"/>
      <c r="Z135" s="922"/>
      <c r="AA135" s="922"/>
      <c r="AB135" s="922"/>
      <c r="AC135" s="922"/>
      <c r="AD135" s="922"/>
      <c r="AE135" s="922"/>
      <c r="AF135" s="922"/>
      <c r="AG135" s="922"/>
      <c r="AH135" s="922"/>
      <c r="AI135" s="922"/>
      <c r="AJ135" s="922"/>
      <c r="AK135" s="922"/>
      <c r="AL135" s="922"/>
      <c r="AM135" s="922"/>
      <c r="AN135" s="922"/>
      <c r="AO135" s="922"/>
      <c r="AP135" s="922"/>
      <c r="AQ135" s="922"/>
      <c r="AR135" s="922"/>
      <c r="AS135" s="922"/>
      <c r="AT135" s="922"/>
      <c r="AU135" s="922"/>
      <c r="AV135" s="922"/>
      <c r="AW135" s="922"/>
      <c r="AX135" s="922"/>
      <c r="AY135" s="922"/>
      <c r="AZ135" s="922"/>
      <c r="BA135" s="922"/>
      <c r="BB135" s="922"/>
      <c r="BC135" s="922"/>
      <c r="BD135" s="922"/>
      <c r="BE135" s="922"/>
      <c r="BF135" s="922"/>
      <c r="BG135" s="922"/>
      <c r="BH135" s="922"/>
      <c r="BI135" s="922"/>
      <c r="BJ135" s="937"/>
      <c r="BK135" s="940"/>
      <c r="BL135" s="940"/>
      <c r="BM135" s="940"/>
      <c r="BN135" s="940"/>
      <c r="BP135" s="965"/>
    </row>
    <row r="136" spans="3:84" outlineLevel="4">
      <c r="C136" s="211" t="s">
        <v>353</v>
      </c>
      <c r="D136" s="966"/>
      <c r="E136" s="966"/>
      <c r="F136" s="967"/>
      <c r="G136" s="967"/>
      <c r="H136" s="967"/>
      <c r="I136" s="967"/>
      <c r="J136" s="967"/>
      <c r="K136" s="967"/>
      <c r="L136" s="967"/>
      <c r="M136" s="967"/>
      <c r="N136" s="967"/>
      <c r="O136" s="967"/>
      <c r="P136" s="967"/>
      <c r="Q136" s="967"/>
      <c r="R136" s="967"/>
      <c r="S136" s="967"/>
      <c r="T136" s="967"/>
      <c r="U136" s="967"/>
      <c r="V136" s="967"/>
      <c r="W136" s="967"/>
      <c r="X136" s="967"/>
      <c r="Y136" s="967"/>
      <c r="Z136" s="967"/>
      <c r="AA136" s="967"/>
      <c r="AB136" s="967"/>
      <c r="AC136" s="967"/>
      <c r="AD136" s="967"/>
      <c r="AE136" s="967"/>
      <c r="AF136" s="967"/>
      <c r="AG136" s="967"/>
      <c r="AH136" s="967"/>
      <c r="AI136" s="967"/>
      <c r="AJ136" s="967"/>
      <c r="AK136" s="967"/>
      <c r="AL136" s="967"/>
      <c r="AM136" s="967"/>
      <c r="AN136" s="967"/>
      <c r="AO136" s="967"/>
      <c r="AP136" s="967"/>
      <c r="AQ136" s="967"/>
      <c r="AR136" s="967"/>
      <c r="AS136" s="967"/>
      <c r="AT136" s="967"/>
      <c r="AU136" s="967"/>
      <c r="AV136" s="967"/>
      <c r="AW136" s="967"/>
      <c r="AX136" s="967"/>
      <c r="AY136" s="967"/>
      <c r="AZ136" s="967"/>
      <c r="BA136" s="967"/>
      <c r="BB136" s="967"/>
      <c r="BC136" s="967"/>
      <c r="BD136" s="967"/>
      <c r="BE136" s="967"/>
      <c r="BF136" s="967"/>
      <c r="BG136" s="967"/>
      <c r="BH136" s="967"/>
      <c r="BI136" s="967"/>
      <c r="BJ136" s="937"/>
      <c r="BK136" s="786">
        <f>XIRR(BL6:BL127,$BK$6:$BK$127,0.2)</f>
        <v>0.29059866070747375</v>
      </c>
      <c r="BL136" s="969">
        <f>SUM(BL6:BL127)</f>
        <v>8505104.948681403</v>
      </c>
      <c r="BM136" s="940"/>
      <c r="BN136" s="969">
        <f>SUM(BN6:BN132)</f>
        <v>6236995.4186389428</v>
      </c>
      <c r="BO136" s="940"/>
      <c r="BP136" s="965">
        <f>SUM(BP5:BP133)</f>
        <v>0</v>
      </c>
    </row>
    <row r="137" spans="3:84" outlineLevel="1">
      <c r="C137" s="970" t="s">
        <v>354</v>
      </c>
      <c r="F137" s="922">
        <f>bud_detail!F63*reserves!D4+SUM(bud_detail!F78,bud_detail!F86,bud_detail!F118,bud_detail!F137)*reserves!F4</f>
        <v>10057333.114285715</v>
      </c>
      <c r="G137" s="922">
        <f>+DevBud2-reserves!F137-bud_detail!F201</f>
        <v>9534555.3164660223</v>
      </c>
      <c r="H137" s="922"/>
      <c r="I137" s="922"/>
      <c r="J137" s="922">
        <f>+bud_detail!E200</f>
        <v>0</v>
      </c>
      <c r="K137" s="922">
        <f>+bud_detail!F200</f>
        <v>24587.64</v>
      </c>
      <c r="L137" s="922"/>
      <c r="M137" s="971">
        <f>+DevBud2-bud_detail!F197-bud_detail!F199-bud_detail!F198+J128</f>
        <v>19616476.070751738</v>
      </c>
      <c r="N137" s="922"/>
      <c r="O137" s="922">
        <f>+financing!F30</f>
        <v>2175000</v>
      </c>
      <c r="P137" s="922">
        <f>+bud_detail!F335</f>
        <v>2458764</v>
      </c>
      <c r="Q137" s="922">
        <f>+IF(financing!$C$12="YES",'Development Cash Flow'!M4*sales!G37*sales!J32,0)</f>
        <v>819588</v>
      </c>
      <c r="R137" s="922">
        <f>+bud_detail!F336</f>
        <v>1785226.6</v>
      </c>
      <c r="S137" s="922">
        <f>+bud_detail!F337</f>
        <v>4000000</v>
      </c>
      <c r="T137" s="922">
        <f>+bud_detail!F333-bud_detail!F198+J128</f>
        <v>0</v>
      </c>
      <c r="U137" s="922">
        <f>+bud_detail!F332-bud_detail!F199</f>
        <v>10485546.695184547</v>
      </c>
      <c r="V137" s="922"/>
      <c r="W137" s="922">
        <f>+sales!I65</f>
        <v>27319600</v>
      </c>
      <c r="X137" s="922">
        <f>+AU137</f>
        <v>3278352</v>
      </c>
      <c r="Y137" s="922">
        <f>+bud_detail!F336</f>
        <v>1785226.6</v>
      </c>
      <c r="Z137" s="922">
        <f>+W137-X137-Y137</f>
        <v>22256021.399999999</v>
      </c>
      <c r="AA137" s="922"/>
      <c r="AB137" s="922">
        <f>+sales!I28</f>
        <v>0</v>
      </c>
      <c r="AC137" s="922"/>
      <c r="AD137" s="922">
        <f>+Z137+AX137+AY137+AB137</f>
        <v>24819274.014410198</v>
      </c>
      <c r="AE137" s="922"/>
      <c r="AF137" s="922">
        <f>+AX137+AY137</f>
        <v>2563252.6144101997</v>
      </c>
      <c r="AG137" s="922">
        <f>+BF137+BG137</f>
        <v>12019025.981361054</v>
      </c>
      <c r="AH137" s="922">
        <f>+BB137+BC137</f>
        <v>0</v>
      </c>
      <c r="AI137" s="922"/>
      <c r="AJ137" s="922">
        <f>+'New Waterfall'!D40</f>
        <v>10236995.418638943</v>
      </c>
      <c r="AK137" s="922"/>
      <c r="AL137" s="922">
        <f>+IF(financing!$C$12="YES",'Development Cash Flow'!M4*sales!G37*sales!J32,0)</f>
        <v>819588</v>
      </c>
      <c r="AM137" s="922">
        <f>+bud_detail!F334</f>
        <v>819588</v>
      </c>
      <c r="AN137" s="922">
        <f>+AL137-AM137</f>
        <v>0</v>
      </c>
      <c r="AO137" s="922"/>
      <c r="AP137" s="922">
        <f>+SUM(sales!K32:K35)-'Development Cash Flow'!M4*sales!I65*sales!J32</f>
        <v>2458764</v>
      </c>
      <c r="AQ137" s="922">
        <f>+bud_detail!F335</f>
        <v>2458764</v>
      </c>
      <c r="AR137" s="922">
        <f>+AP137-AQ137</f>
        <v>0</v>
      </c>
      <c r="AS137" s="922"/>
      <c r="AT137" s="922"/>
      <c r="AU137" s="922">
        <f>+AQ137+AM137</f>
        <v>3278352</v>
      </c>
      <c r="AV137" s="922"/>
      <c r="AW137" s="922"/>
      <c r="AX137" s="922">
        <f>+financing!F30</f>
        <v>2175000</v>
      </c>
      <c r="AY137" s="922">
        <f>+bud_detail!F197</f>
        <v>388252.61441019975</v>
      </c>
      <c r="AZ137" s="922">
        <f>+AX137+AY137-AF137</f>
        <v>0</v>
      </c>
      <c r="BA137" s="922"/>
      <c r="BB137" s="922">
        <f>+bud_detail!F333-bud_detail!F198+J128</f>
        <v>0</v>
      </c>
      <c r="BC137" s="971">
        <f>+bud_detail!$F$198-J128</f>
        <v>0</v>
      </c>
      <c r="BD137" s="922">
        <f>+BB137+BC137-AH137</f>
        <v>0</v>
      </c>
      <c r="BE137" s="922"/>
      <c r="BF137" s="922">
        <f>+bud_detail!F332-bud_detail!F199</f>
        <v>10485546.695184547</v>
      </c>
      <c r="BG137" s="922">
        <f>+bud_detail!F199</f>
        <v>1533479.2861765074</v>
      </c>
      <c r="BH137" s="922">
        <f>+BF137+BG137-AG137</f>
        <v>0</v>
      </c>
      <c r="BI137" s="922"/>
      <c r="BJ137" s="937"/>
      <c r="BM137" s="940"/>
      <c r="BN137" s="786">
        <f>XIRR(BN6:BN127,$BK$6:$BK$127,0.2)</f>
        <v>0.44054588675498962</v>
      </c>
      <c r="BO137" s="940"/>
      <c r="BP137" s="965"/>
    </row>
    <row r="138" spans="3:84" outlineLevel="1">
      <c r="C138" s="209" t="s">
        <v>185</v>
      </c>
      <c r="F138" s="922">
        <f>+F128-F137</f>
        <v>0</v>
      </c>
      <c r="G138" s="971">
        <f>+G128-G137</f>
        <v>-455603.38997739367</v>
      </c>
      <c r="H138" s="922"/>
      <c r="I138" s="922"/>
      <c r="J138" s="922"/>
      <c r="K138" s="922">
        <f>+K128-K137</f>
        <v>0</v>
      </c>
      <c r="L138" s="922"/>
      <c r="M138" s="972">
        <f>+M128-M137</f>
        <v>-455603.38997739553</v>
      </c>
      <c r="N138" s="922"/>
      <c r="O138" s="922">
        <f t="shared" ref="O138:U138" si="102">+O128-O137</f>
        <v>0</v>
      </c>
      <c r="P138" s="922">
        <f t="shared" si="102"/>
        <v>0</v>
      </c>
      <c r="Q138" s="922">
        <f t="shared" si="102"/>
        <v>0</v>
      </c>
      <c r="R138" s="922">
        <f t="shared" si="102"/>
        <v>0</v>
      </c>
      <c r="S138" s="922">
        <f t="shared" si="102"/>
        <v>0</v>
      </c>
      <c r="T138" s="971">
        <f>+T128-T137</f>
        <v>0</v>
      </c>
      <c r="U138" s="971">
        <f t="shared" si="102"/>
        <v>0</v>
      </c>
      <c r="V138" s="922"/>
      <c r="W138" s="922">
        <f>+W128-W137</f>
        <v>0</v>
      </c>
      <c r="X138" s="922">
        <f>+X128+X137</f>
        <v>0</v>
      </c>
      <c r="Y138" s="922">
        <f>+Y128-Y137</f>
        <v>0</v>
      </c>
      <c r="Z138" s="922">
        <f>+Z128-Z137</f>
        <v>0</v>
      </c>
      <c r="AA138" s="922"/>
      <c r="AB138" s="922">
        <f>+AB128-AB137</f>
        <v>0</v>
      </c>
      <c r="AC138" s="922"/>
      <c r="AD138" s="922">
        <f>+AD128-AD137</f>
        <v>0</v>
      </c>
      <c r="AE138" s="922"/>
      <c r="AF138" s="922">
        <f>+AF128-AF137</f>
        <v>0</v>
      </c>
      <c r="AG138" s="973">
        <f>+AG128-AG137</f>
        <v>0</v>
      </c>
      <c r="AH138" s="973"/>
      <c r="AI138" s="922"/>
      <c r="AJ138" s="922">
        <f>+AJ128-AJ137</f>
        <v>0</v>
      </c>
      <c r="AK138" s="922"/>
      <c r="AL138" s="922">
        <f>+AL128-AL137</f>
        <v>0</v>
      </c>
      <c r="AM138" s="922">
        <f>+AM128-AM137</f>
        <v>0</v>
      </c>
      <c r="AN138" s="922"/>
      <c r="AO138" s="922"/>
      <c r="AP138" s="922">
        <f>+AP128-AP137</f>
        <v>0</v>
      </c>
      <c r="AQ138" s="922">
        <f>+AQ128-AQ137</f>
        <v>0</v>
      </c>
      <c r="AR138" s="922">
        <f>+AR128-AR137</f>
        <v>0</v>
      </c>
      <c r="AS138" s="922"/>
      <c r="AT138" s="922"/>
      <c r="AU138" s="922">
        <f>+AU128-AU137</f>
        <v>0</v>
      </c>
      <c r="AV138" s="922"/>
      <c r="AW138" s="922"/>
      <c r="AX138" s="922">
        <f>+AX128-AX137</f>
        <v>0</v>
      </c>
      <c r="AY138" s="922">
        <f>+AY128-AY137</f>
        <v>0</v>
      </c>
      <c r="AZ138" s="922"/>
      <c r="BA138" s="922"/>
      <c r="BB138" s="971">
        <f>+BB128-BB137</f>
        <v>0</v>
      </c>
      <c r="BC138" s="974">
        <f>+BC128-BC137</f>
        <v>0</v>
      </c>
      <c r="BD138" s="922">
        <f>+BD128-BD137</f>
        <v>0</v>
      </c>
      <c r="BE138" s="922"/>
      <c r="BF138" s="971">
        <f>+BF128-BF137</f>
        <v>0</v>
      </c>
      <c r="BG138" s="974">
        <f>+BG128-BG137</f>
        <v>0</v>
      </c>
      <c r="BH138" s="922">
        <f>+BH128-BH137</f>
        <v>0</v>
      </c>
      <c r="BI138" s="922"/>
      <c r="BJ138" s="937"/>
      <c r="BL138" s="940"/>
      <c r="BM138" s="940"/>
      <c r="BN138" s="940"/>
      <c r="BO138" s="975"/>
      <c r="BP138" s="965"/>
    </row>
    <row r="139" spans="3:84" outlineLevel="1">
      <c r="C139" s="209"/>
      <c r="F139" s="973">
        <f>SUM(F138:BH138)</f>
        <v>-911206.77995478921</v>
      </c>
      <c r="G139" s="922"/>
      <c r="H139" s="922"/>
      <c r="I139" s="922"/>
      <c r="J139" s="922"/>
      <c r="K139" s="922"/>
      <c r="L139" s="922"/>
      <c r="M139" s="922"/>
      <c r="N139" s="922"/>
      <c r="O139" s="909"/>
      <c r="P139" s="922"/>
      <c r="Q139" s="909"/>
      <c r="R139" s="909"/>
      <c r="S139" s="909"/>
      <c r="T139" s="909"/>
      <c r="U139" s="909"/>
      <c r="V139" s="922"/>
      <c r="W139" s="922"/>
      <c r="X139" s="922"/>
      <c r="Y139" s="922"/>
      <c r="Z139" s="922"/>
      <c r="AA139" s="922"/>
      <c r="AB139" s="922"/>
      <c r="AC139" s="922"/>
      <c r="AD139" s="922"/>
      <c r="AE139" s="922"/>
      <c r="AF139" s="922"/>
      <c r="AG139" s="922"/>
      <c r="AH139" s="922"/>
      <c r="AI139" s="922"/>
      <c r="AJ139" s="922"/>
      <c r="AK139" s="922"/>
      <c r="AL139" s="922"/>
      <c r="AM139" s="922"/>
      <c r="AN139" s="922"/>
      <c r="AO139" s="922"/>
      <c r="AP139" s="922"/>
      <c r="AQ139" s="922"/>
      <c r="AR139" s="922"/>
      <c r="AS139" s="922"/>
      <c r="AT139" s="922"/>
      <c r="AU139" s="922"/>
      <c r="AV139" s="922"/>
      <c r="AW139" s="922"/>
      <c r="AX139" s="922"/>
      <c r="AY139" s="922"/>
      <c r="AZ139" s="922"/>
      <c r="BA139" s="922"/>
      <c r="BB139" s="922"/>
      <c r="BC139" s="922"/>
      <c r="BD139" s="922"/>
      <c r="BE139" s="922"/>
      <c r="BF139" s="922"/>
      <c r="BG139" s="922"/>
      <c r="BH139" s="922"/>
      <c r="BI139" s="922"/>
      <c r="BJ139" s="937"/>
      <c r="BK139" s="940"/>
      <c r="BL139" s="940">
        <f>+BG137+AY137</f>
        <v>1921731.9005867071</v>
      </c>
      <c r="BM139" s="940"/>
      <c r="BN139" s="969">
        <f>SUM(BN6:BN127)</f>
        <v>6236995.4186389428</v>
      </c>
      <c r="BO139" s="976"/>
      <c r="BP139" s="940"/>
    </row>
    <row r="140" spans="3:84" outlineLevel="1">
      <c r="F140" s="922"/>
      <c r="G140" s="922"/>
      <c r="H140" s="922"/>
      <c r="I140" s="922"/>
      <c r="J140" s="922"/>
      <c r="K140" s="922"/>
      <c r="L140" s="922"/>
      <c r="M140" s="922"/>
      <c r="N140" s="922"/>
      <c r="O140" s="909"/>
      <c r="P140" s="922"/>
      <c r="Q140" s="909"/>
      <c r="R140" s="909"/>
      <c r="S140" s="909"/>
      <c r="T140" s="909"/>
      <c r="U140" s="909"/>
      <c r="V140" s="922"/>
      <c r="W140" s="922"/>
      <c r="X140" s="922"/>
      <c r="Y140" s="922"/>
      <c r="Z140" s="922"/>
      <c r="AA140" s="922"/>
      <c r="AB140" s="922"/>
      <c r="AC140" s="922"/>
      <c r="AD140" s="922"/>
      <c r="AE140" s="922"/>
      <c r="AF140" s="922"/>
      <c r="AG140" s="922"/>
      <c r="AH140" s="922"/>
      <c r="AI140" s="922"/>
      <c r="AJ140" s="922"/>
      <c r="AK140" s="922"/>
      <c r="AL140" s="922"/>
      <c r="AM140" s="922"/>
      <c r="AN140" s="922"/>
      <c r="AO140" s="922"/>
      <c r="AP140" s="922"/>
      <c r="AQ140" s="922"/>
      <c r="AR140" s="922"/>
      <c r="AS140" s="922"/>
      <c r="AT140" s="922"/>
      <c r="AU140" s="922"/>
      <c r="AV140" s="922"/>
      <c r="AW140" s="922"/>
      <c r="AX140" s="922"/>
      <c r="AY140" s="922"/>
      <c r="AZ140" s="922"/>
      <c r="BA140" s="922"/>
      <c r="BB140" s="922"/>
      <c r="BC140" s="922"/>
      <c r="BD140" s="922"/>
      <c r="BE140" s="922"/>
      <c r="BF140" s="922"/>
      <c r="BG140" s="922"/>
      <c r="BH140" s="922"/>
      <c r="BI140" s="922"/>
      <c r="BJ140" s="937"/>
      <c r="BK140" s="940"/>
      <c r="BL140" s="940">
        <f>+BL136-BL139</f>
        <v>6583373.0480946954</v>
      </c>
      <c r="BM140" s="940"/>
      <c r="BN140" s="940">
        <f>+BL140-BN139</f>
        <v>346377.62945575267</v>
      </c>
      <c r="BP140" s="940"/>
    </row>
    <row r="141" spans="3:84" outlineLevel="1">
      <c r="F141" s="922"/>
      <c r="G141" s="922"/>
      <c r="H141" s="922"/>
      <c r="I141" s="922"/>
      <c r="J141" s="922"/>
      <c r="K141" s="922"/>
      <c r="L141" s="922"/>
      <c r="M141" s="922"/>
      <c r="N141" s="922"/>
      <c r="O141" s="909"/>
      <c r="P141" s="922"/>
      <c r="Q141" s="909"/>
      <c r="R141" s="909"/>
      <c r="S141" s="909"/>
      <c r="T141" s="909"/>
      <c r="U141" s="909"/>
      <c r="V141" s="922"/>
      <c r="W141" s="922"/>
      <c r="X141" s="922"/>
      <c r="Y141" s="922"/>
      <c r="Z141" s="922"/>
      <c r="AA141" s="922"/>
      <c r="AB141" s="922"/>
      <c r="AC141" s="922"/>
      <c r="AD141" s="922"/>
      <c r="AE141" s="922"/>
      <c r="AF141" s="922"/>
      <c r="AG141" s="922"/>
      <c r="AH141" s="922"/>
      <c r="AI141" s="922"/>
      <c r="AJ141" s="922"/>
      <c r="AK141" s="922"/>
      <c r="AL141" s="922"/>
      <c r="AM141" s="922"/>
      <c r="AN141" s="922"/>
      <c r="AO141" s="922"/>
      <c r="AP141" s="922"/>
      <c r="AQ141" s="922"/>
      <c r="AR141" s="922"/>
      <c r="AS141" s="922"/>
      <c r="AT141" s="922"/>
      <c r="AU141" s="922"/>
      <c r="AV141" s="922"/>
      <c r="AW141" s="922"/>
      <c r="AX141" s="922"/>
      <c r="AY141" s="922"/>
      <c r="AZ141" s="922"/>
      <c r="BA141" s="922"/>
      <c r="BB141" s="922"/>
      <c r="BC141" s="922"/>
      <c r="BD141" s="922"/>
      <c r="BE141" s="922"/>
      <c r="BF141" s="922"/>
      <c r="BG141" s="922"/>
      <c r="BH141" s="922"/>
      <c r="BI141" s="922"/>
      <c r="BJ141" s="937"/>
      <c r="BK141" s="940"/>
      <c r="BL141" s="940"/>
      <c r="BM141" s="940"/>
      <c r="BN141" s="940"/>
      <c r="BP141" s="940"/>
    </row>
    <row r="142" spans="3:84" outlineLevel="1">
      <c r="D142" s="910">
        <v>1</v>
      </c>
      <c r="E142" s="922">
        <f>+D142+1</f>
        <v>2</v>
      </c>
      <c r="F142" s="922">
        <f t="shared" ref="F142:BJ142" si="103">+E142+1</f>
        <v>3</v>
      </c>
      <c r="G142" s="922">
        <f t="shared" si="103"/>
        <v>4</v>
      </c>
      <c r="H142" s="922">
        <f t="shared" si="103"/>
        <v>5</v>
      </c>
      <c r="I142" s="922">
        <f t="shared" si="103"/>
        <v>6</v>
      </c>
      <c r="J142" s="922">
        <f t="shared" si="103"/>
        <v>7</v>
      </c>
      <c r="K142" s="922">
        <f t="shared" si="103"/>
        <v>8</v>
      </c>
      <c r="L142" s="922">
        <f t="shared" si="103"/>
        <v>9</v>
      </c>
      <c r="M142" s="922">
        <f t="shared" si="103"/>
        <v>10</v>
      </c>
      <c r="N142" s="922">
        <f t="shared" si="103"/>
        <v>11</v>
      </c>
      <c r="O142" s="922">
        <f t="shared" si="103"/>
        <v>12</v>
      </c>
      <c r="P142" s="922">
        <f t="shared" si="103"/>
        <v>13</v>
      </c>
      <c r="Q142" s="922">
        <f t="shared" si="103"/>
        <v>14</v>
      </c>
      <c r="R142" s="922">
        <f t="shared" si="103"/>
        <v>15</v>
      </c>
      <c r="S142" s="922">
        <f t="shared" si="103"/>
        <v>16</v>
      </c>
      <c r="T142" s="922">
        <f>+S142+1</f>
        <v>17</v>
      </c>
      <c r="U142" s="922">
        <f>+T142+1</f>
        <v>18</v>
      </c>
      <c r="V142" s="922">
        <f t="shared" si="103"/>
        <v>19</v>
      </c>
      <c r="W142" s="922">
        <f t="shared" si="103"/>
        <v>20</v>
      </c>
      <c r="X142" s="922">
        <f t="shared" si="103"/>
        <v>21</v>
      </c>
      <c r="Y142" s="922">
        <f t="shared" si="103"/>
        <v>22</v>
      </c>
      <c r="Z142" s="922">
        <f t="shared" si="103"/>
        <v>23</v>
      </c>
      <c r="AA142" s="922">
        <f t="shared" si="103"/>
        <v>24</v>
      </c>
      <c r="AB142" s="922">
        <f t="shared" si="103"/>
        <v>25</v>
      </c>
      <c r="AC142" s="922">
        <f t="shared" si="103"/>
        <v>26</v>
      </c>
      <c r="AD142" s="922">
        <f t="shared" si="103"/>
        <v>27</v>
      </c>
      <c r="AE142" s="922">
        <f t="shared" si="103"/>
        <v>28</v>
      </c>
      <c r="AF142" s="922">
        <f t="shared" si="103"/>
        <v>29</v>
      </c>
      <c r="AG142" s="922">
        <f>+AH142+1</f>
        <v>31</v>
      </c>
      <c r="AH142" s="922">
        <f>+AF142+1</f>
        <v>30</v>
      </c>
      <c r="AI142" s="922">
        <f>+AG142+1</f>
        <v>32</v>
      </c>
      <c r="AJ142" s="922">
        <f>+AI142+1</f>
        <v>33</v>
      </c>
      <c r="AK142" s="922">
        <f t="shared" si="103"/>
        <v>34</v>
      </c>
      <c r="AL142" s="922">
        <f t="shared" si="103"/>
        <v>35</v>
      </c>
      <c r="AM142" s="922">
        <f t="shared" si="103"/>
        <v>36</v>
      </c>
      <c r="AN142" s="922">
        <f t="shared" si="103"/>
        <v>37</v>
      </c>
      <c r="AO142" s="922">
        <f t="shared" si="103"/>
        <v>38</v>
      </c>
      <c r="AP142" s="922">
        <f t="shared" si="103"/>
        <v>39</v>
      </c>
      <c r="AQ142" s="922">
        <f t="shared" si="103"/>
        <v>40</v>
      </c>
      <c r="AR142" s="922">
        <f t="shared" si="103"/>
        <v>41</v>
      </c>
      <c r="AS142" s="922">
        <f t="shared" si="103"/>
        <v>42</v>
      </c>
      <c r="AT142" s="922">
        <f t="shared" si="103"/>
        <v>43</v>
      </c>
      <c r="AU142" s="922">
        <f t="shared" si="103"/>
        <v>44</v>
      </c>
      <c r="AV142" s="922">
        <f t="shared" si="103"/>
        <v>45</v>
      </c>
      <c r="AW142" s="922">
        <f t="shared" si="103"/>
        <v>46</v>
      </c>
      <c r="AX142" s="922">
        <f t="shared" si="103"/>
        <v>47</v>
      </c>
      <c r="AY142" s="922">
        <f t="shared" si="103"/>
        <v>48</v>
      </c>
      <c r="AZ142" s="922">
        <f t="shared" si="103"/>
        <v>49</v>
      </c>
      <c r="BA142" s="922">
        <f t="shared" si="103"/>
        <v>50</v>
      </c>
      <c r="BB142" s="922">
        <f t="shared" si="103"/>
        <v>51</v>
      </c>
      <c r="BC142" s="922">
        <f t="shared" si="103"/>
        <v>52</v>
      </c>
      <c r="BD142" s="922">
        <f t="shared" si="103"/>
        <v>53</v>
      </c>
      <c r="BE142" s="922">
        <f t="shared" si="103"/>
        <v>54</v>
      </c>
      <c r="BF142" s="922">
        <f t="shared" si="103"/>
        <v>55</v>
      </c>
      <c r="BG142" s="922">
        <f t="shared" si="103"/>
        <v>56</v>
      </c>
      <c r="BH142" s="922">
        <f t="shared" si="103"/>
        <v>57</v>
      </c>
      <c r="BI142" s="922">
        <f t="shared" si="103"/>
        <v>58</v>
      </c>
      <c r="BJ142" s="922">
        <f t="shared" si="103"/>
        <v>59</v>
      </c>
      <c r="BK142" s="922">
        <f>+BJ142+1</f>
        <v>60</v>
      </c>
      <c r="BL142" s="922">
        <f t="shared" ref="BL142:CF142" si="104">+BK142+1</f>
        <v>61</v>
      </c>
      <c r="BM142" s="922">
        <f>+BL142+1</f>
        <v>62</v>
      </c>
      <c r="BN142" s="922">
        <f t="shared" si="104"/>
        <v>63</v>
      </c>
      <c r="BO142" s="922">
        <f t="shared" si="104"/>
        <v>64</v>
      </c>
      <c r="BP142" s="922">
        <f t="shared" si="104"/>
        <v>65</v>
      </c>
      <c r="BQ142" s="922">
        <f t="shared" si="104"/>
        <v>66</v>
      </c>
      <c r="BR142" s="922">
        <f t="shared" si="104"/>
        <v>67</v>
      </c>
      <c r="BS142" s="922">
        <f t="shared" si="104"/>
        <v>68</v>
      </c>
      <c r="BT142" s="922">
        <f t="shared" si="104"/>
        <v>69</v>
      </c>
      <c r="BU142" s="922">
        <f t="shared" si="104"/>
        <v>70</v>
      </c>
      <c r="BV142" s="922">
        <f t="shared" si="104"/>
        <v>71</v>
      </c>
      <c r="BW142" s="922">
        <f t="shared" si="104"/>
        <v>72</v>
      </c>
      <c r="BX142" s="922">
        <f t="shared" si="104"/>
        <v>73</v>
      </c>
      <c r="BY142" s="922">
        <f t="shared" si="104"/>
        <v>74</v>
      </c>
      <c r="BZ142" s="922">
        <f t="shared" si="104"/>
        <v>75</v>
      </c>
      <c r="CA142" s="922">
        <f t="shared" si="104"/>
        <v>76</v>
      </c>
      <c r="CB142" s="922">
        <f t="shared" si="104"/>
        <v>77</v>
      </c>
      <c r="CC142" s="922">
        <f t="shared" si="104"/>
        <v>78</v>
      </c>
      <c r="CD142" s="922">
        <f t="shared" si="104"/>
        <v>79</v>
      </c>
      <c r="CE142" s="922">
        <f t="shared" si="104"/>
        <v>80</v>
      </c>
      <c r="CF142" s="922">
        <f t="shared" si="104"/>
        <v>81</v>
      </c>
    </row>
    <row r="143" spans="3:84" outlineLevel="1">
      <c r="F143" s="922"/>
      <c r="G143" s="922"/>
      <c r="H143" s="922"/>
      <c r="I143" s="922"/>
      <c r="J143" s="922"/>
      <c r="K143" s="922"/>
      <c r="L143" s="922"/>
      <c r="M143" s="922"/>
      <c r="N143" s="922"/>
      <c r="O143" s="909"/>
      <c r="P143" s="922"/>
      <c r="Q143" s="909"/>
      <c r="R143" s="909"/>
      <c r="S143" s="909"/>
      <c r="T143" s="909"/>
      <c r="U143" s="909"/>
      <c r="V143" s="922"/>
      <c r="W143" s="922"/>
      <c r="X143" s="922"/>
      <c r="Y143" s="922"/>
      <c r="Z143" s="922"/>
      <c r="AA143" s="922"/>
      <c r="AB143" s="922"/>
      <c r="AC143" s="922"/>
      <c r="AD143" s="922"/>
      <c r="AE143" s="922"/>
      <c r="AF143" s="922"/>
      <c r="AG143" s="922"/>
      <c r="AH143" s="922"/>
      <c r="AI143" s="922"/>
      <c r="AJ143" s="922"/>
      <c r="AK143" s="922"/>
      <c r="AL143" s="922"/>
      <c r="AM143" s="922"/>
      <c r="AN143" s="922"/>
      <c r="AO143" s="922"/>
      <c r="AP143" s="922"/>
      <c r="AQ143" s="922"/>
      <c r="AR143" s="922"/>
      <c r="AS143" s="922"/>
      <c r="AT143" s="922"/>
      <c r="AU143" s="922"/>
      <c r="AV143" s="922"/>
      <c r="AW143" s="922"/>
      <c r="AX143" s="922"/>
      <c r="AY143" s="922"/>
      <c r="AZ143" s="922"/>
      <c r="BA143" s="922"/>
      <c r="BB143" s="922"/>
      <c r="BC143" s="922"/>
      <c r="BD143" s="922"/>
      <c r="BE143" s="922"/>
      <c r="BF143" s="922"/>
      <c r="BG143" s="922"/>
      <c r="BH143" s="922"/>
      <c r="BI143" s="922"/>
    </row>
    <row r="144" spans="3:84" outlineLevel="1">
      <c r="F144" s="922"/>
      <c r="G144" s="922"/>
      <c r="H144" s="922"/>
      <c r="I144" s="922"/>
      <c r="J144" s="922"/>
      <c r="K144" s="922"/>
      <c r="L144" s="922"/>
      <c r="M144" s="922"/>
      <c r="N144" s="922"/>
      <c r="O144" s="909"/>
      <c r="P144" s="922"/>
      <c r="Q144" s="909"/>
      <c r="R144" s="909"/>
      <c r="S144" s="909"/>
      <c r="T144" s="909"/>
      <c r="U144" s="909"/>
      <c r="V144" s="922"/>
      <c r="W144" s="922"/>
      <c r="X144" s="922"/>
      <c r="Y144" s="922"/>
      <c r="Z144" s="922"/>
      <c r="AA144" s="922"/>
      <c r="AB144" s="922"/>
      <c r="AC144" s="922"/>
      <c r="AD144" s="922"/>
      <c r="AE144" s="922"/>
      <c r="AF144" s="922"/>
      <c r="AG144" s="922"/>
      <c r="AH144" s="922"/>
      <c r="AI144" s="922"/>
      <c r="AJ144" s="922"/>
      <c r="AK144" s="922"/>
      <c r="AL144" s="922"/>
      <c r="AM144" s="922"/>
      <c r="AN144" s="922"/>
      <c r="AO144" s="922"/>
      <c r="AP144" s="922"/>
      <c r="AQ144" s="922"/>
      <c r="AR144" s="922"/>
      <c r="AS144" s="922"/>
      <c r="AT144" s="922"/>
      <c r="AU144" s="922"/>
      <c r="AV144" s="922"/>
      <c r="AW144" s="922"/>
      <c r="AX144" s="922"/>
      <c r="AY144" s="922"/>
      <c r="AZ144" s="922"/>
      <c r="BA144" s="922"/>
      <c r="BB144" s="922"/>
      <c r="BC144" s="922"/>
      <c r="BD144" s="922"/>
      <c r="BE144" s="922"/>
      <c r="BF144" s="922"/>
      <c r="BG144" s="922"/>
      <c r="BH144" s="922"/>
      <c r="BI144" s="922"/>
    </row>
    <row r="145" spans="6:61" outlineLevel="1">
      <c r="F145" s="922"/>
      <c r="G145" s="922"/>
      <c r="H145" s="922"/>
      <c r="I145" s="922"/>
      <c r="J145" s="922"/>
      <c r="K145" s="922"/>
      <c r="L145" s="922"/>
      <c r="M145" s="922"/>
      <c r="N145" s="922"/>
      <c r="O145" s="909"/>
      <c r="P145" s="922"/>
      <c r="Q145" s="909"/>
      <c r="R145" s="909"/>
      <c r="S145" s="909"/>
      <c r="T145" s="909"/>
      <c r="U145" s="909"/>
      <c r="V145" s="922"/>
      <c r="W145" s="922"/>
      <c r="X145" s="922"/>
      <c r="Y145" s="922"/>
      <c r="Z145" s="922"/>
      <c r="AA145" s="922"/>
      <c r="AB145" s="922"/>
      <c r="AC145" s="922"/>
      <c r="AD145" s="922"/>
      <c r="AE145" s="922"/>
      <c r="AF145" s="922"/>
      <c r="AG145" s="922"/>
      <c r="AH145" s="922"/>
      <c r="AI145" s="922"/>
      <c r="AJ145" s="922"/>
      <c r="AK145" s="922"/>
      <c r="AL145" s="922"/>
      <c r="AM145" s="922"/>
      <c r="AN145" s="922"/>
      <c r="AO145" s="922"/>
      <c r="AP145" s="922"/>
      <c r="AQ145" s="922"/>
      <c r="AR145" s="922"/>
      <c r="AS145" s="922"/>
      <c r="AT145" s="922"/>
      <c r="AU145" s="922"/>
      <c r="AV145" s="922"/>
      <c r="AW145" s="922"/>
      <c r="AX145" s="922"/>
      <c r="AY145" s="922"/>
      <c r="AZ145" s="922"/>
      <c r="BA145" s="922"/>
      <c r="BB145" s="922"/>
      <c r="BC145" s="922"/>
      <c r="BD145" s="922"/>
      <c r="BE145" s="922"/>
      <c r="BF145" s="922"/>
      <c r="BG145" s="922"/>
      <c r="BH145" s="922"/>
      <c r="BI145" s="922"/>
    </row>
    <row r="146" spans="6:61" outlineLevel="1">
      <c r="F146" s="922"/>
      <c r="G146" s="922"/>
      <c r="H146" s="922"/>
      <c r="I146" s="922"/>
      <c r="J146" s="922"/>
      <c r="K146" s="922"/>
      <c r="L146" s="922"/>
      <c r="M146" s="922"/>
      <c r="N146" s="922"/>
      <c r="O146" s="909"/>
      <c r="P146" s="922"/>
      <c r="Q146" s="909"/>
      <c r="R146" s="909"/>
      <c r="S146" s="909"/>
      <c r="T146" s="909"/>
      <c r="U146" s="909"/>
      <c r="V146" s="922"/>
      <c r="W146" s="922"/>
      <c r="X146" s="922"/>
      <c r="Y146" s="922"/>
      <c r="Z146" s="922"/>
      <c r="AA146" s="922"/>
      <c r="AB146" s="922"/>
      <c r="AC146" s="922"/>
      <c r="AD146" s="922"/>
      <c r="AE146" s="922"/>
      <c r="AF146" s="922"/>
      <c r="AG146" s="922"/>
      <c r="AH146" s="922"/>
      <c r="AI146" s="922"/>
      <c r="AJ146" s="922"/>
      <c r="AK146" s="922"/>
      <c r="AL146" s="922"/>
      <c r="AM146" s="922"/>
      <c r="AN146" s="922"/>
      <c r="AO146" s="922"/>
      <c r="AP146" s="922"/>
      <c r="AQ146" s="922"/>
      <c r="AR146" s="922"/>
      <c r="AS146" s="922"/>
      <c r="AT146" s="922"/>
      <c r="AU146" s="922"/>
      <c r="AV146" s="922"/>
      <c r="AW146" s="922"/>
      <c r="AX146" s="922"/>
      <c r="AY146" s="922"/>
      <c r="AZ146" s="922"/>
      <c r="BA146" s="922"/>
      <c r="BB146" s="922"/>
      <c r="BC146" s="922"/>
      <c r="BD146" s="922"/>
      <c r="BE146" s="922"/>
      <c r="BF146" s="922"/>
      <c r="BG146" s="922"/>
      <c r="BH146" s="922"/>
      <c r="BI146" s="922"/>
    </row>
    <row r="147" spans="6:61" outlineLevel="1">
      <c r="F147" s="922"/>
      <c r="G147" s="922"/>
      <c r="H147" s="922"/>
      <c r="I147" s="922"/>
      <c r="J147" s="922"/>
      <c r="K147" s="922"/>
      <c r="L147" s="922"/>
      <c r="M147" s="922"/>
      <c r="N147" s="922"/>
      <c r="O147" s="909"/>
      <c r="P147" s="922"/>
      <c r="Q147" s="909"/>
      <c r="R147" s="909"/>
      <c r="S147" s="909"/>
      <c r="T147" s="909"/>
      <c r="U147" s="909"/>
      <c r="V147" s="922"/>
      <c r="W147" s="922"/>
      <c r="X147" s="922"/>
      <c r="Y147" s="922"/>
      <c r="Z147" s="922"/>
      <c r="AA147" s="922"/>
      <c r="AB147" s="922"/>
      <c r="AC147" s="922"/>
      <c r="AD147" s="922"/>
      <c r="AE147" s="922"/>
      <c r="AF147" s="922"/>
      <c r="AG147" s="922"/>
      <c r="AH147" s="922"/>
      <c r="AI147" s="922"/>
      <c r="AJ147" s="922"/>
      <c r="AK147" s="922"/>
      <c r="AL147" s="922"/>
      <c r="AM147" s="922"/>
      <c r="AN147" s="922"/>
      <c r="AO147" s="922"/>
      <c r="AP147" s="922"/>
      <c r="AQ147" s="922"/>
      <c r="AR147" s="922"/>
      <c r="AS147" s="922"/>
      <c r="AT147" s="922"/>
      <c r="AU147" s="922"/>
      <c r="AV147" s="922"/>
      <c r="AW147" s="922"/>
      <c r="AX147" s="922"/>
      <c r="AY147" s="922"/>
      <c r="AZ147" s="922"/>
      <c r="BA147" s="922"/>
      <c r="BB147" s="922"/>
      <c r="BC147" s="922"/>
      <c r="BD147" s="922"/>
      <c r="BE147" s="922"/>
      <c r="BF147" s="922"/>
      <c r="BG147" s="922"/>
      <c r="BH147" s="922"/>
      <c r="BI147" s="922"/>
    </row>
    <row r="148" spans="6:61" outlineLevel="1">
      <c r="F148" s="922"/>
      <c r="G148" s="922"/>
      <c r="H148" s="922"/>
      <c r="I148" s="922"/>
      <c r="J148" s="922"/>
      <c r="K148" s="922"/>
      <c r="L148" s="922"/>
      <c r="M148" s="922"/>
      <c r="N148" s="922"/>
      <c r="O148" s="909"/>
      <c r="P148" s="922"/>
      <c r="Q148" s="909"/>
      <c r="R148" s="909"/>
      <c r="S148" s="909"/>
      <c r="T148" s="909"/>
      <c r="U148" s="909"/>
      <c r="V148" s="922"/>
      <c r="W148" s="922"/>
      <c r="X148" s="922"/>
      <c r="Y148" s="922"/>
      <c r="Z148" s="922"/>
      <c r="AA148" s="922"/>
      <c r="AB148" s="922"/>
      <c r="AC148" s="922"/>
      <c r="AD148" s="922"/>
      <c r="AE148" s="922"/>
      <c r="AF148" s="922"/>
      <c r="AG148" s="922"/>
      <c r="AH148" s="922"/>
      <c r="AI148" s="922"/>
      <c r="AJ148" s="922"/>
      <c r="AK148" s="922"/>
      <c r="AL148" s="922"/>
      <c r="AM148" s="922"/>
      <c r="AN148" s="922"/>
      <c r="AO148" s="922"/>
      <c r="AP148" s="922"/>
      <c r="AQ148" s="922"/>
      <c r="AR148" s="922"/>
      <c r="AS148" s="922"/>
      <c r="AT148" s="922"/>
      <c r="AU148" s="922"/>
      <c r="AV148" s="922"/>
      <c r="AW148" s="922"/>
      <c r="AX148" s="922"/>
      <c r="AY148" s="922"/>
      <c r="AZ148" s="922"/>
      <c r="BA148" s="922"/>
      <c r="BB148" s="922"/>
      <c r="BC148" s="922"/>
      <c r="BD148" s="922"/>
      <c r="BE148" s="922"/>
      <c r="BF148" s="922"/>
      <c r="BG148" s="922"/>
      <c r="BH148" s="922"/>
      <c r="BI148" s="922"/>
    </row>
    <row r="149" spans="6:61" outlineLevel="1">
      <c r="F149" s="922"/>
      <c r="G149" s="922"/>
      <c r="H149" s="922"/>
      <c r="I149" s="922"/>
      <c r="J149" s="922"/>
      <c r="K149" s="922"/>
      <c r="L149" s="922"/>
      <c r="M149" s="922"/>
      <c r="N149" s="922"/>
      <c r="O149" s="909"/>
      <c r="P149" s="922"/>
      <c r="Q149" s="909"/>
      <c r="R149" s="909"/>
      <c r="S149" s="909"/>
      <c r="T149" s="909"/>
      <c r="U149" s="909"/>
      <c r="V149" s="922"/>
      <c r="W149" s="922"/>
      <c r="X149" s="922"/>
      <c r="Y149" s="922"/>
      <c r="Z149" s="922"/>
      <c r="AA149" s="922"/>
      <c r="AB149" s="922"/>
      <c r="AC149" s="922"/>
      <c r="AD149" s="922"/>
      <c r="AE149" s="922"/>
      <c r="AF149" s="922"/>
      <c r="AG149" s="922"/>
      <c r="AH149" s="922"/>
      <c r="AI149" s="922"/>
      <c r="AJ149" s="922"/>
      <c r="AK149" s="922"/>
      <c r="AL149" s="922"/>
      <c r="AM149" s="922"/>
      <c r="AN149" s="922"/>
      <c r="AO149" s="922"/>
      <c r="AP149" s="922"/>
      <c r="AQ149" s="922"/>
      <c r="AR149" s="922"/>
      <c r="AS149" s="922"/>
      <c r="AT149" s="922"/>
      <c r="AU149" s="922"/>
      <c r="AV149" s="922"/>
      <c r="AW149" s="922"/>
      <c r="AX149" s="922"/>
      <c r="AY149" s="922"/>
      <c r="AZ149" s="922"/>
      <c r="BA149" s="922"/>
      <c r="BB149" s="922"/>
      <c r="BC149" s="922"/>
      <c r="BD149" s="922"/>
      <c r="BE149" s="922"/>
      <c r="BF149" s="922"/>
      <c r="BG149" s="922"/>
      <c r="BH149" s="922"/>
      <c r="BI149" s="922"/>
    </row>
    <row r="150" spans="6:61" outlineLevel="1">
      <c r="F150" s="922"/>
      <c r="G150" s="922"/>
      <c r="H150" s="922"/>
      <c r="I150" s="922"/>
      <c r="J150" s="922"/>
      <c r="K150" s="922"/>
      <c r="L150" s="922"/>
      <c r="M150" s="922"/>
      <c r="N150" s="922"/>
      <c r="O150" s="909"/>
      <c r="P150" s="922"/>
      <c r="Q150" s="909"/>
      <c r="R150" s="909"/>
      <c r="S150" s="909"/>
      <c r="T150" s="909"/>
      <c r="U150" s="909"/>
      <c r="V150" s="922"/>
      <c r="W150" s="922"/>
      <c r="X150" s="922"/>
      <c r="Y150" s="922"/>
      <c r="Z150" s="922"/>
      <c r="AA150" s="922"/>
      <c r="AB150" s="922"/>
      <c r="AC150" s="922"/>
      <c r="AD150" s="922"/>
      <c r="AE150" s="922"/>
      <c r="AF150" s="922"/>
      <c r="AG150" s="922"/>
      <c r="AH150" s="922"/>
      <c r="AI150" s="922"/>
      <c r="AJ150" s="922"/>
      <c r="AK150" s="922"/>
      <c r="AL150" s="922"/>
      <c r="AM150" s="922"/>
      <c r="AN150" s="922"/>
      <c r="AO150" s="922"/>
      <c r="AP150" s="922"/>
      <c r="AQ150" s="922"/>
      <c r="AR150" s="922"/>
      <c r="AS150" s="922"/>
      <c r="AT150" s="922"/>
      <c r="AU150" s="922"/>
      <c r="AV150" s="922"/>
      <c r="AW150" s="922"/>
      <c r="AX150" s="922"/>
      <c r="AY150" s="922"/>
      <c r="AZ150" s="922"/>
      <c r="BA150" s="922"/>
      <c r="BB150" s="922"/>
      <c r="BC150" s="922"/>
      <c r="BD150" s="922"/>
      <c r="BE150" s="922"/>
      <c r="BF150" s="922"/>
      <c r="BG150" s="922"/>
      <c r="BH150" s="922"/>
      <c r="BI150" s="922"/>
    </row>
    <row r="151" spans="6:61" outlineLevel="1">
      <c r="F151" s="922"/>
      <c r="G151" s="922"/>
      <c r="H151" s="922"/>
      <c r="I151" s="922"/>
      <c r="J151" s="922"/>
      <c r="K151" s="922"/>
      <c r="L151" s="922"/>
      <c r="M151" s="922"/>
      <c r="N151" s="922"/>
      <c r="O151" s="909"/>
      <c r="P151" s="922"/>
      <c r="Q151" s="909"/>
      <c r="R151" s="909"/>
      <c r="S151" s="909"/>
      <c r="T151" s="909"/>
      <c r="U151" s="909"/>
      <c r="V151" s="922"/>
      <c r="W151" s="922"/>
      <c r="X151" s="922"/>
      <c r="Y151" s="922"/>
      <c r="Z151" s="922"/>
      <c r="AA151" s="922"/>
      <c r="AB151" s="922"/>
      <c r="AC151" s="922"/>
      <c r="AD151" s="922"/>
      <c r="AE151" s="922"/>
      <c r="AF151" s="922"/>
      <c r="AG151" s="922"/>
      <c r="AH151" s="922"/>
      <c r="AI151" s="922"/>
      <c r="AJ151" s="922"/>
      <c r="AK151" s="922"/>
      <c r="AL151" s="922"/>
      <c r="AM151" s="922"/>
      <c r="AN151" s="922"/>
      <c r="AO151" s="922"/>
      <c r="AP151" s="922"/>
      <c r="AQ151" s="922"/>
      <c r="AR151" s="922"/>
      <c r="AS151" s="922"/>
      <c r="AT151" s="922"/>
      <c r="AU151" s="922"/>
      <c r="AV151" s="922"/>
      <c r="AW151" s="922"/>
      <c r="AX151" s="922"/>
      <c r="AY151" s="922"/>
      <c r="AZ151" s="922"/>
      <c r="BA151" s="922"/>
      <c r="BB151" s="922"/>
      <c r="BC151" s="922"/>
      <c r="BD151" s="922"/>
      <c r="BE151" s="922"/>
      <c r="BF151" s="922"/>
      <c r="BG151" s="922"/>
      <c r="BH151" s="922"/>
      <c r="BI151" s="922"/>
    </row>
    <row r="152" spans="6:61" outlineLevel="1">
      <c r="F152" s="922"/>
      <c r="G152" s="922"/>
      <c r="H152" s="922"/>
      <c r="I152" s="922"/>
      <c r="J152" s="922"/>
      <c r="K152" s="922"/>
      <c r="L152" s="922"/>
      <c r="M152" s="922"/>
      <c r="N152" s="922"/>
      <c r="O152" s="909"/>
      <c r="P152" s="922"/>
      <c r="Q152" s="909"/>
      <c r="R152" s="909"/>
      <c r="S152" s="909"/>
      <c r="T152" s="909"/>
      <c r="U152" s="909"/>
      <c r="V152" s="922"/>
      <c r="W152" s="922"/>
      <c r="X152" s="922"/>
      <c r="Y152" s="922"/>
      <c r="Z152" s="922"/>
      <c r="AA152" s="922"/>
      <c r="AB152" s="922"/>
      <c r="AC152" s="922"/>
      <c r="AD152" s="922"/>
      <c r="AE152" s="922"/>
      <c r="AF152" s="922"/>
      <c r="AG152" s="922"/>
      <c r="AH152" s="922"/>
      <c r="AI152" s="922"/>
      <c r="AJ152" s="922"/>
      <c r="AK152" s="922"/>
      <c r="AL152" s="922"/>
      <c r="AM152" s="922"/>
      <c r="AN152" s="922"/>
      <c r="AO152" s="922"/>
      <c r="AP152" s="922"/>
      <c r="AQ152" s="922"/>
      <c r="AR152" s="922"/>
      <c r="AS152" s="922"/>
      <c r="AT152" s="922"/>
      <c r="AU152" s="922"/>
      <c r="AV152" s="922"/>
      <c r="AW152" s="922"/>
      <c r="AX152" s="922"/>
      <c r="AY152" s="922"/>
      <c r="AZ152" s="922"/>
      <c r="BA152" s="922"/>
      <c r="BB152" s="922"/>
      <c r="BC152" s="922"/>
      <c r="BD152" s="922"/>
      <c r="BE152" s="922"/>
      <c r="BF152" s="922"/>
      <c r="BG152" s="922"/>
      <c r="BH152" s="922"/>
      <c r="BI152" s="922"/>
    </row>
    <row r="153" spans="6:61" outlineLevel="1">
      <c r="F153" s="922"/>
      <c r="G153" s="922"/>
      <c r="H153" s="922"/>
      <c r="I153" s="922"/>
      <c r="J153" s="922"/>
      <c r="K153" s="922"/>
      <c r="L153" s="922"/>
      <c r="M153" s="922"/>
      <c r="N153" s="922"/>
      <c r="O153" s="909"/>
      <c r="P153" s="922"/>
      <c r="Q153" s="909"/>
      <c r="R153" s="909"/>
      <c r="S153" s="909"/>
      <c r="T153" s="909"/>
      <c r="U153" s="909"/>
      <c r="V153" s="922"/>
      <c r="W153" s="922"/>
      <c r="X153" s="922"/>
      <c r="Y153" s="922"/>
      <c r="Z153" s="922"/>
      <c r="AA153" s="922"/>
      <c r="AB153" s="922"/>
      <c r="AC153" s="922"/>
      <c r="AD153" s="922"/>
      <c r="AE153" s="922"/>
      <c r="AF153" s="922"/>
      <c r="AG153" s="922"/>
      <c r="AH153" s="922"/>
      <c r="AI153" s="922"/>
      <c r="AJ153" s="922"/>
      <c r="AK153" s="922"/>
      <c r="AL153" s="922"/>
      <c r="AM153" s="922"/>
      <c r="AN153" s="922"/>
      <c r="AO153" s="922"/>
      <c r="AP153" s="922"/>
      <c r="AQ153" s="922"/>
      <c r="AR153" s="922"/>
      <c r="AS153" s="922"/>
      <c r="AT153" s="922"/>
      <c r="AU153" s="922"/>
      <c r="AV153" s="922"/>
      <c r="AW153" s="922"/>
      <c r="AX153" s="922"/>
      <c r="AY153" s="922"/>
      <c r="AZ153" s="922"/>
      <c r="BA153" s="922"/>
      <c r="BB153" s="922"/>
      <c r="BC153" s="922"/>
      <c r="BD153" s="922"/>
      <c r="BE153" s="922"/>
      <c r="BF153" s="922"/>
      <c r="BG153" s="922"/>
      <c r="BH153" s="922"/>
      <c r="BI153" s="922"/>
    </row>
    <row r="154" spans="6:61" outlineLevel="1">
      <c r="F154" s="922"/>
      <c r="G154" s="922"/>
      <c r="H154" s="922"/>
      <c r="I154" s="922"/>
      <c r="J154" s="922"/>
      <c r="K154" s="922"/>
      <c r="L154" s="922"/>
      <c r="M154" s="922"/>
      <c r="N154" s="922"/>
      <c r="O154" s="909"/>
      <c r="P154" s="922"/>
      <c r="Q154" s="909"/>
      <c r="R154" s="909"/>
      <c r="S154" s="909"/>
      <c r="T154" s="909"/>
      <c r="U154" s="909"/>
      <c r="V154" s="922"/>
      <c r="W154" s="922"/>
      <c r="X154" s="922"/>
      <c r="Y154" s="922"/>
      <c r="Z154" s="922"/>
      <c r="AA154" s="922"/>
      <c r="AB154" s="922"/>
      <c r="AC154" s="922"/>
      <c r="AD154" s="922"/>
      <c r="AE154" s="922"/>
      <c r="AF154" s="922"/>
      <c r="AG154" s="922"/>
      <c r="AH154" s="922"/>
      <c r="AI154" s="922"/>
      <c r="AJ154" s="922"/>
      <c r="AK154" s="922"/>
      <c r="AL154" s="922"/>
      <c r="AM154" s="922"/>
      <c r="AN154" s="922"/>
      <c r="AO154" s="922"/>
      <c r="AP154" s="922"/>
      <c r="AQ154" s="922"/>
      <c r="AR154" s="922"/>
      <c r="AS154" s="922"/>
      <c r="AT154" s="922"/>
      <c r="AU154" s="922"/>
      <c r="AV154" s="922"/>
      <c r="AW154" s="922"/>
      <c r="AX154" s="922"/>
      <c r="AY154" s="922"/>
      <c r="AZ154" s="922"/>
      <c r="BA154" s="922"/>
      <c r="BB154" s="922"/>
      <c r="BC154" s="922"/>
      <c r="BD154" s="922"/>
      <c r="BE154" s="922"/>
      <c r="BF154" s="922"/>
      <c r="BG154" s="922"/>
      <c r="BH154" s="922"/>
      <c r="BI154" s="922"/>
    </row>
    <row r="155" spans="6:61" outlineLevel="1">
      <c r="F155" s="922"/>
      <c r="G155" s="922"/>
      <c r="H155" s="922"/>
      <c r="I155" s="922"/>
      <c r="J155" s="922"/>
      <c r="K155" s="922"/>
      <c r="L155" s="922"/>
      <c r="M155" s="922"/>
      <c r="N155" s="922"/>
      <c r="O155" s="909"/>
      <c r="P155" s="922"/>
      <c r="Q155" s="909"/>
      <c r="R155" s="909"/>
      <c r="S155" s="909"/>
      <c r="T155" s="909"/>
      <c r="U155" s="909"/>
      <c r="V155" s="922"/>
      <c r="W155" s="922"/>
      <c r="X155" s="922"/>
      <c r="Y155" s="922"/>
      <c r="Z155" s="922"/>
      <c r="AA155" s="922"/>
      <c r="AB155" s="922"/>
      <c r="AC155" s="922"/>
      <c r="AD155" s="922"/>
      <c r="AE155" s="922"/>
      <c r="AF155" s="922"/>
      <c r="AG155" s="922"/>
      <c r="AH155" s="922"/>
      <c r="AI155" s="922"/>
      <c r="AJ155" s="922"/>
      <c r="AK155" s="922"/>
      <c r="AL155" s="922"/>
      <c r="AM155" s="922"/>
      <c r="AN155" s="922"/>
      <c r="AO155" s="922"/>
      <c r="AP155" s="922"/>
      <c r="AQ155" s="922"/>
      <c r="AR155" s="922"/>
      <c r="AS155" s="922"/>
      <c r="AT155" s="922"/>
      <c r="AU155" s="922"/>
      <c r="AV155" s="922"/>
      <c r="AW155" s="922"/>
      <c r="AX155" s="922"/>
      <c r="AY155" s="922"/>
      <c r="AZ155" s="922"/>
      <c r="BA155" s="922"/>
      <c r="BB155" s="922"/>
      <c r="BC155" s="922"/>
      <c r="BD155" s="922"/>
      <c r="BE155" s="922"/>
      <c r="BF155" s="922"/>
      <c r="BG155" s="922"/>
      <c r="BH155" s="922"/>
      <c r="BI155" s="922"/>
    </row>
    <row r="156" spans="6:61" outlineLevel="1">
      <c r="F156" s="922"/>
      <c r="G156" s="922"/>
      <c r="H156" s="922"/>
      <c r="I156" s="922"/>
      <c r="J156" s="922"/>
      <c r="K156" s="922"/>
      <c r="L156" s="922"/>
      <c r="M156" s="922"/>
      <c r="N156" s="922"/>
      <c r="O156" s="909"/>
      <c r="P156" s="922"/>
      <c r="Q156" s="909"/>
      <c r="R156" s="909"/>
      <c r="S156" s="909"/>
      <c r="T156" s="909"/>
      <c r="U156" s="909"/>
      <c r="V156" s="922"/>
      <c r="W156" s="922"/>
      <c r="X156" s="922"/>
      <c r="Y156" s="922"/>
      <c r="Z156" s="922"/>
      <c r="AA156" s="922"/>
      <c r="AB156" s="922"/>
      <c r="AC156" s="922"/>
      <c r="AD156" s="922"/>
      <c r="AE156" s="922"/>
      <c r="AF156" s="922"/>
      <c r="AG156" s="922"/>
      <c r="AH156" s="922"/>
      <c r="AI156" s="922"/>
      <c r="AJ156" s="922"/>
      <c r="AK156" s="922"/>
      <c r="AL156" s="922"/>
      <c r="AM156" s="922"/>
      <c r="AN156" s="922"/>
      <c r="AO156" s="922"/>
      <c r="AP156" s="922"/>
      <c r="AQ156" s="922"/>
      <c r="AR156" s="922"/>
      <c r="AS156" s="922"/>
      <c r="AT156" s="922"/>
      <c r="AU156" s="922"/>
      <c r="AV156" s="922"/>
      <c r="AW156" s="922"/>
      <c r="AX156" s="922"/>
      <c r="AY156" s="922"/>
      <c r="AZ156" s="922"/>
      <c r="BA156" s="922"/>
      <c r="BB156" s="922"/>
      <c r="BC156" s="922"/>
      <c r="BD156" s="922"/>
      <c r="BE156" s="922"/>
      <c r="BF156" s="922"/>
      <c r="BG156" s="922"/>
      <c r="BH156" s="922"/>
      <c r="BI156" s="922"/>
    </row>
    <row r="157" spans="6:61" outlineLevel="1">
      <c r="F157" s="922"/>
      <c r="G157" s="922"/>
      <c r="H157" s="922"/>
      <c r="I157" s="922"/>
      <c r="J157" s="922"/>
      <c r="K157" s="922"/>
      <c r="L157" s="922"/>
      <c r="M157" s="922"/>
      <c r="N157" s="922"/>
      <c r="O157" s="909"/>
      <c r="P157" s="922"/>
      <c r="Q157" s="909"/>
      <c r="R157" s="909"/>
      <c r="S157" s="909"/>
      <c r="T157" s="909"/>
      <c r="U157" s="909"/>
      <c r="V157" s="922"/>
      <c r="W157" s="922"/>
      <c r="X157" s="922"/>
      <c r="Y157" s="922"/>
      <c r="Z157" s="922"/>
      <c r="AA157" s="922"/>
      <c r="AB157" s="922"/>
      <c r="AC157" s="922"/>
      <c r="AD157" s="922"/>
      <c r="AE157" s="922"/>
      <c r="AF157" s="922"/>
      <c r="AG157" s="922"/>
      <c r="AH157" s="922"/>
      <c r="AI157" s="922"/>
      <c r="AJ157" s="922"/>
      <c r="AK157" s="922"/>
      <c r="AL157" s="922"/>
      <c r="AM157" s="922"/>
      <c r="AN157" s="922"/>
      <c r="AO157" s="922"/>
      <c r="AP157" s="922"/>
      <c r="AQ157" s="922"/>
      <c r="AR157" s="922"/>
      <c r="AS157" s="922"/>
      <c r="AT157" s="922"/>
      <c r="AU157" s="922"/>
      <c r="AV157" s="922"/>
      <c r="AW157" s="922"/>
      <c r="AX157" s="922"/>
      <c r="AY157" s="922"/>
      <c r="AZ157" s="922"/>
      <c r="BA157" s="922"/>
      <c r="BB157" s="922"/>
      <c r="BC157" s="922"/>
      <c r="BD157" s="922"/>
      <c r="BE157" s="922"/>
      <c r="BF157" s="922"/>
      <c r="BG157" s="922"/>
      <c r="BH157" s="922"/>
      <c r="BI157" s="922"/>
    </row>
    <row r="158" spans="6:61" outlineLevel="1">
      <c r="F158" s="922"/>
      <c r="G158" s="922"/>
      <c r="H158" s="922"/>
      <c r="I158" s="922"/>
      <c r="J158" s="922"/>
      <c r="K158" s="922"/>
      <c r="L158" s="922"/>
      <c r="M158" s="922"/>
      <c r="N158" s="922"/>
      <c r="O158" s="909"/>
      <c r="P158" s="922"/>
      <c r="Q158" s="909"/>
      <c r="R158" s="909"/>
      <c r="S158" s="909"/>
      <c r="T158" s="909"/>
      <c r="U158" s="909"/>
      <c r="V158" s="922"/>
      <c r="W158" s="922"/>
      <c r="X158" s="922"/>
      <c r="Y158" s="922"/>
      <c r="Z158" s="922"/>
      <c r="AA158" s="922"/>
      <c r="AB158" s="922"/>
      <c r="AC158" s="922"/>
      <c r="AD158" s="922"/>
      <c r="AE158" s="922"/>
      <c r="AF158" s="922"/>
      <c r="AG158" s="922"/>
      <c r="AH158" s="922"/>
      <c r="AI158" s="922"/>
      <c r="AJ158" s="922"/>
      <c r="AK158" s="922"/>
      <c r="AL158" s="922"/>
      <c r="AM158" s="922"/>
      <c r="AN158" s="922"/>
      <c r="AO158" s="922"/>
      <c r="AP158" s="922"/>
      <c r="AQ158" s="922"/>
      <c r="AR158" s="922"/>
      <c r="AS158" s="922"/>
      <c r="AT158" s="922"/>
      <c r="AU158" s="922"/>
      <c r="AV158" s="922"/>
      <c r="AW158" s="922"/>
      <c r="AX158" s="922"/>
      <c r="AY158" s="922"/>
      <c r="AZ158" s="922"/>
      <c r="BA158" s="922"/>
      <c r="BB158" s="922"/>
      <c r="BC158" s="922"/>
      <c r="BD158" s="922"/>
      <c r="BE158" s="922"/>
      <c r="BF158" s="922"/>
      <c r="BG158" s="922"/>
      <c r="BH158" s="922"/>
      <c r="BI158" s="922"/>
    </row>
    <row r="159" spans="6:61" outlineLevel="1">
      <c r="F159" s="922"/>
      <c r="G159" s="922"/>
      <c r="H159" s="922"/>
      <c r="I159" s="922"/>
      <c r="J159" s="922"/>
      <c r="K159" s="922"/>
      <c r="L159" s="922"/>
      <c r="M159" s="922"/>
      <c r="N159" s="922"/>
      <c r="O159" s="909"/>
      <c r="P159" s="922"/>
      <c r="Q159" s="909"/>
      <c r="R159" s="909"/>
      <c r="S159" s="909"/>
      <c r="T159" s="909"/>
      <c r="U159" s="909"/>
      <c r="V159" s="922"/>
      <c r="W159" s="922"/>
      <c r="X159" s="922"/>
      <c r="Y159" s="922"/>
      <c r="Z159" s="922"/>
      <c r="AA159" s="922"/>
      <c r="AB159" s="922"/>
      <c r="AC159" s="922"/>
      <c r="AD159" s="922"/>
      <c r="AE159" s="922"/>
      <c r="AF159" s="922"/>
      <c r="AG159" s="922"/>
      <c r="AH159" s="922"/>
      <c r="AI159" s="922"/>
      <c r="AJ159" s="922"/>
      <c r="AK159" s="922"/>
      <c r="AL159" s="922"/>
      <c r="AM159" s="922"/>
      <c r="AN159" s="922"/>
      <c r="AO159" s="922"/>
      <c r="AP159" s="922"/>
      <c r="AQ159" s="922"/>
      <c r="AR159" s="922"/>
      <c r="AS159" s="922"/>
      <c r="AT159" s="922"/>
      <c r="AU159" s="922"/>
      <c r="AV159" s="922"/>
      <c r="AW159" s="922"/>
      <c r="AX159" s="922"/>
      <c r="AY159" s="922"/>
      <c r="AZ159" s="922"/>
      <c r="BA159" s="922"/>
      <c r="BB159" s="922"/>
      <c r="BC159" s="922"/>
      <c r="BD159" s="922"/>
      <c r="BE159" s="922"/>
      <c r="BF159" s="922"/>
      <c r="BG159" s="922"/>
      <c r="BH159" s="922"/>
      <c r="BI159" s="922"/>
    </row>
    <row r="160" spans="6:61" outlineLevel="1">
      <c r="F160" s="922"/>
      <c r="G160" s="922"/>
      <c r="H160" s="922"/>
      <c r="I160" s="922"/>
      <c r="J160" s="922"/>
      <c r="K160" s="922"/>
      <c r="L160" s="922"/>
      <c r="M160" s="922"/>
      <c r="N160" s="922"/>
      <c r="O160" s="909"/>
      <c r="P160" s="922"/>
      <c r="Q160" s="909"/>
      <c r="R160" s="909"/>
      <c r="S160" s="909"/>
      <c r="T160" s="909"/>
      <c r="U160" s="909"/>
      <c r="V160" s="922"/>
      <c r="W160" s="922"/>
      <c r="X160" s="922"/>
      <c r="Y160" s="922"/>
      <c r="Z160" s="922"/>
      <c r="AA160" s="922"/>
      <c r="AB160" s="922"/>
      <c r="AC160" s="922"/>
      <c r="AD160" s="922"/>
      <c r="AE160" s="922"/>
      <c r="AF160" s="922"/>
      <c r="AG160" s="922"/>
      <c r="AH160" s="922"/>
      <c r="AI160" s="922"/>
      <c r="AJ160" s="922"/>
      <c r="AK160" s="922"/>
      <c r="AL160" s="922"/>
      <c r="AM160" s="922"/>
      <c r="AN160" s="922"/>
      <c r="AO160" s="922"/>
      <c r="AP160" s="922"/>
      <c r="AQ160" s="922"/>
      <c r="AR160" s="922"/>
      <c r="AS160" s="922"/>
      <c r="AT160" s="922"/>
      <c r="AU160" s="922"/>
      <c r="AV160" s="922"/>
      <c r="AW160" s="922"/>
      <c r="AX160" s="922"/>
      <c r="AY160" s="922"/>
      <c r="AZ160" s="922"/>
      <c r="BA160" s="922"/>
      <c r="BB160" s="922"/>
      <c r="BC160" s="922"/>
      <c r="BD160" s="922"/>
      <c r="BE160" s="922"/>
      <c r="BF160" s="922"/>
      <c r="BG160" s="922"/>
      <c r="BH160" s="922"/>
      <c r="BI160" s="922"/>
    </row>
    <row r="161" spans="6:61" outlineLevel="1">
      <c r="F161" s="922"/>
      <c r="G161" s="922"/>
      <c r="H161" s="922"/>
      <c r="I161" s="922"/>
      <c r="J161" s="922"/>
      <c r="K161" s="922"/>
      <c r="L161" s="922"/>
      <c r="M161" s="922"/>
      <c r="N161" s="922"/>
      <c r="O161" s="909"/>
      <c r="P161" s="922"/>
      <c r="Q161" s="909"/>
      <c r="R161" s="909"/>
      <c r="S161" s="909"/>
      <c r="T161" s="909"/>
      <c r="U161" s="909"/>
      <c r="V161" s="922"/>
      <c r="W161" s="922"/>
      <c r="X161" s="922"/>
      <c r="Y161" s="922"/>
      <c r="Z161" s="922"/>
      <c r="AA161" s="922"/>
      <c r="AB161" s="922"/>
      <c r="AC161" s="922"/>
      <c r="AD161" s="922"/>
      <c r="AE161" s="922"/>
      <c r="AF161" s="922"/>
      <c r="AG161" s="922"/>
      <c r="AH161" s="922"/>
      <c r="AI161" s="922"/>
      <c r="AJ161" s="922"/>
      <c r="AK161" s="922"/>
      <c r="AL161" s="922"/>
      <c r="AM161" s="922"/>
      <c r="AN161" s="922"/>
      <c r="AO161" s="922"/>
      <c r="AP161" s="922"/>
      <c r="AQ161" s="922"/>
      <c r="AR161" s="922"/>
      <c r="AS161" s="922"/>
      <c r="AT161" s="922"/>
      <c r="AU161" s="922"/>
      <c r="AV161" s="922"/>
      <c r="AW161" s="922"/>
      <c r="AX161" s="922"/>
      <c r="AY161" s="922"/>
      <c r="AZ161" s="922"/>
      <c r="BA161" s="922"/>
      <c r="BB161" s="922"/>
      <c r="BC161" s="922"/>
      <c r="BD161" s="922"/>
      <c r="BE161" s="922"/>
      <c r="BF161" s="922"/>
      <c r="BG161" s="922"/>
      <c r="BH161" s="922"/>
      <c r="BI161" s="922"/>
    </row>
    <row r="162" spans="6:61" outlineLevel="1">
      <c r="F162" s="922"/>
      <c r="G162" s="922"/>
      <c r="H162" s="922"/>
      <c r="I162" s="922"/>
      <c r="J162" s="922"/>
      <c r="K162" s="922"/>
      <c r="L162" s="922"/>
      <c r="M162" s="922"/>
      <c r="N162" s="922"/>
      <c r="O162" s="909"/>
      <c r="P162" s="922"/>
      <c r="Q162" s="909"/>
      <c r="R162" s="909"/>
      <c r="S162" s="909"/>
      <c r="T162" s="909"/>
      <c r="U162" s="909"/>
      <c r="V162" s="922"/>
      <c r="W162" s="922"/>
      <c r="X162" s="922"/>
      <c r="Y162" s="922"/>
      <c r="Z162" s="922"/>
      <c r="AA162" s="922"/>
      <c r="AB162" s="922"/>
      <c r="AC162" s="922"/>
      <c r="AD162" s="922"/>
      <c r="AE162" s="922"/>
      <c r="AF162" s="922"/>
      <c r="AG162" s="922"/>
      <c r="AH162" s="922"/>
      <c r="AI162" s="922"/>
      <c r="AJ162" s="922"/>
      <c r="AK162" s="922"/>
      <c r="AL162" s="922"/>
      <c r="AM162" s="922"/>
      <c r="AN162" s="922"/>
      <c r="AO162" s="922"/>
      <c r="AP162" s="922"/>
      <c r="AQ162" s="922"/>
      <c r="AR162" s="922"/>
      <c r="AS162" s="922"/>
      <c r="AT162" s="922"/>
      <c r="AU162" s="922"/>
      <c r="AV162" s="922"/>
      <c r="AW162" s="922"/>
      <c r="AX162" s="922"/>
      <c r="AY162" s="922"/>
      <c r="AZ162" s="922"/>
      <c r="BA162" s="922"/>
      <c r="BB162" s="922"/>
      <c r="BC162" s="922"/>
      <c r="BD162" s="922"/>
      <c r="BE162" s="922"/>
      <c r="BF162" s="922"/>
      <c r="BG162" s="922"/>
      <c r="BH162" s="922"/>
      <c r="BI162" s="922"/>
    </row>
    <row r="163" spans="6:61" outlineLevel="1">
      <c r="F163" s="922"/>
      <c r="G163" s="922"/>
      <c r="H163" s="922"/>
      <c r="I163" s="922"/>
      <c r="J163" s="922"/>
      <c r="K163" s="922"/>
      <c r="L163" s="922"/>
      <c r="M163" s="922"/>
      <c r="N163" s="922"/>
      <c r="O163" s="909"/>
      <c r="P163" s="922"/>
      <c r="Q163" s="909"/>
      <c r="R163" s="909"/>
      <c r="S163" s="909"/>
      <c r="T163" s="909"/>
      <c r="U163" s="909"/>
      <c r="V163" s="922"/>
      <c r="W163" s="922"/>
      <c r="X163" s="922"/>
      <c r="Y163" s="922"/>
      <c r="Z163" s="922"/>
      <c r="AA163" s="922"/>
      <c r="AB163" s="922"/>
      <c r="AC163" s="922"/>
      <c r="AD163" s="922"/>
      <c r="AE163" s="922"/>
      <c r="AF163" s="922"/>
      <c r="AG163" s="922"/>
      <c r="AH163" s="922"/>
      <c r="AI163" s="922"/>
      <c r="AJ163" s="922"/>
      <c r="AK163" s="922"/>
      <c r="AL163" s="922"/>
      <c r="AM163" s="922"/>
      <c r="AN163" s="922"/>
      <c r="AO163" s="922"/>
      <c r="AP163" s="922"/>
      <c r="AQ163" s="922"/>
      <c r="AR163" s="922"/>
      <c r="AS163" s="922"/>
      <c r="AT163" s="922"/>
      <c r="AU163" s="922"/>
      <c r="AV163" s="922"/>
      <c r="AW163" s="922"/>
      <c r="AX163" s="922"/>
      <c r="AY163" s="922"/>
      <c r="AZ163" s="922"/>
      <c r="BA163" s="922"/>
      <c r="BB163" s="922"/>
      <c r="BC163" s="922"/>
      <c r="BD163" s="922"/>
      <c r="BE163" s="922"/>
      <c r="BF163" s="922"/>
      <c r="BG163" s="922"/>
      <c r="BH163" s="922"/>
      <c r="BI163" s="922"/>
    </row>
    <row r="164" spans="6:61" outlineLevel="1">
      <c r="F164" s="922"/>
      <c r="G164" s="922"/>
      <c r="H164" s="922"/>
      <c r="I164" s="922"/>
      <c r="J164" s="922"/>
      <c r="K164" s="922"/>
      <c r="L164" s="922"/>
      <c r="M164" s="922"/>
      <c r="N164" s="922"/>
      <c r="O164" s="909"/>
      <c r="P164" s="922"/>
      <c r="Q164" s="909"/>
      <c r="R164" s="909"/>
      <c r="S164" s="909"/>
      <c r="T164" s="909"/>
      <c r="U164" s="909"/>
      <c r="V164" s="922"/>
      <c r="W164" s="922"/>
      <c r="X164" s="922"/>
      <c r="Y164" s="922"/>
      <c r="Z164" s="922"/>
      <c r="AA164" s="922"/>
      <c r="AB164" s="922"/>
      <c r="AC164" s="922"/>
      <c r="AD164" s="922"/>
      <c r="AE164" s="922"/>
      <c r="AF164" s="922"/>
      <c r="AG164" s="922"/>
      <c r="AH164" s="922"/>
      <c r="AI164" s="922"/>
      <c r="AJ164" s="922"/>
      <c r="AK164" s="922"/>
      <c r="AL164" s="922"/>
      <c r="AM164" s="922"/>
      <c r="AN164" s="922"/>
      <c r="AO164" s="922"/>
      <c r="AP164" s="922"/>
      <c r="AQ164" s="922"/>
      <c r="AR164" s="922"/>
      <c r="AS164" s="922"/>
      <c r="AT164" s="922"/>
      <c r="AU164" s="922"/>
      <c r="AV164" s="922"/>
      <c r="AW164" s="922"/>
      <c r="AX164" s="922"/>
      <c r="AY164" s="922"/>
      <c r="AZ164" s="922"/>
      <c r="BA164" s="922"/>
      <c r="BB164" s="922"/>
      <c r="BC164" s="922"/>
      <c r="BD164" s="922"/>
      <c r="BE164" s="922"/>
      <c r="BF164" s="922"/>
      <c r="BG164" s="922"/>
      <c r="BH164" s="922"/>
      <c r="BI164" s="922"/>
    </row>
    <row r="165" spans="6:61" outlineLevel="1">
      <c r="F165" s="922"/>
      <c r="G165" s="922"/>
      <c r="H165" s="922"/>
      <c r="I165" s="922"/>
      <c r="J165" s="922"/>
      <c r="K165" s="922"/>
      <c r="L165" s="922"/>
      <c r="M165" s="922"/>
      <c r="N165" s="922"/>
      <c r="O165" s="909"/>
      <c r="P165" s="922"/>
      <c r="Q165" s="909"/>
      <c r="R165" s="909"/>
      <c r="S165" s="909"/>
      <c r="T165" s="909"/>
      <c r="U165" s="909"/>
      <c r="V165" s="922"/>
      <c r="W165" s="922"/>
      <c r="X165" s="922"/>
      <c r="Y165" s="922"/>
      <c r="Z165" s="922"/>
      <c r="AA165" s="922"/>
      <c r="AB165" s="922"/>
      <c r="AC165" s="922"/>
      <c r="AD165" s="922"/>
      <c r="AE165" s="922"/>
      <c r="AF165" s="922"/>
      <c r="AG165" s="922"/>
      <c r="AH165" s="922"/>
      <c r="AI165" s="922"/>
      <c r="AJ165" s="922"/>
      <c r="AK165" s="922"/>
      <c r="AL165" s="922"/>
      <c r="AM165" s="922"/>
      <c r="AN165" s="922"/>
      <c r="AO165" s="922"/>
      <c r="AP165" s="922"/>
      <c r="AQ165" s="922"/>
      <c r="AR165" s="922"/>
      <c r="AS165" s="922"/>
      <c r="AT165" s="922"/>
      <c r="AU165" s="922"/>
      <c r="AV165" s="922"/>
      <c r="AW165" s="922"/>
      <c r="AX165" s="922"/>
      <c r="AY165" s="922"/>
      <c r="AZ165" s="922"/>
      <c r="BA165" s="922"/>
      <c r="BB165" s="922"/>
      <c r="BC165" s="922"/>
      <c r="BD165" s="922"/>
      <c r="BE165" s="922"/>
      <c r="BF165" s="922"/>
      <c r="BG165" s="922"/>
      <c r="BH165" s="922"/>
      <c r="BI165" s="922"/>
    </row>
    <row r="166" spans="6:61" outlineLevel="1">
      <c r="F166" s="922"/>
      <c r="G166" s="922"/>
      <c r="H166" s="922"/>
      <c r="I166" s="922"/>
      <c r="J166" s="922"/>
      <c r="K166" s="922"/>
      <c r="L166" s="922"/>
      <c r="M166" s="922"/>
      <c r="N166" s="922"/>
      <c r="O166" s="909"/>
      <c r="P166" s="922"/>
      <c r="Q166" s="909"/>
      <c r="R166" s="909"/>
      <c r="S166" s="909"/>
      <c r="T166" s="909"/>
      <c r="U166" s="909"/>
      <c r="V166" s="922"/>
      <c r="W166" s="922"/>
      <c r="X166" s="922"/>
      <c r="Y166" s="922"/>
      <c r="Z166" s="922"/>
      <c r="AA166" s="922"/>
      <c r="AB166" s="922"/>
      <c r="AC166" s="922"/>
      <c r="AD166" s="922"/>
      <c r="AE166" s="922"/>
      <c r="AF166" s="922"/>
      <c r="AG166" s="922"/>
      <c r="AH166" s="922"/>
      <c r="AI166" s="922"/>
      <c r="AJ166" s="922"/>
      <c r="AK166" s="922"/>
      <c r="AL166" s="922"/>
      <c r="AM166" s="922"/>
      <c r="AN166" s="922"/>
      <c r="AO166" s="922"/>
      <c r="AP166" s="922"/>
      <c r="AQ166" s="922"/>
      <c r="AR166" s="922"/>
      <c r="AS166" s="922"/>
      <c r="AT166" s="922"/>
      <c r="AU166" s="922"/>
      <c r="AV166" s="922"/>
      <c r="AW166" s="922"/>
      <c r="AX166" s="922"/>
      <c r="AY166" s="922"/>
      <c r="AZ166" s="922"/>
      <c r="BA166" s="922"/>
      <c r="BB166" s="922"/>
      <c r="BC166" s="922"/>
      <c r="BD166" s="922"/>
      <c r="BE166" s="922"/>
      <c r="BF166" s="922"/>
      <c r="BG166" s="922"/>
      <c r="BH166" s="922"/>
      <c r="BI166" s="922"/>
    </row>
    <row r="167" spans="6:61" outlineLevel="1">
      <c r="F167" s="922"/>
      <c r="G167" s="922"/>
      <c r="H167" s="922"/>
      <c r="I167" s="922"/>
      <c r="J167" s="922"/>
      <c r="K167" s="922"/>
      <c r="L167" s="922"/>
      <c r="M167" s="922"/>
      <c r="N167" s="922"/>
      <c r="O167" s="909"/>
      <c r="P167" s="922"/>
      <c r="Q167" s="909"/>
      <c r="R167" s="909"/>
      <c r="S167" s="909"/>
      <c r="T167" s="909"/>
      <c r="U167" s="909"/>
      <c r="V167" s="922"/>
      <c r="W167" s="922"/>
      <c r="X167" s="922"/>
      <c r="Y167" s="922"/>
      <c r="Z167" s="922"/>
      <c r="AA167" s="922"/>
      <c r="AB167" s="922"/>
      <c r="AC167" s="922"/>
      <c r="AD167" s="922"/>
      <c r="AE167" s="922"/>
      <c r="AF167" s="922"/>
      <c r="AG167" s="922"/>
      <c r="AH167" s="922"/>
      <c r="AI167" s="922"/>
      <c r="AJ167" s="922"/>
      <c r="AK167" s="922"/>
      <c r="AL167" s="922"/>
      <c r="AM167" s="922"/>
      <c r="AN167" s="922"/>
      <c r="AO167" s="922"/>
      <c r="AP167" s="922"/>
      <c r="AQ167" s="922"/>
      <c r="AR167" s="922"/>
      <c r="AS167" s="922"/>
      <c r="AT167" s="922"/>
      <c r="AU167" s="922"/>
      <c r="AV167" s="922"/>
      <c r="AW167" s="922"/>
      <c r="AX167" s="922"/>
      <c r="AY167" s="922"/>
      <c r="AZ167" s="922"/>
      <c r="BA167" s="922"/>
      <c r="BB167" s="922"/>
      <c r="BC167" s="922"/>
      <c r="BD167" s="922"/>
      <c r="BE167" s="922"/>
      <c r="BF167" s="922"/>
      <c r="BG167" s="922"/>
      <c r="BH167" s="922"/>
      <c r="BI167" s="922"/>
    </row>
    <row r="168" spans="6:61" outlineLevel="1">
      <c r="F168" s="922"/>
      <c r="G168" s="922"/>
      <c r="H168" s="922"/>
      <c r="I168" s="922"/>
      <c r="J168" s="922"/>
      <c r="K168" s="922"/>
      <c r="L168" s="922"/>
      <c r="M168" s="922"/>
      <c r="N168" s="922"/>
      <c r="O168" s="909"/>
      <c r="P168" s="922"/>
      <c r="Q168" s="909"/>
      <c r="R168" s="909"/>
      <c r="S168" s="909"/>
      <c r="T168" s="909"/>
      <c r="U168" s="909"/>
      <c r="V168" s="922"/>
      <c r="W168" s="922"/>
      <c r="X168" s="922"/>
      <c r="Y168" s="922"/>
      <c r="Z168" s="922"/>
      <c r="AA168" s="922"/>
      <c r="AB168" s="922"/>
      <c r="AC168" s="922"/>
      <c r="AD168" s="922"/>
      <c r="AE168" s="922"/>
      <c r="AF168" s="922"/>
      <c r="AG168" s="922"/>
      <c r="AH168" s="922"/>
      <c r="AI168" s="922"/>
      <c r="AJ168" s="922"/>
      <c r="AK168" s="922"/>
      <c r="AL168" s="922"/>
      <c r="AM168" s="922"/>
      <c r="AN168" s="922"/>
      <c r="AO168" s="922"/>
      <c r="AP168" s="922"/>
      <c r="AQ168" s="922"/>
      <c r="AR168" s="922"/>
      <c r="AS168" s="922"/>
      <c r="AT168" s="922"/>
      <c r="AU168" s="922"/>
      <c r="AV168" s="922"/>
      <c r="AW168" s="922"/>
      <c r="AX168" s="922"/>
      <c r="AY168" s="922"/>
      <c r="AZ168" s="922"/>
      <c r="BA168" s="922"/>
      <c r="BB168" s="922"/>
      <c r="BC168" s="922"/>
      <c r="BD168" s="922"/>
      <c r="BE168" s="922"/>
      <c r="BF168" s="922"/>
      <c r="BG168" s="922"/>
      <c r="BH168" s="922"/>
      <c r="BI168" s="922"/>
    </row>
    <row r="169" spans="6:61" outlineLevel="1">
      <c r="O169" s="909"/>
      <c r="Q169" s="909"/>
      <c r="R169" s="909"/>
      <c r="S169" s="909"/>
      <c r="T169" s="909"/>
      <c r="U169" s="909"/>
    </row>
    <row r="170" spans="6:61" outlineLevel="1">
      <c r="O170" s="909"/>
      <c r="Q170" s="909"/>
      <c r="R170" s="909"/>
      <c r="S170" s="909"/>
      <c r="T170" s="909"/>
      <c r="U170" s="909"/>
    </row>
    <row r="171" spans="6:61" outlineLevel="1">
      <c r="O171" s="909"/>
      <c r="Q171" s="909"/>
      <c r="R171" s="909"/>
      <c r="S171" s="909"/>
      <c r="T171" s="909"/>
      <c r="U171" s="909"/>
    </row>
    <row r="172" spans="6:61" outlineLevel="1">
      <c r="O172" s="909"/>
      <c r="Q172" s="909"/>
      <c r="R172" s="909"/>
      <c r="S172" s="909"/>
      <c r="T172" s="909"/>
      <c r="U172" s="909"/>
    </row>
    <row r="173" spans="6:61" outlineLevel="1">
      <c r="O173" s="909"/>
      <c r="Q173" s="909"/>
      <c r="R173" s="909"/>
      <c r="S173" s="909"/>
      <c r="T173" s="909"/>
      <c r="U173" s="909"/>
    </row>
    <row r="174" spans="6:61" outlineLevel="1">
      <c r="O174" s="909"/>
      <c r="Q174" s="909"/>
      <c r="R174" s="909"/>
      <c r="S174" s="909"/>
      <c r="T174" s="909"/>
      <c r="U174" s="909"/>
    </row>
    <row r="175" spans="6:61" outlineLevel="1">
      <c r="O175" s="909"/>
      <c r="Q175" s="909"/>
      <c r="R175" s="909"/>
      <c r="S175" s="909"/>
      <c r="T175" s="909"/>
      <c r="U175" s="909"/>
    </row>
    <row r="176" spans="6:61" outlineLevel="1">
      <c r="O176" s="909"/>
      <c r="Q176" s="909"/>
      <c r="R176" s="909"/>
      <c r="S176" s="909"/>
      <c r="T176" s="909"/>
      <c r="U176" s="909"/>
    </row>
    <row r="177" spans="15:21" outlineLevel="1">
      <c r="O177" s="909"/>
      <c r="Q177" s="909"/>
      <c r="R177" s="909"/>
      <c r="S177" s="909"/>
      <c r="T177" s="909"/>
      <c r="U177" s="909"/>
    </row>
    <row r="178" spans="15:21" outlineLevel="1">
      <c r="O178" s="909"/>
      <c r="Q178" s="909"/>
      <c r="R178" s="909"/>
      <c r="S178" s="909"/>
      <c r="T178" s="909"/>
      <c r="U178" s="909"/>
    </row>
    <row r="179" spans="15:21" outlineLevel="1">
      <c r="O179" s="909"/>
      <c r="Q179" s="909"/>
      <c r="R179" s="909"/>
      <c r="S179" s="909"/>
      <c r="T179" s="909"/>
      <c r="U179" s="909"/>
    </row>
    <row r="180" spans="15:21" outlineLevel="1">
      <c r="O180" s="909"/>
      <c r="Q180" s="909"/>
      <c r="R180" s="909"/>
      <c r="S180" s="909"/>
      <c r="T180" s="909"/>
      <c r="U180" s="909"/>
    </row>
    <row r="181" spans="15:21" outlineLevel="1">
      <c r="O181" s="909"/>
      <c r="Q181" s="909"/>
      <c r="R181" s="909"/>
      <c r="S181" s="909"/>
      <c r="T181" s="909"/>
      <c r="U181" s="909"/>
    </row>
    <row r="182" spans="15:21" outlineLevel="1">
      <c r="O182" s="909"/>
      <c r="Q182" s="909"/>
      <c r="R182" s="909"/>
      <c r="S182" s="909"/>
      <c r="T182" s="909"/>
      <c r="U182" s="909"/>
    </row>
    <row r="183" spans="15:21" outlineLevel="1">
      <c r="O183" s="909"/>
      <c r="Q183" s="909"/>
      <c r="R183" s="909"/>
      <c r="S183" s="909"/>
      <c r="T183" s="909"/>
      <c r="U183" s="909"/>
    </row>
    <row r="184" spans="15:21" outlineLevel="1">
      <c r="O184" s="909"/>
      <c r="Q184" s="909"/>
      <c r="R184" s="909"/>
      <c r="S184" s="909"/>
      <c r="T184" s="909"/>
      <c r="U184" s="909"/>
    </row>
    <row r="185" spans="15:21" outlineLevel="1">
      <c r="O185" s="909"/>
      <c r="Q185" s="909"/>
      <c r="R185" s="909"/>
      <c r="S185" s="909"/>
      <c r="T185" s="909"/>
      <c r="U185" s="909"/>
    </row>
    <row r="186" spans="15:21" outlineLevel="1">
      <c r="O186" s="909"/>
      <c r="Q186" s="909"/>
      <c r="R186" s="909"/>
      <c r="S186" s="909"/>
      <c r="T186" s="909"/>
      <c r="U186" s="909"/>
    </row>
    <row r="187" spans="15:21" outlineLevel="1">
      <c r="O187" s="909"/>
      <c r="Q187" s="909"/>
      <c r="R187" s="909"/>
      <c r="S187" s="909"/>
      <c r="T187" s="909"/>
      <c r="U187" s="909"/>
    </row>
    <row r="188" spans="15:21" outlineLevel="1">
      <c r="O188" s="909"/>
      <c r="Q188" s="909"/>
      <c r="R188" s="909"/>
      <c r="S188" s="909"/>
      <c r="T188" s="909"/>
      <c r="U188" s="909"/>
    </row>
    <row r="189" spans="15:21">
      <c r="O189" s="909"/>
      <c r="Q189" s="909"/>
      <c r="R189" s="909"/>
      <c r="S189" s="909"/>
      <c r="T189" s="909"/>
      <c r="U189" s="909"/>
    </row>
    <row r="190" spans="15:21">
      <c r="O190" s="909"/>
      <c r="Q190" s="909"/>
      <c r="R190" s="909"/>
      <c r="S190" s="909"/>
      <c r="T190" s="909"/>
      <c r="U190" s="909"/>
    </row>
    <row r="191" spans="15:21">
      <c r="O191" s="909"/>
      <c r="Q191" s="909"/>
      <c r="R191" s="909"/>
      <c r="S191" s="909"/>
      <c r="T191" s="909"/>
      <c r="U191" s="909"/>
    </row>
    <row r="192" spans="15:21">
      <c r="O192" s="909"/>
      <c r="Q192" s="909"/>
      <c r="R192" s="909"/>
      <c r="S192" s="909"/>
      <c r="T192" s="909"/>
      <c r="U192" s="909"/>
    </row>
    <row r="193" spans="15:21">
      <c r="O193" s="909"/>
      <c r="Q193" s="909"/>
      <c r="R193" s="909"/>
      <c r="S193" s="909"/>
      <c r="T193" s="909"/>
      <c r="U193" s="909"/>
    </row>
    <row r="194" spans="15:21">
      <c r="O194" s="909"/>
      <c r="Q194" s="909"/>
      <c r="R194" s="909"/>
      <c r="S194" s="909"/>
      <c r="T194" s="909"/>
      <c r="U194" s="909"/>
    </row>
    <row r="195" spans="15:21">
      <c r="O195" s="909"/>
      <c r="Q195" s="909"/>
      <c r="R195" s="909"/>
      <c r="S195" s="909"/>
      <c r="T195" s="909"/>
      <c r="U195" s="909"/>
    </row>
    <row r="196" spans="15:21">
      <c r="O196" s="909"/>
      <c r="Q196" s="909"/>
      <c r="R196" s="909"/>
      <c r="S196" s="909"/>
      <c r="T196" s="909"/>
      <c r="U196" s="909"/>
    </row>
    <row r="197" spans="15:21">
      <c r="O197" s="909"/>
      <c r="Q197" s="909"/>
      <c r="R197" s="909"/>
      <c r="S197" s="909"/>
      <c r="T197" s="909"/>
      <c r="U197" s="909"/>
    </row>
    <row r="260" spans="15:21">
      <c r="O260" s="943"/>
      <c r="Q260" s="922"/>
      <c r="R260" s="922"/>
      <c r="S260" s="922"/>
      <c r="T260" s="922" t="str">
        <f t="shared" ref="T260:T323" si="105">+IF(P260=1,A126,"")</f>
        <v/>
      </c>
      <c r="U260" s="922" t="str">
        <f t="shared" ref="U260:U275" si="106">+IF(Q260=1,C126,"")</f>
        <v/>
      </c>
    </row>
    <row r="261" spans="15:21">
      <c r="O261" s="943"/>
      <c r="Q261" s="922"/>
      <c r="R261" s="922"/>
      <c r="S261" s="922"/>
      <c r="T261" s="922" t="str">
        <f t="shared" si="105"/>
        <v/>
      </c>
      <c r="U261" s="922" t="str">
        <f t="shared" si="106"/>
        <v/>
      </c>
    </row>
    <row r="262" spans="15:21">
      <c r="O262" s="943"/>
      <c r="Q262" s="922"/>
      <c r="R262" s="922"/>
      <c r="S262" s="922"/>
      <c r="T262" s="922" t="str">
        <f t="shared" si="105"/>
        <v/>
      </c>
      <c r="U262" s="922" t="str">
        <f t="shared" si="106"/>
        <v/>
      </c>
    </row>
    <row r="263" spans="15:21">
      <c r="O263" s="943"/>
      <c r="Q263" s="922"/>
      <c r="R263" s="922"/>
      <c r="S263" s="922"/>
      <c r="T263" s="922" t="str">
        <f t="shared" si="105"/>
        <v/>
      </c>
      <c r="U263" s="922" t="str">
        <f t="shared" si="106"/>
        <v/>
      </c>
    </row>
    <row r="264" spans="15:21">
      <c r="O264" s="943"/>
      <c r="Q264" s="922"/>
      <c r="R264" s="922"/>
      <c r="S264" s="922"/>
      <c r="T264" s="922" t="str">
        <f t="shared" si="105"/>
        <v/>
      </c>
      <c r="U264" s="922" t="str">
        <f t="shared" si="106"/>
        <v/>
      </c>
    </row>
    <row r="265" spans="15:21">
      <c r="O265" s="943"/>
      <c r="Q265" s="922"/>
      <c r="R265" s="922"/>
      <c r="S265" s="922"/>
      <c r="T265" s="922" t="str">
        <f t="shared" si="105"/>
        <v/>
      </c>
      <c r="U265" s="922" t="str">
        <f t="shared" si="106"/>
        <v/>
      </c>
    </row>
    <row r="266" spans="15:21">
      <c r="O266" s="943"/>
      <c r="Q266" s="922"/>
      <c r="R266" s="922"/>
      <c r="S266" s="922"/>
      <c r="T266" s="922" t="str">
        <f t="shared" si="105"/>
        <v/>
      </c>
      <c r="U266" s="922" t="str">
        <f t="shared" si="106"/>
        <v/>
      </c>
    </row>
    <row r="267" spans="15:21">
      <c r="O267" s="943"/>
      <c r="Q267" s="922"/>
      <c r="R267" s="922"/>
      <c r="S267" s="922"/>
      <c r="T267" s="922" t="str">
        <f t="shared" si="105"/>
        <v/>
      </c>
      <c r="U267" s="922" t="str">
        <f t="shared" si="106"/>
        <v/>
      </c>
    </row>
    <row r="268" spans="15:21">
      <c r="O268" s="943"/>
      <c r="Q268" s="922"/>
      <c r="R268" s="922"/>
      <c r="S268" s="922"/>
      <c r="T268" s="922" t="str">
        <f t="shared" si="105"/>
        <v/>
      </c>
      <c r="U268" s="922" t="str">
        <f t="shared" si="106"/>
        <v/>
      </c>
    </row>
    <row r="269" spans="15:21">
      <c r="O269" s="943"/>
      <c r="Q269" s="922"/>
      <c r="R269" s="922"/>
      <c r="S269" s="922"/>
      <c r="T269" s="922" t="str">
        <f t="shared" si="105"/>
        <v/>
      </c>
      <c r="U269" s="922" t="str">
        <f t="shared" si="106"/>
        <v/>
      </c>
    </row>
    <row r="270" spans="15:21">
      <c r="O270" s="943"/>
      <c r="Q270" s="922"/>
      <c r="R270" s="922"/>
      <c r="S270" s="922"/>
      <c r="T270" s="922" t="str">
        <f t="shared" si="105"/>
        <v/>
      </c>
      <c r="U270" s="922" t="str">
        <f t="shared" si="106"/>
        <v/>
      </c>
    </row>
    <row r="271" spans="15:21">
      <c r="O271" s="943"/>
      <c r="Q271" s="922"/>
      <c r="R271" s="922"/>
      <c r="S271" s="922"/>
      <c r="T271" s="922" t="str">
        <f t="shared" si="105"/>
        <v/>
      </c>
      <c r="U271" s="922" t="str">
        <f t="shared" si="106"/>
        <v/>
      </c>
    </row>
    <row r="272" spans="15:21">
      <c r="O272" s="943"/>
      <c r="Q272" s="922"/>
      <c r="R272" s="922"/>
      <c r="S272" s="922"/>
      <c r="T272" s="922" t="str">
        <f t="shared" si="105"/>
        <v/>
      </c>
      <c r="U272" s="922" t="str">
        <f t="shared" si="106"/>
        <v/>
      </c>
    </row>
    <row r="273" spans="15:21">
      <c r="O273" s="943"/>
      <c r="Q273" s="922"/>
      <c r="R273" s="922"/>
      <c r="S273" s="922"/>
      <c r="T273" s="922" t="str">
        <f t="shared" si="105"/>
        <v/>
      </c>
      <c r="U273" s="922" t="str">
        <f t="shared" si="106"/>
        <v/>
      </c>
    </row>
    <row r="274" spans="15:21">
      <c r="O274" s="943"/>
      <c r="Q274" s="922"/>
      <c r="R274" s="922"/>
      <c r="S274" s="922"/>
      <c r="T274" s="922" t="str">
        <f t="shared" si="105"/>
        <v/>
      </c>
      <c r="U274" s="922" t="str">
        <f t="shared" si="106"/>
        <v/>
      </c>
    </row>
    <row r="275" spans="15:21">
      <c r="O275" s="943"/>
      <c r="Q275" s="922"/>
      <c r="R275" s="922"/>
      <c r="S275" s="922"/>
      <c r="T275" s="922" t="str">
        <f t="shared" si="105"/>
        <v/>
      </c>
      <c r="U275" s="922" t="str">
        <f t="shared" si="106"/>
        <v/>
      </c>
    </row>
    <row r="276" spans="15:21">
      <c r="O276" s="943"/>
      <c r="Q276" s="922"/>
      <c r="R276" s="922"/>
      <c r="S276" s="922"/>
      <c r="T276" s="922" t="str">
        <f t="shared" si="105"/>
        <v/>
      </c>
      <c r="U276" s="922" t="str">
        <f t="shared" ref="U276:U291" si="107">+IF(Q276=1,C142,"")</f>
        <v/>
      </c>
    </row>
    <row r="277" spans="15:21">
      <c r="O277" s="943"/>
      <c r="Q277" s="922"/>
      <c r="R277" s="922"/>
      <c r="S277" s="922"/>
      <c r="T277" s="922" t="str">
        <f t="shared" si="105"/>
        <v/>
      </c>
      <c r="U277" s="922" t="str">
        <f t="shared" si="107"/>
        <v/>
      </c>
    </row>
    <row r="278" spans="15:21">
      <c r="O278" s="943"/>
      <c r="Q278" s="922"/>
      <c r="R278" s="922"/>
      <c r="S278" s="922"/>
      <c r="T278" s="922" t="str">
        <f t="shared" si="105"/>
        <v/>
      </c>
      <c r="U278" s="922" t="str">
        <f t="shared" si="107"/>
        <v/>
      </c>
    </row>
    <row r="279" spans="15:21">
      <c r="O279" s="943"/>
      <c r="Q279" s="922"/>
      <c r="R279" s="922"/>
      <c r="S279" s="922"/>
      <c r="T279" s="922" t="str">
        <f t="shared" si="105"/>
        <v/>
      </c>
      <c r="U279" s="922" t="str">
        <f t="shared" si="107"/>
        <v/>
      </c>
    </row>
    <row r="280" spans="15:21">
      <c r="O280" s="943"/>
      <c r="Q280" s="922"/>
      <c r="R280" s="922"/>
      <c r="S280" s="922"/>
      <c r="T280" s="922" t="str">
        <f t="shared" si="105"/>
        <v/>
      </c>
      <c r="U280" s="922" t="str">
        <f t="shared" si="107"/>
        <v/>
      </c>
    </row>
    <row r="281" spans="15:21">
      <c r="O281" s="943"/>
      <c r="Q281" s="922"/>
      <c r="R281" s="922"/>
      <c r="S281" s="922"/>
      <c r="T281" s="922" t="str">
        <f t="shared" si="105"/>
        <v/>
      </c>
      <c r="U281" s="922" t="str">
        <f t="shared" si="107"/>
        <v/>
      </c>
    </row>
    <row r="282" spans="15:21">
      <c r="O282" s="943"/>
      <c r="Q282" s="922"/>
      <c r="R282" s="922"/>
      <c r="S282" s="922"/>
      <c r="T282" s="922" t="str">
        <f t="shared" si="105"/>
        <v/>
      </c>
      <c r="U282" s="922" t="str">
        <f t="shared" si="107"/>
        <v/>
      </c>
    </row>
    <row r="283" spans="15:21">
      <c r="O283" s="943"/>
      <c r="Q283" s="922"/>
      <c r="R283" s="922"/>
      <c r="S283" s="922"/>
      <c r="T283" s="922" t="str">
        <f t="shared" si="105"/>
        <v/>
      </c>
      <c r="U283" s="922" t="str">
        <f t="shared" si="107"/>
        <v/>
      </c>
    </row>
    <row r="284" spans="15:21">
      <c r="O284" s="943"/>
      <c r="Q284" s="922"/>
      <c r="R284" s="922"/>
      <c r="S284" s="922"/>
      <c r="T284" s="922" t="str">
        <f t="shared" si="105"/>
        <v/>
      </c>
      <c r="U284" s="922" t="str">
        <f t="shared" si="107"/>
        <v/>
      </c>
    </row>
    <row r="285" spans="15:21">
      <c r="O285" s="943"/>
      <c r="Q285" s="922"/>
      <c r="R285" s="922"/>
      <c r="S285" s="922"/>
      <c r="T285" s="922" t="str">
        <f t="shared" si="105"/>
        <v/>
      </c>
      <c r="U285" s="922" t="str">
        <f t="shared" si="107"/>
        <v/>
      </c>
    </row>
    <row r="286" spans="15:21">
      <c r="O286" s="943"/>
      <c r="Q286" s="922"/>
      <c r="R286" s="922"/>
      <c r="S286" s="922"/>
      <c r="T286" s="922" t="str">
        <f t="shared" si="105"/>
        <v/>
      </c>
      <c r="U286" s="922" t="str">
        <f t="shared" si="107"/>
        <v/>
      </c>
    </row>
    <row r="287" spans="15:21">
      <c r="O287" s="943"/>
      <c r="Q287" s="922"/>
      <c r="R287" s="922"/>
      <c r="S287" s="922"/>
      <c r="T287" s="922" t="str">
        <f t="shared" si="105"/>
        <v/>
      </c>
      <c r="U287" s="922" t="str">
        <f t="shared" si="107"/>
        <v/>
      </c>
    </row>
    <row r="288" spans="15:21">
      <c r="O288" s="943"/>
      <c r="Q288" s="922"/>
      <c r="R288" s="922"/>
      <c r="S288" s="922"/>
      <c r="T288" s="922" t="str">
        <f t="shared" si="105"/>
        <v/>
      </c>
      <c r="U288" s="922" t="str">
        <f t="shared" si="107"/>
        <v/>
      </c>
    </row>
    <row r="289" spans="15:21">
      <c r="O289" s="943"/>
      <c r="Q289" s="922"/>
      <c r="R289" s="922"/>
      <c r="S289" s="922"/>
      <c r="T289" s="922" t="str">
        <f t="shared" si="105"/>
        <v/>
      </c>
      <c r="U289" s="922" t="str">
        <f t="shared" si="107"/>
        <v/>
      </c>
    </row>
    <row r="290" spans="15:21">
      <c r="O290" s="943"/>
      <c r="Q290" s="922"/>
      <c r="R290" s="922"/>
      <c r="S290" s="922"/>
      <c r="T290" s="922" t="str">
        <f t="shared" si="105"/>
        <v/>
      </c>
      <c r="U290" s="922" t="str">
        <f t="shared" si="107"/>
        <v/>
      </c>
    </row>
    <row r="291" spans="15:21">
      <c r="O291" s="943"/>
      <c r="Q291" s="922"/>
      <c r="R291" s="922"/>
      <c r="S291" s="922"/>
      <c r="T291" s="922" t="str">
        <f t="shared" si="105"/>
        <v/>
      </c>
      <c r="U291" s="922" t="str">
        <f t="shared" si="107"/>
        <v/>
      </c>
    </row>
    <row r="292" spans="15:21">
      <c r="O292" s="943"/>
      <c r="Q292" s="922"/>
      <c r="R292" s="922"/>
      <c r="S292" s="922"/>
      <c r="T292" s="922" t="str">
        <f t="shared" si="105"/>
        <v/>
      </c>
      <c r="U292" s="922" t="str">
        <f t="shared" ref="U292:U307" si="108">+IF(Q292=1,C158,"")</f>
        <v/>
      </c>
    </row>
    <row r="293" spans="15:21">
      <c r="O293" s="943"/>
      <c r="Q293" s="922"/>
      <c r="R293" s="922"/>
      <c r="S293" s="922"/>
      <c r="T293" s="922" t="str">
        <f t="shared" si="105"/>
        <v/>
      </c>
      <c r="U293" s="922" t="str">
        <f t="shared" si="108"/>
        <v/>
      </c>
    </row>
    <row r="294" spans="15:21">
      <c r="O294" s="943"/>
      <c r="Q294" s="922"/>
      <c r="R294" s="922"/>
      <c r="S294" s="922"/>
      <c r="T294" s="922" t="str">
        <f t="shared" si="105"/>
        <v/>
      </c>
      <c r="U294" s="922" t="str">
        <f t="shared" si="108"/>
        <v/>
      </c>
    </row>
    <row r="295" spans="15:21">
      <c r="O295" s="943"/>
      <c r="Q295" s="922"/>
      <c r="R295" s="922"/>
      <c r="S295" s="922"/>
      <c r="T295" s="922" t="str">
        <f t="shared" si="105"/>
        <v/>
      </c>
      <c r="U295" s="922" t="str">
        <f t="shared" si="108"/>
        <v/>
      </c>
    </row>
    <row r="296" spans="15:21">
      <c r="O296" s="943"/>
      <c r="Q296" s="922"/>
      <c r="R296" s="922"/>
      <c r="S296" s="922"/>
      <c r="T296" s="922" t="str">
        <f t="shared" si="105"/>
        <v/>
      </c>
      <c r="U296" s="922" t="str">
        <f t="shared" si="108"/>
        <v/>
      </c>
    </row>
    <row r="297" spans="15:21">
      <c r="O297" s="943"/>
      <c r="Q297" s="922"/>
      <c r="R297" s="922"/>
      <c r="S297" s="922"/>
      <c r="T297" s="922" t="str">
        <f t="shared" si="105"/>
        <v/>
      </c>
      <c r="U297" s="922" t="str">
        <f t="shared" si="108"/>
        <v/>
      </c>
    </row>
    <row r="298" spans="15:21">
      <c r="O298" s="943"/>
      <c r="Q298" s="922"/>
      <c r="R298" s="922"/>
      <c r="S298" s="922"/>
      <c r="T298" s="922" t="str">
        <f t="shared" si="105"/>
        <v/>
      </c>
      <c r="U298" s="922" t="str">
        <f t="shared" si="108"/>
        <v/>
      </c>
    </row>
    <row r="299" spans="15:21">
      <c r="O299" s="943"/>
      <c r="Q299" s="922"/>
      <c r="R299" s="922"/>
      <c r="S299" s="922"/>
      <c r="T299" s="922" t="str">
        <f t="shared" si="105"/>
        <v/>
      </c>
      <c r="U299" s="922" t="str">
        <f t="shared" si="108"/>
        <v/>
      </c>
    </row>
    <row r="300" spans="15:21">
      <c r="O300" s="943"/>
      <c r="Q300" s="922"/>
      <c r="R300" s="922"/>
      <c r="S300" s="922"/>
      <c r="T300" s="922" t="str">
        <f t="shared" si="105"/>
        <v/>
      </c>
      <c r="U300" s="922" t="str">
        <f t="shared" si="108"/>
        <v/>
      </c>
    </row>
    <row r="301" spans="15:21">
      <c r="O301" s="943"/>
      <c r="Q301" s="922"/>
      <c r="R301" s="922"/>
      <c r="S301" s="922"/>
      <c r="T301" s="922" t="str">
        <f t="shared" si="105"/>
        <v/>
      </c>
      <c r="U301" s="922" t="str">
        <f t="shared" si="108"/>
        <v/>
      </c>
    </row>
    <row r="302" spans="15:21">
      <c r="O302" s="943"/>
      <c r="Q302" s="922"/>
      <c r="R302" s="922"/>
      <c r="S302" s="922"/>
      <c r="T302" s="922" t="str">
        <f t="shared" si="105"/>
        <v/>
      </c>
      <c r="U302" s="922" t="str">
        <f t="shared" si="108"/>
        <v/>
      </c>
    </row>
    <row r="303" spans="15:21">
      <c r="O303" s="943"/>
      <c r="Q303" s="922"/>
      <c r="R303" s="922"/>
      <c r="S303" s="922"/>
      <c r="T303" s="922" t="str">
        <f t="shared" si="105"/>
        <v/>
      </c>
      <c r="U303" s="922" t="str">
        <f t="shared" si="108"/>
        <v/>
      </c>
    </row>
    <row r="304" spans="15:21">
      <c r="O304" s="943"/>
      <c r="Q304" s="922"/>
      <c r="R304" s="922"/>
      <c r="S304" s="922"/>
      <c r="T304" s="922" t="str">
        <f t="shared" si="105"/>
        <v/>
      </c>
      <c r="U304" s="922" t="str">
        <f t="shared" si="108"/>
        <v/>
      </c>
    </row>
    <row r="305" spans="15:21">
      <c r="O305" s="943"/>
      <c r="Q305" s="922"/>
      <c r="R305" s="922"/>
      <c r="S305" s="922"/>
      <c r="T305" s="922" t="str">
        <f t="shared" si="105"/>
        <v/>
      </c>
      <c r="U305" s="922" t="str">
        <f t="shared" si="108"/>
        <v/>
      </c>
    </row>
    <row r="306" spans="15:21">
      <c r="O306" s="943"/>
      <c r="Q306" s="922"/>
      <c r="R306" s="922"/>
      <c r="S306" s="922"/>
      <c r="T306" s="922" t="str">
        <f t="shared" si="105"/>
        <v/>
      </c>
      <c r="U306" s="922" t="str">
        <f t="shared" si="108"/>
        <v/>
      </c>
    </row>
    <row r="307" spans="15:21">
      <c r="O307" s="943"/>
      <c r="Q307" s="922"/>
      <c r="R307" s="922"/>
      <c r="S307" s="922"/>
      <c r="T307" s="922" t="str">
        <f t="shared" si="105"/>
        <v/>
      </c>
      <c r="U307" s="922" t="str">
        <f t="shared" si="108"/>
        <v/>
      </c>
    </row>
    <row r="308" spans="15:21">
      <c r="O308" s="943"/>
      <c r="Q308" s="922"/>
      <c r="R308" s="922"/>
      <c r="S308" s="922"/>
      <c r="T308" s="922" t="str">
        <f t="shared" si="105"/>
        <v/>
      </c>
      <c r="U308" s="922" t="str">
        <f t="shared" ref="U308:U323" si="109">+IF(Q308=1,C174,"")</f>
        <v/>
      </c>
    </row>
    <row r="309" spans="15:21">
      <c r="O309" s="943"/>
      <c r="Q309" s="922"/>
      <c r="R309" s="922"/>
      <c r="S309" s="922"/>
      <c r="T309" s="922" t="str">
        <f t="shared" si="105"/>
        <v/>
      </c>
      <c r="U309" s="922" t="str">
        <f t="shared" si="109"/>
        <v/>
      </c>
    </row>
    <row r="310" spans="15:21">
      <c r="O310" s="943"/>
      <c r="Q310" s="922"/>
      <c r="R310" s="922"/>
      <c r="S310" s="922"/>
      <c r="T310" s="922" t="str">
        <f t="shared" si="105"/>
        <v/>
      </c>
      <c r="U310" s="922" t="str">
        <f t="shared" si="109"/>
        <v/>
      </c>
    </row>
    <row r="311" spans="15:21">
      <c r="O311" s="943"/>
      <c r="Q311" s="922"/>
      <c r="R311" s="922"/>
      <c r="S311" s="922"/>
      <c r="T311" s="922" t="str">
        <f t="shared" si="105"/>
        <v/>
      </c>
      <c r="U311" s="922" t="str">
        <f t="shared" si="109"/>
        <v/>
      </c>
    </row>
    <row r="312" spans="15:21">
      <c r="O312" s="943"/>
      <c r="Q312" s="922"/>
      <c r="R312" s="922"/>
      <c r="S312" s="922"/>
      <c r="T312" s="922" t="str">
        <f t="shared" si="105"/>
        <v/>
      </c>
      <c r="U312" s="922" t="str">
        <f t="shared" si="109"/>
        <v/>
      </c>
    </row>
    <row r="313" spans="15:21">
      <c r="O313" s="943"/>
      <c r="Q313" s="922"/>
      <c r="R313" s="922"/>
      <c r="S313" s="922"/>
      <c r="T313" s="922" t="str">
        <f t="shared" si="105"/>
        <v/>
      </c>
      <c r="U313" s="922" t="str">
        <f t="shared" si="109"/>
        <v/>
      </c>
    </row>
    <row r="314" spans="15:21">
      <c r="O314" s="943"/>
      <c r="Q314" s="922"/>
      <c r="R314" s="922"/>
      <c r="S314" s="922"/>
      <c r="T314" s="922" t="str">
        <f t="shared" si="105"/>
        <v/>
      </c>
      <c r="U314" s="922" t="str">
        <f t="shared" si="109"/>
        <v/>
      </c>
    </row>
    <row r="315" spans="15:21">
      <c r="O315" s="943"/>
      <c r="Q315" s="922"/>
      <c r="R315" s="922"/>
      <c r="S315" s="922"/>
      <c r="T315" s="922" t="str">
        <f t="shared" si="105"/>
        <v/>
      </c>
      <c r="U315" s="922" t="str">
        <f t="shared" si="109"/>
        <v/>
      </c>
    </row>
    <row r="316" spans="15:21">
      <c r="O316" s="943"/>
      <c r="Q316" s="922"/>
      <c r="R316" s="922"/>
      <c r="S316" s="922"/>
      <c r="T316" s="922" t="str">
        <f t="shared" si="105"/>
        <v/>
      </c>
      <c r="U316" s="922" t="str">
        <f t="shared" si="109"/>
        <v/>
      </c>
    </row>
    <row r="317" spans="15:21">
      <c r="O317" s="943"/>
      <c r="Q317" s="922"/>
      <c r="R317" s="922"/>
      <c r="S317" s="922"/>
      <c r="T317" s="922" t="str">
        <f t="shared" si="105"/>
        <v/>
      </c>
      <c r="U317" s="922" t="str">
        <f t="shared" si="109"/>
        <v/>
      </c>
    </row>
    <row r="318" spans="15:21">
      <c r="O318" s="943"/>
      <c r="Q318" s="922"/>
      <c r="R318" s="922"/>
      <c r="S318" s="922"/>
      <c r="T318" s="922" t="str">
        <f t="shared" si="105"/>
        <v/>
      </c>
      <c r="U318" s="922" t="str">
        <f t="shared" si="109"/>
        <v/>
      </c>
    </row>
    <row r="319" spans="15:21">
      <c r="O319" s="943"/>
      <c r="Q319" s="922"/>
      <c r="R319" s="922"/>
      <c r="S319" s="922"/>
      <c r="T319" s="922" t="str">
        <f t="shared" si="105"/>
        <v/>
      </c>
      <c r="U319" s="922" t="str">
        <f t="shared" si="109"/>
        <v/>
      </c>
    </row>
    <row r="320" spans="15:21">
      <c r="O320" s="943"/>
      <c r="Q320" s="922"/>
      <c r="R320" s="922"/>
      <c r="S320" s="922"/>
      <c r="T320" s="922" t="str">
        <f t="shared" si="105"/>
        <v/>
      </c>
      <c r="U320" s="922" t="str">
        <f t="shared" si="109"/>
        <v/>
      </c>
    </row>
    <row r="321" spans="15:21">
      <c r="O321" s="943"/>
      <c r="Q321" s="922"/>
      <c r="R321" s="922"/>
      <c r="S321" s="922"/>
      <c r="T321" s="922" t="str">
        <f t="shared" si="105"/>
        <v/>
      </c>
      <c r="U321" s="922" t="str">
        <f t="shared" si="109"/>
        <v/>
      </c>
    </row>
    <row r="322" spans="15:21">
      <c r="O322" s="943"/>
      <c r="Q322" s="922"/>
      <c r="R322" s="922"/>
      <c r="S322" s="922"/>
      <c r="T322" s="922" t="str">
        <f t="shared" si="105"/>
        <v/>
      </c>
      <c r="U322" s="922" t="str">
        <f t="shared" si="109"/>
        <v/>
      </c>
    </row>
    <row r="323" spans="15:21">
      <c r="O323" s="943"/>
      <c r="Q323" s="922"/>
      <c r="R323" s="922"/>
      <c r="S323" s="922"/>
      <c r="T323" s="922" t="str">
        <f t="shared" si="105"/>
        <v/>
      </c>
      <c r="U323" s="922" t="str">
        <f t="shared" si="109"/>
        <v/>
      </c>
    </row>
    <row r="324" spans="15:21">
      <c r="O324" s="943"/>
      <c r="Q324" s="922"/>
      <c r="R324" s="922"/>
      <c r="S324" s="922"/>
      <c r="T324" s="922" t="str">
        <f t="shared" ref="T324:T387" si="110">+IF(P324=1,A190,"")</f>
        <v/>
      </c>
      <c r="U324" s="922" t="str">
        <f t="shared" ref="U324:U339" si="111">+IF(Q324=1,C190,"")</f>
        <v/>
      </c>
    </row>
    <row r="325" spans="15:21">
      <c r="O325" s="943"/>
      <c r="Q325" s="922"/>
      <c r="R325" s="922"/>
      <c r="S325" s="922"/>
      <c r="T325" s="922" t="str">
        <f t="shared" si="110"/>
        <v/>
      </c>
      <c r="U325" s="922" t="str">
        <f t="shared" si="111"/>
        <v/>
      </c>
    </row>
    <row r="326" spans="15:21">
      <c r="O326" s="943"/>
      <c r="Q326" s="922"/>
      <c r="R326" s="922"/>
      <c r="S326" s="922"/>
      <c r="T326" s="922" t="str">
        <f t="shared" si="110"/>
        <v/>
      </c>
      <c r="U326" s="922" t="str">
        <f t="shared" si="111"/>
        <v/>
      </c>
    </row>
    <row r="327" spans="15:21">
      <c r="O327" s="943"/>
      <c r="Q327" s="922"/>
      <c r="R327" s="922"/>
      <c r="S327" s="922"/>
      <c r="T327" s="922" t="str">
        <f t="shared" si="110"/>
        <v/>
      </c>
      <c r="U327" s="922" t="str">
        <f t="shared" si="111"/>
        <v/>
      </c>
    </row>
    <row r="328" spans="15:21">
      <c r="O328" s="943"/>
      <c r="Q328" s="922"/>
      <c r="R328" s="922"/>
      <c r="S328" s="922"/>
      <c r="T328" s="922" t="str">
        <f t="shared" si="110"/>
        <v/>
      </c>
      <c r="U328" s="922" t="str">
        <f t="shared" si="111"/>
        <v/>
      </c>
    </row>
    <row r="329" spans="15:21">
      <c r="O329" s="943"/>
      <c r="Q329" s="922"/>
      <c r="R329" s="922"/>
      <c r="S329" s="922"/>
      <c r="T329" s="922" t="str">
        <f t="shared" si="110"/>
        <v/>
      </c>
      <c r="U329" s="922" t="str">
        <f t="shared" si="111"/>
        <v/>
      </c>
    </row>
    <row r="330" spans="15:21">
      <c r="O330" s="943"/>
      <c r="Q330" s="922"/>
      <c r="R330" s="922"/>
      <c r="S330" s="922"/>
      <c r="T330" s="922" t="str">
        <f t="shared" si="110"/>
        <v/>
      </c>
      <c r="U330" s="922" t="str">
        <f t="shared" si="111"/>
        <v/>
      </c>
    </row>
    <row r="331" spans="15:21">
      <c r="O331" s="943"/>
      <c r="Q331" s="922"/>
      <c r="R331" s="922"/>
      <c r="S331" s="922"/>
      <c r="T331" s="922" t="str">
        <f t="shared" si="110"/>
        <v/>
      </c>
      <c r="U331" s="922" t="str">
        <f t="shared" si="111"/>
        <v/>
      </c>
    </row>
    <row r="332" spans="15:21">
      <c r="O332" s="943"/>
      <c r="Q332" s="922"/>
      <c r="R332" s="922"/>
      <c r="S332" s="922"/>
      <c r="T332" s="922" t="str">
        <f t="shared" si="110"/>
        <v/>
      </c>
      <c r="U332" s="922" t="str">
        <f t="shared" si="111"/>
        <v/>
      </c>
    </row>
    <row r="333" spans="15:21">
      <c r="O333" s="943"/>
      <c r="Q333" s="922"/>
      <c r="R333" s="922"/>
      <c r="S333" s="922"/>
      <c r="T333" s="922" t="str">
        <f t="shared" si="110"/>
        <v/>
      </c>
      <c r="U333" s="922" t="str">
        <f t="shared" si="111"/>
        <v/>
      </c>
    </row>
    <row r="334" spans="15:21">
      <c r="O334" s="943"/>
      <c r="Q334" s="922"/>
      <c r="R334" s="922"/>
      <c r="S334" s="922"/>
      <c r="T334" s="922" t="str">
        <f t="shared" si="110"/>
        <v/>
      </c>
      <c r="U334" s="922" t="str">
        <f t="shared" si="111"/>
        <v/>
      </c>
    </row>
    <row r="335" spans="15:21">
      <c r="O335" s="943"/>
      <c r="Q335" s="922"/>
      <c r="R335" s="922"/>
      <c r="S335" s="922"/>
      <c r="T335" s="922" t="str">
        <f t="shared" si="110"/>
        <v/>
      </c>
      <c r="U335" s="922" t="str">
        <f t="shared" si="111"/>
        <v/>
      </c>
    </row>
    <row r="336" spans="15:21">
      <c r="O336" s="943"/>
      <c r="Q336" s="922"/>
      <c r="R336" s="922"/>
      <c r="S336" s="922"/>
      <c r="T336" s="922" t="str">
        <f t="shared" si="110"/>
        <v/>
      </c>
      <c r="U336" s="922" t="str">
        <f t="shared" si="111"/>
        <v/>
      </c>
    </row>
    <row r="337" spans="15:21">
      <c r="O337" s="943"/>
      <c r="Q337" s="922"/>
      <c r="R337" s="922"/>
      <c r="S337" s="922"/>
      <c r="T337" s="922" t="str">
        <f t="shared" si="110"/>
        <v/>
      </c>
      <c r="U337" s="922" t="str">
        <f t="shared" si="111"/>
        <v/>
      </c>
    </row>
    <row r="338" spans="15:21">
      <c r="O338" s="943"/>
      <c r="Q338" s="922"/>
      <c r="R338" s="922"/>
      <c r="S338" s="922"/>
      <c r="T338" s="922" t="str">
        <f t="shared" si="110"/>
        <v/>
      </c>
      <c r="U338" s="922" t="str">
        <f t="shared" si="111"/>
        <v/>
      </c>
    </row>
    <row r="339" spans="15:21">
      <c r="O339" s="943"/>
      <c r="Q339" s="922"/>
      <c r="R339" s="922"/>
      <c r="S339" s="922"/>
      <c r="T339" s="922" t="str">
        <f t="shared" si="110"/>
        <v/>
      </c>
      <c r="U339" s="922" t="str">
        <f t="shared" si="111"/>
        <v/>
      </c>
    </row>
    <row r="340" spans="15:21">
      <c r="O340" s="943"/>
      <c r="Q340" s="922"/>
      <c r="R340" s="922"/>
      <c r="S340" s="922"/>
      <c r="T340" s="922" t="str">
        <f t="shared" si="110"/>
        <v/>
      </c>
      <c r="U340" s="922" t="str">
        <f t="shared" ref="U340:U355" si="112">+IF(Q340=1,C206,"")</f>
        <v/>
      </c>
    </row>
    <row r="341" spans="15:21">
      <c r="O341" s="943"/>
      <c r="Q341" s="922"/>
      <c r="R341" s="922"/>
      <c r="S341" s="922"/>
      <c r="T341" s="922" t="str">
        <f t="shared" si="110"/>
        <v/>
      </c>
      <c r="U341" s="922" t="str">
        <f t="shared" si="112"/>
        <v/>
      </c>
    </row>
    <row r="342" spans="15:21">
      <c r="O342" s="943"/>
      <c r="Q342" s="922"/>
      <c r="R342" s="922"/>
      <c r="S342" s="922"/>
      <c r="T342" s="922" t="str">
        <f t="shared" si="110"/>
        <v/>
      </c>
      <c r="U342" s="922" t="str">
        <f t="shared" si="112"/>
        <v/>
      </c>
    </row>
    <row r="343" spans="15:21">
      <c r="O343" s="943"/>
      <c r="Q343" s="922"/>
      <c r="R343" s="922"/>
      <c r="S343" s="922"/>
      <c r="T343" s="922" t="str">
        <f t="shared" si="110"/>
        <v/>
      </c>
      <c r="U343" s="922" t="str">
        <f t="shared" si="112"/>
        <v/>
      </c>
    </row>
    <row r="344" spans="15:21">
      <c r="O344" s="943"/>
      <c r="Q344" s="922"/>
      <c r="R344" s="922"/>
      <c r="S344" s="922"/>
      <c r="T344" s="922" t="str">
        <f t="shared" si="110"/>
        <v/>
      </c>
      <c r="U344" s="922" t="str">
        <f t="shared" si="112"/>
        <v/>
      </c>
    </row>
    <row r="345" spans="15:21">
      <c r="O345" s="943"/>
      <c r="Q345" s="922"/>
      <c r="R345" s="922"/>
      <c r="S345" s="922"/>
      <c r="T345" s="922" t="str">
        <f t="shared" si="110"/>
        <v/>
      </c>
      <c r="U345" s="922" t="str">
        <f t="shared" si="112"/>
        <v/>
      </c>
    </row>
    <row r="346" spans="15:21">
      <c r="O346" s="943"/>
      <c r="Q346" s="922"/>
      <c r="R346" s="922"/>
      <c r="S346" s="922"/>
      <c r="T346" s="922" t="str">
        <f t="shared" si="110"/>
        <v/>
      </c>
      <c r="U346" s="922" t="str">
        <f t="shared" si="112"/>
        <v/>
      </c>
    </row>
    <row r="347" spans="15:21">
      <c r="O347" s="943"/>
      <c r="Q347" s="922"/>
      <c r="R347" s="922"/>
      <c r="S347" s="922"/>
      <c r="T347" s="922" t="str">
        <f t="shared" si="110"/>
        <v/>
      </c>
      <c r="U347" s="922" t="str">
        <f t="shared" si="112"/>
        <v/>
      </c>
    </row>
    <row r="348" spans="15:21">
      <c r="O348" s="943"/>
      <c r="Q348" s="922"/>
      <c r="R348" s="922"/>
      <c r="S348" s="922"/>
      <c r="T348" s="922" t="str">
        <f t="shared" si="110"/>
        <v/>
      </c>
      <c r="U348" s="922" t="str">
        <f t="shared" si="112"/>
        <v/>
      </c>
    </row>
    <row r="349" spans="15:21">
      <c r="O349" s="943"/>
      <c r="Q349" s="922"/>
      <c r="R349" s="922"/>
      <c r="S349" s="922"/>
      <c r="T349" s="922" t="str">
        <f t="shared" si="110"/>
        <v/>
      </c>
      <c r="U349" s="922" t="str">
        <f t="shared" si="112"/>
        <v/>
      </c>
    </row>
    <row r="350" spans="15:21">
      <c r="O350" s="943"/>
      <c r="Q350" s="922"/>
      <c r="R350" s="922"/>
      <c r="S350" s="922"/>
      <c r="T350" s="922" t="str">
        <f t="shared" si="110"/>
        <v/>
      </c>
      <c r="U350" s="922" t="str">
        <f t="shared" si="112"/>
        <v/>
      </c>
    </row>
    <row r="351" spans="15:21">
      <c r="O351" s="943"/>
      <c r="Q351" s="922"/>
      <c r="R351" s="922"/>
      <c r="S351" s="922"/>
      <c r="T351" s="922" t="str">
        <f t="shared" si="110"/>
        <v/>
      </c>
      <c r="U351" s="922" t="str">
        <f t="shared" si="112"/>
        <v/>
      </c>
    </row>
    <row r="352" spans="15:21">
      <c r="O352" s="943"/>
      <c r="Q352" s="922"/>
      <c r="R352" s="922"/>
      <c r="S352" s="922"/>
      <c r="T352" s="922" t="str">
        <f t="shared" si="110"/>
        <v/>
      </c>
      <c r="U352" s="922" t="str">
        <f t="shared" si="112"/>
        <v/>
      </c>
    </row>
    <row r="353" spans="15:21">
      <c r="O353" s="943"/>
      <c r="Q353" s="922"/>
      <c r="R353" s="922"/>
      <c r="S353" s="922"/>
      <c r="T353" s="922" t="str">
        <f t="shared" si="110"/>
        <v/>
      </c>
      <c r="U353" s="922" t="str">
        <f t="shared" si="112"/>
        <v/>
      </c>
    </row>
    <row r="354" spans="15:21">
      <c r="O354" s="943"/>
      <c r="Q354" s="922"/>
      <c r="R354" s="922"/>
      <c r="S354" s="922"/>
      <c r="T354" s="922" t="str">
        <f t="shared" si="110"/>
        <v/>
      </c>
      <c r="U354" s="922" t="str">
        <f t="shared" si="112"/>
        <v/>
      </c>
    </row>
    <row r="355" spans="15:21">
      <c r="O355" s="943"/>
      <c r="Q355" s="922"/>
      <c r="R355" s="922"/>
      <c r="S355" s="922"/>
      <c r="T355" s="922" t="str">
        <f t="shared" si="110"/>
        <v/>
      </c>
      <c r="U355" s="922" t="str">
        <f t="shared" si="112"/>
        <v/>
      </c>
    </row>
    <row r="356" spans="15:21">
      <c r="O356" s="943"/>
      <c r="Q356" s="922"/>
      <c r="R356" s="922"/>
      <c r="S356" s="922"/>
      <c r="T356" s="922" t="str">
        <f t="shared" si="110"/>
        <v/>
      </c>
      <c r="U356" s="922" t="str">
        <f t="shared" ref="U356:U371" si="113">+IF(Q356=1,C222,"")</f>
        <v/>
      </c>
    </row>
    <row r="357" spans="15:21">
      <c r="O357" s="943"/>
      <c r="Q357" s="922"/>
      <c r="R357" s="922"/>
      <c r="S357" s="922"/>
      <c r="T357" s="922" t="str">
        <f t="shared" si="110"/>
        <v/>
      </c>
      <c r="U357" s="922" t="str">
        <f t="shared" si="113"/>
        <v/>
      </c>
    </row>
    <row r="358" spans="15:21">
      <c r="O358" s="943"/>
      <c r="Q358" s="922"/>
      <c r="R358" s="922"/>
      <c r="S358" s="922"/>
      <c r="T358" s="922" t="str">
        <f t="shared" si="110"/>
        <v/>
      </c>
      <c r="U358" s="922" t="str">
        <f t="shared" si="113"/>
        <v/>
      </c>
    </row>
    <row r="359" spans="15:21">
      <c r="O359" s="943"/>
      <c r="Q359" s="922"/>
      <c r="R359" s="922"/>
      <c r="S359" s="922"/>
      <c r="T359" s="922" t="str">
        <f t="shared" si="110"/>
        <v/>
      </c>
      <c r="U359" s="922" t="str">
        <f t="shared" si="113"/>
        <v/>
      </c>
    </row>
    <row r="360" spans="15:21">
      <c r="O360" s="943"/>
      <c r="Q360" s="922"/>
      <c r="R360" s="922"/>
      <c r="S360" s="922"/>
      <c r="T360" s="922" t="str">
        <f t="shared" si="110"/>
        <v/>
      </c>
      <c r="U360" s="922" t="str">
        <f t="shared" si="113"/>
        <v/>
      </c>
    </row>
    <row r="361" spans="15:21">
      <c r="O361" s="943"/>
      <c r="Q361" s="922"/>
      <c r="R361" s="922"/>
      <c r="S361" s="922"/>
      <c r="T361" s="922" t="str">
        <f t="shared" si="110"/>
        <v/>
      </c>
      <c r="U361" s="922" t="str">
        <f t="shared" si="113"/>
        <v/>
      </c>
    </row>
    <row r="362" spans="15:21">
      <c r="O362" s="943"/>
      <c r="Q362" s="922"/>
      <c r="R362" s="922"/>
      <c r="S362" s="922"/>
      <c r="T362" s="922" t="str">
        <f t="shared" si="110"/>
        <v/>
      </c>
      <c r="U362" s="922" t="str">
        <f t="shared" si="113"/>
        <v/>
      </c>
    </row>
    <row r="363" spans="15:21">
      <c r="O363" s="943"/>
      <c r="Q363" s="922"/>
      <c r="R363" s="922"/>
      <c r="S363" s="922"/>
      <c r="T363" s="922" t="str">
        <f t="shared" si="110"/>
        <v/>
      </c>
      <c r="U363" s="922" t="str">
        <f t="shared" si="113"/>
        <v/>
      </c>
    </row>
    <row r="364" spans="15:21">
      <c r="O364" s="943"/>
      <c r="Q364" s="922"/>
      <c r="R364" s="922"/>
      <c r="S364" s="922"/>
      <c r="T364" s="922" t="str">
        <f t="shared" si="110"/>
        <v/>
      </c>
      <c r="U364" s="922" t="str">
        <f t="shared" si="113"/>
        <v/>
      </c>
    </row>
    <row r="365" spans="15:21">
      <c r="O365" s="943"/>
      <c r="Q365" s="922"/>
      <c r="R365" s="922"/>
      <c r="S365" s="922"/>
      <c r="T365" s="922" t="str">
        <f t="shared" si="110"/>
        <v/>
      </c>
      <c r="U365" s="922" t="str">
        <f t="shared" si="113"/>
        <v/>
      </c>
    </row>
    <row r="366" spans="15:21">
      <c r="O366" s="943"/>
      <c r="Q366" s="922"/>
      <c r="R366" s="922"/>
      <c r="S366" s="922"/>
      <c r="T366" s="922" t="str">
        <f t="shared" si="110"/>
        <v/>
      </c>
      <c r="U366" s="922" t="str">
        <f t="shared" si="113"/>
        <v/>
      </c>
    </row>
    <row r="367" spans="15:21">
      <c r="O367" s="943"/>
      <c r="Q367" s="922"/>
      <c r="R367" s="922"/>
      <c r="S367" s="922"/>
      <c r="T367" s="922" t="str">
        <f t="shared" si="110"/>
        <v/>
      </c>
      <c r="U367" s="922" t="str">
        <f t="shared" si="113"/>
        <v/>
      </c>
    </row>
    <row r="368" spans="15:21">
      <c r="O368" s="943"/>
      <c r="Q368" s="922"/>
      <c r="R368" s="922"/>
      <c r="S368" s="922"/>
      <c r="T368" s="922" t="str">
        <f t="shared" si="110"/>
        <v/>
      </c>
      <c r="U368" s="922" t="str">
        <f t="shared" si="113"/>
        <v/>
      </c>
    </row>
    <row r="369" spans="15:21">
      <c r="O369" s="943"/>
      <c r="Q369" s="922"/>
      <c r="R369" s="922"/>
      <c r="S369" s="922"/>
      <c r="T369" s="922" t="str">
        <f t="shared" si="110"/>
        <v/>
      </c>
      <c r="U369" s="922" t="str">
        <f t="shared" si="113"/>
        <v/>
      </c>
    </row>
    <row r="370" spans="15:21">
      <c r="O370" s="943"/>
      <c r="Q370" s="922"/>
      <c r="R370" s="922"/>
      <c r="S370" s="922"/>
      <c r="T370" s="922" t="str">
        <f t="shared" si="110"/>
        <v/>
      </c>
      <c r="U370" s="922" t="str">
        <f t="shared" si="113"/>
        <v/>
      </c>
    </row>
    <row r="371" spans="15:21">
      <c r="O371" s="943"/>
      <c r="Q371" s="922"/>
      <c r="R371" s="922"/>
      <c r="S371" s="922"/>
      <c r="T371" s="922" t="str">
        <f t="shared" si="110"/>
        <v/>
      </c>
      <c r="U371" s="922" t="str">
        <f t="shared" si="113"/>
        <v/>
      </c>
    </row>
    <row r="372" spans="15:21">
      <c r="O372" s="943"/>
      <c r="Q372" s="922"/>
      <c r="R372" s="922"/>
      <c r="S372" s="922"/>
      <c r="T372" s="922" t="str">
        <f t="shared" si="110"/>
        <v/>
      </c>
      <c r="U372" s="922" t="str">
        <f t="shared" ref="U372:U387" si="114">+IF(Q372=1,C238,"")</f>
        <v/>
      </c>
    </row>
    <row r="373" spans="15:21">
      <c r="O373" s="943"/>
      <c r="Q373" s="922"/>
      <c r="R373" s="922"/>
      <c r="S373" s="922"/>
      <c r="T373" s="922" t="str">
        <f t="shared" si="110"/>
        <v/>
      </c>
      <c r="U373" s="922" t="str">
        <f t="shared" si="114"/>
        <v/>
      </c>
    </row>
    <row r="374" spans="15:21">
      <c r="O374" s="943"/>
      <c r="Q374" s="922"/>
      <c r="R374" s="922"/>
      <c r="S374" s="922"/>
      <c r="T374" s="922" t="str">
        <f t="shared" si="110"/>
        <v/>
      </c>
      <c r="U374" s="922" t="str">
        <f t="shared" si="114"/>
        <v/>
      </c>
    </row>
    <row r="375" spans="15:21">
      <c r="O375" s="943"/>
      <c r="Q375" s="922"/>
      <c r="R375" s="922"/>
      <c r="S375" s="922"/>
      <c r="T375" s="922" t="str">
        <f t="shared" si="110"/>
        <v/>
      </c>
      <c r="U375" s="922" t="str">
        <f t="shared" si="114"/>
        <v/>
      </c>
    </row>
    <row r="376" spans="15:21">
      <c r="O376" s="943"/>
      <c r="Q376" s="922"/>
      <c r="R376" s="922"/>
      <c r="S376" s="922"/>
      <c r="T376" s="922" t="str">
        <f t="shared" si="110"/>
        <v/>
      </c>
      <c r="U376" s="922" t="str">
        <f t="shared" si="114"/>
        <v/>
      </c>
    </row>
    <row r="377" spans="15:21">
      <c r="O377" s="943"/>
      <c r="Q377" s="922"/>
      <c r="R377" s="922"/>
      <c r="S377" s="922"/>
      <c r="T377" s="922" t="str">
        <f t="shared" si="110"/>
        <v/>
      </c>
      <c r="U377" s="922" t="str">
        <f t="shared" si="114"/>
        <v/>
      </c>
    </row>
    <row r="378" spans="15:21">
      <c r="O378" s="943"/>
      <c r="Q378" s="922"/>
      <c r="R378" s="922"/>
      <c r="S378" s="922"/>
      <c r="T378" s="922" t="str">
        <f t="shared" si="110"/>
        <v/>
      </c>
      <c r="U378" s="922" t="str">
        <f t="shared" si="114"/>
        <v/>
      </c>
    </row>
    <row r="379" spans="15:21">
      <c r="O379" s="943"/>
      <c r="Q379" s="922"/>
      <c r="R379" s="922"/>
      <c r="S379" s="922"/>
      <c r="T379" s="922" t="str">
        <f t="shared" si="110"/>
        <v/>
      </c>
      <c r="U379" s="922" t="str">
        <f t="shared" si="114"/>
        <v/>
      </c>
    </row>
    <row r="380" spans="15:21">
      <c r="O380" s="943"/>
      <c r="Q380" s="922"/>
      <c r="R380" s="922"/>
      <c r="S380" s="922"/>
      <c r="T380" s="922" t="str">
        <f t="shared" si="110"/>
        <v/>
      </c>
      <c r="U380" s="922" t="str">
        <f t="shared" si="114"/>
        <v/>
      </c>
    </row>
    <row r="381" spans="15:21">
      <c r="O381" s="943"/>
      <c r="Q381" s="922"/>
      <c r="R381" s="922"/>
      <c r="S381" s="922"/>
      <c r="T381" s="922" t="str">
        <f t="shared" si="110"/>
        <v/>
      </c>
      <c r="U381" s="922" t="str">
        <f t="shared" si="114"/>
        <v/>
      </c>
    </row>
    <row r="382" spans="15:21">
      <c r="O382" s="943"/>
      <c r="Q382" s="922"/>
      <c r="R382" s="922"/>
      <c r="S382" s="922"/>
      <c r="T382" s="922" t="str">
        <f t="shared" si="110"/>
        <v/>
      </c>
      <c r="U382" s="922" t="str">
        <f t="shared" si="114"/>
        <v/>
      </c>
    </row>
    <row r="383" spans="15:21">
      <c r="O383" s="943"/>
      <c r="Q383" s="922"/>
      <c r="R383" s="922"/>
      <c r="S383" s="922"/>
      <c r="T383" s="922" t="str">
        <f t="shared" si="110"/>
        <v/>
      </c>
      <c r="U383" s="922" t="str">
        <f t="shared" si="114"/>
        <v/>
      </c>
    </row>
    <row r="384" spans="15:21">
      <c r="O384" s="943"/>
      <c r="Q384" s="922"/>
      <c r="R384" s="922"/>
      <c r="S384" s="922"/>
      <c r="T384" s="922" t="str">
        <f t="shared" si="110"/>
        <v/>
      </c>
      <c r="U384" s="922" t="str">
        <f t="shared" si="114"/>
        <v/>
      </c>
    </row>
    <row r="385" spans="15:21">
      <c r="O385" s="943"/>
      <c r="Q385" s="922"/>
      <c r="R385" s="922"/>
      <c r="S385" s="922"/>
      <c r="T385" s="922" t="str">
        <f t="shared" si="110"/>
        <v/>
      </c>
      <c r="U385" s="922" t="str">
        <f t="shared" si="114"/>
        <v/>
      </c>
    </row>
    <row r="386" spans="15:21">
      <c r="O386" s="943"/>
      <c r="Q386" s="922"/>
      <c r="R386" s="922"/>
      <c r="S386" s="922"/>
      <c r="T386" s="922" t="str">
        <f t="shared" si="110"/>
        <v/>
      </c>
      <c r="U386" s="922" t="str">
        <f t="shared" si="114"/>
        <v/>
      </c>
    </row>
    <row r="387" spans="15:21">
      <c r="O387" s="943"/>
      <c r="Q387" s="922"/>
      <c r="R387" s="922"/>
      <c r="S387" s="922"/>
      <c r="T387" s="922" t="str">
        <f t="shared" si="110"/>
        <v/>
      </c>
      <c r="U387" s="922" t="str">
        <f t="shared" si="114"/>
        <v/>
      </c>
    </row>
    <row r="388" spans="15:21">
      <c r="O388" s="943"/>
      <c r="Q388" s="922"/>
      <c r="R388" s="922"/>
      <c r="S388" s="922"/>
      <c r="T388" s="922" t="str">
        <f t="shared" ref="T388:T451" si="115">+IF(P388=1,A254,"")</f>
        <v/>
      </c>
      <c r="U388" s="922" t="str">
        <f t="shared" ref="U388:U403" si="116">+IF(Q388=1,C254,"")</f>
        <v/>
      </c>
    </row>
    <row r="389" spans="15:21">
      <c r="O389" s="943"/>
      <c r="Q389" s="922"/>
      <c r="R389" s="922"/>
      <c r="S389" s="922"/>
      <c r="T389" s="922" t="str">
        <f t="shared" si="115"/>
        <v/>
      </c>
      <c r="U389" s="922" t="str">
        <f t="shared" si="116"/>
        <v/>
      </c>
    </row>
    <row r="390" spans="15:21">
      <c r="O390" s="943"/>
      <c r="Q390" s="922"/>
      <c r="R390" s="922"/>
      <c r="S390" s="922"/>
      <c r="T390" s="922" t="str">
        <f t="shared" si="115"/>
        <v/>
      </c>
      <c r="U390" s="922" t="str">
        <f t="shared" si="116"/>
        <v/>
      </c>
    </row>
    <row r="391" spans="15:21">
      <c r="O391" s="943"/>
      <c r="Q391" s="922"/>
      <c r="R391" s="922"/>
      <c r="S391" s="922"/>
      <c r="T391" s="922" t="str">
        <f t="shared" si="115"/>
        <v/>
      </c>
      <c r="U391" s="922" t="str">
        <f t="shared" si="116"/>
        <v/>
      </c>
    </row>
    <row r="392" spans="15:21">
      <c r="O392" s="943"/>
      <c r="Q392" s="922"/>
      <c r="R392" s="922"/>
      <c r="S392" s="922"/>
      <c r="T392" s="922" t="str">
        <f t="shared" si="115"/>
        <v/>
      </c>
      <c r="U392" s="922" t="str">
        <f t="shared" si="116"/>
        <v/>
      </c>
    </row>
    <row r="393" spans="15:21">
      <c r="O393" s="943"/>
      <c r="Q393" s="922"/>
      <c r="R393" s="922"/>
      <c r="S393" s="922"/>
      <c r="T393" s="922" t="str">
        <f t="shared" si="115"/>
        <v/>
      </c>
      <c r="U393" s="922" t="str">
        <f t="shared" si="116"/>
        <v/>
      </c>
    </row>
    <row r="394" spans="15:21">
      <c r="O394" s="943"/>
      <c r="Q394" s="922"/>
      <c r="R394" s="922"/>
      <c r="S394" s="922"/>
      <c r="T394" s="922" t="str">
        <f t="shared" si="115"/>
        <v/>
      </c>
      <c r="U394" s="922" t="str">
        <f t="shared" si="116"/>
        <v/>
      </c>
    </row>
    <row r="395" spans="15:21">
      <c r="O395" s="943"/>
      <c r="Q395" s="922"/>
      <c r="R395" s="922"/>
      <c r="S395" s="922"/>
      <c r="T395" s="922" t="str">
        <f t="shared" si="115"/>
        <v/>
      </c>
      <c r="U395" s="922" t="str">
        <f t="shared" si="116"/>
        <v/>
      </c>
    </row>
    <row r="396" spans="15:21">
      <c r="O396" s="943"/>
      <c r="Q396" s="922"/>
      <c r="R396" s="922"/>
      <c r="S396" s="922"/>
      <c r="T396" s="922" t="str">
        <f t="shared" si="115"/>
        <v/>
      </c>
      <c r="U396" s="922" t="str">
        <f t="shared" si="116"/>
        <v/>
      </c>
    </row>
    <row r="397" spans="15:21">
      <c r="O397" s="943"/>
      <c r="Q397" s="922"/>
      <c r="R397" s="922"/>
      <c r="S397" s="922"/>
      <c r="T397" s="922" t="str">
        <f t="shared" si="115"/>
        <v/>
      </c>
      <c r="U397" s="922" t="str">
        <f t="shared" si="116"/>
        <v/>
      </c>
    </row>
    <row r="398" spans="15:21">
      <c r="O398" s="943"/>
      <c r="Q398" s="922"/>
      <c r="R398" s="922"/>
      <c r="S398" s="922"/>
      <c r="T398" s="922" t="str">
        <f t="shared" si="115"/>
        <v/>
      </c>
      <c r="U398" s="922" t="str">
        <f t="shared" si="116"/>
        <v/>
      </c>
    </row>
    <row r="399" spans="15:21">
      <c r="O399" s="943"/>
      <c r="Q399" s="922"/>
      <c r="R399" s="922"/>
      <c r="S399" s="922"/>
      <c r="T399" s="922" t="str">
        <f t="shared" si="115"/>
        <v/>
      </c>
      <c r="U399" s="922" t="str">
        <f t="shared" si="116"/>
        <v/>
      </c>
    </row>
    <row r="400" spans="15:21">
      <c r="O400" s="943"/>
      <c r="Q400" s="922"/>
      <c r="R400" s="922"/>
      <c r="S400" s="922"/>
      <c r="T400" s="922" t="str">
        <f t="shared" si="115"/>
        <v/>
      </c>
      <c r="U400" s="922" t="str">
        <f t="shared" si="116"/>
        <v/>
      </c>
    </row>
    <row r="401" spans="15:21">
      <c r="O401" s="943"/>
      <c r="Q401" s="922"/>
      <c r="R401" s="922"/>
      <c r="S401" s="922"/>
      <c r="T401" s="922" t="str">
        <f t="shared" si="115"/>
        <v/>
      </c>
      <c r="U401" s="922" t="str">
        <f t="shared" si="116"/>
        <v/>
      </c>
    </row>
    <row r="402" spans="15:21">
      <c r="O402" s="943"/>
      <c r="Q402" s="922"/>
      <c r="R402" s="922"/>
      <c r="S402" s="922"/>
      <c r="T402" s="922" t="str">
        <f t="shared" si="115"/>
        <v/>
      </c>
      <c r="U402" s="922" t="str">
        <f t="shared" si="116"/>
        <v/>
      </c>
    </row>
    <row r="403" spans="15:21">
      <c r="O403" s="943"/>
      <c r="Q403" s="922"/>
      <c r="R403" s="922"/>
      <c r="S403" s="922"/>
      <c r="T403" s="922" t="str">
        <f t="shared" si="115"/>
        <v/>
      </c>
      <c r="U403" s="922" t="str">
        <f t="shared" si="116"/>
        <v/>
      </c>
    </row>
    <row r="404" spans="15:21">
      <c r="O404" s="943"/>
      <c r="Q404" s="922"/>
      <c r="R404" s="922"/>
      <c r="S404" s="922"/>
      <c r="T404" s="922" t="str">
        <f t="shared" si="115"/>
        <v/>
      </c>
      <c r="U404" s="922" t="str">
        <f t="shared" ref="U404:U419" si="117">+IF(Q404=1,C270,"")</f>
        <v/>
      </c>
    </row>
    <row r="405" spans="15:21">
      <c r="O405" s="943"/>
      <c r="Q405" s="922"/>
      <c r="R405" s="922"/>
      <c r="S405" s="922"/>
      <c r="T405" s="922" t="str">
        <f t="shared" si="115"/>
        <v/>
      </c>
      <c r="U405" s="922" t="str">
        <f t="shared" si="117"/>
        <v/>
      </c>
    </row>
    <row r="406" spans="15:21">
      <c r="O406" s="943"/>
      <c r="Q406" s="922"/>
      <c r="R406" s="922"/>
      <c r="S406" s="922"/>
      <c r="T406" s="922" t="str">
        <f t="shared" si="115"/>
        <v/>
      </c>
      <c r="U406" s="922" t="str">
        <f t="shared" si="117"/>
        <v/>
      </c>
    </row>
    <row r="407" spans="15:21">
      <c r="O407" s="943"/>
      <c r="Q407" s="922"/>
      <c r="R407" s="922"/>
      <c r="S407" s="922"/>
      <c r="T407" s="922" t="str">
        <f t="shared" si="115"/>
        <v/>
      </c>
      <c r="U407" s="922" t="str">
        <f t="shared" si="117"/>
        <v/>
      </c>
    </row>
    <row r="408" spans="15:21">
      <c r="O408" s="943"/>
      <c r="Q408" s="922"/>
      <c r="R408" s="922"/>
      <c r="S408" s="922"/>
      <c r="T408" s="922" t="str">
        <f t="shared" si="115"/>
        <v/>
      </c>
      <c r="U408" s="922" t="str">
        <f t="shared" si="117"/>
        <v/>
      </c>
    </row>
    <row r="409" spans="15:21">
      <c r="O409" s="943"/>
      <c r="Q409" s="922"/>
      <c r="R409" s="922"/>
      <c r="S409" s="922"/>
      <c r="T409" s="922" t="str">
        <f t="shared" si="115"/>
        <v/>
      </c>
      <c r="U409" s="922" t="str">
        <f t="shared" si="117"/>
        <v/>
      </c>
    </row>
    <row r="410" spans="15:21">
      <c r="O410" s="943"/>
      <c r="Q410" s="922"/>
      <c r="R410" s="922"/>
      <c r="S410" s="922"/>
      <c r="T410" s="922" t="str">
        <f t="shared" si="115"/>
        <v/>
      </c>
      <c r="U410" s="922" t="str">
        <f t="shared" si="117"/>
        <v/>
      </c>
    </row>
    <row r="411" spans="15:21">
      <c r="O411" s="943"/>
      <c r="Q411" s="922"/>
      <c r="R411" s="922"/>
      <c r="S411" s="922"/>
      <c r="T411" s="922" t="str">
        <f t="shared" si="115"/>
        <v/>
      </c>
      <c r="U411" s="922" t="str">
        <f t="shared" si="117"/>
        <v/>
      </c>
    </row>
    <row r="412" spans="15:21">
      <c r="O412" s="943"/>
      <c r="Q412" s="922"/>
      <c r="R412" s="922"/>
      <c r="S412" s="922"/>
      <c r="T412" s="922" t="str">
        <f t="shared" si="115"/>
        <v/>
      </c>
      <c r="U412" s="922" t="str">
        <f t="shared" si="117"/>
        <v/>
      </c>
    </row>
    <row r="413" spans="15:21">
      <c r="O413" s="943"/>
      <c r="Q413" s="922"/>
      <c r="R413" s="922"/>
      <c r="S413" s="922"/>
      <c r="T413" s="922" t="str">
        <f t="shared" si="115"/>
        <v/>
      </c>
      <c r="U413" s="922" t="str">
        <f t="shared" si="117"/>
        <v/>
      </c>
    </row>
    <row r="414" spans="15:21">
      <c r="O414" s="943"/>
      <c r="Q414" s="922"/>
      <c r="R414" s="922"/>
      <c r="S414" s="922"/>
      <c r="T414" s="922" t="str">
        <f t="shared" si="115"/>
        <v/>
      </c>
      <c r="U414" s="922" t="str">
        <f t="shared" si="117"/>
        <v/>
      </c>
    </row>
    <row r="415" spans="15:21">
      <c r="O415" s="943"/>
      <c r="Q415" s="922"/>
      <c r="R415" s="922"/>
      <c r="S415" s="922"/>
      <c r="T415" s="922" t="str">
        <f t="shared" si="115"/>
        <v/>
      </c>
      <c r="U415" s="922" t="str">
        <f t="shared" si="117"/>
        <v/>
      </c>
    </row>
    <row r="416" spans="15:21">
      <c r="O416" s="943"/>
      <c r="Q416" s="922"/>
      <c r="R416" s="922"/>
      <c r="S416" s="922"/>
      <c r="T416" s="922" t="str">
        <f t="shared" si="115"/>
        <v/>
      </c>
      <c r="U416" s="922" t="str">
        <f t="shared" si="117"/>
        <v/>
      </c>
    </row>
    <row r="417" spans="15:21">
      <c r="O417" s="943"/>
      <c r="Q417" s="922"/>
      <c r="R417" s="922"/>
      <c r="S417" s="922"/>
      <c r="T417" s="922" t="str">
        <f t="shared" si="115"/>
        <v/>
      </c>
      <c r="U417" s="922" t="str">
        <f t="shared" si="117"/>
        <v/>
      </c>
    </row>
    <row r="418" spans="15:21">
      <c r="O418" s="943"/>
      <c r="Q418" s="922"/>
      <c r="R418" s="922"/>
      <c r="S418" s="922"/>
      <c r="T418" s="922" t="str">
        <f t="shared" si="115"/>
        <v/>
      </c>
      <c r="U418" s="922" t="str">
        <f t="shared" si="117"/>
        <v/>
      </c>
    </row>
    <row r="419" spans="15:21">
      <c r="O419" s="943"/>
      <c r="Q419" s="922"/>
      <c r="R419" s="922"/>
      <c r="S419" s="922"/>
      <c r="T419" s="922" t="str">
        <f t="shared" si="115"/>
        <v/>
      </c>
      <c r="U419" s="922" t="str">
        <f t="shared" si="117"/>
        <v/>
      </c>
    </row>
    <row r="420" spans="15:21">
      <c r="O420" s="943"/>
      <c r="Q420" s="922"/>
      <c r="R420" s="922"/>
      <c r="S420" s="922"/>
      <c r="T420" s="922" t="str">
        <f t="shared" si="115"/>
        <v/>
      </c>
      <c r="U420" s="922" t="str">
        <f t="shared" ref="U420:U435" si="118">+IF(Q420=1,C286,"")</f>
        <v/>
      </c>
    </row>
    <row r="421" spans="15:21">
      <c r="O421" s="943"/>
      <c r="Q421" s="922"/>
      <c r="R421" s="922"/>
      <c r="S421" s="922"/>
      <c r="T421" s="922" t="str">
        <f t="shared" si="115"/>
        <v/>
      </c>
      <c r="U421" s="922" t="str">
        <f t="shared" si="118"/>
        <v/>
      </c>
    </row>
    <row r="422" spans="15:21">
      <c r="O422" s="943"/>
      <c r="Q422" s="922"/>
      <c r="R422" s="922"/>
      <c r="S422" s="922"/>
      <c r="T422" s="922" t="str">
        <f t="shared" si="115"/>
        <v/>
      </c>
      <c r="U422" s="922" t="str">
        <f t="shared" si="118"/>
        <v/>
      </c>
    </row>
    <row r="423" spans="15:21">
      <c r="O423" s="943"/>
      <c r="Q423" s="922"/>
      <c r="R423" s="922"/>
      <c r="S423" s="922"/>
      <c r="T423" s="922" t="str">
        <f t="shared" si="115"/>
        <v/>
      </c>
      <c r="U423" s="922" t="str">
        <f t="shared" si="118"/>
        <v/>
      </c>
    </row>
    <row r="424" spans="15:21">
      <c r="O424" s="943"/>
      <c r="Q424" s="922"/>
      <c r="R424" s="922"/>
      <c r="S424" s="922"/>
      <c r="T424" s="922" t="str">
        <f t="shared" si="115"/>
        <v/>
      </c>
      <c r="U424" s="922" t="str">
        <f t="shared" si="118"/>
        <v/>
      </c>
    </row>
    <row r="425" spans="15:21">
      <c r="O425" s="943"/>
      <c r="Q425" s="922"/>
      <c r="R425" s="922"/>
      <c r="S425" s="922"/>
      <c r="T425" s="922" t="str">
        <f t="shared" si="115"/>
        <v/>
      </c>
      <c r="U425" s="922" t="str">
        <f t="shared" si="118"/>
        <v/>
      </c>
    </row>
    <row r="426" spans="15:21">
      <c r="O426" s="943"/>
      <c r="Q426" s="922"/>
      <c r="R426" s="922"/>
      <c r="S426" s="922"/>
      <c r="T426" s="922" t="str">
        <f t="shared" si="115"/>
        <v/>
      </c>
      <c r="U426" s="922" t="str">
        <f t="shared" si="118"/>
        <v/>
      </c>
    </row>
    <row r="427" spans="15:21">
      <c r="O427" s="943"/>
      <c r="Q427" s="922"/>
      <c r="R427" s="922"/>
      <c r="S427" s="922"/>
      <c r="T427" s="922" t="str">
        <f t="shared" si="115"/>
        <v/>
      </c>
      <c r="U427" s="922" t="str">
        <f t="shared" si="118"/>
        <v/>
      </c>
    </row>
    <row r="428" spans="15:21">
      <c r="O428" s="943"/>
      <c r="Q428" s="922"/>
      <c r="R428" s="922"/>
      <c r="S428" s="922"/>
      <c r="T428" s="922" t="str">
        <f t="shared" si="115"/>
        <v/>
      </c>
      <c r="U428" s="922" t="str">
        <f t="shared" si="118"/>
        <v/>
      </c>
    </row>
    <row r="429" spans="15:21">
      <c r="O429" s="943"/>
      <c r="Q429" s="922"/>
      <c r="R429" s="922"/>
      <c r="S429" s="922"/>
      <c r="T429" s="922" t="str">
        <f t="shared" si="115"/>
        <v/>
      </c>
      <c r="U429" s="922" t="str">
        <f t="shared" si="118"/>
        <v/>
      </c>
    </row>
    <row r="430" spans="15:21">
      <c r="O430" s="943"/>
      <c r="Q430" s="922"/>
      <c r="R430" s="922"/>
      <c r="S430" s="922"/>
      <c r="T430" s="922" t="str">
        <f t="shared" si="115"/>
        <v/>
      </c>
      <c r="U430" s="922" t="str">
        <f t="shared" si="118"/>
        <v/>
      </c>
    </row>
    <row r="431" spans="15:21">
      <c r="O431" s="943"/>
      <c r="Q431" s="922"/>
      <c r="R431" s="922"/>
      <c r="S431" s="922"/>
      <c r="T431" s="922" t="str">
        <f t="shared" si="115"/>
        <v/>
      </c>
      <c r="U431" s="922" t="str">
        <f t="shared" si="118"/>
        <v/>
      </c>
    </row>
    <row r="432" spans="15:21">
      <c r="O432" s="943"/>
      <c r="Q432" s="922"/>
      <c r="R432" s="922"/>
      <c r="S432" s="922"/>
      <c r="T432" s="922" t="str">
        <f t="shared" si="115"/>
        <v/>
      </c>
      <c r="U432" s="922" t="str">
        <f t="shared" si="118"/>
        <v/>
      </c>
    </row>
    <row r="433" spans="15:21">
      <c r="O433" s="943"/>
      <c r="Q433" s="922"/>
      <c r="R433" s="922"/>
      <c r="S433" s="922"/>
      <c r="T433" s="922" t="str">
        <f t="shared" si="115"/>
        <v/>
      </c>
      <c r="U433" s="922" t="str">
        <f t="shared" si="118"/>
        <v/>
      </c>
    </row>
    <row r="434" spans="15:21">
      <c r="O434" s="943"/>
      <c r="Q434" s="922"/>
      <c r="R434" s="922"/>
      <c r="S434" s="922"/>
      <c r="T434" s="922" t="str">
        <f t="shared" si="115"/>
        <v/>
      </c>
      <c r="U434" s="922" t="str">
        <f t="shared" si="118"/>
        <v/>
      </c>
    </row>
    <row r="435" spans="15:21">
      <c r="O435" s="943"/>
      <c r="Q435" s="922"/>
      <c r="R435" s="922"/>
      <c r="S435" s="922"/>
      <c r="T435" s="922" t="str">
        <f t="shared" si="115"/>
        <v/>
      </c>
      <c r="U435" s="922" t="str">
        <f t="shared" si="118"/>
        <v/>
      </c>
    </row>
    <row r="436" spans="15:21">
      <c r="O436" s="943"/>
      <c r="Q436" s="922"/>
      <c r="R436" s="922"/>
      <c r="S436" s="922"/>
      <c r="T436" s="922" t="str">
        <f t="shared" si="115"/>
        <v/>
      </c>
      <c r="U436" s="922" t="str">
        <f t="shared" ref="U436:U451" si="119">+IF(Q436=1,C302,"")</f>
        <v/>
      </c>
    </row>
    <row r="437" spans="15:21">
      <c r="O437" s="943"/>
      <c r="Q437" s="922"/>
      <c r="R437" s="922"/>
      <c r="S437" s="922"/>
      <c r="T437" s="922" t="str">
        <f t="shared" si="115"/>
        <v/>
      </c>
      <c r="U437" s="922" t="str">
        <f t="shared" si="119"/>
        <v/>
      </c>
    </row>
    <row r="438" spans="15:21">
      <c r="O438" s="943"/>
      <c r="Q438" s="922"/>
      <c r="R438" s="922"/>
      <c r="S438" s="922"/>
      <c r="T438" s="922" t="str">
        <f t="shared" si="115"/>
        <v/>
      </c>
      <c r="U438" s="922" t="str">
        <f t="shared" si="119"/>
        <v/>
      </c>
    </row>
    <row r="439" spans="15:21">
      <c r="O439" s="943"/>
      <c r="Q439" s="922"/>
      <c r="R439" s="922"/>
      <c r="S439" s="922"/>
      <c r="T439" s="922" t="str">
        <f t="shared" si="115"/>
        <v/>
      </c>
      <c r="U439" s="922" t="str">
        <f t="shared" si="119"/>
        <v/>
      </c>
    </row>
    <row r="440" spans="15:21">
      <c r="O440" s="943"/>
      <c r="Q440" s="922"/>
      <c r="R440" s="922"/>
      <c r="S440" s="922"/>
      <c r="T440" s="922" t="str">
        <f t="shared" si="115"/>
        <v/>
      </c>
      <c r="U440" s="922" t="str">
        <f t="shared" si="119"/>
        <v/>
      </c>
    </row>
    <row r="441" spans="15:21">
      <c r="O441" s="943"/>
      <c r="Q441" s="922"/>
      <c r="R441" s="922"/>
      <c r="S441" s="922"/>
      <c r="T441" s="922" t="str">
        <f t="shared" si="115"/>
        <v/>
      </c>
      <c r="U441" s="922" t="str">
        <f t="shared" si="119"/>
        <v/>
      </c>
    </row>
    <row r="442" spans="15:21">
      <c r="O442" s="943"/>
      <c r="Q442" s="922"/>
      <c r="R442" s="922"/>
      <c r="S442" s="922"/>
      <c r="T442" s="922" t="str">
        <f t="shared" si="115"/>
        <v/>
      </c>
      <c r="U442" s="922" t="str">
        <f t="shared" si="119"/>
        <v/>
      </c>
    </row>
    <row r="443" spans="15:21">
      <c r="O443" s="943"/>
      <c r="Q443" s="922"/>
      <c r="R443" s="922"/>
      <c r="S443" s="922"/>
      <c r="T443" s="922" t="str">
        <f t="shared" si="115"/>
        <v/>
      </c>
      <c r="U443" s="922" t="str">
        <f t="shared" si="119"/>
        <v/>
      </c>
    </row>
    <row r="444" spans="15:21">
      <c r="O444" s="943"/>
      <c r="Q444" s="922"/>
      <c r="R444" s="922"/>
      <c r="S444" s="922"/>
      <c r="T444" s="922" t="str">
        <f t="shared" si="115"/>
        <v/>
      </c>
      <c r="U444" s="922" t="str">
        <f t="shared" si="119"/>
        <v/>
      </c>
    </row>
    <row r="445" spans="15:21">
      <c r="O445" s="943"/>
      <c r="Q445" s="922"/>
      <c r="R445" s="922"/>
      <c r="S445" s="922"/>
      <c r="T445" s="922" t="str">
        <f t="shared" si="115"/>
        <v/>
      </c>
      <c r="U445" s="922" t="str">
        <f t="shared" si="119"/>
        <v/>
      </c>
    </row>
    <row r="446" spans="15:21">
      <c r="O446" s="943"/>
      <c r="Q446" s="922"/>
      <c r="R446" s="922"/>
      <c r="S446" s="922"/>
      <c r="T446" s="922" t="str">
        <f t="shared" si="115"/>
        <v/>
      </c>
      <c r="U446" s="922" t="str">
        <f t="shared" si="119"/>
        <v/>
      </c>
    </row>
    <row r="447" spans="15:21">
      <c r="O447" s="943"/>
      <c r="Q447" s="922"/>
      <c r="R447" s="922"/>
      <c r="S447" s="922"/>
      <c r="T447" s="922" t="str">
        <f t="shared" si="115"/>
        <v/>
      </c>
      <c r="U447" s="922" t="str">
        <f t="shared" si="119"/>
        <v/>
      </c>
    </row>
    <row r="448" spans="15:21">
      <c r="O448" s="943"/>
      <c r="Q448" s="922"/>
      <c r="R448" s="922"/>
      <c r="S448" s="922"/>
      <c r="T448" s="922" t="str">
        <f t="shared" si="115"/>
        <v/>
      </c>
      <c r="U448" s="922" t="str">
        <f t="shared" si="119"/>
        <v/>
      </c>
    </row>
    <row r="449" spans="15:21">
      <c r="O449" s="943"/>
      <c r="Q449" s="922"/>
      <c r="R449" s="922"/>
      <c r="S449" s="922"/>
      <c r="T449" s="922" t="str">
        <f t="shared" si="115"/>
        <v/>
      </c>
      <c r="U449" s="922" t="str">
        <f t="shared" si="119"/>
        <v/>
      </c>
    </row>
    <row r="450" spans="15:21">
      <c r="O450" s="943"/>
      <c r="Q450" s="922"/>
      <c r="R450" s="922"/>
      <c r="S450" s="922"/>
      <c r="T450" s="922" t="str">
        <f t="shared" si="115"/>
        <v/>
      </c>
      <c r="U450" s="922" t="str">
        <f t="shared" si="119"/>
        <v/>
      </c>
    </row>
    <row r="451" spans="15:21">
      <c r="O451" s="943"/>
      <c r="Q451" s="922"/>
      <c r="R451" s="922"/>
      <c r="S451" s="922"/>
      <c r="T451" s="922" t="str">
        <f t="shared" si="115"/>
        <v/>
      </c>
      <c r="U451" s="922" t="str">
        <f t="shared" si="119"/>
        <v/>
      </c>
    </row>
    <row r="452" spans="15:21">
      <c r="O452" s="943"/>
      <c r="Q452" s="922"/>
      <c r="R452" s="922"/>
      <c r="S452" s="922"/>
      <c r="T452" s="922" t="str">
        <f t="shared" ref="T452:T498" si="120">+IF(P452=1,A318,"")</f>
        <v/>
      </c>
      <c r="U452" s="922" t="str">
        <f t="shared" ref="U452:U467" si="121">+IF(Q452=1,C318,"")</f>
        <v/>
      </c>
    </row>
    <row r="453" spans="15:21">
      <c r="O453" s="943"/>
      <c r="Q453" s="922"/>
      <c r="R453" s="922"/>
      <c r="S453" s="922"/>
      <c r="T453" s="922" t="str">
        <f t="shared" si="120"/>
        <v/>
      </c>
      <c r="U453" s="922" t="str">
        <f t="shared" si="121"/>
        <v/>
      </c>
    </row>
    <row r="454" spans="15:21">
      <c r="O454" s="943"/>
      <c r="Q454" s="922"/>
      <c r="R454" s="922"/>
      <c r="S454" s="922"/>
      <c r="T454" s="922" t="str">
        <f t="shared" si="120"/>
        <v/>
      </c>
      <c r="U454" s="922" t="str">
        <f t="shared" si="121"/>
        <v/>
      </c>
    </row>
    <row r="455" spans="15:21">
      <c r="O455" s="943"/>
      <c r="Q455" s="922"/>
      <c r="R455" s="922"/>
      <c r="S455" s="922"/>
      <c r="T455" s="922" t="str">
        <f t="shared" si="120"/>
        <v/>
      </c>
      <c r="U455" s="922" t="str">
        <f t="shared" si="121"/>
        <v/>
      </c>
    </row>
    <row r="456" spans="15:21">
      <c r="O456" s="943"/>
      <c r="Q456" s="922"/>
      <c r="R456" s="922"/>
      <c r="S456" s="922"/>
      <c r="T456" s="922" t="str">
        <f t="shared" si="120"/>
        <v/>
      </c>
      <c r="U456" s="922" t="str">
        <f t="shared" si="121"/>
        <v/>
      </c>
    </row>
    <row r="457" spans="15:21">
      <c r="O457" s="943"/>
      <c r="Q457" s="922"/>
      <c r="R457" s="922"/>
      <c r="S457" s="922"/>
      <c r="T457" s="922" t="str">
        <f t="shared" si="120"/>
        <v/>
      </c>
      <c r="U457" s="922" t="str">
        <f t="shared" si="121"/>
        <v/>
      </c>
    </row>
    <row r="458" spans="15:21">
      <c r="O458" s="943"/>
      <c r="Q458" s="922"/>
      <c r="R458" s="922"/>
      <c r="S458" s="922"/>
      <c r="T458" s="922" t="str">
        <f t="shared" si="120"/>
        <v/>
      </c>
      <c r="U458" s="922" t="str">
        <f t="shared" si="121"/>
        <v/>
      </c>
    </row>
    <row r="459" spans="15:21">
      <c r="O459" s="943"/>
      <c r="Q459" s="922"/>
      <c r="R459" s="922"/>
      <c r="S459" s="922"/>
      <c r="T459" s="922" t="str">
        <f t="shared" si="120"/>
        <v/>
      </c>
      <c r="U459" s="922" t="str">
        <f t="shared" si="121"/>
        <v/>
      </c>
    </row>
    <row r="460" spans="15:21">
      <c r="O460" s="943"/>
      <c r="Q460" s="922"/>
      <c r="R460" s="922"/>
      <c r="S460" s="922"/>
      <c r="T460" s="922" t="str">
        <f t="shared" si="120"/>
        <v/>
      </c>
      <c r="U460" s="922" t="str">
        <f t="shared" si="121"/>
        <v/>
      </c>
    </row>
    <row r="461" spans="15:21">
      <c r="O461" s="943"/>
      <c r="Q461" s="922"/>
      <c r="R461" s="922"/>
      <c r="S461" s="922"/>
      <c r="T461" s="922" t="str">
        <f t="shared" si="120"/>
        <v/>
      </c>
      <c r="U461" s="922" t="str">
        <f t="shared" si="121"/>
        <v/>
      </c>
    </row>
    <row r="462" spans="15:21">
      <c r="O462" s="943"/>
      <c r="Q462" s="922"/>
      <c r="R462" s="922"/>
      <c r="S462" s="922"/>
      <c r="T462" s="922" t="str">
        <f t="shared" si="120"/>
        <v/>
      </c>
      <c r="U462" s="922" t="str">
        <f t="shared" si="121"/>
        <v/>
      </c>
    </row>
    <row r="463" spans="15:21">
      <c r="O463" s="943"/>
      <c r="Q463" s="922"/>
      <c r="R463" s="922"/>
      <c r="S463" s="922"/>
      <c r="T463" s="922" t="str">
        <f t="shared" si="120"/>
        <v/>
      </c>
      <c r="U463" s="922" t="str">
        <f t="shared" si="121"/>
        <v/>
      </c>
    </row>
    <row r="464" spans="15:21">
      <c r="O464" s="943"/>
      <c r="Q464" s="922"/>
      <c r="R464" s="922"/>
      <c r="S464" s="922"/>
      <c r="T464" s="922" t="str">
        <f t="shared" si="120"/>
        <v/>
      </c>
      <c r="U464" s="922" t="str">
        <f t="shared" si="121"/>
        <v/>
      </c>
    </row>
    <row r="465" spans="15:21">
      <c r="O465" s="943"/>
      <c r="Q465" s="922"/>
      <c r="R465" s="922"/>
      <c r="S465" s="922"/>
      <c r="T465" s="922" t="str">
        <f t="shared" si="120"/>
        <v/>
      </c>
      <c r="U465" s="922" t="str">
        <f t="shared" si="121"/>
        <v/>
      </c>
    </row>
    <row r="466" spans="15:21">
      <c r="O466" s="943"/>
      <c r="Q466" s="922"/>
      <c r="R466" s="922"/>
      <c r="S466" s="922"/>
      <c r="T466" s="922" t="str">
        <f t="shared" si="120"/>
        <v/>
      </c>
      <c r="U466" s="922" t="str">
        <f t="shared" si="121"/>
        <v/>
      </c>
    </row>
    <row r="467" spans="15:21">
      <c r="O467" s="943"/>
      <c r="Q467" s="922"/>
      <c r="R467" s="922"/>
      <c r="S467" s="922"/>
      <c r="T467" s="922" t="str">
        <f t="shared" si="120"/>
        <v/>
      </c>
      <c r="U467" s="922" t="str">
        <f t="shared" si="121"/>
        <v/>
      </c>
    </row>
    <row r="468" spans="15:21">
      <c r="O468" s="943"/>
      <c r="Q468" s="922"/>
      <c r="R468" s="922"/>
      <c r="S468" s="922"/>
      <c r="T468" s="922" t="str">
        <f t="shared" si="120"/>
        <v/>
      </c>
      <c r="U468" s="922" t="str">
        <f t="shared" ref="U468:U483" si="122">+IF(Q468=1,C334,"")</f>
        <v/>
      </c>
    </row>
    <row r="469" spans="15:21">
      <c r="O469" s="943"/>
      <c r="Q469" s="922"/>
      <c r="R469" s="922"/>
      <c r="S469" s="922"/>
      <c r="T469" s="922" t="str">
        <f t="shared" si="120"/>
        <v/>
      </c>
      <c r="U469" s="922" t="str">
        <f t="shared" si="122"/>
        <v/>
      </c>
    </row>
    <row r="470" spans="15:21">
      <c r="O470" s="943"/>
      <c r="Q470" s="922"/>
      <c r="R470" s="922"/>
      <c r="S470" s="922"/>
      <c r="T470" s="922" t="str">
        <f t="shared" si="120"/>
        <v/>
      </c>
      <c r="U470" s="922" t="str">
        <f t="shared" si="122"/>
        <v/>
      </c>
    </row>
    <row r="471" spans="15:21">
      <c r="O471" s="943"/>
      <c r="Q471" s="922"/>
      <c r="R471" s="922"/>
      <c r="S471" s="922"/>
      <c r="T471" s="922" t="str">
        <f t="shared" si="120"/>
        <v/>
      </c>
      <c r="U471" s="922" t="str">
        <f t="shared" si="122"/>
        <v/>
      </c>
    </row>
    <row r="472" spans="15:21">
      <c r="O472" s="943"/>
      <c r="Q472" s="922"/>
      <c r="R472" s="922"/>
      <c r="S472" s="922"/>
      <c r="T472" s="922" t="str">
        <f t="shared" si="120"/>
        <v/>
      </c>
      <c r="U472" s="922" t="str">
        <f t="shared" si="122"/>
        <v/>
      </c>
    </row>
    <row r="473" spans="15:21">
      <c r="O473" s="943"/>
      <c r="Q473" s="922"/>
      <c r="R473" s="922"/>
      <c r="S473" s="922"/>
      <c r="T473" s="922" t="str">
        <f t="shared" si="120"/>
        <v/>
      </c>
      <c r="U473" s="922" t="str">
        <f t="shared" si="122"/>
        <v/>
      </c>
    </row>
    <row r="474" spans="15:21">
      <c r="O474" s="943"/>
      <c r="Q474" s="922"/>
      <c r="R474" s="922"/>
      <c r="S474" s="922"/>
      <c r="T474" s="922" t="str">
        <f t="shared" si="120"/>
        <v/>
      </c>
      <c r="U474" s="922" t="str">
        <f t="shared" si="122"/>
        <v/>
      </c>
    </row>
    <row r="475" spans="15:21">
      <c r="O475" s="943"/>
      <c r="Q475" s="922"/>
      <c r="R475" s="922"/>
      <c r="S475" s="922"/>
      <c r="T475" s="922" t="str">
        <f t="shared" si="120"/>
        <v/>
      </c>
      <c r="U475" s="922" t="str">
        <f t="shared" si="122"/>
        <v/>
      </c>
    </row>
    <row r="476" spans="15:21">
      <c r="O476" s="943"/>
      <c r="Q476" s="922"/>
      <c r="R476" s="922"/>
      <c r="S476" s="922"/>
      <c r="T476" s="922" t="str">
        <f t="shared" si="120"/>
        <v/>
      </c>
      <c r="U476" s="922" t="str">
        <f t="shared" si="122"/>
        <v/>
      </c>
    </row>
    <row r="477" spans="15:21">
      <c r="O477" s="943"/>
      <c r="Q477" s="922"/>
      <c r="R477" s="922"/>
      <c r="S477" s="922"/>
      <c r="T477" s="922" t="str">
        <f t="shared" si="120"/>
        <v/>
      </c>
      <c r="U477" s="922" t="str">
        <f t="shared" si="122"/>
        <v/>
      </c>
    </row>
    <row r="478" spans="15:21">
      <c r="O478" s="943"/>
      <c r="Q478" s="922"/>
      <c r="R478" s="922"/>
      <c r="S478" s="922"/>
      <c r="T478" s="922" t="str">
        <f t="shared" si="120"/>
        <v/>
      </c>
      <c r="U478" s="922" t="str">
        <f t="shared" si="122"/>
        <v/>
      </c>
    </row>
    <row r="479" spans="15:21">
      <c r="O479" s="943"/>
      <c r="Q479" s="922"/>
      <c r="R479" s="922"/>
      <c r="S479" s="922"/>
      <c r="T479" s="922" t="str">
        <f t="shared" si="120"/>
        <v/>
      </c>
      <c r="U479" s="922" t="str">
        <f t="shared" si="122"/>
        <v/>
      </c>
    </row>
    <row r="480" spans="15:21">
      <c r="O480" s="943"/>
      <c r="Q480" s="922"/>
      <c r="R480" s="922"/>
      <c r="S480" s="922"/>
      <c r="T480" s="922" t="str">
        <f t="shared" si="120"/>
        <v/>
      </c>
      <c r="U480" s="922" t="str">
        <f t="shared" si="122"/>
        <v/>
      </c>
    </row>
    <row r="481" spans="15:21">
      <c r="O481" s="943"/>
      <c r="Q481" s="922"/>
      <c r="R481" s="922"/>
      <c r="S481" s="922"/>
      <c r="T481" s="922" t="str">
        <f t="shared" si="120"/>
        <v/>
      </c>
      <c r="U481" s="922" t="str">
        <f t="shared" si="122"/>
        <v/>
      </c>
    </row>
    <row r="482" spans="15:21">
      <c r="O482" s="943"/>
      <c r="Q482" s="922"/>
      <c r="R482" s="922"/>
      <c r="S482" s="922"/>
      <c r="T482" s="922" t="str">
        <f t="shared" si="120"/>
        <v/>
      </c>
      <c r="U482" s="922" t="str">
        <f t="shared" si="122"/>
        <v/>
      </c>
    </row>
    <row r="483" spans="15:21">
      <c r="O483" s="943"/>
      <c r="Q483" s="922"/>
      <c r="R483" s="922"/>
      <c r="S483" s="922"/>
      <c r="T483" s="922" t="str">
        <f t="shared" si="120"/>
        <v/>
      </c>
      <c r="U483" s="922" t="str">
        <f t="shared" si="122"/>
        <v/>
      </c>
    </row>
    <row r="484" spans="15:21">
      <c r="O484" s="943"/>
      <c r="Q484" s="922"/>
      <c r="R484" s="922"/>
      <c r="S484" s="922"/>
      <c r="T484" s="922" t="str">
        <f t="shared" si="120"/>
        <v/>
      </c>
      <c r="U484" s="922" t="str">
        <f t="shared" ref="U484:U498" si="123">+IF(Q484=1,C350,"")</f>
        <v/>
      </c>
    </row>
    <row r="485" spans="15:21">
      <c r="O485" s="943"/>
      <c r="Q485" s="922"/>
      <c r="R485" s="922"/>
      <c r="S485" s="922"/>
      <c r="T485" s="922" t="str">
        <f t="shared" si="120"/>
        <v/>
      </c>
      <c r="U485" s="922" t="str">
        <f t="shared" si="123"/>
        <v/>
      </c>
    </row>
    <row r="486" spans="15:21">
      <c r="O486" s="943"/>
      <c r="Q486" s="922"/>
      <c r="R486" s="922"/>
      <c r="S486" s="922"/>
      <c r="T486" s="922" t="str">
        <f t="shared" si="120"/>
        <v/>
      </c>
      <c r="U486" s="922" t="str">
        <f t="shared" si="123"/>
        <v/>
      </c>
    </row>
    <row r="487" spans="15:21">
      <c r="O487" s="943"/>
      <c r="Q487" s="922"/>
      <c r="R487" s="922"/>
      <c r="S487" s="922"/>
      <c r="T487" s="922" t="str">
        <f t="shared" si="120"/>
        <v/>
      </c>
      <c r="U487" s="922" t="str">
        <f t="shared" si="123"/>
        <v/>
      </c>
    </row>
    <row r="488" spans="15:21">
      <c r="O488" s="943"/>
      <c r="Q488" s="922"/>
      <c r="R488" s="922"/>
      <c r="S488" s="922"/>
      <c r="T488" s="922" t="str">
        <f t="shared" si="120"/>
        <v/>
      </c>
      <c r="U488" s="922" t="str">
        <f t="shared" si="123"/>
        <v/>
      </c>
    </row>
    <row r="489" spans="15:21">
      <c r="O489" s="943"/>
      <c r="Q489" s="922"/>
      <c r="R489" s="922"/>
      <c r="S489" s="922"/>
      <c r="T489" s="922" t="str">
        <f t="shared" si="120"/>
        <v/>
      </c>
      <c r="U489" s="922" t="str">
        <f t="shared" si="123"/>
        <v/>
      </c>
    </row>
    <row r="490" spans="15:21">
      <c r="O490" s="943"/>
      <c r="Q490" s="922"/>
      <c r="R490" s="922"/>
      <c r="S490" s="922"/>
      <c r="T490" s="922" t="str">
        <f t="shared" si="120"/>
        <v/>
      </c>
      <c r="U490" s="922" t="str">
        <f t="shared" si="123"/>
        <v/>
      </c>
    </row>
    <row r="491" spans="15:21">
      <c r="O491" s="943"/>
      <c r="Q491" s="922"/>
      <c r="R491" s="922"/>
      <c r="S491" s="922"/>
      <c r="T491" s="922" t="str">
        <f t="shared" si="120"/>
        <v/>
      </c>
      <c r="U491" s="922" t="str">
        <f t="shared" si="123"/>
        <v/>
      </c>
    </row>
    <row r="492" spans="15:21">
      <c r="O492" s="943"/>
      <c r="Q492" s="922"/>
      <c r="R492" s="922"/>
      <c r="S492" s="922"/>
      <c r="T492" s="922" t="str">
        <f t="shared" si="120"/>
        <v/>
      </c>
      <c r="U492" s="922" t="str">
        <f t="shared" si="123"/>
        <v/>
      </c>
    </row>
    <row r="493" spans="15:21">
      <c r="O493" s="943"/>
      <c r="Q493" s="922"/>
      <c r="R493" s="922"/>
      <c r="S493" s="922"/>
      <c r="T493" s="922" t="str">
        <f t="shared" si="120"/>
        <v/>
      </c>
      <c r="U493" s="922" t="str">
        <f t="shared" si="123"/>
        <v/>
      </c>
    </row>
    <row r="494" spans="15:21">
      <c r="O494" s="943"/>
      <c r="Q494" s="922"/>
      <c r="R494" s="922"/>
      <c r="S494" s="922"/>
      <c r="T494" s="922" t="str">
        <f t="shared" si="120"/>
        <v/>
      </c>
      <c r="U494" s="922" t="str">
        <f t="shared" si="123"/>
        <v/>
      </c>
    </row>
    <row r="495" spans="15:21">
      <c r="O495" s="943"/>
      <c r="Q495" s="922"/>
      <c r="R495" s="922"/>
      <c r="S495" s="922"/>
      <c r="T495" s="922" t="str">
        <f t="shared" si="120"/>
        <v/>
      </c>
      <c r="U495" s="922" t="str">
        <f t="shared" si="123"/>
        <v/>
      </c>
    </row>
    <row r="496" spans="15:21">
      <c r="O496" s="943"/>
      <c r="Q496" s="922"/>
      <c r="R496" s="922"/>
      <c r="S496" s="922"/>
      <c r="T496" s="922" t="str">
        <f t="shared" si="120"/>
        <v/>
      </c>
      <c r="U496" s="922" t="str">
        <f t="shared" si="123"/>
        <v/>
      </c>
    </row>
    <row r="497" spans="15:21">
      <c r="O497" s="943"/>
      <c r="Q497" s="922"/>
      <c r="R497" s="922"/>
      <c r="S497" s="922"/>
      <c r="T497" s="922" t="str">
        <f t="shared" si="120"/>
        <v/>
      </c>
      <c r="U497" s="922" t="str">
        <f t="shared" si="123"/>
        <v/>
      </c>
    </row>
    <row r="498" spans="15:21">
      <c r="O498" s="943"/>
      <c r="Q498" s="922"/>
      <c r="R498" s="922"/>
      <c r="S498" s="922"/>
      <c r="T498" s="922" t="str">
        <f t="shared" si="120"/>
        <v/>
      </c>
      <c r="U498" s="922" t="str">
        <f t="shared" si="123"/>
        <v/>
      </c>
    </row>
  </sheetData>
  <printOptions horizontalCentered="1"/>
  <pageMargins left="0.25" right="0.25" top="0.5" bottom="0.25" header="0.3" footer="0.3"/>
  <pageSetup paperSize="3" scale="37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1">
    <tabColor theme="3" tint="0.59999389629810485"/>
    <pageSetUpPr fitToPage="1"/>
  </sheetPr>
  <dimension ref="A1:AN132"/>
  <sheetViews>
    <sheetView topLeftCell="A109" workbookViewId="0">
      <selection activeCell="U6" sqref="U6"/>
    </sheetView>
  </sheetViews>
  <sheetFormatPr baseColWidth="10" defaultColWidth="9" defaultRowHeight="15" outlineLevelCol="1"/>
  <cols>
    <col min="1" max="1" width="13.5" style="524" bestFit="1" customWidth="1"/>
    <col min="2" max="2" width="1.1640625" style="524" customWidth="1"/>
    <col min="3" max="3" width="6.5" style="526" customWidth="1"/>
    <col min="4" max="16" width="13.1640625" style="525" customWidth="1"/>
    <col min="17" max="19" width="13.1640625" style="526" customWidth="1"/>
    <col min="20" max="24" width="13.1640625" style="525" customWidth="1"/>
    <col min="25" max="30" width="13.1640625" style="526" customWidth="1"/>
    <col min="31" max="33" width="13.1640625" style="525" customWidth="1"/>
    <col min="34" max="34" width="13.1640625" style="524" customWidth="1"/>
    <col min="35" max="35" width="12.5" style="524" hidden="1" customWidth="1" outlineLevel="1"/>
    <col min="36" max="39" width="10.5" style="524" hidden="1" customWidth="1" outlineLevel="1"/>
    <col min="40" max="40" width="9" style="546" collapsed="1"/>
    <col min="41" max="16384" width="9" style="524"/>
  </cols>
  <sheetData>
    <row r="1" spans="1:40" ht="14">
      <c r="A1" s="525"/>
      <c r="D1" s="525" t="s">
        <v>236</v>
      </c>
      <c r="E1" s="1121">
        <f>C3/3</f>
        <v>8</v>
      </c>
      <c r="F1" s="1121">
        <f>C3/2</f>
        <v>12</v>
      </c>
      <c r="G1" s="1121">
        <f>C3/1.5</f>
        <v>16</v>
      </c>
      <c r="H1" s="1121">
        <f>C2/3</f>
        <v>13.666666666666666</v>
      </c>
      <c r="I1" s="1121">
        <f>C2/2</f>
        <v>20.5</v>
      </c>
      <c r="J1" s="1121">
        <f>C2/1.5</f>
        <v>27.333333333333332</v>
      </c>
      <c r="AN1" s="524"/>
    </row>
    <row r="2" spans="1:40" ht="14">
      <c r="A2" s="900" t="s">
        <v>250</v>
      </c>
      <c r="C2" s="894">
        <f>general!C27</f>
        <v>41</v>
      </c>
      <c r="D2" s="525" t="s">
        <v>237</v>
      </c>
      <c r="E2" s="528">
        <f>(1-NORMDIST($C$3,$C$3/2,E1,1))*2</f>
        <v>0.13361440253771617</v>
      </c>
      <c r="F2" s="528">
        <f>(1-NORMDIST($C$3,$C$3/2,F1,1))*2</f>
        <v>0.31731050786291393</v>
      </c>
      <c r="G2" s="528">
        <f>(1-NORMDIST($C$3,$C$3/2,G1,1))*2</f>
        <v>0.45325470475373653</v>
      </c>
      <c r="H2" s="528">
        <f>(1-NORMDIST($C$2,$C$2/2,H1,1))*2</f>
        <v>0.13361440253771617</v>
      </c>
      <c r="I2" s="528">
        <f>(1-NORMDIST($C$2,$C$2/2,I1,1))*2</f>
        <v>0.31731050786291393</v>
      </c>
      <c r="J2" s="528">
        <f>(1-NORMDIST($C$2,$C$2/2,J1,1))*2</f>
        <v>0.45325470475373653</v>
      </c>
      <c r="AN2" s="524"/>
    </row>
    <row r="3" spans="1:40" ht="14">
      <c r="A3" s="900" t="s">
        <v>607</v>
      </c>
      <c r="C3" s="894">
        <f>general!C25</f>
        <v>24</v>
      </c>
      <c r="E3" s="528"/>
      <c r="F3" s="528"/>
      <c r="G3" s="528"/>
      <c r="AN3" s="524"/>
    </row>
    <row r="4" spans="1:40" ht="14">
      <c r="A4" s="900"/>
      <c r="B4" s="527"/>
      <c r="E4" s="528"/>
      <c r="F4" s="528"/>
      <c r="G4" s="528"/>
      <c r="M4" s="1122">
        <v>0.15</v>
      </c>
      <c r="P4" s="525" t="s">
        <v>421</v>
      </c>
      <c r="Q4" s="1122">
        <v>0</v>
      </c>
      <c r="R4" s="1122">
        <v>0</v>
      </c>
      <c r="S4" s="892"/>
      <c r="Z4" s="529">
        <v>0</v>
      </c>
      <c r="AG4" s="1122">
        <v>0</v>
      </c>
      <c r="AN4" s="524"/>
    </row>
    <row r="5" spans="1:40" ht="14">
      <c r="A5" s="901"/>
      <c r="B5" s="530"/>
      <c r="D5" s="532"/>
      <c r="E5" s="532"/>
      <c r="F5" s="532"/>
      <c r="G5" s="532"/>
      <c r="H5" s="532"/>
      <c r="I5" s="532"/>
      <c r="J5" s="532"/>
      <c r="K5" s="532"/>
      <c r="L5" s="532"/>
      <c r="M5" s="533"/>
      <c r="N5" s="532"/>
      <c r="O5" s="532"/>
      <c r="P5" s="531" t="s">
        <v>420</v>
      </c>
      <c r="Q5" s="1123">
        <v>0.25</v>
      </c>
      <c r="R5" s="1123">
        <v>0.35</v>
      </c>
      <c r="S5" s="893"/>
      <c r="T5" s="532"/>
      <c r="U5" s="1124">
        <f>(bud_detail!F9+bud_detail!F10)/(bud_detail!F14)</f>
        <v>9.9009900990099011E-3</v>
      </c>
      <c r="V5" s="532"/>
      <c r="W5" s="532"/>
      <c r="X5" s="532"/>
      <c r="Y5" s="1123">
        <v>1</v>
      </c>
      <c r="Z5" s="1123">
        <v>0</v>
      </c>
      <c r="AA5" s="1123">
        <v>0.6</v>
      </c>
      <c r="AB5" s="1123">
        <v>0.5</v>
      </c>
      <c r="AC5" s="1123">
        <v>0.4</v>
      </c>
      <c r="AD5" s="1123">
        <v>0.4</v>
      </c>
      <c r="AE5" s="532"/>
      <c r="AF5" s="534"/>
      <c r="AG5" s="1125">
        <v>0.15</v>
      </c>
      <c r="AN5" s="524"/>
    </row>
    <row r="6" spans="1:40" ht="14">
      <c r="A6" s="901"/>
      <c r="B6" s="535"/>
      <c r="D6" s="532"/>
      <c r="E6" s="532"/>
      <c r="F6" s="532"/>
      <c r="G6" s="532"/>
      <c r="H6" s="532"/>
      <c r="I6" s="532"/>
      <c r="J6" s="532"/>
      <c r="K6" s="532"/>
      <c r="L6" s="532"/>
      <c r="M6" s="533"/>
      <c r="N6" s="532"/>
      <c r="O6" s="532"/>
      <c r="P6" s="531" t="s">
        <v>608</v>
      </c>
      <c r="Q6" s="536">
        <f>1-Q5</f>
        <v>0.75</v>
      </c>
      <c r="R6" s="536">
        <f>1-R5</f>
        <v>0.65</v>
      </c>
      <c r="S6" s="537"/>
      <c r="T6" s="532"/>
      <c r="U6" s="538">
        <f>1-U5</f>
        <v>0.99009900990099009</v>
      </c>
      <c r="V6" s="532"/>
      <c r="W6" s="532"/>
      <c r="X6" s="532"/>
      <c r="Y6" s="536">
        <f t="shared" ref="Y6:AD6" si="0">1-Y5</f>
        <v>0</v>
      </c>
      <c r="Z6" s="536">
        <v>1</v>
      </c>
      <c r="AA6" s="536">
        <f t="shared" si="0"/>
        <v>0.4</v>
      </c>
      <c r="AB6" s="536">
        <f t="shared" si="0"/>
        <v>0.5</v>
      </c>
      <c r="AC6" s="536">
        <f t="shared" si="0"/>
        <v>0.6</v>
      </c>
      <c r="AD6" s="536">
        <f t="shared" si="0"/>
        <v>0.6</v>
      </c>
      <c r="AE6" s="532"/>
      <c r="AF6" s="534"/>
      <c r="AG6" s="539">
        <f>1-AG5</f>
        <v>0.85</v>
      </c>
      <c r="AJ6" s="524">
        <v>3.6314224025588593E-2</v>
      </c>
      <c r="AN6" s="524"/>
    </row>
    <row r="7" spans="1:40" ht="46" thickBot="1">
      <c r="A7" s="175" t="s">
        <v>170</v>
      </c>
      <c r="C7" s="895" t="s">
        <v>350</v>
      </c>
      <c r="D7" s="175" t="s">
        <v>238</v>
      </c>
      <c r="E7" s="175" t="s">
        <v>609</v>
      </c>
      <c r="F7" s="175" t="s">
        <v>610</v>
      </c>
      <c r="G7" s="175" t="s">
        <v>611</v>
      </c>
      <c r="H7" s="175" t="s">
        <v>239</v>
      </c>
      <c r="I7" s="175" t="s">
        <v>240</v>
      </c>
      <c r="J7" s="175" t="s">
        <v>241</v>
      </c>
      <c r="K7" s="175" t="s">
        <v>242</v>
      </c>
      <c r="L7" s="175" t="s">
        <v>243</v>
      </c>
      <c r="M7" s="175" t="s">
        <v>402</v>
      </c>
      <c r="N7" s="175" t="s">
        <v>244</v>
      </c>
      <c r="O7" s="175" t="s">
        <v>245</v>
      </c>
      <c r="P7" s="175" t="s">
        <v>246</v>
      </c>
      <c r="Q7" s="175" t="s">
        <v>255</v>
      </c>
      <c r="R7" s="175" t="s">
        <v>218</v>
      </c>
      <c r="S7" s="175" t="s">
        <v>484</v>
      </c>
      <c r="T7" s="175" t="s">
        <v>80</v>
      </c>
      <c r="U7" s="175" t="s">
        <v>256</v>
      </c>
      <c r="V7" s="175" t="s">
        <v>443</v>
      </c>
      <c r="W7" s="175" t="s">
        <v>251</v>
      </c>
      <c r="X7" s="175" t="s">
        <v>252</v>
      </c>
      <c r="Y7" s="175" t="s">
        <v>254</v>
      </c>
      <c r="Z7" s="175" t="s">
        <v>221</v>
      </c>
      <c r="AA7" s="175" t="s">
        <v>472</v>
      </c>
      <c r="AB7" s="175" t="s">
        <v>253</v>
      </c>
      <c r="AC7" s="175" t="s">
        <v>471</v>
      </c>
      <c r="AD7" s="175" t="s">
        <v>470</v>
      </c>
      <c r="AE7" s="175" t="s">
        <v>413</v>
      </c>
      <c r="AF7" s="175" t="s">
        <v>442</v>
      </c>
      <c r="AG7" s="175" t="s">
        <v>444</v>
      </c>
      <c r="AH7" s="175" t="s">
        <v>463</v>
      </c>
      <c r="AI7" s="540" t="s">
        <v>426</v>
      </c>
      <c r="AL7" s="524" t="s">
        <v>428</v>
      </c>
      <c r="AM7" s="525" t="s">
        <v>429</v>
      </c>
      <c r="AN7" s="524"/>
    </row>
    <row r="8" spans="1:40" ht="14">
      <c r="A8" s="902">
        <f>'Development Cash Flow'!D6</f>
        <v>46235</v>
      </c>
      <c r="C8" s="896">
        <v>0</v>
      </c>
      <c r="D8" s="541">
        <v>1</v>
      </c>
      <c r="E8" s="541"/>
      <c r="F8" s="541"/>
      <c r="G8" s="541"/>
      <c r="H8" s="541"/>
      <c r="I8" s="541"/>
      <c r="J8" s="541"/>
      <c r="K8" s="541">
        <v>0.5</v>
      </c>
      <c r="L8" s="541">
        <f t="shared" ref="L8:L39" si="1">IF(C8&gt;$C$2,0,1/($C$2+1))</f>
        <v>2.3809523809523808E-2</v>
      </c>
      <c r="M8" s="541"/>
      <c r="N8" s="541"/>
      <c r="O8" s="541"/>
      <c r="P8" s="541">
        <f t="shared" ref="P8:P39" si="2">IF(AND(C8&gt;=$C$2-5,C8&lt;=$C$2),1/6,0)</f>
        <v>0</v>
      </c>
      <c r="Q8" s="541"/>
      <c r="R8" s="541"/>
      <c r="S8" s="541">
        <f>IF(OR(C8=general!$C$27,C8=general!$C$27-1),50%,0)</f>
        <v>0</v>
      </c>
      <c r="T8" s="541"/>
      <c r="U8" s="541">
        <f>IF(C8='Development Cash Flow'!$C$6,$U$5,0)+IF(C8=general!$C$27,$U$6,0)</f>
        <v>9.9009900990099011E-3</v>
      </c>
      <c r="V8" s="541">
        <f>IF(C8=general!$C$28,1,0)</f>
        <v>0</v>
      </c>
      <c r="W8" s="541">
        <f t="shared" ref="W8:W13" si="3">1/12</f>
        <v>8.3333333333333329E-2</v>
      </c>
      <c r="X8" s="541">
        <f>IF(C8=general!$C$23,1,0)</f>
        <v>0</v>
      </c>
      <c r="Y8" s="541">
        <f>IFERROR(($C8&lt;general!$C$23)*Y$5/(general!$C$23),0)+IFERROR(($C8&gt;=general!$C$23)*($C8&lt;=general!$C$27)*Y$6/(general!$C$27-general!$C$23+1),0)</f>
        <v>5.5555555555555552E-2</v>
      </c>
      <c r="Z8" s="541">
        <f>IFERROR(($C8&lt;general!$C$23)*Z$5/(general!$C$23),0)+IFERROR(($C8&gt;=general!$C$23)*($C8&lt;=general!$C$27)*Z$6/(general!$C$27-general!$C$23+1),0)*(1-$Z$4)+$Z$4*AF8</f>
        <v>0</v>
      </c>
      <c r="AA8" s="541">
        <f>MAX((IFERROR(($C8&lt;general!$C$23)*AA$5/(general!$C$23),0)+IFERROR(($C8&gt;=general!$C$23)*($C8&lt;=general!$C$27)*AA$6/(general!$C$27-general!$C$23+1),0)),0)</f>
        <v>3.3333333333333333E-2</v>
      </c>
      <c r="AB8" s="541">
        <f>MAX((IFERROR(($C8&lt;general!$C$23)*AB$5/(general!$C$23),0)+IFERROR(($C8&gt;=general!$C$23)*($C8&lt;=general!$C$27)*AB$6/(general!$C$27-general!$C$23+1),0)),0)</f>
        <v>2.7777777777777776E-2</v>
      </c>
      <c r="AC8" s="541">
        <f>MAX((IFERROR(($C8&lt;general!$C$23)*AC$5/(general!$C$23),0)+IFERROR(($C8&gt;=general!$C$23)*($C8&lt;=general!$C$27)*AC$6/(general!$C$27-general!$C$23+1),0)),0)</f>
        <v>2.2222222222222223E-2</v>
      </c>
      <c r="AD8" s="541">
        <f>MAX((IFERROR(($C8&lt;general!$C$23)*AD$5/(general!$C$23),0)+IFERROR(($C8&gt;=general!$C$23)*($C8&lt;=general!$C$27)*AD$6/(general!$C$27-general!$C$23+1),0)),0)</f>
        <v>2.2222222222222223E-2</v>
      </c>
      <c r="AE8" s="541">
        <f>IF(AK8=1,AL8/SUM($AL$8:$AL$128),0)</f>
        <v>0</v>
      </c>
      <c r="AF8" s="541">
        <f>+SUMPRODUCT(--($C8=sales!$C$50:$C$54),sales!$D$50:$D$54)</f>
        <v>0</v>
      </c>
      <c r="AG8" s="541"/>
      <c r="AH8" s="541">
        <f>+IF($C8=general!$C$21,1,0)</f>
        <v>1</v>
      </c>
      <c r="AI8" s="524">
        <f>+SUM(AK8:AK128)</f>
        <v>5</v>
      </c>
      <c r="AK8" s="524">
        <f>IF(A8&lt;=general!$D$27,IF(MONTH(A8)=11,1,IF(C8=general!$C$27,1,0)),)</f>
        <v>0</v>
      </c>
      <c r="AL8" s="524">
        <f>IF(AK8=1,COUNTIFS($C$8:$C$128,"&lt;="&amp;general!$C$27&amp;"",'draws%'!$AM$8:$AM$128,"="&amp;AM8&amp;""),0)</f>
        <v>0</v>
      </c>
      <c r="AM8" s="524">
        <f t="shared" ref="AM8:AM39" si="4">YEAR(A8)</f>
        <v>2026</v>
      </c>
      <c r="AN8" s="524"/>
    </row>
    <row r="9" spans="1:40" ht="14">
      <c r="A9" s="903">
        <f>EOMONTH(A8,1)</f>
        <v>46295</v>
      </c>
      <c r="C9" s="897">
        <f>C8+1</f>
        <v>1</v>
      </c>
      <c r="D9" s="542"/>
      <c r="E9" s="542">
        <f>IF($C9=$C$2,0,IF(OR($C9=0,$C9&lt;general!$C$23,$C9&gt;$C$2),0,E$2/$C$3+NORMDIST($C9-general!$C$23+1,$C$3/2,E$1,1)-NORMDIST($C8-general!$C$23+1,$C$3/2,E$1,1)))+IF($C9=$C$2,1-SUM(E$8:E8),0)</f>
        <v>0</v>
      </c>
      <c r="F9" s="542">
        <f>IF($C9=$C$2,0,IF(OR($C9=0,$C9&lt;general!$C$23,$C9&gt;$C$2),0,F$2/$C$3+NORMDIST($C9-general!$C$23+1,$C$3/2,F$1,1)-NORMDIST($C8-general!$C$23+1,$C$3/2,F$1,1)))+IF($C9=$C$2,1-SUM(F$8:F8),0)</f>
        <v>0</v>
      </c>
      <c r="G9" s="542">
        <f>IF($C9=$C$2,0,IF(OR($C9=0,$C9&lt;general!$C$23,$C9&gt;$C$2),0,G$2/$C$3+NORMDIST($C9-general!$C$23+1,$C$3/2,G$1,1)-NORMDIST($C8-general!$C$23+1,$C$3/2,G$1,1)))+IF($C9=$C$2,1-SUM(G$8:G8),0)</f>
        <v>0</v>
      </c>
      <c r="H9" s="542">
        <f>IF(C9=$C$2,0,IF(OR(C9=0,C9&lt;1,C9&gt;$C$2),0,$H$2/$C$2+NORMDIST(C9,$C$2/2,$H$1,1)-NORMDIST(C8,$C$2/2,$H$1,1)))+IF(C9=$C$2,1-SUM($H8:H$9),0)</f>
        <v>1.3266242910022222E-2</v>
      </c>
      <c r="I9" s="542">
        <f>IF(C9=$C$2,0,IF(OR(C9=0,C9&lt;1,C9&gt;$C$2),0,$I$2/$C$2+NORMDIST(C9,$C$2/2,$I$1,1)-NORMDIST(C8,$C$2/2,$I$1,1)))+IF(C9=$C$2,1-SUM($I8:I$9),0)</f>
        <v>1.9830504420008527E-2</v>
      </c>
      <c r="J9" s="542">
        <f>IF(C9=$C$2,0,IF(OR(C9=0,C9&lt;1,C9&gt;$C$2),0,$J$2/$C$2+NORMDIST(C9,$C$2/2,$J$1,1)-NORMDIST(C8,$C$2/2,$J$1,1)))+IF(C9=$C$2,1-SUM($J8:J$9),0)</f>
        <v>2.2222250495562285E-2</v>
      </c>
      <c r="K9" s="542">
        <f t="shared" ref="K9:K40" si="5">IF(C9&lt;=$C$2,50%/$C$2,0)</f>
        <v>1.2195121951219513E-2</v>
      </c>
      <c r="L9" s="542">
        <f t="shared" si="1"/>
        <v>2.3809523809523808E-2</v>
      </c>
      <c r="M9" s="542">
        <f>IF($C9&gt;$C$2,IF($C9=sales!$F$36,M$4,0),(1-M$4)/$C$2)</f>
        <v>2.0731707317073172E-2</v>
      </c>
      <c r="N9" s="542">
        <f>IF(ISEVEN($C$2),IF(C9&gt;$C$2,0,IF(C9&lt;=$C$2/2,C9,C9-1-2*(SUMPRODUCT(--($C$8:C9&gt;$C$2/2))-1))/(($C$2/2)*($C$2/2+1))),0)+IF(ISODD($C$2),IF(C9&gt;$C$2,0,IF(C9-1&lt;=$C$2/2,C9,C9-2*(SUMPRODUCT(--($C$8:C9&gt;$C$2/2))-1))/((INT($C$2/2))*(INT($C$2/2)+1)+ROUNDUP($C$2/2,0))),0)</f>
        <v>2.2675736961451248E-3</v>
      </c>
      <c r="O9" s="542">
        <f t="shared" ref="O9:O14" si="6">1/6</f>
        <v>0.16666666666666666</v>
      </c>
      <c r="P9" s="542">
        <f t="shared" si="2"/>
        <v>0</v>
      </c>
      <c r="Q9" s="542">
        <f>IF($C9=general!$C$28,Q$4,IFERROR(($C9&lt;general!$C$23)*((1-Q$4)*Q$5)/(general!$C$23-1),0)+IFERROR(($C9&gt;=general!$C$23)*($C9&lt;=general!$C$27)*((1-Q$4)*Q$6)/(general!$C$27-general!$C$23+1),0))+IF(AND(general!$C$23&lt;=1,$C9&lt;=1),'draws%'!Q$5*(1-Q$4))</f>
        <v>1.4705882352941176E-2</v>
      </c>
      <c r="R9" s="542">
        <f>IF($C9=general!$C$27,R$4,IFERROR(($C9&lt;general!$C$23)*((1-R$4)*R$5)/(general!$C$23-1),0)+IFERROR(($C9&gt;=general!$C$23)*($C9&lt;general!$C$27)*((1-R$4)*R$6)/(general!$C$27-general!$C$23),0))+IF(AND(general!$C$23&lt;=1,$C9&lt;=1),'draws%'!R$5*(1-R$4))</f>
        <v>2.0588235294117647E-2</v>
      </c>
      <c r="S9" s="542">
        <f>IF(OR(C9=general!$C$27,C9=general!$C$27-1),50%,0)</f>
        <v>0</v>
      </c>
      <c r="T9" s="542">
        <f>(C9&gt;=general!$C$26-6)*(C9&lt;general!$C$26)*1/6*0.5+(C9=3)*0.25+(C9=9)*0.25</f>
        <v>0</v>
      </c>
      <c r="U9" s="542">
        <f>IF(C9='Development Cash Flow'!$C$6,$U$5,0)+IF(C9=general!$C$27,$U$6,0)</f>
        <v>0</v>
      </c>
      <c r="V9" s="542">
        <f>IF(C9=general!$C$28,1,0)</f>
        <v>0</v>
      </c>
      <c r="W9" s="542">
        <f t="shared" si="3"/>
        <v>8.3333333333333329E-2</v>
      </c>
      <c r="X9" s="542">
        <f>IF(C9=general!$C$23,1,0)</f>
        <v>0</v>
      </c>
      <c r="Y9" s="542">
        <f>IFERROR((C9&lt;general!$C$23)*Y$5/(general!$C$23),0)+IFERROR((C9&gt;=general!$C$23)*(C9&lt;=general!$C$27)*Y$6/(general!$C$27-general!$C$23+1),0)</f>
        <v>5.5555555555555552E-2</v>
      </c>
      <c r="Z9" s="542">
        <f>IFERROR(($C9&lt;general!$C$23)*Z$5/(general!$C$23),0)+IFERROR(($C9&gt;=general!$C$23)*($C9&lt;=general!$C$27)*Z$6/(general!$C$27-general!$C$23+1),0)*(1-$Z$4)+$Z$4*AF9</f>
        <v>0</v>
      </c>
      <c r="AA9" s="542">
        <f>MAX((IFERROR(($C9&lt;general!$C$23)*AA$5/(general!$C$23),0)+IFERROR(($C9&gt;=general!$C$23)*($C9&lt;=general!$C$27)*AA$6/(general!$C$27-general!$C$23+1),0)),0)</f>
        <v>3.3333333333333333E-2</v>
      </c>
      <c r="AB9" s="542">
        <f>MAX((IFERROR(($C9&lt;general!$C$23)*AB$5/(general!$C$23),0)+IFERROR(($C9&gt;=general!$C$23)*($C9&lt;=general!$C$27)*AB$6/(general!$C$27-general!$C$23+1),0)),0)</f>
        <v>2.7777777777777776E-2</v>
      </c>
      <c r="AC9" s="542">
        <f>MAX((IFERROR(($C9&lt;general!$C$23)*AC$5/(general!$C$23),0)+IFERROR(($C9&gt;=general!$C$23)*($C9&lt;=general!$C$27)*AC$6/(general!$C$27-general!$C$23+1),0)),0)</f>
        <v>2.2222222222222223E-2</v>
      </c>
      <c r="AD9" s="542">
        <f>MAX((IFERROR(($C9&lt;general!$C$23)*AD$5/(general!$C$23),0)+IFERROR(($C9&gt;=general!$C$23)*($C9&lt;=general!$C$27)*AD$6/(general!$C$27-general!$C$23+1),0)),0)</f>
        <v>2.2222222222222223E-2</v>
      </c>
      <c r="AE9" s="542">
        <f t="shared" ref="AE9:AE72" si="7">IF(AK9=1,AL9/SUM($AL$8:$AL$128),0)</f>
        <v>0</v>
      </c>
      <c r="AF9" s="542">
        <f>+SUMPRODUCT(--($C9=sales!$C$50:$C$54),sales!$D$50:$D$54)</f>
        <v>0</v>
      </c>
      <c r="AG9" s="542">
        <f>IF($C9=general!$C$28,AG$4,IFERROR(($C9&lt;general!$C$23)*((1-AG$4)*AG$5)/(general!$C$23-1),0)+IFERROR(($C9&gt;=general!$C$23)*($C9&lt;=general!$C$27)*((1-AG$4)*AG$6)/(general!$C$27-general!$C$23+1),0))+IF(AND(general!$C$23&lt;=1,$C9&lt;=1),'draws%'!AG$5*(1-AG$4))</f>
        <v>8.8235294117647058E-3</v>
      </c>
      <c r="AH9" s="542">
        <f>+IF($C9=general!$C$21,1,0)</f>
        <v>0</v>
      </c>
      <c r="AK9" s="524">
        <f>IF(A9&lt;=general!$D$27,IF(MONTH(A9)=11,1,IF(C9=general!$C$27,1,0)),)</f>
        <v>0</v>
      </c>
      <c r="AL9" s="524">
        <f>IF(AK9=1,COUNTIFS($C$8:$C$128,"&lt;="&amp;general!$C$27&amp;"",'draws%'!$AM$8:$AM$128,"="&amp;AM9&amp;""),0)</f>
        <v>0</v>
      </c>
      <c r="AM9" s="524">
        <f t="shared" si="4"/>
        <v>2026</v>
      </c>
      <c r="AN9" s="524"/>
    </row>
    <row r="10" spans="1:40" ht="14">
      <c r="A10" s="903">
        <f t="shared" ref="A10:A73" si="8">EOMONTH(A9,1)</f>
        <v>46326</v>
      </c>
      <c r="C10" s="897">
        <f t="shared" ref="C10:C73" si="9">C9+1</f>
        <v>2</v>
      </c>
      <c r="D10" s="542"/>
      <c r="E10" s="542">
        <f>IF($C10=$C$2,0,IF(OR($C10=0,$C10&lt;general!$C$23,$C10&gt;$C$2),0,E$2/$C$3+NORMDIST($C10-general!$C$23+1,$C$3/2,E$1,1)-NORMDIST($C9-general!$C$23+1,$C$3/2,E$1,1)))+IF($C10=$C$2,1-SUM(E$8:E9),0)</f>
        <v>0</v>
      </c>
      <c r="F10" s="542">
        <f>IF($C10=$C$2,0,IF(OR($C10=0,$C10&lt;general!$C$23,$C10&gt;$C$2),0,F$2/$C$3+NORMDIST($C10-general!$C$23+1,$C$3/2,F$1,1)-NORMDIST($C9-general!$C$23+1,$C$3/2,F$1,1)))+IF($C10=$C$2,1-SUM(F$8:F9),0)</f>
        <v>0</v>
      </c>
      <c r="G10" s="542">
        <f>IF($C10=$C$2,0,IF(OR($C10=0,$C10&lt;general!$C$23,$C10&gt;$C$2),0,G$2/$C$3+NORMDIST($C10-general!$C$23+1,$C$3/2,G$1,1)-NORMDIST($C9-general!$C$23+1,$C$3/2,G$1,1)))+IF($C10=$C$2,1-SUM(G$8:G9),0)</f>
        <v>0</v>
      </c>
      <c r="H10" s="542">
        <f>IF(C10=$C$2,0,IF(OR(C10=0,C10&lt;1,C10&gt;$C$2),0,$H$2/$C$2+NORMDIST(C10,$C$2/2,$H$1,1)-NORMDIST(C9,$C$2/2,$H$1,1)))+IF(C10=$C$2,1-SUM($H9:H$9),0)</f>
        <v>1.4367002674177981E-2</v>
      </c>
      <c r="I10" s="542">
        <f>IF(C10=$C$2,0,IF(OR(C10=0,C10&lt;1,C10&gt;$C$2),0,$I$2/$C$2+NORMDIST(C10,$C$2/2,$I$1,1)-NORMDIST(C9,$C$2/2,$I$1,1)))+IF(C10=$C$2,1-SUM($I9:I$9),0)</f>
        <v>2.0404652365913878E-2</v>
      </c>
      <c r="J10" s="542">
        <f>IF(C10=$C$2,0,IF(OR(C10=0,C10&lt;1,C10&gt;$C$2),0,$J$2/$C$2+NORMDIST(C10,$C$2/2,$J$1,1)-NORMDIST(C9,$C$2/2,$J$1,1)))+IF(C10=$C$2,1-SUM($J9:J$9),0)</f>
        <v>2.2517525622094775E-2</v>
      </c>
      <c r="K10" s="542">
        <f t="shared" si="5"/>
        <v>1.2195121951219513E-2</v>
      </c>
      <c r="L10" s="542">
        <f t="shared" si="1"/>
        <v>2.3809523809523808E-2</v>
      </c>
      <c r="M10" s="542">
        <f>IF($C10&gt;$C$2,IF($C10=sales!$F$36,M$4,0),(1-M$4)/$C$2)</f>
        <v>2.0731707317073172E-2</v>
      </c>
      <c r="N10" s="542">
        <f>IF(ISEVEN($C$2),IF(C10&gt;$C$2,0,IF(C10&lt;=$C$2/2,C10,C10-1-2*(SUMPRODUCT(--($C$8:C10&gt;$C$2/2))-1))/(($C$2/2)*($C$2/2+1))),0)+IF(ISODD($C$2),IF(C10&gt;$C$2,0,IF(C10-1&lt;=$C$2/2,C10,C10-2*(SUMPRODUCT(--($C$8:C10&gt;$C$2/2))-1))/((INT($C$2/2))*(INT($C$2/2)+1)+ROUNDUP($C$2/2,0))),0)</f>
        <v>4.5351473922902496E-3</v>
      </c>
      <c r="O10" s="542">
        <f t="shared" si="6"/>
        <v>0.16666666666666666</v>
      </c>
      <c r="P10" s="542">
        <f t="shared" si="2"/>
        <v>0</v>
      </c>
      <c r="Q10" s="542">
        <f>IF($C10=general!$C$28,Q$4,IFERROR(($C10&lt;general!$C$23)*((1-Q$4)*Q$5)/(general!$C$23-1),0)+IFERROR(($C10&gt;=general!$C$23)*($C10&lt;=general!$C$27)*((1-Q$4)*Q$6)/(general!$C$27-general!$C$23+1),0))+IF(AND(general!$C$23&lt;=1,$C10&lt;=1),'draws%'!Q$5*(1-Q$4))</f>
        <v>1.4705882352941176E-2</v>
      </c>
      <c r="R10" s="542">
        <f>IF($C10=general!$C$27,R$4,IFERROR(($C10&lt;general!$C$23)*((1-R$4)*R$5)/(general!$C$23-1),0)+IFERROR(($C10&gt;=general!$C$23)*($C10&lt;general!$C$27)*((1-R$4)*R$6)/(general!$C$27-general!$C$23),0))+IF(AND(general!$C$23&lt;=1,$C10&lt;=1),'draws%'!R$5*(1-R$4))</f>
        <v>2.0588235294117647E-2</v>
      </c>
      <c r="S10" s="542">
        <f>IF(OR(C10=general!$C$27,C10=general!$C$27-1),50%,0)</f>
        <v>0</v>
      </c>
      <c r="T10" s="542">
        <f>(C10&gt;=general!$C$26-6)*(C10&lt;general!$C$26)*1/6*0.5+(C10=3)*0.25+(C10=9)*0.25</f>
        <v>0</v>
      </c>
      <c r="U10" s="542">
        <f>IF(C10='Development Cash Flow'!$C$6,$U$5,0)+IF(C10=general!$C$27,$U$6,0)</f>
        <v>0</v>
      </c>
      <c r="V10" s="542">
        <f>IF(C10=general!$C$28,1,0)</f>
        <v>0</v>
      </c>
      <c r="W10" s="542">
        <f t="shared" si="3"/>
        <v>8.3333333333333329E-2</v>
      </c>
      <c r="X10" s="542">
        <f>IF(C10=general!$C$23,1,0)</f>
        <v>0</v>
      </c>
      <c r="Y10" s="542">
        <f>IFERROR((C10&lt;general!$C$23)*Y$5/(general!$C$23),0)+IFERROR((C10&gt;=general!$C$23)*(C10&lt;=general!$C$27)*Y$6/(general!$C$27-general!$C$23+1),0)</f>
        <v>5.5555555555555552E-2</v>
      </c>
      <c r="Z10" s="542">
        <f>IFERROR(($C10&lt;general!$C$23)*Z$5/(general!$C$23),0)+IFERROR(($C10&gt;=general!$C$23)*($C10&lt;=general!$C$27)*Z$6/(general!$C$27-general!$C$23+1),0)*(1-$Z$4)+$Z$4*AF10</f>
        <v>0</v>
      </c>
      <c r="AA10" s="542">
        <f>MAX((IFERROR(($C10&lt;general!$C$23)*AA$5/(general!$C$23),0)+IFERROR(($C10&gt;=general!$C$23)*($C10&lt;=general!$C$27)*AA$6/(general!$C$27-general!$C$23+1),0)),0)</f>
        <v>3.3333333333333333E-2</v>
      </c>
      <c r="AB10" s="542">
        <f>MAX((IFERROR(($C10&lt;general!$C$23)*AB$5/(general!$C$23),0)+IFERROR(($C10&gt;=general!$C$23)*($C10&lt;=general!$C$27)*AB$6/(general!$C$27-general!$C$23+1),0)),0)</f>
        <v>2.7777777777777776E-2</v>
      </c>
      <c r="AC10" s="542">
        <f>MAX((IFERROR(($C10&lt;general!$C$23)*AC$5/(general!$C$23),0)+IFERROR(($C10&gt;=general!$C$23)*($C10&lt;=general!$C$27)*AC$6/(general!$C$27-general!$C$23+1),0)),0)</f>
        <v>2.2222222222222223E-2</v>
      </c>
      <c r="AD10" s="542">
        <f>MAX((IFERROR(($C10&lt;general!$C$23)*AD$5/(general!$C$23),0)+IFERROR(($C10&gt;=general!$C$23)*($C10&lt;=general!$C$27)*AD$6/(general!$C$27-general!$C$23+1),0)),0)</f>
        <v>2.2222222222222223E-2</v>
      </c>
      <c r="AE10" s="542">
        <f t="shared" si="7"/>
        <v>0</v>
      </c>
      <c r="AF10" s="542">
        <f>+SUMPRODUCT(--($C10=sales!$C$50:$C$54),sales!$D$50:$D$54)</f>
        <v>0</v>
      </c>
      <c r="AG10" s="542">
        <f>IF($C10=general!$C$28,AG$4,IFERROR(($C10&lt;general!$C$23)*((1-AG$4)*AG$5)/(general!$C$23-1),0)+IFERROR(($C10&gt;=general!$C$23)*($C10&lt;=general!$C$27)*((1-AG$4)*AG$6)/(general!$C$27-general!$C$23+1),0))+IF(AND(general!$C$23&lt;=1,$C10&lt;=1),'draws%'!AG$5*(1-AG$4))</f>
        <v>8.8235294117647058E-3</v>
      </c>
      <c r="AH10" s="542">
        <f>+IF($C10=general!$C$21,1,0)</f>
        <v>0</v>
      </c>
      <c r="AK10" s="524">
        <f>IF(A10&lt;=general!$D$27,IF(MONTH(A10)=11,1,IF(C10=general!$C$27,1,0)),)</f>
        <v>0</v>
      </c>
      <c r="AL10" s="524">
        <f>IF(AK10=1,COUNTIFS($C$8:$C$128,"&lt;="&amp;general!$C$27&amp;"",'draws%'!$AM$8:$AM$128,"="&amp;AM10&amp;""),0)</f>
        <v>0</v>
      </c>
      <c r="AM10" s="524">
        <f t="shared" si="4"/>
        <v>2026</v>
      </c>
      <c r="AN10" s="524"/>
    </row>
    <row r="11" spans="1:40" ht="14">
      <c r="A11" s="903">
        <f t="shared" si="8"/>
        <v>46356</v>
      </c>
      <c r="C11" s="897">
        <f t="shared" si="9"/>
        <v>3</v>
      </c>
      <c r="D11" s="542"/>
      <c r="E11" s="542">
        <f>IF($C11=$C$2,0,IF(OR($C11=0,$C11&lt;general!$C$23,$C11&gt;$C$2),0,E$2/$C$3+NORMDIST($C11-general!$C$23+1,$C$3/2,E$1,1)-NORMDIST($C10-general!$C$23+1,$C$3/2,E$1,1)))+IF($C11=$C$2,1-SUM(E$8:E10),0)</f>
        <v>0</v>
      </c>
      <c r="F11" s="542">
        <f>IF($C11=$C$2,0,IF(OR($C11=0,$C11&lt;general!$C$23,$C11&gt;$C$2),0,F$2/$C$3+NORMDIST($C11-general!$C$23+1,$C$3/2,F$1,1)-NORMDIST($C10-general!$C$23+1,$C$3/2,F$1,1)))+IF($C11=$C$2,1-SUM(F$8:F10),0)</f>
        <v>0</v>
      </c>
      <c r="G11" s="542">
        <f>IF($C11=$C$2,0,IF(OR($C11=0,$C11&lt;general!$C$23,$C11&gt;$C$2),0,G$2/$C$3+NORMDIST($C11-general!$C$23+1,$C$3/2,G$1,1)-NORMDIST($C10-general!$C$23+1,$C$3/2,G$1,1)))+IF($C11=$C$2,1-SUM(G$8:G10),0)</f>
        <v>0</v>
      </c>
      <c r="H11" s="542">
        <f>IF(C11=$C$2,0,IF(OR(C11=0,C11&lt;1,C11&gt;$C$2),0,$H$2/$C$2+NORMDIST(C11,$C$2/2,$H$1,1)-NORMDIST(C10,$C$2/2,$H$1,1)))+IF(C11=$C$2,1-SUM($H$9:H10),0)</f>
        <v>1.5523032245098989E-2</v>
      </c>
      <c r="I11" s="542">
        <f>IF(C11=$C$2,0,IF(OR(C11=0,C11&lt;1,C11&gt;$C$2),0,$I$2/$C$2+NORMDIST(C11,$C$2/2,$I$1,1)-NORMDIST(C10,$C$2/2,$I$1,1)))+IF(C11=$C$2,1-SUM($I$9:I10),0)</f>
        <v>2.0974538532314679E-2</v>
      </c>
      <c r="J11" s="542">
        <f>IF(C11=$C$2,0,IF(OR(C11=0,C11&lt;1,C11&gt;$C$2),0,$J$2/$C$2+NORMDIST(C11,$C$2/2,$J$1,1)-NORMDIST(C10,$C$2/2,$J$1,1)))+IF(C11=$C$2,1-SUM($J$9:J10),0)</f>
        <v>2.2804872304349078E-2</v>
      </c>
      <c r="K11" s="542">
        <f t="shared" si="5"/>
        <v>1.2195121951219513E-2</v>
      </c>
      <c r="L11" s="542">
        <f t="shared" si="1"/>
        <v>2.3809523809523808E-2</v>
      </c>
      <c r="M11" s="542">
        <f>IF($C11&gt;$C$2,IF($C11=sales!$F$36,M$4,0),(1-M$4)/$C$2)</f>
        <v>2.0731707317073172E-2</v>
      </c>
      <c r="N11" s="542">
        <f>IF(ISEVEN($C$2),IF(C11&gt;$C$2,0,IF(C11&lt;=$C$2/2,C11,C11-1-2*(SUMPRODUCT(--($C$8:C11&gt;$C$2/2))-1))/(($C$2/2)*($C$2/2+1))),0)+IF(ISODD($C$2),IF(C11&gt;$C$2,0,IF(C11-1&lt;=$C$2/2,C11,C11-2*(SUMPRODUCT(--($C$8:C11&gt;$C$2/2))-1))/((INT($C$2/2))*(INT($C$2/2)+1)+ROUNDUP($C$2/2,0))),0)</f>
        <v>6.8027210884353739E-3</v>
      </c>
      <c r="O11" s="542">
        <f t="shared" si="6"/>
        <v>0.16666666666666666</v>
      </c>
      <c r="P11" s="542">
        <f t="shared" si="2"/>
        <v>0</v>
      </c>
      <c r="Q11" s="542">
        <f>IF($C11=general!$C$28,Q$4,IFERROR(($C11&lt;general!$C$23)*((1-Q$4)*Q$5)/(general!$C$23-1),0)+IFERROR(($C11&gt;=general!$C$23)*($C11&lt;=general!$C$27)*((1-Q$4)*Q$6)/(general!$C$27-general!$C$23+1),0))+IF(AND(general!$C$23&lt;=1,$C11&lt;=1),'draws%'!Q$5*(1-Q$4))</f>
        <v>1.4705882352941176E-2</v>
      </c>
      <c r="R11" s="542">
        <f>IF($C11=general!$C$27,R$4,IFERROR(($C11&lt;general!$C$23)*((1-R$4)*R$5)/(general!$C$23-1),0)+IFERROR(($C11&gt;=general!$C$23)*($C11&lt;general!$C$27)*((1-R$4)*R$6)/(general!$C$27-general!$C$23),0))+IF(AND(general!$C$23&lt;=1,$C11&lt;=1),'draws%'!R$5*(1-R$4))</f>
        <v>2.0588235294117647E-2</v>
      </c>
      <c r="S11" s="542">
        <f>IF(OR(C11=general!$C$27,C11=general!$C$27-1),50%,0)</f>
        <v>0</v>
      </c>
      <c r="T11" s="542">
        <f>(C11&gt;=general!$C$26-6)*(C11&lt;general!$C$26)*1/6*0.5+(C11=3)*0.25+(C11=9)*0.25</f>
        <v>0.25</v>
      </c>
      <c r="U11" s="542">
        <f>IF(C11='Development Cash Flow'!$C$6,$U$5,0)+IF(C11=general!$C$27,$U$6,0)</f>
        <v>0</v>
      </c>
      <c r="V11" s="542">
        <f>IF(C11=general!$C$28,1,0)</f>
        <v>0</v>
      </c>
      <c r="W11" s="542">
        <f t="shared" si="3"/>
        <v>8.3333333333333329E-2</v>
      </c>
      <c r="X11" s="542">
        <f>IF(C11=general!$C$23,1,0)</f>
        <v>0</v>
      </c>
      <c r="Y11" s="542">
        <f>IFERROR((C11&lt;general!$C$23)*Y$5/(general!$C$23),0)+IFERROR((C11&gt;=general!$C$23)*(C11&lt;=general!$C$27)*Y$6/(general!$C$27-general!$C$23+1),0)</f>
        <v>5.5555555555555552E-2</v>
      </c>
      <c r="Z11" s="542">
        <f>IFERROR(($C11&lt;general!$C$23)*Z$5/(general!$C$23),0)+IFERROR(($C11&gt;=general!$C$23)*($C11&lt;=general!$C$27)*Z$6/(general!$C$27-general!$C$23+1),0)*(1-$Z$4)+$Z$4*AF11</f>
        <v>0</v>
      </c>
      <c r="AA11" s="542">
        <f>MAX((IFERROR(($C11&lt;general!$C$23)*AA$5/(general!$C$23),0)+IFERROR(($C11&gt;=general!$C$23)*($C11&lt;=general!$C$27)*AA$6/(general!$C$27-general!$C$23+1),0)),0)</f>
        <v>3.3333333333333333E-2</v>
      </c>
      <c r="AB11" s="542">
        <f>MAX((IFERROR(($C11&lt;general!$C$23)*AB$5/(general!$C$23),0)+IFERROR(($C11&gt;=general!$C$23)*($C11&lt;=general!$C$27)*AB$6/(general!$C$27-general!$C$23+1),0)),0)</f>
        <v>2.7777777777777776E-2</v>
      </c>
      <c r="AC11" s="542">
        <f>MAX((IFERROR(($C11&lt;general!$C$23)*AC$5/(general!$C$23),0)+IFERROR(($C11&gt;=general!$C$23)*($C11&lt;=general!$C$27)*AC$6/(general!$C$27-general!$C$23+1),0)),0)</f>
        <v>2.2222222222222223E-2</v>
      </c>
      <c r="AD11" s="542">
        <f>MAX((IFERROR(($C11&lt;general!$C$23)*AD$5/(general!$C$23),0)+IFERROR(($C11&gt;=general!$C$23)*($C11&lt;=general!$C$27)*AD$6/(general!$C$27-general!$C$23+1),0)),0)</f>
        <v>2.2222222222222223E-2</v>
      </c>
      <c r="AE11" s="542">
        <f t="shared" si="7"/>
        <v>0.11904761904761904</v>
      </c>
      <c r="AF11" s="542">
        <f>+SUMPRODUCT(--($C11=sales!$C$50:$C$54),sales!$D$50:$D$54)</f>
        <v>0</v>
      </c>
      <c r="AG11" s="542">
        <f>IF($C11=general!$C$28,AG$4,IFERROR(($C11&lt;general!$C$23)*((1-AG$4)*AG$5)/(general!$C$23-1),0)+IFERROR(($C11&gt;=general!$C$23)*($C11&lt;=general!$C$27)*((1-AG$4)*AG$6)/(general!$C$27-general!$C$23+1),0))+IF(AND(general!$C$23&lt;=1,$C11&lt;=1),'draws%'!AG$5*(1-AG$4))</f>
        <v>8.8235294117647058E-3</v>
      </c>
      <c r="AH11" s="542">
        <f>+IF($C11=general!$C$21,1,0)</f>
        <v>0</v>
      </c>
      <c r="AK11" s="524">
        <f>IF(A11&lt;=general!$D$27,IF(MONTH(A11)=11,1,IF(C11=general!$C$27,1,0)),)</f>
        <v>1</v>
      </c>
      <c r="AL11" s="524">
        <f>IF(AK11=1,COUNTIFS($C$8:$C$128,"&lt;="&amp;general!$C$27&amp;"",'draws%'!$AM$8:$AM$128,"="&amp;AM11&amp;""),0)</f>
        <v>5</v>
      </c>
      <c r="AM11" s="524">
        <f t="shared" si="4"/>
        <v>2026</v>
      </c>
      <c r="AN11" s="524"/>
    </row>
    <row r="12" spans="1:40" ht="14">
      <c r="A12" s="903">
        <f t="shared" si="8"/>
        <v>46387</v>
      </c>
      <c r="C12" s="897">
        <f t="shared" si="9"/>
        <v>4</v>
      </c>
      <c r="D12" s="542"/>
      <c r="E12" s="542">
        <f>IF($C12=$C$2,0,IF(OR($C12=0,$C12&lt;general!$C$23,$C12&gt;$C$2),0,E$2/$C$3+NORMDIST($C12-general!$C$23+1,$C$3/2,E$1,1)-NORMDIST($C11-general!$C$23+1,$C$3/2,E$1,1)))+IF($C12=$C$2,1-SUM(E$8:E11),0)</f>
        <v>0</v>
      </c>
      <c r="F12" s="542">
        <f>IF($C12=$C$2,0,IF(OR($C12=0,$C12&lt;general!$C$23,$C12&gt;$C$2),0,F$2/$C$3+NORMDIST($C12-general!$C$23+1,$C$3/2,F$1,1)-NORMDIST($C11-general!$C$23+1,$C$3/2,F$1,1)))+IF($C12=$C$2,1-SUM(F$8:F11),0)</f>
        <v>0</v>
      </c>
      <c r="G12" s="542">
        <f>IF($C12=$C$2,0,IF(OR($C12=0,$C12&lt;general!$C$23,$C12&gt;$C$2),0,G$2/$C$3+NORMDIST($C12-general!$C$23+1,$C$3/2,G$1,1)-NORMDIST($C11-general!$C$23+1,$C$3/2,G$1,1)))+IF($C12=$C$2,1-SUM(G$8:G11),0)</f>
        <v>0</v>
      </c>
      <c r="H12" s="542">
        <f>IF(C12=$C$2,0,IF(OR(C12=0,C12&lt;1,C12&gt;$C$2),0,$H$2/$C$2+NORMDIST(C12,$C$2/2,$H$1,1)-NORMDIST(C11,$C$2/2,$H$1,1)))+IF(C12=$C$2,1-SUM($H$9:H11),0)</f>
        <v>1.6727101377158882E-2</v>
      </c>
      <c r="I12" s="542">
        <f>IF(C12=$C$2,0,IF(OR(C12=0,C12&lt;1,C12&gt;$C$2),0,$I$2/$C$2+NORMDIST(C12,$C$2/2,$I$1,1)-NORMDIST(C11,$C$2/2,$I$1,1)))+IF(C12=$C$2,1-SUM($I$9:I11),0)</f>
        <v>2.1537201856928423E-2</v>
      </c>
      <c r="J12" s="542">
        <f>IF(C12=$C$2,0,IF(OR(C12=0,C12&lt;1,C12&gt;$C$2),0,$J$2/$C$2+NORMDIST(C12,$C$2/2,$J$1,1)-NORMDIST(C11,$C$2/2,$J$1,1)))+IF(C12=$C$2,1-SUM($J$9:J11),0)</f>
        <v>2.3083313534867256E-2</v>
      </c>
      <c r="K12" s="542">
        <f t="shared" si="5"/>
        <v>1.2195121951219513E-2</v>
      </c>
      <c r="L12" s="542">
        <f t="shared" si="1"/>
        <v>2.3809523809523808E-2</v>
      </c>
      <c r="M12" s="542">
        <f>IF($C12&gt;$C$2,IF($C12=sales!$F$36,M$4,0),(1-M$4)/$C$2)</f>
        <v>2.0731707317073172E-2</v>
      </c>
      <c r="N12" s="542">
        <f>IF(ISEVEN($C$2),IF(C12&gt;$C$2,0,IF(C12&lt;=$C$2/2,C12,C12-1-2*(SUMPRODUCT(--($C$8:C12&gt;$C$2/2))-1))/(($C$2/2)*($C$2/2+1))),0)+IF(ISODD($C$2),IF(C12&gt;$C$2,0,IF(C12-1&lt;=$C$2/2,C12,C12-2*(SUMPRODUCT(--($C$8:C12&gt;$C$2/2))-1))/((INT($C$2/2))*(INT($C$2/2)+1)+ROUNDUP($C$2/2,0))),0)</f>
        <v>9.0702947845804991E-3</v>
      </c>
      <c r="O12" s="542">
        <f t="shared" si="6"/>
        <v>0.16666666666666666</v>
      </c>
      <c r="P12" s="542">
        <f t="shared" si="2"/>
        <v>0</v>
      </c>
      <c r="Q12" s="542">
        <f>IF($C12=general!$C$28,Q$4,IFERROR(($C12&lt;general!$C$23)*((1-Q$4)*Q$5)/(general!$C$23-1),0)+IFERROR(($C12&gt;=general!$C$23)*($C12&lt;=general!$C$27)*((1-Q$4)*Q$6)/(general!$C$27-general!$C$23+1),0))+IF(AND(general!$C$23&lt;=1,$C12&lt;=1),'draws%'!Q$5*(1-Q$4))</f>
        <v>1.4705882352941176E-2</v>
      </c>
      <c r="R12" s="542">
        <f>IF($C12=general!$C$27,R$4,IFERROR(($C12&lt;general!$C$23)*((1-R$4)*R$5)/(general!$C$23-1),0)+IFERROR(($C12&gt;=general!$C$23)*($C12&lt;general!$C$27)*((1-R$4)*R$6)/(general!$C$27-general!$C$23),0))+IF(AND(general!$C$23&lt;=1,$C12&lt;=1),'draws%'!R$5*(1-R$4))</f>
        <v>2.0588235294117647E-2</v>
      </c>
      <c r="S12" s="542">
        <f>IF(OR(C12=general!$C$27,C12=general!$C$27-1),50%,0)</f>
        <v>0</v>
      </c>
      <c r="T12" s="542">
        <f>(C12&gt;=general!$C$26-6)*(C12&lt;general!$C$26)*1/6*0.5+(C12=3)*0.25+(C12=9)*0.25</f>
        <v>0</v>
      </c>
      <c r="U12" s="542">
        <f>IF(C12='Development Cash Flow'!$C$6,$U$5,0)+IF(C12=general!$C$27,$U$6,0)</f>
        <v>0</v>
      </c>
      <c r="V12" s="542">
        <f>IF(C12=general!$C$28,1,0)</f>
        <v>0</v>
      </c>
      <c r="W12" s="542">
        <f t="shared" si="3"/>
        <v>8.3333333333333329E-2</v>
      </c>
      <c r="X12" s="542">
        <f>IF(C12=general!$C$23,1,0)</f>
        <v>0</v>
      </c>
      <c r="Y12" s="542">
        <f>IFERROR((C12&lt;general!$C$23)*Y$5/(general!$C$23),0)+IFERROR((C12&gt;=general!$C$23)*(C12&lt;=general!$C$27)*Y$6/(general!$C$27-general!$C$23+1),0)</f>
        <v>5.5555555555555552E-2</v>
      </c>
      <c r="Z12" s="542">
        <f>IFERROR(($C12&lt;general!$C$23)*Z$5/(general!$C$23),0)+IFERROR(($C12&gt;=general!$C$23)*($C12&lt;=general!$C$27)*Z$6/(general!$C$27-general!$C$23+1),0)*(1-$Z$4)+$Z$4*AF12</f>
        <v>0</v>
      </c>
      <c r="AA12" s="542">
        <f>MAX((IFERROR(($C12&lt;general!$C$23)*AA$5/(general!$C$23),0)+IFERROR(($C12&gt;=general!$C$23)*($C12&lt;=general!$C$27)*AA$6/(general!$C$27-general!$C$23+1),0)),0)</f>
        <v>3.3333333333333333E-2</v>
      </c>
      <c r="AB12" s="542">
        <f>MAX((IFERROR(($C12&lt;general!$C$23)*AB$5/(general!$C$23),0)+IFERROR(($C12&gt;=general!$C$23)*($C12&lt;=general!$C$27)*AB$6/(general!$C$27-general!$C$23+1),0)),0)</f>
        <v>2.7777777777777776E-2</v>
      </c>
      <c r="AC12" s="542">
        <f>MAX((IFERROR(($C12&lt;general!$C$23)*AC$5/(general!$C$23),0)+IFERROR(($C12&gt;=general!$C$23)*($C12&lt;=general!$C$27)*AC$6/(general!$C$27-general!$C$23+1),0)),0)</f>
        <v>2.2222222222222223E-2</v>
      </c>
      <c r="AD12" s="542">
        <f>MAX((IFERROR(($C12&lt;general!$C$23)*AD$5/(general!$C$23),0)+IFERROR(($C12&gt;=general!$C$23)*($C12&lt;=general!$C$27)*AD$6/(general!$C$27-general!$C$23+1),0)),0)</f>
        <v>2.2222222222222223E-2</v>
      </c>
      <c r="AE12" s="542">
        <f t="shared" si="7"/>
        <v>0</v>
      </c>
      <c r="AF12" s="542">
        <f>+SUMPRODUCT(--($C12=sales!$C$50:$C$54),sales!$D$50:$D$54)</f>
        <v>0</v>
      </c>
      <c r="AG12" s="542">
        <f>IF($C12=general!$C$28,AG$4,IFERROR(($C12&lt;general!$C$23)*((1-AG$4)*AG$5)/(general!$C$23-1),0)+IFERROR(($C12&gt;=general!$C$23)*($C12&lt;=general!$C$27)*((1-AG$4)*AG$6)/(general!$C$27-general!$C$23+1),0))+IF(AND(general!$C$23&lt;=1,$C12&lt;=1),'draws%'!AG$5*(1-AG$4))</f>
        <v>8.8235294117647058E-3</v>
      </c>
      <c r="AH12" s="542">
        <f>+IF($C12=general!$C$21,1,0)</f>
        <v>0</v>
      </c>
      <c r="AK12" s="524">
        <f>IF(A12&lt;=general!$D$27,IF(MONTH(A12)=11,1,IF(C12=general!$C$27,1,0)),)</f>
        <v>0</v>
      </c>
      <c r="AL12" s="524">
        <f>IF(AK12=1,COUNTIFS($C$8:$C$128,"&lt;="&amp;general!$C$27&amp;"",'draws%'!$AM$8:$AM$128,"="&amp;AM12&amp;""),0)</f>
        <v>0</v>
      </c>
      <c r="AM12" s="524">
        <f t="shared" si="4"/>
        <v>2026</v>
      </c>
      <c r="AN12" s="524"/>
    </row>
    <row r="13" spans="1:40" ht="14">
      <c r="A13" s="903">
        <f t="shared" si="8"/>
        <v>46418</v>
      </c>
      <c r="C13" s="897">
        <f t="shared" si="9"/>
        <v>5</v>
      </c>
      <c r="D13" s="542"/>
      <c r="E13" s="542">
        <f>IF($C13=$C$2,0,IF(OR($C13=0,$C13&lt;general!$C$23,$C13&gt;$C$2),0,E$2/$C$3+NORMDIST($C13-general!$C$23+1,$C$3/2,E$1,1)-NORMDIST($C12-general!$C$23+1,$C$3/2,E$1,1)))+IF($C13=$C$2,1-SUM(E$8:E12),0)</f>
        <v>0</v>
      </c>
      <c r="F13" s="542">
        <f>IF($C13=$C$2,0,IF(OR($C13=0,$C13&lt;general!$C$23,$C13&gt;$C$2),0,F$2/$C$3+NORMDIST($C13-general!$C$23+1,$C$3/2,F$1,1)-NORMDIST($C12-general!$C$23+1,$C$3/2,F$1,1)))+IF($C13=$C$2,1-SUM(F$8:F12),0)</f>
        <v>0</v>
      </c>
      <c r="G13" s="542">
        <f>IF($C13=$C$2,0,IF(OR($C13=0,$C13&lt;general!$C$23,$C13&gt;$C$2),0,G$2/$C$3+NORMDIST($C13-general!$C$23+1,$C$3/2,G$1,1)-NORMDIST($C12-general!$C$23+1,$C$3/2,G$1,1)))+IF($C13=$C$2,1-SUM(G$8:G12),0)</f>
        <v>0</v>
      </c>
      <c r="H13" s="542">
        <f>IF(C13=$C$2,0,IF(OR(C13=0,C13&lt;1,C13&gt;$C$2),0,$H$2/$C$2+NORMDIST(C13,$C$2/2,$H$1,1)-NORMDIST(C12,$C$2/2,$H$1,1)))+IF(C13=$C$2,1-SUM($H$9:H12),0)</f>
        <v>1.7970442668964096E-2</v>
      </c>
      <c r="I13" s="542">
        <f>IF(C13=$C$2,0,IF(OR(C13=0,C13&lt;1,C13&gt;$C$2),0,$I$2/$C$2+NORMDIST(C13,$C$2/2,$I$1,1)-NORMDIST(C12,$C$2/2,$I$1,1)))+IF(C13=$C$2,1-SUM($I$9:I12),0)</f>
        <v>2.2089604396773127E-2</v>
      </c>
      <c r="J13" s="542">
        <f>IF(C13=$C$2,0,IF(OR(C13=0,C13&lt;1,C13&gt;$C$2),0,$J$2/$C$2+NORMDIST(C13,$C$2/2,$J$1,1)-NORMDIST(C12,$C$2/2,$J$1,1)))+IF(C13=$C$2,1-SUM($J$9:J12),0)</f>
        <v>2.3351884653582899E-2</v>
      </c>
      <c r="K13" s="542">
        <f t="shared" si="5"/>
        <v>1.2195121951219513E-2</v>
      </c>
      <c r="L13" s="542">
        <f t="shared" si="1"/>
        <v>2.3809523809523808E-2</v>
      </c>
      <c r="M13" s="542">
        <f>IF($C13&gt;$C$2,IF($C13=sales!$F$36,M$4,0),(1-M$4)/$C$2)</f>
        <v>2.0731707317073172E-2</v>
      </c>
      <c r="N13" s="542">
        <f>IF(ISEVEN($C$2),IF(C13&gt;$C$2,0,IF(C13&lt;=$C$2/2,C13,C13-1-2*(SUMPRODUCT(--($C$8:C13&gt;$C$2/2))-1))/(($C$2/2)*($C$2/2+1))),0)+IF(ISODD($C$2),IF(C13&gt;$C$2,0,IF(C13-1&lt;=$C$2/2,C13,C13-2*(SUMPRODUCT(--($C$8:C13&gt;$C$2/2))-1))/((INT($C$2/2))*(INT($C$2/2)+1)+ROUNDUP($C$2/2,0))),0)</f>
        <v>1.1337868480725623E-2</v>
      </c>
      <c r="O13" s="542">
        <f t="shared" si="6"/>
        <v>0.16666666666666666</v>
      </c>
      <c r="P13" s="542">
        <f t="shared" si="2"/>
        <v>0</v>
      </c>
      <c r="Q13" s="542">
        <f>IF($C13=general!$C$28,Q$4,IFERROR(($C13&lt;general!$C$23)*((1-Q$4)*Q$5)/(general!$C$23-1),0)+IFERROR(($C13&gt;=general!$C$23)*($C13&lt;=general!$C$27)*((1-Q$4)*Q$6)/(general!$C$27-general!$C$23+1),0))+IF(AND(general!$C$23&lt;=1,$C13&lt;=1),'draws%'!Q$5*(1-Q$4))</f>
        <v>1.4705882352941176E-2</v>
      </c>
      <c r="R13" s="542">
        <f>IF($C13=general!$C$27,R$4,IFERROR(($C13&lt;general!$C$23)*((1-R$4)*R$5)/(general!$C$23-1),0)+IFERROR(($C13&gt;=general!$C$23)*($C13&lt;general!$C$27)*((1-R$4)*R$6)/(general!$C$27-general!$C$23),0))+IF(AND(general!$C$23&lt;=1,$C13&lt;=1),'draws%'!R$5*(1-R$4))</f>
        <v>2.0588235294117647E-2</v>
      </c>
      <c r="S13" s="542">
        <f>IF(OR(C13=general!$C$27,C13=general!$C$27-1),50%,0)</f>
        <v>0</v>
      </c>
      <c r="T13" s="542">
        <f>(C13&gt;=general!$C$26-6)*(C13&lt;general!$C$26)*1/6*0.5+(C13=3)*0.25+(C13=9)*0.25</f>
        <v>0</v>
      </c>
      <c r="U13" s="542">
        <f>IF(C13='Development Cash Flow'!$C$6,$U$5,0)+IF(C13=general!$C$27,$U$6,0)</f>
        <v>0</v>
      </c>
      <c r="V13" s="542">
        <f>IF(C13=general!$C$28,1,0)</f>
        <v>0</v>
      </c>
      <c r="W13" s="542">
        <f t="shared" si="3"/>
        <v>8.3333333333333329E-2</v>
      </c>
      <c r="X13" s="542">
        <f>IF(C13=general!$C$23,1,0)</f>
        <v>0</v>
      </c>
      <c r="Y13" s="542">
        <f>IFERROR((C13&lt;general!$C$23)*Y$5/(general!$C$23),0)+IFERROR((C13&gt;=general!$C$23)*(C13&lt;=general!$C$27)*Y$6/(general!$C$27-general!$C$23+1),0)</f>
        <v>5.5555555555555552E-2</v>
      </c>
      <c r="Z13" s="542">
        <f>IFERROR(($C13&lt;general!$C$23)*Z$5/(general!$C$23),0)+IFERROR(($C13&gt;=general!$C$23)*($C13&lt;=general!$C$27)*Z$6/(general!$C$27-general!$C$23+1),0)*(1-$Z$4)+$Z$4*AF13</f>
        <v>0</v>
      </c>
      <c r="AA13" s="542">
        <f>MAX((IFERROR(($C13&lt;general!$C$23)*AA$5/(general!$C$23),0)+IFERROR(($C13&gt;=general!$C$23)*($C13&lt;=general!$C$27)*AA$6/(general!$C$27-general!$C$23+1),0)),0)</f>
        <v>3.3333333333333333E-2</v>
      </c>
      <c r="AB13" s="542">
        <f>MAX((IFERROR(($C13&lt;general!$C$23)*AB$5/(general!$C$23),0)+IFERROR(($C13&gt;=general!$C$23)*($C13&lt;=general!$C$27)*AB$6/(general!$C$27-general!$C$23+1),0)),0)</f>
        <v>2.7777777777777776E-2</v>
      </c>
      <c r="AC13" s="542">
        <f>MAX((IFERROR(($C13&lt;general!$C$23)*AC$5/(general!$C$23),0)+IFERROR(($C13&gt;=general!$C$23)*($C13&lt;=general!$C$27)*AC$6/(general!$C$27-general!$C$23+1),0)),0)</f>
        <v>2.2222222222222223E-2</v>
      </c>
      <c r="AD13" s="542">
        <f>MAX((IFERROR(($C13&lt;general!$C$23)*AD$5/(general!$C$23),0)+IFERROR(($C13&gt;=general!$C$23)*($C13&lt;=general!$C$27)*AD$6/(general!$C$27-general!$C$23+1),0)),0)</f>
        <v>2.2222222222222223E-2</v>
      </c>
      <c r="AE13" s="542">
        <f t="shared" si="7"/>
        <v>0</v>
      </c>
      <c r="AF13" s="542">
        <f>+SUMPRODUCT(--($C13=sales!$C$50:$C$54),sales!$D$50:$D$54)</f>
        <v>0</v>
      </c>
      <c r="AG13" s="542">
        <f>IF($C13=general!$C$28,AG$4,IFERROR(($C13&lt;general!$C$23)*((1-AG$4)*AG$5)/(general!$C$23-1),0)+IFERROR(($C13&gt;=general!$C$23)*($C13&lt;=general!$C$27)*((1-AG$4)*AG$6)/(general!$C$27-general!$C$23+1),0))+IF(AND(general!$C$23&lt;=1,$C13&lt;=1),'draws%'!AG$5*(1-AG$4))</f>
        <v>8.8235294117647058E-3</v>
      </c>
      <c r="AH13" s="542">
        <f>+IF($C13=general!$C$21,1,0)</f>
        <v>0</v>
      </c>
      <c r="AK13" s="524">
        <f>IF(A13&lt;=general!$D$27,IF(MONTH(A13)=11,1,IF(C13=general!$C$27,1,0)),)</f>
        <v>0</v>
      </c>
      <c r="AL13" s="524">
        <f>IF(AK13=1,COUNTIFS($C$8:$C$128,"&lt;="&amp;general!$C$27&amp;"",'draws%'!$AM$8:$AM$128,"="&amp;AM13&amp;""),0)</f>
        <v>0</v>
      </c>
      <c r="AM13" s="524">
        <f t="shared" si="4"/>
        <v>2027</v>
      </c>
      <c r="AN13" s="524"/>
    </row>
    <row r="14" spans="1:40" ht="14">
      <c r="A14" s="903">
        <f t="shared" si="8"/>
        <v>46446</v>
      </c>
      <c r="C14" s="897">
        <f t="shared" si="9"/>
        <v>6</v>
      </c>
      <c r="D14" s="542"/>
      <c r="E14" s="542">
        <f>IF($C14=$C$2,0,IF(OR($C14=0,$C14&lt;general!$C$23,$C14&gt;$C$2),0,E$2/$C$3+NORMDIST($C14-general!$C$23+1,$C$3/2,E$1,1)-NORMDIST($C13-general!$C$23+1,$C$3/2,E$1,1)))+IF($C14=$C$2,1-SUM(E$8:E13),0)</f>
        <v>0</v>
      </c>
      <c r="F14" s="542">
        <f>IF($C14=$C$2,0,IF(OR($C14=0,$C14&lt;general!$C$23,$C14&gt;$C$2),0,F$2/$C$3+NORMDIST($C14-general!$C$23+1,$C$3/2,F$1,1)-NORMDIST($C13-general!$C$23+1,$C$3/2,F$1,1)))+IF($C14=$C$2,1-SUM(F$8:F13),0)</f>
        <v>0</v>
      </c>
      <c r="G14" s="542">
        <f>IF($C14=$C$2,0,IF(OR($C14=0,$C14&lt;general!$C$23,$C14&gt;$C$2),0,G$2/$C$3+NORMDIST($C14-general!$C$23+1,$C$3/2,G$1,1)-NORMDIST($C13-general!$C$23+1,$C$3/2,G$1,1)))+IF($C14=$C$2,1-SUM(G$8:G13),0)</f>
        <v>0</v>
      </c>
      <c r="H14" s="542">
        <f>IF(C14=$C$2,0,IF(OR(C14=0,C14&lt;1,C14&gt;$C$2),0,$H$2/$C$2+NORMDIST(C14,$C$2/2,$H$1,1)-NORMDIST(C13,$C$2/2,$H$1,1)))+IF(C14=$C$2,1-SUM($H$9:H13),0)</f>
        <v>1.9242796872962598E-2</v>
      </c>
      <c r="I14" s="542">
        <f>IF(C14=$C$2,0,IF(OR(C14=0,C14&lt;1,C14&gt;$C$2),0,$I$2/$C$2+NORMDIST(C14,$C$2/2,$I$1,1)-NORMDIST(C13,$C$2/2,$I$1,1)))+IF(C14=$C$2,1-SUM($I$9:I13),0)</f>
        <v>2.2628657529429885E-2</v>
      </c>
      <c r="J14" s="542">
        <f>IF(C14=$C$2,0,IF(OR(C14=0,C14&lt;1,C14&gt;$C$2),0,$J$2/$C$2+NORMDIST(C14,$C$2/2,$J$1,1)-NORMDIST(C13,$C$2/2,$J$1,1)))+IF(C14=$C$2,1-SUM($J$9:J13),0)</f>
        <v>2.3609638860144E-2</v>
      </c>
      <c r="K14" s="542">
        <f t="shared" si="5"/>
        <v>1.2195121951219513E-2</v>
      </c>
      <c r="L14" s="542">
        <f t="shared" si="1"/>
        <v>2.3809523809523808E-2</v>
      </c>
      <c r="M14" s="542">
        <f>IF($C14&gt;$C$2,IF($C14=sales!$F$36,M$4,0),(1-M$4)/$C$2)</f>
        <v>2.0731707317073172E-2</v>
      </c>
      <c r="N14" s="542">
        <f>IF(ISEVEN($C$2),IF(C14&gt;$C$2,0,IF(C14&lt;=$C$2/2,C14,C14-1-2*(SUMPRODUCT(--($C$8:C14&gt;$C$2/2))-1))/(($C$2/2)*($C$2/2+1))),0)+IF(ISODD($C$2),IF(C14&gt;$C$2,0,IF(C14-1&lt;=$C$2/2,C14,C14-2*(SUMPRODUCT(--($C$8:C14&gt;$C$2/2))-1))/((INT($C$2/2))*(INT($C$2/2)+1)+ROUNDUP($C$2/2,0))),0)</f>
        <v>1.3605442176870748E-2</v>
      </c>
      <c r="O14" s="542">
        <f t="shared" si="6"/>
        <v>0.16666666666666666</v>
      </c>
      <c r="P14" s="542">
        <f t="shared" si="2"/>
        <v>0</v>
      </c>
      <c r="Q14" s="542">
        <f>IF($C14=general!$C$28,Q$4,IFERROR(($C14&lt;general!$C$23)*((1-Q$4)*Q$5)/(general!$C$23-1),0)+IFERROR(($C14&gt;=general!$C$23)*($C14&lt;=general!$C$27)*((1-Q$4)*Q$6)/(general!$C$27-general!$C$23+1),0))+IF(AND(general!$C$23&lt;=1,$C14&lt;=1),'draws%'!Q$5*(1-Q$4))</f>
        <v>1.4705882352941176E-2</v>
      </c>
      <c r="R14" s="542">
        <f>IF($C14=general!$C$27,R$4,IFERROR(($C14&lt;general!$C$23)*((1-R$4)*R$5)/(general!$C$23-1),0)+IFERROR(($C14&gt;=general!$C$23)*($C14&lt;general!$C$27)*((1-R$4)*R$6)/(general!$C$27-general!$C$23),0))+IF(AND(general!$C$23&lt;=1,$C14&lt;=1),'draws%'!R$5*(1-R$4))</f>
        <v>2.0588235294117647E-2</v>
      </c>
      <c r="S14" s="542">
        <f>IF(OR(C14=general!$C$27,C14=general!$C$27-1),50%,0)</f>
        <v>0</v>
      </c>
      <c r="T14" s="542">
        <f>(C14&gt;=general!$C$26-6)*(C14&lt;general!$C$26)*1/6*0.5+(C14=3)*0.25+(C14=9)*0.25</f>
        <v>0</v>
      </c>
      <c r="U14" s="542">
        <f>IF(C14='Development Cash Flow'!$C$6,$U$5,0)+IF(C14=general!$C$27,$U$6,0)</f>
        <v>0</v>
      </c>
      <c r="V14" s="542">
        <f>IF(C14=general!$C$28,1,0)</f>
        <v>0</v>
      </c>
      <c r="W14" s="542">
        <v>0</v>
      </c>
      <c r="X14" s="542">
        <f>IF(C14=general!$C$23,1,0)</f>
        <v>0</v>
      </c>
      <c r="Y14" s="542">
        <f>IFERROR((C14&lt;general!$C$23)*Y$5/(general!$C$23),0)+IFERROR((C14&gt;=general!$C$23)*(C14&lt;=general!$C$27)*Y$6/(general!$C$27-general!$C$23+1),0)</f>
        <v>5.5555555555555552E-2</v>
      </c>
      <c r="Z14" s="542">
        <f>IFERROR(($C14&lt;general!$C$23)*Z$5/(general!$C$23),0)+IFERROR(($C14&gt;=general!$C$23)*($C14&lt;=general!$C$27)*Z$6/(general!$C$27-general!$C$23+1),0)*(1-$Z$4)+$Z$4*AF14</f>
        <v>0</v>
      </c>
      <c r="AA14" s="542">
        <f>MAX((IFERROR(($C14&lt;general!$C$23)*AA$5/(general!$C$23),0)+IFERROR(($C14&gt;=general!$C$23)*($C14&lt;=general!$C$27)*AA$6/(general!$C$27-general!$C$23+1),0)),0)</f>
        <v>3.3333333333333333E-2</v>
      </c>
      <c r="AB14" s="542">
        <f>MAX((IFERROR(($C14&lt;general!$C$23)*AB$5/(general!$C$23),0)+IFERROR(($C14&gt;=general!$C$23)*($C14&lt;=general!$C$27)*AB$6/(general!$C$27-general!$C$23+1),0)),0)</f>
        <v>2.7777777777777776E-2</v>
      </c>
      <c r="AC14" s="542">
        <f>MAX((IFERROR(($C14&lt;general!$C$23)*AC$5/(general!$C$23),0)+IFERROR(($C14&gt;=general!$C$23)*($C14&lt;=general!$C$27)*AC$6/(general!$C$27-general!$C$23+1),0)),0)</f>
        <v>2.2222222222222223E-2</v>
      </c>
      <c r="AD14" s="542">
        <f>MAX((IFERROR(($C14&lt;general!$C$23)*AD$5/(general!$C$23),0)+IFERROR(($C14&gt;=general!$C$23)*($C14&lt;=general!$C$27)*AD$6/(general!$C$27-general!$C$23+1),0)),0)</f>
        <v>2.2222222222222223E-2</v>
      </c>
      <c r="AE14" s="542">
        <f t="shared" si="7"/>
        <v>0</v>
      </c>
      <c r="AF14" s="542">
        <f>+SUMPRODUCT(--($C14=sales!$C$50:$C$54),sales!$D$50:$D$54)</f>
        <v>0</v>
      </c>
      <c r="AG14" s="542">
        <f>IF($C14=general!$C$28,AG$4,IFERROR(($C14&lt;general!$C$23)*((1-AG$4)*AG$5)/(general!$C$23-1),0)+IFERROR(($C14&gt;=general!$C$23)*($C14&lt;=general!$C$27)*((1-AG$4)*AG$6)/(general!$C$27-general!$C$23+1),0))+IF(AND(general!$C$23&lt;=1,$C14&lt;=1),'draws%'!AG$5*(1-AG$4))</f>
        <v>8.8235294117647058E-3</v>
      </c>
      <c r="AH14" s="542">
        <f>+IF($C14=general!$C$21,1,0)</f>
        <v>0</v>
      </c>
      <c r="AK14" s="524">
        <f>IF(A14&lt;=general!$D$27,IF(MONTH(A14)=11,1,IF(C14=general!$C$27,1,0)),)</f>
        <v>0</v>
      </c>
      <c r="AL14" s="524">
        <f>IF(AK14=1,COUNTIFS($C$8:$C$128,"&lt;="&amp;general!$C$27&amp;"",'draws%'!$AM$8:$AM$128,"="&amp;AM14&amp;""),0)</f>
        <v>0</v>
      </c>
      <c r="AM14" s="524">
        <f t="shared" si="4"/>
        <v>2027</v>
      </c>
      <c r="AN14" s="524"/>
    </row>
    <row r="15" spans="1:40" ht="14">
      <c r="A15" s="903">
        <f t="shared" si="8"/>
        <v>46477</v>
      </c>
      <c r="C15" s="897">
        <f t="shared" si="9"/>
        <v>7</v>
      </c>
      <c r="D15" s="542"/>
      <c r="E15" s="542">
        <f>IF($C15=$C$2,0,IF(OR($C15=0,$C15&lt;general!$C$23,$C15&gt;$C$2),0,E$2/$C$3+NORMDIST($C15-general!$C$23+1,$C$3/2,E$1,1)-NORMDIST($C14-general!$C$23+1,$C$3/2,E$1,1)))+IF($C15=$C$2,1-SUM(E$8:E14),0)</f>
        <v>0</v>
      </c>
      <c r="F15" s="542">
        <f>IF($C15=$C$2,0,IF(OR($C15=0,$C15&lt;general!$C$23,$C15&gt;$C$2),0,F$2/$C$3+NORMDIST($C15-general!$C$23+1,$C$3/2,F$1,1)-NORMDIST($C14-general!$C$23+1,$C$3/2,F$1,1)))+IF($C15=$C$2,1-SUM(F$8:F14),0)</f>
        <v>0</v>
      </c>
      <c r="G15" s="542">
        <f>IF($C15=$C$2,0,IF(OR($C15=0,$C15&lt;general!$C$23,$C15&gt;$C$2),0,G$2/$C$3+NORMDIST($C15-general!$C$23+1,$C$3/2,G$1,1)-NORMDIST($C14-general!$C$23+1,$C$3/2,G$1,1)))+IF($C15=$C$2,1-SUM(G$8:G14),0)</f>
        <v>0</v>
      </c>
      <c r="H15" s="542">
        <f>IF(C15=$C$2,0,IF(OR(C15=0,C15&lt;1,C15&gt;$C$2),0,$H$2/$C$2+NORMDIST(C15,$C$2/2,$H$1,1)-NORMDIST(C14,$C$2/2,$H$1,1)))+IF(C15=$C$2,1-SUM($H$9:H14),0)</f>
        <v>2.0532504092681425E-2</v>
      </c>
      <c r="I15" s="542">
        <f>IF(C15=$C$2,0,IF(OR(C15=0,C15&lt;1,C15&gt;$C$2),0,$I$2/$C$2+NORMDIST(C15,$C$2/2,$I$1,1)-NORMDIST(C14,$C$2/2,$I$1,1)))+IF(C15=$C$2,1-SUM($I$9:I14),0)</f>
        <v>2.3151249848473138E-2</v>
      </c>
      <c r="J15" s="542">
        <f>IF(C15=$C$2,0,IF(OR(C15=0,C15&lt;1,C15&gt;$C$2),0,$J$2/$C$2+NORMDIST(C15,$C$2/2,$J$1,1)-NORMDIST(C14,$C$2/2,$J$1,1)))+IF(C15=$C$2,1-SUM($J$9:J14),0)</f>
        <v>2.3855652732281796E-2</v>
      </c>
      <c r="K15" s="542">
        <f t="shared" si="5"/>
        <v>1.2195121951219513E-2</v>
      </c>
      <c r="L15" s="542">
        <f t="shared" si="1"/>
        <v>2.3809523809523808E-2</v>
      </c>
      <c r="M15" s="542">
        <f>IF($C15&gt;$C$2,IF($C15=sales!$F$36,M$4,0),(1-M$4)/$C$2)</f>
        <v>2.0731707317073172E-2</v>
      </c>
      <c r="N15" s="542">
        <f>IF(ISEVEN($C$2),IF(C15&gt;$C$2,0,IF(C15&lt;=$C$2/2,C15,C15-1-2*(SUMPRODUCT(--($C$8:C15&gt;$C$2/2))-1))/(($C$2/2)*($C$2/2+1))),0)+IF(ISODD($C$2),IF(C15&gt;$C$2,0,IF(C15-1&lt;=$C$2/2,C15,C15-2*(SUMPRODUCT(--($C$8:C15&gt;$C$2/2))-1))/((INT($C$2/2))*(INT($C$2/2)+1)+ROUNDUP($C$2/2,0))),0)</f>
        <v>1.5873015873015872E-2</v>
      </c>
      <c r="O15" s="542"/>
      <c r="P15" s="542">
        <f t="shared" si="2"/>
        <v>0</v>
      </c>
      <c r="Q15" s="542">
        <f>IF($C15=general!$C$28,Q$4,IFERROR(($C15&lt;general!$C$23)*((1-Q$4)*Q$5)/(general!$C$23-1),0)+IFERROR(($C15&gt;=general!$C$23)*($C15&lt;=general!$C$27)*((1-Q$4)*Q$6)/(general!$C$27-general!$C$23+1),0))+IF(AND(general!$C$23&lt;=1,$C15&lt;=1),'draws%'!Q$5*(1-Q$4))</f>
        <v>1.4705882352941176E-2</v>
      </c>
      <c r="R15" s="542">
        <f>IF($C15=general!$C$27,R$4,IFERROR(($C15&lt;general!$C$23)*((1-R$4)*R$5)/(general!$C$23-1),0)+IFERROR(($C15&gt;=general!$C$23)*($C15&lt;general!$C$27)*((1-R$4)*R$6)/(general!$C$27-general!$C$23),0))+IF(AND(general!$C$23&lt;=1,$C15&lt;=1),'draws%'!R$5*(1-R$4))</f>
        <v>2.0588235294117647E-2</v>
      </c>
      <c r="S15" s="542">
        <f>IF(OR(C15=general!$C$27,C15=general!$C$27-1),50%,0)</f>
        <v>0</v>
      </c>
      <c r="T15" s="542">
        <f>(C15&gt;=general!$C$26-6)*(C15&lt;general!$C$26)*1/6*0.5+(C15=3)*0.25+(C15=9)*0.25</f>
        <v>0</v>
      </c>
      <c r="U15" s="542">
        <f>IF(C15='Development Cash Flow'!$C$6,$U$5,0)+IF(C15=general!$C$27,$U$6,0)</f>
        <v>0</v>
      </c>
      <c r="V15" s="542">
        <f>IF(C15=general!$C$28,1,0)</f>
        <v>0</v>
      </c>
      <c r="W15" s="542">
        <f t="shared" ref="W15:W46" si="10">IF(AND(C15&gt;=$C$2-5,C15&lt;=$C$2),1/12,0)</f>
        <v>0</v>
      </c>
      <c r="X15" s="542">
        <f>IF(C15=general!$C$23,1,0)</f>
        <v>0</v>
      </c>
      <c r="Y15" s="542">
        <f>IFERROR((C15&lt;general!$C$23)*Y$5/(general!$C$23),0)+IFERROR((C15&gt;=general!$C$23)*(C15&lt;=general!$C$27)*Y$6/(general!$C$27-general!$C$23+1),0)</f>
        <v>5.5555555555555552E-2</v>
      </c>
      <c r="Z15" s="542">
        <f>IFERROR(($C15&lt;general!$C$23)*Z$5/(general!$C$23),0)+IFERROR(($C15&gt;=general!$C$23)*($C15&lt;=general!$C$27)*Z$6/(general!$C$27-general!$C$23+1),0)*(1-$Z$4)+$Z$4*AF15</f>
        <v>0</v>
      </c>
      <c r="AA15" s="542">
        <f>MAX((IFERROR(($C15&lt;general!$C$23)*AA$5/(general!$C$23),0)+IFERROR(($C15&gt;=general!$C$23)*($C15&lt;=general!$C$27)*AA$6/(general!$C$27-general!$C$23+1),0)),0)</f>
        <v>3.3333333333333333E-2</v>
      </c>
      <c r="AB15" s="542">
        <f>MAX((IFERROR(($C15&lt;general!$C$23)*AB$5/(general!$C$23),0)+IFERROR(($C15&gt;=general!$C$23)*($C15&lt;=general!$C$27)*AB$6/(general!$C$27-general!$C$23+1),0)),0)</f>
        <v>2.7777777777777776E-2</v>
      </c>
      <c r="AC15" s="542">
        <f>MAX((IFERROR(($C15&lt;general!$C$23)*AC$5/(general!$C$23),0)+IFERROR(($C15&gt;=general!$C$23)*($C15&lt;=general!$C$27)*AC$6/(general!$C$27-general!$C$23+1),0)),0)</f>
        <v>2.2222222222222223E-2</v>
      </c>
      <c r="AD15" s="542">
        <f>MAX((IFERROR(($C15&lt;general!$C$23)*AD$5/(general!$C$23),0)+IFERROR(($C15&gt;=general!$C$23)*($C15&lt;=general!$C$27)*AD$6/(general!$C$27-general!$C$23+1),0)),0)</f>
        <v>2.2222222222222223E-2</v>
      </c>
      <c r="AE15" s="542">
        <f t="shared" si="7"/>
        <v>0</v>
      </c>
      <c r="AF15" s="542">
        <f>+SUMPRODUCT(--($C15=sales!$C$50:$C$54),sales!$D$50:$D$54)</f>
        <v>0</v>
      </c>
      <c r="AG15" s="542">
        <f>IF($C15=general!$C$28,AG$4,IFERROR(($C15&lt;general!$C$23)*((1-AG$4)*AG$5)/(general!$C$23-1),0)+IFERROR(($C15&gt;=general!$C$23)*($C15&lt;=general!$C$27)*((1-AG$4)*AG$6)/(general!$C$27-general!$C$23+1),0))+IF(AND(general!$C$23&lt;=1,$C15&lt;=1),'draws%'!AG$5*(1-AG$4))</f>
        <v>8.8235294117647058E-3</v>
      </c>
      <c r="AH15" s="542">
        <f>+IF($C15=general!$C$21,1,0)</f>
        <v>0</v>
      </c>
      <c r="AK15" s="524">
        <f>IF(A15&lt;=general!$D$27,IF(MONTH(A15)=11,1,IF(C15=general!$C$27,1,0)),)</f>
        <v>0</v>
      </c>
      <c r="AL15" s="524">
        <f>IF(AK15=1,COUNTIFS($C$8:$C$128,"&lt;="&amp;general!$C$27&amp;"",'draws%'!$AM$8:$AM$128,"="&amp;AM15&amp;""),0)</f>
        <v>0</v>
      </c>
      <c r="AM15" s="524">
        <f t="shared" si="4"/>
        <v>2027</v>
      </c>
      <c r="AN15" s="524"/>
    </row>
    <row r="16" spans="1:40" ht="14">
      <c r="A16" s="903">
        <f t="shared" si="8"/>
        <v>46507</v>
      </c>
      <c r="C16" s="897">
        <f t="shared" si="9"/>
        <v>8</v>
      </c>
      <c r="D16" s="542"/>
      <c r="E16" s="542">
        <f>IF($C16=$C$2,0,IF(OR($C16=0,$C16&lt;general!$C$23,$C16&gt;$C$2),0,E$2/$C$3+NORMDIST($C16-general!$C$23+1,$C$3/2,E$1,1)-NORMDIST($C15-general!$C$23+1,$C$3/2,E$1,1)))+IF($C16=$C$2,1-SUM(E$8:E15),0)</f>
        <v>0</v>
      </c>
      <c r="F16" s="542">
        <f>IF($C16=$C$2,0,IF(OR($C16=0,$C16&lt;general!$C$23,$C16&gt;$C$2),0,F$2/$C$3+NORMDIST($C16-general!$C$23+1,$C$3/2,F$1,1)-NORMDIST($C15-general!$C$23+1,$C$3/2,F$1,1)))+IF($C16=$C$2,1-SUM(F$8:F15),0)</f>
        <v>0</v>
      </c>
      <c r="G16" s="542">
        <f>IF($C16=$C$2,0,IF(OR($C16=0,$C16&lt;general!$C$23,$C16&gt;$C$2),0,G$2/$C$3+NORMDIST($C16-general!$C$23+1,$C$3/2,G$1,1)-NORMDIST($C15-general!$C$23+1,$C$3/2,G$1,1)))+IF($C16=$C$2,1-SUM(G$8:G15),0)</f>
        <v>0</v>
      </c>
      <c r="H16" s="542">
        <f>IF(C16=$C$2,0,IF(OR(C16=0,C16&lt;1,C16&gt;$C$2),0,$H$2/$C$2+NORMDIST(C16,$C$2/2,$H$1,1)-NORMDIST(C15,$C$2/2,$H$1,1)))+IF(C16=$C$2,1-SUM($H$9:H15),0)</f>
        <v>2.1826642048532768E-2</v>
      </c>
      <c r="I16" s="542">
        <f>IF(C16=$C$2,0,IF(OR(C16=0,C16&lt;1,C16&gt;$C$2),0,$I$2/$C$2+NORMDIST(C16,$C$2/2,$I$1,1)-NORMDIST(C15,$C$2/2,$I$1,1)))+IF(C16=$C$2,1-SUM($I$9:I15),0)</f>
        <v>2.3654276415756015E-2</v>
      </c>
      <c r="J16" s="542">
        <f>IF(C16=$C$2,0,IF(OR(C16=0,C16&lt;1,C16&gt;$C$2),0,$J$2/$C$2+NORMDIST(C16,$C$2/2,$J$1,1)-NORMDIST(C15,$C$2/2,$J$1,1)))+IF(C16=$C$2,1-SUM($J$9:J15),0)</f>
        <v>2.4089031705625208E-2</v>
      </c>
      <c r="K16" s="542">
        <f t="shared" si="5"/>
        <v>1.2195121951219513E-2</v>
      </c>
      <c r="L16" s="542">
        <f t="shared" si="1"/>
        <v>2.3809523809523808E-2</v>
      </c>
      <c r="M16" s="542">
        <f>IF($C16&gt;$C$2,IF($C16=sales!$F$36,M$4,0),(1-M$4)/$C$2)</f>
        <v>2.0731707317073172E-2</v>
      </c>
      <c r="N16" s="542">
        <f>IF(ISEVEN($C$2),IF(C16&gt;$C$2,0,IF(C16&lt;=$C$2/2,C16,C16-1-2*(SUMPRODUCT(--($C$8:C16&gt;$C$2/2))-1))/(($C$2/2)*($C$2/2+1))),0)+IF(ISODD($C$2),IF(C16&gt;$C$2,0,IF(C16-1&lt;=$C$2/2,C16,C16-2*(SUMPRODUCT(--($C$8:C16&gt;$C$2/2))-1))/((INT($C$2/2))*(INT($C$2/2)+1)+ROUNDUP($C$2/2,0))),0)</f>
        <v>1.8140589569160998E-2</v>
      </c>
      <c r="O16" s="542"/>
      <c r="P16" s="542">
        <f t="shared" si="2"/>
        <v>0</v>
      </c>
      <c r="Q16" s="542">
        <f>IF($C16=general!$C$28,Q$4,IFERROR(($C16&lt;general!$C$23)*((1-Q$4)*Q$5)/(general!$C$23-1),0)+IFERROR(($C16&gt;=general!$C$23)*($C16&lt;=general!$C$27)*((1-Q$4)*Q$6)/(general!$C$27-general!$C$23+1),0))+IF(AND(general!$C$23&lt;=1,$C16&lt;=1),'draws%'!Q$5*(1-Q$4))</f>
        <v>1.4705882352941176E-2</v>
      </c>
      <c r="R16" s="542">
        <f>IF($C16=general!$C$27,R$4,IFERROR(($C16&lt;general!$C$23)*((1-R$4)*R$5)/(general!$C$23-1),0)+IFERROR(($C16&gt;=general!$C$23)*($C16&lt;general!$C$27)*((1-R$4)*R$6)/(general!$C$27-general!$C$23),0))+IF(AND(general!$C$23&lt;=1,$C16&lt;=1),'draws%'!R$5*(1-R$4))</f>
        <v>2.0588235294117647E-2</v>
      </c>
      <c r="S16" s="542">
        <f>IF(OR(C16=general!$C$27,C16=general!$C$27-1),50%,0)</f>
        <v>0</v>
      </c>
      <c r="T16" s="542">
        <f>(C16&gt;=general!$C$26-6)*(C16&lt;general!$C$26)*1/6*0.5+(C16=3)*0.25+(C16=9)*0.25</f>
        <v>0</v>
      </c>
      <c r="U16" s="542">
        <f>IF(C16='Development Cash Flow'!$C$6,$U$5,0)+IF(C16=general!$C$27,$U$6,0)</f>
        <v>0</v>
      </c>
      <c r="V16" s="542">
        <f>IF(C16=general!$C$28,1,0)</f>
        <v>0</v>
      </c>
      <c r="W16" s="542">
        <f t="shared" si="10"/>
        <v>0</v>
      </c>
      <c r="X16" s="542">
        <f>IF(C16=general!$C$23,1,0)</f>
        <v>0</v>
      </c>
      <c r="Y16" s="542">
        <f>IFERROR((C16&lt;general!$C$23)*Y$5/(general!$C$23),0)+IFERROR((C16&gt;=general!$C$23)*(C16&lt;=general!$C$27)*Y$6/(general!$C$27-general!$C$23+1),0)</f>
        <v>5.5555555555555552E-2</v>
      </c>
      <c r="Z16" s="542">
        <f>IFERROR(($C16&lt;general!$C$23)*Z$5/(general!$C$23),0)+IFERROR(($C16&gt;=general!$C$23)*($C16&lt;=general!$C$27)*Z$6/(general!$C$27-general!$C$23+1),0)*(1-$Z$4)+$Z$4*AF16</f>
        <v>0</v>
      </c>
      <c r="AA16" s="542">
        <f>MAX((IFERROR(($C16&lt;general!$C$23)*AA$5/(general!$C$23),0)+IFERROR(($C16&gt;=general!$C$23)*($C16&lt;=general!$C$27)*AA$6/(general!$C$27-general!$C$23+1),0)),0)</f>
        <v>3.3333333333333333E-2</v>
      </c>
      <c r="AB16" s="542">
        <f>MAX((IFERROR(($C16&lt;general!$C$23)*AB$5/(general!$C$23),0)+IFERROR(($C16&gt;=general!$C$23)*($C16&lt;=general!$C$27)*AB$6/(general!$C$27-general!$C$23+1),0)),0)</f>
        <v>2.7777777777777776E-2</v>
      </c>
      <c r="AC16" s="542">
        <f>MAX((IFERROR(($C16&lt;general!$C$23)*AC$5/(general!$C$23),0)+IFERROR(($C16&gt;=general!$C$23)*($C16&lt;=general!$C$27)*AC$6/(general!$C$27-general!$C$23+1),0)),0)</f>
        <v>2.2222222222222223E-2</v>
      </c>
      <c r="AD16" s="542">
        <f>MAX((IFERROR(($C16&lt;general!$C$23)*AD$5/(general!$C$23),0)+IFERROR(($C16&gt;=general!$C$23)*($C16&lt;=general!$C$27)*AD$6/(general!$C$27-general!$C$23+1),0)),0)</f>
        <v>2.2222222222222223E-2</v>
      </c>
      <c r="AE16" s="542">
        <f t="shared" si="7"/>
        <v>0</v>
      </c>
      <c r="AF16" s="542">
        <f>+SUMPRODUCT(--($C16=sales!$C$50:$C$54),sales!$D$50:$D$54)</f>
        <v>0</v>
      </c>
      <c r="AG16" s="542">
        <f>IF($C16=general!$C$28,AG$4,IFERROR(($C16&lt;general!$C$23)*((1-AG$4)*AG$5)/(general!$C$23-1),0)+IFERROR(($C16&gt;=general!$C$23)*($C16&lt;=general!$C$27)*((1-AG$4)*AG$6)/(general!$C$27-general!$C$23+1),0))+IF(AND(general!$C$23&lt;=1,$C16&lt;=1),'draws%'!AG$5*(1-AG$4))</f>
        <v>8.8235294117647058E-3</v>
      </c>
      <c r="AH16" s="542">
        <f>+IF($C16=general!$C$21,1,0)</f>
        <v>0</v>
      </c>
      <c r="AK16" s="524">
        <f>IF(A16&lt;=general!$D$27,IF(MONTH(A16)=11,1,IF(C16=general!$C$27,1,0)),)</f>
        <v>0</v>
      </c>
      <c r="AL16" s="524">
        <f>IF(AK16=1,COUNTIFS($C$8:$C$128,"&lt;="&amp;general!$C$27&amp;"",'draws%'!$AM$8:$AM$128,"="&amp;AM16&amp;""),0)</f>
        <v>0</v>
      </c>
      <c r="AM16" s="524">
        <f t="shared" si="4"/>
        <v>2027</v>
      </c>
      <c r="AN16" s="524"/>
    </row>
    <row r="17" spans="1:40" ht="14">
      <c r="A17" s="903">
        <f t="shared" si="8"/>
        <v>46538</v>
      </c>
      <c r="C17" s="897">
        <f t="shared" si="9"/>
        <v>9</v>
      </c>
      <c r="D17" s="542"/>
      <c r="E17" s="542">
        <f>IF($C17=$C$2,0,IF(OR($C17=0,$C17&lt;general!$C$23,$C17&gt;$C$2),0,E$2/$C$3+NORMDIST($C17-general!$C$23+1,$C$3/2,E$1,1)-NORMDIST($C16-general!$C$23+1,$C$3/2,E$1,1)))+IF($C17=$C$2,1-SUM(E$8:E16),0)</f>
        <v>0</v>
      </c>
      <c r="F17" s="542">
        <f>IF($C17=$C$2,0,IF(OR($C17=0,$C17&lt;general!$C$23,$C17&gt;$C$2),0,F$2/$C$3+NORMDIST($C17-general!$C$23+1,$C$3/2,F$1,1)-NORMDIST($C16-general!$C$23+1,$C$3/2,F$1,1)))+IF($C17=$C$2,1-SUM(F$8:F16),0)</f>
        <v>0</v>
      </c>
      <c r="G17" s="542">
        <f>IF($C17=$C$2,0,IF(OR($C17=0,$C17&lt;general!$C$23,$C17&gt;$C$2),0,G$2/$C$3+NORMDIST($C17-general!$C$23+1,$C$3/2,G$1,1)-NORMDIST($C16-general!$C$23+1,$C$3/2,G$1,1)))+IF($C17=$C$2,1-SUM(G$8:G16),0)</f>
        <v>0</v>
      </c>
      <c r="H17" s="542">
        <f>IF(C17=$C$2,0,IF(OR(C17=0,C17&lt;1,C17&gt;$C$2),0,$H$2/$C$2+NORMDIST(C17,$C$2/2,$H$1,1)-NORMDIST(C16,$C$2/2,$H$1,1)))+IF(C17=$C$2,1-SUM($H$9:H16),0)</f>
        <v>2.3111210869921461E-2</v>
      </c>
      <c r="I17" s="542">
        <f>IF(C17=$C$2,0,IF(OR(C17=0,C17&lt;1,C17&gt;$C$2),0,$I$2/$C$2+NORMDIST(C17,$C$2/2,$I$1,1)-NORMDIST(C16,$C$2/2,$I$1,1)))+IF(C17=$C$2,1-SUM($I$9:I16),0)</f>
        <v>2.4134668997210118E-2</v>
      </c>
      <c r="J17" s="542">
        <f>IF(C17=$C$2,0,IF(OR(C17=0,C17&lt;1,C17&gt;$C$2),0,$J$2/$C$2+NORMDIST(C17,$C$2/2,$J$1,1)-NORMDIST(C16,$C$2/2,$J$1,1)))+IF(C17=$C$2,1-SUM($J$9:J16),0)</f>
        <v>2.4308915469749504E-2</v>
      </c>
      <c r="K17" s="542">
        <f t="shared" si="5"/>
        <v>1.2195121951219513E-2</v>
      </c>
      <c r="L17" s="542">
        <f t="shared" si="1"/>
        <v>2.3809523809523808E-2</v>
      </c>
      <c r="M17" s="542">
        <f>IF($C17&gt;$C$2,IF($C17=sales!$F$36,M$4,0),(1-M$4)/$C$2)</f>
        <v>2.0731707317073172E-2</v>
      </c>
      <c r="N17" s="542">
        <f>IF(ISEVEN($C$2),IF(C17&gt;$C$2,0,IF(C17&lt;=$C$2/2,C17,C17-1-2*(SUMPRODUCT(--($C$8:C17&gt;$C$2/2))-1))/(($C$2/2)*($C$2/2+1))),0)+IF(ISODD($C$2),IF(C17&gt;$C$2,0,IF(C17-1&lt;=$C$2/2,C17,C17-2*(SUMPRODUCT(--($C$8:C17&gt;$C$2/2))-1))/((INT($C$2/2))*(INT($C$2/2)+1)+ROUNDUP($C$2/2,0))),0)</f>
        <v>2.0408163265306121E-2</v>
      </c>
      <c r="O17" s="542"/>
      <c r="P17" s="542">
        <f t="shared" si="2"/>
        <v>0</v>
      </c>
      <c r="Q17" s="542">
        <f>IF($C17=general!$C$28,Q$4,IFERROR(($C17&lt;general!$C$23)*((1-Q$4)*Q$5)/(general!$C$23-1),0)+IFERROR(($C17&gt;=general!$C$23)*($C17&lt;=general!$C$27)*((1-Q$4)*Q$6)/(general!$C$27-general!$C$23+1),0))+IF(AND(general!$C$23&lt;=1,$C17&lt;=1),'draws%'!Q$5*(1-Q$4))</f>
        <v>1.4705882352941176E-2</v>
      </c>
      <c r="R17" s="542">
        <f>IF($C17=general!$C$27,R$4,IFERROR(($C17&lt;general!$C$23)*((1-R$4)*R$5)/(general!$C$23-1),0)+IFERROR(($C17&gt;=general!$C$23)*($C17&lt;general!$C$27)*((1-R$4)*R$6)/(general!$C$27-general!$C$23),0))+IF(AND(general!$C$23&lt;=1,$C17&lt;=1),'draws%'!R$5*(1-R$4))</f>
        <v>2.0588235294117647E-2</v>
      </c>
      <c r="S17" s="542">
        <f>IF(OR(C17=general!$C$27,C17=general!$C$27-1),50%,0)</f>
        <v>0</v>
      </c>
      <c r="T17" s="542">
        <f>(C17&gt;=general!$C$26-6)*(C17&lt;general!$C$26)*1/6*0.5+(C17=3)*0.25+(C17=9)*0.25</f>
        <v>0.25</v>
      </c>
      <c r="U17" s="542">
        <f>IF(C17='Development Cash Flow'!$C$6,$U$5,0)+IF(C17=general!$C$27,$U$6,0)</f>
        <v>0</v>
      </c>
      <c r="V17" s="542">
        <f>IF(C17=general!$C$28,1,0)</f>
        <v>0</v>
      </c>
      <c r="W17" s="542">
        <f t="shared" si="10"/>
        <v>0</v>
      </c>
      <c r="X17" s="542">
        <f>IF(C17=general!$C$23,1,0)</f>
        <v>0</v>
      </c>
      <c r="Y17" s="542">
        <f>IFERROR((C17&lt;general!$C$23)*Y$5/(general!$C$23),0)+IFERROR((C17&gt;=general!$C$23)*(C17&lt;=general!$C$27)*Y$6/(general!$C$27-general!$C$23+1),0)</f>
        <v>5.5555555555555552E-2</v>
      </c>
      <c r="Z17" s="542">
        <f>IFERROR(($C17&lt;general!$C$23)*Z$5/(general!$C$23),0)+IFERROR(($C17&gt;=general!$C$23)*($C17&lt;=general!$C$27)*Z$6/(general!$C$27-general!$C$23+1),0)*(1-$Z$4)+$Z$4*AF17</f>
        <v>0</v>
      </c>
      <c r="AA17" s="542">
        <f>MAX((IFERROR(($C17&lt;general!$C$23)*AA$5/(general!$C$23),0)+IFERROR(($C17&gt;=general!$C$23)*($C17&lt;=general!$C$27)*AA$6/(general!$C$27-general!$C$23+1),0)),0)</f>
        <v>3.3333333333333333E-2</v>
      </c>
      <c r="AB17" s="542">
        <f>MAX((IFERROR(($C17&lt;general!$C$23)*AB$5/(general!$C$23),0)+IFERROR(($C17&gt;=general!$C$23)*($C17&lt;=general!$C$27)*AB$6/(general!$C$27-general!$C$23+1),0)),0)</f>
        <v>2.7777777777777776E-2</v>
      </c>
      <c r="AC17" s="542">
        <f>MAX((IFERROR(($C17&lt;general!$C$23)*AC$5/(general!$C$23),0)+IFERROR(($C17&gt;=general!$C$23)*($C17&lt;=general!$C$27)*AC$6/(general!$C$27-general!$C$23+1),0)),0)</f>
        <v>2.2222222222222223E-2</v>
      </c>
      <c r="AD17" s="542">
        <f>MAX((IFERROR(($C17&lt;general!$C$23)*AD$5/(general!$C$23),0)+IFERROR(($C17&gt;=general!$C$23)*($C17&lt;=general!$C$27)*AD$6/(general!$C$27-general!$C$23+1),0)),0)</f>
        <v>2.2222222222222223E-2</v>
      </c>
      <c r="AE17" s="542">
        <f t="shared" si="7"/>
        <v>0</v>
      </c>
      <c r="AF17" s="542">
        <f>+SUMPRODUCT(--($C17=sales!$C$50:$C$54),sales!$D$50:$D$54)</f>
        <v>0</v>
      </c>
      <c r="AG17" s="542">
        <f>IF($C17=general!$C$28,AG$4,IFERROR(($C17&lt;general!$C$23)*((1-AG$4)*AG$5)/(general!$C$23-1),0)+IFERROR(($C17&gt;=general!$C$23)*($C17&lt;=general!$C$27)*((1-AG$4)*AG$6)/(general!$C$27-general!$C$23+1),0))+IF(AND(general!$C$23&lt;=1,$C17&lt;=1),'draws%'!AG$5*(1-AG$4))</f>
        <v>8.8235294117647058E-3</v>
      </c>
      <c r="AH17" s="542">
        <f>+IF($C17=general!$C$21,1,0)</f>
        <v>0</v>
      </c>
      <c r="AK17" s="524">
        <f>IF(A17&lt;=general!$D$27,IF(MONTH(A17)=11,1,IF(C17=general!$C$27,1,0)),)</f>
        <v>0</v>
      </c>
      <c r="AL17" s="524">
        <f>IF(AK17=1,COUNTIFS($C$8:$C$128,"&lt;="&amp;general!$C$27&amp;"",'draws%'!$AM$8:$AM$128,"="&amp;AM17&amp;""),0)</f>
        <v>0</v>
      </c>
      <c r="AM17" s="524">
        <f t="shared" si="4"/>
        <v>2027</v>
      </c>
      <c r="AN17" s="524"/>
    </row>
    <row r="18" spans="1:40" ht="14">
      <c r="A18" s="903">
        <f t="shared" si="8"/>
        <v>46568</v>
      </c>
      <c r="C18" s="897">
        <f t="shared" si="9"/>
        <v>10</v>
      </c>
      <c r="D18" s="542"/>
      <c r="E18" s="542">
        <f>IF($C18=$C$2,0,IF(OR($C18=0,$C18&lt;general!$C$23,$C18&gt;$C$2),0,E$2/$C$3+NORMDIST($C18-general!$C$23+1,$C$3/2,E$1,1)-NORMDIST($C17-general!$C$23+1,$C$3/2,E$1,1)))+IF($C18=$C$2,1-SUM(E$8:E17),0)</f>
        <v>0</v>
      </c>
      <c r="F18" s="542">
        <f>IF($C18=$C$2,0,IF(OR($C18=0,$C18&lt;general!$C$23,$C18&gt;$C$2),0,F$2/$C$3+NORMDIST($C18-general!$C$23+1,$C$3/2,F$1,1)-NORMDIST($C17-general!$C$23+1,$C$3/2,F$1,1)))+IF($C18=$C$2,1-SUM(F$8:F17),0)</f>
        <v>0</v>
      </c>
      <c r="G18" s="542">
        <f>IF($C18=$C$2,0,IF(OR($C18=0,$C18&lt;general!$C$23,$C18&gt;$C$2),0,G$2/$C$3+NORMDIST($C18-general!$C$23+1,$C$3/2,G$1,1)-NORMDIST($C17-general!$C$23+1,$C$3/2,G$1,1)))+IF($C18=$C$2,1-SUM(G$8:G17),0)</f>
        <v>0</v>
      </c>
      <c r="H18" s="542">
        <f>IF(C18=$C$2,0,IF(OR(C18=0,C18&lt;1,C18&gt;$C$2),0,$H$2/$C$2+NORMDIST(C18,$C$2/2,$H$1,1)-NORMDIST(C17,$C$2/2,$H$1,1)))+IF(C18=$C$2,1-SUM($H$9:H17),0)</f>
        <v>2.4371362023741627E-2</v>
      </c>
      <c r="I18" s="542">
        <f>IF(C18=$C$2,0,IF(OR(C18=0,C18&lt;1,C18&gt;$C$2),0,$I$2/$C$2+NORMDIST(C18,$C$2/2,$I$1,1)-NORMDIST(C17,$C$2/2,$I$1,1)))+IF(C18=$C$2,1-SUM($I$9:I17),0)</f>
        <v>2.4589426878649123E-2</v>
      </c>
      <c r="J18" s="542">
        <f>IF(C18=$C$2,0,IF(OR(C18=0,C18&lt;1,C18&gt;$C$2),0,$J$2/$C$2+NORMDIST(C18,$C$2/2,$J$1,1)-NORMDIST(C17,$C$2/2,$J$1,1)))+IF(C18=$C$2,1-SUM($J$9:J17),0)</f>
        <v>2.4514483235135442E-2</v>
      </c>
      <c r="K18" s="542">
        <f t="shared" si="5"/>
        <v>1.2195121951219513E-2</v>
      </c>
      <c r="L18" s="542">
        <f t="shared" si="1"/>
        <v>2.3809523809523808E-2</v>
      </c>
      <c r="M18" s="542">
        <f>IF($C18&gt;$C$2,IF($C18=sales!$F$36,M$4,0),(1-M$4)/$C$2)</f>
        <v>2.0731707317073172E-2</v>
      </c>
      <c r="N18" s="542">
        <f>IF(ISEVEN($C$2),IF(C18&gt;$C$2,0,IF(C18&lt;=$C$2/2,C18,C18-1-2*(SUMPRODUCT(--($C$8:C18&gt;$C$2/2))-1))/(($C$2/2)*($C$2/2+1))),0)+IF(ISODD($C$2),IF(C18&gt;$C$2,0,IF(C18-1&lt;=$C$2/2,C18,C18-2*(SUMPRODUCT(--($C$8:C18&gt;$C$2/2))-1))/((INT($C$2/2))*(INT($C$2/2)+1)+ROUNDUP($C$2/2,0))),0)</f>
        <v>2.2675736961451247E-2</v>
      </c>
      <c r="O18" s="542"/>
      <c r="P18" s="542">
        <f t="shared" si="2"/>
        <v>0</v>
      </c>
      <c r="Q18" s="542">
        <f>IF($C18=general!$C$28,Q$4,IFERROR(($C18&lt;general!$C$23)*((1-Q$4)*Q$5)/(general!$C$23-1),0)+IFERROR(($C18&gt;=general!$C$23)*($C18&lt;=general!$C$27)*((1-Q$4)*Q$6)/(general!$C$27-general!$C$23+1),0))+IF(AND(general!$C$23&lt;=1,$C18&lt;=1),'draws%'!Q$5*(1-Q$4))</f>
        <v>1.4705882352941176E-2</v>
      </c>
      <c r="R18" s="542">
        <f>IF($C18=general!$C$27,R$4,IFERROR(($C18&lt;general!$C$23)*((1-R$4)*R$5)/(general!$C$23-1),0)+IFERROR(($C18&gt;=general!$C$23)*($C18&lt;general!$C$27)*((1-R$4)*R$6)/(general!$C$27-general!$C$23),0))+IF(AND(general!$C$23&lt;=1,$C18&lt;=1),'draws%'!R$5*(1-R$4))</f>
        <v>2.0588235294117647E-2</v>
      </c>
      <c r="S18" s="542">
        <f>IF(OR(C18=general!$C$27,C18=general!$C$27-1),50%,0)</f>
        <v>0</v>
      </c>
      <c r="T18" s="542">
        <f>(C18&gt;=general!$C$26-6)*(C18&lt;general!$C$26)*1/6*0.5+(C18=3)*0.25+(C18=9)*0.25</f>
        <v>0</v>
      </c>
      <c r="U18" s="542">
        <f>IF(C18='Development Cash Flow'!$C$6,$U$5,0)+IF(C18=general!$C$27,$U$6,0)</f>
        <v>0</v>
      </c>
      <c r="V18" s="542">
        <f>IF(C18=general!$C$28,1,0)</f>
        <v>0</v>
      </c>
      <c r="W18" s="542">
        <f t="shared" si="10"/>
        <v>0</v>
      </c>
      <c r="X18" s="542">
        <f>IF(C18=general!$C$23,1,0)</f>
        <v>0</v>
      </c>
      <c r="Y18" s="542">
        <f>IFERROR((C18&lt;general!$C$23)*Y$5/(general!$C$23),0)+IFERROR((C18&gt;=general!$C$23)*(C18&lt;=general!$C$27)*Y$6/(general!$C$27-general!$C$23+1),0)</f>
        <v>5.5555555555555552E-2</v>
      </c>
      <c r="Z18" s="542">
        <f>IFERROR(($C18&lt;general!$C$23)*Z$5/(general!$C$23),0)+IFERROR(($C18&gt;=general!$C$23)*($C18&lt;=general!$C$27)*Z$6/(general!$C$27-general!$C$23+1),0)*(1-$Z$4)+$Z$4*AF18</f>
        <v>0</v>
      </c>
      <c r="AA18" s="542">
        <f>MAX((IFERROR(($C18&lt;general!$C$23)*AA$5/(general!$C$23),0)+IFERROR(($C18&gt;=general!$C$23)*($C18&lt;=general!$C$27)*AA$6/(general!$C$27-general!$C$23+1),0)),0)</f>
        <v>3.3333333333333333E-2</v>
      </c>
      <c r="AB18" s="542">
        <f>MAX((IFERROR(($C18&lt;general!$C$23)*AB$5/(general!$C$23),0)+IFERROR(($C18&gt;=general!$C$23)*($C18&lt;=general!$C$27)*AB$6/(general!$C$27-general!$C$23+1),0)),0)</f>
        <v>2.7777777777777776E-2</v>
      </c>
      <c r="AC18" s="542">
        <f>MAX((IFERROR(($C18&lt;general!$C$23)*AC$5/(general!$C$23),0)+IFERROR(($C18&gt;=general!$C$23)*($C18&lt;=general!$C$27)*AC$6/(general!$C$27-general!$C$23+1),0)),0)</f>
        <v>2.2222222222222223E-2</v>
      </c>
      <c r="AD18" s="542">
        <f>MAX((IFERROR(($C18&lt;general!$C$23)*AD$5/(general!$C$23),0)+IFERROR(($C18&gt;=general!$C$23)*($C18&lt;=general!$C$27)*AD$6/(general!$C$27-general!$C$23+1),0)),0)</f>
        <v>2.2222222222222223E-2</v>
      </c>
      <c r="AE18" s="542">
        <f t="shared" si="7"/>
        <v>0</v>
      </c>
      <c r="AF18" s="542">
        <f>+SUMPRODUCT(--($C18=sales!$C$50:$C$54),sales!$D$50:$D$54)</f>
        <v>0</v>
      </c>
      <c r="AG18" s="542">
        <f>IF($C18=general!$C$28,AG$4,IFERROR(($C18&lt;general!$C$23)*((1-AG$4)*AG$5)/(general!$C$23-1),0)+IFERROR(($C18&gt;=general!$C$23)*($C18&lt;=general!$C$27)*((1-AG$4)*AG$6)/(general!$C$27-general!$C$23+1),0))+IF(AND(general!$C$23&lt;=1,$C18&lt;=1),'draws%'!AG$5*(1-AG$4))</f>
        <v>8.8235294117647058E-3</v>
      </c>
      <c r="AH18" s="542">
        <f>+IF($C18=general!$C$21,1,0)</f>
        <v>0</v>
      </c>
      <c r="AK18" s="524">
        <f>IF(A18&lt;=general!$D$27,IF(MONTH(A18)=11,1,IF(C18=general!$C$27,1,0)),)</f>
        <v>0</v>
      </c>
      <c r="AL18" s="524">
        <f>IF(AK18=1,COUNTIFS($C$8:$C$128,"&lt;="&amp;general!$C$27&amp;"",'draws%'!$AM$8:$AM$128,"="&amp;AM18&amp;""),0)</f>
        <v>0</v>
      </c>
      <c r="AM18" s="524">
        <f t="shared" si="4"/>
        <v>2027</v>
      </c>
      <c r="AN18" s="524"/>
    </row>
    <row r="19" spans="1:40" ht="14">
      <c r="A19" s="903">
        <f t="shared" si="8"/>
        <v>46599</v>
      </c>
      <c r="C19" s="897">
        <f t="shared" si="9"/>
        <v>11</v>
      </c>
      <c r="D19" s="542"/>
      <c r="E19" s="542">
        <f>IF($C19=$C$2,0,IF(OR($C19=0,$C19&lt;general!$C$23,$C19&gt;$C$2),0,E$2/$C$3+NORMDIST($C19-general!$C$23+1,$C$3/2,E$1,1)-NORMDIST($C18-general!$C$23+1,$C$3/2,E$1,1)))+IF($C19=$C$2,1-SUM(E$8:E18),0)</f>
        <v>0</v>
      </c>
      <c r="F19" s="542">
        <f>IF($C19=$C$2,0,IF(OR($C19=0,$C19&lt;general!$C$23,$C19&gt;$C$2),0,F$2/$C$3+NORMDIST($C19-general!$C$23+1,$C$3/2,F$1,1)-NORMDIST($C18-general!$C$23+1,$C$3/2,F$1,1)))+IF($C19=$C$2,1-SUM(F$8:F18),0)</f>
        <v>0</v>
      </c>
      <c r="G19" s="542">
        <f>IF($C19=$C$2,0,IF(OR($C19=0,$C19&lt;general!$C$23,$C19&gt;$C$2),0,G$2/$C$3+NORMDIST($C19-general!$C$23+1,$C$3/2,G$1,1)-NORMDIST($C18-general!$C$23+1,$C$3/2,G$1,1)))+IF($C19=$C$2,1-SUM(G$8:G18),0)</f>
        <v>0</v>
      </c>
      <c r="H19" s="542">
        <f>IF(C19=$C$2,0,IF(OR(C19=0,C19&lt;1,C19&gt;$C$2),0,$H$2/$C$2+NORMDIST(C19,$C$2/2,$H$1,1)-NORMDIST(C18,$C$2/2,$H$1,1)))+IF(C19=$C$2,1-SUM($H$9:H18),0)</f>
        <v>2.5591667098724596E-2</v>
      </c>
      <c r="I19" s="542">
        <f>IF(C19=$C$2,0,IF(OR(C19=0,C19&lt;1,C19&gt;$C$2),0,$I$2/$C$2+NORMDIST(C19,$C$2/2,$I$1,1)-NORMDIST(C18,$C$2/2,$I$1,1)))+IF(C19=$C$2,1-SUM($I$9:I18),0)</f>
        <v>2.5015647834622401E-2</v>
      </c>
      <c r="J19" s="542">
        <f>IF(C19=$C$2,0,IF(OR(C19=0,C19&lt;1,C19&gt;$C$2),0,$J$2/$C$2+NORMDIST(C19,$C$2/2,$J$1,1)-NORMDIST(C18,$C$2/2,$J$1,1)))+IF(C19=$C$2,1-SUM($J$9:J18),0)</f>
        <v>2.4704958826063494E-2</v>
      </c>
      <c r="K19" s="542">
        <f t="shared" si="5"/>
        <v>1.2195121951219513E-2</v>
      </c>
      <c r="L19" s="542">
        <f t="shared" si="1"/>
        <v>2.3809523809523808E-2</v>
      </c>
      <c r="M19" s="542">
        <f>IF($C19&gt;$C$2,IF($C19=sales!$F$36,M$4,0),(1-M$4)/$C$2)</f>
        <v>2.0731707317073172E-2</v>
      </c>
      <c r="N19" s="542">
        <f>IF(ISEVEN($C$2),IF(C19&gt;$C$2,0,IF(C19&lt;=$C$2/2,C19,C19-1-2*(SUMPRODUCT(--($C$8:C19&gt;$C$2/2))-1))/(($C$2/2)*($C$2/2+1))),0)+IF(ISODD($C$2),IF(C19&gt;$C$2,0,IF(C19-1&lt;=$C$2/2,C19,C19-2*(SUMPRODUCT(--($C$8:C19&gt;$C$2/2))-1))/((INT($C$2/2))*(INT($C$2/2)+1)+ROUNDUP($C$2/2,0))),0)</f>
        <v>2.4943310657596373E-2</v>
      </c>
      <c r="O19" s="542"/>
      <c r="P19" s="542">
        <f t="shared" si="2"/>
        <v>0</v>
      </c>
      <c r="Q19" s="542">
        <f>IF($C19=general!$C$28,Q$4,IFERROR(($C19&lt;general!$C$23)*((1-Q$4)*Q$5)/(general!$C$23-1),0)+IFERROR(($C19&gt;=general!$C$23)*($C19&lt;=general!$C$27)*((1-Q$4)*Q$6)/(general!$C$27-general!$C$23+1),0))+IF(AND(general!$C$23&lt;=1,$C19&lt;=1),'draws%'!Q$5*(1-Q$4))</f>
        <v>1.4705882352941176E-2</v>
      </c>
      <c r="R19" s="542">
        <f>IF($C19=general!$C$27,R$4,IFERROR(($C19&lt;general!$C$23)*((1-R$4)*R$5)/(general!$C$23-1),0)+IFERROR(($C19&gt;=general!$C$23)*($C19&lt;general!$C$27)*((1-R$4)*R$6)/(general!$C$27-general!$C$23),0))+IF(AND(general!$C$23&lt;=1,$C19&lt;=1),'draws%'!R$5*(1-R$4))</f>
        <v>2.0588235294117647E-2</v>
      </c>
      <c r="S19" s="542">
        <f>IF(OR(C19=general!$C$27,C19=general!$C$27-1),50%,0)</f>
        <v>0</v>
      </c>
      <c r="T19" s="542">
        <f>(C19&gt;=general!$C$26-6)*(C19&lt;general!$C$26)*1/6*0.5+(C19=3)*0.25+(C19=9)*0.25</f>
        <v>0</v>
      </c>
      <c r="U19" s="542">
        <f>IF(C19='Development Cash Flow'!$C$6,$U$5,0)+IF(C19=general!$C$27,$U$6,0)</f>
        <v>0</v>
      </c>
      <c r="V19" s="542">
        <f>IF(C19=general!$C$28,1,0)</f>
        <v>0</v>
      </c>
      <c r="W19" s="542">
        <f t="shared" si="10"/>
        <v>0</v>
      </c>
      <c r="X19" s="542">
        <f>IF(C19=general!$C$23,1,0)</f>
        <v>0</v>
      </c>
      <c r="Y19" s="542">
        <f>IFERROR((C19&lt;general!$C$23)*Y$5/(general!$C$23),0)+IFERROR((C19&gt;=general!$C$23)*(C19&lt;=general!$C$27)*Y$6/(general!$C$27-general!$C$23+1),0)</f>
        <v>5.5555555555555552E-2</v>
      </c>
      <c r="Z19" s="542">
        <f>IFERROR(($C19&lt;general!$C$23)*Z$5/(general!$C$23),0)+IFERROR(($C19&gt;=general!$C$23)*($C19&lt;=general!$C$27)*Z$6/(general!$C$27-general!$C$23+1),0)*(1-$Z$4)+$Z$4*AF19</f>
        <v>0</v>
      </c>
      <c r="AA19" s="542">
        <f>MAX((IFERROR(($C19&lt;general!$C$23)*AA$5/(general!$C$23),0)+IFERROR(($C19&gt;=general!$C$23)*($C19&lt;=general!$C$27)*AA$6/(general!$C$27-general!$C$23+1),0)),0)</f>
        <v>3.3333333333333333E-2</v>
      </c>
      <c r="AB19" s="542">
        <f>MAX((IFERROR(($C19&lt;general!$C$23)*AB$5/(general!$C$23),0)+IFERROR(($C19&gt;=general!$C$23)*($C19&lt;=general!$C$27)*AB$6/(general!$C$27-general!$C$23+1),0)),0)</f>
        <v>2.7777777777777776E-2</v>
      </c>
      <c r="AC19" s="542">
        <f>MAX((IFERROR(($C19&lt;general!$C$23)*AC$5/(general!$C$23),0)+IFERROR(($C19&gt;=general!$C$23)*($C19&lt;=general!$C$27)*AC$6/(general!$C$27-general!$C$23+1),0)),0)</f>
        <v>2.2222222222222223E-2</v>
      </c>
      <c r="AD19" s="542">
        <f>MAX((IFERROR(($C19&lt;general!$C$23)*AD$5/(general!$C$23),0)+IFERROR(($C19&gt;=general!$C$23)*($C19&lt;=general!$C$27)*AD$6/(general!$C$27-general!$C$23+1),0)),0)</f>
        <v>2.2222222222222223E-2</v>
      </c>
      <c r="AE19" s="542">
        <f t="shared" si="7"/>
        <v>0</v>
      </c>
      <c r="AF19" s="542">
        <f>+SUMPRODUCT(--($C19=sales!$C$50:$C$54),sales!$D$50:$D$54)</f>
        <v>0</v>
      </c>
      <c r="AG19" s="542">
        <f>IF($C19=general!$C$28,AG$4,IFERROR(($C19&lt;general!$C$23)*((1-AG$4)*AG$5)/(general!$C$23-1),0)+IFERROR(($C19&gt;=general!$C$23)*($C19&lt;=general!$C$27)*((1-AG$4)*AG$6)/(general!$C$27-general!$C$23+1),0))+IF(AND(general!$C$23&lt;=1,$C19&lt;=1),'draws%'!AG$5*(1-AG$4))</f>
        <v>8.8235294117647058E-3</v>
      </c>
      <c r="AH19" s="542">
        <f>+IF($C19=general!$C$21,1,0)</f>
        <v>0</v>
      </c>
      <c r="AK19" s="524">
        <f>IF(A19&lt;=general!$D$27,IF(MONTH(A19)=11,1,IF(C19=general!$C$27,1,0)),)</f>
        <v>0</v>
      </c>
      <c r="AL19" s="524">
        <f>IF(AK19=1,COUNTIFS($C$8:$C$128,"&lt;="&amp;general!$C$27&amp;"",'draws%'!$AM$8:$AM$128,"="&amp;AM19&amp;""),0)</f>
        <v>0</v>
      </c>
      <c r="AM19" s="524">
        <f t="shared" si="4"/>
        <v>2027</v>
      </c>
      <c r="AN19" s="524"/>
    </row>
    <row r="20" spans="1:40" ht="14">
      <c r="A20" s="903">
        <f t="shared" si="8"/>
        <v>46630</v>
      </c>
      <c r="C20" s="897">
        <f t="shared" si="9"/>
        <v>12</v>
      </c>
      <c r="D20" s="542"/>
      <c r="E20" s="542">
        <f>IF($C20=$C$2,0,IF(OR($C20=0,$C20&lt;general!$C$23,$C20&gt;$C$2),0,E$2/$C$3+NORMDIST($C20-general!$C$23+1,$C$3/2,E$1,1)-NORMDIST($C19-general!$C$23+1,$C$3/2,E$1,1)))+IF($C20=$C$2,1-SUM(E$8:E19),0)</f>
        <v>0</v>
      </c>
      <c r="F20" s="542">
        <f>IF($C20=$C$2,0,IF(OR($C20=0,$C20&lt;general!$C$23,$C20&gt;$C$2),0,F$2/$C$3+NORMDIST($C20-general!$C$23+1,$C$3/2,F$1,1)-NORMDIST($C19-general!$C$23+1,$C$3/2,F$1,1)))+IF($C20=$C$2,1-SUM(F$8:F19),0)</f>
        <v>0</v>
      </c>
      <c r="G20" s="542">
        <f>IF($C20=$C$2,0,IF(OR($C20=0,$C20&lt;general!$C$23,$C20&gt;$C$2),0,G$2/$C$3+NORMDIST($C20-general!$C$23+1,$C$3/2,G$1,1)-NORMDIST($C19-general!$C$23+1,$C$3/2,G$1,1)))+IF($C20=$C$2,1-SUM(G$8:G19),0)</f>
        <v>0</v>
      </c>
      <c r="H20" s="542">
        <f>IF(C20=$C$2,0,IF(OR(C20=0,C20&lt;1,C20&gt;$C$2),0,$H$2/$C$2+NORMDIST(C20,$C$2/2,$H$1,1)-NORMDIST(C19,$C$2/2,$H$1,1)))+IF(C20=$C$2,1-SUM($H$9:H19),0)</f>
        <v>2.6756420321963903E-2</v>
      </c>
      <c r="I20" s="542">
        <f>IF(C20=$C$2,0,IF(OR(C20=0,C20&lt;1,C20&gt;$C$2),0,$I$2/$C$2+NORMDIST(C20,$C$2/2,$I$1,1)-NORMDIST(C19,$C$2/2,$I$1,1)))+IF(C20=$C$2,1-SUM($I$9:I19),0)</f>
        <v>2.5410558807397843E-2</v>
      </c>
      <c r="J20" s="542">
        <f>IF(C20=$C$2,0,IF(OR(C20=0,C20&lt;1,C20&gt;$C$2),0,$J$2/$C$2+NORMDIST(C20,$C$2/2,$J$1,1)-NORMDIST(C19,$C$2/2,$J$1,1)))+IF(C20=$C$2,1-SUM($J$9:J19),0)</f>
        <v>2.4879615555336021E-2</v>
      </c>
      <c r="K20" s="542">
        <f t="shared" si="5"/>
        <v>1.2195121951219513E-2</v>
      </c>
      <c r="L20" s="542">
        <f t="shared" si="1"/>
        <v>2.3809523809523808E-2</v>
      </c>
      <c r="M20" s="542">
        <f>IF($C20&gt;$C$2,IF($C20=sales!$F$36,M$4,0),(1-M$4)/$C$2)</f>
        <v>2.0731707317073172E-2</v>
      </c>
      <c r="N20" s="542">
        <f>IF(ISEVEN($C$2),IF(C20&gt;$C$2,0,IF(C20&lt;=$C$2/2,C20,C20-1-2*(SUMPRODUCT(--($C$8:C20&gt;$C$2/2))-1))/(($C$2/2)*($C$2/2+1))),0)+IF(ISODD($C$2),IF(C20&gt;$C$2,0,IF(C20-1&lt;=$C$2/2,C20,C20-2*(SUMPRODUCT(--($C$8:C20&gt;$C$2/2))-1))/((INT($C$2/2))*(INT($C$2/2)+1)+ROUNDUP($C$2/2,0))),0)</f>
        <v>2.7210884353741496E-2</v>
      </c>
      <c r="O20" s="542"/>
      <c r="P20" s="542">
        <f t="shared" si="2"/>
        <v>0</v>
      </c>
      <c r="Q20" s="542">
        <f>IF($C20=general!$C$28,Q$4,IFERROR(($C20&lt;general!$C$23)*((1-Q$4)*Q$5)/(general!$C$23-1),0)+IFERROR(($C20&gt;=general!$C$23)*($C20&lt;=general!$C$27)*((1-Q$4)*Q$6)/(general!$C$27-general!$C$23+1),0))+IF(AND(general!$C$23&lt;=1,$C20&lt;=1),'draws%'!Q$5*(1-Q$4))</f>
        <v>1.4705882352941176E-2</v>
      </c>
      <c r="R20" s="542">
        <f>IF($C20=general!$C$27,R$4,IFERROR(($C20&lt;general!$C$23)*((1-R$4)*R$5)/(general!$C$23-1),0)+IFERROR(($C20&gt;=general!$C$23)*($C20&lt;general!$C$27)*((1-R$4)*R$6)/(general!$C$27-general!$C$23),0))+IF(AND(general!$C$23&lt;=1,$C20&lt;=1),'draws%'!R$5*(1-R$4))</f>
        <v>2.0588235294117647E-2</v>
      </c>
      <c r="S20" s="542">
        <f>IF(OR(C20=general!$C$27,C20=general!$C$27-1),50%,0)</f>
        <v>0</v>
      </c>
      <c r="T20" s="542">
        <f>(C20&gt;=general!$C$26-6)*(C20&lt;general!$C$26)*1/6*0.5+(C20=3)*0.25+(C20=9)*0.25</f>
        <v>0</v>
      </c>
      <c r="U20" s="542">
        <f>IF(C20='Development Cash Flow'!$C$6,$U$5,0)+IF(C20=general!$C$27,$U$6,0)</f>
        <v>0</v>
      </c>
      <c r="V20" s="542">
        <f>IF(C20=general!$C$28,1,0)</f>
        <v>0</v>
      </c>
      <c r="W20" s="542">
        <f t="shared" si="10"/>
        <v>0</v>
      </c>
      <c r="X20" s="542">
        <f>IF(C20=general!$C$23,1,0)</f>
        <v>0</v>
      </c>
      <c r="Y20" s="542">
        <f>IFERROR((C20&lt;general!$C$23)*Y$5/(general!$C$23),0)+IFERROR((C20&gt;=general!$C$23)*(C20&lt;=general!$C$27)*Y$6/(general!$C$27-general!$C$23+1),0)</f>
        <v>5.5555555555555552E-2</v>
      </c>
      <c r="Z20" s="542">
        <f>IFERROR(($C20&lt;general!$C$23)*Z$5/(general!$C$23),0)+IFERROR(($C20&gt;=general!$C$23)*($C20&lt;=general!$C$27)*Z$6/(general!$C$27-general!$C$23+1),0)*(1-$Z$4)+$Z$4*AF20</f>
        <v>0</v>
      </c>
      <c r="AA20" s="542">
        <f>MAX((IFERROR(($C20&lt;general!$C$23)*AA$5/(general!$C$23),0)+IFERROR(($C20&gt;=general!$C$23)*($C20&lt;=general!$C$27)*AA$6/(general!$C$27-general!$C$23+1),0)),0)</f>
        <v>3.3333333333333333E-2</v>
      </c>
      <c r="AB20" s="542">
        <f>MAX((IFERROR(($C20&lt;general!$C$23)*AB$5/(general!$C$23),0)+IFERROR(($C20&gt;=general!$C$23)*($C20&lt;=general!$C$27)*AB$6/(general!$C$27-general!$C$23+1),0)),0)</f>
        <v>2.7777777777777776E-2</v>
      </c>
      <c r="AC20" s="542">
        <f>MAX((IFERROR(($C20&lt;general!$C$23)*AC$5/(general!$C$23),0)+IFERROR(($C20&gt;=general!$C$23)*($C20&lt;=general!$C$27)*AC$6/(general!$C$27-general!$C$23+1),0)),0)</f>
        <v>2.2222222222222223E-2</v>
      </c>
      <c r="AD20" s="542">
        <f>MAX((IFERROR(($C20&lt;general!$C$23)*AD$5/(general!$C$23),0)+IFERROR(($C20&gt;=general!$C$23)*($C20&lt;=general!$C$27)*AD$6/(general!$C$27-general!$C$23+1),0)),0)</f>
        <v>2.2222222222222223E-2</v>
      </c>
      <c r="AE20" s="542">
        <f t="shared" si="7"/>
        <v>0</v>
      </c>
      <c r="AF20" s="542">
        <f>+SUMPRODUCT(--($C20=sales!$C$50:$C$54),sales!$D$50:$D$54)</f>
        <v>0</v>
      </c>
      <c r="AG20" s="542">
        <f>IF($C20=general!$C$28,AG$4,IFERROR(($C20&lt;general!$C$23)*((1-AG$4)*AG$5)/(general!$C$23-1),0)+IFERROR(($C20&gt;=general!$C$23)*($C20&lt;=general!$C$27)*((1-AG$4)*AG$6)/(general!$C$27-general!$C$23+1),0))+IF(AND(general!$C$23&lt;=1,$C20&lt;=1),'draws%'!AG$5*(1-AG$4))</f>
        <v>8.8235294117647058E-3</v>
      </c>
      <c r="AH20" s="542">
        <f>+IF($C20=general!$C$21,1,0)</f>
        <v>0</v>
      </c>
      <c r="AK20" s="524">
        <f>IF(A20&lt;=general!$D$27,IF(MONTH(A20)=11,1,IF(C20=general!$C$27,1,0)),)</f>
        <v>0</v>
      </c>
      <c r="AL20" s="524">
        <f>IF(AK20=1,COUNTIFS($C$8:$C$128,"&lt;="&amp;general!$C$27&amp;"",'draws%'!$AM$8:$AM$128,"="&amp;AM20&amp;""),0)</f>
        <v>0</v>
      </c>
      <c r="AM20" s="524">
        <f t="shared" si="4"/>
        <v>2027</v>
      </c>
      <c r="AN20" s="524"/>
    </row>
    <row r="21" spans="1:40" ht="14">
      <c r="A21" s="903">
        <f t="shared" si="8"/>
        <v>46660</v>
      </c>
      <c r="C21" s="897">
        <f t="shared" si="9"/>
        <v>13</v>
      </c>
      <c r="D21" s="542"/>
      <c r="E21" s="542">
        <f>IF($C21=$C$2,0,IF(OR($C21=0,$C21&lt;general!$C$23,$C21&gt;$C$2),0,E$2/$C$3+NORMDIST($C21-general!$C$23+1,$C$3/2,E$1,1)-NORMDIST($C20-general!$C$23+1,$C$3/2,E$1,1)))+IF($C21=$C$2,1-SUM(E$8:E20),0)</f>
        <v>0</v>
      </c>
      <c r="F21" s="542">
        <f>IF($C21=$C$2,0,IF(OR($C21=0,$C21&lt;general!$C$23,$C21&gt;$C$2),0,F$2/$C$3+NORMDIST($C21-general!$C$23+1,$C$3/2,F$1,1)-NORMDIST($C20-general!$C$23+1,$C$3/2,F$1,1)))+IF($C21=$C$2,1-SUM(F$8:F20),0)</f>
        <v>0</v>
      </c>
      <c r="G21" s="542">
        <f>IF($C21=$C$2,0,IF(OR($C21=0,$C21&lt;general!$C$23,$C21&gt;$C$2),0,G$2/$C$3+NORMDIST($C21-general!$C$23+1,$C$3/2,G$1,1)-NORMDIST($C20-general!$C$23+1,$C$3/2,G$1,1)))+IF($C21=$C$2,1-SUM(G$8:G20),0)</f>
        <v>0</v>
      </c>
      <c r="H21" s="542">
        <f>IF(C21=$C$2,0,IF(OR(C21=0,C21&lt;1,C21&gt;$C$2),0,$H$2/$C$2+NORMDIST(C21,$C$2/2,$H$1,1)-NORMDIST(C20,$C$2/2,$H$1,1)))+IF(C21=$C$2,1-SUM($H$9:H20),0)</f>
        <v>2.784996698279979E-2</v>
      </c>
      <c r="I21" s="542">
        <f>IF(C21=$C$2,0,IF(OR(C21=0,C21&lt;1,C21&gt;$C$2),0,$I$2/$C$2+NORMDIST(C21,$C$2/2,$I$1,1)-NORMDIST(C20,$C$2/2,$I$1,1)))+IF(C21=$C$2,1-SUM($I$9:I20),0)</f>
        <v>2.5771545845222399E-2</v>
      </c>
      <c r="J21" s="542">
        <f>IF(C21=$C$2,0,IF(OR(C21=0,C21&lt;1,C21&gt;$C$2),0,$J$2/$C$2+NORMDIST(C21,$C$2/2,$J$1,1)-NORMDIST(C20,$C$2/2,$J$1,1)))+IF(C21=$C$2,1-SUM($J$9:J20),0)</f>
        <v>2.5037780838049362E-2</v>
      </c>
      <c r="K21" s="542">
        <f t="shared" si="5"/>
        <v>1.2195121951219513E-2</v>
      </c>
      <c r="L21" s="542">
        <f t="shared" si="1"/>
        <v>2.3809523809523808E-2</v>
      </c>
      <c r="M21" s="542">
        <f>IF($C21&gt;$C$2,IF($C21=sales!$F$36,M$4,0),(1-M$4)/$C$2)</f>
        <v>2.0731707317073172E-2</v>
      </c>
      <c r="N21" s="542">
        <f>IF(ISEVEN($C$2),IF(C21&gt;$C$2,0,IF(C21&lt;=$C$2/2,C21,C21-1-2*(SUMPRODUCT(--($C$8:C21&gt;$C$2/2))-1))/(($C$2/2)*($C$2/2+1))),0)+IF(ISODD($C$2),IF(C21&gt;$C$2,0,IF(C21-1&lt;=$C$2/2,C21,C21-2*(SUMPRODUCT(--($C$8:C21&gt;$C$2/2))-1))/((INT($C$2/2))*(INT($C$2/2)+1)+ROUNDUP($C$2/2,0))),0)</f>
        <v>2.9478458049886622E-2</v>
      </c>
      <c r="O21" s="542"/>
      <c r="P21" s="542">
        <f t="shared" si="2"/>
        <v>0</v>
      </c>
      <c r="Q21" s="542">
        <f>IF($C21=general!$C$28,Q$4,IFERROR(($C21&lt;general!$C$23)*((1-Q$4)*Q$5)/(general!$C$23-1),0)+IFERROR(($C21&gt;=general!$C$23)*($C21&lt;=general!$C$27)*((1-Q$4)*Q$6)/(general!$C$27-general!$C$23+1),0))+IF(AND(general!$C$23&lt;=1,$C21&lt;=1),'draws%'!Q$5*(1-Q$4))</f>
        <v>1.4705882352941176E-2</v>
      </c>
      <c r="R21" s="542">
        <f>IF($C21=general!$C$27,R$4,IFERROR(($C21&lt;general!$C$23)*((1-R$4)*R$5)/(general!$C$23-1),0)+IFERROR(($C21&gt;=general!$C$23)*($C21&lt;general!$C$27)*((1-R$4)*R$6)/(general!$C$27-general!$C$23),0))+IF(AND(general!$C$23&lt;=1,$C21&lt;=1),'draws%'!R$5*(1-R$4))</f>
        <v>2.0588235294117647E-2</v>
      </c>
      <c r="S21" s="542">
        <f>IF(OR(C21=general!$C$27,C21=general!$C$27-1),50%,0)</f>
        <v>0</v>
      </c>
      <c r="T21" s="542">
        <f>(C21&gt;=general!$C$26-6)*(C21&lt;general!$C$26)*1/6*0.5+(C21=3)*0.25+(C21=9)*0.25</f>
        <v>0</v>
      </c>
      <c r="U21" s="542">
        <f>IF(C21='Development Cash Flow'!$C$6,$U$5,0)+IF(C21=general!$C$27,$U$6,0)</f>
        <v>0</v>
      </c>
      <c r="V21" s="542">
        <f>IF(C21=general!$C$28,1,0)</f>
        <v>0</v>
      </c>
      <c r="W21" s="542">
        <f t="shared" si="10"/>
        <v>0</v>
      </c>
      <c r="X21" s="542">
        <f>IF(C21=general!$C$23,1,0)</f>
        <v>0</v>
      </c>
      <c r="Y21" s="542">
        <f>IFERROR((C21&lt;general!$C$23)*Y$5/(general!$C$23),0)+IFERROR((C21&gt;=general!$C$23)*(C21&lt;=general!$C$27)*Y$6/(general!$C$27-general!$C$23+1),0)</f>
        <v>5.5555555555555552E-2</v>
      </c>
      <c r="Z21" s="542">
        <f>IFERROR(($C21&lt;general!$C$23)*Z$5/(general!$C$23),0)+IFERROR(($C21&gt;=general!$C$23)*($C21&lt;=general!$C$27)*Z$6/(general!$C$27-general!$C$23+1),0)*(1-$Z$4)+$Z$4*AF21</f>
        <v>0</v>
      </c>
      <c r="AA21" s="542">
        <f>MAX((IFERROR(($C21&lt;general!$C$23)*AA$5/(general!$C$23),0)+IFERROR(($C21&gt;=general!$C$23)*($C21&lt;=general!$C$27)*AA$6/(general!$C$27-general!$C$23+1),0)),0)</f>
        <v>3.3333333333333333E-2</v>
      </c>
      <c r="AB21" s="542">
        <f>MAX((IFERROR(($C21&lt;general!$C$23)*AB$5/(general!$C$23),0)+IFERROR(($C21&gt;=general!$C$23)*($C21&lt;=general!$C$27)*AB$6/(general!$C$27-general!$C$23+1),0)),0)</f>
        <v>2.7777777777777776E-2</v>
      </c>
      <c r="AC21" s="542">
        <f>MAX((IFERROR(($C21&lt;general!$C$23)*AC$5/(general!$C$23),0)+IFERROR(($C21&gt;=general!$C$23)*($C21&lt;=general!$C$27)*AC$6/(general!$C$27-general!$C$23+1),0)),0)</f>
        <v>2.2222222222222223E-2</v>
      </c>
      <c r="AD21" s="542">
        <f>MAX((IFERROR(($C21&lt;general!$C$23)*AD$5/(general!$C$23),0)+IFERROR(($C21&gt;=general!$C$23)*($C21&lt;=general!$C$27)*AD$6/(general!$C$27-general!$C$23+1),0)),0)</f>
        <v>2.2222222222222223E-2</v>
      </c>
      <c r="AE21" s="542">
        <f t="shared" si="7"/>
        <v>0</v>
      </c>
      <c r="AF21" s="542">
        <f>+SUMPRODUCT(--($C21=sales!$C$50:$C$54),sales!$D$50:$D$54)</f>
        <v>0</v>
      </c>
      <c r="AG21" s="542">
        <f>IF($C21=general!$C$28,AG$4,IFERROR(($C21&lt;general!$C$23)*((1-AG$4)*AG$5)/(general!$C$23-1),0)+IFERROR(($C21&gt;=general!$C$23)*($C21&lt;=general!$C$27)*((1-AG$4)*AG$6)/(general!$C$27-general!$C$23+1),0))+IF(AND(general!$C$23&lt;=1,$C21&lt;=1),'draws%'!AG$5*(1-AG$4))</f>
        <v>8.8235294117647058E-3</v>
      </c>
      <c r="AH21" s="542">
        <f>+IF($C21=general!$C$21,1,0)</f>
        <v>0</v>
      </c>
      <c r="AK21" s="524">
        <f>IF(A21&lt;=general!$D$27,IF(MONTH(A21)=11,1,IF(C21=general!$C$27,1,0)),)</f>
        <v>0</v>
      </c>
      <c r="AL21" s="524">
        <f>IF(AK21=1,COUNTIFS($C$8:$C$128,"&lt;="&amp;general!$C$27&amp;"",'draws%'!$AM$8:$AM$128,"="&amp;AM21&amp;""),0)</f>
        <v>0</v>
      </c>
      <c r="AM21" s="524">
        <f t="shared" si="4"/>
        <v>2027</v>
      </c>
      <c r="AN21" s="524"/>
    </row>
    <row r="22" spans="1:40" ht="14">
      <c r="A22" s="903">
        <f t="shared" si="8"/>
        <v>46691</v>
      </c>
      <c r="C22" s="897">
        <f t="shared" si="9"/>
        <v>14</v>
      </c>
      <c r="D22" s="542"/>
      <c r="E22" s="542">
        <f>IF($C22=$C$2,0,IF(OR($C22=0,$C22&lt;general!$C$23,$C22&gt;$C$2),0,E$2/$C$3+NORMDIST($C22-general!$C$23+1,$C$3/2,E$1,1)-NORMDIST($C21-general!$C$23+1,$C$3/2,E$1,1)))+IF($C22=$C$2,1-SUM(E$8:E21),0)</f>
        <v>0</v>
      </c>
      <c r="F22" s="542">
        <f>IF($C22=$C$2,0,IF(OR($C22=0,$C22&lt;general!$C$23,$C22&gt;$C$2),0,F$2/$C$3+NORMDIST($C22-general!$C$23+1,$C$3/2,F$1,1)-NORMDIST($C21-general!$C$23+1,$C$3/2,F$1,1)))+IF($C22=$C$2,1-SUM(F$8:F21),0)</f>
        <v>0</v>
      </c>
      <c r="G22" s="542">
        <f>IF($C22=$C$2,0,IF(OR($C22=0,$C22&lt;general!$C$23,$C22&gt;$C$2),0,G$2/$C$3+NORMDIST($C22-general!$C$23+1,$C$3/2,G$1,1)-NORMDIST($C21-general!$C$23+1,$C$3/2,G$1,1)))+IF($C22=$C$2,1-SUM(G$8:G21),0)</f>
        <v>0</v>
      </c>
      <c r="H22" s="542">
        <f>IF(C22=$C$2,0,IF(OR(C22=0,C22&lt;1,C22&gt;$C$2),0,$H$2/$C$2+NORMDIST(C22,$C$2/2,$H$1,1)-NORMDIST(C21,$C$2/2,$H$1,1)))+IF(C22=$C$2,1-SUM($H$9:H21),0)</f>
        <v>2.8857048473425295E-2</v>
      </c>
      <c r="I22" s="542">
        <f>IF(C22=$C$2,0,IF(OR(C22=0,C22&lt;1,C22&gt;$C$2),0,$I$2/$C$2+NORMDIST(C22,$C$2/2,$I$1,1)-NORMDIST(C21,$C$2/2,$I$1,1)))+IF(C22=$C$2,1-SUM($I$9:I21),0)</f>
        <v>2.6096182849533689E-2</v>
      </c>
      <c r="J22" s="542">
        <f>IF(C22=$C$2,0,IF(OR(C22=0,C22&lt;1,C22&gt;$C$2),0,$J$2/$C$2+NORMDIST(C22,$C$2/2,$J$1,1)-NORMDIST(C21,$C$2/2,$J$1,1)))+IF(C22=$C$2,1-SUM($J$9:J21),0)</f>
        <v>2.517884050347402E-2</v>
      </c>
      <c r="K22" s="542">
        <f t="shared" si="5"/>
        <v>1.2195121951219513E-2</v>
      </c>
      <c r="L22" s="542">
        <f t="shared" si="1"/>
        <v>2.3809523809523808E-2</v>
      </c>
      <c r="M22" s="542">
        <f>IF($C22&gt;$C$2,IF($C22=sales!$F$36,M$4,0),(1-M$4)/$C$2)</f>
        <v>2.0731707317073172E-2</v>
      </c>
      <c r="N22" s="542">
        <f>IF(ISEVEN($C$2),IF(C22&gt;$C$2,0,IF(C22&lt;=$C$2/2,C22,C22-1-2*(SUMPRODUCT(--($C$8:C22&gt;$C$2/2))-1))/(($C$2/2)*($C$2/2+1))),0)+IF(ISODD($C$2),IF(C22&gt;$C$2,0,IF(C22-1&lt;=$C$2/2,C22,C22-2*(SUMPRODUCT(--($C$8:C22&gt;$C$2/2))-1))/((INT($C$2/2))*(INT($C$2/2)+1)+ROUNDUP($C$2/2,0))),0)</f>
        <v>3.1746031746031744E-2</v>
      </c>
      <c r="O22" s="542"/>
      <c r="P22" s="542">
        <f t="shared" si="2"/>
        <v>0</v>
      </c>
      <c r="Q22" s="542">
        <f>IF($C22=general!$C$28,Q$4,IFERROR(($C22&lt;general!$C$23)*((1-Q$4)*Q$5)/(general!$C$23-1),0)+IFERROR(($C22&gt;=general!$C$23)*($C22&lt;=general!$C$27)*((1-Q$4)*Q$6)/(general!$C$27-general!$C$23+1),0))+IF(AND(general!$C$23&lt;=1,$C22&lt;=1),'draws%'!Q$5*(1-Q$4))</f>
        <v>1.4705882352941176E-2</v>
      </c>
      <c r="R22" s="542">
        <f>IF($C22=general!$C$27,R$4,IFERROR(($C22&lt;general!$C$23)*((1-R$4)*R$5)/(general!$C$23-1),0)+IFERROR(($C22&gt;=general!$C$23)*($C22&lt;general!$C$27)*((1-R$4)*R$6)/(general!$C$27-general!$C$23),0))+IF(AND(general!$C$23&lt;=1,$C22&lt;=1),'draws%'!R$5*(1-R$4))</f>
        <v>2.0588235294117647E-2</v>
      </c>
      <c r="S22" s="542">
        <f>IF(OR(C22=general!$C$27,C22=general!$C$27-1),50%,0)</f>
        <v>0</v>
      </c>
      <c r="T22" s="542">
        <f>(C22&gt;=general!$C$26-6)*(C22&lt;general!$C$26)*1/6*0.5+(C22=3)*0.25+(C22=9)*0.25</f>
        <v>0</v>
      </c>
      <c r="U22" s="542">
        <f>IF(C22='Development Cash Flow'!$C$6,$U$5,0)+IF(C22=general!$C$27,$U$6,0)</f>
        <v>0</v>
      </c>
      <c r="V22" s="542">
        <f>IF(C22=general!$C$28,1,0)</f>
        <v>0</v>
      </c>
      <c r="W22" s="542">
        <f t="shared" si="10"/>
        <v>0</v>
      </c>
      <c r="X22" s="542">
        <f>IF(C22=general!$C$23,1,0)</f>
        <v>0</v>
      </c>
      <c r="Y22" s="542">
        <f>IFERROR((C22&lt;general!$C$23)*Y$5/(general!$C$23),0)+IFERROR((C22&gt;=general!$C$23)*(C22&lt;=general!$C$27)*Y$6/(general!$C$27-general!$C$23+1),0)</f>
        <v>5.5555555555555552E-2</v>
      </c>
      <c r="Z22" s="542">
        <f>IFERROR(($C22&lt;general!$C$23)*Z$5/(general!$C$23),0)+IFERROR(($C22&gt;=general!$C$23)*($C22&lt;=general!$C$27)*Z$6/(general!$C$27-general!$C$23+1),0)*(1-$Z$4)+$Z$4*AF22</f>
        <v>0</v>
      </c>
      <c r="AA22" s="542">
        <f>MAX((IFERROR(($C22&lt;general!$C$23)*AA$5/(general!$C$23),0)+IFERROR(($C22&gt;=general!$C$23)*($C22&lt;=general!$C$27)*AA$6/(general!$C$27-general!$C$23+1),0)),0)</f>
        <v>3.3333333333333333E-2</v>
      </c>
      <c r="AB22" s="542">
        <f>MAX((IFERROR(($C22&lt;general!$C$23)*AB$5/(general!$C$23),0)+IFERROR(($C22&gt;=general!$C$23)*($C22&lt;=general!$C$27)*AB$6/(general!$C$27-general!$C$23+1),0)),0)</f>
        <v>2.7777777777777776E-2</v>
      </c>
      <c r="AC22" s="542">
        <f>MAX((IFERROR(($C22&lt;general!$C$23)*AC$5/(general!$C$23),0)+IFERROR(($C22&gt;=general!$C$23)*($C22&lt;=general!$C$27)*AC$6/(general!$C$27-general!$C$23+1),0)),0)</f>
        <v>2.2222222222222223E-2</v>
      </c>
      <c r="AD22" s="542">
        <f>MAX((IFERROR(($C22&lt;general!$C$23)*AD$5/(general!$C$23),0)+IFERROR(($C22&gt;=general!$C$23)*($C22&lt;=general!$C$27)*AD$6/(general!$C$27-general!$C$23+1),0)),0)</f>
        <v>2.2222222222222223E-2</v>
      </c>
      <c r="AE22" s="542">
        <f t="shared" si="7"/>
        <v>0</v>
      </c>
      <c r="AF22" s="542">
        <f>+SUMPRODUCT(--($C22=sales!$C$50:$C$54),sales!$D$50:$D$54)</f>
        <v>0</v>
      </c>
      <c r="AG22" s="542">
        <f>IF($C22=general!$C$28,AG$4,IFERROR(($C22&lt;general!$C$23)*((1-AG$4)*AG$5)/(general!$C$23-1),0)+IFERROR(($C22&gt;=general!$C$23)*($C22&lt;=general!$C$27)*((1-AG$4)*AG$6)/(general!$C$27-general!$C$23+1),0))+IF(AND(general!$C$23&lt;=1,$C22&lt;=1),'draws%'!AG$5*(1-AG$4))</f>
        <v>8.8235294117647058E-3</v>
      </c>
      <c r="AH22" s="542">
        <f>+IF($C22=general!$C$21,1,0)</f>
        <v>0</v>
      </c>
      <c r="AK22" s="524">
        <f>IF(A22&lt;=general!$D$27,IF(MONTH(A22)=11,1,IF(C22=general!$C$27,1,0)),)</f>
        <v>0</v>
      </c>
      <c r="AL22" s="524">
        <f>IF(AK22=1,COUNTIFS($C$8:$C$128,"&lt;="&amp;general!$C$27&amp;"",'draws%'!$AM$8:$AM$128,"="&amp;AM22&amp;""),0)</f>
        <v>0</v>
      </c>
      <c r="AM22" s="524">
        <f t="shared" si="4"/>
        <v>2027</v>
      </c>
      <c r="AN22" s="524"/>
    </row>
    <row r="23" spans="1:40" ht="14">
      <c r="A23" s="903">
        <f t="shared" si="8"/>
        <v>46721</v>
      </c>
      <c r="C23" s="897">
        <f t="shared" si="9"/>
        <v>15</v>
      </c>
      <c r="D23" s="542"/>
      <c r="E23" s="542">
        <f>IF($C23=$C$2,0,IF(OR($C23=0,$C23&lt;general!$C$23,$C23&gt;$C$2),0,E$2/$C$3+NORMDIST($C23-general!$C$23+1,$C$3/2,E$1,1)-NORMDIST($C22-general!$C$23+1,$C$3/2,E$1,1)))+IF($C23=$C$2,1-SUM(E$8:E22),0)</f>
        <v>0</v>
      </c>
      <c r="F23" s="542">
        <f>IF($C23=$C$2,0,IF(OR($C23=0,$C23&lt;general!$C$23,$C23&gt;$C$2),0,F$2/$C$3+NORMDIST($C23-general!$C$23+1,$C$3/2,F$1,1)-NORMDIST($C22-general!$C$23+1,$C$3/2,F$1,1)))+IF($C23=$C$2,1-SUM(F$8:F22),0)</f>
        <v>0</v>
      </c>
      <c r="G23" s="542">
        <f>IF($C23=$C$2,0,IF(OR($C23=0,$C23&lt;general!$C$23,$C23&gt;$C$2),0,G$2/$C$3+NORMDIST($C23-general!$C$23+1,$C$3/2,G$1,1)-NORMDIST($C22-general!$C$23+1,$C$3/2,G$1,1)))+IF($C23=$C$2,1-SUM(G$8:G22),0)</f>
        <v>0</v>
      </c>
      <c r="H23" s="542">
        <f>IF(C23=$C$2,0,IF(OR(C23=0,C23&lt;1,C23&gt;$C$2),0,$H$2/$C$2+NORMDIST(C23,$C$2/2,$H$1,1)-NORMDIST(C22,$C$2/2,$H$1,1)))+IF(C23=$C$2,1-SUM($H$9:H22),0)</f>
        <v>2.9763153511327689E-2</v>
      </c>
      <c r="I23" s="542">
        <f>IF(C23=$C$2,0,IF(OR(C23=0,C23&lt;1,C23&gt;$C$2),0,$I$2/$C$2+NORMDIST(C23,$C$2/2,$I$1,1)-NORMDIST(C22,$C$2/2,$I$1,1)))+IF(C23=$C$2,1-SUM($I$9:I22),0)</f>
        <v>2.6382258689979954E-2</v>
      </c>
      <c r="J23" s="542">
        <f>IF(C23=$C$2,0,IF(OR(C23=0,C23&lt;1,C23&gt;$C$2),0,$J$2/$C$2+NORMDIST(C23,$C$2/2,$J$1,1)-NORMDIST(C22,$C$2/2,$J$1,1)))+IF(C23=$C$2,1-SUM($J$9:J22),0)</f>
        <v>2.5302242766386041E-2</v>
      </c>
      <c r="K23" s="542">
        <f t="shared" si="5"/>
        <v>1.2195121951219513E-2</v>
      </c>
      <c r="L23" s="542">
        <f t="shared" si="1"/>
        <v>2.3809523809523808E-2</v>
      </c>
      <c r="M23" s="542">
        <f>IF($C23&gt;$C$2,IF($C23=sales!$F$36,M$4,0),(1-M$4)/$C$2)</f>
        <v>2.0731707317073172E-2</v>
      </c>
      <c r="N23" s="542">
        <f>IF(ISEVEN($C$2),IF(C23&gt;$C$2,0,IF(C23&lt;=$C$2/2,C23,C23-1-2*(SUMPRODUCT(--($C$8:C23&gt;$C$2/2))-1))/(($C$2/2)*($C$2/2+1))),0)+IF(ISODD($C$2),IF(C23&gt;$C$2,0,IF(C23-1&lt;=$C$2/2,C23,C23-2*(SUMPRODUCT(--($C$8:C23&gt;$C$2/2))-1))/((INT($C$2/2))*(INT($C$2/2)+1)+ROUNDUP($C$2/2,0))),0)</f>
        <v>3.4013605442176874E-2</v>
      </c>
      <c r="O23" s="542"/>
      <c r="P23" s="542">
        <f t="shared" si="2"/>
        <v>0</v>
      </c>
      <c r="Q23" s="542">
        <f>IF($C23=general!$C$28,Q$4,IFERROR(($C23&lt;general!$C$23)*((1-Q$4)*Q$5)/(general!$C$23-1),0)+IFERROR(($C23&gt;=general!$C$23)*($C23&lt;=general!$C$27)*((1-Q$4)*Q$6)/(general!$C$27-general!$C$23+1),0))+IF(AND(general!$C$23&lt;=1,$C23&lt;=1),'draws%'!Q$5*(1-Q$4))</f>
        <v>1.4705882352941176E-2</v>
      </c>
      <c r="R23" s="542">
        <f>IF($C23=general!$C$27,R$4,IFERROR(($C23&lt;general!$C$23)*((1-R$4)*R$5)/(general!$C$23-1),0)+IFERROR(($C23&gt;=general!$C$23)*($C23&lt;general!$C$27)*((1-R$4)*R$6)/(general!$C$27-general!$C$23),0))+IF(AND(general!$C$23&lt;=1,$C23&lt;=1),'draws%'!R$5*(1-R$4))</f>
        <v>2.0588235294117647E-2</v>
      </c>
      <c r="S23" s="542">
        <f>IF(OR(C23=general!$C$27,C23=general!$C$27-1),50%,0)</f>
        <v>0</v>
      </c>
      <c r="T23" s="542">
        <f>(C23&gt;=general!$C$26-6)*(C23&lt;general!$C$26)*1/6*0.5+(C23=3)*0.25+(C23=9)*0.25</f>
        <v>0</v>
      </c>
      <c r="U23" s="542">
        <f>IF(C23='Development Cash Flow'!$C$6,$U$5,0)+IF(C23=general!$C$27,$U$6,0)</f>
        <v>0</v>
      </c>
      <c r="V23" s="542">
        <f>IF(C23=general!$C$28,1,0)</f>
        <v>0</v>
      </c>
      <c r="W23" s="542">
        <f t="shared" si="10"/>
        <v>0</v>
      </c>
      <c r="X23" s="542">
        <f>IF(C23=general!$C$23,1,0)</f>
        <v>0</v>
      </c>
      <c r="Y23" s="542">
        <f>IFERROR((C23&lt;general!$C$23)*Y$5/(general!$C$23),0)+IFERROR((C23&gt;=general!$C$23)*(C23&lt;=general!$C$27)*Y$6/(general!$C$27-general!$C$23+1),0)</f>
        <v>5.5555555555555552E-2</v>
      </c>
      <c r="Z23" s="542">
        <f>IFERROR(($C23&lt;general!$C$23)*Z$5/(general!$C$23),0)+IFERROR(($C23&gt;=general!$C$23)*($C23&lt;=general!$C$27)*Z$6/(general!$C$27-general!$C$23+1),0)*(1-$Z$4)+$Z$4*AF23</f>
        <v>0</v>
      </c>
      <c r="AA23" s="542">
        <f>MAX((IFERROR(($C23&lt;general!$C$23)*AA$5/(general!$C$23),0)+IFERROR(($C23&gt;=general!$C$23)*($C23&lt;=general!$C$27)*AA$6/(general!$C$27-general!$C$23+1),0)),0)</f>
        <v>3.3333333333333333E-2</v>
      </c>
      <c r="AB23" s="542">
        <f>MAX((IFERROR(($C23&lt;general!$C$23)*AB$5/(general!$C$23),0)+IFERROR(($C23&gt;=general!$C$23)*($C23&lt;=general!$C$27)*AB$6/(general!$C$27-general!$C$23+1),0)),0)</f>
        <v>2.7777777777777776E-2</v>
      </c>
      <c r="AC23" s="542">
        <f>MAX((IFERROR(($C23&lt;general!$C$23)*AC$5/(general!$C$23),0)+IFERROR(($C23&gt;=general!$C$23)*($C23&lt;=general!$C$27)*AC$6/(general!$C$27-general!$C$23+1),0)),0)</f>
        <v>2.2222222222222223E-2</v>
      </c>
      <c r="AD23" s="542">
        <f>MAX((IFERROR(($C23&lt;general!$C$23)*AD$5/(general!$C$23),0)+IFERROR(($C23&gt;=general!$C$23)*($C23&lt;=general!$C$27)*AD$6/(general!$C$27-general!$C$23+1),0)),0)</f>
        <v>2.2222222222222223E-2</v>
      </c>
      <c r="AE23" s="542">
        <f t="shared" si="7"/>
        <v>0.2857142857142857</v>
      </c>
      <c r="AF23" s="542">
        <f>+SUMPRODUCT(--($C23=sales!$C$50:$C$54),sales!$D$50:$D$54)</f>
        <v>0</v>
      </c>
      <c r="AG23" s="542">
        <f>IF($C23=general!$C$28,AG$4,IFERROR(($C23&lt;general!$C$23)*((1-AG$4)*AG$5)/(general!$C$23-1),0)+IFERROR(($C23&gt;=general!$C$23)*($C23&lt;=general!$C$27)*((1-AG$4)*AG$6)/(general!$C$27-general!$C$23+1),0))+IF(AND(general!$C$23&lt;=1,$C23&lt;=1),'draws%'!AG$5*(1-AG$4))</f>
        <v>8.8235294117647058E-3</v>
      </c>
      <c r="AH23" s="542">
        <f>+IF($C23=general!$C$21,1,0)</f>
        <v>0</v>
      </c>
      <c r="AK23" s="524">
        <f>IF(A23&lt;=general!$D$27,IF(MONTH(A23)=11,1,IF(C23=general!$C$27,1,0)),)</f>
        <v>1</v>
      </c>
      <c r="AL23" s="524">
        <f>IF(AK23=1,COUNTIFS($C$8:$C$128,"&lt;="&amp;general!$C$27&amp;"",'draws%'!$AM$8:$AM$128,"="&amp;AM23&amp;""),0)</f>
        <v>12</v>
      </c>
      <c r="AM23" s="524">
        <f t="shared" si="4"/>
        <v>2027</v>
      </c>
      <c r="AN23" s="524"/>
    </row>
    <row r="24" spans="1:40" ht="14">
      <c r="A24" s="903">
        <f t="shared" si="8"/>
        <v>46752</v>
      </c>
      <c r="C24" s="897">
        <f t="shared" si="9"/>
        <v>16</v>
      </c>
      <c r="D24" s="542"/>
      <c r="E24" s="542">
        <f>IF($C24=$C$2,0,IF(OR($C24=0,$C24&lt;general!$C$23,$C24&gt;$C$2),0,E$2/$C$3+NORMDIST($C24-general!$C$23+1,$C$3/2,E$1,1)-NORMDIST($C23-general!$C$23+1,$C$3/2,E$1,1)))+IF($C24=$C$2,1-SUM(E$8:E23),0)</f>
        <v>0</v>
      </c>
      <c r="F24" s="542">
        <f>IF($C24=$C$2,0,IF(OR($C24=0,$C24&lt;general!$C$23,$C24&gt;$C$2),0,F$2/$C$3+NORMDIST($C24-general!$C$23+1,$C$3/2,F$1,1)-NORMDIST($C23-general!$C$23+1,$C$3/2,F$1,1)))+IF($C24=$C$2,1-SUM(F$8:F23),0)</f>
        <v>0</v>
      </c>
      <c r="G24" s="542">
        <f>IF($C24=$C$2,0,IF(OR($C24=0,$C24&lt;general!$C$23,$C24&gt;$C$2),0,G$2/$C$3+NORMDIST($C24-general!$C$23+1,$C$3/2,G$1,1)-NORMDIST($C23-general!$C$23+1,$C$3/2,G$1,1)))+IF($C24=$C$2,1-SUM(G$8:G23),0)</f>
        <v>0</v>
      </c>
      <c r="H24" s="542">
        <f>IF(C24=$C$2,0,IF(OR(C24=0,C24&lt;1,C24&gt;$C$2),0,$H$2/$C$2+NORMDIST(C24,$C$2/2,$H$1,1)-NORMDIST(C23,$C$2/2,$H$1,1)))+IF(C24=$C$2,1-SUM($H$9:H23),0)</f>
        <v>3.0554864359804756E-2</v>
      </c>
      <c r="I24" s="542">
        <f>IF(C24=$C$2,0,IF(OR(C24=0,C24&lt;1,C24&gt;$C$2),0,$I$2/$C$2+NORMDIST(C24,$C$2/2,$I$1,1)-NORMDIST(C23,$C$2/2,$I$1,1)))+IF(C24=$C$2,1-SUM($I$9:I23),0)</f>
        <v>2.6627802263970879E-2</v>
      </c>
      <c r="J24" s="542">
        <f>IF(C24=$C$2,0,IF(OR(C24=0,C24&lt;1,C24&gt;$C$2),0,$J$2/$C$2+NORMDIST(C24,$C$2/2,$J$1,1)-NORMDIST(C23,$C$2/2,$J$1,1)))+IF(C24=$C$2,1-SUM($J$9:J23),0)</f>
        <v>2.5407501821929523E-2</v>
      </c>
      <c r="K24" s="542">
        <f t="shared" si="5"/>
        <v>1.2195121951219513E-2</v>
      </c>
      <c r="L24" s="542">
        <f t="shared" si="1"/>
        <v>2.3809523809523808E-2</v>
      </c>
      <c r="M24" s="542">
        <f>IF($C24&gt;$C$2,IF($C24=sales!$F$36,M$4,0),(1-M$4)/$C$2)</f>
        <v>2.0731707317073172E-2</v>
      </c>
      <c r="N24" s="542">
        <f>IF(ISEVEN($C$2),IF(C24&gt;$C$2,0,IF(C24&lt;=$C$2/2,C24,C24-1-2*(SUMPRODUCT(--($C$8:C24&gt;$C$2/2))-1))/(($C$2/2)*($C$2/2+1))),0)+IF(ISODD($C$2),IF(C24&gt;$C$2,0,IF(C24-1&lt;=$C$2/2,C24,C24-2*(SUMPRODUCT(--($C$8:C24&gt;$C$2/2))-1))/((INT($C$2/2))*(INT($C$2/2)+1)+ROUNDUP($C$2/2,0))),0)</f>
        <v>3.6281179138321996E-2</v>
      </c>
      <c r="O24" s="542"/>
      <c r="P24" s="542">
        <f t="shared" si="2"/>
        <v>0</v>
      </c>
      <c r="Q24" s="542">
        <f>IF($C24=general!$C$28,Q$4,IFERROR(($C24&lt;general!$C$23)*((1-Q$4)*Q$5)/(general!$C$23-1),0)+IFERROR(($C24&gt;=general!$C$23)*($C24&lt;=general!$C$27)*((1-Q$4)*Q$6)/(general!$C$27-general!$C$23+1),0))+IF(AND(general!$C$23&lt;=1,$C24&lt;=1),'draws%'!Q$5*(1-Q$4))</f>
        <v>1.4705882352941176E-2</v>
      </c>
      <c r="R24" s="542">
        <f>IF($C24=general!$C$27,R$4,IFERROR(($C24&lt;general!$C$23)*((1-R$4)*R$5)/(general!$C$23-1),0)+IFERROR(($C24&gt;=general!$C$23)*($C24&lt;general!$C$27)*((1-R$4)*R$6)/(general!$C$27-general!$C$23),0))+IF(AND(general!$C$23&lt;=1,$C24&lt;=1),'draws%'!R$5*(1-R$4))</f>
        <v>2.0588235294117647E-2</v>
      </c>
      <c r="S24" s="542">
        <f>IF(OR(C24=general!$C$27,C24=general!$C$27-1),50%,0)</f>
        <v>0</v>
      </c>
      <c r="T24" s="542">
        <f>(C24&gt;=general!$C$26-6)*(C24&lt;general!$C$26)*1/6*0.5+(C24=3)*0.25+(C24=9)*0.25</f>
        <v>8.3333333333333329E-2</v>
      </c>
      <c r="U24" s="542">
        <f>IF(C24='Development Cash Flow'!$C$6,$U$5,0)+IF(C24=general!$C$27,$U$6,0)</f>
        <v>0</v>
      </c>
      <c r="V24" s="542">
        <f>IF(C24=general!$C$28,1,0)</f>
        <v>0</v>
      </c>
      <c r="W24" s="542">
        <f t="shared" si="10"/>
        <v>0</v>
      </c>
      <c r="X24" s="542">
        <f>IF(C24=general!$C$23,1,0)</f>
        <v>0</v>
      </c>
      <c r="Y24" s="542">
        <f>IFERROR((C24&lt;general!$C$23)*Y$5/(general!$C$23),0)+IFERROR((C24&gt;=general!$C$23)*(C24&lt;=general!$C$27)*Y$6/(general!$C$27-general!$C$23+1),0)</f>
        <v>5.5555555555555552E-2</v>
      </c>
      <c r="Z24" s="542">
        <f>IFERROR(($C24&lt;general!$C$23)*Z$5/(general!$C$23),0)+IFERROR(($C24&gt;=general!$C$23)*($C24&lt;=general!$C$27)*Z$6/(general!$C$27-general!$C$23+1),0)*(1-$Z$4)+$Z$4*AF24</f>
        <v>0</v>
      </c>
      <c r="AA24" s="542">
        <f>MAX((IFERROR(($C24&lt;general!$C$23)*AA$5/(general!$C$23),0)+IFERROR(($C24&gt;=general!$C$23)*($C24&lt;=general!$C$27)*AA$6/(general!$C$27-general!$C$23+1),0)),0)</f>
        <v>3.3333333333333333E-2</v>
      </c>
      <c r="AB24" s="542">
        <f>MAX((IFERROR(($C24&lt;general!$C$23)*AB$5/(general!$C$23),0)+IFERROR(($C24&gt;=general!$C$23)*($C24&lt;=general!$C$27)*AB$6/(general!$C$27-general!$C$23+1),0)),0)</f>
        <v>2.7777777777777776E-2</v>
      </c>
      <c r="AC24" s="542">
        <f>MAX((IFERROR(($C24&lt;general!$C$23)*AC$5/(general!$C$23),0)+IFERROR(($C24&gt;=general!$C$23)*($C24&lt;=general!$C$27)*AC$6/(general!$C$27-general!$C$23+1),0)),0)</f>
        <v>2.2222222222222223E-2</v>
      </c>
      <c r="AD24" s="542">
        <f>MAX((IFERROR(($C24&lt;general!$C$23)*AD$5/(general!$C$23),0)+IFERROR(($C24&gt;=general!$C$23)*($C24&lt;=general!$C$27)*AD$6/(general!$C$27-general!$C$23+1),0)),0)</f>
        <v>2.2222222222222223E-2</v>
      </c>
      <c r="AE24" s="542">
        <f t="shared" si="7"/>
        <v>0</v>
      </c>
      <c r="AF24" s="542">
        <f>+SUMPRODUCT(--($C24=sales!$C$50:$C$54),sales!$D$50:$D$54)</f>
        <v>0</v>
      </c>
      <c r="AG24" s="542">
        <f>IF($C24=general!$C$28,AG$4,IFERROR(($C24&lt;general!$C$23)*((1-AG$4)*AG$5)/(general!$C$23-1),0)+IFERROR(($C24&gt;=general!$C$23)*($C24&lt;=general!$C$27)*((1-AG$4)*AG$6)/(general!$C$27-general!$C$23+1),0))+IF(AND(general!$C$23&lt;=1,$C24&lt;=1),'draws%'!AG$5*(1-AG$4))</f>
        <v>8.8235294117647058E-3</v>
      </c>
      <c r="AH24" s="542">
        <f>+IF($C24=general!$C$21,1,0)</f>
        <v>0</v>
      </c>
      <c r="AK24" s="524">
        <f>IF(A24&lt;=general!$D$27,IF(MONTH(A24)=11,1,IF(C24=general!$C$27,1,0)),)</f>
        <v>0</v>
      </c>
      <c r="AL24" s="524">
        <f>IF(AK24=1,COUNTIFS($C$8:$C$128,"&lt;="&amp;general!$C$27&amp;"",'draws%'!$AM$8:$AM$128,"="&amp;AM24&amp;""),0)</f>
        <v>0</v>
      </c>
      <c r="AM24" s="524">
        <f t="shared" si="4"/>
        <v>2027</v>
      </c>
      <c r="AN24" s="524"/>
    </row>
    <row r="25" spans="1:40" ht="14">
      <c r="A25" s="903">
        <f t="shared" si="8"/>
        <v>46783</v>
      </c>
      <c r="C25" s="897">
        <f t="shared" si="9"/>
        <v>17</v>
      </c>
      <c r="D25" s="542"/>
      <c r="E25" s="542">
        <f>IF($C25=$C$2,0,IF(OR($C25=0,$C25&lt;general!$C$23,$C25&gt;$C$2),0,E$2/$C$3+NORMDIST($C25-general!$C$23+1,$C$3/2,E$1,1)-NORMDIST($C24-general!$C$23+1,$C$3/2,E$1,1)))+IF($C25=$C$2,1-SUM(E$8:E24),0)</f>
        <v>0</v>
      </c>
      <c r="F25" s="542">
        <f>IF($C25=$C$2,0,IF(OR($C25=0,$C25&lt;general!$C$23,$C25&gt;$C$2),0,F$2/$C$3+NORMDIST($C25-general!$C$23+1,$C$3/2,F$1,1)-NORMDIST($C24-general!$C$23+1,$C$3/2,F$1,1)))+IF($C25=$C$2,1-SUM(F$8:F24),0)</f>
        <v>0</v>
      </c>
      <c r="G25" s="542">
        <f>IF($C25=$C$2,0,IF(OR($C25=0,$C25&lt;general!$C$23,$C25&gt;$C$2),0,G$2/$C$3+NORMDIST($C25-general!$C$23+1,$C$3/2,G$1,1)-NORMDIST($C24-general!$C$23+1,$C$3/2,G$1,1)))+IF($C25=$C$2,1-SUM(G$8:G24),0)</f>
        <v>0</v>
      </c>
      <c r="H25" s="542">
        <f>IF(C25=$C$2,0,IF(OR(C25=0,C25&lt;1,C25&gt;$C$2),0,$H$2/$C$2+NORMDIST(C25,$C$2/2,$H$1,1)-NORMDIST(C24,$C$2/2,$H$1,1)))+IF(C25=$C$2,1-SUM($H$9:H24),0)</f>
        <v>3.122018656529707E-2</v>
      </c>
      <c r="I25" s="542">
        <f>IF(C25=$C$2,0,IF(OR(C25=0,C25&lt;1,C25&gt;$C$2),0,$I$2/$C$2+NORMDIST(C25,$C$2/2,$I$1,1)-NORMDIST(C24,$C$2/2,$I$1,1)))+IF(C25=$C$2,1-SUM($I$9:I24),0)</f>
        <v>2.6831105103805653E-2</v>
      </c>
      <c r="J25" s="542">
        <f>IF(C25=$C$2,0,IF(OR(C25=0,C25&lt;1,C25&gt;$C$2),0,$J$2/$C$2+NORMDIST(C25,$C$2/2,$J$1,1)-NORMDIST(C24,$C$2/2,$J$1,1)))+IF(C25=$C$2,1-SUM($J$9:J24),0)</f>
        <v>2.5494201031247332E-2</v>
      </c>
      <c r="K25" s="542">
        <f t="shared" si="5"/>
        <v>1.2195121951219513E-2</v>
      </c>
      <c r="L25" s="542">
        <f t="shared" si="1"/>
        <v>2.3809523809523808E-2</v>
      </c>
      <c r="M25" s="542">
        <f>IF($C25&gt;$C$2,IF($C25=sales!$F$36,M$4,0),(1-M$4)/$C$2)</f>
        <v>2.0731707317073172E-2</v>
      </c>
      <c r="N25" s="542">
        <f>IF(ISEVEN($C$2),IF(C25&gt;$C$2,0,IF(C25&lt;=$C$2/2,C25,C25-1-2*(SUMPRODUCT(--($C$8:C25&gt;$C$2/2))-1))/(($C$2/2)*($C$2/2+1))),0)+IF(ISODD($C$2),IF(C25&gt;$C$2,0,IF(C25-1&lt;=$C$2/2,C25,C25-2*(SUMPRODUCT(--($C$8:C25&gt;$C$2/2))-1))/((INT($C$2/2))*(INT($C$2/2)+1)+ROUNDUP($C$2/2,0))),0)</f>
        <v>3.8548752834467119E-2</v>
      </c>
      <c r="O25" s="542"/>
      <c r="P25" s="542">
        <f t="shared" si="2"/>
        <v>0</v>
      </c>
      <c r="Q25" s="542">
        <f>IF($C25=general!$C$28,Q$4,IFERROR(($C25&lt;general!$C$23)*((1-Q$4)*Q$5)/(general!$C$23-1),0)+IFERROR(($C25&gt;=general!$C$23)*($C25&lt;=general!$C$27)*((1-Q$4)*Q$6)/(general!$C$27-general!$C$23+1),0))+IF(AND(general!$C$23&lt;=1,$C25&lt;=1),'draws%'!Q$5*(1-Q$4))</f>
        <v>1.4705882352941176E-2</v>
      </c>
      <c r="R25" s="542">
        <f>IF($C25=general!$C$27,R$4,IFERROR(($C25&lt;general!$C$23)*((1-R$4)*R$5)/(general!$C$23-1),0)+IFERROR(($C25&gt;=general!$C$23)*($C25&lt;general!$C$27)*((1-R$4)*R$6)/(general!$C$27-general!$C$23),0))+IF(AND(general!$C$23&lt;=1,$C25&lt;=1),'draws%'!R$5*(1-R$4))</f>
        <v>2.0588235294117647E-2</v>
      </c>
      <c r="S25" s="542">
        <f>IF(OR(C25=general!$C$27,C25=general!$C$27-1),50%,0)</f>
        <v>0</v>
      </c>
      <c r="T25" s="542">
        <f>(C25&gt;=general!$C$26-6)*(C25&lt;general!$C$26)*1/6*0.5+(C25=3)*0.25+(C25=9)*0.25</f>
        <v>8.3333333333333329E-2</v>
      </c>
      <c r="U25" s="542">
        <f>IF(C25='Development Cash Flow'!$C$6,$U$5,0)+IF(C25=general!$C$27,$U$6,0)</f>
        <v>0</v>
      </c>
      <c r="V25" s="542">
        <f>IF(C25=general!$C$28,1,0)</f>
        <v>0</v>
      </c>
      <c r="W25" s="542">
        <f t="shared" si="10"/>
        <v>0</v>
      </c>
      <c r="X25" s="542">
        <f>IF(C25=general!$C$23,1,0)</f>
        <v>0</v>
      </c>
      <c r="Y25" s="542">
        <f>IFERROR((C25&lt;general!$C$23)*Y$5/(general!$C$23),0)+IFERROR((C25&gt;=general!$C$23)*(C25&lt;=general!$C$27)*Y$6/(general!$C$27-general!$C$23+1),0)</f>
        <v>5.5555555555555552E-2</v>
      </c>
      <c r="Z25" s="542">
        <f>IFERROR(($C25&lt;general!$C$23)*Z$5/(general!$C$23),0)+IFERROR(($C25&gt;=general!$C$23)*($C25&lt;=general!$C$27)*Z$6/(general!$C$27-general!$C$23+1),0)*(1-$Z$4)+$Z$4*AF25</f>
        <v>0</v>
      </c>
      <c r="AA25" s="542">
        <f>MAX((IFERROR(($C25&lt;general!$C$23)*AA$5/(general!$C$23),0)+IFERROR(($C25&gt;=general!$C$23)*($C25&lt;=general!$C$27)*AA$6/(general!$C$27-general!$C$23+1),0)),0)</f>
        <v>3.3333333333333333E-2</v>
      </c>
      <c r="AB25" s="542">
        <f>MAX((IFERROR(($C25&lt;general!$C$23)*AB$5/(general!$C$23),0)+IFERROR(($C25&gt;=general!$C$23)*($C25&lt;=general!$C$27)*AB$6/(general!$C$27-general!$C$23+1),0)),0)</f>
        <v>2.7777777777777776E-2</v>
      </c>
      <c r="AC25" s="542">
        <f>MAX((IFERROR(($C25&lt;general!$C$23)*AC$5/(general!$C$23),0)+IFERROR(($C25&gt;=general!$C$23)*($C25&lt;=general!$C$27)*AC$6/(general!$C$27-general!$C$23+1),0)),0)</f>
        <v>2.2222222222222223E-2</v>
      </c>
      <c r="AD25" s="542">
        <f>MAX((IFERROR(($C25&lt;general!$C$23)*AD$5/(general!$C$23),0)+IFERROR(($C25&gt;=general!$C$23)*($C25&lt;=general!$C$27)*AD$6/(general!$C$27-general!$C$23+1),0)),0)</f>
        <v>2.2222222222222223E-2</v>
      </c>
      <c r="AE25" s="542">
        <f t="shared" si="7"/>
        <v>0</v>
      </c>
      <c r="AF25" s="542">
        <f>+SUMPRODUCT(--($C25=sales!$C$50:$C$54),sales!$D$50:$D$54)</f>
        <v>0</v>
      </c>
      <c r="AG25" s="542">
        <f>IF($C25=general!$C$28,AG$4,IFERROR(($C25&lt;general!$C$23)*((1-AG$4)*AG$5)/(general!$C$23-1),0)+IFERROR(($C25&gt;=general!$C$23)*($C25&lt;=general!$C$27)*((1-AG$4)*AG$6)/(general!$C$27-general!$C$23+1),0))+IF(AND(general!$C$23&lt;=1,$C25&lt;=1),'draws%'!AG$5*(1-AG$4))</f>
        <v>8.8235294117647058E-3</v>
      </c>
      <c r="AH25" s="542">
        <f>+IF($C25=general!$C$21,1,0)</f>
        <v>0</v>
      </c>
      <c r="AK25" s="524">
        <f>IF(A25&lt;=general!$D$27,IF(MONTH(A25)=11,1,IF(C25=general!$C$27,1,0)),)</f>
        <v>0</v>
      </c>
      <c r="AL25" s="524">
        <f>IF(AK25=1,COUNTIFS($C$8:$C$128,"&lt;="&amp;general!$C$27&amp;"",'draws%'!$AM$8:$AM$128,"="&amp;AM25&amp;""),0)</f>
        <v>0</v>
      </c>
      <c r="AM25" s="524">
        <f t="shared" si="4"/>
        <v>2028</v>
      </c>
      <c r="AN25" s="524"/>
    </row>
    <row r="26" spans="1:40" ht="14">
      <c r="A26" s="903">
        <f t="shared" si="8"/>
        <v>46812</v>
      </c>
      <c r="C26" s="897">
        <f t="shared" si="9"/>
        <v>18</v>
      </c>
      <c r="D26" s="542"/>
      <c r="E26" s="542">
        <f>IF($C26=$C$2,0,IF(OR($C26=0,$C26&lt;general!$C$23,$C26&gt;$C$2),0,E$2/$C$3+NORMDIST($C26-general!$C$23+1,$C$3/2,E$1,1)-NORMDIST($C25-general!$C$23+1,$C$3/2,E$1,1)))+IF($C26=$C$2,1-SUM(E$8:E25),0)</f>
        <v>2.3325787854882471E-2</v>
      </c>
      <c r="F26" s="542">
        <f>IF($C26=$C$2,0,IF(OR($C26=0,$C26&lt;general!$C$23,$C26&gt;$C$2),0,F$2/$C$3+NORMDIST($C26-general!$C$23+1,$C$3/2,F$1,1)-NORMDIST($C25-general!$C$23+1,$C$3/2,F$1,1)))+IF($C26=$C$2,1-SUM(F$8:F25),0)</f>
        <v>3.4224686394283166E-2</v>
      </c>
      <c r="G26" s="542">
        <f>IF($C26=$C$2,0,IF(OR($C26=0,$C26&lt;general!$C$23,$C26&gt;$C$2),0,G$2/$C$3+NORMDIST($C26-general!$C$23+1,$C$3/2,G$1,1)-NORMDIST($C25-general!$C$23+1,$C$3/2,G$1,1)))+IF($C26=$C$2,1-SUM(G$8:G25),0)</f>
        <v>3.8142110701465559E-2</v>
      </c>
      <c r="H26" s="542">
        <f>IF(C26=$C$2,0,IF(OR(C26=0,C26&lt;1,C26&gt;$C$2),0,$H$2/$C$2+NORMDIST(C26,$C$2/2,$H$1,1)-NORMDIST(C25,$C$2/2,$H$1,1)))+IF(C26=$C$2,1-SUM($H$9:H25),0)</f>
        <v>3.1748850918384031E-2</v>
      </c>
      <c r="I26" s="542">
        <f>IF(C26=$C$2,0,IF(OR(C26=0,C26&lt;1,C26&gt;$C$2),0,$I$2/$C$2+NORMDIST(C26,$C$2/2,$I$1,1)-NORMDIST(C25,$C$2/2,$I$1,1)))+IF(C26=$C$2,1-SUM($I$9:I25),0)</f>
        <v>2.6990741168837873E-2</v>
      </c>
      <c r="J26" s="542">
        <f>IF(C26=$C$2,0,IF(OR(C26=0,C26&lt;1,C26&gt;$C$2),0,$J$2/$C$2+NORMDIST(C26,$C$2/2,$J$1,1)-NORMDIST(C25,$C$2/2,$J$1,1)))+IF(C26=$C$2,1-SUM($J$9:J25),0)</f>
        <v>2.5561995668649917E-2</v>
      </c>
      <c r="K26" s="542">
        <f t="shared" si="5"/>
        <v>1.2195121951219513E-2</v>
      </c>
      <c r="L26" s="542">
        <f t="shared" si="1"/>
        <v>2.3809523809523808E-2</v>
      </c>
      <c r="M26" s="542">
        <f>IF($C26&gt;$C$2,IF($C26=sales!$F$36,M$4,0),(1-M$4)/$C$2)</f>
        <v>2.0731707317073172E-2</v>
      </c>
      <c r="N26" s="542">
        <f>IF(ISEVEN($C$2),IF(C26&gt;$C$2,0,IF(C26&lt;=$C$2/2,C26,C26-1-2*(SUMPRODUCT(--($C$8:C26&gt;$C$2/2))-1))/(($C$2/2)*($C$2/2+1))),0)+IF(ISODD($C$2),IF(C26&gt;$C$2,0,IF(C26-1&lt;=$C$2/2,C26,C26-2*(SUMPRODUCT(--($C$8:C26&gt;$C$2/2))-1))/((INT($C$2/2))*(INT($C$2/2)+1)+ROUNDUP($C$2/2,0))),0)</f>
        <v>4.0816326530612242E-2</v>
      </c>
      <c r="O26" s="542"/>
      <c r="P26" s="542">
        <f t="shared" si="2"/>
        <v>0</v>
      </c>
      <c r="Q26" s="542">
        <f>IF($C26=general!$C$28,Q$4,IFERROR(($C26&lt;general!$C$23)*((1-Q$4)*Q$5)/(general!$C$23-1),0)+IFERROR(($C26&gt;=general!$C$23)*($C26&lt;=general!$C$27)*((1-Q$4)*Q$6)/(general!$C$27-general!$C$23+1),0))+IF(AND(general!$C$23&lt;=1,$C26&lt;=1),'draws%'!Q$5*(1-Q$4))</f>
        <v>3.125E-2</v>
      </c>
      <c r="R26" s="542">
        <f>IF($C26=general!$C$27,R$4,IFERROR(($C26&lt;general!$C$23)*((1-R$4)*R$5)/(general!$C$23-1),0)+IFERROR(($C26&gt;=general!$C$23)*($C26&lt;general!$C$27)*((1-R$4)*R$6)/(general!$C$27-general!$C$23),0))+IF(AND(general!$C$23&lt;=1,$C26&lt;=1),'draws%'!R$5*(1-R$4))</f>
        <v>2.8260869565217391E-2</v>
      </c>
      <c r="S26" s="542">
        <f>IF(OR(C26=general!$C$27,C26=general!$C$27-1),50%,0)</f>
        <v>0</v>
      </c>
      <c r="T26" s="542">
        <f>(C26&gt;=general!$C$26-6)*(C26&lt;general!$C$26)*1/6*0.5+(C26=3)*0.25+(C26=9)*0.25</f>
        <v>8.3333333333333329E-2</v>
      </c>
      <c r="U26" s="542">
        <f>IF(C26='Development Cash Flow'!$C$6,$U$5,0)+IF(C26=general!$C$27,$U$6,0)</f>
        <v>0</v>
      </c>
      <c r="V26" s="542">
        <f>IF(C26=general!$C$28,1,0)</f>
        <v>0</v>
      </c>
      <c r="W26" s="542">
        <f t="shared" si="10"/>
        <v>0</v>
      </c>
      <c r="X26" s="542">
        <f>IF(C26=general!$C$23,1,0)</f>
        <v>1</v>
      </c>
      <c r="Y26" s="542">
        <f>IFERROR((C26&lt;general!$C$23)*Y$5/(general!$C$23),0)+IFERROR((C26&gt;=general!$C$23)*(C26&lt;=general!$C$27)*Y$6/(general!$C$27-general!$C$23+1),0)</f>
        <v>0</v>
      </c>
      <c r="Z26" s="542">
        <f>IFERROR(($C26&lt;general!$C$23)*Z$5/(general!$C$23),0)+IFERROR(($C26&gt;=general!$C$23)*($C26&lt;=general!$C$27)*Z$6/(general!$C$27-general!$C$23+1),0)*(1-$Z$4)+$Z$4*AF26</f>
        <v>4.1666666666666664E-2</v>
      </c>
      <c r="AA26" s="542">
        <f>MAX((IFERROR(($C26&lt;general!$C$23)*AA$5/(general!$C$23),0)+IFERROR(($C26&gt;=general!$C$23)*($C26&lt;=general!$C$27)*AA$6/(general!$C$27-general!$C$23+1),0)),0)</f>
        <v>1.6666666666666666E-2</v>
      </c>
      <c r="AB26" s="542">
        <f>MAX((IFERROR(($C26&lt;general!$C$23)*AB$5/(general!$C$23),0)+IFERROR(($C26&gt;=general!$C$23)*($C26&lt;=general!$C$27)*AB$6/(general!$C$27-general!$C$23+1),0)),0)</f>
        <v>2.0833333333333332E-2</v>
      </c>
      <c r="AC26" s="542">
        <f>MAX((IFERROR(($C26&lt;general!$C$23)*AC$5/(general!$C$23),0)+IFERROR(($C26&gt;=general!$C$23)*($C26&lt;=general!$C$27)*AC$6/(general!$C$27-general!$C$23+1),0)),0)</f>
        <v>2.4999999999999998E-2</v>
      </c>
      <c r="AD26" s="542">
        <f>MAX((IFERROR(($C26&lt;general!$C$23)*AD$5/(general!$C$23),0)+IFERROR(($C26&gt;=general!$C$23)*($C26&lt;=general!$C$27)*AD$6/(general!$C$27-general!$C$23+1),0)),0)</f>
        <v>2.4999999999999998E-2</v>
      </c>
      <c r="AE26" s="542">
        <f t="shared" si="7"/>
        <v>0</v>
      </c>
      <c r="AF26" s="542">
        <f>+SUMPRODUCT(--($C26=sales!$C$50:$C$54),sales!$D$50:$D$54)</f>
        <v>0</v>
      </c>
      <c r="AG26" s="542">
        <f>IF($C26=general!$C$28,AG$4,IFERROR(($C26&lt;general!$C$23)*((1-AG$4)*AG$5)/(general!$C$23-1),0)+IFERROR(($C26&gt;=general!$C$23)*($C26&lt;=general!$C$27)*((1-AG$4)*AG$6)/(general!$C$27-general!$C$23+1),0))+IF(AND(general!$C$23&lt;=1,$C26&lt;=1),'draws%'!AG$5*(1-AG$4))</f>
        <v>3.5416666666666666E-2</v>
      </c>
      <c r="AH26" s="542">
        <f>+IF($C26=general!$C$21,1,0)</f>
        <v>0</v>
      </c>
      <c r="AK26" s="524">
        <f>IF(A26&lt;=general!$D$27,IF(MONTH(A26)=11,1,IF(C26=general!$C$27,1,0)),)</f>
        <v>0</v>
      </c>
      <c r="AL26" s="524">
        <f>IF(AK26=1,COUNTIFS($C$8:$C$128,"&lt;="&amp;general!$C$27&amp;"",'draws%'!$AM$8:$AM$128,"="&amp;AM26&amp;""),0)</f>
        <v>0</v>
      </c>
      <c r="AM26" s="524">
        <f t="shared" si="4"/>
        <v>2028</v>
      </c>
      <c r="AN26" s="524"/>
    </row>
    <row r="27" spans="1:40" ht="14">
      <c r="A27" s="903">
        <f t="shared" si="8"/>
        <v>46843</v>
      </c>
      <c r="C27" s="897">
        <f t="shared" si="9"/>
        <v>19</v>
      </c>
      <c r="D27" s="542"/>
      <c r="E27" s="542">
        <f>IF($C27=$C$2,0,IF(OR($C27=0,$C27&lt;general!$C$23,$C27&gt;$C$2),0,E$2/$C$3+NORMDIST($C27-general!$C$23+1,$C$3/2,E$1,1)-NORMDIST($C26-general!$C$23+1,$C$3/2,E$1,1)))+IF($C27=$C$2,1-SUM(E$8:E26),0)</f>
        <v>2.6651318087924397E-2</v>
      </c>
      <c r="F27" s="542">
        <f>IF($C27=$C$2,0,IF(OR($C27=0,$C27&lt;general!$C$23,$C27&gt;$C$2),0,F$2/$C$3+NORMDIST($C27-general!$C$23+1,$C$3/2,F$1,1)-NORMDIST($C26-general!$C$23+1,$C$3/2,F$1,1)))+IF($C27=$C$2,1-SUM(F$8:F26),0)</f>
        <v>3.5890982959812384E-2</v>
      </c>
      <c r="G27" s="542">
        <f>IF($C27=$C$2,0,IF(OR($C27=0,$C27&lt;general!$C$23,$C27&gt;$C$2),0,G$2/$C$3+NORMDIST($C27-general!$C$23+1,$C$3/2,G$1,1)-NORMDIST($C26-general!$C$23+1,$C$3/2,G$1,1)))+IF($C27=$C$2,1-SUM(G$8:G26),0)</f>
        <v>3.8987291366511467E-2</v>
      </c>
      <c r="H27" s="542">
        <f>IF(C27=$C$2,0,IF(OR(C27=0,C27&lt;1,C27&gt;$C$2),0,$H$2/$C$2+NORMDIST(C27,$C$2/2,$H$1,1)-NORMDIST(C26,$C$2/2,$H$1,1)))+IF(C27=$C$2,1-SUM($H$9:H26),0)</f>
        <v>3.2132577028276932E-2</v>
      </c>
      <c r="I27" s="542">
        <f>IF(C27=$C$2,0,IF(OR(C27=0,C27&lt;1,C27&gt;$C$2),0,$I$2/$C$2+NORMDIST(C27,$C$2/2,$I$1,1)-NORMDIST(C26,$C$2/2,$I$1,1)))+IF(C27=$C$2,1-SUM($I$9:I26),0)</f>
        <v>2.7105583502000818E-2</v>
      </c>
      <c r="J27" s="542">
        <f>IF(C27=$C$2,0,IF(OR(C27=0,C27&lt;1,C27&gt;$C$2),0,$J$2/$C$2+NORMDIST(C27,$C$2/2,$J$1,1)-NORMDIST(C26,$C$2/2,$J$1,1)))+IF(C27=$C$2,1-SUM($J$9:J26),0)</f>
        <v>2.5610615204975762E-2</v>
      </c>
      <c r="K27" s="542">
        <f t="shared" si="5"/>
        <v>1.2195121951219513E-2</v>
      </c>
      <c r="L27" s="542">
        <f t="shared" si="1"/>
        <v>2.3809523809523808E-2</v>
      </c>
      <c r="M27" s="542">
        <f>IF($C27&gt;$C$2,IF($C27=sales!$F$36,M$4,0),(1-M$4)/$C$2)</f>
        <v>2.0731707317073172E-2</v>
      </c>
      <c r="N27" s="542">
        <f>IF(ISEVEN($C$2),IF(C27&gt;$C$2,0,IF(C27&lt;=$C$2/2,C27,C27-1-2*(SUMPRODUCT(--($C$8:C27&gt;$C$2/2))-1))/(($C$2/2)*($C$2/2+1))),0)+IF(ISODD($C$2),IF(C27&gt;$C$2,0,IF(C27-1&lt;=$C$2/2,C27,C27-2*(SUMPRODUCT(--($C$8:C27&gt;$C$2/2))-1))/((INT($C$2/2))*(INT($C$2/2)+1)+ROUNDUP($C$2/2,0))),0)</f>
        <v>4.3083900226757371E-2</v>
      </c>
      <c r="O27" s="542"/>
      <c r="P27" s="542">
        <f t="shared" si="2"/>
        <v>0</v>
      </c>
      <c r="Q27" s="542">
        <f>IF($C27=general!$C$28,Q$4,IFERROR(($C27&lt;general!$C$23)*((1-Q$4)*Q$5)/(general!$C$23-1),0)+IFERROR(($C27&gt;=general!$C$23)*($C27&lt;=general!$C$27)*((1-Q$4)*Q$6)/(general!$C$27-general!$C$23+1),0))+IF(AND(general!$C$23&lt;=1,$C27&lt;=1),'draws%'!Q$5*(1-Q$4))</f>
        <v>3.125E-2</v>
      </c>
      <c r="R27" s="542">
        <f>IF($C27=general!$C$27,R$4,IFERROR(($C27&lt;general!$C$23)*((1-R$4)*R$5)/(general!$C$23-1),0)+IFERROR(($C27&gt;=general!$C$23)*($C27&lt;general!$C$27)*((1-R$4)*R$6)/(general!$C$27-general!$C$23),0))+IF(AND(general!$C$23&lt;=1,$C27&lt;=1),'draws%'!R$5*(1-R$4))</f>
        <v>2.8260869565217391E-2</v>
      </c>
      <c r="S27" s="542">
        <f>IF(OR(C27=general!$C$27,C27=general!$C$27-1),50%,0)</f>
        <v>0</v>
      </c>
      <c r="T27" s="542">
        <f>(C27&gt;=general!$C$26-6)*(C27&lt;general!$C$26)*1/6*0.5+(C27=3)*0.25+(C27=9)*0.25</f>
        <v>8.3333333333333329E-2</v>
      </c>
      <c r="U27" s="542">
        <f>IF(C27='Development Cash Flow'!$C$6,$U$5,0)+IF(C27=general!$C$27,$U$6,0)</f>
        <v>0</v>
      </c>
      <c r="V27" s="542">
        <f>IF(C27=general!$C$28,1,0)</f>
        <v>0</v>
      </c>
      <c r="W27" s="542">
        <f t="shared" si="10"/>
        <v>0</v>
      </c>
      <c r="X27" s="542">
        <f>IF(C27=general!$C$23,1,0)</f>
        <v>0</v>
      </c>
      <c r="Y27" s="542">
        <f>IFERROR((C27&lt;general!$C$23)*Y$5/(general!$C$23),0)+IFERROR((C27&gt;=general!$C$23)*(C27&lt;=general!$C$27)*Y$6/(general!$C$27-general!$C$23+1),0)</f>
        <v>0</v>
      </c>
      <c r="Z27" s="542">
        <f>IFERROR(($C27&lt;general!$C$23)*Z$5/(general!$C$23),0)+IFERROR(($C27&gt;=general!$C$23)*($C27&lt;=general!$C$27)*Z$6/(general!$C$27-general!$C$23+1),0)*(1-$Z$4)+$Z$4*AF27</f>
        <v>4.1666666666666664E-2</v>
      </c>
      <c r="AA27" s="542">
        <f>MAX((IFERROR(($C27&lt;general!$C$23)*AA$5/(general!$C$23),0)+IFERROR(($C27&gt;=general!$C$23)*($C27&lt;=general!$C$27)*AA$6/(general!$C$27-general!$C$23+1),0)),0)</f>
        <v>1.6666666666666666E-2</v>
      </c>
      <c r="AB27" s="542">
        <f>MAX((IFERROR(($C27&lt;general!$C$23)*AB$5/(general!$C$23),0)+IFERROR(($C27&gt;=general!$C$23)*($C27&lt;=general!$C$27)*AB$6/(general!$C$27-general!$C$23+1),0)),0)</f>
        <v>2.0833333333333332E-2</v>
      </c>
      <c r="AC27" s="542">
        <f>MAX((IFERROR(($C27&lt;general!$C$23)*AC$5/(general!$C$23),0)+IFERROR(($C27&gt;=general!$C$23)*($C27&lt;=general!$C$27)*AC$6/(general!$C$27-general!$C$23+1),0)),0)</f>
        <v>2.4999999999999998E-2</v>
      </c>
      <c r="AD27" s="542">
        <f>MAX((IFERROR(($C27&lt;general!$C$23)*AD$5/(general!$C$23),0)+IFERROR(($C27&gt;=general!$C$23)*($C27&lt;=general!$C$27)*AD$6/(general!$C$27-general!$C$23+1),0)),0)</f>
        <v>2.4999999999999998E-2</v>
      </c>
      <c r="AE27" s="542">
        <f t="shared" si="7"/>
        <v>0</v>
      </c>
      <c r="AF27" s="542">
        <f>+SUMPRODUCT(--($C27=sales!$C$50:$C$54),sales!$D$50:$D$54)</f>
        <v>0</v>
      </c>
      <c r="AG27" s="542">
        <f>IF($C27=general!$C$28,AG$4,IFERROR(($C27&lt;general!$C$23)*((1-AG$4)*AG$5)/(general!$C$23-1),0)+IFERROR(($C27&gt;=general!$C$23)*($C27&lt;=general!$C$27)*((1-AG$4)*AG$6)/(general!$C$27-general!$C$23+1),0))+IF(AND(general!$C$23&lt;=1,$C27&lt;=1),'draws%'!AG$5*(1-AG$4))</f>
        <v>3.5416666666666666E-2</v>
      </c>
      <c r="AH27" s="542">
        <f>+IF($C27=general!$C$21,1,0)</f>
        <v>0</v>
      </c>
      <c r="AK27" s="524">
        <f>IF(A27&lt;=general!$D$27,IF(MONTH(A27)=11,1,IF(C27=general!$C$27,1,0)),)</f>
        <v>0</v>
      </c>
      <c r="AL27" s="524">
        <f>IF(AK27=1,COUNTIFS($C$8:$C$128,"&lt;="&amp;general!$C$27&amp;"",'draws%'!$AM$8:$AM$128,"="&amp;AM27&amp;""),0)</f>
        <v>0</v>
      </c>
      <c r="AM27" s="524">
        <f t="shared" si="4"/>
        <v>2028</v>
      </c>
      <c r="AN27" s="524"/>
    </row>
    <row r="28" spans="1:40" ht="14">
      <c r="A28" s="903">
        <f t="shared" si="8"/>
        <v>46873</v>
      </c>
      <c r="C28" s="897">
        <f t="shared" si="9"/>
        <v>20</v>
      </c>
      <c r="D28" s="542"/>
      <c r="E28" s="542">
        <f>IF($C28=$C$2,0,IF(OR($C28=0,$C28&lt;general!$C$23,$C28&gt;$C$2),0,E$2/$C$3+NORMDIST($C28-general!$C$23+1,$C$3/2,E$1,1)-NORMDIST($C27-general!$C$23+1,$C$3/2,E$1,1)))+IF($C28=$C$2,1-SUM(E$8:E27),0)</f>
        <v>3.0212010242358409E-2</v>
      </c>
      <c r="F28" s="542">
        <f>IF($C28=$C$2,0,IF(OR($C28=0,$C28&lt;general!$C$23,$C28&gt;$C$2),0,F$2/$C$3+NORMDIST($C28-general!$C$23+1,$C$3/2,F$1,1)-NORMDIST($C27-general!$C$23+1,$C$3/2,F$1,1)))+IF($C28=$C$2,1-SUM(F$8:F27),0)</f>
        <v>3.7520242574179935E-2</v>
      </c>
      <c r="G28" s="542">
        <f>IF($C28=$C$2,0,IF(OR($C28=0,$C28&lt;general!$C$23,$C28&gt;$C$2),0,G$2/$C$3+NORMDIST($C28-general!$C$23+1,$C$3/2,G$1,1)-NORMDIST($C27-general!$C$23+1,$C$3/2,G$1,1)))+IF($C28=$C$2,1-SUM(G$8:G27),0)</f>
        <v>3.9787785465737024E-2</v>
      </c>
      <c r="H28" s="542">
        <f>IF(C28=$C$2,0,IF(OR(C28=0,C28&lt;1,C28&gt;$C$2),0,$H$2/$C$2+NORMDIST(C28,$C$2/2,$H$1,1)-NORMDIST(C27,$C$2/2,$H$1,1)))+IF(C28=$C$2,1-SUM($H$9:H27),0)</f>
        <v>3.2365289061465463E-2</v>
      </c>
      <c r="I28" s="542">
        <f>IF(C28=$C$2,0,IF(OR(C28=0,C28&lt;1,C28&gt;$C$2),0,$I$2/$C$2+NORMDIST(C28,$C$2/2,$I$1,1)-NORMDIST(C27,$C$2/2,$I$1,1)))+IF(C28=$C$2,1-SUM($I$9:I27),0)</f>
        <v>2.7174817478560875E-2</v>
      </c>
      <c r="J28" s="542">
        <f>IF(C28=$C$2,0,IF(OR(C28=0,C28&lt;1,C28&gt;$C$2),0,$J$2/$C$2+NORMDIST(C28,$C$2/2,$J$1,1)-NORMDIST(C27,$C$2/2,$J$1,1)))+IF(C28=$C$2,1-SUM($J$9:J27),0)</f>
        <v>2.563986510598143E-2</v>
      </c>
      <c r="K28" s="542">
        <f t="shared" si="5"/>
        <v>1.2195121951219513E-2</v>
      </c>
      <c r="L28" s="542">
        <f t="shared" si="1"/>
        <v>2.3809523809523808E-2</v>
      </c>
      <c r="M28" s="542">
        <f>IF($C28&gt;$C$2,IF($C28=sales!$F$36,M$4,0),(1-M$4)/$C$2)</f>
        <v>2.0731707317073172E-2</v>
      </c>
      <c r="N28" s="542">
        <f>IF(ISEVEN($C$2),IF(C28&gt;$C$2,0,IF(C28&lt;=$C$2/2,C28,C28-1-2*(SUMPRODUCT(--($C$8:C28&gt;$C$2/2))-1))/(($C$2/2)*($C$2/2+1))),0)+IF(ISODD($C$2),IF(C28&gt;$C$2,0,IF(C28-1&lt;=$C$2/2,C28,C28-2*(SUMPRODUCT(--($C$8:C28&gt;$C$2/2))-1))/((INT($C$2/2))*(INT($C$2/2)+1)+ROUNDUP($C$2/2,0))),0)</f>
        <v>4.5351473922902494E-2</v>
      </c>
      <c r="O28" s="542"/>
      <c r="P28" s="542">
        <f t="shared" si="2"/>
        <v>0</v>
      </c>
      <c r="Q28" s="542">
        <f>IF($C28=general!$C$28,Q$4,IFERROR(($C28&lt;general!$C$23)*((1-Q$4)*Q$5)/(general!$C$23-1),0)+IFERROR(($C28&gt;=general!$C$23)*($C28&lt;=general!$C$27)*((1-Q$4)*Q$6)/(general!$C$27-general!$C$23+1),0))+IF(AND(general!$C$23&lt;=1,$C28&lt;=1),'draws%'!Q$5*(1-Q$4))</f>
        <v>3.125E-2</v>
      </c>
      <c r="R28" s="542">
        <f>IF($C28=general!$C$27,R$4,IFERROR(($C28&lt;general!$C$23)*((1-R$4)*R$5)/(general!$C$23-1),0)+IFERROR(($C28&gt;=general!$C$23)*($C28&lt;general!$C$27)*((1-R$4)*R$6)/(general!$C$27-general!$C$23),0))+IF(AND(general!$C$23&lt;=1,$C28&lt;=1),'draws%'!R$5*(1-R$4))</f>
        <v>2.8260869565217391E-2</v>
      </c>
      <c r="S28" s="542">
        <f>IF(OR(C28=general!$C$27,C28=general!$C$27-1),50%,0)</f>
        <v>0</v>
      </c>
      <c r="T28" s="542">
        <f>(C28&gt;=general!$C$26-6)*(C28&lt;general!$C$26)*1/6*0.5+(C28=3)*0.25+(C28=9)*0.25</f>
        <v>8.3333333333333329E-2</v>
      </c>
      <c r="U28" s="542">
        <f>IF(C28='Development Cash Flow'!$C$6,$U$5,0)+IF(C28=general!$C$27,$U$6,0)</f>
        <v>0</v>
      </c>
      <c r="V28" s="542">
        <f>IF(C28=general!$C$28,1,0)</f>
        <v>0</v>
      </c>
      <c r="W28" s="542">
        <f t="shared" si="10"/>
        <v>0</v>
      </c>
      <c r="X28" s="542">
        <f>IF(C28=general!$C$23,1,0)</f>
        <v>0</v>
      </c>
      <c r="Y28" s="542">
        <f>IFERROR((C28&lt;general!$C$23)*Y$5/(general!$C$23),0)+IFERROR((C28&gt;=general!$C$23)*(C28&lt;=general!$C$27)*Y$6/(general!$C$27-general!$C$23+1),0)</f>
        <v>0</v>
      </c>
      <c r="Z28" s="542">
        <f>IFERROR(($C28&lt;general!$C$23)*Z$5/(general!$C$23),0)+IFERROR(($C28&gt;=general!$C$23)*($C28&lt;=general!$C$27)*Z$6/(general!$C$27-general!$C$23+1),0)*(1-$Z$4)+$Z$4*AF28</f>
        <v>4.1666666666666664E-2</v>
      </c>
      <c r="AA28" s="542">
        <f>MAX((IFERROR(($C28&lt;general!$C$23)*AA$5/(general!$C$23),0)+IFERROR(($C28&gt;=general!$C$23)*($C28&lt;=general!$C$27)*AA$6/(general!$C$27-general!$C$23+1),0)),0)</f>
        <v>1.6666666666666666E-2</v>
      </c>
      <c r="AB28" s="542">
        <f>MAX((IFERROR(($C28&lt;general!$C$23)*AB$5/(general!$C$23),0)+IFERROR(($C28&gt;=general!$C$23)*($C28&lt;=general!$C$27)*AB$6/(general!$C$27-general!$C$23+1),0)),0)</f>
        <v>2.0833333333333332E-2</v>
      </c>
      <c r="AC28" s="542">
        <f>MAX((IFERROR(($C28&lt;general!$C$23)*AC$5/(general!$C$23),0)+IFERROR(($C28&gt;=general!$C$23)*($C28&lt;=general!$C$27)*AC$6/(general!$C$27-general!$C$23+1),0)),0)</f>
        <v>2.4999999999999998E-2</v>
      </c>
      <c r="AD28" s="542">
        <f>MAX((IFERROR(($C28&lt;general!$C$23)*AD$5/(general!$C$23),0)+IFERROR(($C28&gt;=general!$C$23)*($C28&lt;=general!$C$27)*AD$6/(general!$C$27-general!$C$23+1),0)),0)</f>
        <v>2.4999999999999998E-2</v>
      </c>
      <c r="AE28" s="542">
        <f t="shared" si="7"/>
        <v>0</v>
      </c>
      <c r="AF28" s="542">
        <f>+SUMPRODUCT(--($C28=sales!$C$50:$C$54),sales!$D$50:$D$54)</f>
        <v>0</v>
      </c>
      <c r="AG28" s="542">
        <f>IF($C28=general!$C$28,AG$4,IFERROR(($C28&lt;general!$C$23)*((1-AG$4)*AG$5)/(general!$C$23-1),0)+IFERROR(($C28&gt;=general!$C$23)*($C28&lt;=general!$C$27)*((1-AG$4)*AG$6)/(general!$C$27-general!$C$23+1),0))+IF(AND(general!$C$23&lt;=1,$C28&lt;=1),'draws%'!AG$5*(1-AG$4))</f>
        <v>3.5416666666666666E-2</v>
      </c>
      <c r="AH28" s="542">
        <f>+IF($C28=general!$C$21,1,0)</f>
        <v>0</v>
      </c>
      <c r="AK28" s="524">
        <f>IF(A28&lt;=general!$D$27,IF(MONTH(A28)=11,1,IF(C28=general!$C$27,1,0)),)</f>
        <v>0</v>
      </c>
      <c r="AL28" s="524">
        <f>IF(AK28=1,COUNTIFS($C$8:$C$128,"&lt;="&amp;general!$C$27&amp;"",'draws%'!$AM$8:$AM$128,"="&amp;AM28&amp;""),0)</f>
        <v>0</v>
      </c>
      <c r="AM28" s="524">
        <f t="shared" si="4"/>
        <v>2028</v>
      </c>
      <c r="AN28" s="524"/>
    </row>
    <row r="29" spans="1:40" ht="14">
      <c r="A29" s="903">
        <f t="shared" si="8"/>
        <v>46904</v>
      </c>
      <c r="C29" s="897">
        <f t="shared" si="9"/>
        <v>21</v>
      </c>
      <c r="D29" s="542"/>
      <c r="E29" s="542">
        <f>IF($C29=$C$2,0,IF(OR($C29=0,$C29&lt;general!$C$23,$C29&gt;$C$2),0,E$2/$C$3+NORMDIST($C29-general!$C$23+1,$C$3/2,E$1,1)-NORMDIST($C28-general!$C$23+1,$C$3/2,E$1,1)))+IF($C29=$C$2,1-SUM(E$8:E28),0)</f>
        <v>3.3928003567053028E-2</v>
      </c>
      <c r="F29" s="542">
        <f>IF($C29=$C$2,0,IF(OR($C29=0,$C29&lt;general!$C$23,$C29&gt;$C$2),0,F$2/$C$3+NORMDIST($C29-general!$C$23+1,$C$3/2,F$1,1)-NORMDIST($C28-general!$C$23+1,$C$3/2,F$1,1)))+IF($C29=$C$2,1-SUM(F$8:F28),0)</f>
        <v>3.9086456331009434E-2</v>
      </c>
      <c r="G29" s="542">
        <f>IF($C29=$C$2,0,IF(OR($C29=0,$C29&lt;general!$C$23,$C29&gt;$C$2),0,G$2/$C$3+NORMDIST($C29-general!$C$23+1,$C$3/2,G$1,1)-NORMDIST($C28-general!$C$23+1,$C$3/2,G$1,1)))+IF($C29=$C$2,1-SUM(G$8:G28),0)</f>
        <v>4.0535449607694118E-2</v>
      </c>
      <c r="H29" s="542">
        <f>IF(C29=$C$2,0,IF(OR(C29=0,C29&lt;1,C29&gt;$C$2),0,$H$2/$C$2+NORMDIST(C29,$C$2/2,$H$1,1)-NORMDIST(C28,$C$2/2,$H$1,1)))+IF(C29=$C$2,1-SUM($H$9:H28),0)</f>
        <v>3.2443275790537185E-2</v>
      </c>
      <c r="I29" s="542">
        <f>IF(C29=$C$2,0,IF(OR(C29=0,C29&lt;1,C29&gt;$C$2),0,$I$2/$C$2+NORMDIST(C29,$C$2/2,$I$1,1)-NORMDIST(C28,$C$2/2,$I$1,1)))+IF(C29=$C$2,1-SUM($I$9:I28),0)</f>
        <v>2.7197950429222129E-2</v>
      </c>
      <c r="J29" s="542">
        <f>IF(C29=$C$2,0,IF(OR(C29=0,C29&lt;1,C29&gt;$C$2),0,$J$2/$C$2+NORMDIST(C29,$C$2/2,$J$1,1)-NORMDIST(C28,$C$2/2,$J$1,1)))+IF(C29=$C$2,1-SUM($J$9:J28),0)</f>
        <v>2.5649628129029767E-2</v>
      </c>
      <c r="K29" s="542">
        <f t="shared" si="5"/>
        <v>1.2195121951219513E-2</v>
      </c>
      <c r="L29" s="542">
        <f t="shared" si="1"/>
        <v>2.3809523809523808E-2</v>
      </c>
      <c r="M29" s="542">
        <f>IF($C29&gt;$C$2,IF($C29=sales!$F$36,M$4,0),(1-M$4)/$C$2)</f>
        <v>2.0731707317073172E-2</v>
      </c>
      <c r="N29" s="542">
        <f>IF(ISEVEN($C$2),IF(C29&gt;$C$2,0,IF(C29&lt;=$C$2/2,C29,C29-1-2*(SUMPRODUCT(--($C$8:C29&gt;$C$2/2))-1))/(($C$2/2)*($C$2/2+1))),0)+IF(ISODD($C$2),IF(C29&gt;$C$2,0,IF(C29-1&lt;=$C$2/2,C29,C29-2*(SUMPRODUCT(--($C$8:C29&gt;$C$2/2))-1))/((INT($C$2/2))*(INT($C$2/2)+1)+ROUNDUP($C$2/2,0))),0)</f>
        <v>4.7619047619047616E-2</v>
      </c>
      <c r="O29" s="542"/>
      <c r="P29" s="542">
        <f t="shared" si="2"/>
        <v>0</v>
      </c>
      <c r="Q29" s="542">
        <f>IF($C29=general!$C$28,Q$4,IFERROR(($C29&lt;general!$C$23)*((1-Q$4)*Q$5)/(general!$C$23-1),0)+IFERROR(($C29&gt;=general!$C$23)*($C29&lt;=general!$C$27)*((1-Q$4)*Q$6)/(general!$C$27-general!$C$23+1),0))+IF(AND(general!$C$23&lt;=1,$C29&lt;=1),'draws%'!Q$5*(1-Q$4))</f>
        <v>3.125E-2</v>
      </c>
      <c r="R29" s="542">
        <f>IF($C29=general!$C$27,R$4,IFERROR(($C29&lt;general!$C$23)*((1-R$4)*R$5)/(general!$C$23-1),0)+IFERROR(($C29&gt;=general!$C$23)*($C29&lt;general!$C$27)*((1-R$4)*R$6)/(general!$C$27-general!$C$23),0))+IF(AND(general!$C$23&lt;=1,$C29&lt;=1),'draws%'!R$5*(1-R$4))</f>
        <v>2.8260869565217391E-2</v>
      </c>
      <c r="S29" s="542">
        <f>IF(OR(C29=general!$C$27,C29=general!$C$27-1),50%,0)</f>
        <v>0</v>
      </c>
      <c r="T29" s="542">
        <f>(C29&gt;=general!$C$26-6)*(C29&lt;general!$C$26)*1/6*0.5+(C29=3)*0.25+(C29=9)*0.25</f>
        <v>8.3333333333333329E-2</v>
      </c>
      <c r="U29" s="542">
        <f>IF(C29='Development Cash Flow'!$C$6,$U$5,0)+IF(C29=general!$C$27,$U$6,0)</f>
        <v>0</v>
      </c>
      <c r="V29" s="542">
        <f>IF(C29=general!$C$28,1,0)</f>
        <v>0</v>
      </c>
      <c r="W29" s="542">
        <f t="shared" si="10"/>
        <v>0</v>
      </c>
      <c r="X29" s="542">
        <f>IF(C29=general!$C$23,1,0)</f>
        <v>0</v>
      </c>
      <c r="Y29" s="542">
        <f>IFERROR((C29&lt;general!$C$23)*Y$5/(general!$C$23),0)+IFERROR((C29&gt;=general!$C$23)*(C29&lt;=general!$C$27)*Y$6/(general!$C$27-general!$C$23+1),0)</f>
        <v>0</v>
      </c>
      <c r="Z29" s="542">
        <f>IFERROR(($C29&lt;general!$C$23)*Z$5/(general!$C$23),0)+IFERROR(($C29&gt;=general!$C$23)*($C29&lt;=general!$C$27)*Z$6/(general!$C$27-general!$C$23+1),0)*(1-$Z$4)+$Z$4*AF29</f>
        <v>4.1666666666666664E-2</v>
      </c>
      <c r="AA29" s="542">
        <f>MAX((IFERROR(($C29&lt;general!$C$23)*AA$5/(general!$C$23),0)+IFERROR(($C29&gt;=general!$C$23)*($C29&lt;=general!$C$27)*AA$6/(general!$C$27-general!$C$23+1),0)),0)</f>
        <v>1.6666666666666666E-2</v>
      </c>
      <c r="AB29" s="542">
        <f>MAX((IFERROR(($C29&lt;general!$C$23)*AB$5/(general!$C$23),0)+IFERROR(($C29&gt;=general!$C$23)*($C29&lt;=general!$C$27)*AB$6/(general!$C$27-general!$C$23+1),0)),0)</f>
        <v>2.0833333333333332E-2</v>
      </c>
      <c r="AC29" s="542">
        <f>MAX((IFERROR(($C29&lt;general!$C$23)*AC$5/(general!$C$23),0)+IFERROR(($C29&gt;=general!$C$23)*($C29&lt;=general!$C$27)*AC$6/(general!$C$27-general!$C$23+1),0)),0)</f>
        <v>2.4999999999999998E-2</v>
      </c>
      <c r="AD29" s="542">
        <f>MAX((IFERROR(($C29&lt;general!$C$23)*AD$5/(general!$C$23),0)+IFERROR(($C29&gt;=general!$C$23)*($C29&lt;=general!$C$27)*AD$6/(general!$C$27-general!$C$23+1),0)),0)</f>
        <v>2.4999999999999998E-2</v>
      </c>
      <c r="AE29" s="542">
        <f t="shared" si="7"/>
        <v>0</v>
      </c>
      <c r="AF29" s="542">
        <f>+SUMPRODUCT(--($C29=sales!$C$50:$C$54),sales!$D$50:$D$54)</f>
        <v>0</v>
      </c>
      <c r="AG29" s="542">
        <f>IF($C29=general!$C$28,AG$4,IFERROR(($C29&lt;general!$C$23)*((1-AG$4)*AG$5)/(general!$C$23-1),0)+IFERROR(($C29&gt;=general!$C$23)*($C29&lt;=general!$C$27)*((1-AG$4)*AG$6)/(general!$C$27-general!$C$23+1),0))+IF(AND(general!$C$23&lt;=1,$C29&lt;=1),'draws%'!AG$5*(1-AG$4))</f>
        <v>3.5416666666666666E-2</v>
      </c>
      <c r="AH29" s="542">
        <f>+IF($C29=general!$C$21,1,0)</f>
        <v>0</v>
      </c>
      <c r="AK29" s="524">
        <f>IF(A29&lt;=general!$D$27,IF(MONTH(A29)=11,1,IF(C29=general!$C$27,1,0)),)</f>
        <v>0</v>
      </c>
      <c r="AL29" s="524">
        <f>IF(AK29=1,COUNTIFS($C$8:$C$128,"&lt;="&amp;general!$C$27&amp;"",'draws%'!$AM$8:$AM$128,"="&amp;AM29&amp;""),0)</f>
        <v>0</v>
      </c>
      <c r="AM29" s="524">
        <f t="shared" si="4"/>
        <v>2028</v>
      </c>
      <c r="AN29" s="524"/>
    </row>
    <row r="30" spans="1:40" ht="14">
      <c r="A30" s="903">
        <f t="shared" si="8"/>
        <v>46934</v>
      </c>
      <c r="C30" s="897">
        <f t="shared" si="9"/>
        <v>22</v>
      </c>
      <c r="D30" s="542"/>
      <c r="E30" s="542">
        <f>IF($C30=$C$2,0,IF(OR($C30=0,$C30&lt;general!$C$23,$C30&gt;$C$2),0,E$2/$C$3+NORMDIST($C30-general!$C$23+1,$C$3/2,E$1,1)-NORMDIST($C29-general!$C$23+1,$C$3/2,E$1,1)))+IF($C30=$C$2,1-SUM(E$8:E29),0)</f>
        <v>3.7698965693458486E-2</v>
      </c>
      <c r="F30" s="542">
        <f>IF($C30=$C$2,0,IF(OR($C30=0,$C30&lt;general!$C$23,$C30&gt;$C$2),0,F$2/$C$3+NORMDIST($C30-general!$C$23+1,$C$3/2,F$1,1)-NORMDIST($C29-general!$C$23+1,$C$3/2,F$1,1)))+IF($C30=$C$2,1-SUM(F$8:F29),0)</f>
        <v>4.0563197213737467E-2</v>
      </c>
      <c r="G30" s="542">
        <f>IF($C30=$C$2,0,IF(OR($C30=0,$C30&lt;general!$C$23,$C30&gt;$C$2),0,G$2/$C$3+NORMDIST($C30-general!$C$23+1,$C$3/2,G$1,1)-NORMDIST($C29-general!$C$23+1,$C$3/2,G$1,1)))+IF($C30=$C$2,1-SUM(G$8:G29),0)</f>
        <v>4.12224620129647E-2</v>
      </c>
      <c r="H30" s="542">
        <f>IF(C30=$C$2,0,IF(OR(C30=0,C30&lt;1,C30&gt;$C$2),0,$H$2/$C$2+NORMDIST(C30,$C$2/2,$H$1,1)-NORMDIST(C29,$C$2/2,$H$1,1)))+IF(C30=$C$2,1-SUM($H$9:H29),0)</f>
        <v>3.2365289061465408E-2</v>
      </c>
      <c r="I30" s="542">
        <f>IF(C30=$C$2,0,IF(OR(C30=0,C30&lt;1,C30&gt;$C$2),0,$I$2/$C$2+NORMDIST(C30,$C$2/2,$I$1,1)-NORMDIST(C29,$C$2/2,$I$1,1)))+IF(C30=$C$2,1-SUM($I$9:I29),0)</f>
        <v>2.7174817478560875E-2</v>
      </c>
      <c r="J30" s="542">
        <f>IF(C30=$C$2,0,IF(OR(C30=0,C30&lt;1,C30&gt;$C$2),0,$J$2/$C$2+NORMDIST(C30,$C$2/2,$J$1,1)-NORMDIST(C29,$C$2/2,$J$1,1)))+IF(C30=$C$2,1-SUM($J$9:J29),0)</f>
        <v>2.5639865105981485E-2</v>
      </c>
      <c r="K30" s="542">
        <f t="shared" si="5"/>
        <v>1.2195121951219513E-2</v>
      </c>
      <c r="L30" s="542">
        <f t="shared" si="1"/>
        <v>2.3809523809523808E-2</v>
      </c>
      <c r="M30" s="542">
        <f>IF($C30&gt;$C$2,IF($C30=sales!$F$36,M$4,0),(1-M$4)/$C$2)</f>
        <v>2.0731707317073172E-2</v>
      </c>
      <c r="N30" s="542">
        <f>IF(ISEVEN($C$2),IF(C30&gt;$C$2,0,IF(C30&lt;=$C$2/2,C30,C30-1-2*(SUMPRODUCT(--($C$8:C30&gt;$C$2/2))-1))/(($C$2/2)*($C$2/2+1))),0)+IF(ISODD($C$2),IF(C30&gt;$C$2,0,IF(C30-1&lt;=$C$2/2,C30,C30-2*(SUMPRODUCT(--($C$8:C30&gt;$C$2/2))-1))/((INT($C$2/2))*(INT($C$2/2)+1)+ROUNDUP($C$2/2,0))),0)</f>
        <v>4.5351473922902494E-2</v>
      </c>
      <c r="O30" s="542"/>
      <c r="P30" s="542">
        <f t="shared" si="2"/>
        <v>0</v>
      </c>
      <c r="Q30" s="542">
        <f>IF($C30=general!$C$28,Q$4,IFERROR(($C30&lt;general!$C$23)*((1-Q$4)*Q$5)/(general!$C$23-1),0)+IFERROR(($C30&gt;=general!$C$23)*($C30&lt;=general!$C$27)*((1-Q$4)*Q$6)/(general!$C$27-general!$C$23+1),0))+IF(AND(general!$C$23&lt;=1,$C30&lt;=1),'draws%'!Q$5*(1-Q$4))</f>
        <v>3.125E-2</v>
      </c>
      <c r="R30" s="542">
        <f>IF($C30=general!$C$27,R$4,IFERROR(($C30&lt;general!$C$23)*((1-R$4)*R$5)/(general!$C$23-1),0)+IFERROR(($C30&gt;=general!$C$23)*($C30&lt;general!$C$27)*((1-R$4)*R$6)/(general!$C$27-general!$C$23),0))+IF(AND(general!$C$23&lt;=1,$C30&lt;=1),'draws%'!R$5*(1-R$4))</f>
        <v>2.8260869565217391E-2</v>
      </c>
      <c r="S30" s="542">
        <f>IF(OR(C30=general!$C$27,C30=general!$C$27-1),50%,0)</f>
        <v>0</v>
      </c>
      <c r="T30" s="542">
        <f>(C30&gt;=general!$C$26-6)*(C30&lt;general!$C$26)*1/6*0.5+(C30=3)*0.25+(C30=9)*0.25</f>
        <v>0</v>
      </c>
      <c r="U30" s="542">
        <f>IF(C30='Development Cash Flow'!$C$6,$U$5,0)+IF(C30=general!$C$27,$U$6,0)</f>
        <v>0</v>
      </c>
      <c r="V30" s="542">
        <f>IF(C30=general!$C$28,1,0)</f>
        <v>0</v>
      </c>
      <c r="W30" s="542">
        <f t="shared" si="10"/>
        <v>0</v>
      </c>
      <c r="X30" s="542">
        <f>IF(C30=general!$C$23,1,0)</f>
        <v>0</v>
      </c>
      <c r="Y30" s="542">
        <f>IFERROR((C30&lt;general!$C$23)*Y$5/(general!$C$23),0)+IFERROR((C30&gt;=general!$C$23)*(C30&lt;=general!$C$27)*Y$6/(general!$C$27-general!$C$23+1),0)</f>
        <v>0</v>
      </c>
      <c r="Z30" s="542">
        <f>IFERROR(($C30&lt;general!$C$23)*Z$5/(general!$C$23),0)+IFERROR(($C30&gt;=general!$C$23)*($C30&lt;=general!$C$27)*Z$6/(general!$C$27-general!$C$23+1),0)*(1-$Z$4)+$Z$4*AF30</f>
        <v>4.1666666666666664E-2</v>
      </c>
      <c r="AA30" s="542">
        <f>MAX((IFERROR(($C30&lt;general!$C$23)*AA$5/(general!$C$23),0)+IFERROR(($C30&gt;=general!$C$23)*($C30&lt;=general!$C$27)*AA$6/(general!$C$27-general!$C$23+1),0)),0)</f>
        <v>1.6666666666666666E-2</v>
      </c>
      <c r="AB30" s="542">
        <f>MAX((IFERROR(($C30&lt;general!$C$23)*AB$5/(general!$C$23),0)+IFERROR(($C30&gt;=general!$C$23)*($C30&lt;=general!$C$27)*AB$6/(general!$C$27-general!$C$23+1),0)),0)</f>
        <v>2.0833333333333332E-2</v>
      </c>
      <c r="AC30" s="542">
        <f>MAX((IFERROR(($C30&lt;general!$C$23)*AC$5/(general!$C$23),0)+IFERROR(($C30&gt;=general!$C$23)*($C30&lt;=general!$C$27)*AC$6/(general!$C$27-general!$C$23+1),0)),0)</f>
        <v>2.4999999999999998E-2</v>
      </c>
      <c r="AD30" s="542">
        <f>MAX((IFERROR(($C30&lt;general!$C$23)*AD$5/(general!$C$23),0)+IFERROR(($C30&gt;=general!$C$23)*($C30&lt;=general!$C$27)*AD$6/(general!$C$27-general!$C$23+1),0)),0)</f>
        <v>2.4999999999999998E-2</v>
      </c>
      <c r="AE30" s="542">
        <f t="shared" si="7"/>
        <v>0</v>
      </c>
      <c r="AF30" s="542">
        <f>+SUMPRODUCT(--($C30=sales!$C$50:$C$54),sales!$D$50:$D$54)</f>
        <v>0</v>
      </c>
      <c r="AG30" s="542">
        <f>IF($C30=general!$C$28,AG$4,IFERROR(($C30&lt;general!$C$23)*((1-AG$4)*AG$5)/(general!$C$23-1),0)+IFERROR(($C30&gt;=general!$C$23)*($C30&lt;=general!$C$27)*((1-AG$4)*AG$6)/(general!$C$27-general!$C$23+1),0))+IF(AND(general!$C$23&lt;=1,$C30&lt;=1),'draws%'!AG$5*(1-AG$4))</f>
        <v>3.5416666666666666E-2</v>
      </c>
      <c r="AH30" s="542">
        <f>+IF($C30=general!$C$21,1,0)</f>
        <v>0</v>
      </c>
      <c r="AK30" s="524">
        <f>IF(A30&lt;=general!$D$27,IF(MONTH(A30)=11,1,IF(C30=general!$C$27,1,0)),)</f>
        <v>0</v>
      </c>
      <c r="AL30" s="524">
        <f>IF(AK30=1,COUNTIFS($C$8:$C$128,"&lt;="&amp;general!$C$27&amp;"",'draws%'!$AM$8:$AM$128,"="&amp;AM30&amp;""),0)</f>
        <v>0</v>
      </c>
      <c r="AM30" s="524">
        <f t="shared" si="4"/>
        <v>2028</v>
      </c>
      <c r="AN30" s="524"/>
    </row>
    <row r="31" spans="1:40" ht="14">
      <c r="A31" s="903">
        <f t="shared" si="8"/>
        <v>46965</v>
      </c>
      <c r="C31" s="897">
        <f t="shared" si="9"/>
        <v>23</v>
      </c>
      <c r="D31" s="542"/>
      <c r="E31" s="542">
        <f>IF($C31=$C$2,0,IF(OR($C31=0,$C31&lt;general!$C$23,$C31&gt;$C$2),0,E$2/$C$3+NORMDIST($C31-general!$C$23+1,$C$3/2,E$1,1)-NORMDIST($C30-general!$C$23+1,$C$3/2,E$1,1)))+IF($C31=$C$2,1-SUM(E$8:E30),0)</f>
        <v>4.140766629676243E-2</v>
      </c>
      <c r="F31" s="542">
        <f>IF($C31=$C$2,0,IF(OR($C31=0,$C31&lt;general!$C$23,$C31&gt;$C$2),0,F$2/$C$3+NORMDIST($C31-general!$C$23+1,$C$3/2,F$1,1)-NORMDIST($C30-general!$C$23+1,$C$3/2,F$1,1)))+IF($C31=$C$2,1-SUM(F$8:F30),0)</f>
        <v>4.1924346287235958E-2</v>
      </c>
      <c r="G31" s="542">
        <f>IF($C31=$C$2,0,IF(OR($C31=0,$C31&lt;general!$C$23,$C31&gt;$C$2),0,G$2/$C$3+NORMDIST($C31-general!$C$23+1,$C$3/2,G$1,1)-NORMDIST($C30-general!$C$23+1,$C$3/2,G$1,1)))+IF($C31=$C$2,1-SUM(G$8:G30),0)</f>
        <v>4.184145798446931E-2</v>
      </c>
      <c r="H31" s="542">
        <f>IF(C31=$C$2,0,IF(OR(C31=0,C31&lt;1,C31&gt;$C$2),0,$H$2/$C$2+NORMDIST(C31,$C$2/2,$H$1,1)-NORMDIST(C30,$C$2/2,$H$1,1)))+IF(C31=$C$2,1-SUM($H$9:H30),0)</f>
        <v>3.2132577028276876E-2</v>
      </c>
      <c r="I31" s="542">
        <f>IF(C31=$C$2,0,IF(OR(C31=0,C31&lt;1,C31&gt;$C$2),0,$I$2/$C$2+NORMDIST(C31,$C$2/2,$I$1,1)-NORMDIST(C30,$C$2/2,$I$1,1)))+IF(C31=$C$2,1-SUM($I$9:I30),0)</f>
        <v>2.7105583502000763E-2</v>
      </c>
      <c r="J31" s="542">
        <f>IF(C31=$C$2,0,IF(OR(C31=0,C31&lt;1,C31&gt;$C$2),0,$J$2/$C$2+NORMDIST(C31,$C$2/2,$J$1,1)-NORMDIST(C30,$C$2/2,$J$1,1)))+IF(C31=$C$2,1-SUM($J$9:J30),0)</f>
        <v>2.5610615204975873E-2</v>
      </c>
      <c r="K31" s="542">
        <f t="shared" si="5"/>
        <v>1.2195121951219513E-2</v>
      </c>
      <c r="L31" s="542">
        <f t="shared" si="1"/>
        <v>2.3809523809523808E-2</v>
      </c>
      <c r="M31" s="542">
        <f>IF($C31&gt;$C$2,IF($C31=sales!$F$36,M$4,0),(1-M$4)/$C$2)</f>
        <v>2.0731707317073172E-2</v>
      </c>
      <c r="N31" s="542">
        <f>IF(ISEVEN($C$2),IF(C31&gt;$C$2,0,IF(C31&lt;=$C$2/2,C31,C31-1-2*(SUMPRODUCT(--($C$8:C31&gt;$C$2/2))-1))/(($C$2/2)*($C$2/2+1))),0)+IF(ISODD($C$2),IF(C31&gt;$C$2,0,IF(C31-1&lt;=$C$2/2,C31,C31-2*(SUMPRODUCT(--($C$8:C31&gt;$C$2/2))-1))/((INT($C$2/2))*(INT($C$2/2)+1)+ROUNDUP($C$2/2,0))),0)</f>
        <v>4.3083900226757371E-2</v>
      </c>
      <c r="O31" s="542"/>
      <c r="P31" s="542">
        <f t="shared" si="2"/>
        <v>0</v>
      </c>
      <c r="Q31" s="542">
        <f>IF($C31=general!$C$28,Q$4,IFERROR(($C31&lt;general!$C$23)*((1-Q$4)*Q$5)/(general!$C$23-1),0)+IFERROR(($C31&gt;=general!$C$23)*($C31&lt;=general!$C$27)*((1-Q$4)*Q$6)/(general!$C$27-general!$C$23+1),0))+IF(AND(general!$C$23&lt;=1,$C31&lt;=1),'draws%'!Q$5*(1-Q$4))</f>
        <v>3.125E-2</v>
      </c>
      <c r="R31" s="542">
        <f>IF($C31=general!$C$27,R$4,IFERROR(($C31&lt;general!$C$23)*((1-R$4)*R$5)/(general!$C$23-1),0)+IFERROR(($C31&gt;=general!$C$23)*($C31&lt;general!$C$27)*((1-R$4)*R$6)/(general!$C$27-general!$C$23),0))+IF(AND(general!$C$23&lt;=1,$C31&lt;=1),'draws%'!R$5*(1-R$4))</f>
        <v>2.8260869565217391E-2</v>
      </c>
      <c r="S31" s="542">
        <f>IF(OR(C31=general!$C$27,C31=general!$C$27-1),50%,0)</f>
        <v>0</v>
      </c>
      <c r="T31" s="542">
        <f>(C31&gt;=general!$C$26-6)*(C31&lt;general!$C$26)*1/6*0.5+(C31=3)*0.25+(C31=9)*0.25</f>
        <v>0</v>
      </c>
      <c r="U31" s="542">
        <f>IF(C31='Development Cash Flow'!$C$6,$U$5,0)+IF(C31=general!$C$27,$U$6,0)</f>
        <v>0</v>
      </c>
      <c r="V31" s="542">
        <f>IF(C31=general!$C$28,1,0)</f>
        <v>0</v>
      </c>
      <c r="W31" s="542">
        <f t="shared" si="10"/>
        <v>0</v>
      </c>
      <c r="X31" s="542">
        <f>IF(C31=general!$C$23,1,0)</f>
        <v>0</v>
      </c>
      <c r="Y31" s="542">
        <f>IFERROR((C31&lt;general!$C$23)*Y$5/(general!$C$23),0)+IFERROR((C31&gt;=general!$C$23)*(C31&lt;=general!$C$27)*Y$6/(general!$C$27-general!$C$23+1),0)</f>
        <v>0</v>
      </c>
      <c r="Z31" s="542">
        <f>IFERROR(($C31&lt;general!$C$23)*Z$5/(general!$C$23),0)+IFERROR(($C31&gt;=general!$C$23)*($C31&lt;=general!$C$27)*Z$6/(general!$C$27-general!$C$23+1),0)*(1-$Z$4)+$Z$4*AF31</f>
        <v>4.1666666666666664E-2</v>
      </c>
      <c r="AA31" s="542">
        <f>MAX((IFERROR(($C31&lt;general!$C$23)*AA$5/(general!$C$23),0)+IFERROR(($C31&gt;=general!$C$23)*($C31&lt;=general!$C$27)*AA$6/(general!$C$27-general!$C$23+1),0)),0)</f>
        <v>1.6666666666666666E-2</v>
      </c>
      <c r="AB31" s="542">
        <f>MAX((IFERROR(($C31&lt;general!$C$23)*AB$5/(general!$C$23),0)+IFERROR(($C31&gt;=general!$C$23)*($C31&lt;=general!$C$27)*AB$6/(general!$C$27-general!$C$23+1),0)),0)</f>
        <v>2.0833333333333332E-2</v>
      </c>
      <c r="AC31" s="542">
        <f>MAX((IFERROR(($C31&lt;general!$C$23)*AC$5/(general!$C$23),0)+IFERROR(($C31&gt;=general!$C$23)*($C31&lt;=general!$C$27)*AC$6/(general!$C$27-general!$C$23+1),0)),0)</f>
        <v>2.4999999999999998E-2</v>
      </c>
      <c r="AD31" s="542">
        <f>MAX((IFERROR(($C31&lt;general!$C$23)*AD$5/(general!$C$23),0)+IFERROR(($C31&gt;=general!$C$23)*($C31&lt;=general!$C$27)*AD$6/(general!$C$27-general!$C$23+1),0)),0)</f>
        <v>2.4999999999999998E-2</v>
      </c>
      <c r="AE31" s="542">
        <f t="shared" si="7"/>
        <v>0</v>
      </c>
      <c r="AF31" s="542">
        <f>+SUMPRODUCT(--($C31=sales!$C$50:$C$54),sales!$D$50:$D$54)</f>
        <v>0</v>
      </c>
      <c r="AG31" s="542">
        <f>IF($C31=general!$C$28,AG$4,IFERROR(($C31&lt;general!$C$23)*((1-AG$4)*AG$5)/(general!$C$23-1),0)+IFERROR(($C31&gt;=general!$C$23)*($C31&lt;=general!$C$27)*((1-AG$4)*AG$6)/(general!$C$27-general!$C$23+1),0))+IF(AND(general!$C$23&lt;=1,$C31&lt;=1),'draws%'!AG$5*(1-AG$4))</f>
        <v>3.5416666666666666E-2</v>
      </c>
      <c r="AH31" s="542">
        <f>+IF($C31=general!$C$21,1,0)</f>
        <v>0</v>
      </c>
      <c r="AK31" s="524">
        <f>IF(A31&lt;=general!$D$27,IF(MONTH(A31)=11,1,IF(C31=general!$C$27,1,0)),)</f>
        <v>0</v>
      </c>
      <c r="AL31" s="524">
        <f>IF(AK31=1,COUNTIFS($C$8:$C$128,"&lt;="&amp;general!$C$27&amp;"",'draws%'!$AM$8:$AM$128,"="&amp;AM31&amp;""),0)</f>
        <v>0</v>
      </c>
      <c r="AM31" s="524">
        <f t="shared" si="4"/>
        <v>2028</v>
      </c>
      <c r="AN31" s="524"/>
    </row>
    <row r="32" spans="1:40" ht="14">
      <c r="A32" s="903">
        <f t="shared" si="8"/>
        <v>46996</v>
      </c>
      <c r="C32" s="897">
        <f t="shared" si="9"/>
        <v>24</v>
      </c>
      <c r="D32" s="542"/>
      <c r="E32" s="542">
        <f>IF($C32=$C$2,0,IF(OR($C32=0,$C32&lt;general!$C$23,$C32&gt;$C$2),0,E$2/$C$3+NORMDIST($C32-general!$C$23+1,$C$3/2,E$1,1)-NORMDIST($C31-general!$C$23+1,$C$3/2,E$1,1)))+IF($C32=$C$2,1-SUM(E$8:E31),0)</f>
        <v>4.4925443444237101E-2</v>
      </c>
      <c r="F32" s="542">
        <f>IF($C32=$C$2,0,IF(OR($C32=0,$C32&lt;general!$C$23,$C32&gt;$C$2),0,F$2/$C$3+NORMDIST($C32-general!$C$23+1,$C$3/2,F$1,1)-NORMDIST($C31-general!$C$23+1,$C$3/2,F$1,1)))+IF($C32=$C$2,1-SUM(F$8:F31),0)</f>
        <v>4.3144851945657481E-2</v>
      </c>
      <c r="G32" s="542">
        <f>IF($C32=$C$2,0,IF(OR($C32=0,$C32&lt;general!$C$23,$C32&gt;$C$2),0,G$2/$C$3+NORMDIST($C32-general!$C$23+1,$C$3/2,G$1,1)-NORMDIST($C31-general!$C$23+1,$C$3/2,G$1,1)))+IF($C32=$C$2,1-SUM(G$8:G31),0)</f>
        <v>4.2385660900639111E-2</v>
      </c>
      <c r="H32" s="542">
        <f>IF(C32=$C$2,0,IF(OR(C32=0,C32&lt;1,C32&gt;$C$2),0,$H$2/$C$2+NORMDIST(C32,$C$2/2,$H$1,1)-NORMDIST(C31,$C$2/2,$H$1,1)))+IF(C32=$C$2,1-SUM($H$9:H31),0)</f>
        <v>3.1748850918383975E-2</v>
      </c>
      <c r="I32" s="542">
        <f>IF(C32=$C$2,0,IF(OR(C32=0,C32&lt;1,C32&gt;$C$2),0,$I$2/$C$2+NORMDIST(C32,$C$2/2,$I$1,1)-NORMDIST(C31,$C$2/2,$I$1,1)))+IF(C32=$C$2,1-SUM($I$9:I31),0)</f>
        <v>2.6990741168837928E-2</v>
      </c>
      <c r="J32" s="542">
        <f>IF(C32=$C$2,0,IF(OR(C32=0,C32&lt;1,C32&gt;$C$2),0,$J$2/$C$2+NORMDIST(C32,$C$2/2,$J$1,1)-NORMDIST(C31,$C$2/2,$J$1,1)))+IF(C32=$C$2,1-SUM($J$9:J31),0)</f>
        <v>2.5561995668650028E-2</v>
      </c>
      <c r="K32" s="542">
        <f t="shared" si="5"/>
        <v>1.2195121951219513E-2</v>
      </c>
      <c r="L32" s="542">
        <f t="shared" si="1"/>
        <v>2.3809523809523808E-2</v>
      </c>
      <c r="M32" s="542">
        <f>IF($C32&gt;$C$2,IF($C32=sales!$F$36,M$4,0),(1-M$4)/$C$2)</f>
        <v>2.0731707317073172E-2</v>
      </c>
      <c r="N32" s="542">
        <f>IF(ISEVEN($C$2),IF(C32&gt;$C$2,0,IF(C32&lt;=$C$2/2,C32,C32-1-2*(SUMPRODUCT(--($C$8:C32&gt;$C$2/2))-1))/(($C$2/2)*($C$2/2+1))),0)+IF(ISODD($C$2),IF(C32&gt;$C$2,0,IF(C32-1&lt;=$C$2/2,C32,C32-2*(SUMPRODUCT(--($C$8:C32&gt;$C$2/2))-1))/((INT($C$2/2))*(INT($C$2/2)+1)+ROUNDUP($C$2/2,0))),0)</f>
        <v>4.0816326530612242E-2</v>
      </c>
      <c r="O32" s="542"/>
      <c r="P32" s="542">
        <f t="shared" si="2"/>
        <v>0</v>
      </c>
      <c r="Q32" s="542">
        <f>IF($C32=general!$C$28,Q$4,IFERROR(($C32&lt;general!$C$23)*((1-Q$4)*Q$5)/(general!$C$23-1),0)+IFERROR(($C32&gt;=general!$C$23)*($C32&lt;=general!$C$27)*((1-Q$4)*Q$6)/(general!$C$27-general!$C$23+1),0))+IF(AND(general!$C$23&lt;=1,$C32&lt;=1),'draws%'!Q$5*(1-Q$4))</f>
        <v>3.125E-2</v>
      </c>
      <c r="R32" s="542">
        <f>IF($C32=general!$C$27,R$4,IFERROR(($C32&lt;general!$C$23)*((1-R$4)*R$5)/(general!$C$23-1),0)+IFERROR(($C32&gt;=general!$C$23)*($C32&lt;general!$C$27)*((1-R$4)*R$6)/(general!$C$27-general!$C$23),0))+IF(AND(general!$C$23&lt;=1,$C32&lt;=1),'draws%'!R$5*(1-R$4))</f>
        <v>2.8260869565217391E-2</v>
      </c>
      <c r="S32" s="542">
        <f>IF(OR(C32=general!$C$27,C32=general!$C$27-1),50%,0)</f>
        <v>0</v>
      </c>
      <c r="T32" s="542">
        <f>(C32&gt;=general!$C$26-6)*(C32&lt;general!$C$26)*1/6*0.5+(C32=3)*0.25+(C32=9)*0.25</f>
        <v>0</v>
      </c>
      <c r="U32" s="542">
        <f>IF(C32='Development Cash Flow'!$C$6,$U$5,0)+IF(C32=general!$C$27,$U$6,0)</f>
        <v>0</v>
      </c>
      <c r="V32" s="542">
        <f>IF(C32=general!$C$28,1,0)</f>
        <v>0</v>
      </c>
      <c r="W32" s="542">
        <f t="shared" si="10"/>
        <v>0</v>
      </c>
      <c r="X32" s="542">
        <f>IF(C32=general!$C$23,1,0)</f>
        <v>0</v>
      </c>
      <c r="Y32" s="542">
        <f>IFERROR((C32&lt;general!$C$23)*Y$5/(general!$C$23),0)+IFERROR((C32&gt;=general!$C$23)*(C32&lt;=general!$C$27)*Y$6/(general!$C$27-general!$C$23+1),0)</f>
        <v>0</v>
      </c>
      <c r="Z32" s="542">
        <f>IFERROR(($C32&lt;general!$C$23)*Z$5/(general!$C$23),0)+IFERROR(($C32&gt;=general!$C$23)*($C32&lt;=general!$C$27)*Z$6/(general!$C$27-general!$C$23+1),0)*(1-$Z$4)+$Z$4*AF32</f>
        <v>4.1666666666666664E-2</v>
      </c>
      <c r="AA32" s="542">
        <f>MAX((IFERROR(($C32&lt;general!$C$23)*AA$5/(general!$C$23),0)+IFERROR(($C32&gt;=general!$C$23)*($C32&lt;=general!$C$27)*AA$6/(general!$C$27-general!$C$23+1),0)),0)</f>
        <v>1.6666666666666666E-2</v>
      </c>
      <c r="AB32" s="542">
        <f>MAX((IFERROR(($C32&lt;general!$C$23)*AB$5/(general!$C$23),0)+IFERROR(($C32&gt;=general!$C$23)*($C32&lt;=general!$C$27)*AB$6/(general!$C$27-general!$C$23+1),0)),0)</f>
        <v>2.0833333333333332E-2</v>
      </c>
      <c r="AC32" s="542">
        <f>MAX((IFERROR(($C32&lt;general!$C$23)*AC$5/(general!$C$23),0)+IFERROR(($C32&gt;=general!$C$23)*($C32&lt;=general!$C$27)*AC$6/(general!$C$27-general!$C$23+1),0)),0)</f>
        <v>2.4999999999999998E-2</v>
      </c>
      <c r="AD32" s="542">
        <f>MAX((IFERROR(($C32&lt;general!$C$23)*AD$5/(general!$C$23),0)+IFERROR(($C32&gt;=general!$C$23)*($C32&lt;=general!$C$27)*AD$6/(general!$C$27-general!$C$23+1),0)),0)</f>
        <v>2.4999999999999998E-2</v>
      </c>
      <c r="AE32" s="542">
        <f t="shared" si="7"/>
        <v>0</v>
      </c>
      <c r="AF32" s="542">
        <f>+SUMPRODUCT(--($C32=sales!$C$50:$C$54),sales!$D$50:$D$54)</f>
        <v>0</v>
      </c>
      <c r="AG32" s="542">
        <f>IF($C32=general!$C$28,AG$4,IFERROR(($C32&lt;general!$C$23)*((1-AG$4)*AG$5)/(general!$C$23-1),0)+IFERROR(($C32&gt;=general!$C$23)*($C32&lt;=general!$C$27)*((1-AG$4)*AG$6)/(general!$C$27-general!$C$23+1),0))+IF(AND(general!$C$23&lt;=1,$C32&lt;=1),'draws%'!AG$5*(1-AG$4))</f>
        <v>3.5416666666666666E-2</v>
      </c>
      <c r="AH32" s="542">
        <f>+IF($C32=general!$C$21,1,0)</f>
        <v>0</v>
      </c>
      <c r="AK32" s="524">
        <f>IF(A32&lt;=general!$D$27,IF(MONTH(A32)=11,1,IF(C32=general!$C$27,1,0)),)</f>
        <v>0</v>
      </c>
      <c r="AL32" s="524">
        <f>IF(AK32=1,COUNTIFS($C$8:$C$128,"&lt;="&amp;general!$C$27&amp;"",'draws%'!$AM$8:$AM$128,"="&amp;AM32&amp;""),0)</f>
        <v>0</v>
      </c>
      <c r="AM32" s="524">
        <f t="shared" si="4"/>
        <v>2028</v>
      </c>
      <c r="AN32" s="524"/>
    </row>
    <row r="33" spans="1:40" ht="14">
      <c r="A33" s="903">
        <f t="shared" si="8"/>
        <v>47026</v>
      </c>
      <c r="C33" s="897">
        <f t="shared" si="9"/>
        <v>25</v>
      </c>
      <c r="D33" s="542"/>
      <c r="E33" s="542">
        <f>IF($C33=$C$2,0,IF(OR($C33=0,$C33&lt;general!$C$23,$C33&gt;$C$2),0,E$2/$C$3+NORMDIST($C33-general!$C$23+1,$C$3/2,E$1,1)-NORMDIST($C32-general!$C$23+1,$C$3/2,E$1,1)))+IF($C33=$C$2,1-SUM(E$8:E32),0)</f>
        <v>4.8119276449691217E-2</v>
      </c>
      <c r="F33" s="542">
        <f>IF($C33=$C$2,0,IF(OR($C33=0,$C33&lt;general!$C$23,$C33&gt;$C$2),0,F$2/$C$3+NORMDIST($C33-general!$C$23+1,$C$3/2,F$1,1)-NORMDIST($C32-general!$C$23+1,$C$3/2,F$1,1)))+IF($C33=$C$2,1-SUM(F$8:F32),0)</f>
        <v>4.4201491832028705E-2</v>
      </c>
      <c r="G33" s="542">
        <f>IF($C33=$C$2,0,IF(OR($C33=0,$C33&lt;general!$C$23,$C33&gt;$C$2),0,G$2/$C$3+NORMDIST($C33-general!$C$23+1,$C$3/2,G$1,1)-NORMDIST($C32-general!$C$23+1,$C$3/2,G$1,1)))+IF($C33=$C$2,1-SUM(G$8:G32),0)</f>
        <v>4.2849005485305791E-2</v>
      </c>
      <c r="H33" s="542">
        <f>IF(C33=$C$2,0,IF(OR(C33=0,C33&lt;1,C33&gt;$C$2),0,$H$2/$C$2+NORMDIST(C33,$C$2/2,$H$1,1)-NORMDIST(C32,$C$2/2,$H$1,1)))+IF(C33=$C$2,1-SUM($H$9:H32),0)</f>
        <v>3.1220186565297015E-2</v>
      </c>
      <c r="I33" s="542">
        <f>IF(C33=$C$2,0,IF(OR(C33=0,C33&lt;1,C33&gt;$C$2),0,$I$2/$C$2+NORMDIST(C33,$C$2/2,$I$1,1)-NORMDIST(C32,$C$2/2,$I$1,1)))+IF(C33=$C$2,1-SUM($I$9:I32),0)</f>
        <v>2.6831105103805708E-2</v>
      </c>
      <c r="J33" s="542">
        <f>IF(C33=$C$2,0,IF(OR(C33=0,C33&lt;1,C33&gt;$C$2),0,$J$2/$C$2+NORMDIST(C33,$C$2/2,$J$1,1)-NORMDIST(C32,$C$2/2,$J$1,1)))+IF(C33=$C$2,1-SUM($J$9:J32),0)</f>
        <v>2.5494201031247332E-2</v>
      </c>
      <c r="K33" s="542">
        <f t="shared" si="5"/>
        <v>1.2195121951219513E-2</v>
      </c>
      <c r="L33" s="542">
        <f t="shared" si="1"/>
        <v>2.3809523809523808E-2</v>
      </c>
      <c r="M33" s="542">
        <f>IF($C33&gt;$C$2,IF($C33=sales!$F$36,M$4,0),(1-M$4)/$C$2)</f>
        <v>2.0731707317073172E-2</v>
      </c>
      <c r="N33" s="542">
        <f>IF(ISEVEN($C$2),IF(C33&gt;$C$2,0,IF(C33&lt;=$C$2/2,C33,C33-1-2*(SUMPRODUCT(--($C$8:C33&gt;$C$2/2))-1))/(($C$2/2)*($C$2/2+1))),0)+IF(ISODD($C$2),IF(C33&gt;$C$2,0,IF(C33-1&lt;=$C$2/2,C33,C33-2*(SUMPRODUCT(--($C$8:C33&gt;$C$2/2))-1))/((INT($C$2/2))*(INT($C$2/2)+1)+ROUNDUP($C$2/2,0))),0)</f>
        <v>3.8548752834467119E-2</v>
      </c>
      <c r="O33" s="542"/>
      <c r="P33" s="542">
        <f t="shared" si="2"/>
        <v>0</v>
      </c>
      <c r="Q33" s="542">
        <f>IF($C33=general!$C$28,Q$4,IFERROR(($C33&lt;general!$C$23)*((1-Q$4)*Q$5)/(general!$C$23-1),0)+IFERROR(($C33&gt;=general!$C$23)*($C33&lt;=general!$C$27)*((1-Q$4)*Q$6)/(general!$C$27-general!$C$23+1),0))+IF(AND(general!$C$23&lt;=1,$C33&lt;=1),'draws%'!Q$5*(1-Q$4))</f>
        <v>3.125E-2</v>
      </c>
      <c r="R33" s="542">
        <f>IF($C33=general!$C$27,R$4,IFERROR(($C33&lt;general!$C$23)*((1-R$4)*R$5)/(general!$C$23-1),0)+IFERROR(($C33&gt;=general!$C$23)*($C33&lt;general!$C$27)*((1-R$4)*R$6)/(general!$C$27-general!$C$23),0))+IF(AND(general!$C$23&lt;=1,$C33&lt;=1),'draws%'!R$5*(1-R$4))</f>
        <v>2.8260869565217391E-2</v>
      </c>
      <c r="S33" s="542">
        <f>IF(OR(C33=general!$C$27,C33=general!$C$27-1),50%,0)</f>
        <v>0</v>
      </c>
      <c r="T33" s="542">
        <f>(C33&gt;=general!$C$26-6)*(C33&lt;general!$C$26)*1/6*0.5+(C33=3)*0.25+(C33=9)*0.25</f>
        <v>0</v>
      </c>
      <c r="U33" s="542">
        <f>IF(C33='Development Cash Flow'!$C$6,$U$5,0)+IF(C33=general!$C$27,$U$6,0)</f>
        <v>0</v>
      </c>
      <c r="V33" s="542">
        <f>IF(C33=general!$C$28,1,0)</f>
        <v>0</v>
      </c>
      <c r="W33" s="542">
        <f t="shared" si="10"/>
        <v>0</v>
      </c>
      <c r="X33" s="542">
        <f>IF(C33=general!$C$23,1,0)</f>
        <v>0</v>
      </c>
      <c r="Y33" s="542">
        <f>IFERROR((C33&lt;general!$C$23)*Y$5/(general!$C$23),0)+IFERROR((C33&gt;=general!$C$23)*(C33&lt;=general!$C$27)*Y$6/(general!$C$27-general!$C$23+1),0)</f>
        <v>0</v>
      </c>
      <c r="Z33" s="542">
        <f>IFERROR(($C33&lt;general!$C$23)*Z$5/(general!$C$23),0)+IFERROR(($C33&gt;=general!$C$23)*($C33&lt;=general!$C$27)*Z$6/(general!$C$27-general!$C$23+1),0)*(1-$Z$4)+$Z$4*AF33</f>
        <v>4.1666666666666664E-2</v>
      </c>
      <c r="AA33" s="542">
        <f>MAX((IFERROR(($C33&lt;general!$C$23)*AA$5/(general!$C$23),0)+IFERROR(($C33&gt;=general!$C$23)*($C33&lt;=general!$C$27)*AA$6/(general!$C$27-general!$C$23+1),0)),0)</f>
        <v>1.6666666666666666E-2</v>
      </c>
      <c r="AB33" s="542">
        <f>MAX((IFERROR(($C33&lt;general!$C$23)*AB$5/(general!$C$23),0)+IFERROR(($C33&gt;=general!$C$23)*($C33&lt;=general!$C$27)*AB$6/(general!$C$27-general!$C$23+1),0)),0)</f>
        <v>2.0833333333333332E-2</v>
      </c>
      <c r="AC33" s="542">
        <f>MAX((IFERROR(($C33&lt;general!$C$23)*AC$5/(general!$C$23),0)+IFERROR(($C33&gt;=general!$C$23)*($C33&lt;=general!$C$27)*AC$6/(general!$C$27-general!$C$23+1),0)),0)</f>
        <v>2.4999999999999998E-2</v>
      </c>
      <c r="AD33" s="542">
        <f>MAX((IFERROR(($C33&lt;general!$C$23)*AD$5/(general!$C$23),0)+IFERROR(($C33&gt;=general!$C$23)*($C33&lt;=general!$C$27)*AD$6/(general!$C$27-general!$C$23+1),0)),0)</f>
        <v>2.4999999999999998E-2</v>
      </c>
      <c r="AE33" s="542">
        <f t="shared" si="7"/>
        <v>0</v>
      </c>
      <c r="AF33" s="542">
        <f>+SUMPRODUCT(--($C33=sales!$C$50:$C$54),sales!$D$50:$D$54)</f>
        <v>0</v>
      </c>
      <c r="AG33" s="542">
        <f>IF($C33=general!$C$28,AG$4,IFERROR(($C33&lt;general!$C$23)*((1-AG$4)*AG$5)/(general!$C$23-1),0)+IFERROR(($C33&gt;=general!$C$23)*($C33&lt;=general!$C$27)*((1-AG$4)*AG$6)/(general!$C$27-general!$C$23+1),0))+IF(AND(general!$C$23&lt;=1,$C33&lt;=1),'draws%'!AG$5*(1-AG$4))</f>
        <v>3.5416666666666666E-2</v>
      </c>
      <c r="AH33" s="542">
        <f>+IF($C33=general!$C$21,1,0)</f>
        <v>0</v>
      </c>
      <c r="AK33" s="524">
        <f>IF(A33&lt;=general!$D$27,IF(MONTH(A33)=11,1,IF(C33=general!$C$27,1,0)),)</f>
        <v>0</v>
      </c>
      <c r="AL33" s="524">
        <f>IF(AK33=1,COUNTIFS($C$8:$C$128,"&lt;="&amp;general!$C$27&amp;"",'draws%'!$AM$8:$AM$128,"="&amp;AM33&amp;""),0)</f>
        <v>0</v>
      </c>
      <c r="AM33" s="524">
        <f t="shared" si="4"/>
        <v>2028</v>
      </c>
      <c r="AN33" s="524"/>
    </row>
    <row r="34" spans="1:40" ht="14">
      <c r="A34" s="903">
        <f t="shared" si="8"/>
        <v>47057</v>
      </c>
      <c r="C34" s="897">
        <f t="shared" si="9"/>
        <v>26</v>
      </c>
      <c r="D34" s="542"/>
      <c r="E34" s="542">
        <f>IF($C34=$C$2,0,IF(OR($C34=0,$C34&lt;general!$C$23,$C34&gt;$C$2),0,E$2/$C$3+NORMDIST($C34-general!$C$23+1,$C$3/2,E$1,1)-NORMDIST($C33-general!$C$23+1,$C$3/2,E$1,1)))+IF($C34=$C$2,1-SUM(E$8:E33),0)</f>
        <v>5.0859961373694085E-2</v>
      </c>
      <c r="F34" s="542">
        <f>IF($C34=$C$2,0,IF(OR($C34=0,$C34&lt;general!$C$23,$C34&gt;$C$2),0,F$2/$C$3+NORMDIST($C34-general!$C$23+1,$C$3/2,F$1,1)-NORMDIST($C33-general!$C$23+1,$C$3/2,F$1,1)))+IF($C34=$C$2,1-SUM(F$8:F33),0)</f>
        <v>4.5073605296267416E-2</v>
      </c>
      <c r="G34" s="542">
        <f>IF($C34=$C$2,0,IF(OR($C34=0,$C34&lt;general!$C$23,$C34&gt;$C$2),0,G$2/$C$3+NORMDIST($C34-general!$C$23+1,$C$3/2,G$1,1)-NORMDIST($C33-general!$C$23+1,$C$3/2,G$1,1)))+IF($C34=$C$2,1-SUM(G$8:G33),0)</f>
        <v>4.322625022509885E-2</v>
      </c>
      <c r="H34" s="542">
        <f>IF(C34=$C$2,0,IF(OR(C34=0,C34&lt;1,C34&gt;$C$2),0,$H$2/$C$2+NORMDIST(C34,$C$2/2,$H$1,1)-NORMDIST(C33,$C$2/2,$H$1,1)))+IF(C34=$C$2,1-SUM($H$9:H33),0)</f>
        <v>3.0554864359804701E-2</v>
      </c>
      <c r="I34" s="542">
        <f>IF(C34=$C$2,0,IF(OR(C34=0,C34&lt;1,C34&gt;$C$2),0,$I$2/$C$2+NORMDIST(C34,$C$2/2,$I$1,1)-NORMDIST(C33,$C$2/2,$I$1,1)))+IF(C34=$C$2,1-SUM($I$9:I33),0)</f>
        <v>2.6627802263970768E-2</v>
      </c>
      <c r="J34" s="542">
        <f>IF(C34=$C$2,0,IF(OR(C34=0,C34&lt;1,C34&gt;$C$2),0,$J$2/$C$2+NORMDIST(C34,$C$2/2,$J$1,1)-NORMDIST(C33,$C$2/2,$J$1,1)))+IF(C34=$C$2,1-SUM($J$9:J33),0)</f>
        <v>2.5407501821929523E-2</v>
      </c>
      <c r="K34" s="542">
        <f t="shared" si="5"/>
        <v>1.2195121951219513E-2</v>
      </c>
      <c r="L34" s="542">
        <f t="shared" si="1"/>
        <v>2.3809523809523808E-2</v>
      </c>
      <c r="M34" s="542">
        <f>IF($C34&gt;$C$2,IF($C34=sales!$F$36,M$4,0),(1-M$4)/$C$2)</f>
        <v>2.0731707317073172E-2</v>
      </c>
      <c r="N34" s="542">
        <f>IF(ISEVEN($C$2),IF(C34&gt;$C$2,0,IF(C34&lt;=$C$2/2,C34,C34-1-2*(SUMPRODUCT(--($C$8:C34&gt;$C$2/2))-1))/(($C$2/2)*($C$2/2+1))),0)+IF(ISODD($C$2),IF(C34&gt;$C$2,0,IF(C34-1&lt;=$C$2/2,C34,C34-2*(SUMPRODUCT(--($C$8:C34&gt;$C$2/2))-1))/((INT($C$2/2))*(INT($C$2/2)+1)+ROUNDUP($C$2/2,0))),0)</f>
        <v>3.6281179138321996E-2</v>
      </c>
      <c r="O34" s="542"/>
      <c r="P34" s="542">
        <f t="shared" si="2"/>
        <v>0</v>
      </c>
      <c r="Q34" s="542">
        <f>IF($C34=general!$C$28,Q$4,IFERROR(($C34&lt;general!$C$23)*((1-Q$4)*Q$5)/(general!$C$23-1),0)+IFERROR(($C34&gt;=general!$C$23)*($C34&lt;=general!$C$27)*((1-Q$4)*Q$6)/(general!$C$27-general!$C$23+1),0))+IF(AND(general!$C$23&lt;=1,$C34&lt;=1),'draws%'!Q$5*(1-Q$4))</f>
        <v>3.125E-2</v>
      </c>
      <c r="R34" s="542">
        <f>IF($C34=general!$C$27,R$4,IFERROR(($C34&lt;general!$C$23)*((1-R$4)*R$5)/(general!$C$23-1),0)+IFERROR(($C34&gt;=general!$C$23)*($C34&lt;general!$C$27)*((1-R$4)*R$6)/(general!$C$27-general!$C$23),0))+IF(AND(general!$C$23&lt;=1,$C34&lt;=1),'draws%'!R$5*(1-R$4))</f>
        <v>2.8260869565217391E-2</v>
      </c>
      <c r="S34" s="542">
        <f>IF(OR(C34=general!$C$27,C34=general!$C$27-1),50%,0)</f>
        <v>0</v>
      </c>
      <c r="T34" s="542">
        <f>(C34&gt;=general!$C$26-6)*(C34&lt;general!$C$26)*1/6*0.5+(C34=3)*0.25+(C34=9)*0.25</f>
        <v>0</v>
      </c>
      <c r="U34" s="542">
        <f>IF(C34='Development Cash Flow'!$C$6,$U$5,0)+IF(C34=general!$C$27,$U$6,0)</f>
        <v>0</v>
      </c>
      <c r="V34" s="542">
        <f>IF(C34=general!$C$28,1,0)</f>
        <v>0</v>
      </c>
      <c r="W34" s="542">
        <f t="shared" si="10"/>
        <v>0</v>
      </c>
      <c r="X34" s="542">
        <f>IF(C34=general!$C$23,1,0)</f>
        <v>0</v>
      </c>
      <c r="Y34" s="542">
        <f>IFERROR((C34&lt;general!$C$23)*Y$5/(general!$C$23),0)+IFERROR((C34&gt;=general!$C$23)*(C34&lt;=general!$C$27)*Y$6/(general!$C$27-general!$C$23+1),0)</f>
        <v>0</v>
      </c>
      <c r="Z34" s="542">
        <f>IFERROR(($C34&lt;general!$C$23)*Z$5/(general!$C$23),0)+IFERROR(($C34&gt;=general!$C$23)*($C34&lt;=general!$C$27)*Z$6/(general!$C$27-general!$C$23+1),0)*(1-$Z$4)+$Z$4*AF34</f>
        <v>4.1666666666666664E-2</v>
      </c>
      <c r="AA34" s="542">
        <f>MAX((IFERROR(($C34&lt;general!$C$23)*AA$5/(general!$C$23),0)+IFERROR(($C34&gt;=general!$C$23)*($C34&lt;=general!$C$27)*AA$6/(general!$C$27-general!$C$23+1),0)),0)</f>
        <v>1.6666666666666666E-2</v>
      </c>
      <c r="AB34" s="542">
        <f>MAX((IFERROR(($C34&lt;general!$C$23)*AB$5/(general!$C$23),0)+IFERROR(($C34&gt;=general!$C$23)*($C34&lt;=general!$C$27)*AB$6/(general!$C$27-general!$C$23+1),0)),0)</f>
        <v>2.0833333333333332E-2</v>
      </c>
      <c r="AC34" s="542">
        <f>MAX((IFERROR(($C34&lt;general!$C$23)*AC$5/(general!$C$23),0)+IFERROR(($C34&gt;=general!$C$23)*($C34&lt;=general!$C$27)*AC$6/(general!$C$27-general!$C$23+1),0)),0)</f>
        <v>2.4999999999999998E-2</v>
      </c>
      <c r="AD34" s="542">
        <f>MAX((IFERROR(($C34&lt;general!$C$23)*AD$5/(general!$C$23),0)+IFERROR(($C34&gt;=general!$C$23)*($C34&lt;=general!$C$27)*AD$6/(general!$C$27-general!$C$23+1),0)),0)</f>
        <v>2.4999999999999998E-2</v>
      </c>
      <c r="AE34" s="542">
        <f t="shared" si="7"/>
        <v>0</v>
      </c>
      <c r="AF34" s="542">
        <f>+SUMPRODUCT(--($C34=sales!$C$50:$C$54),sales!$D$50:$D$54)</f>
        <v>0</v>
      </c>
      <c r="AG34" s="542">
        <f>IF($C34=general!$C$28,AG$4,IFERROR(($C34&lt;general!$C$23)*((1-AG$4)*AG$5)/(general!$C$23-1),0)+IFERROR(($C34&gt;=general!$C$23)*($C34&lt;=general!$C$27)*((1-AG$4)*AG$6)/(general!$C$27-general!$C$23+1),0))+IF(AND(general!$C$23&lt;=1,$C34&lt;=1),'draws%'!AG$5*(1-AG$4))</f>
        <v>3.5416666666666666E-2</v>
      </c>
      <c r="AH34" s="542">
        <f>+IF($C34=general!$C$21,1,0)</f>
        <v>0</v>
      </c>
      <c r="AK34" s="524">
        <f>IF(A34&lt;=general!$D$27,IF(MONTH(A34)=11,1,IF(C34=general!$C$27,1,0)),)</f>
        <v>0</v>
      </c>
      <c r="AL34" s="524">
        <f>IF(AK34=1,COUNTIFS($C$8:$C$128,"&lt;="&amp;general!$C$27&amp;"",'draws%'!$AM$8:$AM$128,"="&amp;AM34&amp;""),0)</f>
        <v>0</v>
      </c>
      <c r="AM34" s="524">
        <f t="shared" si="4"/>
        <v>2028</v>
      </c>
      <c r="AN34" s="524"/>
    </row>
    <row r="35" spans="1:40" ht="14">
      <c r="A35" s="903">
        <f t="shared" si="8"/>
        <v>47087</v>
      </c>
      <c r="C35" s="897">
        <f t="shared" si="9"/>
        <v>27</v>
      </c>
      <c r="D35" s="542"/>
      <c r="E35" s="542">
        <f>IF($C35=$C$2,0,IF(OR($C35=0,$C35&lt;general!$C$23,$C35&gt;$C$2),0,E$2/$C$3+NORMDIST($C35-general!$C$23+1,$C$3/2,E$1,1)-NORMDIST($C34-general!$C$23+1,$C$3/2,E$1,1)))+IF($C35=$C$2,1-SUM(E$8:E34),0)</f>
        <v>5.3030707762204976E-2</v>
      </c>
      <c r="F35" s="542">
        <f>IF($C35=$C$2,0,IF(OR($C35=0,$C35&lt;general!$C$23,$C35&gt;$C$2),0,F$2/$C$3+NORMDIST($C35-general!$C$23+1,$C$3/2,F$1,1)-NORMDIST($C34-general!$C$23+1,$C$3/2,F$1,1)))+IF($C35=$C$2,1-SUM(F$8:F34),0)</f>
        <v>4.5743764232974771E-2</v>
      </c>
      <c r="G35" s="542">
        <f>IF($C35=$C$2,0,IF(OR($C35=0,$C35&lt;general!$C$23,$C35&gt;$C$2),0,G$2/$C$3+NORMDIST($C35-general!$C$23+1,$C$3/2,G$1,1)-NORMDIST($C34-general!$C$23+1,$C$3/2,G$1,1)))+IF($C35=$C$2,1-SUM(G$8:G34),0)</f>
        <v>4.3513076023856678E-2</v>
      </c>
      <c r="H35" s="542">
        <f>IF(C35=$C$2,0,IF(OR(C35=0,C35&lt;1,C35&gt;$C$2),0,$H$2/$C$2+NORMDIST(C35,$C$2/2,$H$1,1)-NORMDIST(C34,$C$2/2,$H$1,1)))+IF(C35=$C$2,1-SUM($H$9:H34),0)</f>
        <v>2.9763153511327634E-2</v>
      </c>
      <c r="I35" s="542">
        <f>IF(C35=$C$2,0,IF(OR(C35=0,C35&lt;1,C35&gt;$C$2),0,$I$2/$C$2+NORMDIST(C35,$C$2/2,$I$1,1)-NORMDIST(C34,$C$2/2,$I$1,1)))+IF(C35=$C$2,1-SUM($I$9:I34),0)</f>
        <v>2.6382258689980009E-2</v>
      </c>
      <c r="J35" s="542">
        <f>IF(C35=$C$2,0,IF(OR(C35=0,C35&lt;1,C35&gt;$C$2),0,$J$2/$C$2+NORMDIST(C35,$C$2/2,$J$1,1)-NORMDIST(C34,$C$2/2,$J$1,1)))+IF(C35=$C$2,1-SUM($J$9:J34),0)</f>
        <v>2.5302242766386152E-2</v>
      </c>
      <c r="K35" s="542">
        <f t="shared" si="5"/>
        <v>1.2195121951219513E-2</v>
      </c>
      <c r="L35" s="542">
        <f t="shared" si="1"/>
        <v>2.3809523809523808E-2</v>
      </c>
      <c r="M35" s="542">
        <f>IF($C35&gt;$C$2,IF($C35=sales!$F$36,M$4,0),(1-M$4)/$C$2)</f>
        <v>2.0731707317073172E-2</v>
      </c>
      <c r="N35" s="542">
        <f>IF(ISEVEN($C$2),IF(C35&gt;$C$2,0,IF(C35&lt;=$C$2/2,C35,C35-1-2*(SUMPRODUCT(--($C$8:C35&gt;$C$2/2))-1))/(($C$2/2)*($C$2/2+1))),0)+IF(ISODD($C$2),IF(C35&gt;$C$2,0,IF(C35-1&lt;=$C$2/2,C35,C35-2*(SUMPRODUCT(--($C$8:C35&gt;$C$2/2))-1))/((INT($C$2/2))*(INT($C$2/2)+1)+ROUNDUP($C$2/2,0))),0)</f>
        <v>3.4013605442176874E-2</v>
      </c>
      <c r="O35" s="542"/>
      <c r="P35" s="542">
        <f t="shared" si="2"/>
        <v>0</v>
      </c>
      <c r="Q35" s="542">
        <f>IF($C35=general!$C$28,Q$4,IFERROR(($C35&lt;general!$C$23)*((1-Q$4)*Q$5)/(general!$C$23-1),0)+IFERROR(($C35&gt;=general!$C$23)*($C35&lt;=general!$C$27)*((1-Q$4)*Q$6)/(general!$C$27-general!$C$23+1),0))+IF(AND(general!$C$23&lt;=1,$C35&lt;=1),'draws%'!Q$5*(1-Q$4))</f>
        <v>3.125E-2</v>
      </c>
      <c r="R35" s="542">
        <f>IF($C35=general!$C$27,R$4,IFERROR(($C35&lt;general!$C$23)*((1-R$4)*R$5)/(general!$C$23-1),0)+IFERROR(($C35&gt;=general!$C$23)*($C35&lt;general!$C$27)*((1-R$4)*R$6)/(general!$C$27-general!$C$23),0))+IF(AND(general!$C$23&lt;=1,$C35&lt;=1),'draws%'!R$5*(1-R$4))</f>
        <v>2.8260869565217391E-2</v>
      </c>
      <c r="S35" s="542">
        <f>IF(OR(C35=general!$C$27,C35=general!$C$27-1),50%,0)</f>
        <v>0</v>
      </c>
      <c r="T35" s="542">
        <f>(C35&gt;=general!$C$26-6)*(C35&lt;general!$C$26)*1/6*0.5+(C35=3)*0.25+(C35=9)*0.25</f>
        <v>0</v>
      </c>
      <c r="U35" s="542">
        <f>IF(C35='Development Cash Flow'!$C$6,$U$5,0)+IF(C35=general!$C$27,$U$6,0)</f>
        <v>0</v>
      </c>
      <c r="V35" s="542">
        <f>IF(C35=general!$C$28,1,0)</f>
        <v>0</v>
      </c>
      <c r="W35" s="542">
        <f t="shared" si="10"/>
        <v>0</v>
      </c>
      <c r="X35" s="542">
        <f>IF(C35=general!$C$23,1,0)</f>
        <v>0</v>
      </c>
      <c r="Y35" s="542">
        <f>IFERROR((C35&lt;general!$C$23)*Y$5/(general!$C$23),0)+IFERROR((C35&gt;=general!$C$23)*(C35&lt;=general!$C$27)*Y$6/(general!$C$27-general!$C$23+1),0)</f>
        <v>0</v>
      </c>
      <c r="Z35" s="542">
        <f>IFERROR(($C35&lt;general!$C$23)*Z$5/(general!$C$23),0)+IFERROR(($C35&gt;=general!$C$23)*($C35&lt;=general!$C$27)*Z$6/(general!$C$27-general!$C$23+1),0)*(1-$Z$4)+$Z$4*AF35</f>
        <v>4.1666666666666664E-2</v>
      </c>
      <c r="AA35" s="542">
        <f>MAX((IFERROR(($C35&lt;general!$C$23)*AA$5/(general!$C$23),0)+IFERROR(($C35&gt;=general!$C$23)*($C35&lt;=general!$C$27)*AA$6/(general!$C$27-general!$C$23+1),0)),0)</f>
        <v>1.6666666666666666E-2</v>
      </c>
      <c r="AB35" s="542">
        <f>MAX((IFERROR(($C35&lt;general!$C$23)*AB$5/(general!$C$23),0)+IFERROR(($C35&gt;=general!$C$23)*($C35&lt;=general!$C$27)*AB$6/(general!$C$27-general!$C$23+1),0)),0)</f>
        <v>2.0833333333333332E-2</v>
      </c>
      <c r="AC35" s="542">
        <f>MAX((IFERROR(($C35&lt;general!$C$23)*AC$5/(general!$C$23),0)+IFERROR(($C35&gt;=general!$C$23)*($C35&lt;=general!$C$27)*AC$6/(general!$C$27-general!$C$23+1),0)),0)</f>
        <v>2.4999999999999998E-2</v>
      </c>
      <c r="AD35" s="542">
        <f>MAX((IFERROR(($C35&lt;general!$C$23)*AD$5/(general!$C$23),0)+IFERROR(($C35&gt;=general!$C$23)*($C35&lt;=general!$C$27)*AD$6/(general!$C$27-general!$C$23+1),0)),0)</f>
        <v>2.4999999999999998E-2</v>
      </c>
      <c r="AE35" s="542">
        <f t="shared" si="7"/>
        <v>0.2857142857142857</v>
      </c>
      <c r="AF35" s="542">
        <f>+SUMPRODUCT(--($C35=sales!$C$50:$C$54),sales!$D$50:$D$54)</f>
        <v>0</v>
      </c>
      <c r="AG35" s="542">
        <f>IF($C35=general!$C$28,AG$4,IFERROR(($C35&lt;general!$C$23)*((1-AG$4)*AG$5)/(general!$C$23-1),0)+IFERROR(($C35&gt;=general!$C$23)*($C35&lt;=general!$C$27)*((1-AG$4)*AG$6)/(general!$C$27-general!$C$23+1),0))+IF(AND(general!$C$23&lt;=1,$C35&lt;=1),'draws%'!AG$5*(1-AG$4))</f>
        <v>3.5416666666666666E-2</v>
      </c>
      <c r="AH35" s="542">
        <f>+IF($C35=general!$C$21,1,0)</f>
        <v>0</v>
      </c>
      <c r="AK35" s="524">
        <f>IF(A35&lt;=general!$D$27,IF(MONTH(A35)=11,1,IF(C35=general!$C$27,1,0)),)</f>
        <v>1</v>
      </c>
      <c r="AL35" s="524">
        <f>IF(AK35=1,COUNTIFS($C$8:$C$128,"&lt;="&amp;general!$C$27&amp;"",'draws%'!$AM$8:$AM$128,"="&amp;AM35&amp;""),0)</f>
        <v>12</v>
      </c>
      <c r="AM35" s="524">
        <f t="shared" si="4"/>
        <v>2028</v>
      </c>
      <c r="AN35" s="524"/>
    </row>
    <row r="36" spans="1:40" ht="14">
      <c r="A36" s="903">
        <f t="shared" si="8"/>
        <v>47118</v>
      </c>
      <c r="C36" s="897">
        <f t="shared" si="9"/>
        <v>28</v>
      </c>
      <c r="D36" s="542"/>
      <c r="E36" s="542">
        <f>IF($C36=$C$2,0,IF(OR($C36=0,$C36&lt;general!$C$23,$C36&gt;$C$2),0,E$2/$C$3+NORMDIST($C36-general!$C$23+1,$C$3/2,E$1,1)-NORMDIST($C35-general!$C$23+1,$C$3/2,E$1,1)))+IF($C36=$C$2,1-SUM(E$8:E35),0)</f>
        <v>5.4535367625215603E-2</v>
      </c>
      <c r="F36" s="542">
        <f>IF($C36=$C$2,0,IF(OR($C36=0,$C36&lt;general!$C$23,$C36&gt;$C$2),0,F$2/$C$3+NORMDIST($C36-general!$C$23+1,$C$3/2,F$1,1)-NORMDIST($C35-general!$C$23+1,$C$3/2,F$1,1)))+IF($C36=$C$2,1-SUM(F$8:F35),0)</f>
        <v>4.6198351919236103E-2</v>
      </c>
      <c r="G36" s="542">
        <f>IF($C36=$C$2,0,IF(OR($C36=0,$C36&lt;general!$C$23,$C36&gt;$C$2),0,G$2/$C$3+NORMDIST($C36-general!$C$23+1,$C$3/2,G$1,1)-NORMDIST($C35-general!$C$23+1,$C$3/2,G$1,1)))+IF($C36=$C$2,1-SUM(G$8:G35),0)</f>
        <v>4.3706168498938047E-2</v>
      </c>
      <c r="H36" s="542">
        <f>IF(C36=$C$2,0,IF(OR(C36=0,C36&lt;1,C36&gt;$C$2),0,$H$2/$C$2+NORMDIST(C36,$C$2/2,$H$1,1)-NORMDIST(C35,$C$2/2,$H$1,1)))+IF(C36=$C$2,1-SUM($H$9:H35),0)</f>
        <v>2.8857048473425184E-2</v>
      </c>
      <c r="I36" s="542">
        <f>IF(C36=$C$2,0,IF(OR(C36=0,C36&lt;1,C36&gt;$C$2),0,$I$2/$C$2+NORMDIST(C36,$C$2/2,$I$1,1)-NORMDIST(C35,$C$2/2,$I$1,1)))+IF(C36=$C$2,1-SUM($I$9:I35),0)</f>
        <v>2.6096182849533633E-2</v>
      </c>
      <c r="J36" s="542">
        <f>IF(C36=$C$2,0,IF(OR(C36=0,C36&lt;1,C36&gt;$C$2),0,$J$2/$C$2+NORMDIST(C36,$C$2/2,$J$1,1)-NORMDIST(C35,$C$2/2,$J$1,1)))+IF(C36=$C$2,1-SUM($J$9:J35),0)</f>
        <v>2.5178840503474076E-2</v>
      </c>
      <c r="K36" s="542">
        <f t="shared" si="5"/>
        <v>1.2195121951219513E-2</v>
      </c>
      <c r="L36" s="542">
        <f t="shared" si="1"/>
        <v>2.3809523809523808E-2</v>
      </c>
      <c r="M36" s="542">
        <f>IF($C36&gt;$C$2,IF($C36=sales!$F$36,M$4,0),(1-M$4)/$C$2)</f>
        <v>2.0731707317073172E-2</v>
      </c>
      <c r="N36" s="542">
        <f>IF(ISEVEN($C$2),IF(C36&gt;$C$2,0,IF(C36&lt;=$C$2/2,C36,C36-1-2*(SUMPRODUCT(--($C$8:C36&gt;$C$2/2))-1))/(($C$2/2)*($C$2/2+1))),0)+IF(ISODD($C$2),IF(C36&gt;$C$2,0,IF(C36-1&lt;=$C$2/2,C36,C36-2*(SUMPRODUCT(--($C$8:C36&gt;$C$2/2))-1))/((INT($C$2/2))*(INT($C$2/2)+1)+ROUNDUP($C$2/2,0))),0)</f>
        <v>3.1746031746031744E-2</v>
      </c>
      <c r="O36" s="542"/>
      <c r="P36" s="542">
        <f t="shared" si="2"/>
        <v>0</v>
      </c>
      <c r="Q36" s="542">
        <f>IF($C36=general!$C$28,Q$4,IFERROR(($C36&lt;general!$C$23)*((1-Q$4)*Q$5)/(general!$C$23-1),0)+IFERROR(($C36&gt;=general!$C$23)*($C36&lt;=general!$C$27)*((1-Q$4)*Q$6)/(general!$C$27-general!$C$23+1),0))+IF(AND(general!$C$23&lt;=1,$C36&lt;=1),'draws%'!Q$5*(1-Q$4))</f>
        <v>3.125E-2</v>
      </c>
      <c r="R36" s="542">
        <f>IF($C36=general!$C$27,R$4,IFERROR(($C36&lt;general!$C$23)*((1-R$4)*R$5)/(general!$C$23-1),0)+IFERROR(($C36&gt;=general!$C$23)*($C36&lt;general!$C$27)*((1-R$4)*R$6)/(general!$C$27-general!$C$23),0))+IF(AND(general!$C$23&lt;=1,$C36&lt;=1),'draws%'!R$5*(1-R$4))</f>
        <v>2.8260869565217391E-2</v>
      </c>
      <c r="S36" s="542">
        <f>IF(OR(C36=general!$C$27,C36=general!$C$27-1),50%,0)</f>
        <v>0</v>
      </c>
      <c r="T36" s="542">
        <f>(C36&gt;=general!$C$26-6)*(C36&lt;general!$C$26)*1/6*0.5+(C36=3)*0.25+(C36=9)*0.25</f>
        <v>0</v>
      </c>
      <c r="U36" s="542">
        <f>IF(C36='Development Cash Flow'!$C$6,$U$5,0)+IF(C36=general!$C$27,$U$6,0)</f>
        <v>0</v>
      </c>
      <c r="V36" s="542">
        <f>IF(C36=general!$C$28,1,0)</f>
        <v>0</v>
      </c>
      <c r="W36" s="542">
        <f t="shared" si="10"/>
        <v>0</v>
      </c>
      <c r="X36" s="542">
        <f>IF(C36=general!$C$23,1,0)</f>
        <v>0</v>
      </c>
      <c r="Y36" s="542">
        <f>IFERROR((C36&lt;general!$C$23)*Y$5/(general!$C$23),0)+IFERROR((C36&gt;=general!$C$23)*(C36&lt;=general!$C$27)*Y$6/(general!$C$27-general!$C$23+1),0)</f>
        <v>0</v>
      </c>
      <c r="Z36" s="542">
        <f>IFERROR(($C36&lt;general!$C$23)*Z$5/(general!$C$23),0)+IFERROR(($C36&gt;=general!$C$23)*($C36&lt;=general!$C$27)*Z$6/(general!$C$27-general!$C$23+1),0)*(1-$Z$4)+$Z$4*AF36</f>
        <v>4.1666666666666664E-2</v>
      </c>
      <c r="AA36" s="542">
        <f>MAX((IFERROR(($C36&lt;general!$C$23)*AA$5/(general!$C$23),0)+IFERROR(($C36&gt;=general!$C$23)*($C36&lt;=general!$C$27)*AA$6/(general!$C$27-general!$C$23+1),0)),0)</f>
        <v>1.6666666666666666E-2</v>
      </c>
      <c r="AB36" s="542">
        <f>MAX((IFERROR(($C36&lt;general!$C$23)*AB$5/(general!$C$23),0)+IFERROR(($C36&gt;=general!$C$23)*($C36&lt;=general!$C$27)*AB$6/(general!$C$27-general!$C$23+1),0)),0)</f>
        <v>2.0833333333333332E-2</v>
      </c>
      <c r="AC36" s="542">
        <f>MAX((IFERROR(($C36&lt;general!$C$23)*AC$5/(general!$C$23),0)+IFERROR(($C36&gt;=general!$C$23)*($C36&lt;=general!$C$27)*AC$6/(general!$C$27-general!$C$23+1),0)),0)</f>
        <v>2.4999999999999998E-2</v>
      </c>
      <c r="AD36" s="542">
        <f>MAX((IFERROR(($C36&lt;general!$C$23)*AD$5/(general!$C$23),0)+IFERROR(($C36&gt;=general!$C$23)*($C36&lt;=general!$C$27)*AD$6/(general!$C$27-general!$C$23+1),0)),0)</f>
        <v>2.4999999999999998E-2</v>
      </c>
      <c r="AE36" s="542">
        <f t="shared" si="7"/>
        <v>0</v>
      </c>
      <c r="AF36" s="542">
        <f>+SUMPRODUCT(--($C36=sales!$C$50:$C$54),sales!$D$50:$D$54)</f>
        <v>0</v>
      </c>
      <c r="AG36" s="542">
        <f>IF($C36=general!$C$28,AG$4,IFERROR(($C36&lt;general!$C$23)*((1-AG$4)*AG$5)/(general!$C$23-1),0)+IFERROR(($C36&gt;=general!$C$23)*($C36&lt;=general!$C$27)*((1-AG$4)*AG$6)/(general!$C$27-general!$C$23+1),0))+IF(AND(general!$C$23&lt;=1,$C36&lt;=1),'draws%'!AG$5*(1-AG$4))</f>
        <v>3.5416666666666666E-2</v>
      </c>
      <c r="AH36" s="542">
        <f>+IF($C36=general!$C$21,1,0)</f>
        <v>0</v>
      </c>
      <c r="AK36" s="524">
        <f>IF(A36&lt;=general!$D$27,IF(MONTH(A36)=11,1,IF(C36=general!$C$27,1,0)),)</f>
        <v>0</v>
      </c>
      <c r="AL36" s="524">
        <f>IF(AK36=1,COUNTIFS($C$8:$C$128,"&lt;="&amp;general!$C$27&amp;"",'draws%'!$AM$8:$AM$128,"="&amp;AM36&amp;""),0)</f>
        <v>0</v>
      </c>
      <c r="AM36" s="524">
        <f t="shared" si="4"/>
        <v>2028</v>
      </c>
      <c r="AN36" s="524"/>
    </row>
    <row r="37" spans="1:40" ht="14">
      <c r="A37" s="903">
        <f t="shared" si="8"/>
        <v>47149</v>
      </c>
      <c r="C37" s="897">
        <f t="shared" si="9"/>
        <v>29</v>
      </c>
      <c r="D37" s="542"/>
      <c r="E37" s="542">
        <f>IF($C37=$C$2,0,IF(OR($C37=0,$C37&lt;general!$C$23,$C37&gt;$C$2),0,E$2/$C$3+NORMDIST($C37-general!$C$23+1,$C$3/2,E$1,1)-NORMDIST($C36-general!$C$23+1,$C$3/2,E$1,1)))+IF($C37=$C$2,1-SUM(E$8:E36),0)</f>
        <v>5.5305491602517742E-2</v>
      </c>
      <c r="F37" s="542">
        <f>IF($C37=$C$2,0,IF(OR($C37=0,$C37&lt;general!$C$23,$C37&gt;$C$2),0,F$2/$C$3+NORMDIST($C37-general!$C$23+1,$C$3/2,F$1,1)-NORMDIST($C36-general!$C$23+1,$C$3/2,F$1,1)))+IF($C37=$C$2,1-SUM(F$8:F36),0)</f>
        <v>4.6428023013577013E-2</v>
      </c>
      <c r="G37" s="542">
        <f>IF($C37=$C$2,0,IF(OR($C37=0,$C37&lt;general!$C$23,$C37&gt;$C$2),0,G$2/$C$3+NORMDIST($C37-general!$C$23+1,$C$3/2,G$1,1)-NORMDIST($C36-general!$C$23+1,$C$3/2,G$1,1)))+IF($C37=$C$2,1-SUM(G$8:G36),0)</f>
        <v>4.3803281727319565E-2</v>
      </c>
      <c r="H37" s="542">
        <f>IF(C37=$C$2,0,IF(OR(C37=0,C37&lt;1,C37&gt;$C$2),0,$H$2/$C$2+NORMDIST(C37,$C$2/2,$H$1,1)-NORMDIST(C36,$C$2/2,$H$1,1)))+IF(C37=$C$2,1-SUM($H$9:H36),0)</f>
        <v>2.7849966982799734E-2</v>
      </c>
      <c r="I37" s="542">
        <f>IF(C37=$C$2,0,IF(OR(C37=0,C37&lt;1,C37&gt;$C$2),0,$I$2/$C$2+NORMDIST(C37,$C$2/2,$I$1,1)-NORMDIST(C36,$C$2/2,$I$1,1)))+IF(C37=$C$2,1-SUM($I$9:I36),0)</f>
        <v>2.5771545845222454E-2</v>
      </c>
      <c r="J37" s="542">
        <f>IF(C37=$C$2,0,IF(OR(C37=0,C37&lt;1,C37&gt;$C$2),0,$J$2/$C$2+NORMDIST(C37,$C$2/2,$J$1,1)-NORMDIST(C36,$C$2/2,$J$1,1)))+IF(C37=$C$2,1-SUM($J$9:J36),0)</f>
        <v>2.5037780838049417E-2</v>
      </c>
      <c r="K37" s="542">
        <f t="shared" si="5"/>
        <v>1.2195121951219513E-2</v>
      </c>
      <c r="L37" s="542">
        <f t="shared" si="1"/>
        <v>2.3809523809523808E-2</v>
      </c>
      <c r="M37" s="542">
        <f>IF($C37&gt;$C$2,IF($C37=sales!$F$36,M$4,0),(1-M$4)/$C$2)</f>
        <v>2.0731707317073172E-2</v>
      </c>
      <c r="N37" s="542">
        <f>IF(ISEVEN($C$2),IF(C37&gt;$C$2,0,IF(C37&lt;=$C$2/2,C37,C37-1-2*(SUMPRODUCT(--($C$8:C37&gt;$C$2/2))-1))/(($C$2/2)*($C$2/2+1))),0)+IF(ISODD($C$2),IF(C37&gt;$C$2,0,IF(C37-1&lt;=$C$2/2,C37,C37-2*(SUMPRODUCT(--($C$8:C37&gt;$C$2/2))-1))/((INT($C$2/2))*(INT($C$2/2)+1)+ROUNDUP($C$2/2,0))),0)</f>
        <v>2.9478458049886622E-2</v>
      </c>
      <c r="O37" s="542"/>
      <c r="P37" s="542">
        <f t="shared" si="2"/>
        <v>0</v>
      </c>
      <c r="Q37" s="542">
        <f>IF($C37=general!$C$28,Q$4,IFERROR(($C37&lt;general!$C$23)*((1-Q$4)*Q$5)/(general!$C$23-1),0)+IFERROR(($C37&gt;=general!$C$23)*($C37&lt;=general!$C$27)*((1-Q$4)*Q$6)/(general!$C$27-general!$C$23+1),0))+IF(AND(general!$C$23&lt;=1,$C37&lt;=1),'draws%'!Q$5*(1-Q$4))</f>
        <v>3.125E-2</v>
      </c>
      <c r="R37" s="542">
        <f>IF($C37=general!$C$27,R$4,IFERROR(($C37&lt;general!$C$23)*((1-R$4)*R$5)/(general!$C$23-1),0)+IFERROR(($C37&gt;=general!$C$23)*($C37&lt;general!$C$27)*((1-R$4)*R$6)/(general!$C$27-general!$C$23),0))+IF(AND(general!$C$23&lt;=1,$C37&lt;=1),'draws%'!R$5*(1-R$4))</f>
        <v>2.8260869565217391E-2</v>
      </c>
      <c r="S37" s="542">
        <f>IF(OR(C37=general!$C$27,C37=general!$C$27-1),50%,0)</f>
        <v>0</v>
      </c>
      <c r="T37" s="542">
        <f>(C37&gt;=general!$C$26-6)*(C37&lt;general!$C$26)*1/6*0.5+(C37=3)*0.25+(C37=9)*0.25</f>
        <v>0</v>
      </c>
      <c r="U37" s="542">
        <f>IF(C37='Development Cash Flow'!$C$6,$U$5,0)+IF(C37=general!$C$27,$U$6,0)</f>
        <v>0</v>
      </c>
      <c r="V37" s="542">
        <f>IF(C37=general!$C$28,1,0)</f>
        <v>0</v>
      </c>
      <c r="W37" s="542">
        <f t="shared" si="10"/>
        <v>0</v>
      </c>
      <c r="X37" s="542">
        <f>IF(C37=general!$C$23,1,0)</f>
        <v>0</v>
      </c>
      <c r="Y37" s="542">
        <f>IFERROR((C37&lt;general!$C$23)*Y$5/(general!$C$23),0)+IFERROR((C37&gt;=general!$C$23)*(C37&lt;=general!$C$27)*Y$6/(general!$C$27-general!$C$23+1),0)</f>
        <v>0</v>
      </c>
      <c r="Z37" s="542">
        <f>IFERROR(($C37&lt;general!$C$23)*Z$5/(general!$C$23),0)+IFERROR(($C37&gt;=general!$C$23)*($C37&lt;=general!$C$27)*Z$6/(general!$C$27-general!$C$23+1),0)*(1-$Z$4)+$Z$4*AF37</f>
        <v>4.1666666666666664E-2</v>
      </c>
      <c r="AA37" s="542">
        <f>MAX((IFERROR(($C37&lt;general!$C$23)*AA$5/(general!$C$23),0)+IFERROR(($C37&gt;=general!$C$23)*($C37&lt;=general!$C$27)*AA$6/(general!$C$27-general!$C$23+1),0)),0)</f>
        <v>1.6666666666666666E-2</v>
      </c>
      <c r="AB37" s="542">
        <f>MAX((IFERROR(($C37&lt;general!$C$23)*AB$5/(general!$C$23),0)+IFERROR(($C37&gt;=general!$C$23)*($C37&lt;=general!$C$27)*AB$6/(general!$C$27-general!$C$23+1),0)),0)</f>
        <v>2.0833333333333332E-2</v>
      </c>
      <c r="AC37" s="542">
        <f>MAX((IFERROR(($C37&lt;general!$C$23)*AC$5/(general!$C$23),0)+IFERROR(($C37&gt;=general!$C$23)*($C37&lt;=general!$C$27)*AC$6/(general!$C$27-general!$C$23+1),0)),0)</f>
        <v>2.4999999999999998E-2</v>
      </c>
      <c r="AD37" s="542">
        <f>MAX((IFERROR(($C37&lt;general!$C$23)*AD$5/(general!$C$23),0)+IFERROR(($C37&gt;=general!$C$23)*($C37&lt;=general!$C$27)*AD$6/(general!$C$27-general!$C$23+1),0)),0)</f>
        <v>2.4999999999999998E-2</v>
      </c>
      <c r="AE37" s="542">
        <f t="shared" si="7"/>
        <v>0</v>
      </c>
      <c r="AF37" s="542">
        <f>+SUMPRODUCT(--($C37=sales!$C$50:$C$54),sales!$D$50:$D$54)</f>
        <v>0</v>
      </c>
      <c r="AG37" s="542">
        <f>IF($C37=general!$C$28,AG$4,IFERROR(($C37&lt;general!$C$23)*((1-AG$4)*AG$5)/(general!$C$23-1),0)+IFERROR(($C37&gt;=general!$C$23)*($C37&lt;=general!$C$27)*((1-AG$4)*AG$6)/(general!$C$27-general!$C$23+1),0))+IF(AND(general!$C$23&lt;=1,$C37&lt;=1),'draws%'!AG$5*(1-AG$4))</f>
        <v>3.5416666666666666E-2</v>
      </c>
      <c r="AH37" s="542">
        <f>+IF($C37=general!$C$21,1,0)</f>
        <v>0</v>
      </c>
      <c r="AK37" s="524">
        <f>IF(A37&lt;=general!$D$27,IF(MONTH(A37)=11,1,IF(C37=general!$C$27,1,0)),)</f>
        <v>0</v>
      </c>
      <c r="AL37" s="524">
        <f>IF(AK37=1,COUNTIFS($C$8:$C$128,"&lt;="&amp;general!$C$27&amp;"",'draws%'!$AM$8:$AM$128,"="&amp;AM37&amp;""),0)</f>
        <v>0</v>
      </c>
      <c r="AM37" s="524">
        <f t="shared" si="4"/>
        <v>2029</v>
      </c>
      <c r="AN37" s="524"/>
    </row>
    <row r="38" spans="1:40" ht="14">
      <c r="A38" s="903">
        <f t="shared" si="8"/>
        <v>47177</v>
      </c>
      <c r="C38" s="897">
        <f t="shared" si="9"/>
        <v>30</v>
      </c>
      <c r="D38" s="542"/>
      <c r="E38" s="542">
        <f>IF($C38=$C$2,0,IF(OR($C38=0,$C38&lt;general!$C$23,$C38&gt;$C$2),0,E$2/$C$3+NORMDIST($C38-general!$C$23+1,$C$3/2,E$1,1)-NORMDIST($C37-general!$C$23+1,$C$3/2,E$1,1)))+IF($C38=$C$2,1-SUM(E$8:E37),0)</f>
        <v>5.5305491602517742E-2</v>
      </c>
      <c r="F38" s="542">
        <f>IF($C38=$C$2,0,IF(OR($C38=0,$C38&lt;general!$C$23,$C38&gt;$C$2),0,F$2/$C$3+NORMDIST($C38-general!$C$23+1,$C$3/2,F$1,1)-NORMDIST($C37-general!$C$23+1,$C$3/2,F$1,1)))+IF($C38=$C$2,1-SUM(F$8:F37),0)</f>
        <v>4.6428023013576958E-2</v>
      </c>
      <c r="G38" s="542">
        <f>IF($C38=$C$2,0,IF(OR($C38=0,$C38&lt;general!$C$23,$C38&gt;$C$2),0,G$2/$C$3+NORMDIST($C38-general!$C$23+1,$C$3/2,G$1,1)-NORMDIST($C37-general!$C$23+1,$C$3/2,G$1,1)))+IF($C38=$C$2,1-SUM(G$8:G37),0)</f>
        <v>4.380328172731951E-2</v>
      </c>
      <c r="H38" s="542">
        <f>IF(C38=$C$2,0,IF(OR(C38=0,C38&lt;1,C38&gt;$C$2),0,$H$2/$C$2+NORMDIST(C38,$C$2/2,$H$1,1)-NORMDIST(C37,$C$2/2,$H$1,1)))+IF(C38=$C$2,1-SUM($H$9:H37),0)</f>
        <v>2.6756420321963903E-2</v>
      </c>
      <c r="I38" s="542">
        <f>IF(C38=$C$2,0,IF(OR(C38=0,C38&lt;1,C38&gt;$C$2),0,$I$2/$C$2+NORMDIST(C38,$C$2/2,$I$1,1)-NORMDIST(C37,$C$2/2,$I$1,1)))+IF(C38=$C$2,1-SUM($I$9:I37),0)</f>
        <v>2.5410558807397843E-2</v>
      </c>
      <c r="J38" s="542">
        <f>IF(C38=$C$2,0,IF(OR(C38=0,C38&lt;1,C38&gt;$C$2),0,$J$2/$C$2+NORMDIST(C38,$C$2/2,$J$1,1)-NORMDIST(C37,$C$2/2,$J$1,1)))+IF(C38=$C$2,1-SUM($J$9:J37),0)</f>
        <v>2.4879615555336132E-2</v>
      </c>
      <c r="K38" s="542">
        <f t="shared" si="5"/>
        <v>1.2195121951219513E-2</v>
      </c>
      <c r="L38" s="542">
        <f t="shared" si="1"/>
        <v>2.3809523809523808E-2</v>
      </c>
      <c r="M38" s="542">
        <f>IF($C38&gt;$C$2,IF($C38=sales!$F$36,M$4,0),(1-M$4)/$C$2)</f>
        <v>2.0731707317073172E-2</v>
      </c>
      <c r="N38" s="542">
        <f>IF(ISEVEN($C$2),IF(C38&gt;$C$2,0,IF(C38&lt;=$C$2/2,C38,C38-1-2*(SUMPRODUCT(--($C$8:C38&gt;$C$2/2))-1))/(($C$2/2)*($C$2/2+1))),0)+IF(ISODD($C$2),IF(C38&gt;$C$2,0,IF(C38-1&lt;=$C$2/2,C38,C38-2*(SUMPRODUCT(--($C$8:C38&gt;$C$2/2))-1))/((INT($C$2/2))*(INT($C$2/2)+1)+ROUNDUP($C$2/2,0))),0)</f>
        <v>2.7210884353741496E-2</v>
      </c>
      <c r="O38" s="542"/>
      <c r="P38" s="542">
        <f t="shared" si="2"/>
        <v>0</v>
      </c>
      <c r="Q38" s="542">
        <f>IF($C38=general!$C$28,Q$4,IFERROR(($C38&lt;general!$C$23)*((1-Q$4)*Q$5)/(general!$C$23-1),0)+IFERROR(($C38&gt;=general!$C$23)*($C38&lt;=general!$C$27)*((1-Q$4)*Q$6)/(general!$C$27-general!$C$23+1),0))+IF(AND(general!$C$23&lt;=1,$C38&lt;=1),'draws%'!Q$5*(1-Q$4))</f>
        <v>3.125E-2</v>
      </c>
      <c r="R38" s="542">
        <f>IF($C38=general!$C$27,R$4,IFERROR(($C38&lt;general!$C$23)*((1-R$4)*R$5)/(general!$C$23-1),0)+IFERROR(($C38&gt;=general!$C$23)*($C38&lt;general!$C$27)*((1-R$4)*R$6)/(general!$C$27-general!$C$23),0))+IF(AND(general!$C$23&lt;=1,$C38&lt;=1),'draws%'!R$5*(1-R$4))</f>
        <v>2.8260869565217391E-2</v>
      </c>
      <c r="S38" s="542">
        <f>IF(OR(C38=general!$C$27,C38=general!$C$27-1),50%,0)</f>
        <v>0</v>
      </c>
      <c r="T38" s="542">
        <f>(C38&gt;=general!$C$26-6)*(C38&lt;general!$C$26)*1/6*0.5+(C38=3)*0.25+(C38=9)*0.25</f>
        <v>0</v>
      </c>
      <c r="U38" s="542">
        <f>IF(C38='Development Cash Flow'!$C$6,$U$5,0)+IF(C38=general!$C$27,$U$6,0)</f>
        <v>0</v>
      </c>
      <c r="V38" s="542">
        <f>IF(C38=general!$C$28,1,0)</f>
        <v>0</v>
      </c>
      <c r="W38" s="542">
        <f t="shared" si="10"/>
        <v>0</v>
      </c>
      <c r="X38" s="542">
        <f>IF(C38=general!$C$23,1,0)</f>
        <v>0</v>
      </c>
      <c r="Y38" s="542">
        <f>IFERROR((C38&lt;general!$C$23)*Y$5/(general!$C$23),0)+IFERROR((C38&gt;=general!$C$23)*(C38&lt;=general!$C$27)*Y$6/(general!$C$27-general!$C$23+1),0)</f>
        <v>0</v>
      </c>
      <c r="Z38" s="542">
        <f>IFERROR(($C38&lt;general!$C$23)*Z$5/(general!$C$23),0)+IFERROR(($C38&gt;=general!$C$23)*($C38&lt;=general!$C$27)*Z$6/(general!$C$27-general!$C$23+1),0)*(1-$Z$4)+$Z$4*AF38</f>
        <v>4.1666666666666664E-2</v>
      </c>
      <c r="AA38" s="542">
        <f>MAX((IFERROR(($C38&lt;general!$C$23)*AA$5/(general!$C$23),0)+IFERROR(($C38&gt;=general!$C$23)*($C38&lt;=general!$C$27)*AA$6/(general!$C$27-general!$C$23+1),0)),0)</f>
        <v>1.6666666666666666E-2</v>
      </c>
      <c r="AB38" s="542">
        <f>MAX((IFERROR(($C38&lt;general!$C$23)*AB$5/(general!$C$23),0)+IFERROR(($C38&gt;=general!$C$23)*($C38&lt;=general!$C$27)*AB$6/(general!$C$27-general!$C$23+1),0)),0)</f>
        <v>2.0833333333333332E-2</v>
      </c>
      <c r="AC38" s="542">
        <f>MAX((IFERROR(($C38&lt;general!$C$23)*AC$5/(general!$C$23),0)+IFERROR(($C38&gt;=general!$C$23)*($C38&lt;=general!$C$27)*AC$6/(general!$C$27-general!$C$23+1),0)),0)</f>
        <v>2.4999999999999998E-2</v>
      </c>
      <c r="AD38" s="542">
        <f>MAX((IFERROR(($C38&lt;general!$C$23)*AD$5/(general!$C$23),0)+IFERROR(($C38&gt;=general!$C$23)*($C38&lt;=general!$C$27)*AD$6/(general!$C$27-general!$C$23+1),0)),0)</f>
        <v>2.4999999999999998E-2</v>
      </c>
      <c r="AE38" s="542">
        <f t="shared" si="7"/>
        <v>0</v>
      </c>
      <c r="AF38" s="542">
        <f>+SUMPRODUCT(--($C38=sales!$C$50:$C$54),sales!$D$50:$D$54)</f>
        <v>0</v>
      </c>
      <c r="AG38" s="542">
        <f>IF($C38=general!$C$28,AG$4,IFERROR(($C38&lt;general!$C$23)*((1-AG$4)*AG$5)/(general!$C$23-1),0)+IFERROR(($C38&gt;=general!$C$23)*($C38&lt;=general!$C$27)*((1-AG$4)*AG$6)/(general!$C$27-general!$C$23+1),0))+IF(AND(general!$C$23&lt;=1,$C38&lt;=1),'draws%'!AG$5*(1-AG$4))</f>
        <v>3.5416666666666666E-2</v>
      </c>
      <c r="AH38" s="542">
        <f>+IF($C38=general!$C$21,1,0)</f>
        <v>0</v>
      </c>
      <c r="AK38" s="524">
        <f>IF(A38&lt;=general!$D$27,IF(MONTH(A38)=11,1,IF(C38=general!$C$27,1,0)),)</f>
        <v>0</v>
      </c>
      <c r="AL38" s="524">
        <f>IF(AK38=1,COUNTIFS($C$8:$C$128,"&lt;="&amp;general!$C$27&amp;"",'draws%'!$AM$8:$AM$128,"="&amp;AM38&amp;""),0)</f>
        <v>0</v>
      </c>
      <c r="AM38" s="524">
        <f t="shared" si="4"/>
        <v>2029</v>
      </c>
      <c r="AN38" s="524"/>
    </row>
    <row r="39" spans="1:40" ht="14">
      <c r="A39" s="903">
        <f t="shared" si="8"/>
        <v>47208</v>
      </c>
      <c r="C39" s="897">
        <f t="shared" si="9"/>
        <v>31</v>
      </c>
      <c r="D39" s="542"/>
      <c r="E39" s="542">
        <f>IF($C39=$C$2,0,IF(OR($C39=0,$C39&lt;general!$C$23,$C39&gt;$C$2),0,E$2/$C$3+NORMDIST($C39-general!$C$23+1,$C$3/2,E$1,1)-NORMDIST($C38-general!$C$23+1,$C$3/2,E$1,1)))+IF($C39=$C$2,1-SUM(E$8:E38),0)</f>
        <v>5.4535367625215603E-2</v>
      </c>
      <c r="F39" s="542">
        <f>IF($C39=$C$2,0,IF(OR($C39=0,$C39&lt;general!$C$23,$C39&gt;$C$2),0,F$2/$C$3+NORMDIST($C39-general!$C$23+1,$C$3/2,F$1,1)-NORMDIST($C38-general!$C$23+1,$C$3/2,F$1,1)))+IF($C39=$C$2,1-SUM(F$8:F38),0)</f>
        <v>4.6198351919236158E-2</v>
      </c>
      <c r="G39" s="542">
        <f>IF($C39=$C$2,0,IF(OR($C39=0,$C39&lt;general!$C$23,$C39&gt;$C$2),0,G$2/$C$3+NORMDIST($C39-general!$C$23+1,$C$3/2,G$1,1)-NORMDIST($C38-general!$C$23+1,$C$3/2,G$1,1)))+IF($C39=$C$2,1-SUM(G$8:G38),0)</f>
        <v>4.3706168498938047E-2</v>
      </c>
      <c r="H39" s="542">
        <f>IF(C39=$C$2,0,IF(OR(C39=0,C39&lt;1,C39&gt;$C$2),0,$H$2/$C$2+NORMDIST(C39,$C$2/2,$H$1,1)-NORMDIST(C38,$C$2/2,$H$1,1)))+IF(C39=$C$2,1-SUM($H$9:H38),0)</f>
        <v>2.5591667098724624E-2</v>
      </c>
      <c r="I39" s="542">
        <f>IF(C39=$C$2,0,IF(OR(C39=0,C39&lt;1,C39&gt;$C$2),0,$I$2/$C$2+NORMDIST(C39,$C$2/2,$I$1,1)-NORMDIST(C38,$C$2/2,$I$1,1)))+IF(C39=$C$2,1-SUM($I$9:I38),0)</f>
        <v>2.5015647834622401E-2</v>
      </c>
      <c r="J39" s="542">
        <f>IF(C39=$C$2,0,IF(OR(C39=0,C39&lt;1,C39&gt;$C$2),0,$J$2/$C$2+NORMDIST(C39,$C$2/2,$J$1,1)-NORMDIST(C38,$C$2/2,$J$1,1)))+IF(C39=$C$2,1-SUM($J$9:J38),0)</f>
        <v>2.4704958826063494E-2</v>
      </c>
      <c r="K39" s="542">
        <f t="shared" si="5"/>
        <v>1.2195121951219513E-2</v>
      </c>
      <c r="L39" s="542">
        <f t="shared" si="1"/>
        <v>2.3809523809523808E-2</v>
      </c>
      <c r="M39" s="542">
        <f>IF($C39&gt;$C$2,IF($C39=sales!$F$36,M$4,0),(1-M$4)/$C$2)</f>
        <v>2.0731707317073172E-2</v>
      </c>
      <c r="N39" s="542">
        <f>IF(ISEVEN($C$2),IF(C39&gt;$C$2,0,IF(C39&lt;=$C$2/2,C39,C39-1-2*(SUMPRODUCT(--($C$8:C39&gt;$C$2/2))-1))/(($C$2/2)*($C$2/2+1))),0)+IF(ISODD($C$2),IF(C39&gt;$C$2,0,IF(C39-1&lt;=$C$2/2,C39,C39-2*(SUMPRODUCT(--($C$8:C39&gt;$C$2/2))-1))/((INT($C$2/2))*(INT($C$2/2)+1)+ROUNDUP($C$2/2,0))),0)</f>
        <v>2.4943310657596373E-2</v>
      </c>
      <c r="O39" s="542"/>
      <c r="P39" s="542">
        <f t="shared" si="2"/>
        <v>0</v>
      </c>
      <c r="Q39" s="542">
        <f>IF($C39=general!$C$28,Q$4,IFERROR(($C39&lt;general!$C$23)*((1-Q$4)*Q$5)/(general!$C$23-1),0)+IFERROR(($C39&gt;=general!$C$23)*($C39&lt;=general!$C$27)*((1-Q$4)*Q$6)/(general!$C$27-general!$C$23+1),0))+IF(AND(general!$C$23&lt;=1,$C39&lt;=1),'draws%'!Q$5*(1-Q$4))</f>
        <v>3.125E-2</v>
      </c>
      <c r="R39" s="542">
        <f>IF($C39=general!$C$27,R$4,IFERROR(($C39&lt;general!$C$23)*((1-R$4)*R$5)/(general!$C$23-1),0)+IFERROR(($C39&gt;=general!$C$23)*($C39&lt;general!$C$27)*((1-R$4)*R$6)/(general!$C$27-general!$C$23),0))+IF(AND(general!$C$23&lt;=1,$C39&lt;=1),'draws%'!R$5*(1-R$4))</f>
        <v>2.8260869565217391E-2</v>
      </c>
      <c r="S39" s="542">
        <f>IF(OR(C39=general!$C$27,C39=general!$C$27-1),50%,0)</f>
        <v>0</v>
      </c>
      <c r="T39" s="542">
        <f>(C39&gt;=general!$C$26-6)*(C39&lt;general!$C$26)*1/6*0.5+(C39=3)*0.25+(C39=9)*0.25</f>
        <v>0</v>
      </c>
      <c r="U39" s="542">
        <f>IF(C39='Development Cash Flow'!$C$6,$U$5,0)+IF(C39=general!$C$27,$U$6,0)</f>
        <v>0</v>
      </c>
      <c r="V39" s="542">
        <f>IF(C39=general!$C$28,1,0)</f>
        <v>0</v>
      </c>
      <c r="W39" s="542">
        <f t="shared" si="10"/>
        <v>0</v>
      </c>
      <c r="X39" s="542">
        <f>IF(C39=general!$C$23,1,0)</f>
        <v>0</v>
      </c>
      <c r="Y39" s="542">
        <f>IFERROR((C39&lt;general!$C$23)*Y$5/(general!$C$23),0)+IFERROR((C39&gt;=general!$C$23)*(C39&lt;=general!$C$27)*Y$6/(general!$C$27-general!$C$23+1),0)</f>
        <v>0</v>
      </c>
      <c r="Z39" s="542">
        <f>IFERROR(($C39&lt;general!$C$23)*Z$5/(general!$C$23),0)+IFERROR(($C39&gt;=general!$C$23)*($C39&lt;=general!$C$27)*Z$6/(general!$C$27-general!$C$23+1),0)*(1-$Z$4)+$Z$4*AF39</f>
        <v>4.1666666666666664E-2</v>
      </c>
      <c r="AA39" s="542">
        <f>MAX((IFERROR(($C39&lt;general!$C$23)*AA$5/(general!$C$23),0)+IFERROR(($C39&gt;=general!$C$23)*($C39&lt;=general!$C$27)*AA$6/(general!$C$27-general!$C$23+1),0)),0)</f>
        <v>1.6666666666666666E-2</v>
      </c>
      <c r="AB39" s="542">
        <f>MAX((IFERROR(($C39&lt;general!$C$23)*AB$5/(general!$C$23),0)+IFERROR(($C39&gt;=general!$C$23)*($C39&lt;=general!$C$27)*AB$6/(general!$C$27-general!$C$23+1),0)),0)</f>
        <v>2.0833333333333332E-2</v>
      </c>
      <c r="AC39" s="542">
        <f>MAX((IFERROR(($C39&lt;general!$C$23)*AC$5/(general!$C$23),0)+IFERROR(($C39&gt;=general!$C$23)*($C39&lt;=general!$C$27)*AC$6/(general!$C$27-general!$C$23+1),0)),0)</f>
        <v>2.4999999999999998E-2</v>
      </c>
      <c r="AD39" s="542">
        <f>MAX((IFERROR(($C39&lt;general!$C$23)*AD$5/(general!$C$23),0)+IFERROR(($C39&gt;=general!$C$23)*($C39&lt;=general!$C$27)*AD$6/(general!$C$27-general!$C$23+1),0)),0)</f>
        <v>2.4999999999999998E-2</v>
      </c>
      <c r="AE39" s="542">
        <f t="shared" si="7"/>
        <v>0</v>
      </c>
      <c r="AF39" s="542">
        <f>+SUMPRODUCT(--($C39=sales!$C$50:$C$54),sales!$D$50:$D$54)</f>
        <v>0</v>
      </c>
      <c r="AG39" s="542">
        <f>IF($C39=general!$C$28,AG$4,IFERROR(($C39&lt;general!$C$23)*((1-AG$4)*AG$5)/(general!$C$23-1),0)+IFERROR(($C39&gt;=general!$C$23)*($C39&lt;=general!$C$27)*((1-AG$4)*AG$6)/(general!$C$27-general!$C$23+1),0))+IF(AND(general!$C$23&lt;=1,$C39&lt;=1),'draws%'!AG$5*(1-AG$4))</f>
        <v>3.5416666666666666E-2</v>
      </c>
      <c r="AH39" s="542">
        <f>+IF($C39=general!$C$21,1,0)</f>
        <v>0</v>
      </c>
      <c r="AK39" s="524">
        <f>IF(A39&lt;=general!$D$27,IF(MONTH(A39)=11,1,IF(C39=general!$C$27,1,0)),)</f>
        <v>0</v>
      </c>
      <c r="AL39" s="524">
        <f>IF(AK39=1,COUNTIFS($C$8:$C$128,"&lt;="&amp;general!$C$27&amp;"",'draws%'!$AM$8:$AM$128,"="&amp;AM39&amp;""),0)</f>
        <v>0</v>
      </c>
      <c r="AM39" s="524">
        <f t="shared" si="4"/>
        <v>2029</v>
      </c>
      <c r="AN39" s="524"/>
    </row>
    <row r="40" spans="1:40" ht="14">
      <c r="A40" s="903">
        <f t="shared" si="8"/>
        <v>47238</v>
      </c>
      <c r="C40" s="897">
        <f t="shared" si="9"/>
        <v>32</v>
      </c>
      <c r="D40" s="542"/>
      <c r="E40" s="542">
        <f>IF($C40=$C$2,0,IF(OR($C40=0,$C40&lt;general!$C$23,$C40&gt;$C$2),0,E$2/$C$3+NORMDIST($C40-general!$C$23+1,$C$3/2,E$1,1)-NORMDIST($C39-general!$C$23+1,$C$3/2,E$1,1)))+IF($C40=$C$2,1-SUM(E$8:E39),0)</f>
        <v>5.3030707762204976E-2</v>
      </c>
      <c r="F40" s="542">
        <f>IF($C40=$C$2,0,IF(OR($C40=0,$C40&lt;general!$C$23,$C40&gt;$C$2),0,F$2/$C$3+NORMDIST($C40-general!$C$23+1,$C$3/2,F$1,1)-NORMDIST($C39-general!$C$23+1,$C$3/2,F$1,1)))+IF($C40=$C$2,1-SUM(F$8:F39),0)</f>
        <v>4.5743764232974771E-2</v>
      </c>
      <c r="G40" s="542">
        <f>IF($C40=$C$2,0,IF(OR($C40=0,$C40&lt;general!$C$23,$C40&gt;$C$2),0,G$2/$C$3+NORMDIST($C40-general!$C$23+1,$C$3/2,G$1,1)-NORMDIST($C39-general!$C$23+1,$C$3/2,G$1,1)))+IF($C40=$C$2,1-SUM(G$8:G39),0)</f>
        <v>4.3513076023856567E-2</v>
      </c>
      <c r="H40" s="542">
        <f>IF(C40=$C$2,0,IF(OR(C40=0,C40&lt;1,C40&gt;$C$2),0,$H$2/$C$2+NORMDIST(C40,$C$2/2,$H$1,1)-NORMDIST(C39,$C$2/2,$H$1,1)))+IF(C40=$C$2,1-SUM($H$9:H39),0)</f>
        <v>2.4371362023741572E-2</v>
      </c>
      <c r="I40" s="542">
        <f>IF(C40=$C$2,0,IF(OR(C40=0,C40&lt;1,C40&gt;$C$2),0,$I$2/$C$2+NORMDIST(C40,$C$2/2,$I$1,1)-NORMDIST(C39,$C$2/2,$I$1,1)))+IF(C40=$C$2,1-SUM($I$9:I39),0)</f>
        <v>2.4589426878649179E-2</v>
      </c>
      <c r="J40" s="542">
        <f>IF(C40=$C$2,0,IF(OR(C40=0,C40&lt;1,C40&gt;$C$2),0,$J$2/$C$2+NORMDIST(C40,$C$2/2,$J$1,1)-NORMDIST(C39,$C$2/2,$J$1,1)))+IF(C40=$C$2,1-SUM($J$9:J39),0)</f>
        <v>2.4514483235135498E-2</v>
      </c>
      <c r="K40" s="542">
        <f t="shared" si="5"/>
        <v>1.2195121951219513E-2</v>
      </c>
      <c r="L40" s="542">
        <f t="shared" ref="L40:L71" si="11">IF(C40&gt;$C$2,0,1/($C$2+1))</f>
        <v>2.3809523809523808E-2</v>
      </c>
      <c r="M40" s="542">
        <f>IF($C40&gt;$C$2,IF($C40=sales!$F$36,M$4,0),(1-M$4)/$C$2)</f>
        <v>2.0731707317073172E-2</v>
      </c>
      <c r="N40" s="542">
        <f>IF(ISEVEN($C$2),IF(C40&gt;$C$2,0,IF(C40&lt;=$C$2/2,C40,C40-1-2*(SUMPRODUCT(--($C$8:C40&gt;$C$2/2))-1))/(($C$2/2)*($C$2/2+1))),0)+IF(ISODD($C$2),IF(C40&gt;$C$2,0,IF(C40-1&lt;=$C$2/2,C40,C40-2*(SUMPRODUCT(--($C$8:C40&gt;$C$2/2))-1))/((INT($C$2/2))*(INT($C$2/2)+1)+ROUNDUP($C$2/2,0))),0)</f>
        <v>2.2675736961451247E-2</v>
      </c>
      <c r="O40" s="542"/>
      <c r="P40" s="542">
        <f t="shared" ref="P40:P71" si="12">IF(AND(C40&gt;=$C$2-5,C40&lt;=$C$2),1/6,0)</f>
        <v>0</v>
      </c>
      <c r="Q40" s="542">
        <f>IF($C40=general!$C$28,Q$4,IFERROR(($C40&lt;general!$C$23)*((1-Q$4)*Q$5)/(general!$C$23-1),0)+IFERROR(($C40&gt;=general!$C$23)*($C40&lt;=general!$C$27)*((1-Q$4)*Q$6)/(general!$C$27-general!$C$23+1),0))+IF(AND(general!$C$23&lt;=1,$C40&lt;=1),'draws%'!Q$5*(1-Q$4))</f>
        <v>3.125E-2</v>
      </c>
      <c r="R40" s="542">
        <f>IF($C40=general!$C$27,R$4,IFERROR(($C40&lt;general!$C$23)*((1-R$4)*R$5)/(general!$C$23-1),0)+IFERROR(($C40&gt;=general!$C$23)*($C40&lt;general!$C$27)*((1-R$4)*R$6)/(general!$C$27-general!$C$23),0))+IF(AND(general!$C$23&lt;=1,$C40&lt;=1),'draws%'!R$5*(1-R$4))</f>
        <v>2.8260869565217391E-2</v>
      </c>
      <c r="S40" s="542">
        <f>IF(OR(C40=general!$C$27,C40=general!$C$27-1),50%,0)</f>
        <v>0</v>
      </c>
      <c r="T40" s="542">
        <f>(C40&gt;=general!$C$26-6)*(C40&lt;general!$C$26)*1/6*0.5+(C40=3)*0.25+(C40=9)*0.25</f>
        <v>0</v>
      </c>
      <c r="U40" s="542">
        <f>IF(C40='Development Cash Flow'!$C$6,$U$5,0)+IF(C40=general!$C$27,$U$6,0)</f>
        <v>0</v>
      </c>
      <c r="V40" s="542">
        <f>IF(C40=general!$C$28,1,0)</f>
        <v>0</v>
      </c>
      <c r="W40" s="542">
        <f t="shared" si="10"/>
        <v>0</v>
      </c>
      <c r="X40" s="542">
        <f>IF(C40=general!$C$23,1,0)</f>
        <v>0</v>
      </c>
      <c r="Y40" s="542">
        <f>IFERROR((C40&lt;general!$C$23)*Y$5/(general!$C$23),0)+IFERROR((C40&gt;=general!$C$23)*(C40&lt;=general!$C$27)*Y$6/(general!$C$27-general!$C$23+1),0)</f>
        <v>0</v>
      </c>
      <c r="Z40" s="542">
        <f>IFERROR(($C40&lt;general!$C$23)*Z$5/(general!$C$23),0)+IFERROR(($C40&gt;=general!$C$23)*($C40&lt;=general!$C$27)*Z$6/(general!$C$27-general!$C$23+1),0)*(1-$Z$4)+$Z$4*AF40</f>
        <v>4.1666666666666664E-2</v>
      </c>
      <c r="AA40" s="542">
        <f>MAX((IFERROR(($C40&lt;general!$C$23)*AA$5/(general!$C$23),0)+IFERROR(($C40&gt;=general!$C$23)*($C40&lt;=general!$C$27)*AA$6/(general!$C$27-general!$C$23+1),0)),0)</f>
        <v>1.6666666666666666E-2</v>
      </c>
      <c r="AB40" s="542">
        <f>MAX((IFERROR(($C40&lt;general!$C$23)*AB$5/(general!$C$23),0)+IFERROR(($C40&gt;=general!$C$23)*($C40&lt;=general!$C$27)*AB$6/(general!$C$27-general!$C$23+1),0)),0)</f>
        <v>2.0833333333333332E-2</v>
      </c>
      <c r="AC40" s="542">
        <f>MAX((IFERROR(($C40&lt;general!$C$23)*AC$5/(general!$C$23),0)+IFERROR(($C40&gt;=general!$C$23)*($C40&lt;=general!$C$27)*AC$6/(general!$C$27-general!$C$23+1),0)),0)</f>
        <v>2.4999999999999998E-2</v>
      </c>
      <c r="AD40" s="542">
        <f>MAX((IFERROR(($C40&lt;general!$C$23)*AD$5/(general!$C$23),0)+IFERROR(($C40&gt;=general!$C$23)*($C40&lt;=general!$C$27)*AD$6/(general!$C$27-general!$C$23+1),0)),0)</f>
        <v>2.4999999999999998E-2</v>
      </c>
      <c r="AE40" s="542">
        <f t="shared" si="7"/>
        <v>0</v>
      </c>
      <c r="AF40" s="542">
        <f>+SUMPRODUCT(--($C40=sales!$C$50:$C$54),sales!$D$50:$D$54)</f>
        <v>0</v>
      </c>
      <c r="AG40" s="542">
        <f>IF($C40=general!$C$28,AG$4,IFERROR(($C40&lt;general!$C$23)*((1-AG$4)*AG$5)/(general!$C$23-1),0)+IFERROR(($C40&gt;=general!$C$23)*($C40&lt;=general!$C$27)*((1-AG$4)*AG$6)/(general!$C$27-general!$C$23+1),0))+IF(AND(general!$C$23&lt;=1,$C40&lt;=1),'draws%'!AG$5*(1-AG$4))</f>
        <v>3.5416666666666666E-2</v>
      </c>
      <c r="AH40" s="542">
        <f>+IF($C40=general!$C$21,1,0)</f>
        <v>0</v>
      </c>
      <c r="AK40" s="524">
        <f>IF(A40&lt;=general!$D$27,IF(MONTH(A40)=11,1,IF(C40=general!$C$27,1,0)),)</f>
        <v>0</v>
      </c>
      <c r="AL40" s="524">
        <f>IF(AK40=1,COUNTIFS($C$8:$C$128,"&lt;="&amp;general!$C$27&amp;"",'draws%'!$AM$8:$AM$128,"="&amp;AM40&amp;""),0)</f>
        <v>0</v>
      </c>
      <c r="AM40" s="524">
        <f t="shared" ref="AM40:AM71" si="13">YEAR(A40)</f>
        <v>2029</v>
      </c>
      <c r="AN40" s="524"/>
    </row>
    <row r="41" spans="1:40" ht="14">
      <c r="A41" s="903">
        <f t="shared" si="8"/>
        <v>47269</v>
      </c>
      <c r="C41" s="897">
        <f t="shared" si="9"/>
        <v>33</v>
      </c>
      <c r="D41" s="542"/>
      <c r="E41" s="542">
        <f>IF($C41=$C$2,0,IF(OR($C41=0,$C41&lt;general!$C$23,$C41&gt;$C$2),0,E$2/$C$3+NORMDIST($C41-general!$C$23+1,$C$3/2,E$1,1)-NORMDIST($C40-general!$C$23+1,$C$3/2,E$1,1)))+IF($C41=$C$2,1-SUM(E$8:E40),0)</f>
        <v>5.0859961373694085E-2</v>
      </c>
      <c r="F41" s="542">
        <f>IF($C41=$C$2,0,IF(OR($C41=0,$C41&lt;general!$C$23,$C41&gt;$C$2),0,F$2/$C$3+NORMDIST($C41-general!$C$23+1,$C$3/2,F$1,1)-NORMDIST($C40-general!$C$23+1,$C$3/2,F$1,1)))+IF($C41=$C$2,1-SUM(F$8:F40),0)</f>
        <v>4.5073605296267472E-2</v>
      </c>
      <c r="G41" s="542">
        <f>IF($C41=$C$2,0,IF(OR($C41=0,$C41&lt;general!$C$23,$C41&gt;$C$2),0,G$2/$C$3+NORMDIST($C41-general!$C$23+1,$C$3/2,G$1,1)-NORMDIST($C40-general!$C$23+1,$C$3/2,G$1,1)))+IF($C41=$C$2,1-SUM(G$8:G40),0)</f>
        <v>4.322625022509885E-2</v>
      </c>
      <c r="H41" s="542">
        <f>IF(C41=$C$2,0,IF(OR(C41=0,C41&lt;1,C41&gt;$C$2),0,$H$2/$C$2+NORMDIST(C41,$C$2/2,$H$1,1)-NORMDIST(C40,$C$2/2,$H$1,1)))+IF(C41=$C$2,1-SUM($H$9:H40),0)</f>
        <v>2.3111210869921406E-2</v>
      </c>
      <c r="I41" s="542">
        <f>IF(C41=$C$2,0,IF(OR(C41=0,C41&lt;1,C41&gt;$C$2),0,$I$2/$C$2+NORMDIST(C41,$C$2/2,$I$1,1)-NORMDIST(C40,$C$2/2,$I$1,1)))+IF(C41=$C$2,1-SUM($I$9:I40),0)</f>
        <v>2.4134668997210063E-2</v>
      </c>
      <c r="J41" s="542">
        <f>IF(C41=$C$2,0,IF(OR(C41=0,C41&lt;1,C41&gt;$C$2),0,$J$2/$C$2+NORMDIST(C41,$C$2/2,$J$1,1)-NORMDIST(C40,$C$2/2,$J$1,1)))+IF(C41=$C$2,1-SUM($J$9:J40),0)</f>
        <v>2.4308915469749559E-2</v>
      </c>
      <c r="K41" s="542">
        <f t="shared" ref="K41:K72" si="14">IF(C41&lt;=$C$2,50%/$C$2,0)</f>
        <v>1.2195121951219513E-2</v>
      </c>
      <c r="L41" s="542">
        <f t="shared" si="11"/>
        <v>2.3809523809523808E-2</v>
      </c>
      <c r="M41" s="542">
        <f>IF($C41&gt;$C$2,IF($C41=sales!$F$36,M$4,0),(1-M$4)/$C$2)</f>
        <v>2.0731707317073172E-2</v>
      </c>
      <c r="N41" s="542">
        <f>IF(ISEVEN($C$2),IF(C41&gt;$C$2,0,IF(C41&lt;=$C$2/2,C41,C41-1-2*(SUMPRODUCT(--($C$8:C41&gt;$C$2/2))-1))/(($C$2/2)*($C$2/2+1))),0)+IF(ISODD($C$2),IF(C41&gt;$C$2,0,IF(C41-1&lt;=$C$2/2,C41,C41-2*(SUMPRODUCT(--($C$8:C41&gt;$C$2/2))-1))/((INT($C$2/2))*(INT($C$2/2)+1)+ROUNDUP($C$2/2,0))),0)</f>
        <v>2.0408163265306121E-2</v>
      </c>
      <c r="O41" s="542"/>
      <c r="P41" s="542">
        <f t="shared" si="12"/>
        <v>0</v>
      </c>
      <c r="Q41" s="542">
        <f>IF($C41=general!$C$28,Q$4,IFERROR(($C41&lt;general!$C$23)*((1-Q$4)*Q$5)/(general!$C$23-1),0)+IFERROR(($C41&gt;=general!$C$23)*($C41&lt;=general!$C$27)*((1-Q$4)*Q$6)/(general!$C$27-general!$C$23+1),0))+IF(AND(general!$C$23&lt;=1,$C41&lt;=1),'draws%'!Q$5*(1-Q$4))</f>
        <v>3.125E-2</v>
      </c>
      <c r="R41" s="542">
        <f>IF($C41=general!$C$27,R$4,IFERROR(($C41&lt;general!$C$23)*((1-R$4)*R$5)/(general!$C$23-1),0)+IFERROR(($C41&gt;=general!$C$23)*($C41&lt;general!$C$27)*((1-R$4)*R$6)/(general!$C$27-general!$C$23),0))+IF(AND(general!$C$23&lt;=1,$C41&lt;=1),'draws%'!R$5*(1-R$4))</f>
        <v>2.8260869565217391E-2</v>
      </c>
      <c r="S41" s="542">
        <f>IF(OR(C41=general!$C$27,C41=general!$C$27-1),50%,0)</f>
        <v>0</v>
      </c>
      <c r="T41" s="542">
        <f>(C41&gt;=general!$C$26-6)*(C41&lt;general!$C$26)*1/6*0.5+(C41=3)*0.25+(C41=9)*0.25</f>
        <v>0</v>
      </c>
      <c r="U41" s="542">
        <f>IF(C41='Development Cash Flow'!$C$6,$U$5,0)+IF(C41=general!$C$27,$U$6,0)</f>
        <v>0</v>
      </c>
      <c r="V41" s="542">
        <f>IF(C41=general!$C$28,1,0)</f>
        <v>0</v>
      </c>
      <c r="W41" s="542">
        <f t="shared" si="10"/>
        <v>0</v>
      </c>
      <c r="X41" s="542">
        <f>IF(C41=general!$C$23,1,0)</f>
        <v>0</v>
      </c>
      <c r="Y41" s="542">
        <f>IFERROR((C41&lt;general!$C$23)*Y$5/(general!$C$23),0)+IFERROR((C41&gt;=general!$C$23)*(C41&lt;=general!$C$27)*Y$6/(general!$C$27-general!$C$23+1),0)</f>
        <v>0</v>
      </c>
      <c r="Z41" s="542">
        <f>IFERROR(($C41&lt;general!$C$23)*Z$5/(general!$C$23),0)+IFERROR(($C41&gt;=general!$C$23)*($C41&lt;=general!$C$27)*Z$6/(general!$C$27-general!$C$23+1),0)*(1-$Z$4)+$Z$4*AF41</f>
        <v>4.1666666666666664E-2</v>
      </c>
      <c r="AA41" s="542">
        <f>MAX((IFERROR(($C41&lt;general!$C$23)*AA$5/(general!$C$23),0)+IFERROR(($C41&gt;=general!$C$23)*($C41&lt;=general!$C$27)*AA$6/(general!$C$27-general!$C$23+1),0)),0)</f>
        <v>1.6666666666666666E-2</v>
      </c>
      <c r="AB41" s="542">
        <f>MAX((IFERROR(($C41&lt;general!$C$23)*AB$5/(general!$C$23),0)+IFERROR(($C41&gt;=general!$C$23)*($C41&lt;=general!$C$27)*AB$6/(general!$C$27-general!$C$23+1),0)),0)</f>
        <v>2.0833333333333332E-2</v>
      </c>
      <c r="AC41" s="542">
        <f>MAX((IFERROR(($C41&lt;general!$C$23)*AC$5/(general!$C$23),0)+IFERROR(($C41&gt;=general!$C$23)*($C41&lt;=general!$C$27)*AC$6/(general!$C$27-general!$C$23+1),0)),0)</f>
        <v>2.4999999999999998E-2</v>
      </c>
      <c r="AD41" s="542">
        <f>MAX((IFERROR(($C41&lt;general!$C$23)*AD$5/(general!$C$23),0)+IFERROR(($C41&gt;=general!$C$23)*($C41&lt;=general!$C$27)*AD$6/(general!$C$27-general!$C$23+1),0)),0)</f>
        <v>2.4999999999999998E-2</v>
      </c>
      <c r="AE41" s="542">
        <f t="shared" si="7"/>
        <v>0</v>
      </c>
      <c r="AF41" s="542">
        <f>+SUMPRODUCT(--($C41=sales!$C$50:$C$54),sales!$D$50:$D$54)</f>
        <v>0</v>
      </c>
      <c r="AG41" s="542">
        <f>IF($C41=general!$C$28,AG$4,IFERROR(($C41&lt;general!$C$23)*((1-AG$4)*AG$5)/(general!$C$23-1),0)+IFERROR(($C41&gt;=general!$C$23)*($C41&lt;=general!$C$27)*((1-AG$4)*AG$6)/(general!$C$27-general!$C$23+1),0))+IF(AND(general!$C$23&lt;=1,$C41&lt;=1),'draws%'!AG$5*(1-AG$4))</f>
        <v>3.5416666666666666E-2</v>
      </c>
      <c r="AH41" s="542">
        <f>+IF($C41=general!$C$21,1,0)</f>
        <v>0</v>
      </c>
      <c r="AK41" s="524">
        <f>IF(A41&lt;=general!$D$27,IF(MONTH(A41)=11,1,IF(C41=general!$C$27,1,0)),)</f>
        <v>0</v>
      </c>
      <c r="AL41" s="524">
        <f>IF(AK41=1,COUNTIFS($C$8:$C$128,"&lt;="&amp;general!$C$27&amp;"",'draws%'!$AM$8:$AM$128,"="&amp;AM41&amp;""),0)</f>
        <v>0</v>
      </c>
      <c r="AM41" s="524">
        <f t="shared" si="13"/>
        <v>2029</v>
      </c>
      <c r="AN41" s="524"/>
    </row>
    <row r="42" spans="1:40" ht="14">
      <c r="A42" s="903">
        <f t="shared" si="8"/>
        <v>47299</v>
      </c>
      <c r="C42" s="897">
        <f t="shared" si="9"/>
        <v>34</v>
      </c>
      <c r="D42" s="542"/>
      <c r="E42" s="542">
        <f>IF($C42=$C$2,0,IF(OR($C42=0,$C42&lt;general!$C$23,$C42&gt;$C$2),0,E$2/$C$3+NORMDIST($C42-general!$C$23+1,$C$3/2,E$1,1)-NORMDIST($C41-general!$C$23+1,$C$3/2,E$1,1)))+IF($C42=$C$2,1-SUM(E$8:E41),0)</f>
        <v>4.8119276449691162E-2</v>
      </c>
      <c r="F42" s="542">
        <f>IF($C42=$C$2,0,IF(OR($C42=0,$C42&lt;general!$C$23,$C42&gt;$C$2),0,F$2/$C$3+NORMDIST($C42-general!$C$23+1,$C$3/2,F$1,1)-NORMDIST($C41-general!$C$23+1,$C$3/2,F$1,1)))+IF($C42=$C$2,1-SUM(F$8:F41),0)</f>
        <v>4.4201491832028594E-2</v>
      </c>
      <c r="G42" s="542">
        <f>IF($C42=$C$2,0,IF(OR($C42=0,$C42&lt;general!$C$23,$C42&gt;$C$2),0,G$2/$C$3+NORMDIST($C42-general!$C$23+1,$C$3/2,G$1,1)-NORMDIST($C41-general!$C$23+1,$C$3/2,G$1,1)))+IF($C42=$C$2,1-SUM(G$8:G41),0)</f>
        <v>4.284900548530568E-2</v>
      </c>
      <c r="H42" s="542">
        <f>IF(C42=$C$2,0,IF(OR(C42=0,C42&lt;1,C42&gt;$C$2),0,$H$2/$C$2+NORMDIST(C42,$C$2/2,$H$1,1)-NORMDIST(C41,$C$2/2,$H$1,1)))+IF(C42=$C$2,1-SUM($H$9:H41),0)</f>
        <v>2.1826642048532796E-2</v>
      </c>
      <c r="I42" s="542">
        <f>IF(C42=$C$2,0,IF(OR(C42=0,C42&lt;1,C42&gt;$C$2),0,$I$2/$C$2+NORMDIST(C42,$C$2/2,$I$1,1)-NORMDIST(C41,$C$2/2,$I$1,1)))+IF(C42=$C$2,1-SUM($I$9:I41),0)</f>
        <v>2.3654276415756015E-2</v>
      </c>
      <c r="J42" s="542">
        <f>IF(C42=$C$2,0,IF(OR(C42=0,C42&lt;1,C42&gt;$C$2),0,$J$2/$C$2+NORMDIST(C42,$C$2/2,$J$1,1)-NORMDIST(C41,$C$2/2,$J$1,1)))+IF(C42=$C$2,1-SUM($J$9:J41),0)</f>
        <v>2.4089031705625263E-2</v>
      </c>
      <c r="K42" s="542">
        <f t="shared" si="14"/>
        <v>1.2195121951219513E-2</v>
      </c>
      <c r="L42" s="542">
        <f t="shared" si="11"/>
        <v>2.3809523809523808E-2</v>
      </c>
      <c r="M42" s="542">
        <f>IF($C42&gt;$C$2,IF($C42=sales!$F$36,M$4,0),(1-M$4)/$C$2)</f>
        <v>2.0731707317073172E-2</v>
      </c>
      <c r="N42" s="542">
        <f>IF(ISEVEN($C$2),IF(C42&gt;$C$2,0,IF(C42&lt;=$C$2/2,C42,C42-1-2*(SUMPRODUCT(--($C$8:C42&gt;$C$2/2))-1))/(($C$2/2)*($C$2/2+1))),0)+IF(ISODD($C$2),IF(C42&gt;$C$2,0,IF(C42-1&lt;=$C$2/2,C42,C42-2*(SUMPRODUCT(--($C$8:C42&gt;$C$2/2))-1))/((INT($C$2/2))*(INT($C$2/2)+1)+ROUNDUP($C$2/2,0))),0)</f>
        <v>1.8140589569160998E-2</v>
      </c>
      <c r="O42" s="542"/>
      <c r="P42" s="542">
        <f t="shared" si="12"/>
        <v>0</v>
      </c>
      <c r="Q42" s="542">
        <f>IF($C42=general!$C$28,Q$4,IFERROR(($C42&lt;general!$C$23)*((1-Q$4)*Q$5)/(general!$C$23-1),0)+IFERROR(($C42&gt;=general!$C$23)*($C42&lt;=general!$C$27)*((1-Q$4)*Q$6)/(general!$C$27-general!$C$23+1),0))+IF(AND(general!$C$23&lt;=1,$C42&lt;=1),'draws%'!Q$5*(1-Q$4))</f>
        <v>3.125E-2</v>
      </c>
      <c r="R42" s="542">
        <f>IF($C42=general!$C$27,R$4,IFERROR(($C42&lt;general!$C$23)*((1-R$4)*R$5)/(general!$C$23-1),0)+IFERROR(($C42&gt;=general!$C$23)*($C42&lt;general!$C$27)*((1-R$4)*R$6)/(general!$C$27-general!$C$23),0))+IF(AND(general!$C$23&lt;=1,$C42&lt;=1),'draws%'!R$5*(1-R$4))</f>
        <v>2.8260869565217391E-2</v>
      </c>
      <c r="S42" s="542">
        <f>IF(OR(C42=general!$C$27,C42=general!$C$27-1),50%,0)</f>
        <v>0</v>
      </c>
      <c r="T42" s="542">
        <f>(C42&gt;=general!$C$26-6)*(C42&lt;general!$C$26)*1/6*0.5+(C42=3)*0.25+(C42=9)*0.25</f>
        <v>0</v>
      </c>
      <c r="U42" s="542">
        <f>IF(C42='Development Cash Flow'!$C$6,$U$5,0)+IF(C42=general!$C$27,$U$6,0)</f>
        <v>0</v>
      </c>
      <c r="V42" s="542">
        <f>IF(C42=general!$C$28,1,0)</f>
        <v>0</v>
      </c>
      <c r="W42" s="542">
        <f t="shared" si="10"/>
        <v>0</v>
      </c>
      <c r="X42" s="542">
        <f>IF(C42=general!$C$23,1,0)</f>
        <v>0</v>
      </c>
      <c r="Y42" s="542">
        <f>IFERROR((C42&lt;general!$C$23)*Y$5/(general!$C$23),0)+IFERROR((C42&gt;=general!$C$23)*(C42&lt;=general!$C$27)*Y$6/(general!$C$27-general!$C$23+1),0)</f>
        <v>0</v>
      </c>
      <c r="Z42" s="542">
        <f>IFERROR(($C42&lt;general!$C$23)*Z$5/(general!$C$23),0)+IFERROR(($C42&gt;=general!$C$23)*($C42&lt;=general!$C$27)*Z$6/(general!$C$27-general!$C$23+1),0)*(1-$Z$4)+$Z$4*AF42</f>
        <v>4.1666666666666664E-2</v>
      </c>
      <c r="AA42" s="542">
        <f>MAX((IFERROR(($C42&lt;general!$C$23)*AA$5/(general!$C$23),0)+IFERROR(($C42&gt;=general!$C$23)*($C42&lt;=general!$C$27)*AA$6/(general!$C$27-general!$C$23+1),0)),0)</f>
        <v>1.6666666666666666E-2</v>
      </c>
      <c r="AB42" s="542">
        <f>MAX((IFERROR(($C42&lt;general!$C$23)*AB$5/(general!$C$23),0)+IFERROR(($C42&gt;=general!$C$23)*($C42&lt;=general!$C$27)*AB$6/(general!$C$27-general!$C$23+1),0)),0)</f>
        <v>2.0833333333333332E-2</v>
      </c>
      <c r="AC42" s="542">
        <f>MAX((IFERROR(($C42&lt;general!$C$23)*AC$5/(general!$C$23),0)+IFERROR(($C42&gt;=general!$C$23)*($C42&lt;=general!$C$27)*AC$6/(general!$C$27-general!$C$23+1),0)),0)</f>
        <v>2.4999999999999998E-2</v>
      </c>
      <c r="AD42" s="542">
        <f>MAX((IFERROR(($C42&lt;general!$C$23)*AD$5/(general!$C$23),0)+IFERROR(($C42&gt;=general!$C$23)*($C42&lt;=general!$C$27)*AD$6/(general!$C$27-general!$C$23+1),0)),0)</f>
        <v>2.4999999999999998E-2</v>
      </c>
      <c r="AE42" s="542">
        <f t="shared" si="7"/>
        <v>0</v>
      </c>
      <c r="AF42" s="542">
        <f>+SUMPRODUCT(--($C42=sales!$C$50:$C$54),sales!$D$50:$D$54)</f>
        <v>0</v>
      </c>
      <c r="AG42" s="542">
        <f>IF($C42=general!$C$28,AG$4,IFERROR(($C42&lt;general!$C$23)*((1-AG$4)*AG$5)/(general!$C$23-1),0)+IFERROR(($C42&gt;=general!$C$23)*($C42&lt;=general!$C$27)*((1-AG$4)*AG$6)/(general!$C$27-general!$C$23+1),0))+IF(AND(general!$C$23&lt;=1,$C42&lt;=1),'draws%'!AG$5*(1-AG$4))</f>
        <v>3.5416666666666666E-2</v>
      </c>
      <c r="AH42" s="542">
        <f>+IF($C42=general!$C$21,1,0)</f>
        <v>0</v>
      </c>
      <c r="AK42" s="524">
        <f>IF(A42&lt;=general!$D$27,IF(MONTH(A42)=11,1,IF(C42=general!$C$27,1,0)),)</f>
        <v>0</v>
      </c>
      <c r="AL42" s="524">
        <f>IF(AK42=1,COUNTIFS($C$8:$C$128,"&lt;="&amp;general!$C$27&amp;"",'draws%'!$AM$8:$AM$128,"="&amp;AM42&amp;""),0)</f>
        <v>0</v>
      </c>
      <c r="AM42" s="524">
        <f t="shared" si="13"/>
        <v>2029</v>
      </c>
      <c r="AN42" s="524"/>
    </row>
    <row r="43" spans="1:40" ht="14">
      <c r="A43" s="903">
        <f t="shared" si="8"/>
        <v>47330</v>
      </c>
      <c r="C43" s="897">
        <f t="shared" si="9"/>
        <v>35</v>
      </c>
      <c r="D43" s="542"/>
      <c r="E43" s="542">
        <f>IF($C43=$C$2,0,IF(OR($C43=0,$C43&lt;general!$C$23,$C43&gt;$C$2),0,E$2/$C$3+NORMDIST($C43-general!$C$23+1,$C$3/2,E$1,1)-NORMDIST($C42-general!$C$23+1,$C$3/2,E$1,1)))+IF($C43=$C$2,1-SUM(E$8:E42),0)</f>
        <v>4.4925443444237101E-2</v>
      </c>
      <c r="F43" s="542">
        <f>IF($C43=$C$2,0,IF(OR($C43=0,$C43&lt;general!$C$23,$C43&gt;$C$2),0,F$2/$C$3+NORMDIST($C43-general!$C$23+1,$C$3/2,F$1,1)-NORMDIST($C42-general!$C$23+1,$C$3/2,F$1,1)))+IF($C43=$C$2,1-SUM(F$8:F42),0)</f>
        <v>4.3144851945657536E-2</v>
      </c>
      <c r="G43" s="542">
        <f>IF($C43=$C$2,0,IF(OR($C43=0,$C43&lt;general!$C$23,$C43&gt;$C$2),0,G$2/$C$3+NORMDIST($C43-general!$C$23+1,$C$3/2,G$1,1)-NORMDIST($C42-general!$C$23+1,$C$3/2,G$1,1)))+IF($C43=$C$2,1-SUM(G$8:G42),0)</f>
        <v>4.2385660900639111E-2</v>
      </c>
      <c r="H43" s="542">
        <f>IF(C43=$C$2,0,IF(OR(C43=0,C43&lt;1,C43&gt;$C$2),0,$H$2/$C$2+NORMDIST(C43,$C$2/2,$H$1,1)-NORMDIST(C42,$C$2/2,$H$1,1)))+IF(C43=$C$2,1-SUM($H$9:H42),0)</f>
        <v>2.053250409268137E-2</v>
      </c>
      <c r="I43" s="542">
        <f>IF(C43=$C$2,0,IF(OR(C43=0,C43&lt;1,C43&gt;$C$2),0,$I$2/$C$2+NORMDIST(C43,$C$2/2,$I$1,1)-NORMDIST(C42,$C$2/2,$I$1,1)))+IF(C43=$C$2,1-SUM($I$9:I42),0)</f>
        <v>2.3151249848473165E-2</v>
      </c>
      <c r="J43" s="542">
        <f>IF(C43=$C$2,0,IF(OR(C43=0,C43&lt;1,C43&gt;$C$2),0,$J$2/$C$2+NORMDIST(C43,$C$2/2,$J$1,1)-NORMDIST(C42,$C$2/2,$J$1,1)))+IF(C43=$C$2,1-SUM($J$9:J42),0)</f>
        <v>2.3855652732281851E-2</v>
      </c>
      <c r="K43" s="542">
        <f t="shared" si="14"/>
        <v>1.2195121951219513E-2</v>
      </c>
      <c r="L43" s="542">
        <f t="shared" si="11"/>
        <v>2.3809523809523808E-2</v>
      </c>
      <c r="M43" s="542">
        <f>IF($C43&gt;$C$2,IF($C43=sales!$F$36,M$4,0),(1-M$4)/$C$2)</f>
        <v>2.0731707317073172E-2</v>
      </c>
      <c r="N43" s="542">
        <f>IF(ISEVEN($C$2),IF(C43&gt;$C$2,0,IF(C43&lt;=$C$2/2,C43,C43-1-2*(SUMPRODUCT(--($C$8:C43&gt;$C$2/2))-1))/(($C$2/2)*($C$2/2+1))),0)+IF(ISODD($C$2),IF(C43&gt;$C$2,0,IF(C43-1&lt;=$C$2/2,C43,C43-2*(SUMPRODUCT(--($C$8:C43&gt;$C$2/2))-1))/((INT($C$2/2))*(INT($C$2/2)+1)+ROUNDUP($C$2/2,0))),0)</f>
        <v>1.5873015873015872E-2</v>
      </c>
      <c r="O43" s="542"/>
      <c r="P43" s="542">
        <f t="shared" si="12"/>
        <v>0</v>
      </c>
      <c r="Q43" s="542">
        <f>IF($C43=general!$C$28,Q$4,IFERROR(($C43&lt;general!$C$23)*((1-Q$4)*Q$5)/(general!$C$23-1),0)+IFERROR(($C43&gt;=general!$C$23)*($C43&lt;=general!$C$27)*((1-Q$4)*Q$6)/(general!$C$27-general!$C$23+1),0))+IF(AND(general!$C$23&lt;=1,$C43&lt;=1),'draws%'!Q$5*(1-Q$4))</f>
        <v>3.125E-2</v>
      </c>
      <c r="R43" s="542">
        <f>IF($C43=general!$C$27,R$4,IFERROR(($C43&lt;general!$C$23)*((1-R$4)*R$5)/(general!$C$23-1),0)+IFERROR(($C43&gt;=general!$C$23)*($C43&lt;general!$C$27)*((1-R$4)*R$6)/(general!$C$27-general!$C$23),0))+IF(AND(general!$C$23&lt;=1,$C43&lt;=1),'draws%'!R$5*(1-R$4))</f>
        <v>2.8260869565217391E-2</v>
      </c>
      <c r="S43" s="542">
        <f>IF(OR(C43=general!$C$27,C43=general!$C$27-1),50%,0)</f>
        <v>0</v>
      </c>
      <c r="T43" s="542">
        <f>(C43&gt;=general!$C$26-6)*(C43&lt;general!$C$26)*1/6*0.5+(C43=3)*0.25+(C43=9)*0.25</f>
        <v>0</v>
      </c>
      <c r="U43" s="542">
        <f>IF(C43='Development Cash Flow'!$C$6,$U$5,0)+IF(C43=general!$C$27,$U$6,0)</f>
        <v>0</v>
      </c>
      <c r="V43" s="542">
        <f>IF(C43=general!$C$28,1,0)</f>
        <v>0</v>
      </c>
      <c r="W43" s="542">
        <f t="shared" si="10"/>
        <v>0</v>
      </c>
      <c r="X43" s="542">
        <f>IF(C43=general!$C$23,1,0)</f>
        <v>0</v>
      </c>
      <c r="Y43" s="542">
        <f>IFERROR((C43&lt;general!$C$23)*Y$5/(general!$C$23),0)+IFERROR((C43&gt;=general!$C$23)*(C43&lt;=general!$C$27)*Y$6/(general!$C$27-general!$C$23+1),0)</f>
        <v>0</v>
      </c>
      <c r="Z43" s="542">
        <f>IFERROR(($C43&lt;general!$C$23)*Z$5/(general!$C$23),0)+IFERROR(($C43&gt;=general!$C$23)*($C43&lt;=general!$C$27)*Z$6/(general!$C$27-general!$C$23+1),0)*(1-$Z$4)+$Z$4*AF43</f>
        <v>4.1666666666666664E-2</v>
      </c>
      <c r="AA43" s="542">
        <f>MAX((IFERROR(($C43&lt;general!$C$23)*AA$5/(general!$C$23),0)+IFERROR(($C43&gt;=general!$C$23)*($C43&lt;=general!$C$27)*AA$6/(general!$C$27-general!$C$23+1),0)),0)</f>
        <v>1.6666666666666666E-2</v>
      </c>
      <c r="AB43" s="542">
        <f>MAX((IFERROR(($C43&lt;general!$C$23)*AB$5/(general!$C$23),0)+IFERROR(($C43&gt;=general!$C$23)*($C43&lt;=general!$C$27)*AB$6/(general!$C$27-general!$C$23+1),0)),0)</f>
        <v>2.0833333333333332E-2</v>
      </c>
      <c r="AC43" s="542">
        <f>MAX((IFERROR(($C43&lt;general!$C$23)*AC$5/(general!$C$23),0)+IFERROR(($C43&gt;=general!$C$23)*($C43&lt;=general!$C$27)*AC$6/(general!$C$27-general!$C$23+1),0)),0)</f>
        <v>2.4999999999999998E-2</v>
      </c>
      <c r="AD43" s="542">
        <f>MAX((IFERROR(($C43&lt;general!$C$23)*AD$5/(general!$C$23),0)+IFERROR(($C43&gt;=general!$C$23)*($C43&lt;=general!$C$27)*AD$6/(general!$C$27-general!$C$23+1),0)),0)</f>
        <v>2.4999999999999998E-2</v>
      </c>
      <c r="AE43" s="542">
        <f t="shared" si="7"/>
        <v>0</v>
      </c>
      <c r="AF43" s="542">
        <f>+SUMPRODUCT(--($C43=sales!$C$50:$C$54),sales!$D$50:$D$54)</f>
        <v>0</v>
      </c>
      <c r="AG43" s="542">
        <f>IF($C43=general!$C$28,AG$4,IFERROR(($C43&lt;general!$C$23)*((1-AG$4)*AG$5)/(general!$C$23-1),0)+IFERROR(($C43&gt;=general!$C$23)*($C43&lt;=general!$C$27)*((1-AG$4)*AG$6)/(general!$C$27-general!$C$23+1),0))+IF(AND(general!$C$23&lt;=1,$C43&lt;=1),'draws%'!AG$5*(1-AG$4))</f>
        <v>3.5416666666666666E-2</v>
      </c>
      <c r="AH43" s="542">
        <f>+IF($C43=general!$C$21,1,0)</f>
        <v>0</v>
      </c>
      <c r="AK43" s="524">
        <f>IF(A43&lt;=general!$D$27,IF(MONTH(A43)=11,1,IF(C43=general!$C$27,1,0)),)</f>
        <v>0</v>
      </c>
      <c r="AL43" s="524">
        <f>IF(AK43=1,COUNTIFS($C$8:$C$128,"&lt;="&amp;general!$C$27&amp;"",'draws%'!$AM$8:$AM$128,"="&amp;AM43&amp;""),0)</f>
        <v>0</v>
      </c>
      <c r="AM43" s="524">
        <f t="shared" si="13"/>
        <v>2029</v>
      </c>
      <c r="AN43" s="524"/>
    </row>
    <row r="44" spans="1:40" ht="14">
      <c r="A44" s="903">
        <f t="shared" si="8"/>
        <v>47361</v>
      </c>
      <c r="C44" s="897">
        <f t="shared" si="9"/>
        <v>36</v>
      </c>
      <c r="D44" s="542"/>
      <c r="E44" s="542">
        <f>IF($C44=$C$2,0,IF(OR($C44=0,$C44&lt;general!$C$23,$C44&gt;$C$2),0,E$2/$C$3+NORMDIST($C44-general!$C$23+1,$C$3/2,E$1,1)-NORMDIST($C43-general!$C$23+1,$C$3/2,E$1,1)))+IF($C44=$C$2,1-SUM(E$8:E43),0)</f>
        <v>4.1407666296762513E-2</v>
      </c>
      <c r="F44" s="542">
        <f>IF($C44=$C$2,0,IF(OR($C44=0,$C44&lt;general!$C$23,$C44&gt;$C$2),0,F$2/$C$3+NORMDIST($C44-general!$C$23+1,$C$3/2,F$1,1)-NORMDIST($C43-general!$C$23+1,$C$3/2,F$1,1)))+IF($C44=$C$2,1-SUM(F$8:F43),0)</f>
        <v>4.1924346287235958E-2</v>
      </c>
      <c r="G44" s="542">
        <f>IF($C44=$C$2,0,IF(OR($C44=0,$C44&lt;general!$C$23,$C44&gt;$C$2),0,G$2/$C$3+NORMDIST($C44-general!$C$23+1,$C$3/2,G$1,1)-NORMDIST($C43-general!$C$23+1,$C$3/2,G$1,1)))+IF($C44=$C$2,1-SUM(G$8:G43),0)</f>
        <v>4.1841457984469255E-2</v>
      </c>
      <c r="H44" s="542">
        <f>IF(C44=$C$2,0,IF(OR(C44=0,C44&lt;1,C44&gt;$C$2),0,$H$2/$C$2+NORMDIST(C44,$C$2/2,$H$1,1)-NORMDIST(C43,$C$2/2,$H$1,1)))+IF(C44=$C$2,1-SUM($H$9:H43),0)</f>
        <v>1.9242796872962487E-2</v>
      </c>
      <c r="I44" s="542">
        <f>IF(C44=$C$2,0,IF(OR(C44=0,C44&lt;1,C44&gt;$C$2),0,$I$2/$C$2+NORMDIST(C44,$C$2/2,$I$1,1)-NORMDIST(C43,$C$2/2,$I$1,1)))+IF(C44=$C$2,1-SUM($I$9:I43),0)</f>
        <v>2.2628657529429885E-2</v>
      </c>
      <c r="J44" s="542">
        <f>IF(C44=$C$2,0,IF(OR(C44=0,C44&lt;1,C44&gt;$C$2),0,$J$2/$C$2+NORMDIST(C44,$C$2/2,$J$1,1)-NORMDIST(C43,$C$2/2,$J$1,1)))+IF(C44=$C$2,1-SUM($J$9:J43),0)</f>
        <v>2.3609638860144111E-2</v>
      </c>
      <c r="K44" s="542">
        <f t="shared" si="14"/>
        <v>1.2195121951219513E-2</v>
      </c>
      <c r="L44" s="542">
        <f t="shared" si="11"/>
        <v>2.3809523809523808E-2</v>
      </c>
      <c r="M44" s="542">
        <f>IF($C44&gt;$C$2,IF($C44=sales!$F$36,M$4,0),(1-M$4)/$C$2)</f>
        <v>2.0731707317073172E-2</v>
      </c>
      <c r="N44" s="542">
        <f>IF(ISEVEN($C$2),IF(C44&gt;$C$2,0,IF(C44&lt;=$C$2/2,C44,C44-1-2*(SUMPRODUCT(--($C$8:C44&gt;$C$2/2))-1))/(($C$2/2)*($C$2/2+1))),0)+IF(ISODD($C$2),IF(C44&gt;$C$2,0,IF(C44-1&lt;=$C$2/2,C44,C44-2*(SUMPRODUCT(--($C$8:C44&gt;$C$2/2))-1))/((INT($C$2/2))*(INT($C$2/2)+1)+ROUNDUP($C$2/2,0))),0)</f>
        <v>1.3605442176870748E-2</v>
      </c>
      <c r="O44" s="542"/>
      <c r="P44" s="542">
        <f t="shared" si="12"/>
        <v>0.16666666666666666</v>
      </c>
      <c r="Q44" s="542">
        <f>IF($C44=general!$C$28,Q$4,IFERROR(($C44&lt;general!$C$23)*((1-Q$4)*Q$5)/(general!$C$23-1),0)+IFERROR(($C44&gt;=general!$C$23)*($C44&lt;=general!$C$27)*((1-Q$4)*Q$6)/(general!$C$27-general!$C$23+1),0))+IF(AND(general!$C$23&lt;=1,$C44&lt;=1),'draws%'!Q$5*(1-Q$4))</f>
        <v>3.125E-2</v>
      </c>
      <c r="R44" s="542">
        <f>IF($C44=general!$C$27,R$4,IFERROR(($C44&lt;general!$C$23)*((1-R$4)*R$5)/(general!$C$23-1),0)+IFERROR(($C44&gt;=general!$C$23)*($C44&lt;general!$C$27)*((1-R$4)*R$6)/(general!$C$27-general!$C$23),0))+IF(AND(general!$C$23&lt;=1,$C44&lt;=1),'draws%'!R$5*(1-R$4))</f>
        <v>2.8260869565217391E-2</v>
      </c>
      <c r="S44" s="542">
        <f>IF(OR(C44=general!$C$27,C44=general!$C$27-1),50%,0)</f>
        <v>0</v>
      </c>
      <c r="T44" s="542">
        <f>(C44&gt;=general!$C$26-6)*(C44&lt;general!$C$26)*1/6*0.5+(C44=3)*0.25+(C44=9)*0.25</f>
        <v>0</v>
      </c>
      <c r="U44" s="542">
        <f>IF(C44='Development Cash Flow'!$C$6,$U$5,0)+IF(C44=general!$C$27,$U$6,0)</f>
        <v>0</v>
      </c>
      <c r="V44" s="542">
        <f>IF(C44=general!$C$28,1,0)</f>
        <v>0</v>
      </c>
      <c r="W44" s="542">
        <f t="shared" si="10"/>
        <v>8.3333333333333329E-2</v>
      </c>
      <c r="X44" s="542">
        <f>IF(C44=general!$C$23,1,0)</f>
        <v>0</v>
      </c>
      <c r="Y44" s="542">
        <f>IFERROR((C44&lt;general!$C$23)*Y$5/(general!$C$23),0)+IFERROR((C44&gt;=general!$C$23)*(C44&lt;=general!$C$27)*Y$6/(general!$C$27-general!$C$23+1),0)</f>
        <v>0</v>
      </c>
      <c r="Z44" s="542">
        <f>IFERROR(($C44&lt;general!$C$23)*Z$5/(general!$C$23),0)+IFERROR(($C44&gt;=general!$C$23)*($C44&lt;=general!$C$27)*Z$6/(general!$C$27-general!$C$23+1),0)*(1-$Z$4)+$Z$4*AF44</f>
        <v>4.1666666666666664E-2</v>
      </c>
      <c r="AA44" s="542">
        <f>MAX((IFERROR(($C44&lt;general!$C$23)*AA$5/(general!$C$23),0)+IFERROR(($C44&gt;=general!$C$23)*($C44&lt;=general!$C$27)*AA$6/(general!$C$27-general!$C$23+1),0)),0)</f>
        <v>1.6666666666666666E-2</v>
      </c>
      <c r="AB44" s="542">
        <f>MAX((IFERROR(($C44&lt;general!$C$23)*AB$5/(general!$C$23),0)+IFERROR(($C44&gt;=general!$C$23)*($C44&lt;=general!$C$27)*AB$6/(general!$C$27-general!$C$23+1),0)),0)</f>
        <v>2.0833333333333332E-2</v>
      </c>
      <c r="AC44" s="542">
        <f>MAX((IFERROR(($C44&lt;general!$C$23)*AC$5/(general!$C$23),0)+IFERROR(($C44&gt;=general!$C$23)*($C44&lt;=general!$C$27)*AC$6/(general!$C$27-general!$C$23+1),0)),0)</f>
        <v>2.4999999999999998E-2</v>
      </c>
      <c r="AD44" s="542">
        <f>MAX((IFERROR(($C44&lt;general!$C$23)*AD$5/(general!$C$23),0)+IFERROR(($C44&gt;=general!$C$23)*($C44&lt;=general!$C$27)*AD$6/(general!$C$27-general!$C$23+1),0)),0)</f>
        <v>2.4999999999999998E-2</v>
      </c>
      <c r="AE44" s="542">
        <f t="shared" si="7"/>
        <v>0</v>
      </c>
      <c r="AF44" s="542">
        <f>+SUMPRODUCT(--($C44=sales!$C$50:$C$54),sales!$D$50:$D$54)</f>
        <v>0</v>
      </c>
      <c r="AG44" s="542">
        <f>IF($C44=general!$C$28,AG$4,IFERROR(($C44&lt;general!$C$23)*((1-AG$4)*AG$5)/(general!$C$23-1),0)+IFERROR(($C44&gt;=general!$C$23)*($C44&lt;=general!$C$27)*((1-AG$4)*AG$6)/(general!$C$27-general!$C$23+1),0))+IF(AND(general!$C$23&lt;=1,$C44&lt;=1),'draws%'!AG$5*(1-AG$4))</f>
        <v>3.5416666666666666E-2</v>
      </c>
      <c r="AH44" s="542">
        <f>+IF($C44=general!$C$21,1,0)</f>
        <v>0</v>
      </c>
      <c r="AK44" s="524">
        <f>IF(A44&lt;=general!$D$27,IF(MONTH(A44)=11,1,IF(C44=general!$C$27,1,0)),)</f>
        <v>0</v>
      </c>
      <c r="AL44" s="524">
        <f>IF(AK44=1,COUNTIFS($C$8:$C$128,"&lt;="&amp;general!$C$27&amp;"",'draws%'!$AM$8:$AM$128,"="&amp;AM44&amp;""),0)</f>
        <v>0</v>
      </c>
      <c r="AM44" s="524">
        <f t="shared" si="13"/>
        <v>2029</v>
      </c>
      <c r="AN44" s="524"/>
    </row>
    <row r="45" spans="1:40" ht="14">
      <c r="A45" s="903">
        <f t="shared" si="8"/>
        <v>47391</v>
      </c>
      <c r="C45" s="897">
        <f t="shared" si="9"/>
        <v>37</v>
      </c>
      <c r="D45" s="542"/>
      <c r="E45" s="542">
        <f>IF($C45=$C$2,0,IF(OR($C45=0,$C45&lt;general!$C$23,$C45&gt;$C$2),0,E$2/$C$3+NORMDIST($C45-general!$C$23+1,$C$3/2,E$1,1)-NORMDIST($C44-general!$C$23+1,$C$3/2,E$1,1)))+IF($C45=$C$2,1-SUM(E$8:E44),0)</f>
        <v>3.7698965693458431E-2</v>
      </c>
      <c r="F45" s="542">
        <f>IF($C45=$C$2,0,IF(OR($C45=0,$C45&lt;general!$C$23,$C45&gt;$C$2),0,F$2/$C$3+NORMDIST($C45-general!$C$23+1,$C$3/2,F$1,1)-NORMDIST($C44-general!$C$23+1,$C$3/2,F$1,1)))+IF($C45=$C$2,1-SUM(F$8:F44),0)</f>
        <v>4.0563197213737467E-2</v>
      </c>
      <c r="G45" s="542">
        <f>IF($C45=$C$2,0,IF(OR($C45=0,$C45&lt;general!$C$23,$C45&gt;$C$2),0,G$2/$C$3+NORMDIST($C45-general!$C$23+1,$C$3/2,G$1,1)-NORMDIST($C44-general!$C$23+1,$C$3/2,G$1,1)))+IF($C45=$C$2,1-SUM(G$8:G44),0)</f>
        <v>4.1222462012964645E-2</v>
      </c>
      <c r="H45" s="542">
        <f>IF(C45=$C$2,0,IF(OR(C45=0,C45&lt;1,C45&gt;$C$2),0,$H$2/$C$2+NORMDIST(C45,$C$2/2,$H$1,1)-NORMDIST(C44,$C$2/2,$H$1,1)))+IF(C45=$C$2,1-SUM($H$9:H44),0)</f>
        <v>1.7970442668964082E-2</v>
      </c>
      <c r="I45" s="542">
        <f>IF(C45=$C$2,0,IF(OR(C45=0,C45&lt;1,C45&gt;$C$2),0,$I$2/$C$2+NORMDIST(C45,$C$2/2,$I$1,1)-NORMDIST(C44,$C$2/2,$I$1,1)))+IF(C45=$C$2,1-SUM($I$9:I44),0)</f>
        <v>2.2089604396773099E-2</v>
      </c>
      <c r="J45" s="542">
        <f>IF(C45=$C$2,0,IF(OR(C45=0,C45&lt;1,C45&gt;$C$2),0,$J$2/$C$2+NORMDIST(C45,$C$2/2,$J$1,1)-NORMDIST(C44,$C$2/2,$J$1,1)))+IF(C45=$C$2,1-SUM($J$9:J44),0)</f>
        <v>2.3351884653582955E-2</v>
      </c>
      <c r="K45" s="542">
        <f t="shared" si="14"/>
        <v>1.2195121951219513E-2</v>
      </c>
      <c r="L45" s="542">
        <f t="shared" si="11"/>
        <v>2.3809523809523808E-2</v>
      </c>
      <c r="M45" s="542">
        <f>IF($C45&gt;$C$2,IF($C45=sales!$F$36,M$4,0),(1-M$4)/$C$2)</f>
        <v>2.0731707317073172E-2</v>
      </c>
      <c r="N45" s="542">
        <f>IF(ISEVEN($C$2),IF(C45&gt;$C$2,0,IF(C45&lt;=$C$2/2,C45,C45-1-2*(SUMPRODUCT(--($C$8:C45&gt;$C$2/2))-1))/(($C$2/2)*($C$2/2+1))),0)+IF(ISODD($C$2),IF(C45&gt;$C$2,0,IF(C45-1&lt;=$C$2/2,C45,C45-2*(SUMPRODUCT(--($C$8:C45&gt;$C$2/2))-1))/((INT($C$2/2))*(INT($C$2/2)+1)+ROUNDUP($C$2/2,0))),0)</f>
        <v>1.1337868480725623E-2</v>
      </c>
      <c r="O45" s="542"/>
      <c r="P45" s="542">
        <f t="shared" si="12"/>
        <v>0.16666666666666666</v>
      </c>
      <c r="Q45" s="542">
        <f>IF($C45=general!$C$28,Q$4,IFERROR(($C45&lt;general!$C$23)*((1-Q$4)*Q$5)/(general!$C$23-1),0)+IFERROR(($C45&gt;=general!$C$23)*($C45&lt;=general!$C$27)*((1-Q$4)*Q$6)/(general!$C$27-general!$C$23+1),0))+IF(AND(general!$C$23&lt;=1,$C45&lt;=1),'draws%'!Q$5*(1-Q$4))</f>
        <v>3.125E-2</v>
      </c>
      <c r="R45" s="542">
        <f>IF($C45=general!$C$27,R$4,IFERROR(($C45&lt;general!$C$23)*((1-R$4)*R$5)/(general!$C$23-1),0)+IFERROR(($C45&gt;=general!$C$23)*($C45&lt;general!$C$27)*((1-R$4)*R$6)/(general!$C$27-general!$C$23),0))+IF(AND(general!$C$23&lt;=1,$C45&lt;=1),'draws%'!R$5*(1-R$4))</f>
        <v>2.8260869565217391E-2</v>
      </c>
      <c r="S45" s="542">
        <f>IF(OR(C45=general!$C$27,C45=general!$C$27-1),50%,0)</f>
        <v>0</v>
      </c>
      <c r="T45" s="542">
        <f>(C45&gt;=general!$C$26-6)*(C45&lt;general!$C$26)*1/6*0.5+(C45=3)*0.25+(C45=9)*0.25</f>
        <v>0</v>
      </c>
      <c r="U45" s="542">
        <f>IF(C45='Development Cash Flow'!$C$6,$U$5,0)+IF(C45=general!$C$27,$U$6,0)</f>
        <v>0</v>
      </c>
      <c r="V45" s="542">
        <f>IF(C45=general!$C$28,1,0)</f>
        <v>0</v>
      </c>
      <c r="W45" s="542">
        <f t="shared" si="10"/>
        <v>8.3333333333333329E-2</v>
      </c>
      <c r="X45" s="542">
        <f>IF(C45=general!$C$23,1,0)</f>
        <v>0</v>
      </c>
      <c r="Y45" s="542">
        <f>IFERROR((C45&lt;general!$C$23)*Y$5/(general!$C$23),0)+IFERROR((C45&gt;=general!$C$23)*(C45&lt;=general!$C$27)*Y$6/(general!$C$27-general!$C$23+1),0)</f>
        <v>0</v>
      </c>
      <c r="Z45" s="542">
        <f>IFERROR(($C45&lt;general!$C$23)*Z$5/(general!$C$23),0)+IFERROR(($C45&gt;=general!$C$23)*($C45&lt;=general!$C$27)*Z$6/(general!$C$27-general!$C$23+1),0)*(1-$Z$4)+$Z$4*AF45</f>
        <v>4.1666666666666664E-2</v>
      </c>
      <c r="AA45" s="542">
        <f>MAX((IFERROR(($C45&lt;general!$C$23)*AA$5/(general!$C$23),0)+IFERROR(($C45&gt;=general!$C$23)*($C45&lt;=general!$C$27)*AA$6/(general!$C$27-general!$C$23+1),0)),0)</f>
        <v>1.6666666666666666E-2</v>
      </c>
      <c r="AB45" s="542">
        <f>MAX((IFERROR(($C45&lt;general!$C$23)*AB$5/(general!$C$23),0)+IFERROR(($C45&gt;=general!$C$23)*($C45&lt;=general!$C$27)*AB$6/(general!$C$27-general!$C$23+1),0)),0)</f>
        <v>2.0833333333333332E-2</v>
      </c>
      <c r="AC45" s="542">
        <f>MAX((IFERROR(($C45&lt;general!$C$23)*AC$5/(general!$C$23),0)+IFERROR(($C45&gt;=general!$C$23)*($C45&lt;=general!$C$27)*AC$6/(general!$C$27-general!$C$23+1),0)),0)</f>
        <v>2.4999999999999998E-2</v>
      </c>
      <c r="AD45" s="542">
        <f>MAX((IFERROR(($C45&lt;general!$C$23)*AD$5/(general!$C$23),0)+IFERROR(($C45&gt;=general!$C$23)*($C45&lt;=general!$C$27)*AD$6/(general!$C$27-general!$C$23+1),0)),0)</f>
        <v>2.4999999999999998E-2</v>
      </c>
      <c r="AE45" s="542">
        <f t="shared" si="7"/>
        <v>0</v>
      </c>
      <c r="AF45" s="542">
        <f>+SUMPRODUCT(--($C45=sales!$C$50:$C$54),sales!$D$50:$D$54)</f>
        <v>0</v>
      </c>
      <c r="AG45" s="542">
        <f>IF($C45=general!$C$28,AG$4,IFERROR(($C45&lt;general!$C$23)*((1-AG$4)*AG$5)/(general!$C$23-1),0)+IFERROR(($C45&gt;=general!$C$23)*($C45&lt;=general!$C$27)*((1-AG$4)*AG$6)/(general!$C$27-general!$C$23+1),0))+IF(AND(general!$C$23&lt;=1,$C45&lt;=1),'draws%'!AG$5*(1-AG$4))</f>
        <v>3.5416666666666666E-2</v>
      </c>
      <c r="AH45" s="542">
        <f>+IF($C45=general!$C$21,1,0)</f>
        <v>0</v>
      </c>
      <c r="AK45" s="524">
        <f>IF(A45&lt;=general!$D$27,IF(MONTH(A45)=11,1,IF(C45=general!$C$27,1,0)),)</f>
        <v>0</v>
      </c>
      <c r="AL45" s="524">
        <f>IF(AK45=1,COUNTIFS($C$8:$C$128,"&lt;="&amp;general!$C$27&amp;"",'draws%'!$AM$8:$AM$128,"="&amp;AM45&amp;""),0)</f>
        <v>0</v>
      </c>
      <c r="AM45" s="524">
        <f t="shared" si="13"/>
        <v>2029</v>
      </c>
      <c r="AN45" s="524"/>
    </row>
    <row r="46" spans="1:40" ht="14">
      <c r="A46" s="903">
        <f t="shared" si="8"/>
        <v>47422</v>
      </c>
      <c r="C46" s="897">
        <f t="shared" si="9"/>
        <v>38</v>
      </c>
      <c r="D46" s="542"/>
      <c r="E46" s="542">
        <f>IF($C46=$C$2,0,IF(OR($C46=0,$C46&lt;general!$C$23,$C46&gt;$C$2),0,E$2/$C$3+NORMDIST($C46-general!$C$23+1,$C$3/2,E$1,1)-NORMDIST($C45-general!$C$23+1,$C$3/2,E$1,1)))+IF($C46=$C$2,1-SUM(E$8:E45),0)</f>
        <v>3.3928003567052945E-2</v>
      </c>
      <c r="F46" s="542">
        <f>IF($C46=$C$2,0,IF(OR($C46=0,$C46&lt;general!$C$23,$C46&gt;$C$2),0,F$2/$C$3+NORMDIST($C46-general!$C$23+1,$C$3/2,F$1,1)-NORMDIST($C45-general!$C$23+1,$C$3/2,F$1,1)))+IF($C46=$C$2,1-SUM(F$8:F45),0)</f>
        <v>3.9086456331009378E-2</v>
      </c>
      <c r="G46" s="542">
        <f>IF($C46=$C$2,0,IF(OR($C46=0,$C46&lt;general!$C$23,$C46&gt;$C$2),0,G$2/$C$3+NORMDIST($C46-general!$C$23+1,$C$3/2,G$1,1)-NORMDIST($C45-general!$C$23+1,$C$3/2,G$1,1)))+IF($C46=$C$2,1-SUM(G$8:G45),0)</f>
        <v>4.0535449607694063E-2</v>
      </c>
      <c r="H46" s="542">
        <f>IF(C46=$C$2,0,IF(OR(C46=0,C46&lt;1,C46&gt;$C$2),0,$H$2/$C$2+NORMDIST(C46,$C$2/2,$H$1,1)-NORMDIST(C45,$C$2/2,$H$1,1)))+IF(C46=$C$2,1-SUM($H$9:H45),0)</f>
        <v>1.6727101377158937E-2</v>
      </c>
      <c r="I46" s="542">
        <f>IF(C46=$C$2,0,IF(OR(C46=0,C46&lt;1,C46&gt;$C$2),0,$I$2/$C$2+NORMDIST(C46,$C$2/2,$I$1,1)-NORMDIST(C45,$C$2/2,$I$1,1)))+IF(C46=$C$2,1-SUM($I$9:I45),0)</f>
        <v>2.1537201856928534E-2</v>
      </c>
      <c r="J46" s="542">
        <f>IF(C46=$C$2,0,IF(OR(C46=0,C46&lt;1,C46&gt;$C$2),0,$J$2/$C$2+NORMDIST(C46,$C$2/2,$J$1,1)-NORMDIST(C45,$C$2/2,$J$1,1)))+IF(C46=$C$2,1-SUM($J$9:J45),0)</f>
        <v>2.3083313534867256E-2</v>
      </c>
      <c r="K46" s="542">
        <f t="shared" si="14"/>
        <v>1.2195121951219513E-2</v>
      </c>
      <c r="L46" s="542">
        <f t="shared" si="11"/>
        <v>2.3809523809523808E-2</v>
      </c>
      <c r="M46" s="542">
        <f>IF($C46&gt;$C$2,IF($C46=sales!$F$36,M$4,0),(1-M$4)/$C$2)</f>
        <v>2.0731707317073172E-2</v>
      </c>
      <c r="N46" s="542">
        <f>IF(ISEVEN($C$2),IF(C46&gt;$C$2,0,IF(C46&lt;=$C$2/2,C46,C46-1-2*(SUMPRODUCT(--($C$8:C46&gt;$C$2/2))-1))/(($C$2/2)*($C$2/2+1))),0)+IF(ISODD($C$2),IF(C46&gt;$C$2,0,IF(C46-1&lt;=$C$2/2,C46,C46-2*(SUMPRODUCT(--($C$8:C46&gt;$C$2/2))-1))/((INT($C$2/2))*(INT($C$2/2)+1)+ROUNDUP($C$2/2,0))),0)</f>
        <v>9.0702947845804991E-3</v>
      </c>
      <c r="O46" s="542"/>
      <c r="P46" s="542">
        <f t="shared" si="12"/>
        <v>0.16666666666666666</v>
      </c>
      <c r="Q46" s="542">
        <f>IF($C46=general!$C$28,Q$4,IFERROR(($C46&lt;general!$C$23)*((1-Q$4)*Q$5)/(general!$C$23-1),0)+IFERROR(($C46&gt;=general!$C$23)*($C46&lt;=general!$C$27)*((1-Q$4)*Q$6)/(general!$C$27-general!$C$23+1),0))+IF(AND(general!$C$23&lt;=1,$C46&lt;=1),'draws%'!Q$5*(1-Q$4))</f>
        <v>3.125E-2</v>
      </c>
      <c r="R46" s="542">
        <f>IF($C46=general!$C$27,R$4,IFERROR(($C46&lt;general!$C$23)*((1-R$4)*R$5)/(general!$C$23-1),0)+IFERROR(($C46&gt;=general!$C$23)*($C46&lt;general!$C$27)*((1-R$4)*R$6)/(general!$C$27-general!$C$23),0))+IF(AND(general!$C$23&lt;=1,$C46&lt;=1),'draws%'!R$5*(1-R$4))</f>
        <v>2.8260869565217391E-2</v>
      </c>
      <c r="S46" s="542">
        <f>IF(OR(C46=general!$C$27,C46=general!$C$27-1),50%,0)</f>
        <v>0</v>
      </c>
      <c r="T46" s="542">
        <f>(C46&gt;=general!$C$26-6)*(C46&lt;general!$C$26)*1/6*0.5+(C46=3)*0.25+(C46=9)*0.25</f>
        <v>0</v>
      </c>
      <c r="U46" s="542">
        <f>IF(C46='Development Cash Flow'!$C$6,$U$5,0)+IF(C46=general!$C$27,$U$6,0)</f>
        <v>0</v>
      </c>
      <c r="V46" s="542">
        <f>IF(C46=general!$C$28,1,0)</f>
        <v>0</v>
      </c>
      <c r="W46" s="542">
        <f t="shared" si="10"/>
        <v>8.3333333333333329E-2</v>
      </c>
      <c r="X46" s="542">
        <f>IF(C46=general!$C$23,1,0)</f>
        <v>0</v>
      </c>
      <c r="Y46" s="542">
        <f>IFERROR((C46&lt;general!$C$23)*Y$5/(general!$C$23),0)+IFERROR((C46&gt;=general!$C$23)*(C46&lt;=general!$C$27)*Y$6/(general!$C$27-general!$C$23+1),0)</f>
        <v>0</v>
      </c>
      <c r="Z46" s="542">
        <f>IFERROR(($C46&lt;general!$C$23)*Z$5/(general!$C$23),0)+IFERROR(($C46&gt;=general!$C$23)*($C46&lt;=general!$C$27)*Z$6/(general!$C$27-general!$C$23+1),0)*(1-$Z$4)+$Z$4*AF46</f>
        <v>4.1666666666666664E-2</v>
      </c>
      <c r="AA46" s="542">
        <f>MAX((IFERROR(($C46&lt;general!$C$23)*AA$5/(general!$C$23),0)+IFERROR(($C46&gt;=general!$C$23)*($C46&lt;=general!$C$27)*AA$6/(general!$C$27-general!$C$23+1),0)),0)</f>
        <v>1.6666666666666666E-2</v>
      </c>
      <c r="AB46" s="542">
        <f>MAX((IFERROR(($C46&lt;general!$C$23)*AB$5/(general!$C$23),0)+IFERROR(($C46&gt;=general!$C$23)*($C46&lt;=general!$C$27)*AB$6/(general!$C$27-general!$C$23+1),0)),0)</f>
        <v>2.0833333333333332E-2</v>
      </c>
      <c r="AC46" s="542">
        <f>MAX((IFERROR(($C46&lt;general!$C$23)*AC$5/(general!$C$23),0)+IFERROR(($C46&gt;=general!$C$23)*($C46&lt;=general!$C$27)*AC$6/(general!$C$27-general!$C$23+1),0)),0)</f>
        <v>2.4999999999999998E-2</v>
      </c>
      <c r="AD46" s="542">
        <f>MAX((IFERROR(($C46&lt;general!$C$23)*AD$5/(general!$C$23),0)+IFERROR(($C46&gt;=general!$C$23)*($C46&lt;=general!$C$27)*AD$6/(general!$C$27-general!$C$23+1),0)),0)</f>
        <v>2.4999999999999998E-2</v>
      </c>
      <c r="AE46" s="542">
        <f t="shared" si="7"/>
        <v>0</v>
      </c>
      <c r="AF46" s="542">
        <f>+SUMPRODUCT(--($C46=sales!$C$50:$C$54),sales!$D$50:$D$54)</f>
        <v>0</v>
      </c>
      <c r="AG46" s="542">
        <f>IF($C46=general!$C$28,AG$4,IFERROR(($C46&lt;general!$C$23)*((1-AG$4)*AG$5)/(general!$C$23-1),0)+IFERROR(($C46&gt;=general!$C$23)*($C46&lt;=general!$C$27)*((1-AG$4)*AG$6)/(general!$C$27-general!$C$23+1),0))+IF(AND(general!$C$23&lt;=1,$C46&lt;=1),'draws%'!AG$5*(1-AG$4))</f>
        <v>3.5416666666666666E-2</v>
      </c>
      <c r="AH46" s="542">
        <f>+IF($C46=general!$C$21,1,0)</f>
        <v>0</v>
      </c>
      <c r="AK46" s="524">
        <f>IF(A46&lt;=general!$D$27,IF(MONTH(A46)=11,1,IF(C46=general!$C$27,1,0)),)</f>
        <v>0</v>
      </c>
      <c r="AL46" s="524">
        <f>IF(AK46=1,COUNTIFS($C$8:$C$128,"&lt;="&amp;general!$C$27&amp;"",'draws%'!$AM$8:$AM$128,"="&amp;AM46&amp;""),0)</f>
        <v>0</v>
      </c>
      <c r="AM46" s="524">
        <f t="shared" si="13"/>
        <v>2029</v>
      </c>
      <c r="AN46" s="524"/>
    </row>
    <row r="47" spans="1:40" ht="14">
      <c r="A47" s="903">
        <f t="shared" si="8"/>
        <v>47452</v>
      </c>
      <c r="C47" s="897">
        <f t="shared" si="9"/>
        <v>39</v>
      </c>
      <c r="D47" s="542"/>
      <c r="E47" s="542">
        <f>IF($C47=$C$2,0,IF(OR($C47=0,$C47&lt;general!$C$23,$C47&gt;$C$2),0,E$2/$C$3+NORMDIST($C47-general!$C$23+1,$C$3/2,E$1,1)-NORMDIST($C46-general!$C$23+1,$C$3/2,E$1,1)))+IF($C47=$C$2,1-SUM(E$8:E46),0)</f>
        <v>3.0212010242358422E-2</v>
      </c>
      <c r="F47" s="542">
        <f>IF($C47=$C$2,0,IF(OR($C47=0,$C47&lt;general!$C$23,$C47&gt;$C$2),0,F$2/$C$3+NORMDIST($C47-general!$C$23+1,$C$3/2,F$1,1)-NORMDIST($C46-general!$C$23+1,$C$3/2,F$1,1)))+IF($C47=$C$2,1-SUM(F$8:F46),0)</f>
        <v>3.7520242574179963E-2</v>
      </c>
      <c r="G47" s="542">
        <f>IF($C47=$C$2,0,IF(OR($C47=0,$C47&lt;general!$C$23,$C47&gt;$C$2),0,G$2/$C$3+NORMDIST($C47-general!$C$23+1,$C$3/2,G$1,1)-NORMDIST($C46-general!$C$23+1,$C$3/2,G$1,1)))+IF($C47=$C$2,1-SUM(G$8:G46),0)</f>
        <v>3.9787785465736913E-2</v>
      </c>
      <c r="H47" s="542">
        <f>IF(C47=$C$2,0,IF(OR(C47=0,C47&lt;1,C47&gt;$C$2),0,$H$2/$C$2+NORMDIST(C47,$C$2/2,$H$1,1)-NORMDIST(C46,$C$2/2,$H$1,1)))+IF(C47=$C$2,1-SUM($H$9:H46),0)</f>
        <v>1.5523032245098878E-2</v>
      </c>
      <c r="I47" s="542">
        <f>IF(C47=$C$2,0,IF(OR(C47=0,C47&lt;1,C47&gt;$C$2),0,$I$2/$C$2+NORMDIST(C47,$C$2/2,$I$1,1)-NORMDIST(C46,$C$2/2,$I$1,1)))+IF(C47=$C$2,1-SUM($I$9:I46),0)</f>
        <v>2.0974538532314679E-2</v>
      </c>
      <c r="J47" s="542">
        <f>IF(C47=$C$2,0,IF(OR(C47=0,C47&lt;1,C47&gt;$C$2),0,$J$2/$C$2+NORMDIST(C47,$C$2/2,$J$1,1)-NORMDIST(C46,$C$2/2,$J$1,1)))+IF(C47=$C$2,1-SUM($J$9:J46),0)</f>
        <v>2.2804872304349133E-2</v>
      </c>
      <c r="K47" s="542">
        <f t="shared" si="14"/>
        <v>1.2195121951219513E-2</v>
      </c>
      <c r="L47" s="542">
        <f t="shared" si="11"/>
        <v>2.3809523809523808E-2</v>
      </c>
      <c r="M47" s="542">
        <f>IF($C47&gt;$C$2,IF($C47=sales!$F$36,M$4,0),(1-M$4)/$C$2)</f>
        <v>2.0731707317073172E-2</v>
      </c>
      <c r="N47" s="542">
        <f>IF(ISEVEN($C$2),IF(C47&gt;$C$2,0,IF(C47&lt;=$C$2/2,C47,C47-1-2*(SUMPRODUCT(--($C$8:C47&gt;$C$2/2))-1))/(($C$2/2)*($C$2/2+1))),0)+IF(ISODD($C$2),IF(C47&gt;$C$2,0,IF(C47-1&lt;=$C$2/2,C47,C47-2*(SUMPRODUCT(--($C$8:C47&gt;$C$2/2))-1))/((INT($C$2/2))*(INT($C$2/2)+1)+ROUNDUP($C$2/2,0))),0)</f>
        <v>6.8027210884353739E-3</v>
      </c>
      <c r="O47" s="542"/>
      <c r="P47" s="542">
        <f t="shared" si="12"/>
        <v>0.16666666666666666</v>
      </c>
      <c r="Q47" s="542">
        <f>IF($C47=general!$C$28,Q$4,IFERROR(($C47&lt;general!$C$23)*((1-Q$4)*Q$5)/(general!$C$23-1),0)+IFERROR(($C47&gt;=general!$C$23)*($C47&lt;=general!$C$27)*((1-Q$4)*Q$6)/(general!$C$27-general!$C$23+1),0))+IF(AND(general!$C$23&lt;=1,$C47&lt;=1),'draws%'!Q$5*(1-Q$4))</f>
        <v>3.125E-2</v>
      </c>
      <c r="R47" s="542">
        <f>IF($C47=general!$C$27,R$4,IFERROR(($C47&lt;general!$C$23)*((1-R$4)*R$5)/(general!$C$23-1),0)+IFERROR(($C47&gt;=general!$C$23)*($C47&lt;general!$C$27)*((1-R$4)*R$6)/(general!$C$27-general!$C$23),0))+IF(AND(general!$C$23&lt;=1,$C47&lt;=1),'draws%'!R$5*(1-R$4))</f>
        <v>2.8260869565217391E-2</v>
      </c>
      <c r="S47" s="542">
        <f>IF(OR(C47=general!$C$27,C47=general!$C$27-1),50%,0)</f>
        <v>0</v>
      </c>
      <c r="T47" s="542">
        <f>(C47&gt;=general!$C$26-6)*(C47&lt;general!$C$26)*1/6*0.5+(C47=3)*0.25+(C47=9)*0.25</f>
        <v>0</v>
      </c>
      <c r="U47" s="542">
        <f>IF(C47='Development Cash Flow'!$C$6,$U$5,0)+IF(C47=general!$C$27,$U$6,0)</f>
        <v>0</v>
      </c>
      <c r="V47" s="542">
        <f>IF(C47=general!$C$28,1,0)</f>
        <v>0</v>
      </c>
      <c r="W47" s="542">
        <f t="shared" ref="W47:W78" si="15">IF(AND(C47&gt;=$C$2-5,C47&lt;=$C$2),1/12,0)</f>
        <v>8.3333333333333329E-2</v>
      </c>
      <c r="X47" s="542">
        <f>IF(C47=general!$C$23,1,0)</f>
        <v>0</v>
      </c>
      <c r="Y47" s="542">
        <f>IFERROR((C47&lt;general!$C$23)*Y$5/(general!$C$23),0)+IFERROR((C47&gt;=general!$C$23)*(C47&lt;=general!$C$27)*Y$6/(general!$C$27-general!$C$23+1),0)</f>
        <v>0</v>
      </c>
      <c r="Z47" s="542">
        <f>IFERROR(($C47&lt;general!$C$23)*Z$5/(general!$C$23),0)+IFERROR(($C47&gt;=general!$C$23)*($C47&lt;=general!$C$27)*Z$6/(general!$C$27-general!$C$23+1),0)*(1-$Z$4)+$Z$4*AF47</f>
        <v>4.1666666666666664E-2</v>
      </c>
      <c r="AA47" s="542">
        <f>MAX((IFERROR(($C47&lt;general!$C$23)*AA$5/(general!$C$23),0)+IFERROR(($C47&gt;=general!$C$23)*($C47&lt;=general!$C$27)*AA$6/(general!$C$27-general!$C$23+1),0)),0)</f>
        <v>1.6666666666666666E-2</v>
      </c>
      <c r="AB47" s="542">
        <f>MAX((IFERROR(($C47&lt;general!$C$23)*AB$5/(general!$C$23),0)+IFERROR(($C47&gt;=general!$C$23)*($C47&lt;=general!$C$27)*AB$6/(general!$C$27-general!$C$23+1),0)),0)</f>
        <v>2.0833333333333332E-2</v>
      </c>
      <c r="AC47" s="542">
        <f>MAX((IFERROR(($C47&lt;general!$C$23)*AC$5/(general!$C$23),0)+IFERROR(($C47&gt;=general!$C$23)*($C47&lt;=general!$C$27)*AC$6/(general!$C$27-general!$C$23+1),0)),0)</f>
        <v>2.4999999999999998E-2</v>
      </c>
      <c r="AD47" s="542">
        <f>MAX((IFERROR(($C47&lt;general!$C$23)*AD$5/(general!$C$23),0)+IFERROR(($C47&gt;=general!$C$23)*($C47&lt;=general!$C$27)*AD$6/(general!$C$27-general!$C$23+1),0)),0)</f>
        <v>2.4999999999999998E-2</v>
      </c>
      <c r="AE47" s="542">
        <f t="shared" si="7"/>
        <v>0.2857142857142857</v>
      </c>
      <c r="AF47" s="542">
        <f>+SUMPRODUCT(--($C47=sales!$C$50:$C$54),sales!$D$50:$D$54)</f>
        <v>0</v>
      </c>
      <c r="AG47" s="542">
        <f>IF($C47=general!$C$28,AG$4,IFERROR(($C47&lt;general!$C$23)*((1-AG$4)*AG$5)/(general!$C$23-1),0)+IFERROR(($C47&gt;=general!$C$23)*($C47&lt;=general!$C$27)*((1-AG$4)*AG$6)/(general!$C$27-general!$C$23+1),0))+IF(AND(general!$C$23&lt;=1,$C47&lt;=1),'draws%'!AG$5*(1-AG$4))</f>
        <v>3.5416666666666666E-2</v>
      </c>
      <c r="AH47" s="542">
        <f>+IF($C47=general!$C$21,1,0)</f>
        <v>0</v>
      </c>
      <c r="AK47" s="524">
        <f>IF(A47&lt;=general!$D$27,IF(MONTH(A47)=11,1,IF(C47=general!$C$27,1,0)),)</f>
        <v>1</v>
      </c>
      <c r="AL47" s="524">
        <f>IF(AK47=1,COUNTIFS($C$8:$C$128,"&lt;="&amp;general!$C$27&amp;"",'draws%'!$AM$8:$AM$128,"="&amp;AM47&amp;""),0)</f>
        <v>12</v>
      </c>
      <c r="AM47" s="524">
        <f t="shared" si="13"/>
        <v>2029</v>
      </c>
      <c r="AN47" s="524"/>
    </row>
    <row r="48" spans="1:40" ht="14">
      <c r="A48" s="903">
        <f t="shared" si="8"/>
        <v>47483</v>
      </c>
      <c r="C48" s="897">
        <f t="shared" si="9"/>
        <v>40</v>
      </c>
      <c r="D48" s="542"/>
      <c r="E48" s="542">
        <f>IF($C48=$C$2,0,IF(OR($C48=0,$C48&lt;general!$C$23,$C48&gt;$C$2),0,E$2/$C$3+NORMDIST($C48-general!$C$23+1,$C$3/2,E$1,1)-NORMDIST($C47-general!$C$23+1,$C$3/2,E$1,1)))+IF($C48=$C$2,1-SUM(E$8:E47),0)</f>
        <v>2.6651318087924425E-2</v>
      </c>
      <c r="F48" s="542">
        <f>IF($C48=$C$2,0,IF(OR($C48=0,$C48&lt;general!$C$23,$C48&gt;$C$2),0,F$2/$C$3+NORMDIST($C48-general!$C$23+1,$C$3/2,F$1,1)-NORMDIST($C47-general!$C$23+1,$C$3/2,F$1,1)))+IF($C48=$C$2,1-SUM(F$8:F47),0)</f>
        <v>3.5890982959812301E-2</v>
      </c>
      <c r="G48" s="542">
        <f>IF($C48=$C$2,0,IF(OR($C48=0,$C48&lt;general!$C$23,$C48&gt;$C$2),0,G$2/$C$3+NORMDIST($C48-general!$C$23+1,$C$3/2,G$1,1)-NORMDIST($C47-general!$C$23+1,$C$3/2,G$1,1)))+IF($C48=$C$2,1-SUM(G$8:G47),0)</f>
        <v>3.8987291366511467E-2</v>
      </c>
      <c r="H48" s="542">
        <f>IF(C48=$C$2,0,IF(OR(C48=0,C48&lt;1,C48&gt;$C$2),0,$H$2/$C$2+NORMDIST(C48,$C$2/2,$H$1,1)-NORMDIST(C47,$C$2/2,$H$1,1)))+IF(C48=$C$2,1-SUM($H$9:H47),0)</f>
        <v>1.4367002674177898E-2</v>
      </c>
      <c r="I48" s="542">
        <f>IF(C48=$C$2,0,IF(OR(C48=0,C48&lt;1,C48&gt;$C$2),0,$I$2/$C$2+NORMDIST(C48,$C$2/2,$I$1,1)-NORMDIST(C47,$C$2/2,$I$1,1)))+IF(C48=$C$2,1-SUM($I$9:I47),0)</f>
        <v>2.0404652365913933E-2</v>
      </c>
      <c r="J48" s="542">
        <f>IF(C48=$C$2,0,IF(OR(C48=0,C48&lt;1,C48&gt;$C$2),0,$J$2/$C$2+NORMDIST(C48,$C$2/2,$J$1,1)-NORMDIST(C47,$C$2/2,$J$1,1)))+IF(C48=$C$2,1-SUM($J$9:J47),0)</f>
        <v>2.2517525622094858E-2</v>
      </c>
      <c r="K48" s="542">
        <f t="shared" si="14"/>
        <v>1.2195121951219513E-2</v>
      </c>
      <c r="L48" s="542">
        <f t="shared" si="11"/>
        <v>2.3809523809523808E-2</v>
      </c>
      <c r="M48" s="542">
        <f>IF($C48&gt;$C$2,IF($C48=sales!$F$36,M$4,0),(1-M$4)/$C$2)</f>
        <v>2.0731707317073172E-2</v>
      </c>
      <c r="N48" s="542">
        <f>IF(ISEVEN($C$2),IF(C48&gt;$C$2,0,IF(C48&lt;=$C$2/2,C48,C48-1-2*(SUMPRODUCT(--($C$8:C48&gt;$C$2/2))-1))/(($C$2/2)*($C$2/2+1))),0)+IF(ISODD($C$2),IF(C48&gt;$C$2,0,IF(C48-1&lt;=$C$2/2,C48,C48-2*(SUMPRODUCT(--($C$8:C48&gt;$C$2/2))-1))/((INT($C$2/2))*(INT($C$2/2)+1)+ROUNDUP($C$2/2,0))),0)</f>
        <v>4.5351473922902496E-3</v>
      </c>
      <c r="O48" s="542"/>
      <c r="P48" s="542">
        <f t="shared" si="12"/>
        <v>0.16666666666666666</v>
      </c>
      <c r="Q48" s="542">
        <f>IF($C48=general!$C$28,Q$4,IFERROR(($C48&lt;general!$C$23)*((1-Q$4)*Q$5)/(general!$C$23-1),0)+IFERROR(($C48&gt;=general!$C$23)*($C48&lt;=general!$C$27)*((1-Q$4)*Q$6)/(general!$C$27-general!$C$23+1),0))+IF(AND(general!$C$23&lt;=1,$C48&lt;=1),'draws%'!Q$5*(1-Q$4))</f>
        <v>3.125E-2</v>
      </c>
      <c r="R48" s="542">
        <f>IF($C48=general!$C$27,R$4,IFERROR(($C48&lt;general!$C$23)*((1-R$4)*R$5)/(general!$C$23-1),0)+IFERROR(($C48&gt;=general!$C$23)*($C48&lt;general!$C$27)*((1-R$4)*R$6)/(general!$C$27-general!$C$23),0))+IF(AND(general!$C$23&lt;=1,$C48&lt;=1),'draws%'!R$5*(1-R$4))</f>
        <v>2.8260869565217391E-2</v>
      </c>
      <c r="S48" s="542">
        <f>IF(OR(C48=general!$C$27,C48=general!$C$27-1),50%,0)</f>
        <v>0.5</v>
      </c>
      <c r="T48" s="542">
        <f>(C48&gt;=general!$C$26-6)*(C48&lt;general!$C$26)*1/6*0.5+(C48=3)*0.25+(C48=9)*0.25</f>
        <v>0</v>
      </c>
      <c r="U48" s="542">
        <f>IF(C48='Development Cash Flow'!$C$6,$U$5,0)+IF(C48=general!$C$27,$U$6,0)</f>
        <v>0</v>
      </c>
      <c r="V48" s="542">
        <f>IF(C48=general!$C$28,1,0)</f>
        <v>0</v>
      </c>
      <c r="W48" s="542">
        <f t="shared" si="15"/>
        <v>8.3333333333333329E-2</v>
      </c>
      <c r="X48" s="542">
        <f>IF(C48=general!$C$23,1,0)</f>
        <v>0</v>
      </c>
      <c r="Y48" s="542">
        <f>IFERROR((C48&lt;general!$C$23)*Y$5/(general!$C$23),0)+IFERROR((C48&gt;=general!$C$23)*(C48&lt;=general!$C$27)*Y$6/(general!$C$27-general!$C$23+1),0)</f>
        <v>0</v>
      </c>
      <c r="Z48" s="542">
        <f>IFERROR(($C48&lt;general!$C$23)*Z$5/(general!$C$23),0)+IFERROR(($C48&gt;=general!$C$23)*($C48&lt;=general!$C$27)*Z$6/(general!$C$27-general!$C$23+1),0)*(1-$Z$4)+$Z$4*AF48</f>
        <v>4.1666666666666664E-2</v>
      </c>
      <c r="AA48" s="542">
        <f>MAX((IFERROR(($C48&lt;general!$C$23)*AA$5/(general!$C$23),0)+IFERROR(($C48&gt;=general!$C$23)*($C48&lt;=general!$C$27)*AA$6/(general!$C$27-general!$C$23+1),0)),0)</f>
        <v>1.6666666666666666E-2</v>
      </c>
      <c r="AB48" s="542">
        <f>MAX((IFERROR(($C48&lt;general!$C$23)*AB$5/(general!$C$23),0)+IFERROR(($C48&gt;=general!$C$23)*($C48&lt;=general!$C$27)*AB$6/(general!$C$27-general!$C$23+1),0)),0)</f>
        <v>2.0833333333333332E-2</v>
      </c>
      <c r="AC48" s="542">
        <f>MAX((IFERROR(($C48&lt;general!$C$23)*AC$5/(general!$C$23),0)+IFERROR(($C48&gt;=general!$C$23)*($C48&lt;=general!$C$27)*AC$6/(general!$C$27-general!$C$23+1),0)),0)</f>
        <v>2.4999999999999998E-2</v>
      </c>
      <c r="AD48" s="542">
        <f>MAX((IFERROR(($C48&lt;general!$C$23)*AD$5/(general!$C$23),0)+IFERROR(($C48&gt;=general!$C$23)*($C48&lt;=general!$C$27)*AD$6/(general!$C$27-general!$C$23+1),0)),0)</f>
        <v>2.4999999999999998E-2</v>
      </c>
      <c r="AE48" s="542">
        <f t="shared" si="7"/>
        <v>0</v>
      </c>
      <c r="AF48" s="542">
        <f>+SUMPRODUCT(--($C48=sales!$C$50:$C$54),sales!$D$50:$D$54)</f>
        <v>0</v>
      </c>
      <c r="AG48" s="542">
        <f>IF($C48=general!$C$28,AG$4,IFERROR(($C48&lt;general!$C$23)*((1-AG$4)*AG$5)/(general!$C$23-1),0)+IFERROR(($C48&gt;=general!$C$23)*($C48&lt;=general!$C$27)*((1-AG$4)*AG$6)/(general!$C$27-general!$C$23+1),0))+IF(AND(general!$C$23&lt;=1,$C48&lt;=1),'draws%'!AG$5*(1-AG$4))</f>
        <v>3.5416666666666666E-2</v>
      </c>
      <c r="AH48" s="542">
        <f>+IF($C48=general!$C$21,1,0)</f>
        <v>0</v>
      </c>
      <c r="AK48" s="524">
        <f>IF(A48&lt;=general!$D$27,IF(MONTH(A48)=11,1,IF(C48=general!$C$27,1,0)),)</f>
        <v>0</v>
      </c>
      <c r="AL48" s="524">
        <f>IF(AK48=1,COUNTIFS($C$8:$C$128,"&lt;="&amp;general!$C$27&amp;"",'draws%'!$AM$8:$AM$128,"="&amp;AM48&amp;""),0)</f>
        <v>0</v>
      </c>
      <c r="AM48" s="524">
        <f t="shared" si="13"/>
        <v>2029</v>
      </c>
      <c r="AN48" s="524"/>
    </row>
    <row r="49" spans="1:40" ht="14">
      <c r="A49" s="903">
        <f t="shared" si="8"/>
        <v>47514</v>
      </c>
      <c r="C49" s="897">
        <f t="shared" si="9"/>
        <v>41</v>
      </c>
      <c r="D49" s="542"/>
      <c r="E49" s="542">
        <f>IF($C49=$C$2,0,IF(OR($C49=0,$C49&lt;general!$C$23,$C49&gt;$C$2),0,E$2/$C$3+NORMDIST($C49-general!$C$23+1,$C$3/2,E$1,1)-NORMDIST($C48-general!$C$23+1,$C$3/2,E$1,1)))+IF($C49=$C$2,1-SUM(E$8:E48),0)</f>
        <v>2.3325787854882596E-2</v>
      </c>
      <c r="F49" s="542">
        <f>IF($C49=$C$2,0,IF(OR($C49=0,$C49&lt;general!$C$23,$C49&gt;$C$2),0,F$2/$C$3+NORMDIST($C49-general!$C$23+1,$C$3/2,F$1,1)-NORMDIST($C48-general!$C$23+1,$C$3/2,F$1,1)))+IF($C49=$C$2,1-SUM(F$8:F48),0)</f>
        <v>3.4224686394283665E-2</v>
      </c>
      <c r="G49" s="542">
        <f>IF($C49=$C$2,0,IF(OR($C49=0,$C49&lt;general!$C$23,$C49&gt;$C$2),0,G$2/$C$3+NORMDIST($C49-general!$C$23+1,$C$3/2,G$1,1)-NORMDIST($C48-general!$C$23+1,$C$3/2,G$1,1)))+IF($C49=$C$2,1-SUM(G$8:G48),0)</f>
        <v>3.814211070146567E-2</v>
      </c>
      <c r="H49" s="542">
        <f>IF(C49=$C$2,0,IF(OR(C49=0,C49&lt;1,C49&gt;$C$2),0,$H$2/$C$2+NORMDIST(C49,$C$2/2,$H$1,1)-NORMDIST(C48,$C$2/2,$H$1,1)))+IF(C49=$C$2,1-SUM($H$9:H48),0)</f>
        <v>1.3266242910022763E-2</v>
      </c>
      <c r="I49" s="542">
        <f>IF(C49=$C$2,0,IF(OR(C49=0,C49&lt;1,C49&gt;$C$2),0,$I$2/$C$2+NORMDIST(C49,$C$2/2,$I$1,1)-NORMDIST(C48,$C$2/2,$I$1,1)))+IF(C49=$C$2,1-SUM($I$9:I48),0)</f>
        <v>1.9830504420007666E-2</v>
      </c>
      <c r="J49" s="542">
        <f>IF(C49=$C$2,0,IF(OR(C49=0,C49&lt;1,C49&gt;$C$2),0,$J$2/$C$2+NORMDIST(C49,$C$2/2,$J$1,1)-NORMDIST(C48,$C$2/2,$J$1,1)))+IF(C49=$C$2,1-SUM($J$9:J48),0)</f>
        <v>2.2222250495561147E-2</v>
      </c>
      <c r="K49" s="542">
        <f t="shared" si="14"/>
        <v>1.2195121951219513E-2</v>
      </c>
      <c r="L49" s="542">
        <f t="shared" si="11"/>
        <v>2.3809523809523808E-2</v>
      </c>
      <c r="M49" s="542">
        <f>IF($C49&gt;$C$2,IF($C49=sales!$F$36,M$4,0),(1-M$4)/$C$2)</f>
        <v>2.0731707317073172E-2</v>
      </c>
      <c r="N49" s="542">
        <f>IF(ISEVEN($C$2),IF(C49&gt;$C$2,0,IF(C49&lt;=$C$2/2,C49,C49-1-2*(SUMPRODUCT(--($C$8:C49&gt;$C$2/2))-1))/(($C$2/2)*($C$2/2+1))),0)+IF(ISODD($C$2),IF(C49&gt;$C$2,0,IF(C49-1&lt;=$C$2/2,C49,C49-2*(SUMPRODUCT(--($C$8:C49&gt;$C$2/2))-1))/((INT($C$2/2))*(INT($C$2/2)+1)+ROUNDUP($C$2/2,0))),0)</f>
        <v>2.2675736961451248E-3</v>
      </c>
      <c r="O49" s="542"/>
      <c r="P49" s="542">
        <f t="shared" si="12"/>
        <v>0.16666666666666666</v>
      </c>
      <c r="Q49" s="542">
        <f>IF($C49=general!$C$28,Q$4,IFERROR(($C49&lt;general!$C$23)*((1-Q$4)*Q$5)/(general!$C$23-1),0)+IFERROR(($C49&gt;=general!$C$23)*($C49&lt;=general!$C$27)*((1-Q$4)*Q$6)/(general!$C$27-general!$C$23+1),0))+IF(AND(general!$C$23&lt;=1,$C49&lt;=1),'draws%'!Q$5*(1-Q$4))</f>
        <v>3.125E-2</v>
      </c>
      <c r="R49" s="542">
        <f>IF($C49=general!$C$27,R$4,IFERROR(($C49&lt;general!$C$23)*((1-R$4)*R$5)/(general!$C$23-1),0)+IFERROR(($C49&gt;=general!$C$23)*($C49&lt;general!$C$27)*((1-R$4)*R$6)/(general!$C$27-general!$C$23),0))+IF(AND(general!$C$23&lt;=1,$C49&lt;=1),'draws%'!R$5*(1-R$4))</f>
        <v>0</v>
      </c>
      <c r="S49" s="542">
        <f>IF(OR(C49=general!$C$27,C49=general!$C$27-1),50%,0)</f>
        <v>0.5</v>
      </c>
      <c r="T49" s="542">
        <f>(C49&gt;=general!$C$26-6)*(C49&lt;general!$C$26)*1/6*0.5+(C49=3)*0.25+(C49=9)*0.25</f>
        <v>0</v>
      </c>
      <c r="U49" s="542">
        <f>IF(C49='Development Cash Flow'!$C$6,$U$5,0)+IF(C49=general!$C$27,$U$6,0)</f>
        <v>0.99009900990099009</v>
      </c>
      <c r="V49" s="542">
        <f>IF(C49=general!$C$28,1,0)</f>
        <v>0</v>
      </c>
      <c r="W49" s="542">
        <f t="shared" si="15"/>
        <v>8.3333333333333329E-2</v>
      </c>
      <c r="X49" s="542">
        <f>IF(C49=general!$C$23,1,0)</f>
        <v>0</v>
      </c>
      <c r="Y49" s="542">
        <f>IFERROR((C49&lt;general!$C$23)*Y$5/(general!$C$23),0)+IFERROR((C49&gt;=general!$C$23)*(C49&lt;=general!$C$27)*Y$6/(general!$C$27-general!$C$23+1),0)</f>
        <v>0</v>
      </c>
      <c r="Z49" s="542">
        <f>IFERROR(($C49&lt;general!$C$23)*Z$5/(general!$C$23),0)+IFERROR(($C49&gt;=general!$C$23)*($C49&lt;=general!$C$27)*Z$6/(general!$C$27-general!$C$23+1),0)*(1-$Z$4)+$Z$4*AF49</f>
        <v>4.1666666666666664E-2</v>
      </c>
      <c r="AA49" s="542">
        <f>MAX((IFERROR(($C49&lt;general!$C$23)*AA$5/(general!$C$23),0)+IFERROR(($C49&gt;=general!$C$23)*($C49&lt;=general!$C$27)*AA$6/(general!$C$27-general!$C$23+1),0)),0)</f>
        <v>1.6666666666666666E-2</v>
      </c>
      <c r="AB49" s="542">
        <f>MAX((IFERROR(($C49&lt;general!$C$23)*AB$5/(general!$C$23),0)+IFERROR(($C49&gt;=general!$C$23)*($C49&lt;=general!$C$27)*AB$6/(general!$C$27-general!$C$23+1),0)),0)</f>
        <v>2.0833333333333332E-2</v>
      </c>
      <c r="AC49" s="542">
        <f>MAX((IFERROR(($C49&lt;general!$C$23)*AC$5/(general!$C$23),0)+IFERROR(($C49&gt;=general!$C$23)*($C49&lt;=general!$C$27)*AC$6/(general!$C$27-general!$C$23+1),0)),0)</f>
        <v>2.4999999999999998E-2</v>
      </c>
      <c r="AD49" s="542">
        <f>MAX((IFERROR(($C49&lt;general!$C$23)*AD$5/(general!$C$23),0)+IFERROR(($C49&gt;=general!$C$23)*($C49&lt;=general!$C$27)*AD$6/(general!$C$27-general!$C$23+1),0)),0)</f>
        <v>2.4999999999999998E-2</v>
      </c>
      <c r="AE49" s="542">
        <f t="shared" si="7"/>
        <v>2.3809523809523808E-2</v>
      </c>
      <c r="AF49" s="542">
        <f>+SUMPRODUCT(--($C49=sales!$C$50:$C$54),sales!$D$50:$D$54)</f>
        <v>0</v>
      </c>
      <c r="AG49" s="542">
        <f>IF($C49=general!$C$28,AG$4,IFERROR(($C49&lt;general!$C$23)*((1-AG$4)*AG$5)/(general!$C$23-1),0)+IFERROR(($C49&gt;=general!$C$23)*($C49&lt;=general!$C$27)*((1-AG$4)*AG$6)/(general!$C$27-general!$C$23+1),0))+IF(AND(general!$C$23&lt;=1,$C49&lt;=1),'draws%'!AG$5*(1-AG$4))</f>
        <v>3.5416666666666666E-2</v>
      </c>
      <c r="AH49" s="542">
        <f>+IF($C49=general!$C$21,1,0)</f>
        <v>0</v>
      </c>
      <c r="AK49" s="524">
        <f>IF(A49&lt;=general!$D$27,IF(MONTH(A49)=11,1,IF(C49=general!$C$27,1,0)),)</f>
        <v>1</v>
      </c>
      <c r="AL49" s="524">
        <f>IF(AK49=1,COUNTIFS($C$8:$C$128,"&lt;="&amp;general!$C$27&amp;"",'draws%'!$AM$8:$AM$128,"="&amp;AM49&amp;""),0)</f>
        <v>1</v>
      </c>
      <c r="AM49" s="524">
        <f t="shared" si="13"/>
        <v>2030</v>
      </c>
      <c r="AN49" s="524"/>
    </row>
    <row r="50" spans="1:40" ht="14">
      <c r="A50" s="903">
        <f t="shared" si="8"/>
        <v>47542</v>
      </c>
      <c r="C50" s="897">
        <f t="shared" si="9"/>
        <v>42</v>
      </c>
      <c r="D50" s="542"/>
      <c r="E50" s="542">
        <f>IF($C50=$C$2,0,IF(OR($C50=0,$C50&lt;general!$C$23,$C50&gt;$C$2),0,E$2/$C$3+NORMDIST($C50-general!$C$23+1,$C$3/2,E$1,1)-NORMDIST($C49-general!$C$23+1,$C$3/2,E$1,1)))+IF($C50=$C$2,1-SUM(E$8:E49),0)</f>
        <v>0</v>
      </c>
      <c r="F50" s="542">
        <f>IF($C50=$C$2,0,IF(OR($C50=0,$C50&lt;general!$C$23,$C50&gt;$C$2),0,F$2/$C$3+NORMDIST($C50-general!$C$23+1,$C$3/2,F$1,1)-NORMDIST($C49-general!$C$23+1,$C$3/2,F$1,1)))+IF($C50=$C$2,1-SUM(F$8:F49),0)</f>
        <v>0</v>
      </c>
      <c r="G50" s="542">
        <f>IF($C50=$C$2,0,IF(OR($C50=0,$C50&lt;general!$C$23,$C50&gt;$C$2),0,G$2/$C$3+NORMDIST($C50-general!$C$23+1,$C$3/2,G$1,1)-NORMDIST($C49-general!$C$23+1,$C$3/2,G$1,1)))+IF($C50=$C$2,1-SUM(G$8:G49),0)</f>
        <v>0</v>
      </c>
      <c r="H50" s="542">
        <f>IF(C50=$C$2,0,IF(OR(C50=0,C50&lt;1,C50&gt;$C$2),0,$H$2/$C$2+NORMDIST(C50,$C$2/2,$H$1,1)-NORMDIST(C49,$C$2/2,$H$1,1)))+IF(C50=$C$2,1-SUM($H$9:H49),0)</f>
        <v>0</v>
      </c>
      <c r="I50" s="542">
        <f>IF(C50=$C$2,0,IF(OR(C50=0,C50&lt;1,C50&gt;$C$2),0,$I$2/$C$2+NORMDIST(C50,$C$2/2,$I$1,1)-NORMDIST(C49,$C$2/2,$I$1,1)))+IF(C50=$C$2,1-SUM($I$9:I49),0)</f>
        <v>0</v>
      </c>
      <c r="J50" s="542">
        <f>IF(C50=$C$2,0,IF(OR(C50=0,C50&lt;1,C50&gt;$C$2),0,$J$2/$C$2+NORMDIST(C50,$C$2/2,$J$1,1)-NORMDIST(C49,$C$2/2,$J$1,1)))+IF(C50=$C$2,1-SUM($J$9:J49),0)</f>
        <v>0</v>
      </c>
      <c r="K50" s="542">
        <f t="shared" si="14"/>
        <v>0</v>
      </c>
      <c r="L50" s="542">
        <f t="shared" si="11"/>
        <v>0</v>
      </c>
      <c r="M50" s="542">
        <f>IF($C50&gt;$C$2,IF($C50=sales!$F$36,M$4,0),(1-M$4)/$C$2)</f>
        <v>0</v>
      </c>
      <c r="N50" s="542">
        <f>IF(ISEVEN($C$2),IF(C50&gt;$C$2,0,IF(C50&lt;=$C$2/2,C50,C50-1-2*(SUMPRODUCT(--($C$8:C50&gt;$C$2/2))-1))/(($C$2/2)*($C$2/2+1))),0)+IF(ISODD($C$2),IF(C50&gt;$C$2,0,IF(C50-1&lt;=$C$2/2,C50,C50-2*(SUMPRODUCT(--($C$8:C50&gt;$C$2/2))-1))/((INT($C$2/2))*(INT($C$2/2)+1)+ROUNDUP($C$2/2,0))),0)</f>
        <v>0</v>
      </c>
      <c r="O50" s="542"/>
      <c r="P50" s="542">
        <f t="shared" si="12"/>
        <v>0</v>
      </c>
      <c r="Q50" s="542">
        <f>IF($C50=general!$C$28,Q$4,IFERROR(($C50&lt;general!$C$23)*((1-Q$4)*Q$5)/(general!$C$23-1),0)+IFERROR(($C50&gt;=general!$C$23)*($C50&lt;=general!$C$27)*((1-Q$4)*Q$6)/(general!$C$27-general!$C$23+1),0))+IF(AND(general!$C$23&lt;=1,$C50&lt;=1),'draws%'!Q$5*(1-Q$4))</f>
        <v>0</v>
      </c>
      <c r="R50" s="542">
        <f>IF($C50=general!$C$27,R$4,IFERROR(($C50&lt;general!$C$23)*((1-R$4)*R$5)/(general!$C$23-1),0)+IFERROR(($C50&gt;=general!$C$23)*($C50&lt;general!$C$27)*((1-R$4)*R$6)/(general!$C$27-general!$C$23),0))+IF(AND(general!$C$23&lt;=1,$C50&lt;=1),'draws%'!R$5*(1-R$4))</f>
        <v>0</v>
      </c>
      <c r="S50" s="542">
        <f>IF(OR(C50=general!$C$27,C50=general!$C$27-1),50%,0)</f>
        <v>0</v>
      </c>
      <c r="T50" s="542">
        <f>(C50&gt;=general!$C$26-6)*(C50&lt;general!$C$26)*1/6*0.5+(C50=3)*0.25+(C50=9)*0.25</f>
        <v>0</v>
      </c>
      <c r="U50" s="542">
        <f>IF(C50='Development Cash Flow'!$C$6,$U$5,0)+IF(C50=general!$C$27,$U$6,0)</f>
        <v>0</v>
      </c>
      <c r="V50" s="542">
        <f>IF(C50=general!$C$28,1,0)</f>
        <v>0</v>
      </c>
      <c r="W50" s="542">
        <f t="shared" si="15"/>
        <v>0</v>
      </c>
      <c r="X50" s="542">
        <f>IF(C50=general!$C$23,1,0)</f>
        <v>0</v>
      </c>
      <c r="Y50" s="542">
        <f>IFERROR((C50&lt;general!$C$23)*Y$5/(general!$C$23),0)+IFERROR((C50&gt;=general!$C$23)*(C50&lt;=general!$C$27)*Y$6/(general!$C$27-general!$C$23+1),0)</f>
        <v>0</v>
      </c>
      <c r="Z50" s="542">
        <f>IFERROR(($C50&lt;general!$C$23)*Z$5/(general!$C$23),0)+IFERROR(($C50&gt;=general!$C$23)*($C50&lt;=general!$C$27)*Z$6/(general!$C$27-general!$C$23+1),0)*(1-$Z$4)+$Z$4*AF50</f>
        <v>0</v>
      </c>
      <c r="AA50" s="542">
        <f>MAX((IFERROR(($C50&lt;general!$C$23)*AA$5/(general!$C$23),0)+IFERROR(($C50&gt;=general!$C$23)*($C50&lt;=general!$C$27)*AA$6/(general!$C$27-general!$C$23+1),0)),0)</f>
        <v>0</v>
      </c>
      <c r="AB50" s="542">
        <f>MAX((IFERROR(($C50&lt;general!$C$23)*AB$5/(general!$C$23),0)+IFERROR(($C50&gt;=general!$C$23)*($C50&lt;=general!$C$27)*AB$6/(general!$C$27-general!$C$23+1),0)),0)</f>
        <v>0</v>
      </c>
      <c r="AC50" s="542">
        <f>MAX((IFERROR(($C50&lt;general!$C$23)*AC$5/(general!$C$23),0)+IFERROR(($C50&gt;=general!$C$23)*($C50&lt;=general!$C$27)*AC$6/(general!$C$27-general!$C$23+1),0)),0)</f>
        <v>0</v>
      </c>
      <c r="AD50" s="542">
        <f>MAX((IFERROR(($C50&lt;general!$C$23)*AD$5/(general!$C$23),0)+IFERROR(($C50&gt;=general!$C$23)*($C50&lt;=general!$C$27)*AD$6/(general!$C$27-general!$C$23+1),0)),0)</f>
        <v>0</v>
      </c>
      <c r="AE50" s="542">
        <f t="shared" si="7"/>
        <v>0</v>
      </c>
      <c r="AF50" s="542">
        <f>+SUMPRODUCT(--($C50=sales!$C$50:$C$54),sales!$D$50:$D$54)</f>
        <v>0.5</v>
      </c>
      <c r="AG50" s="542">
        <f>IF($C50=general!$C$28,AG$4,IFERROR(($C50&lt;general!$C$23)*((1-AG$4)*AG$5)/(general!$C$23-1),0)+IFERROR(($C50&gt;=general!$C$23)*($C50&lt;=general!$C$27)*((1-AG$4)*AG$6)/(general!$C$27-general!$C$23+1),0))+IF(AND(general!$C$23&lt;=1,$C50&lt;=1),'draws%'!AG$5*(1-AG$4))</f>
        <v>0</v>
      </c>
      <c r="AH50" s="542">
        <f>+IF($C50=general!$C$21,1,0)</f>
        <v>0</v>
      </c>
      <c r="AK50" s="524">
        <f>IF(A50&lt;=general!$D$27,IF(MONTH(A50)=11,1,IF(C50=general!$C$27,1,0)),)</f>
        <v>0</v>
      </c>
      <c r="AL50" s="524">
        <f>IF(AK50=1,COUNTIFS($C$8:$C$128,"&lt;="&amp;general!$C$27&amp;"",'draws%'!$AM$8:$AM$128,"="&amp;AM50&amp;""),0)</f>
        <v>0</v>
      </c>
      <c r="AM50" s="524">
        <f t="shared" si="13"/>
        <v>2030</v>
      </c>
      <c r="AN50" s="524"/>
    </row>
    <row r="51" spans="1:40" ht="14">
      <c r="A51" s="903">
        <f t="shared" si="8"/>
        <v>47573</v>
      </c>
      <c r="C51" s="897">
        <f t="shared" si="9"/>
        <v>43</v>
      </c>
      <c r="D51" s="542"/>
      <c r="E51" s="542">
        <f>IF($C51=$C$2,0,IF(OR($C51=0,$C51&lt;general!$C$23,$C51&gt;$C$2),0,E$2/$C$3+NORMDIST($C51-general!$C$23+1,$C$3/2,E$1,1)-NORMDIST($C50-general!$C$23+1,$C$3/2,E$1,1)))+IF($C51=$C$2,1-SUM(E$8:E50),0)</f>
        <v>0</v>
      </c>
      <c r="F51" s="542">
        <f>IF($C51=$C$2,0,IF(OR($C51=0,$C51&lt;general!$C$23,$C51&gt;$C$2),0,F$2/$C$3+NORMDIST($C51-general!$C$23+1,$C$3/2,F$1,1)-NORMDIST($C50-general!$C$23+1,$C$3/2,F$1,1)))+IF($C51=$C$2,1-SUM(F$8:F50),0)</f>
        <v>0</v>
      </c>
      <c r="G51" s="542">
        <f>IF($C51=$C$2,0,IF(OR($C51=0,$C51&lt;general!$C$23,$C51&gt;$C$2),0,G$2/$C$3+NORMDIST($C51-general!$C$23+1,$C$3/2,G$1,1)-NORMDIST($C50-general!$C$23+1,$C$3/2,G$1,1)))+IF($C51=$C$2,1-SUM(G$8:G50),0)</f>
        <v>0</v>
      </c>
      <c r="H51" s="542">
        <f>IF(C51=$C$2,0,IF(OR(C51=0,C51&lt;1,C51&gt;$C$2),0,$H$2/$C$2+NORMDIST(C51,$C$2/2,$H$1,1)-NORMDIST(C50,$C$2/2,$H$1,1)))+IF(C51=$C$2,1-SUM($H$9:H50),0)</f>
        <v>0</v>
      </c>
      <c r="I51" s="542">
        <f>IF(C51=$C$2,0,IF(OR(C51=0,C51&lt;1,C51&gt;$C$2),0,$I$2/$C$2+NORMDIST(C51,$C$2/2,$I$1,1)-NORMDIST(C50,$C$2/2,$I$1,1)))+IF(C51=$C$2,1-SUM($I$9:I50),0)</f>
        <v>0</v>
      </c>
      <c r="J51" s="542">
        <f>IF(C51=$C$2,0,IF(OR(C51=0,C51&lt;1,C51&gt;$C$2),0,$J$2/$C$2+NORMDIST(C51,$C$2/2,$J$1,1)-NORMDIST(C50,$C$2/2,$J$1,1)))+IF(C51=$C$2,1-SUM($J$9:J50),0)</f>
        <v>0</v>
      </c>
      <c r="K51" s="542">
        <f t="shared" si="14"/>
        <v>0</v>
      </c>
      <c r="L51" s="542">
        <f t="shared" si="11"/>
        <v>0</v>
      </c>
      <c r="M51" s="542">
        <f>IF($C51&gt;$C$2,IF($C51=sales!$F$36,M$4,0),(1-M$4)/$C$2)</f>
        <v>0</v>
      </c>
      <c r="N51" s="542">
        <f>IF(ISEVEN($C$2),IF(C51&gt;$C$2,0,IF(C51&lt;=$C$2/2,C51,C51-1-2*(SUMPRODUCT(--($C$8:C51&gt;$C$2/2))-1))/(($C$2/2)*($C$2/2+1))),0)+IF(ISODD($C$2),IF(C51&gt;$C$2,0,IF(C51-1&lt;=$C$2/2,C51,C51-2*(SUMPRODUCT(--($C$8:C51&gt;$C$2/2))-1))/((INT($C$2/2))*(INT($C$2/2)+1)+ROUNDUP($C$2/2,0))),0)</f>
        <v>0</v>
      </c>
      <c r="O51" s="542"/>
      <c r="P51" s="542">
        <f t="shared" si="12"/>
        <v>0</v>
      </c>
      <c r="Q51" s="542">
        <f>IF($C51=general!$C$28,Q$4,IFERROR(($C51&lt;general!$C$23)*((1-Q$4)*Q$5)/(general!$C$23-1),0)+IFERROR(($C51&gt;=general!$C$23)*($C51&lt;=general!$C$27)*((1-Q$4)*Q$6)/(general!$C$27-general!$C$23+1),0))+IF(AND(general!$C$23&lt;=1,$C51&lt;=1),'draws%'!Q$5*(1-Q$4))</f>
        <v>0</v>
      </c>
      <c r="R51" s="542">
        <f>IF($C51=general!$C$27,R$4,IFERROR(($C51&lt;general!$C$23)*((1-R$4)*R$5)/(general!$C$23-1),0)+IFERROR(($C51&gt;=general!$C$23)*($C51&lt;general!$C$27)*((1-R$4)*R$6)/(general!$C$27-general!$C$23),0))+IF(AND(general!$C$23&lt;=1,$C51&lt;=1),'draws%'!R$5*(1-R$4))</f>
        <v>0</v>
      </c>
      <c r="S51" s="542">
        <f>IF(OR(C51=general!$C$27,C51=general!$C$27-1),50%,0)</f>
        <v>0</v>
      </c>
      <c r="T51" s="542">
        <f>(C51&gt;=general!$C$26-6)*(C51&lt;general!$C$26)*1/6*0.5+(C51=3)*0.25+(C51=9)*0.25</f>
        <v>0</v>
      </c>
      <c r="U51" s="542">
        <f>IF(C51='Development Cash Flow'!$C$6,$U$5,0)+IF(C51=general!$C$27,$U$6,0)</f>
        <v>0</v>
      </c>
      <c r="V51" s="542">
        <f>IF(C51=general!$C$28,1,0)</f>
        <v>0</v>
      </c>
      <c r="W51" s="542">
        <f t="shared" si="15"/>
        <v>0</v>
      </c>
      <c r="X51" s="542">
        <f>IF(C51=general!$C$23,1,0)</f>
        <v>0</v>
      </c>
      <c r="Y51" s="542">
        <f>IFERROR((C51&lt;general!$C$23)*Y$5/(general!$C$23),0)+IFERROR((C51&gt;=general!$C$23)*(C51&lt;=general!$C$27)*Y$6/(general!$C$27-general!$C$23+1),0)</f>
        <v>0</v>
      </c>
      <c r="Z51" s="542">
        <f>IFERROR(($C51&lt;general!$C$23)*Z$5/(general!$C$23),0)+IFERROR(($C51&gt;=general!$C$23)*($C51&lt;=general!$C$27)*Z$6/(general!$C$27-general!$C$23+1),0)*(1-$Z$4)+$Z$4*AF51</f>
        <v>0</v>
      </c>
      <c r="AA51" s="542">
        <f>MAX((IFERROR(($C51&lt;general!$C$23)*AA$5/(general!$C$23),0)+IFERROR(($C51&gt;=general!$C$23)*($C51&lt;=general!$C$27)*AA$6/(general!$C$27-general!$C$23+1),0)),0)</f>
        <v>0</v>
      </c>
      <c r="AB51" s="542">
        <f>MAX((IFERROR(($C51&lt;general!$C$23)*AB$5/(general!$C$23),0)+IFERROR(($C51&gt;=general!$C$23)*($C51&lt;=general!$C$27)*AB$6/(general!$C$27-general!$C$23+1),0)),0)</f>
        <v>0</v>
      </c>
      <c r="AC51" s="542">
        <f>MAX((IFERROR(($C51&lt;general!$C$23)*AC$5/(general!$C$23),0)+IFERROR(($C51&gt;=general!$C$23)*($C51&lt;=general!$C$27)*AC$6/(general!$C$27-general!$C$23+1),0)),0)</f>
        <v>0</v>
      </c>
      <c r="AD51" s="542">
        <f>MAX((IFERROR(($C51&lt;general!$C$23)*AD$5/(general!$C$23),0)+IFERROR(($C51&gt;=general!$C$23)*($C51&lt;=general!$C$27)*AD$6/(general!$C$27-general!$C$23+1),0)),0)</f>
        <v>0</v>
      </c>
      <c r="AE51" s="542">
        <f t="shared" si="7"/>
        <v>0</v>
      </c>
      <c r="AF51" s="542">
        <f>+SUMPRODUCT(--($C51=sales!$C$50:$C$54),sales!$D$50:$D$54)</f>
        <v>0.3</v>
      </c>
      <c r="AG51" s="542">
        <f>IF($C51=general!$C$28,AG$4,IFERROR(($C51&lt;general!$C$23)*((1-AG$4)*AG$5)/(general!$C$23-1),0)+IFERROR(($C51&gt;=general!$C$23)*($C51&lt;=general!$C$27)*((1-AG$4)*AG$6)/(general!$C$27-general!$C$23+1),0))+IF(AND(general!$C$23&lt;=1,$C51&lt;=1),'draws%'!AG$5*(1-AG$4))</f>
        <v>0</v>
      </c>
      <c r="AH51" s="542">
        <f>+IF($C51=general!$C$21,1,0)</f>
        <v>0</v>
      </c>
      <c r="AK51" s="524">
        <f>IF(A51&lt;=general!$D$27,IF(MONTH(A51)=11,1,IF(C51=general!$C$27,1,0)),)</f>
        <v>0</v>
      </c>
      <c r="AL51" s="524">
        <f>IF(AK51=1,COUNTIFS($C$8:$C$128,"&lt;="&amp;general!$C$27&amp;"",'draws%'!$AM$8:$AM$128,"="&amp;AM51&amp;""),0)</f>
        <v>0</v>
      </c>
      <c r="AM51" s="524">
        <f t="shared" si="13"/>
        <v>2030</v>
      </c>
      <c r="AN51" s="524"/>
    </row>
    <row r="52" spans="1:40" ht="14">
      <c r="A52" s="903">
        <f t="shared" si="8"/>
        <v>47603</v>
      </c>
      <c r="C52" s="897">
        <f t="shared" si="9"/>
        <v>44</v>
      </c>
      <c r="D52" s="542"/>
      <c r="E52" s="542">
        <f>IF($C52=$C$2,0,IF(OR($C52=0,$C52&lt;general!$C$23,$C52&gt;$C$2),0,E$2/$C$3+NORMDIST($C52-general!$C$23+1,$C$3/2,E$1,1)-NORMDIST($C51-general!$C$23+1,$C$3/2,E$1,1)))+IF($C52=$C$2,1-SUM(E$8:E51),0)</f>
        <v>0</v>
      </c>
      <c r="F52" s="542">
        <f>IF($C52=$C$2,0,IF(OR($C52=0,$C52&lt;general!$C$23,$C52&gt;$C$2),0,F$2/$C$3+NORMDIST($C52-general!$C$23+1,$C$3/2,F$1,1)-NORMDIST($C51-general!$C$23+1,$C$3/2,F$1,1)))+IF($C52=$C$2,1-SUM(F$8:F51),0)</f>
        <v>0</v>
      </c>
      <c r="G52" s="542">
        <f>IF($C52=$C$2,0,IF(OR($C52=0,$C52&lt;general!$C$23,$C52&gt;$C$2),0,G$2/$C$3+NORMDIST($C52-general!$C$23+1,$C$3/2,G$1,1)-NORMDIST($C51-general!$C$23+1,$C$3/2,G$1,1)))+IF($C52=$C$2,1-SUM(G$8:G51),0)</f>
        <v>0</v>
      </c>
      <c r="H52" s="542">
        <f>IF(C52=$C$2,0,IF(OR(C52=0,C52&lt;1,C52&gt;$C$2),0,$H$2/$C$2+NORMDIST(C52,$C$2/2,$H$1,1)-NORMDIST(C51,$C$2/2,$H$1,1)))+IF(C52=$C$2,1-SUM($H$9:H51),0)</f>
        <v>0</v>
      </c>
      <c r="I52" s="542">
        <f>IF(C52=$C$2,0,IF(OR(C52=0,C52&lt;1,C52&gt;$C$2),0,$I$2/$C$2+NORMDIST(C52,$C$2/2,$I$1,1)-NORMDIST(C51,$C$2/2,$I$1,1)))+IF(C52=$C$2,1-SUM($I$9:I51),0)</f>
        <v>0</v>
      </c>
      <c r="J52" s="542">
        <f>IF(C52=$C$2,0,IF(OR(C52=0,C52&lt;1,C52&gt;$C$2),0,$J$2/$C$2+NORMDIST(C52,$C$2/2,$J$1,1)-NORMDIST(C51,$C$2/2,$J$1,1)))+IF(C52=$C$2,1-SUM($J$9:J51),0)</f>
        <v>0</v>
      </c>
      <c r="K52" s="542">
        <f t="shared" si="14"/>
        <v>0</v>
      </c>
      <c r="L52" s="542">
        <f t="shared" si="11"/>
        <v>0</v>
      </c>
      <c r="M52" s="542">
        <f>IF($C52&gt;$C$2,IF($C52=sales!$F$36,M$4,0),(1-M$4)/$C$2)</f>
        <v>0.15</v>
      </c>
      <c r="N52" s="542">
        <f>IF(ISEVEN($C$2),IF(C52&gt;$C$2,0,IF(C52&lt;=$C$2/2,C52,C52-1-2*(SUMPRODUCT(--($C$8:C52&gt;$C$2/2))-1))/(($C$2/2)*($C$2/2+1))),0)+IF(ISODD($C$2),IF(C52&gt;$C$2,0,IF(C52-1&lt;=$C$2/2,C52,C52-2*(SUMPRODUCT(--($C$8:C52&gt;$C$2/2))-1))/((INT($C$2/2))*(INT($C$2/2)+1)+ROUNDUP($C$2/2,0))),0)</f>
        <v>0</v>
      </c>
      <c r="O52" s="542"/>
      <c r="P52" s="542">
        <f t="shared" si="12"/>
        <v>0</v>
      </c>
      <c r="Q52" s="542">
        <f>IF($C52=general!$C$28,Q$4,IFERROR(($C52&lt;general!$C$23)*((1-Q$4)*Q$5)/(general!$C$23-1),0)+IFERROR(($C52&gt;=general!$C$23)*($C52&lt;=general!$C$27)*((1-Q$4)*Q$6)/(general!$C$27-general!$C$23+1),0))+IF(AND(general!$C$23&lt;=1,$C52&lt;=1),'draws%'!Q$5*(1-Q$4))</f>
        <v>0</v>
      </c>
      <c r="R52" s="542">
        <f>IF($C52=general!$C$27,R$4,IFERROR(($C52&lt;general!$C$23)*((1-R$4)*R$5)/(general!$C$23-1),0)+IFERROR(($C52&gt;=general!$C$23)*($C52&lt;general!$C$27)*((1-R$4)*R$6)/(general!$C$27-general!$C$23),0))+IF(AND(general!$C$23&lt;=1,$C52&lt;=1),'draws%'!R$5*(1-R$4))</f>
        <v>0</v>
      </c>
      <c r="S52" s="542">
        <f>IF(OR(C52=general!$C$27,C52=general!$C$27-1),50%,0)</f>
        <v>0</v>
      </c>
      <c r="T52" s="542">
        <f>(C52&gt;=general!$C$26-6)*(C52&lt;general!$C$26)*1/6*0.5+(C52=3)*0.25+(C52=9)*0.25</f>
        <v>0</v>
      </c>
      <c r="U52" s="542">
        <f>IF(C52='Development Cash Flow'!$C$6,$U$5,0)+IF(C52=general!$C$27,$U$6,0)</f>
        <v>0</v>
      </c>
      <c r="V52" s="542">
        <f>IF(C52=general!$C$28,1,0)</f>
        <v>1</v>
      </c>
      <c r="W52" s="542">
        <f t="shared" si="15"/>
        <v>0</v>
      </c>
      <c r="X52" s="542">
        <f>IF(C52=general!$C$23,1,0)</f>
        <v>0</v>
      </c>
      <c r="Y52" s="542">
        <f>IFERROR((C52&lt;general!$C$23)*Y$5/(general!$C$23),0)+IFERROR((C52&gt;=general!$C$23)*(C52&lt;=general!$C$27)*Y$6/(general!$C$27-general!$C$23+1),0)</f>
        <v>0</v>
      </c>
      <c r="Z52" s="542">
        <f>IFERROR(($C52&lt;general!$C$23)*Z$5/(general!$C$23),0)+IFERROR(($C52&gt;=general!$C$23)*($C52&lt;=general!$C$27)*Z$6/(general!$C$27-general!$C$23+1),0)*(1-$Z$4)+$Z$4*AF52</f>
        <v>0</v>
      </c>
      <c r="AA52" s="542">
        <f>MAX((IFERROR(($C52&lt;general!$C$23)*AA$5/(general!$C$23),0)+IFERROR(($C52&gt;=general!$C$23)*($C52&lt;=general!$C$27)*AA$6/(general!$C$27-general!$C$23+1),0)),0)</f>
        <v>0</v>
      </c>
      <c r="AB52" s="542">
        <f>MAX((IFERROR(($C52&lt;general!$C$23)*AB$5/(general!$C$23),0)+IFERROR(($C52&gt;=general!$C$23)*($C52&lt;=general!$C$27)*AB$6/(general!$C$27-general!$C$23+1),0)),0)</f>
        <v>0</v>
      </c>
      <c r="AC52" s="542">
        <f>MAX((IFERROR(($C52&lt;general!$C$23)*AC$5/(general!$C$23),0)+IFERROR(($C52&gt;=general!$C$23)*($C52&lt;=general!$C$27)*AC$6/(general!$C$27-general!$C$23+1),0)),0)</f>
        <v>0</v>
      </c>
      <c r="AD52" s="542">
        <f>MAX((IFERROR(($C52&lt;general!$C$23)*AD$5/(general!$C$23),0)+IFERROR(($C52&gt;=general!$C$23)*($C52&lt;=general!$C$27)*AD$6/(general!$C$27-general!$C$23+1),0)),0)</f>
        <v>0</v>
      </c>
      <c r="AE52" s="542">
        <f t="shared" si="7"/>
        <v>0</v>
      </c>
      <c r="AF52" s="542">
        <f>+SUMPRODUCT(--($C52=sales!$C$50:$C$54),sales!$D$50:$D$54)</f>
        <v>0.2</v>
      </c>
      <c r="AG52" s="542">
        <f>IF($C52=general!$C$28,AG$4,IFERROR(($C52&lt;general!$C$23)*((1-AG$4)*AG$5)/(general!$C$23-1),0)+IFERROR(($C52&gt;=general!$C$23)*($C52&lt;=general!$C$27)*((1-AG$4)*AG$6)/(general!$C$27-general!$C$23+1),0))+IF(AND(general!$C$23&lt;=1,$C52&lt;=1),'draws%'!AG$5*(1-AG$4))</f>
        <v>0</v>
      </c>
      <c r="AH52" s="542">
        <f>+IF($C52=general!$C$21,1,0)</f>
        <v>0</v>
      </c>
      <c r="AK52" s="524">
        <f>IF(A52&lt;=general!$D$27,IF(MONTH(A52)=11,1,IF(C52=general!$C$27,1,0)),)</f>
        <v>0</v>
      </c>
      <c r="AL52" s="524">
        <f>IF(AK52=1,COUNTIFS($C$8:$C$128,"&lt;="&amp;general!$C$27&amp;"",'draws%'!$AM$8:$AM$128,"="&amp;AM52&amp;""),0)</f>
        <v>0</v>
      </c>
      <c r="AM52" s="524">
        <f t="shared" si="13"/>
        <v>2030</v>
      </c>
      <c r="AN52" s="524"/>
    </row>
    <row r="53" spans="1:40" ht="14">
      <c r="A53" s="903">
        <f t="shared" si="8"/>
        <v>47634</v>
      </c>
      <c r="C53" s="897">
        <f t="shared" si="9"/>
        <v>45</v>
      </c>
      <c r="D53" s="542"/>
      <c r="E53" s="542">
        <f>IF($C53=$C$2,0,IF(OR($C53=0,$C53&lt;general!$C$23,$C53&gt;$C$2),0,E$2/$C$3+NORMDIST($C53-general!$C$23+1,$C$3/2,E$1,1)-NORMDIST($C52-general!$C$23+1,$C$3/2,E$1,1)))+IF($C53=$C$2,1-SUM(E$8:E52),0)</f>
        <v>0</v>
      </c>
      <c r="F53" s="542">
        <f>IF($C53=$C$2,0,IF(OR($C53=0,$C53&lt;general!$C$23,$C53&gt;$C$2),0,F$2/$C$3+NORMDIST($C53-general!$C$23+1,$C$3/2,F$1,1)-NORMDIST($C52-general!$C$23+1,$C$3/2,F$1,1)))+IF($C53=$C$2,1-SUM(F$8:F52),0)</f>
        <v>0</v>
      </c>
      <c r="G53" s="542">
        <f>IF($C53=$C$2,0,IF(OR($C53=0,$C53&lt;general!$C$23,$C53&gt;$C$2),0,G$2/$C$3+NORMDIST($C53-general!$C$23+1,$C$3/2,G$1,1)-NORMDIST($C52-general!$C$23+1,$C$3/2,G$1,1)))+IF($C53=$C$2,1-SUM(G$8:G52),0)</f>
        <v>0</v>
      </c>
      <c r="H53" s="542">
        <f>IF(C53=$C$2,0,IF(OR(C53=0,C53&lt;1,C53&gt;$C$2),0,$H$2/$C$2+NORMDIST(C53,$C$2/2,$H$1,1)-NORMDIST(C52,$C$2/2,$H$1,1)))+IF(C53=$C$2,1-SUM($H$9:H52),0)</f>
        <v>0</v>
      </c>
      <c r="I53" s="542">
        <f>IF(C53=$C$2,0,IF(OR(C53=0,C53&lt;1,C53&gt;$C$2),0,$I$2/$C$2+NORMDIST(C53,$C$2/2,$I$1,1)-NORMDIST(C52,$C$2/2,$I$1,1)))+IF(C53=$C$2,1-SUM($I$9:I52),0)</f>
        <v>0</v>
      </c>
      <c r="J53" s="542">
        <f>IF(C53=$C$2,0,IF(OR(C53=0,C53&lt;1,C53&gt;$C$2),0,$J$2/$C$2+NORMDIST(C53,$C$2/2,$J$1,1)-NORMDIST(C52,$C$2/2,$J$1,1)))+IF(C53=$C$2,1-SUM($J$9:J52),0)</f>
        <v>0</v>
      </c>
      <c r="K53" s="542">
        <f t="shared" si="14"/>
        <v>0</v>
      </c>
      <c r="L53" s="542">
        <f t="shared" si="11"/>
        <v>0</v>
      </c>
      <c r="M53" s="542">
        <f>IF($C53&gt;$C$2,IF($C53=sales!$F$36,M$4,0),(1-M$4)/$C$2)</f>
        <v>0</v>
      </c>
      <c r="N53" s="542">
        <f>IF(ISEVEN($C$2),IF(C53&gt;$C$2,0,IF(C53&lt;=$C$2/2,C53,C53-1-2*(SUMPRODUCT(--($C$8:C53&gt;$C$2/2))-1))/(($C$2/2)*($C$2/2+1))),0)+IF(ISODD($C$2),IF(C53&gt;$C$2,0,IF(C53-1&lt;=$C$2/2,C53,C53-2*(SUMPRODUCT(--($C$8:C53&gt;$C$2/2))-1))/((INT($C$2/2))*(INT($C$2/2)+1)+ROUNDUP($C$2/2,0))),0)</f>
        <v>0</v>
      </c>
      <c r="O53" s="542"/>
      <c r="P53" s="542">
        <f t="shared" si="12"/>
        <v>0</v>
      </c>
      <c r="Q53" s="542">
        <f>IF($C53=general!$C$28,Q$4,IFERROR(($C53&lt;general!$C$23)*((1-Q$4)*Q$5)/(general!$C$23-1),0)+IFERROR(($C53&gt;=general!$C$23)*($C53&lt;=general!$C$27)*((1-Q$4)*Q$6)/(general!$C$27-general!$C$23+1),0))+IF(AND(general!$C$23&lt;=1,$C53&lt;=1),'draws%'!Q$5*(1-Q$4))</f>
        <v>0</v>
      </c>
      <c r="R53" s="542">
        <f>IF($C53=general!$C$27,R$4,IFERROR(($C53&lt;general!$C$23)*((1-R$4)*R$5)/(general!$C$23-1),0)+IFERROR(($C53&gt;=general!$C$23)*($C53&lt;general!$C$27)*((1-R$4)*R$6)/(general!$C$27-general!$C$23),0))+IF(AND(general!$C$23&lt;=1,$C53&lt;=1),'draws%'!R$5*(1-R$4))</f>
        <v>0</v>
      </c>
      <c r="S53" s="542">
        <f>IF(OR(C53=general!$C$27,C53=general!$C$27-1),50%,0)</f>
        <v>0</v>
      </c>
      <c r="T53" s="542">
        <f>(C53&gt;=general!$C$26-6)*(C53&lt;general!$C$26)*1/6*0.5+(C53=3)*0.25+(C53=9)*0.25</f>
        <v>0</v>
      </c>
      <c r="U53" s="542">
        <f>IF(C53='Development Cash Flow'!$C$6,$U$5,0)+IF(C53=general!$C$27,$U$6,0)</f>
        <v>0</v>
      </c>
      <c r="V53" s="542">
        <f>IF(C53=general!$C$28,1,0)</f>
        <v>0</v>
      </c>
      <c r="W53" s="542">
        <f t="shared" si="15"/>
        <v>0</v>
      </c>
      <c r="X53" s="542">
        <f>IF(C53=general!$C$23,1,0)</f>
        <v>0</v>
      </c>
      <c r="Y53" s="542">
        <f>IFERROR((C53&lt;general!$C$23)*Y$5/(general!$C$23),0)+IFERROR((C53&gt;=general!$C$23)*(C53&lt;=general!$C$27)*Y$6/(general!$C$27-general!$C$23+1),0)</f>
        <v>0</v>
      </c>
      <c r="Z53" s="542">
        <f>IFERROR(($C53&lt;general!$C$23)*Z$5/(general!$C$23),0)+IFERROR(($C53&gt;=general!$C$23)*($C53&lt;=general!$C$27)*Z$6/(general!$C$27-general!$C$23+1),0)*(1-$Z$4)+$Z$4*AF53</f>
        <v>0</v>
      </c>
      <c r="AA53" s="542">
        <f>MAX((IFERROR(($C53&lt;general!$C$23)*AA$5/(general!$C$23),0)+IFERROR(($C53&gt;=general!$C$23)*($C53&lt;=general!$C$27)*AA$6/(general!$C$27-general!$C$23+1),0)),0)</f>
        <v>0</v>
      </c>
      <c r="AB53" s="542">
        <f>MAX((IFERROR(($C53&lt;general!$C$23)*AB$5/(general!$C$23),0)+IFERROR(($C53&gt;=general!$C$23)*($C53&lt;=general!$C$27)*AB$6/(general!$C$27-general!$C$23+1),0)),0)</f>
        <v>0</v>
      </c>
      <c r="AC53" s="542">
        <f>MAX((IFERROR(($C53&lt;general!$C$23)*AC$5/(general!$C$23),0)+IFERROR(($C53&gt;=general!$C$23)*($C53&lt;=general!$C$27)*AC$6/(general!$C$27-general!$C$23+1),0)),0)</f>
        <v>0</v>
      </c>
      <c r="AD53" s="542">
        <f>MAX((IFERROR(($C53&lt;general!$C$23)*AD$5/(general!$C$23),0)+IFERROR(($C53&gt;=general!$C$23)*($C53&lt;=general!$C$27)*AD$6/(general!$C$27-general!$C$23+1),0)),0)</f>
        <v>0</v>
      </c>
      <c r="AE53" s="542">
        <f t="shared" si="7"/>
        <v>0</v>
      </c>
      <c r="AF53" s="542">
        <f>+SUMPRODUCT(--($C53=sales!$C$50:$C$54),sales!$D$50:$D$54)</f>
        <v>0</v>
      </c>
      <c r="AG53" s="542">
        <f>IF($C53=general!$C$28,AG$4,IFERROR(($C53&lt;general!$C$23)*((1-AG$4)*AG$5)/(general!$C$23-1),0)+IFERROR(($C53&gt;=general!$C$23)*($C53&lt;=general!$C$27)*((1-AG$4)*AG$6)/(general!$C$27-general!$C$23+1),0))+IF(AND(general!$C$23&lt;=1,$C53&lt;=1),'draws%'!AG$5*(1-AG$4))</f>
        <v>0</v>
      </c>
      <c r="AH53" s="542">
        <f>+IF($C53=general!$C$21,1,0)</f>
        <v>0</v>
      </c>
      <c r="AK53" s="524">
        <f>IF(A53&lt;=general!$D$27,IF(MONTH(A53)=11,1,IF(C53=general!$C$27,1,0)),)</f>
        <v>0</v>
      </c>
      <c r="AL53" s="524">
        <f>IF(AK53=1,COUNTIFS($C$8:$C$128,"&lt;="&amp;general!$C$27&amp;"",'draws%'!$AM$8:$AM$128,"="&amp;AM53&amp;""),0)</f>
        <v>0</v>
      </c>
      <c r="AM53" s="524">
        <f t="shared" si="13"/>
        <v>2030</v>
      </c>
      <c r="AN53" s="524"/>
    </row>
    <row r="54" spans="1:40" ht="14">
      <c r="A54" s="903">
        <f t="shared" si="8"/>
        <v>47664</v>
      </c>
      <c r="C54" s="897">
        <f t="shared" si="9"/>
        <v>46</v>
      </c>
      <c r="D54" s="542"/>
      <c r="E54" s="542">
        <f>IF($C54=$C$2,0,IF(OR($C54=0,$C54&lt;general!$C$23,$C54&gt;$C$2),0,E$2/$C$3+NORMDIST($C54-general!$C$23+1,$C$3/2,E$1,1)-NORMDIST($C53-general!$C$23+1,$C$3/2,E$1,1)))+IF($C54=$C$2,1-SUM(E$8:E53),0)</f>
        <v>0</v>
      </c>
      <c r="F54" s="542">
        <f>IF($C54=$C$2,0,IF(OR($C54=0,$C54&lt;general!$C$23,$C54&gt;$C$2),0,F$2/$C$3+NORMDIST($C54-general!$C$23+1,$C$3/2,F$1,1)-NORMDIST($C53-general!$C$23+1,$C$3/2,F$1,1)))+IF($C54=$C$2,1-SUM(F$8:F53),0)</f>
        <v>0</v>
      </c>
      <c r="G54" s="542">
        <f>IF($C54=$C$2,0,IF(OR($C54=0,$C54&lt;general!$C$23,$C54&gt;$C$2),0,G$2/$C$3+NORMDIST($C54-general!$C$23+1,$C$3/2,G$1,1)-NORMDIST($C53-general!$C$23+1,$C$3/2,G$1,1)))+IF($C54=$C$2,1-SUM(G$8:G53),0)</f>
        <v>0</v>
      </c>
      <c r="H54" s="542">
        <f>IF(C54=$C$2,0,IF(OR(C54=0,C54&lt;1,C54&gt;$C$2),0,$H$2/$C$2+NORMDIST(C54,$C$2/2,$H$1,1)-NORMDIST(C53,$C$2/2,$H$1,1)))+IF(C54=$C$2,1-SUM($H$9:H53),0)</f>
        <v>0</v>
      </c>
      <c r="I54" s="542">
        <f>IF(C54=$C$2,0,IF(OR(C54=0,C54&lt;1,C54&gt;$C$2),0,$I$2/$C$2+NORMDIST(C54,$C$2/2,$I$1,1)-NORMDIST(C53,$C$2/2,$I$1,1)))+IF(C54=$C$2,1-SUM($I$9:I53),0)</f>
        <v>0</v>
      </c>
      <c r="J54" s="542">
        <f>IF(C54=$C$2,0,IF(OR(C54=0,C54&lt;1,C54&gt;$C$2),0,$J$2/$C$2+NORMDIST(C54,$C$2/2,$J$1,1)-NORMDIST(C53,$C$2/2,$J$1,1)))+IF(C54=$C$2,1-SUM($J$9:J53),0)</f>
        <v>0</v>
      </c>
      <c r="K54" s="542">
        <f t="shared" si="14"/>
        <v>0</v>
      </c>
      <c r="L54" s="542">
        <f t="shared" si="11"/>
        <v>0</v>
      </c>
      <c r="M54" s="542">
        <f>IF($C54&gt;$C$2,IF($C54=sales!$F$36,M$4,0),(1-M$4)/$C$2)</f>
        <v>0</v>
      </c>
      <c r="N54" s="542">
        <f>IF(ISEVEN($C$2),IF(C54&gt;$C$2,0,IF(C54&lt;=$C$2/2,C54,C54-1-2*(SUMPRODUCT(--($C$8:C54&gt;$C$2/2))-1))/(($C$2/2)*($C$2/2+1))),0)+IF(ISODD($C$2),IF(C54&gt;$C$2,0,IF(C54-1&lt;=$C$2/2,C54,C54-2*(SUMPRODUCT(--($C$8:C54&gt;$C$2/2))-1))/((INT($C$2/2))*(INT($C$2/2)+1)+ROUNDUP($C$2/2,0))),0)</f>
        <v>0</v>
      </c>
      <c r="O54" s="542"/>
      <c r="P54" s="542">
        <f t="shared" si="12"/>
        <v>0</v>
      </c>
      <c r="Q54" s="542">
        <f>IF($C54=general!$C$28,Q$4,IFERROR(($C54&lt;general!$C$23)*((1-Q$4)*Q$5)/(general!$C$23-1),0)+IFERROR(($C54&gt;=general!$C$23)*($C54&lt;=general!$C$27)*((1-Q$4)*Q$6)/(general!$C$27-general!$C$23+1),0))+IF(AND(general!$C$23&lt;=1,$C54&lt;=1),'draws%'!Q$5*(1-Q$4))</f>
        <v>0</v>
      </c>
      <c r="R54" s="542">
        <f>IF($C54=general!$C$27,R$4,IFERROR(($C54&lt;general!$C$23)*((1-R$4)*R$5)/(general!$C$23-1),0)+IFERROR(($C54&gt;=general!$C$23)*($C54&lt;general!$C$27)*((1-R$4)*R$6)/(general!$C$27-general!$C$23),0))+IF(AND(general!$C$23&lt;=1,$C54&lt;=1),'draws%'!R$5*(1-R$4))</f>
        <v>0</v>
      </c>
      <c r="S54" s="542">
        <f>IF(OR(C54=general!$C$27,C54=general!$C$27-1),50%,0)</f>
        <v>0</v>
      </c>
      <c r="T54" s="542">
        <f>(C54&gt;=general!$C$26-6)*(C54&lt;general!$C$26)*1/6*0.5+(C54=3)*0.25+(C54=9)*0.25</f>
        <v>0</v>
      </c>
      <c r="U54" s="542">
        <f>IF(C54='Development Cash Flow'!$C$6,$U$5,0)+IF(C54=general!$C$27,$U$6,0)</f>
        <v>0</v>
      </c>
      <c r="V54" s="542">
        <f>IF(C54=general!$C$28,1,0)</f>
        <v>0</v>
      </c>
      <c r="W54" s="542">
        <f t="shared" si="15"/>
        <v>0</v>
      </c>
      <c r="X54" s="542">
        <f>IF(C54=general!$C$23,1,0)</f>
        <v>0</v>
      </c>
      <c r="Y54" s="542">
        <f>IFERROR((C54&lt;general!$C$23)*Y$5/(general!$C$23),0)+IFERROR((C54&gt;=general!$C$23)*(C54&lt;=general!$C$27)*Y$6/(general!$C$27-general!$C$23+1),0)</f>
        <v>0</v>
      </c>
      <c r="Z54" s="542">
        <f>IFERROR(($C54&lt;general!$C$23)*Z$5/(general!$C$23),0)+IFERROR(($C54&gt;=general!$C$23)*($C54&lt;=general!$C$27)*Z$6/(general!$C$27-general!$C$23+1),0)*(1-$Z$4)+$Z$4*AF54</f>
        <v>0</v>
      </c>
      <c r="AA54" s="542">
        <f>MAX((IFERROR(($C54&lt;general!$C$23)*AA$5/(general!$C$23),0)+IFERROR(($C54&gt;=general!$C$23)*($C54&lt;=general!$C$27)*AA$6/(general!$C$27-general!$C$23+1),0)),0)</f>
        <v>0</v>
      </c>
      <c r="AB54" s="542">
        <f>MAX((IFERROR(($C54&lt;general!$C$23)*AB$5/(general!$C$23),0)+IFERROR(($C54&gt;=general!$C$23)*($C54&lt;=general!$C$27)*AB$6/(general!$C$27-general!$C$23+1),0)),0)</f>
        <v>0</v>
      </c>
      <c r="AC54" s="542">
        <f>MAX((IFERROR(($C54&lt;general!$C$23)*AC$5/(general!$C$23),0)+IFERROR(($C54&gt;=general!$C$23)*($C54&lt;=general!$C$27)*AC$6/(general!$C$27-general!$C$23+1),0)),0)</f>
        <v>0</v>
      </c>
      <c r="AD54" s="542">
        <f>MAX((IFERROR(($C54&lt;general!$C$23)*AD$5/(general!$C$23),0)+IFERROR(($C54&gt;=general!$C$23)*($C54&lt;=general!$C$27)*AD$6/(general!$C$27-general!$C$23+1),0)),0)</f>
        <v>0</v>
      </c>
      <c r="AE54" s="542">
        <f t="shared" si="7"/>
        <v>0</v>
      </c>
      <c r="AF54" s="542">
        <f>+SUMPRODUCT(--($C54=sales!$C$50:$C$54),sales!$D$50:$D$54)</f>
        <v>0</v>
      </c>
      <c r="AG54" s="542">
        <f>IF($C54=general!$C$28,AG$4,IFERROR(($C54&lt;general!$C$23)*((1-AG$4)*AG$5)/(general!$C$23-1),0)+IFERROR(($C54&gt;=general!$C$23)*($C54&lt;=general!$C$27)*((1-AG$4)*AG$6)/(general!$C$27-general!$C$23+1),0))+IF(AND(general!$C$23&lt;=1,$C54&lt;=1),'draws%'!AG$5*(1-AG$4))</f>
        <v>0</v>
      </c>
      <c r="AH54" s="542">
        <f>+IF($C54=general!$C$21,1,0)</f>
        <v>0</v>
      </c>
      <c r="AK54" s="524">
        <f>IF(A54&lt;=general!$D$27,IF(MONTH(A54)=11,1,IF(C54=general!$C$27,1,0)),)</f>
        <v>0</v>
      </c>
      <c r="AL54" s="524">
        <f>IF(AK54=1,COUNTIFS($C$8:$C$128,"&lt;="&amp;general!$C$27&amp;"",'draws%'!$AM$8:$AM$128,"="&amp;AM54&amp;""),0)</f>
        <v>0</v>
      </c>
      <c r="AM54" s="524">
        <f t="shared" si="13"/>
        <v>2030</v>
      </c>
      <c r="AN54" s="524"/>
    </row>
    <row r="55" spans="1:40" ht="14">
      <c r="A55" s="903">
        <f t="shared" si="8"/>
        <v>47695</v>
      </c>
      <c r="C55" s="897">
        <f t="shared" si="9"/>
        <v>47</v>
      </c>
      <c r="D55" s="542"/>
      <c r="E55" s="542">
        <f>IF($C55=$C$2,0,IF(OR($C55=0,$C55&lt;general!$C$23,$C55&gt;$C$2),0,E$2/$C$3+NORMDIST($C55-general!$C$23+1,$C$3/2,E$1,1)-NORMDIST($C54-general!$C$23+1,$C$3/2,E$1,1)))+IF($C55=$C$2,1-SUM(E$8:E54),0)</f>
        <v>0</v>
      </c>
      <c r="F55" s="542">
        <f>IF($C55=$C$2,0,IF(OR($C55=0,$C55&lt;general!$C$23,$C55&gt;$C$2),0,F$2/$C$3+NORMDIST($C55-general!$C$23+1,$C$3/2,F$1,1)-NORMDIST($C54-general!$C$23+1,$C$3/2,F$1,1)))+IF($C55=$C$2,1-SUM(F$8:F54),0)</f>
        <v>0</v>
      </c>
      <c r="G55" s="542">
        <f>IF($C55=$C$2,0,IF(OR($C55=0,$C55&lt;general!$C$23,$C55&gt;$C$2),0,G$2/$C$3+NORMDIST($C55-general!$C$23+1,$C$3/2,G$1,1)-NORMDIST($C54-general!$C$23+1,$C$3/2,G$1,1)))+IF($C55=$C$2,1-SUM(G$8:G54),0)</f>
        <v>0</v>
      </c>
      <c r="H55" s="542">
        <f>IF(C55=$C$2,0,IF(OR(C55=0,C55&lt;1,C55&gt;$C$2),0,$H$2/$C$2+NORMDIST(C55,$C$2/2,$H$1,1)-NORMDIST(C54,$C$2/2,$H$1,1)))+IF(C55=$C$2,1-SUM($H$9:H54),0)</f>
        <v>0</v>
      </c>
      <c r="I55" s="542">
        <f>IF(C55=$C$2,0,IF(OR(C55=0,C55&lt;1,C55&gt;$C$2),0,$I$2/$C$2+NORMDIST(C55,$C$2/2,$I$1,1)-NORMDIST(C54,$C$2/2,$I$1,1)))+IF(C55=$C$2,1-SUM($I$9:I54),0)</f>
        <v>0</v>
      </c>
      <c r="J55" s="542">
        <f>IF(C55=$C$2,0,IF(OR(C55=0,C55&lt;1,C55&gt;$C$2),0,$J$2/$C$2+NORMDIST(C55,$C$2/2,$J$1,1)-NORMDIST(C54,$C$2/2,$J$1,1)))+IF(C55=$C$2,1-SUM($J$9:J54),0)</f>
        <v>0</v>
      </c>
      <c r="K55" s="542">
        <f t="shared" si="14"/>
        <v>0</v>
      </c>
      <c r="L55" s="542">
        <f t="shared" si="11"/>
        <v>0</v>
      </c>
      <c r="M55" s="542">
        <f>IF($C55&gt;$C$2,IF($C55=sales!$F$36,M$4,0),(1-M$4)/$C$2)</f>
        <v>0</v>
      </c>
      <c r="N55" s="542">
        <f>IF(ISEVEN($C$2),IF(C55&gt;$C$2,0,IF(C55&lt;=$C$2/2,C55,C55-1-2*(SUMPRODUCT(--($C$8:C55&gt;$C$2/2))-1))/(($C$2/2)*($C$2/2+1))),0)+IF(ISODD($C$2),IF(C55&gt;$C$2,0,IF(C55-1&lt;=$C$2/2,C55,C55-2*(SUMPRODUCT(--($C$8:C55&gt;$C$2/2))-1))/((INT($C$2/2))*(INT($C$2/2)+1)+ROUNDUP($C$2/2,0))),0)</f>
        <v>0</v>
      </c>
      <c r="O55" s="542"/>
      <c r="P55" s="542">
        <f t="shared" si="12"/>
        <v>0</v>
      </c>
      <c r="Q55" s="542">
        <f>IF($C55=general!$C$28,Q$4,IFERROR(($C55&lt;general!$C$23)*((1-Q$4)*Q$5)/(general!$C$23-1),0)+IFERROR(($C55&gt;=general!$C$23)*($C55&lt;=general!$C$27)*((1-Q$4)*Q$6)/(general!$C$27-general!$C$23+1),0))+IF(AND(general!$C$23&lt;=1,$C55&lt;=1),'draws%'!Q$5*(1-Q$4))</f>
        <v>0</v>
      </c>
      <c r="R55" s="542">
        <f>IF($C55=general!$C$27,R$4,IFERROR(($C55&lt;general!$C$23)*((1-R$4)*R$5)/(general!$C$23-1),0)+IFERROR(($C55&gt;=general!$C$23)*($C55&lt;general!$C$27)*((1-R$4)*R$6)/(general!$C$27-general!$C$23),0))+IF(AND(general!$C$23&lt;=1,$C55&lt;=1),'draws%'!R$5*(1-R$4))</f>
        <v>0</v>
      </c>
      <c r="S55" s="542">
        <f>IF(OR(C55=general!$C$27,C55=general!$C$27-1),50%,0)</f>
        <v>0</v>
      </c>
      <c r="T55" s="542">
        <f>(C55&gt;=general!$C$26-6)*(C55&lt;general!$C$26)*1/6*0.5+(C55=3)*0.25+(C55=9)*0.25</f>
        <v>0</v>
      </c>
      <c r="U55" s="542">
        <f>IF(C55='Development Cash Flow'!$C$6,$U$5,0)+IF(C55=general!$C$27,$U$6,0)</f>
        <v>0</v>
      </c>
      <c r="V55" s="542">
        <f>IF(C55=general!$C$28,1,0)</f>
        <v>0</v>
      </c>
      <c r="W55" s="542">
        <f t="shared" si="15"/>
        <v>0</v>
      </c>
      <c r="X55" s="542">
        <f>IF(C55=general!$C$23,1,0)</f>
        <v>0</v>
      </c>
      <c r="Y55" s="542">
        <f>IFERROR((C55&lt;general!$C$23)*Y$5/(general!$C$23),0)+IFERROR((C55&gt;=general!$C$23)*(C55&lt;=general!$C$27)*Y$6/(general!$C$27-general!$C$23+1),0)</f>
        <v>0</v>
      </c>
      <c r="Z55" s="542">
        <f>IFERROR(($C55&lt;general!$C$23)*Z$5/(general!$C$23),0)+IFERROR(($C55&gt;=general!$C$23)*($C55&lt;=general!$C$27)*Z$6/(general!$C$27-general!$C$23+1),0)*(1-$Z$4)+$Z$4*AF55</f>
        <v>0</v>
      </c>
      <c r="AA55" s="542">
        <f>MAX((IFERROR(($C55&lt;general!$C$23)*AA$5/(general!$C$23),0)+IFERROR(($C55&gt;=general!$C$23)*($C55&lt;=general!$C$27)*AA$6/(general!$C$27-general!$C$23+1),0)),0)</f>
        <v>0</v>
      </c>
      <c r="AB55" s="542">
        <f>MAX((IFERROR(($C55&lt;general!$C$23)*AB$5/(general!$C$23),0)+IFERROR(($C55&gt;=general!$C$23)*($C55&lt;=general!$C$27)*AB$6/(general!$C$27-general!$C$23+1),0)),0)</f>
        <v>0</v>
      </c>
      <c r="AC55" s="542">
        <f>MAX((IFERROR(($C55&lt;general!$C$23)*AC$5/(general!$C$23),0)+IFERROR(($C55&gt;=general!$C$23)*($C55&lt;=general!$C$27)*AC$6/(general!$C$27-general!$C$23+1),0)),0)</f>
        <v>0</v>
      </c>
      <c r="AD55" s="542">
        <f>MAX((IFERROR(($C55&lt;general!$C$23)*AD$5/(general!$C$23),0)+IFERROR(($C55&gt;=general!$C$23)*($C55&lt;=general!$C$27)*AD$6/(general!$C$27-general!$C$23+1),0)),0)</f>
        <v>0</v>
      </c>
      <c r="AE55" s="542">
        <f t="shared" si="7"/>
        <v>0</v>
      </c>
      <c r="AF55" s="542">
        <f>+SUMPRODUCT(--($C55=sales!$C$50:$C$54),sales!$D$50:$D$54)</f>
        <v>0</v>
      </c>
      <c r="AG55" s="542">
        <f>IF($C55=general!$C$28,AG$4,IFERROR(($C55&lt;general!$C$23)*((1-AG$4)*AG$5)/(general!$C$23-1),0)+IFERROR(($C55&gt;=general!$C$23)*($C55&lt;=general!$C$27)*((1-AG$4)*AG$6)/(general!$C$27-general!$C$23+1),0))+IF(AND(general!$C$23&lt;=1,$C55&lt;=1),'draws%'!AG$5*(1-AG$4))</f>
        <v>0</v>
      </c>
      <c r="AH55" s="542">
        <f>+IF($C55=general!$C$21,1,0)</f>
        <v>0</v>
      </c>
      <c r="AK55" s="524">
        <f>IF(A55&lt;=general!$D$27,IF(MONTH(A55)=11,1,IF(C55=general!$C$27,1,0)),)</f>
        <v>0</v>
      </c>
      <c r="AL55" s="524">
        <f>IF(AK55=1,COUNTIFS($C$8:$C$128,"&lt;="&amp;general!$C$27&amp;"",'draws%'!$AM$8:$AM$128,"="&amp;AM55&amp;""),0)</f>
        <v>0</v>
      </c>
      <c r="AM55" s="524">
        <f t="shared" si="13"/>
        <v>2030</v>
      </c>
      <c r="AN55" s="524"/>
    </row>
    <row r="56" spans="1:40" ht="14">
      <c r="A56" s="903">
        <f t="shared" si="8"/>
        <v>47726</v>
      </c>
      <c r="C56" s="897">
        <f t="shared" si="9"/>
        <v>48</v>
      </c>
      <c r="D56" s="542"/>
      <c r="E56" s="542">
        <f>IF($C56=$C$2,0,IF(OR($C56=0,$C56&lt;general!$C$23,$C56&gt;$C$2),0,E$2/$C$3+NORMDIST($C56-general!$C$23+1,$C$3/2,E$1,1)-NORMDIST($C55-general!$C$23+1,$C$3/2,E$1,1)))+IF($C56=$C$2,1-SUM(E$8:E55),0)</f>
        <v>0</v>
      </c>
      <c r="F56" s="542">
        <f>IF($C56=$C$2,0,IF(OR($C56=0,$C56&lt;general!$C$23,$C56&gt;$C$2),0,F$2/$C$3+NORMDIST($C56-general!$C$23+1,$C$3/2,F$1,1)-NORMDIST($C55-general!$C$23+1,$C$3/2,F$1,1)))+IF($C56=$C$2,1-SUM(F$8:F55),0)</f>
        <v>0</v>
      </c>
      <c r="G56" s="542">
        <f>IF($C56=$C$2,0,IF(OR($C56=0,$C56&lt;general!$C$23,$C56&gt;$C$2),0,G$2/$C$3+NORMDIST($C56-general!$C$23+1,$C$3/2,G$1,1)-NORMDIST($C55-general!$C$23+1,$C$3/2,G$1,1)))+IF($C56=$C$2,1-SUM(G$8:G55),0)</f>
        <v>0</v>
      </c>
      <c r="H56" s="542">
        <f>IF(C56=$C$2,0,IF(OR(C56=0,C56&lt;1,C56&gt;$C$2),0,$H$2/$C$2+NORMDIST(C56,$C$2/2,$H$1,1)-NORMDIST(C55,$C$2/2,$H$1,1)))+IF(C56=$C$2,1-SUM($H$9:H55),0)</f>
        <v>0</v>
      </c>
      <c r="I56" s="542">
        <f>IF(C56=$C$2,0,IF(OR(C56=0,C56&lt;1,C56&gt;$C$2),0,$I$2/$C$2+NORMDIST(C56,$C$2/2,$I$1,1)-NORMDIST(C55,$C$2/2,$I$1,1)))+IF(C56=$C$2,1-SUM($I$9:I55),0)</f>
        <v>0</v>
      </c>
      <c r="J56" s="542">
        <f>IF(C56=$C$2,0,IF(OR(C56=0,C56&lt;1,C56&gt;$C$2),0,$J$2/$C$2+NORMDIST(C56,$C$2/2,$J$1,1)-NORMDIST(C55,$C$2/2,$J$1,1)))+IF(C56=$C$2,1-SUM($J$9:J55),0)</f>
        <v>0</v>
      </c>
      <c r="K56" s="542">
        <f t="shared" si="14"/>
        <v>0</v>
      </c>
      <c r="L56" s="542">
        <f t="shared" si="11"/>
        <v>0</v>
      </c>
      <c r="M56" s="542">
        <f>IF($C56&gt;$C$2,IF($C56=sales!$F$36,M$4,0),(1-M$4)/$C$2)</f>
        <v>0</v>
      </c>
      <c r="N56" s="542">
        <f>IF(ISEVEN($C$2),IF(C56&gt;$C$2,0,IF(C56&lt;=$C$2/2,C56,C56-1-2*(SUMPRODUCT(--($C$8:C56&gt;$C$2/2))-1))/(($C$2/2)*($C$2/2+1))),0)+IF(ISODD($C$2),IF(C56&gt;$C$2,0,IF(C56-1&lt;=$C$2/2,C56,C56-2*(SUMPRODUCT(--($C$8:C56&gt;$C$2/2))-1))/((INT($C$2/2))*(INT($C$2/2)+1)+ROUNDUP($C$2/2,0))),0)</f>
        <v>0</v>
      </c>
      <c r="O56" s="542"/>
      <c r="P56" s="542">
        <f t="shared" si="12"/>
        <v>0</v>
      </c>
      <c r="Q56" s="542">
        <f>IF($C56=general!$C$28,Q$4,IFERROR(($C56&lt;general!$C$23)*((1-Q$4)*Q$5)/(general!$C$23-1),0)+IFERROR(($C56&gt;=general!$C$23)*($C56&lt;=general!$C$27)*((1-Q$4)*Q$6)/(general!$C$27-general!$C$23+1),0))+IF(AND(general!$C$23&lt;=1,$C56&lt;=1),'draws%'!Q$5*(1-Q$4))</f>
        <v>0</v>
      </c>
      <c r="R56" s="542">
        <f>IF($C56=general!$C$27,R$4,IFERROR(($C56&lt;general!$C$23)*((1-R$4)*R$5)/(general!$C$23-1),0)+IFERROR(($C56&gt;=general!$C$23)*($C56&lt;general!$C$27)*((1-R$4)*R$6)/(general!$C$27-general!$C$23),0))+IF(AND(general!$C$23&lt;=1,$C56&lt;=1),'draws%'!R$5*(1-R$4))</f>
        <v>0</v>
      </c>
      <c r="S56" s="542">
        <f>IF(OR(C56=general!$C$27,C56=general!$C$27-1),50%,0)</f>
        <v>0</v>
      </c>
      <c r="T56" s="542">
        <f>(C56&gt;=general!$C$26-6)*(C56&lt;general!$C$26)*1/6*0.5+(C56=3)*0.25+(C56=9)*0.25</f>
        <v>0</v>
      </c>
      <c r="U56" s="542">
        <f>IF(C56='Development Cash Flow'!$C$6,$U$5,0)+IF(C56=general!$C$27,$U$6,0)</f>
        <v>0</v>
      </c>
      <c r="V56" s="542">
        <f>IF(C56=general!$C$28,1,0)</f>
        <v>0</v>
      </c>
      <c r="W56" s="542">
        <f t="shared" si="15"/>
        <v>0</v>
      </c>
      <c r="X56" s="542">
        <f>IF(C56=general!$C$23,1,0)</f>
        <v>0</v>
      </c>
      <c r="Y56" s="542">
        <f>IFERROR((C56&lt;general!$C$23)*Y$5/(general!$C$23),0)+IFERROR((C56&gt;=general!$C$23)*(C56&lt;=general!$C$27)*Y$6/(general!$C$27-general!$C$23+1),0)</f>
        <v>0</v>
      </c>
      <c r="Z56" s="542">
        <f>IFERROR(($C56&lt;general!$C$23)*Z$5/(general!$C$23),0)+IFERROR(($C56&gt;=general!$C$23)*($C56&lt;=general!$C$27)*Z$6/(general!$C$27-general!$C$23+1),0)*(1-$Z$4)+$Z$4*AF56</f>
        <v>0</v>
      </c>
      <c r="AA56" s="542">
        <f>MAX((IFERROR(($C56&lt;general!$C$23)*AA$5/(general!$C$23),0)+IFERROR(($C56&gt;=general!$C$23)*($C56&lt;=general!$C$27)*AA$6/(general!$C$27-general!$C$23+1),0)),0)</f>
        <v>0</v>
      </c>
      <c r="AB56" s="542">
        <f>MAX((IFERROR(($C56&lt;general!$C$23)*AB$5/(general!$C$23),0)+IFERROR(($C56&gt;=general!$C$23)*($C56&lt;=general!$C$27)*AB$6/(general!$C$27-general!$C$23+1),0)),0)</f>
        <v>0</v>
      </c>
      <c r="AC56" s="542">
        <f>MAX((IFERROR(($C56&lt;general!$C$23)*AC$5/(general!$C$23),0)+IFERROR(($C56&gt;=general!$C$23)*($C56&lt;=general!$C$27)*AC$6/(general!$C$27-general!$C$23+1),0)),0)</f>
        <v>0</v>
      </c>
      <c r="AD56" s="542">
        <f>MAX((IFERROR(($C56&lt;general!$C$23)*AD$5/(general!$C$23),0)+IFERROR(($C56&gt;=general!$C$23)*($C56&lt;=general!$C$27)*AD$6/(general!$C$27-general!$C$23+1),0)),0)</f>
        <v>0</v>
      </c>
      <c r="AE56" s="542">
        <f t="shared" si="7"/>
        <v>0</v>
      </c>
      <c r="AF56" s="542">
        <f>+SUMPRODUCT(--($C56=sales!$C$50:$C$54),sales!$D$50:$D$54)</f>
        <v>0</v>
      </c>
      <c r="AG56" s="542">
        <f>IF($C56=general!$C$28,AG$4,IFERROR(($C56&lt;general!$C$23)*((1-AG$4)*AG$5)/(general!$C$23-1),0)+IFERROR(($C56&gt;=general!$C$23)*($C56&lt;=general!$C$27)*((1-AG$4)*AG$6)/(general!$C$27-general!$C$23+1),0))+IF(AND(general!$C$23&lt;=1,$C56&lt;=1),'draws%'!AG$5*(1-AG$4))</f>
        <v>0</v>
      </c>
      <c r="AH56" s="542">
        <f>+IF($C56=general!$C$21,1,0)</f>
        <v>0</v>
      </c>
      <c r="AK56" s="524">
        <f>IF(A56&lt;=general!$D$27,IF(MONTH(A56)=11,1,IF(C56=general!$C$27,1,0)),)</f>
        <v>0</v>
      </c>
      <c r="AL56" s="524">
        <f>IF(AK56=1,COUNTIFS($C$8:$C$128,"&lt;="&amp;general!$C$27&amp;"",'draws%'!$AM$8:$AM$128,"="&amp;AM56&amp;""),0)</f>
        <v>0</v>
      </c>
      <c r="AM56" s="524">
        <f t="shared" si="13"/>
        <v>2030</v>
      </c>
      <c r="AN56" s="524"/>
    </row>
    <row r="57" spans="1:40" ht="14">
      <c r="A57" s="903">
        <f t="shared" si="8"/>
        <v>47756</v>
      </c>
      <c r="C57" s="897">
        <f t="shared" si="9"/>
        <v>49</v>
      </c>
      <c r="D57" s="542"/>
      <c r="E57" s="542">
        <f>IF($C57=$C$2,0,IF(OR($C57=0,$C57&lt;general!$C$23,$C57&gt;$C$2),0,E$2/$C$3+NORMDIST($C57-general!$C$23+1,$C$3/2,E$1,1)-NORMDIST($C56-general!$C$23+1,$C$3/2,E$1,1)))+IF($C57=$C$2,1-SUM(E$8:E56),0)</f>
        <v>0</v>
      </c>
      <c r="F57" s="542">
        <f>IF($C57=$C$2,0,IF(OR($C57=0,$C57&lt;general!$C$23,$C57&gt;$C$2),0,F$2/$C$3+NORMDIST($C57-general!$C$23+1,$C$3/2,F$1,1)-NORMDIST($C56-general!$C$23+1,$C$3/2,F$1,1)))+IF($C57=$C$2,1-SUM(F$8:F56),0)</f>
        <v>0</v>
      </c>
      <c r="G57" s="542">
        <f>IF($C57=$C$2,0,IF(OR($C57=0,$C57&lt;general!$C$23,$C57&gt;$C$2),0,G$2/$C$3+NORMDIST($C57-general!$C$23+1,$C$3/2,G$1,1)-NORMDIST($C56-general!$C$23+1,$C$3/2,G$1,1)))+IF($C57=$C$2,1-SUM(G$8:G56),0)</f>
        <v>0</v>
      </c>
      <c r="H57" s="542">
        <f>IF(C57=$C$2,0,IF(OR(C57=0,C57&lt;1,C57&gt;$C$2),0,$H$2/$C$2+NORMDIST(C57,$C$2/2,$H$1,1)-NORMDIST(C56,$C$2/2,$H$1,1)))+IF(C57=$C$2,1-SUM($H$9:H56),0)</f>
        <v>0</v>
      </c>
      <c r="I57" s="542">
        <f>IF(C57=$C$2,0,IF(OR(C57=0,C57&lt;1,C57&gt;$C$2),0,$I$2/$C$2+NORMDIST(C57,$C$2/2,$I$1,1)-NORMDIST(C56,$C$2/2,$I$1,1)))+IF(C57=$C$2,1-SUM($I$9:I56),0)</f>
        <v>0</v>
      </c>
      <c r="J57" s="542">
        <f>IF(C57=$C$2,0,IF(OR(C57=0,C57&lt;1,C57&gt;$C$2),0,$J$2/$C$2+NORMDIST(C57,$C$2/2,$J$1,1)-NORMDIST(C56,$C$2/2,$J$1,1)))+IF(C57=$C$2,1-SUM($J$9:J56),0)</f>
        <v>0</v>
      </c>
      <c r="K57" s="542">
        <f t="shared" si="14"/>
        <v>0</v>
      </c>
      <c r="L57" s="542">
        <f t="shared" si="11"/>
        <v>0</v>
      </c>
      <c r="M57" s="542">
        <f>IF($C57&gt;$C$2,IF($C57=sales!$F$36,M$4,0),(1-M$4)/$C$2)</f>
        <v>0</v>
      </c>
      <c r="N57" s="542">
        <f>IF(ISEVEN($C$2),IF(C57&gt;$C$2,0,IF(C57&lt;=$C$2/2,C57,C57-1-2*(SUMPRODUCT(--($C$8:C57&gt;$C$2/2))-1))/(($C$2/2)*($C$2/2+1))),0)+IF(ISODD($C$2),IF(C57&gt;$C$2,0,IF(C57-1&lt;=$C$2/2,C57,C57-2*(SUMPRODUCT(--($C$8:C57&gt;$C$2/2))-1))/((INT($C$2/2))*(INT($C$2/2)+1)+ROUNDUP($C$2/2,0))),0)</f>
        <v>0</v>
      </c>
      <c r="O57" s="542"/>
      <c r="P57" s="542">
        <f t="shared" si="12"/>
        <v>0</v>
      </c>
      <c r="Q57" s="542">
        <f>IF($C57=general!$C$28,Q$4,IFERROR(($C57&lt;general!$C$23)*((1-Q$4)*Q$5)/(general!$C$23-1),0)+IFERROR(($C57&gt;=general!$C$23)*($C57&lt;=general!$C$27)*((1-Q$4)*Q$6)/(general!$C$27-general!$C$23+1),0))+IF(AND(general!$C$23&lt;=1,$C57&lt;=1),'draws%'!Q$5*(1-Q$4))</f>
        <v>0</v>
      </c>
      <c r="R57" s="542">
        <f>IF($C57=general!$C$27,R$4,IFERROR(($C57&lt;general!$C$23)*((1-R$4)*R$5)/(general!$C$23-1),0)+IFERROR(($C57&gt;=general!$C$23)*($C57&lt;general!$C$27)*((1-R$4)*R$6)/(general!$C$27-general!$C$23),0))+IF(AND(general!$C$23&lt;=1,$C57&lt;=1),'draws%'!R$5*(1-R$4))</f>
        <v>0</v>
      </c>
      <c r="S57" s="542">
        <f>IF(OR(C57=general!$C$27,C57=general!$C$27-1),50%,0)</f>
        <v>0</v>
      </c>
      <c r="T57" s="542">
        <f>(C57&gt;=general!$C$26-6)*(C57&lt;general!$C$26)*1/6*0.5+(C57=3)*0.25+(C57=9)*0.25</f>
        <v>0</v>
      </c>
      <c r="U57" s="542">
        <f>IF(C57='Development Cash Flow'!$C$6,$U$5,0)+IF(C57=general!$C$27,$U$6,0)</f>
        <v>0</v>
      </c>
      <c r="V57" s="542">
        <f>IF(C57=general!$C$28,1,0)</f>
        <v>0</v>
      </c>
      <c r="W57" s="542">
        <f t="shared" si="15"/>
        <v>0</v>
      </c>
      <c r="X57" s="542">
        <f>IF(C57=general!$C$23,1,0)</f>
        <v>0</v>
      </c>
      <c r="Y57" s="542">
        <f>IFERROR((C57&lt;general!$C$23)*Y$5/(general!$C$23),0)+IFERROR((C57&gt;=general!$C$23)*(C57&lt;=general!$C$27)*Y$6/(general!$C$27-general!$C$23+1),0)</f>
        <v>0</v>
      </c>
      <c r="Z57" s="542">
        <f>IFERROR(($C57&lt;general!$C$23)*Z$5/(general!$C$23),0)+IFERROR(($C57&gt;=general!$C$23)*($C57&lt;=general!$C$27)*Z$6/(general!$C$27-general!$C$23+1),0)*(1-$Z$4)+$Z$4*AF57</f>
        <v>0</v>
      </c>
      <c r="AA57" s="542">
        <f>MAX((IFERROR(($C57&lt;general!$C$23)*AA$5/(general!$C$23),0)+IFERROR(($C57&gt;=general!$C$23)*($C57&lt;=general!$C$27)*AA$6/(general!$C$27-general!$C$23+1),0)),0)</f>
        <v>0</v>
      </c>
      <c r="AB57" s="542">
        <f>MAX((IFERROR(($C57&lt;general!$C$23)*AB$5/(general!$C$23),0)+IFERROR(($C57&gt;=general!$C$23)*($C57&lt;=general!$C$27)*AB$6/(general!$C$27-general!$C$23+1),0)),0)</f>
        <v>0</v>
      </c>
      <c r="AC57" s="542">
        <f>MAX((IFERROR(($C57&lt;general!$C$23)*AC$5/(general!$C$23),0)+IFERROR(($C57&gt;=general!$C$23)*($C57&lt;=general!$C$27)*AC$6/(general!$C$27-general!$C$23+1),0)),0)</f>
        <v>0</v>
      </c>
      <c r="AD57" s="542">
        <f>MAX((IFERROR(($C57&lt;general!$C$23)*AD$5/(general!$C$23),0)+IFERROR(($C57&gt;=general!$C$23)*($C57&lt;=general!$C$27)*AD$6/(general!$C$27-general!$C$23+1),0)),0)</f>
        <v>0</v>
      </c>
      <c r="AE57" s="542">
        <f t="shared" si="7"/>
        <v>0</v>
      </c>
      <c r="AF57" s="542">
        <f>+SUMPRODUCT(--($C57=sales!$C$50:$C$54),sales!$D$50:$D$54)</f>
        <v>0</v>
      </c>
      <c r="AG57" s="542">
        <f>IF($C57=general!$C$28,AG$4,IFERROR(($C57&lt;general!$C$23)*((1-AG$4)*AG$5)/(general!$C$23-1),0)+IFERROR(($C57&gt;=general!$C$23)*($C57&lt;=general!$C$27)*((1-AG$4)*AG$6)/(general!$C$27-general!$C$23+1),0))+IF(AND(general!$C$23&lt;=1,$C57&lt;=1),'draws%'!AG$5*(1-AG$4))</f>
        <v>0</v>
      </c>
      <c r="AH57" s="542">
        <f>+IF($C57=general!$C$21,1,0)</f>
        <v>0</v>
      </c>
      <c r="AK57" s="524">
        <f>IF(A57&lt;=general!$D$27,IF(MONTH(A57)=11,1,IF(C57=general!$C$27,1,0)),)</f>
        <v>0</v>
      </c>
      <c r="AL57" s="524">
        <f>IF(AK57=1,COUNTIFS($C$8:$C$128,"&lt;="&amp;general!$C$27&amp;"",'draws%'!$AM$8:$AM$128,"="&amp;AM57&amp;""),0)</f>
        <v>0</v>
      </c>
      <c r="AM57" s="524">
        <f t="shared" si="13"/>
        <v>2030</v>
      </c>
      <c r="AN57" s="524"/>
    </row>
    <row r="58" spans="1:40" ht="14">
      <c r="A58" s="903">
        <f t="shared" si="8"/>
        <v>47787</v>
      </c>
      <c r="C58" s="897">
        <f t="shared" si="9"/>
        <v>50</v>
      </c>
      <c r="D58" s="542"/>
      <c r="E58" s="542">
        <f>IF($C58=$C$2,0,IF(OR($C58=0,$C58&lt;general!$C$23,$C58&gt;$C$2),0,E$2/$C$3+NORMDIST($C58-general!$C$23+1,$C$3/2,E$1,1)-NORMDIST($C57-general!$C$23+1,$C$3/2,E$1,1)))+IF($C58=$C$2,1-SUM(E$8:E57),0)</f>
        <v>0</v>
      </c>
      <c r="F58" s="542">
        <f>IF($C58=$C$2,0,IF(OR($C58=0,$C58&lt;general!$C$23,$C58&gt;$C$2),0,F$2/$C$3+NORMDIST($C58-general!$C$23+1,$C$3/2,F$1,1)-NORMDIST($C57-general!$C$23+1,$C$3/2,F$1,1)))+IF($C58=$C$2,1-SUM(F$8:F57),0)</f>
        <v>0</v>
      </c>
      <c r="G58" s="542">
        <f>IF($C58=$C$2,0,IF(OR($C58=0,$C58&lt;general!$C$23,$C58&gt;$C$2),0,G$2/$C$3+NORMDIST($C58-general!$C$23+1,$C$3/2,G$1,1)-NORMDIST($C57-general!$C$23+1,$C$3/2,G$1,1)))+IF($C58=$C$2,1-SUM(G$8:G57),0)</f>
        <v>0</v>
      </c>
      <c r="H58" s="542">
        <f>IF(C58=$C$2,0,IF(OR(C58=0,C58&lt;1,C58&gt;$C$2),0,$H$2/$C$2+NORMDIST(C58,$C$2/2,$H$1,1)-NORMDIST(C57,$C$2/2,$H$1,1)))+IF(C58=$C$2,1-SUM($H$9:H57),0)</f>
        <v>0</v>
      </c>
      <c r="I58" s="542">
        <f>IF(C58=$C$2,0,IF(OR(C58=0,C58&lt;1,C58&gt;$C$2),0,$I$2/$C$2+NORMDIST(C58,$C$2/2,$I$1,1)-NORMDIST(C57,$C$2/2,$I$1,1)))+IF(C58=$C$2,1-SUM($I$9:I57),0)</f>
        <v>0</v>
      </c>
      <c r="J58" s="542">
        <f>IF(C58=$C$2,0,IF(OR(C58=0,C58&lt;1,C58&gt;$C$2),0,$J$2/$C$2+NORMDIST(C58,$C$2/2,$J$1,1)-NORMDIST(C57,$C$2/2,$J$1,1)))+IF(C58=$C$2,1-SUM($J$9:J57),0)</f>
        <v>0</v>
      </c>
      <c r="K58" s="542">
        <f t="shared" si="14"/>
        <v>0</v>
      </c>
      <c r="L58" s="542">
        <f t="shared" si="11"/>
        <v>0</v>
      </c>
      <c r="M58" s="542">
        <f>IF($C58&gt;$C$2,IF($C58=sales!$F$36,M$4,0),(1-M$4)/$C$2)</f>
        <v>0</v>
      </c>
      <c r="N58" s="542">
        <f>IF(ISEVEN($C$2),IF(C58&gt;$C$2,0,IF(C58&lt;=$C$2/2,C58,C58-1-2*(SUMPRODUCT(--($C$8:C58&gt;$C$2/2))-1))/(($C$2/2)*($C$2/2+1))),0)+IF(ISODD($C$2),IF(C58&gt;$C$2,0,IF(C58-1&lt;=$C$2/2,C58,C58-2*(SUMPRODUCT(--($C$8:C58&gt;$C$2/2))-1))/((INT($C$2/2))*(INT($C$2/2)+1)+ROUNDUP($C$2/2,0))),0)</f>
        <v>0</v>
      </c>
      <c r="O58" s="542"/>
      <c r="P58" s="542">
        <f t="shared" si="12"/>
        <v>0</v>
      </c>
      <c r="Q58" s="542">
        <f>IF($C58=general!$C$28,Q$4,IFERROR(($C58&lt;general!$C$23)*((1-Q$4)*Q$5)/(general!$C$23-1),0)+IFERROR(($C58&gt;=general!$C$23)*($C58&lt;=general!$C$27)*((1-Q$4)*Q$6)/(general!$C$27-general!$C$23+1),0))+IF(AND(general!$C$23&lt;=1,$C58&lt;=1),'draws%'!Q$5*(1-Q$4))</f>
        <v>0</v>
      </c>
      <c r="R58" s="542">
        <f>IF($C58=general!$C$27,R$4,IFERROR(($C58&lt;general!$C$23)*((1-R$4)*R$5)/(general!$C$23-1),0)+IFERROR(($C58&gt;=general!$C$23)*($C58&lt;general!$C$27)*((1-R$4)*R$6)/(general!$C$27-general!$C$23),0))+IF(AND(general!$C$23&lt;=1,$C58&lt;=1),'draws%'!R$5*(1-R$4))</f>
        <v>0</v>
      </c>
      <c r="S58" s="542">
        <f>IF(OR(C58=general!$C$27,C58=general!$C$27-1),50%,0)</f>
        <v>0</v>
      </c>
      <c r="T58" s="542">
        <f>(C58&gt;=general!$C$26-6)*(C58&lt;general!$C$26)*1/6*0.5+(C58=3)*0.25+(C58=9)*0.25</f>
        <v>0</v>
      </c>
      <c r="U58" s="542">
        <f>IF(C58='Development Cash Flow'!$C$6,$U$5,0)+IF(C58=general!$C$27,$U$6,0)</f>
        <v>0</v>
      </c>
      <c r="V58" s="542">
        <f>IF(C58=general!$C$28,1,0)</f>
        <v>0</v>
      </c>
      <c r="W58" s="542">
        <f t="shared" si="15"/>
        <v>0</v>
      </c>
      <c r="X58" s="542">
        <f>IF(C58=general!$C$23,1,0)</f>
        <v>0</v>
      </c>
      <c r="Y58" s="542">
        <f>IFERROR((C58&lt;general!$C$23)*Y$5/(general!$C$23),0)+IFERROR((C58&gt;=general!$C$23)*(C58&lt;=general!$C$27)*Y$6/(general!$C$27-general!$C$23+1),0)</f>
        <v>0</v>
      </c>
      <c r="Z58" s="542">
        <f>IFERROR(($C58&lt;general!$C$23)*Z$5/(general!$C$23),0)+IFERROR(($C58&gt;=general!$C$23)*($C58&lt;=general!$C$27)*Z$6/(general!$C$27-general!$C$23+1),0)*(1-$Z$4)+$Z$4*AF58</f>
        <v>0</v>
      </c>
      <c r="AA58" s="542">
        <f>MAX((IFERROR(($C58&lt;general!$C$23)*AA$5/(general!$C$23),0)+IFERROR(($C58&gt;=general!$C$23)*($C58&lt;=general!$C$27)*AA$6/(general!$C$27-general!$C$23+1),0)),0)</f>
        <v>0</v>
      </c>
      <c r="AB58" s="542">
        <f>MAX((IFERROR(($C58&lt;general!$C$23)*AB$5/(general!$C$23),0)+IFERROR(($C58&gt;=general!$C$23)*($C58&lt;=general!$C$27)*AB$6/(general!$C$27-general!$C$23+1),0)),0)</f>
        <v>0</v>
      </c>
      <c r="AC58" s="542">
        <f>MAX((IFERROR(($C58&lt;general!$C$23)*AC$5/(general!$C$23),0)+IFERROR(($C58&gt;=general!$C$23)*($C58&lt;=general!$C$27)*AC$6/(general!$C$27-general!$C$23+1),0)),0)</f>
        <v>0</v>
      </c>
      <c r="AD58" s="542">
        <f>MAX((IFERROR(($C58&lt;general!$C$23)*AD$5/(general!$C$23),0)+IFERROR(($C58&gt;=general!$C$23)*($C58&lt;=general!$C$27)*AD$6/(general!$C$27-general!$C$23+1),0)),0)</f>
        <v>0</v>
      </c>
      <c r="AE58" s="542">
        <f t="shared" si="7"/>
        <v>0</v>
      </c>
      <c r="AF58" s="542">
        <f>+SUMPRODUCT(--($C58=sales!$C$50:$C$54),sales!$D$50:$D$54)</f>
        <v>0</v>
      </c>
      <c r="AG58" s="542">
        <f>IF($C58=general!$C$28,AG$4,IFERROR(($C58&lt;general!$C$23)*((1-AG$4)*AG$5)/(general!$C$23-1),0)+IFERROR(($C58&gt;=general!$C$23)*($C58&lt;=general!$C$27)*((1-AG$4)*AG$6)/(general!$C$27-general!$C$23+1),0))+IF(AND(general!$C$23&lt;=1,$C58&lt;=1),'draws%'!AG$5*(1-AG$4))</f>
        <v>0</v>
      </c>
      <c r="AH58" s="542">
        <f>+IF($C58=general!$C$21,1,0)</f>
        <v>0</v>
      </c>
      <c r="AK58" s="524">
        <f>IF(A58&lt;=general!$D$27,IF(MONTH(A58)=11,1,IF(C58=general!$C$27,1,0)),)</f>
        <v>0</v>
      </c>
      <c r="AL58" s="524">
        <f>IF(AK58=1,COUNTIFS($C$8:$C$128,"&lt;="&amp;general!$C$27&amp;"",'draws%'!$AM$8:$AM$128,"="&amp;AM58&amp;""),0)</f>
        <v>0</v>
      </c>
      <c r="AM58" s="524">
        <f t="shared" si="13"/>
        <v>2030</v>
      </c>
      <c r="AN58" s="524"/>
    </row>
    <row r="59" spans="1:40" ht="14">
      <c r="A59" s="903">
        <f t="shared" si="8"/>
        <v>47817</v>
      </c>
      <c r="C59" s="897">
        <f t="shared" si="9"/>
        <v>51</v>
      </c>
      <c r="D59" s="542"/>
      <c r="E59" s="542">
        <f>IF($C59=$C$2,0,IF(OR($C59=0,$C59&lt;general!$C$23,$C59&gt;$C$2),0,E$2/$C$3+NORMDIST($C59-general!$C$23+1,$C$3/2,E$1,1)-NORMDIST($C58-general!$C$23+1,$C$3/2,E$1,1)))+IF($C59=$C$2,1-SUM(E$8:E58),0)</f>
        <v>0</v>
      </c>
      <c r="F59" s="542">
        <f>IF($C59=$C$2,0,IF(OR($C59=0,$C59&lt;general!$C$23,$C59&gt;$C$2),0,F$2/$C$3+NORMDIST($C59-general!$C$23+1,$C$3/2,F$1,1)-NORMDIST($C58-general!$C$23+1,$C$3/2,F$1,1)))+IF($C59=$C$2,1-SUM(F$8:F58),0)</f>
        <v>0</v>
      </c>
      <c r="G59" s="542">
        <f>IF($C59=$C$2,0,IF(OR($C59=0,$C59&lt;general!$C$23,$C59&gt;$C$2),0,G$2/$C$3+NORMDIST($C59-general!$C$23+1,$C$3/2,G$1,1)-NORMDIST($C58-general!$C$23+1,$C$3/2,G$1,1)))+IF($C59=$C$2,1-SUM(G$8:G58),0)</f>
        <v>0</v>
      </c>
      <c r="H59" s="542">
        <f>IF(C59=$C$2,0,IF(OR(C59=0,C59&lt;1,C59&gt;$C$2),0,$H$2/$C$2+NORMDIST(C59,$C$2/2,$H$1,1)-NORMDIST(C58,$C$2/2,$H$1,1)))+IF(C59=$C$2,1-SUM($H$9:H58),0)</f>
        <v>0</v>
      </c>
      <c r="I59" s="542">
        <f>IF(C59=$C$2,0,IF(OR(C59=0,C59&lt;1,C59&gt;$C$2),0,$I$2/$C$2+NORMDIST(C59,$C$2/2,$I$1,1)-NORMDIST(C58,$C$2/2,$I$1,1)))+IF(C59=$C$2,1-SUM($I$9:I58),0)</f>
        <v>0</v>
      </c>
      <c r="J59" s="542">
        <f>IF(C59=$C$2,0,IF(OR(C59=0,C59&lt;1,C59&gt;$C$2),0,$J$2/$C$2+NORMDIST(C59,$C$2/2,$J$1,1)-NORMDIST(C58,$C$2/2,$J$1,1)))+IF(C59=$C$2,1-SUM($J$9:J58),0)</f>
        <v>0</v>
      </c>
      <c r="K59" s="542">
        <f t="shared" si="14"/>
        <v>0</v>
      </c>
      <c r="L59" s="542">
        <f t="shared" si="11"/>
        <v>0</v>
      </c>
      <c r="M59" s="542">
        <f>IF($C59&gt;$C$2,IF($C59=sales!$F$36,M$4,0),(1-M$4)/$C$2)</f>
        <v>0</v>
      </c>
      <c r="N59" s="542">
        <f>IF(ISEVEN($C$2),IF(C59&gt;$C$2,0,IF(C59&lt;=$C$2/2,C59,C59-1-2*(SUMPRODUCT(--($C$8:C59&gt;$C$2/2))-1))/(($C$2/2)*($C$2/2+1))),0)+IF(ISODD($C$2),IF(C59&gt;$C$2,0,IF(C59-1&lt;=$C$2/2,C59,C59-2*(SUMPRODUCT(--($C$8:C59&gt;$C$2/2))-1))/((INT($C$2/2))*(INT($C$2/2)+1)+ROUNDUP($C$2/2,0))),0)</f>
        <v>0</v>
      </c>
      <c r="O59" s="542"/>
      <c r="P59" s="542">
        <f t="shared" si="12"/>
        <v>0</v>
      </c>
      <c r="Q59" s="542">
        <f>IF($C59=general!$C$28,Q$4,IFERROR(($C59&lt;general!$C$23)*((1-Q$4)*Q$5)/(general!$C$23-1),0)+IFERROR(($C59&gt;=general!$C$23)*($C59&lt;=general!$C$27)*((1-Q$4)*Q$6)/(general!$C$27-general!$C$23+1),0))+IF(AND(general!$C$23&lt;=1,$C59&lt;=1),'draws%'!Q$5*(1-Q$4))</f>
        <v>0</v>
      </c>
      <c r="R59" s="542">
        <f>IF($C59=general!$C$27,R$4,IFERROR(($C59&lt;general!$C$23)*((1-R$4)*R$5)/(general!$C$23-1),0)+IFERROR(($C59&gt;=general!$C$23)*($C59&lt;general!$C$27)*((1-R$4)*R$6)/(general!$C$27-general!$C$23),0))+IF(AND(general!$C$23&lt;=1,$C59&lt;=1),'draws%'!R$5*(1-R$4))</f>
        <v>0</v>
      </c>
      <c r="S59" s="542">
        <f>IF(OR(C59=general!$C$27,C59=general!$C$27-1),50%,0)</f>
        <v>0</v>
      </c>
      <c r="T59" s="542">
        <f>(C59&gt;=general!$C$26-6)*(C59&lt;general!$C$26)*1/6*0.5+(C59=3)*0.25+(C59=9)*0.25</f>
        <v>0</v>
      </c>
      <c r="U59" s="542">
        <f>IF(C59='Development Cash Flow'!$C$6,$U$5,0)+IF(C59=general!$C$27,$U$6,0)</f>
        <v>0</v>
      </c>
      <c r="V59" s="542">
        <f>IF(C59=general!$C$28,1,0)</f>
        <v>0</v>
      </c>
      <c r="W59" s="542">
        <f t="shared" si="15"/>
        <v>0</v>
      </c>
      <c r="X59" s="542">
        <f>IF(C59=general!$C$23,1,0)</f>
        <v>0</v>
      </c>
      <c r="Y59" s="542">
        <f>IFERROR((C59&lt;general!$C$23)*Y$5/(general!$C$23),0)+IFERROR((C59&gt;=general!$C$23)*(C59&lt;=general!$C$27)*Y$6/(general!$C$27-general!$C$23+1),0)</f>
        <v>0</v>
      </c>
      <c r="Z59" s="542">
        <f>IFERROR(($C59&lt;general!$C$23)*Z$5/(general!$C$23),0)+IFERROR(($C59&gt;=general!$C$23)*($C59&lt;=general!$C$27)*Z$6/(general!$C$27-general!$C$23+1),0)*(1-$Z$4)+$Z$4*AF59</f>
        <v>0</v>
      </c>
      <c r="AA59" s="542">
        <f>MAX((IFERROR(($C59&lt;general!$C$23)*AA$5/(general!$C$23),0)+IFERROR(($C59&gt;=general!$C$23)*($C59&lt;=general!$C$27)*AA$6/(general!$C$27-general!$C$23+1),0)),0)</f>
        <v>0</v>
      </c>
      <c r="AB59" s="542">
        <f>MAX((IFERROR(($C59&lt;general!$C$23)*AB$5/(general!$C$23),0)+IFERROR(($C59&gt;=general!$C$23)*($C59&lt;=general!$C$27)*AB$6/(general!$C$27-general!$C$23+1),0)),0)</f>
        <v>0</v>
      </c>
      <c r="AC59" s="542">
        <f>MAX((IFERROR(($C59&lt;general!$C$23)*AC$5/(general!$C$23),0)+IFERROR(($C59&gt;=general!$C$23)*($C59&lt;=general!$C$27)*AC$6/(general!$C$27-general!$C$23+1),0)),0)</f>
        <v>0</v>
      </c>
      <c r="AD59" s="542">
        <f>MAX((IFERROR(($C59&lt;general!$C$23)*AD$5/(general!$C$23),0)+IFERROR(($C59&gt;=general!$C$23)*($C59&lt;=general!$C$27)*AD$6/(general!$C$27-general!$C$23+1),0)),0)</f>
        <v>0</v>
      </c>
      <c r="AE59" s="542">
        <f t="shared" si="7"/>
        <v>0</v>
      </c>
      <c r="AF59" s="542">
        <f>+SUMPRODUCT(--($C59=sales!$C$50:$C$54),sales!$D$50:$D$54)</f>
        <v>0</v>
      </c>
      <c r="AG59" s="542">
        <f>IF($C59=general!$C$28,AG$4,IFERROR(($C59&lt;general!$C$23)*((1-AG$4)*AG$5)/(general!$C$23-1),0)+IFERROR(($C59&gt;=general!$C$23)*($C59&lt;=general!$C$27)*((1-AG$4)*AG$6)/(general!$C$27-general!$C$23+1),0))+IF(AND(general!$C$23&lt;=1,$C59&lt;=1),'draws%'!AG$5*(1-AG$4))</f>
        <v>0</v>
      </c>
      <c r="AH59" s="542">
        <f>+IF($C59=general!$C$21,1,0)</f>
        <v>0</v>
      </c>
      <c r="AK59" s="524">
        <f>IF(A59&lt;=general!$D$27,IF(MONTH(A59)=11,1,IF(C59=general!$C$27,1,0)),)</f>
        <v>0</v>
      </c>
      <c r="AL59" s="524">
        <f>IF(AK59=1,COUNTIFS($C$8:$C$128,"&lt;="&amp;general!$C$27&amp;"",'draws%'!$AM$8:$AM$128,"="&amp;AM59&amp;""),0)</f>
        <v>0</v>
      </c>
      <c r="AM59" s="524">
        <f t="shared" si="13"/>
        <v>2030</v>
      </c>
      <c r="AN59" s="524"/>
    </row>
    <row r="60" spans="1:40" ht="14">
      <c r="A60" s="903">
        <f t="shared" si="8"/>
        <v>47848</v>
      </c>
      <c r="C60" s="897">
        <f t="shared" si="9"/>
        <v>52</v>
      </c>
      <c r="D60" s="542"/>
      <c r="E60" s="542">
        <f>IF($C60=$C$2,0,IF(OR($C60=0,$C60&lt;general!$C$23,$C60&gt;$C$2),0,E$2/$C$3+NORMDIST($C60-general!$C$23+1,$C$3/2,E$1,1)-NORMDIST($C59-general!$C$23+1,$C$3/2,E$1,1)))+IF($C60=$C$2,1-SUM(E$8:E59),0)</f>
        <v>0</v>
      </c>
      <c r="F60" s="542">
        <f>IF($C60=$C$2,0,IF(OR($C60=0,$C60&lt;general!$C$23,$C60&gt;$C$2),0,F$2/$C$3+NORMDIST($C60-general!$C$23+1,$C$3/2,F$1,1)-NORMDIST($C59-general!$C$23+1,$C$3/2,F$1,1)))+IF($C60=$C$2,1-SUM(F$8:F59),0)</f>
        <v>0</v>
      </c>
      <c r="G60" s="542">
        <f>IF($C60=$C$2,0,IF(OR($C60=0,$C60&lt;general!$C$23,$C60&gt;$C$2),0,G$2/$C$3+NORMDIST($C60-general!$C$23+1,$C$3/2,G$1,1)-NORMDIST($C59-general!$C$23+1,$C$3/2,G$1,1)))+IF($C60=$C$2,1-SUM(G$8:G59),0)</f>
        <v>0</v>
      </c>
      <c r="H60" s="542">
        <f>IF(C60=$C$2,0,IF(OR(C60=0,C60&lt;1,C60&gt;$C$2),0,$H$2/$C$2+NORMDIST(C60,$C$2/2,$H$1,1)-NORMDIST(C59,$C$2/2,$H$1,1)))+IF(C60=$C$2,1-SUM($H$9:H59),0)</f>
        <v>0</v>
      </c>
      <c r="I60" s="542">
        <f>IF(C60=$C$2,0,IF(OR(C60=0,C60&lt;1,C60&gt;$C$2),0,$I$2/$C$2+NORMDIST(C60,$C$2/2,$I$1,1)-NORMDIST(C59,$C$2/2,$I$1,1)))+IF(C60=$C$2,1-SUM($I$9:I59),0)</f>
        <v>0</v>
      </c>
      <c r="J60" s="542">
        <f>IF(C60=$C$2,0,IF(OR(C60=0,C60&lt;1,C60&gt;$C$2),0,$J$2/$C$2+NORMDIST(C60,$C$2/2,$J$1,1)-NORMDIST(C59,$C$2/2,$J$1,1)))+IF(C60=$C$2,1-SUM($J$9:J59),0)</f>
        <v>0</v>
      </c>
      <c r="K60" s="542">
        <f t="shared" si="14"/>
        <v>0</v>
      </c>
      <c r="L60" s="542">
        <f t="shared" si="11"/>
        <v>0</v>
      </c>
      <c r="M60" s="542">
        <f>IF($C60&gt;$C$2,IF($C60=sales!$F$36,M$4,0),(1-M$4)/$C$2)</f>
        <v>0</v>
      </c>
      <c r="N60" s="542">
        <f>IF(ISEVEN($C$2),IF(C60&gt;$C$2,0,IF(C60&lt;=$C$2/2,C60,C60-1-2*(SUMPRODUCT(--($C$8:C60&gt;$C$2/2))-1))/(($C$2/2)*($C$2/2+1))),0)+IF(ISODD($C$2),IF(C60&gt;$C$2,0,IF(C60-1&lt;=$C$2/2,C60,C60-2*(SUMPRODUCT(--($C$8:C60&gt;$C$2/2))-1))/((INT($C$2/2))*(INT($C$2/2)+1)+ROUNDUP($C$2/2,0))),0)</f>
        <v>0</v>
      </c>
      <c r="O60" s="542"/>
      <c r="P60" s="542">
        <f t="shared" si="12"/>
        <v>0</v>
      </c>
      <c r="Q60" s="542">
        <f>IF($C60=general!$C$28,Q$4,IFERROR(($C60&lt;general!$C$23)*((1-Q$4)*Q$5)/(general!$C$23-1),0)+IFERROR(($C60&gt;=general!$C$23)*($C60&lt;=general!$C$27)*((1-Q$4)*Q$6)/(general!$C$27-general!$C$23+1),0))+IF(AND(general!$C$23&lt;=1,$C60&lt;=1),'draws%'!Q$5*(1-Q$4))</f>
        <v>0</v>
      </c>
      <c r="R60" s="542">
        <f>IF($C60=general!$C$27,R$4,IFERROR(($C60&lt;general!$C$23)*((1-R$4)*R$5)/(general!$C$23-1),0)+IFERROR(($C60&gt;=general!$C$23)*($C60&lt;general!$C$27)*((1-R$4)*R$6)/(general!$C$27-general!$C$23),0))+IF(AND(general!$C$23&lt;=1,$C60&lt;=1),'draws%'!R$5*(1-R$4))</f>
        <v>0</v>
      </c>
      <c r="S60" s="542">
        <f>IF(OR(C60=general!$C$27,C60=general!$C$27-1),50%,0)</f>
        <v>0</v>
      </c>
      <c r="T60" s="542">
        <f>(C60&gt;=general!$C$26-6)*(C60&lt;general!$C$26)*1/6*0.5+(C60=3)*0.25+(C60=9)*0.25</f>
        <v>0</v>
      </c>
      <c r="U60" s="542">
        <f>IF(C60='Development Cash Flow'!$C$6,$U$5,0)+IF(C60=general!$C$27,$U$6,0)</f>
        <v>0</v>
      </c>
      <c r="V60" s="542">
        <f>IF(C60=general!$C$28,1,0)</f>
        <v>0</v>
      </c>
      <c r="W60" s="542">
        <f t="shared" si="15"/>
        <v>0</v>
      </c>
      <c r="X60" s="542">
        <f>IF(C60=general!$C$23,1,0)</f>
        <v>0</v>
      </c>
      <c r="Y60" s="542">
        <f>IFERROR((C60&lt;general!$C$23)*Y$5/(general!$C$23),0)+IFERROR((C60&gt;=general!$C$23)*(C60&lt;=general!$C$27)*Y$6/(general!$C$27-general!$C$23+1),0)</f>
        <v>0</v>
      </c>
      <c r="Z60" s="542">
        <f>IFERROR(($C60&lt;general!$C$23)*Z$5/(general!$C$23),0)+IFERROR(($C60&gt;=general!$C$23)*($C60&lt;=general!$C$27)*Z$6/(general!$C$27-general!$C$23+1),0)*(1-$Z$4)+$Z$4*AF60</f>
        <v>0</v>
      </c>
      <c r="AA60" s="542">
        <f>MAX((IFERROR(($C60&lt;general!$C$23)*AA$5/(general!$C$23),0)+IFERROR(($C60&gt;=general!$C$23)*($C60&lt;=general!$C$27)*AA$6/(general!$C$27-general!$C$23+1),0)),0)</f>
        <v>0</v>
      </c>
      <c r="AB60" s="542">
        <f>MAX((IFERROR(($C60&lt;general!$C$23)*AB$5/(general!$C$23),0)+IFERROR(($C60&gt;=general!$C$23)*($C60&lt;=general!$C$27)*AB$6/(general!$C$27-general!$C$23+1),0)),0)</f>
        <v>0</v>
      </c>
      <c r="AC60" s="542">
        <f>MAX((IFERROR(($C60&lt;general!$C$23)*AC$5/(general!$C$23),0)+IFERROR(($C60&gt;=general!$C$23)*($C60&lt;=general!$C$27)*AC$6/(general!$C$27-general!$C$23+1),0)),0)</f>
        <v>0</v>
      </c>
      <c r="AD60" s="542">
        <f>MAX((IFERROR(($C60&lt;general!$C$23)*AD$5/(general!$C$23),0)+IFERROR(($C60&gt;=general!$C$23)*($C60&lt;=general!$C$27)*AD$6/(general!$C$27-general!$C$23+1),0)),0)</f>
        <v>0</v>
      </c>
      <c r="AE60" s="542">
        <f t="shared" si="7"/>
        <v>0</v>
      </c>
      <c r="AF60" s="542">
        <f>+SUMPRODUCT(--($C60=sales!$C$50:$C$54),sales!$D$50:$D$54)</f>
        <v>0</v>
      </c>
      <c r="AG60" s="542">
        <f>IF($C60=general!$C$28,AG$4,IFERROR(($C60&lt;general!$C$23)*((1-AG$4)*AG$5)/(general!$C$23-1),0)+IFERROR(($C60&gt;=general!$C$23)*($C60&lt;=general!$C$27)*((1-AG$4)*AG$6)/(general!$C$27-general!$C$23+1),0))+IF(AND(general!$C$23&lt;=1,$C60&lt;=1),'draws%'!AG$5*(1-AG$4))</f>
        <v>0</v>
      </c>
      <c r="AH60" s="542">
        <f>+IF($C60=general!$C$21,1,0)</f>
        <v>0</v>
      </c>
      <c r="AK60" s="524">
        <f>IF(A60&lt;=general!$D$27,IF(MONTH(A60)=11,1,IF(C60=general!$C$27,1,0)),)</f>
        <v>0</v>
      </c>
      <c r="AL60" s="524">
        <f>IF(AK60=1,COUNTIFS($C$8:$C$128,"&lt;="&amp;general!$C$27&amp;"",'draws%'!$AM$8:$AM$128,"="&amp;AM60&amp;""),0)</f>
        <v>0</v>
      </c>
      <c r="AM60" s="524">
        <f t="shared" si="13"/>
        <v>2030</v>
      </c>
      <c r="AN60" s="524"/>
    </row>
    <row r="61" spans="1:40" ht="14">
      <c r="A61" s="903">
        <f t="shared" si="8"/>
        <v>47879</v>
      </c>
      <c r="C61" s="897">
        <f t="shared" si="9"/>
        <v>53</v>
      </c>
      <c r="D61" s="542"/>
      <c r="E61" s="542">
        <f>IF($C61=$C$2,0,IF(OR($C61=0,$C61&lt;general!$C$23,$C61&gt;$C$2),0,E$2/$C$3+NORMDIST($C61-general!$C$23+1,$C$3/2,E$1,1)-NORMDIST($C60-general!$C$23+1,$C$3/2,E$1,1)))+IF($C61=$C$2,1-SUM(E$8:E60),0)</f>
        <v>0</v>
      </c>
      <c r="F61" s="542">
        <f>IF($C61=$C$2,0,IF(OR($C61=0,$C61&lt;general!$C$23,$C61&gt;$C$2),0,F$2/$C$3+NORMDIST($C61-general!$C$23+1,$C$3/2,F$1,1)-NORMDIST($C60-general!$C$23+1,$C$3/2,F$1,1)))+IF($C61=$C$2,1-SUM(F$8:F60),0)</f>
        <v>0</v>
      </c>
      <c r="G61" s="542">
        <f>IF($C61=$C$2,0,IF(OR($C61=0,$C61&lt;general!$C$23,$C61&gt;$C$2),0,G$2/$C$3+NORMDIST($C61-general!$C$23+1,$C$3/2,G$1,1)-NORMDIST($C60-general!$C$23+1,$C$3/2,G$1,1)))+IF($C61=$C$2,1-SUM(G$8:G60),0)</f>
        <v>0</v>
      </c>
      <c r="H61" s="542">
        <f>IF(C61=$C$2,0,IF(OR(C61=0,C61&lt;1,C61&gt;$C$2),0,$H$2/$C$2+NORMDIST(C61,$C$2/2,$H$1,1)-NORMDIST(C60,$C$2/2,$H$1,1)))+IF(C61=$C$2,1-SUM($H$9:H60),0)</f>
        <v>0</v>
      </c>
      <c r="I61" s="542">
        <f>IF(C61=$C$2,0,IF(OR(C61=0,C61&lt;1,C61&gt;$C$2),0,$I$2/$C$2+NORMDIST(C61,$C$2/2,$I$1,1)-NORMDIST(C60,$C$2/2,$I$1,1)))+IF(C61=$C$2,1-SUM($I$9:I60),0)</f>
        <v>0</v>
      </c>
      <c r="J61" s="542">
        <f>IF(C61=$C$2,0,IF(OR(C61=0,C61&lt;1,C61&gt;$C$2),0,$J$2/$C$2+NORMDIST(C61,$C$2/2,$J$1,1)-NORMDIST(C60,$C$2/2,$J$1,1)))+IF(C61=$C$2,1-SUM($J$9:J60),0)</f>
        <v>0</v>
      </c>
      <c r="K61" s="542">
        <f t="shared" si="14"/>
        <v>0</v>
      </c>
      <c r="L61" s="542">
        <f t="shared" si="11"/>
        <v>0</v>
      </c>
      <c r="M61" s="542">
        <f>IF($C61&gt;$C$2,IF($C61=sales!$F$36,M$4,0),(1-M$4)/$C$2)</f>
        <v>0</v>
      </c>
      <c r="N61" s="542">
        <f>IF(ISEVEN($C$2),IF(C61&gt;$C$2,0,IF(C61&lt;=$C$2/2,C61,C61-1-2*(SUMPRODUCT(--($C$8:C61&gt;$C$2/2))-1))/(($C$2/2)*($C$2/2+1))),0)+IF(ISODD($C$2),IF(C61&gt;$C$2,0,IF(C61-1&lt;=$C$2/2,C61,C61-2*(SUMPRODUCT(--($C$8:C61&gt;$C$2/2))-1))/((INT($C$2/2))*(INT($C$2/2)+1)+ROUNDUP($C$2/2,0))),0)</f>
        <v>0</v>
      </c>
      <c r="O61" s="542"/>
      <c r="P61" s="542">
        <f t="shared" si="12"/>
        <v>0</v>
      </c>
      <c r="Q61" s="542">
        <f>IF($C61=general!$C$28,Q$4,IFERROR(($C61&lt;general!$C$23)*((1-Q$4)*Q$5)/(general!$C$23-1),0)+IFERROR(($C61&gt;=general!$C$23)*($C61&lt;=general!$C$27)*((1-Q$4)*Q$6)/(general!$C$27-general!$C$23+1),0))+IF(AND(general!$C$23&lt;=1,$C61&lt;=1),'draws%'!Q$5*(1-Q$4))</f>
        <v>0</v>
      </c>
      <c r="R61" s="542">
        <f>IF($C61=general!$C$27,R$4,IFERROR(($C61&lt;general!$C$23)*((1-R$4)*R$5)/(general!$C$23-1),0)+IFERROR(($C61&gt;=general!$C$23)*($C61&lt;general!$C$27)*((1-R$4)*R$6)/(general!$C$27-general!$C$23),0))+IF(AND(general!$C$23&lt;=1,$C61&lt;=1),'draws%'!R$5*(1-R$4))</f>
        <v>0</v>
      </c>
      <c r="S61" s="542">
        <f>IF(OR(C61=general!$C$27,C61=general!$C$27-1),50%,0)</f>
        <v>0</v>
      </c>
      <c r="T61" s="542">
        <f>(C61&gt;=general!$C$26-6)*(C61&lt;general!$C$26)*1/6*0.5+(C61=3)*0.25+(C61=9)*0.25</f>
        <v>0</v>
      </c>
      <c r="U61" s="542">
        <f>IF(C61='Development Cash Flow'!$C$6,$U$5,0)+IF(C61=general!$C$27,$U$6,0)</f>
        <v>0</v>
      </c>
      <c r="V61" s="542">
        <f>IF(C61=general!$C$28,1,0)</f>
        <v>0</v>
      </c>
      <c r="W61" s="542">
        <f t="shared" si="15"/>
        <v>0</v>
      </c>
      <c r="X61" s="542">
        <f>IF(C61=general!$C$23,1,0)</f>
        <v>0</v>
      </c>
      <c r="Y61" s="542">
        <f>IFERROR((C61&lt;general!$C$23)*Y$5/(general!$C$23),0)+IFERROR((C61&gt;=general!$C$23)*(C61&lt;=general!$C$27)*Y$6/(general!$C$27-general!$C$23+1),0)</f>
        <v>0</v>
      </c>
      <c r="Z61" s="542">
        <f>IFERROR(($C61&lt;general!$C$23)*Z$5/(general!$C$23),0)+IFERROR(($C61&gt;=general!$C$23)*($C61&lt;=general!$C$27)*Z$6/(general!$C$27-general!$C$23+1),0)*(1-$Z$4)+$Z$4*AF61</f>
        <v>0</v>
      </c>
      <c r="AA61" s="542">
        <f>MAX((IFERROR(($C61&lt;general!$C$23)*AA$5/(general!$C$23),0)+IFERROR(($C61&gt;=general!$C$23)*($C61&lt;=general!$C$27)*AA$6/(general!$C$27-general!$C$23+1),0)),0)</f>
        <v>0</v>
      </c>
      <c r="AB61" s="542">
        <f>MAX((IFERROR(($C61&lt;general!$C$23)*AB$5/(general!$C$23),0)+IFERROR(($C61&gt;=general!$C$23)*($C61&lt;=general!$C$27)*AB$6/(general!$C$27-general!$C$23+1),0)),0)</f>
        <v>0</v>
      </c>
      <c r="AC61" s="542">
        <f>MAX((IFERROR(($C61&lt;general!$C$23)*AC$5/(general!$C$23),0)+IFERROR(($C61&gt;=general!$C$23)*($C61&lt;=general!$C$27)*AC$6/(general!$C$27-general!$C$23+1),0)),0)</f>
        <v>0</v>
      </c>
      <c r="AD61" s="542">
        <f>MAX((IFERROR(($C61&lt;general!$C$23)*AD$5/(general!$C$23),0)+IFERROR(($C61&gt;=general!$C$23)*($C61&lt;=general!$C$27)*AD$6/(general!$C$27-general!$C$23+1),0)),0)</f>
        <v>0</v>
      </c>
      <c r="AE61" s="542">
        <f t="shared" si="7"/>
        <v>0</v>
      </c>
      <c r="AF61" s="542">
        <f>+SUMPRODUCT(--($C61=sales!$C$50:$C$54),sales!$D$50:$D$54)</f>
        <v>0</v>
      </c>
      <c r="AG61" s="542">
        <f>IF($C61=general!$C$28,AG$4,IFERROR(($C61&lt;general!$C$23)*((1-AG$4)*AG$5)/(general!$C$23-1),0)+IFERROR(($C61&gt;=general!$C$23)*($C61&lt;=general!$C$27)*((1-AG$4)*AG$6)/(general!$C$27-general!$C$23+1),0))+IF(AND(general!$C$23&lt;=1,$C61&lt;=1),'draws%'!AG$5*(1-AG$4))</f>
        <v>0</v>
      </c>
      <c r="AH61" s="542">
        <f>+IF($C61=general!$C$21,1,0)</f>
        <v>0</v>
      </c>
      <c r="AK61" s="524">
        <f>IF(A61&lt;=general!$D$27,IF(MONTH(A61)=11,1,IF(C61=general!$C$27,1,0)),)</f>
        <v>0</v>
      </c>
      <c r="AL61" s="524">
        <f>IF(AK61=1,COUNTIFS($C$8:$C$128,"&lt;="&amp;general!$C$27&amp;"",'draws%'!$AM$8:$AM$128,"="&amp;AM61&amp;""),0)</f>
        <v>0</v>
      </c>
      <c r="AM61" s="524">
        <f t="shared" si="13"/>
        <v>2031</v>
      </c>
      <c r="AN61" s="524"/>
    </row>
    <row r="62" spans="1:40" ht="14">
      <c r="A62" s="903">
        <f t="shared" si="8"/>
        <v>47907</v>
      </c>
      <c r="C62" s="897">
        <f t="shared" si="9"/>
        <v>54</v>
      </c>
      <c r="D62" s="542"/>
      <c r="E62" s="542">
        <f>IF($C62=$C$2,0,IF(OR($C62=0,$C62&lt;general!$C$23,$C62&gt;$C$2),0,E$2/$C$3+NORMDIST($C62-general!$C$23+1,$C$3/2,E$1,1)-NORMDIST($C61-general!$C$23+1,$C$3/2,E$1,1)))+IF($C62=$C$2,1-SUM(E$8:E61),0)</f>
        <v>0</v>
      </c>
      <c r="F62" s="542">
        <f>IF($C62=$C$2,0,IF(OR($C62=0,$C62&lt;general!$C$23,$C62&gt;$C$2),0,F$2/$C$3+NORMDIST($C62-general!$C$23+1,$C$3/2,F$1,1)-NORMDIST($C61-general!$C$23+1,$C$3/2,F$1,1)))+IF($C62=$C$2,1-SUM(F$8:F61),0)</f>
        <v>0</v>
      </c>
      <c r="G62" s="542">
        <f>IF($C62=$C$2,0,IF(OR($C62=0,$C62&lt;general!$C$23,$C62&gt;$C$2),0,G$2/$C$3+NORMDIST($C62-general!$C$23+1,$C$3/2,G$1,1)-NORMDIST($C61-general!$C$23+1,$C$3/2,G$1,1)))+IF($C62=$C$2,1-SUM(G$8:G61),0)</f>
        <v>0</v>
      </c>
      <c r="H62" s="542">
        <f>IF(C62=$C$2,0,IF(OR(C62=0,C62&lt;1,C62&gt;$C$2),0,$H$2/$C$2+NORMDIST(C62,$C$2/2,$H$1,1)-NORMDIST(C61,$C$2/2,$H$1,1)))+IF(C62=$C$2,1-SUM($H$9:H61),0)</f>
        <v>0</v>
      </c>
      <c r="I62" s="542">
        <f>IF(C62=$C$2,0,IF(OR(C62=0,C62&lt;1,C62&gt;$C$2),0,$I$2/$C$2+NORMDIST(C62,$C$2/2,$I$1,1)-NORMDIST(C61,$C$2/2,$I$1,1)))+IF(C62=$C$2,1-SUM($I$9:I61),0)</f>
        <v>0</v>
      </c>
      <c r="J62" s="542">
        <f>IF(C62=$C$2,0,IF(OR(C62=0,C62&lt;1,C62&gt;$C$2),0,$J$2/$C$2+NORMDIST(C62,$C$2/2,$J$1,1)-NORMDIST(C61,$C$2/2,$J$1,1)))+IF(C62=$C$2,1-SUM($J$9:J61),0)</f>
        <v>0</v>
      </c>
      <c r="K62" s="542">
        <f t="shared" si="14"/>
        <v>0</v>
      </c>
      <c r="L62" s="542">
        <f t="shared" si="11"/>
        <v>0</v>
      </c>
      <c r="M62" s="542">
        <f>IF($C62&gt;$C$2,IF($C62=sales!$F$36,M$4,0),(1-M$4)/$C$2)</f>
        <v>0</v>
      </c>
      <c r="N62" s="542">
        <f>IF(ISEVEN($C$2),IF(C62&gt;$C$2,0,IF(C62&lt;=$C$2/2,C62,C62-1-2*(SUMPRODUCT(--($C$8:C62&gt;$C$2/2))-1))/(($C$2/2)*($C$2/2+1))),0)+IF(ISODD($C$2),IF(C62&gt;$C$2,0,IF(C62-1&lt;=$C$2/2,C62,C62-2*(SUMPRODUCT(--($C$8:C62&gt;$C$2/2))-1))/((INT($C$2/2))*(INT($C$2/2)+1)+ROUNDUP($C$2/2,0))),0)</f>
        <v>0</v>
      </c>
      <c r="O62" s="542"/>
      <c r="P62" s="542">
        <f t="shared" si="12"/>
        <v>0</v>
      </c>
      <c r="Q62" s="542">
        <f>IF($C62=general!$C$28,Q$4,IFERROR(($C62&lt;general!$C$23)*((1-Q$4)*Q$5)/(general!$C$23-1),0)+IFERROR(($C62&gt;=general!$C$23)*($C62&lt;=general!$C$27)*((1-Q$4)*Q$6)/(general!$C$27-general!$C$23+1),0))+IF(AND(general!$C$23&lt;=1,$C62&lt;=1),'draws%'!Q$5*(1-Q$4))</f>
        <v>0</v>
      </c>
      <c r="R62" s="542">
        <f>IF($C62=general!$C$27,R$4,IFERROR(($C62&lt;general!$C$23)*((1-R$4)*R$5)/(general!$C$23-1),0)+IFERROR(($C62&gt;=general!$C$23)*($C62&lt;general!$C$27)*((1-R$4)*R$6)/(general!$C$27-general!$C$23),0))+IF(AND(general!$C$23&lt;=1,$C62&lt;=1),'draws%'!R$5*(1-R$4))</f>
        <v>0</v>
      </c>
      <c r="S62" s="542">
        <f>IF(OR(C62=general!$C$27,C62=general!$C$27-1),50%,0)</f>
        <v>0</v>
      </c>
      <c r="T62" s="542">
        <f>(C62&gt;=general!$C$26-6)*(C62&lt;general!$C$26)*1/6*0.5+(C62=3)*0.25+(C62=9)*0.25</f>
        <v>0</v>
      </c>
      <c r="U62" s="542">
        <f>IF(C62='Development Cash Flow'!$C$6,$U$5,0)+IF(C62=general!$C$27,$U$6,0)</f>
        <v>0</v>
      </c>
      <c r="V62" s="542">
        <f>IF(C62=general!$C$28,1,0)</f>
        <v>0</v>
      </c>
      <c r="W62" s="542">
        <f t="shared" si="15"/>
        <v>0</v>
      </c>
      <c r="X62" s="542">
        <f>IF(C62=general!$C$23,1,0)</f>
        <v>0</v>
      </c>
      <c r="Y62" s="542">
        <f>IFERROR((C62&lt;general!$C$23)*Y$5/(general!$C$23),0)+IFERROR((C62&gt;=general!$C$23)*(C62&lt;=general!$C$27)*Y$6/(general!$C$27-general!$C$23+1),0)</f>
        <v>0</v>
      </c>
      <c r="Z62" s="542">
        <f>IFERROR(($C62&lt;general!$C$23)*Z$5/(general!$C$23),0)+IFERROR(($C62&gt;=general!$C$23)*($C62&lt;=general!$C$27)*Z$6/(general!$C$27-general!$C$23+1),0)*(1-$Z$4)+$Z$4*AF62</f>
        <v>0</v>
      </c>
      <c r="AA62" s="542">
        <f>MAX((IFERROR(($C62&lt;general!$C$23)*AA$5/(general!$C$23),0)+IFERROR(($C62&gt;=general!$C$23)*($C62&lt;=general!$C$27)*AA$6/(general!$C$27-general!$C$23+1),0)),0)</f>
        <v>0</v>
      </c>
      <c r="AB62" s="542">
        <f>MAX((IFERROR(($C62&lt;general!$C$23)*AB$5/(general!$C$23),0)+IFERROR(($C62&gt;=general!$C$23)*($C62&lt;=general!$C$27)*AB$6/(general!$C$27-general!$C$23+1),0)),0)</f>
        <v>0</v>
      </c>
      <c r="AC62" s="542">
        <f>MAX((IFERROR(($C62&lt;general!$C$23)*AC$5/(general!$C$23),0)+IFERROR(($C62&gt;=general!$C$23)*($C62&lt;=general!$C$27)*AC$6/(general!$C$27-general!$C$23+1),0)),0)</f>
        <v>0</v>
      </c>
      <c r="AD62" s="542">
        <f>MAX((IFERROR(($C62&lt;general!$C$23)*AD$5/(general!$C$23),0)+IFERROR(($C62&gt;=general!$C$23)*($C62&lt;=general!$C$27)*AD$6/(general!$C$27-general!$C$23+1),0)),0)</f>
        <v>0</v>
      </c>
      <c r="AE62" s="542">
        <f t="shared" si="7"/>
        <v>0</v>
      </c>
      <c r="AF62" s="542">
        <f>+SUMPRODUCT(--($C62=sales!$C$50:$C$54),sales!$D$50:$D$54)</f>
        <v>0</v>
      </c>
      <c r="AG62" s="542">
        <f>IF($C62=general!$C$28,AG$4,IFERROR(($C62&lt;general!$C$23)*((1-AG$4)*AG$5)/(general!$C$23-1),0)+IFERROR(($C62&gt;=general!$C$23)*($C62&lt;=general!$C$27)*((1-AG$4)*AG$6)/(general!$C$27-general!$C$23+1),0))+IF(AND(general!$C$23&lt;=1,$C62&lt;=1),'draws%'!AG$5*(1-AG$4))</f>
        <v>0</v>
      </c>
      <c r="AH62" s="542">
        <f>+IF($C62=general!$C$21,1,0)</f>
        <v>0</v>
      </c>
      <c r="AK62" s="524">
        <f>IF(A62&lt;=general!$D$27,IF(MONTH(A62)=11,1,IF(C62=general!$C$27,1,0)),)</f>
        <v>0</v>
      </c>
      <c r="AL62" s="524">
        <f>IF(AK62=1,COUNTIFS($C$8:$C$128,"&lt;="&amp;general!$C$27&amp;"",'draws%'!$AM$8:$AM$128,"="&amp;AM62&amp;""),0)</f>
        <v>0</v>
      </c>
      <c r="AM62" s="524">
        <f t="shared" si="13"/>
        <v>2031</v>
      </c>
      <c r="AN62" s="524"/>
    </row>
    <row r="63" spans="1:40" ht="14">
      <c r="A63" s="903">
        <f t="shared" si="8"/>
        <v>47938</v>
      </c>
      <c r="C63" s="897">
        <f t="shared" si="9"/>
        <v>55</v>
      </c>
      <c r="D63" s="542"/>
      <c r="E63" s="542">
        <f>IF($C63=$C$2,0,IF(OR($C63=0,$C63&lt;general!$C$23,$C63&gt;$C$2),0,E$2/$C$3+NORMDIST($C63-general!$C$23+1,$C$3/2,E$1,1)-NORMDIST($C62-general!$C$23+1,$C$3/2,E$1,1)))+IF($C63=$C$2,1-SUM(E$8:E62),0)</f>
        <v>0</v>
      </c>
      <c r="F63" s="542">
        <f>IF($C63=$C$2,0,IF(OR($C63=0,$C63&lt;general!$C$23,$C63&gt;$C$2),0,F$2/$C$3+NORMDIST($C63-general!$C$23+1,$C$3/2,F$1,1)-NORMDIST($C62-general!$C$23+1,$C$3/2,F$1,1)))+IF($C63=$C$2,1-SUM(F$8:F62),0)</f>
        <v>0</v>
      </c>
      <c r="G63" s="542">
        <f>IF($C63=$C$2,0,IF(OR($C63=0,$C63&lt;general!$C$23,$C63&gt;$C$2),0,G$2/$C$3+NORMDIST($C63-general!$C$23+1,$C$3/2,G$1,1)-NORMDIST($C62-general!$C$23+1,$C$3/2,G$1,1)))+IF($C63=$C$2,1-SUM(G$8:G62),0)</f>
        <v>0</v>
      </c>
      <c r="H63" s="542">
        <f>IF(C63=$C$2,0,IF(OR(C63=0,C63&lt;1,C63&gt;$C$2),0,$H$2/$C$2+NORMDIST(C63,$C$2/2,$H$1,1)-NORMDIST(C62,$C$2/2,$H$1,1)))+IF(C63=$C$2,1-SUM($H$9:H62),0)</f>
        <v>0</v>
      </c>
      <c r="I63" s="542">
        <f>IF(C63=$C$2,0,IF(OR(C63=0,C63&lt;1,C63&gt;$C$2),0,$I$2/$C$2+NORMDIST(C63,$C$2/2,$I$1,1)-NORMDIST(C62,$C$2/2,$I$1,1)))+IF(C63=$C$2,1-SUM($I$9:I62),0)</f>
        <v>0</v>
      </c>
      <c r="J63" s="542">
        <f>IF(C63=$C$2,0,IF(OR(C63=0,C63&lt;1,C63&gt;$C$2),0,$J$2/$C$2+NORMDIST(C63,$C$2/2,$J$1,1)-NORMDIST(C62,$C$2/2,$J$1,1)))+IF(C63=$C$2,1-SUM($J$9:J62),0)</f>
        <v>0</v>
      </c>
      <c r="K63" s="542">
        <f t="shared" si="14"/>
        <v>0</v>
      </c>
      <c r="L63" s="542">
        <f t="shared" si="11"/>
        <v>0</v>
      </c>
      <c r="M63" s="542">
        <f>IF($C63&gt;$C$2,IF($C63=sales!$F$36,M$4,0),(1-M$4)/$C$2)</f>
        <v>0</v>
      </c>
      <c r="N63" s="542">
        <f>IF(ISEVEN($C$2),IF(C63&gt;$C$2,0,IF(C63&lt;=$C$2/2,C63,C63-1-2*(SUMPRODUCT(--($C$8:C63&gt;$C$2/2))-1))/(($C$2/2)*($C$2/2+1))),0)+IF(ISODD($C$2),IF(C63&gt;$C$2,0,IF(C63-1&lt;=$C$2/2,C63,C63-2*(SUMPRODUCT(--($C$8:C63&gt;$C$2/2))-1))/((INT($C$2/2))*(INT($C$2/2)+1)+ROUNDUP($C$2/2,0))),0)</f>
        <v>0</v>
      </c>
      <c r="O63" s="542"/>
      <c r="P63" s="542">
        <f t="shared" si="12"/>
        <v>0</v>
      </c>
      <c r="Q63" s="542">
        <f>IF($C63=general!$C$28,Q$4,IFERROR(($C63&lt;general!$C$23)*((1-Q$4)*Q$5)/(general!$C$23-1),0)+IFERROR(($C63&gt;=general!$C$23)*($C63&lt;=general!$C$27)*((1-Q$4)*Q$6)/(general!$C$27-general!$C$23+1),0))+IF(AND(general!$C$23&lt;=1,$C63&lt;=1),'draws%'!Q$5*(1-Q$4))</f>
        <v>0</v>
      </c>
      <c r="R63" s="542">
        <f>IF($C63=general!$C$27,R$4,IFERROR(($C63&lt;general!$C$23)*((1-R$4)*R$5)/(general!$C$23-1),0)+IFERROR(($C63&gt;=general!$C$23)*($C63&lt;general!$C$27)*((1-R$4)*R$6)/(general!$C$27-general!$C$23),0))+IF(AND(general!$C$23&lt;=1,$C63&lt;=1),'draws%'!R$5*(1-R$4))</f>
        <v>0</v>
      </c>
      <c r="S63" s="542">
        <f>IF(OR(C63=general!$C$27,C63=general!$C$27-1),50%,0)</f>
        <v>0</v>
      </c>
      <c r="T63" s="542">
        <f>(C63&gt;=general!$C$26-6)*(C63&lt;general!$C$26)*1/6*0.5+(C63=3)*0.25+(C63=9)*0.25</f>
        <v>0</v>
      </c>
      <c r="U63" s="542">
        <f>IF(C63='Development Cash Flow'!$C$6,$U$5,0)+IF(C63=general!$C$27,$U$6,0)</f>
        <v>0</v>
      </c>
      <c r="V63" s="542">
        <f>IF(C63=general!$C$28,1,0)</f>
        <v>0</v>
      </c>
      <c r="W63" s="542">
        <f t="shared" si="15"/>
        <v>0</v>
      </c>
      <c r="X63" s="542">
        <f>IF(C63=general!$C$23,1,0)</f>
        <v>0</v>
      </c>
      <c r="Y63" s="542">
        <f>IFERROR((C63&lt;general!$C$23)*Y$5/(general!$C$23),0)+IFERROR((C63&gt;=general!$C$23)*(C63&lt;=general!$C$27)*Y$6/(general!$C$27-general!$C$23+1),0)</f>
        <v>0</v>
      </c>
      <c r="Z63" s="542">
        <f>IFERROR(($C63&lt;general!$C$23)*Z$5/(general!$C$23),0)+IFERROR(($C63&gt;=general!$C$23)*($C63&lt;=general!$C$27)*Z$6/(general!$C$27-general!$C$23+1),0)*(1-$Z$4)+$Z$4*AF63</f>
        <v>0</v>
      </c>
      <c r="AA63" s="542">
        <f>MAX((IFERROR(($C63&lt;general!$C$23)*AA$5/(general!$C$23),0)+IFERROR(($C63&gt;=general!$C$23)*($C63&lt;=general!$C$27)*AA$6/(general!$C$27-general!$C$23+1),0)),0)</f>
        <v>0</v>
      </c>
      <c r="AB63" s="542">
        <f>MAX((IFERROR(($C63&lt;general!$C$23)*AB$5/(general!$C$23),0)+IFERROR(($C63&gt;=general!$C$23)*($C63&lt;=general!$C$27)*AB$6/(general!$C$27-general!$C$23+1),0)),0)</f>
        <v>0</v>
      </c>
      <c r="AC63" s="542">
        <f>MAX((IFERROR(($C63&lt;general!$C$23)*AC$5/(general!$C$23),0)+IFERROR(($C63&gt;=general!$C$23)*($C63&lt;=general!$C$27)*AC$6/(general!$C$27-general!$C$23+1),0)),0)</f>
        <v>0</v>
      </c>
      <c r="AD63" s="542">
        <f>MAX((IFERROR(($C63&lt;general!$C$23)*AD$5/(general!$C$23),0)+IFERROR(($C63&gt;=general!$C$23)*($C63&lt;=general!$C$27)*AD$6/(general!$C$27-general!$C$23+1),0)),0)</f>
        <v>0</v>
      </c>
      <c r="AE63" s="542">
        <f t="shared" si="7"/>
        <v>0</v>
      </c>
      <c r="AF63" s="542">
        <f>+SUMPRODUCT(--($C63=sales!$C$50:$C$54),sales!$D$50:$D$54)</f>
        <v>0</v>
      </c>
      <c r="AG63" s="542">
        <f>IF($C63=general!$C$28,AG$4,IFERROR(($C63&lt;general!$C$23)*((1-AG$4)*AG$5)/(general!$C$23-1),0)+IFERROR(($C63&gt;=general!$C$23)*($C63&lt;=general!$C$27)*((1-AG$4)*AG$6)/(general!$C$27-general!$C$23+1),0))+IF(AND(general!$C$23&lt;=1,$C63&lt;=1),'draws%'!AG$5*(1-AG$4))</f>
        <v>0</v>
      </c>
      <c r="AH63" s="542">
        <f>+IF($C63=general!$C$21,1,0)</f>
        <v>0</v>
      </c>
      <c r="AK63" s="524">
        <f>IF(A63&lt;=general!$D$27,IF(MONTH(A63)=11,1,IF(C63=general!$C$27,1,0)),)</f>
        <v>0</v>
      </c>
      <c r="AL63" s="524">
        <f>IF(AK63=1,COUNTIFS($C$8:$C$128,"&lt;="&amp;general!$C$27&amp;"",'draws%'!$AM$8:$AM$128,"="&amp;AM63&amp;""),0)</f>
        <v>0</v>
      </c>
      <c r="AM63" s="524">
        <f t="shared" si="13"/>
        <v>2031</v>
      </c>
      <c r="AN63" s="524"/>
    </row>
    <row r="64" spans="1:40" ht="14">
      <c r="A64" s="903">
        <f t="shared" si="8"/>
        <v>47968</v>
      </c>
      <c r="C64" s="897">
        <f t="shared" si="9"/>
        <v>56</v>
      </c>
      <c r="D64" s="542"/>
      <c r="E64" s="542">
        <f>IF($C64=$C$2,0,IF(OR($C64=0,$C64&lt;general!$C$23,$C64&gt;$C$2),0,E$2/$C$3+NORMDIST($C64-general!$C$23+1,$C$3/2,E$1,1)-NORMDIST($C63-general!$C$23+1,$C$3/2,E$1,1)))+IF($C64=$C$2,1-SUM(E$8:E63),0)</f>
        <v>0</v>
      </c>
      <c r="F64" s="542">
        <f>IF($C64=$C$2,0,IF(OR($C64=0,$C64&lt;general!$C$23,$C64&gt;$C$2),0,F$2/$C$3+NORMDIST($C64-general!$C$23+1,$C$3/2,F$1,1)-NORMDIST($C63-general!$C$23+1,$C$3/2,F$1,1)))+IF($C64=$C$2,1-SUM(F$8:F63),0)</f>
        <v>0</v>
      </c>
      <c r="G64" s="542">
        <f>IF($C64=$C$2,0,IF(OR($C64=0,$C64&lt;general!$C$23,$C64&gt;$C$2),0,G$2/$C$3+NORMDIST($C64-general!$C$23+1,$C$3/2,G$1,1)-NORMDIST($C63-general!$C$23+1,$C$3/2,G$1,1)))+IF($C64=$C$2,1-SUM(G$8:G63),0)</f>
        <v>0</v>
      </c>
      <c r="H64" s="542">
        <f>IF(C64=$C$2,0,IF(OR(C64=0,C64&lt;1,C64&gt;$C$2),0,$H$2/$C$2+NORMDIST(C64,$C$2/2,$H$1,1)-NORMDIST(C63,$C$2/2,$H$1,1)))+IF(C64=$C$2,1-SUM($H$9:H63),0)</f>
        <v>0</v>
      </c>
      <c r="I64" s="542">
        <f>IF(C64=$C$2,0,IF(OR(C64=0,C64&lt;1,C64&gt;$C$2),0,$I$2/$C$2+NORMDIST(C64,$C$2/2,$I$1,1)-NORMDIST(C63,$C$2/2,$I$1,1)))+IF(C64=$C$2,1-SUM($I$9:I63),0)</f>
        <v>0</v>
      </c>
      <c r="J64" s="542">
        <f>IF(C64=$C$2,0,IF(OR(C64=0,C64&lt;1,C64&gt;$C$2),0,$J$2/$C$2+NORMDIST(C64,$C$2/2,$J$1,1)-NORMDIST(C63,$C$2/2,$J$1,1)))+IF(C64=$C$2,1-SUM($J$9:J63),0)</f>
        <v>0</v>
      </c>
      <c r="K64" s="542">
        <f t="shared" si="14"/>
        <v>0</v>
      </c>
      <c r="L64" s="542">
        <f t="shared" si="11"/>
        <v>0</v>
      </c>
      <c r="M64" s="542">
        <f>IF($C64&gt;$C$2,IF($C64=sales!$F$36,M$4,0),(1-M$4)/$C$2)</f>
        <v>0</v>
      </c>
      <c r="N64" s="542">
        <f>IF(ISEVEN($C$2),IF(C64&gt;$C$2,0,IF(C64&lt;=$C$2/2,C64,C64-1-2*(SUMPRODUCT(--($C$8:C64&gt;$C$2/2))-1))/(($C$2/2)*($C$2/2+1))),0)+IF(ISODD($C$2),IF(C64&gt;$C$2,0,IF(C64-1&lt;=$C$2/2,C64,C64-2*(SUMPRODUCT(--($C$8:C64&gt;$C$2/2))-1))/((INT($C$2/2))*(INT($C$2/2)+1)+ROUNDUP($C$2/2,0))),0)</f>
        <v>0</v>
      </c>
      <c r="O64" s="542"/>
      <c r="P64" s="542">
        <f t="shared" si="12"/>
        <v>0</v>
      </c>
      <c r="Q64" s="542">
        <f>IF($C64=general!$C$28,Q$4,IFERROR(($C64&lt;general!$C$23)*((1-Q$4)*Q$5)/(general!$C$23-1),0)+IFERROR(($C64&gt;=general!$C$23)*($C64&lt;=general!$C$27)*((1-Q$4)*Q$6)/(general!$C$27-general!$C$23+1),0))+IF(AND(general!$C$23&lt;=1,$C64&lt;=1),'draws%'!Q$5*(1-Q$4))</f>
        <v>0</v>
      </c>
      <c r="R64" s="542">
        <f>IF($C64=general!$C$27,R$4,IFERROR(($C64&lt;general!$C$23)*((1-R$4)*R$5)/(general!$C$23-1),0)+IFERROR(($C64&gt;=general!$C$23)*($C64&lt;general!$C$27)*((1-R$4)*R$6)/(general!$C$27-general!$C$23),0))+IF(AND(general!$C$23&lt;=1,$C64&lt;=1),'draws%'!R$5*(1-R$4))</f>
        <v>0</v>
      </c>
      <c r="S64" s="542">
        <f>IF(OR(C64=general!$C$27,C64=general!$C$27-1),50%,0)</f>
        <v>0</v>
      </c>
      <c r="T64" s="542">
        <f>(C64&gt;=general!$C$26-6)*(C64&lt;general!$C$26)*1/6*0.5+(C64=3)*0.25+(C64=9)*0.25</f>
        <v>0</v>
      </c>
      <c r="U64" s="542">
        <f>IF(C64='Development Cash Flow'!$C$6,$U$5,0)+IF(C64=general!$C$27,$U$6,0)</f>
        <v>0</v>
      </c>
      <c r="V64" s="542">
        <f>IF(C64=general!$C$28,1,0)</f>
        <v>0</v>
      </c>
      <c r="W64" s="542">
        <f t="shared" si="15"/>
        <v>0</v>
      </c>
      <c r="X64" s="542">
        <f>IF(C64=general!$C$23,1,0)</f>
        <v>0</v>
      </c>
      <c r="Y64" s="542">
        <f>IFERROR((C64&lt;general!$C$23)*Y$5/(general!$C$23),0)+IFERROR((C64&gt;=general!$C$23)*(C64&lt;=general!$C$27)*Y$6/(general!$C$27-general!$C$23+1),0)</f>
        <v>0</v>
      </c>
      <c r="Z64" s="542">
        <f>IFERROR(($C64&lt;general!$C$23)*Z$5/(general!$C$23),0)+IFERROR(($C64&gt;=general!$C$23)*($C64&lt;=general!$C$27)*Z$6/(general!$C$27-general!$C$23+1),0)*(1-$Z$4)+$Z$4*AF64</f>
        <v>0</v>
      </c>
      <c r="AA64" s="542">
        <f>MAX((IFERROR(($C64&lt;general!$C$23)*AA$5/(general!$C$23),0)+IFERROR(($C64&gt;=general!$C$23)*($C64&lt;=general!$C$27)*AA$6/(general!$C$27-general!$C$23+1),0)),0)</f>
        <v>0</v>
      </c>
      <c r="AB64" s="542">
        <f>MAX((IFERROR(($C64&lt;general!$C$23)*AB$5/(general!$C$23),0)+IFERROR(($C64&gt;=general!$C$23)*($C64&lt;=general!$C$27)*AB$6/(general!$C$27-general!$C$23+1),0)),0)</f>
        <v>0</v>
      </c>
      <c r="AC64" s="542">
        <f>MAX((IFERROR(($C64&lt;general!$C$23)*AC$5/(general!$C$23),0)+IFERROR(($C64&gt;=general!$C$23)*($C64&lt;=general!$C$27)*AC$6/(general!$C$27-general!$C$23+1),0)),0)</f>
        <v>0</v>
      </c>
      <c r="AD64" s="542">
        <f>MAX((IFERROR(($C64&lt;general!$C$23)*AD$5/(general!$C$23),0)+IFERROR(($C64&gt;=general!$C$23)*($C64&lt;=general!$C$27)*AD$6/(general!$C$27-general!$C$23+1),0)),0)</f>
        <v>0</v>
      </c>
      <c r="AE64" s="542">
        <f t="shared" si="7"/>
        <v>0</v>
      </c>
      <c r="AF64" s="542">
        <f>+SUMPRODUCT(--($C64=sales!$C$50:$C$54),sales!$D$50:$D$54)</f>
        <v>0</v>
      </c>
      <c r="AG64" s="542">
        <f>IF($C64=general!$C$28,AG$4,IFERROR(($C64&lt;general!$C$23)*((1-AG$4)*AG$5)/(general!$C$23-1),0)+IFERROR(($C64&gt;=general!$C$23)*($C64&lt;=general!$C$27)*((1-AG$4)*AG$6)/(general!$C$27-general!$C$23+1),0))+IF(AND(general!$C$23&lt;=1,$C64&lt;=1),'draws%'!AG$5*(1-AG$4))</f>
        <v>0</v>
      </c>
      <c r="AH64" s="542">
        <f>+IF($C64=general!$C$21,1,0)</f>
        <v>0</v>
      </c>
      <c r="AK64" s="524">
        <f>IF(A64&lt;=general!$D$27,IF(MONTH(A64)=11,1,IF(C64=general!$C$27,1,0)),)</f>
        <v>0</v>
      </c>
      <c r="AL64" s="524">
        <f>IF(AK64=1,COUNTIFS($C$8:$C$128,"&lt;="&amp;general!$C$27&amp;"",'draws%'!$AM$8:$AM$128,"="&amp;AM64&amp;""),0)</f>
        <v>0</v>
      </c>
      <c r="AM64" s="524">
        <f t="shared" si="13"/>
        <v>2031</v>
      </c>
      <c r="AN64" s="524"/>
    </row>
    <row r="65" spans="1:40" ht="14">
      <c r="A65" s="903">
        <f t="shared" si="8"/>
        <v>47999</v>
      </c>
      <c r="C65" s="897">
        <f t="shared" si="9"/>
        <v>57</v>
      </c>
      <c r="D65" s="542"/>
      <c r="E65" s="542">
        <f>IF($C65=$C$2,0,IF(OR($C65=0,$C65&lt;general!$C$23,$C65&gt;$C$2),0,E$2/$C$3+NORMDIST($C65-general!$C$23+1,$C$3/2,E$1,1)-NORMDIST($C64-general!$C$23+1,$C$3/2,E$1,1)))+IF($C65=$C$2,1-SUM(E$8:E64),0)</f>
        <v>0</v>
      </c>
      <c r="F65" s="542">
        <f>IF($C65=$C$2,0,IF(OR($C65=0,$C65&lt;general!$C$23,$C65&gt;$C$2),0,F$2/$C$3+NORMDIST($C65-general!$C$23+1,$C$3/2,F$1,1)-NORMDIST($C64-general!$C$23+1,$C$3/2,F$1,1)))+IF($C65=$C$2,1-SUM(F$8:F64),0)</f>
        <v>0</v>
      </c>
      <c r="G65" s="542">
        <f>IF($C65=$C$2,0,IF(OR($C65=0,$C65&lt;general!$C$23,$C65&gt;$C$2),0,G$2/$C$3+NORMDIST($C65-general!$C$23+1,$C$3/2,G$1,1)-NORMDIST($C64-general!$C$23+1,$C$3/2,G$1,1)))+IF($C65=$C$2,1-SUM(G$8:G64),0)</f>
        <v>0</v>
      </c>
      <c r="H65" s="542">
        <f>IF(C65=$C$2,0,IF(OR(C65=0,C65&lt;1,C65&gt;$C$2),0,$H$2/$C$2+NORMDIST(C65,$C$2/2,$H$1,1)-NORMDIST(C64,$C$2/2,$H$1,1)))+IF(C65=$C$2,1-SUM($H$9:H64),0)</f>
        <v>0</v>
      </c>
      <c r="I65" s="542">
        <f>IF(C65=$C$2,0,IF(OR(C65=0,C65&lt;1,C65&gt;$C$2),0,$I$2/$C$2+NORMDIST(C65,$C$2/2,$I$1,1)-NORMDIST(C64,$C$2/2,$I$1,1)))+IF(C65=$C$2,1-SUM($I$9:I64),0)</f>
        <v>0</v>
      </c>
      <c r="J65" s="542">
        <f>IF(C65=$C$2,0,IF(OR(C65=0,C65&lt;1,C65&gt;$C$2),0,$J$2/$C$2+NORMDIST(C65,$C$2/2,$J$1,1)-NORMDIST(C64,$C$2/2,$J$1,1)))+IF(C65=$C$2,1-SUM($J$9:J64),0)</f>
        <v>0</v>
      </c>
      <c r="K65" s="542">
        <f t="shared" si="14"/>
        <v>0</v>
      </c>
      <c r="L65" s="542">
        <f t="shared" si="11"/>
        <v>0</v>
      </c>
      <c r="M65" s="542">
        <f>IF($C65&gt;$C$2,IF($C65=sales!$F$36,M$4,0),(1-M$4)/$C$2)</f>
        <v>0</v>
      </c>
      <c r="N65" s="542">
        <f>IF(ISEVEN($C$2),IF(C65&gt;$C$2,0,IF(C65&lt;=$C$2/2,C65,C65-1-2*(SUMPRODUCT(--($C$8:C65&gt;$C$2/2))-1))/(($C$2/2)*($C$2/2+1))),0)+IF(ISODD($C$2),IF(C65&gt;$C$2,0,IF(C65-1&lt;=$C$2/2,C65,C65-2*(SUMPRODUCT(--($C$8:C65&gt;$C$2/2))-1))/((INT($C$2/2))*(INT($C$2/2)+1)+ROUNDUP($C$2/2,0))),0)</f>
        <v>0</v>
      </c>
      <c r="O65" s="542"/>
      <c r="P65" s="542">
        <f t="shared" si="12"/>
        <v>0</v>
      </c>
      <c r="Q65" s="542">
        <f>IF($C65=general!$C$28,Q$4,IFERROR(($C65&lt;general!$C$23)*((1-Q$4)*Q$5)/(general!$C$23-1),0)+IFERROR(($C65&gt;=general!$C$23)*($C65&lt;=general!$C$27)*((1-Q$4)*Q$6)/(general!$C$27-general!$C$23+1),0))+IF(AND(general!$C$23&lt;=1,$C65&lt;=1),'draws%'!Q$5*(1-Q$4))</f>
        <v>0</v>
      </c>
      <c r="R65" s="542">
        <f>IF($C65=general!$C$27,R$4,IFERROR(($C65&lt;general!$C$23)*((1-R$4)*R$5)/(general!$C$23-1),0)+IFERROR(($C65&gt;=general!$C$23)*($C65&lt;general!$C$27)*((1-R$4)*R$6)/(general!$C$27-general!$C$23),0))+IF(AND(general!$C$23&lt;=1,$C65&lt;=1),'draws%'!R$5*(1-R$4))</f>
        <v>0</v>
      </c>
      <c r="S65" s="542">
        <f>IF(OR(C65=general!$C$27,C65=general!$C$27-1),50%,0)</f>
        <v>0</v>
      </c>
      <c r="T65" s="542">
        <f>(C65&gt;=general!$C$26-6)*(C65&lt;general!$C$26)*1/6*0.5+(C65=3)*0.25+(C65=9)*0.25</f>
        <v>0</v>
      </c>
      <c r="U65" s="542">
        <f>IF(C65='Development Cash Flow'!$C$6,$U$5,0)+IF(C65=general!$C$27,$U$6,0)</f>
        <v>0</v>
      </c>
      <c r="V65" s="542">
        <f>IF(C65=general!$C$28,1,0)</f>
        <v>0</v>
      </c>
      <c r="W65" s="542">
        <f t="shared" si="15"/>
        <v>0</v>
      </c>
      <c r="X65" s="542">
        <f>IF(C65=general!$C$23,1,0)</f>
        <v>0</v>
      </c>
      <c r="Y65" s="542">
        <f>IFERROR((C65&lt;general!$C$23)*Y$5/(general!$C$23),0)+IFERROR((C65&gt;=general!$C$23)*(C65&lt;=general!$C$27)*Y$6/(general!$C$27-general!$C$23+1),0)</f>
        <v>0</v>
      </c>
      <c r="Z65" s="542">
        <f>IFERROR(($C65&lt;general!$C$23)*Z$5/(general!$C$23),0)+IFERROR(($C65&gt;=general!$C$23)*($C65&lt;=general!$C$27)*Z$6/(general!$C$27-general!$C$23+1),0)*(1-$Z$4)+$Z$4*AF65</f>
        <v>0</v>
      </c>
      <c r="AA65" s="542">
        <f>MAX((IFERROR(($C65&lt;general!$C$23)*AA$5/(general!$C$23),0)+IFERROR(($C65&gt;=general!$C$23)*($C65&lt;=general!$C$27)*AA$6/(general!$C$27-general!$C$23+1),0)),0)</f>
        <v>0</v>
      </c>
      <c r="AB65" s="542">
        <f>MAX((IFERROR(($C65&lt;general!$C$23)*AB$5/(general!$C$23),0)+IFERROR(($C65&gt;=general!$C$23)*($C65&lt;=general!$C$27)*AB$6/(general!$C$27-general!$C$23+1),0)),0)</f>
        <v>0</v>
      </c>
      <c r="AC65" s="542">
        <f>MAX((IFERROR(($C65&lt;general!$C$23)*AC$5/(general!$C$23),0)+IFERROR(($C65&gt;=general!$C$23)*($C65&lt;=general!$C$27)*AC$6/(general!$C$27-general!$C$23+1),0)),0)</f>
        <v>0</v>
      </c>
      <c r="AD65" s="542">
        <f>MAX((IFERROR(($C65&lt;general!$C$23)*AD$5/(general!$C$23),0)+IFERROR(($C65&gt;=general!$C$23)*($C65&lt;=general!$C$27)*AD$6/(general!$C$27-general!$C$23+1),0)),0)</f>
        <v>0</v>
      </c>
      <c r="AE65" s="542">
        <f t="shared" si="7"/>
        <v>0</v>
      </c>
      <c r="AF65" s="542">
        <f>+SUMPRODUCT(--($C65=sales!$C$50:$C$54),sales!$D$50:$D$54)</f>
        <v>0</v>
      </c>
      <c r="AG65" s="542">
        <f>IF($C65=general!$C$28,AG$4,IFERROR(($C65&lt;general!$C$23)*((1-AG$4)*AG$5)/(general!$C$23-1),0)+IFERROR(($C65&gt;=general!$C$23)*($C65&lt;=general!$C$27)*((1-AG$4)*AG$6)/(general!$C$27-general!$C$23+1),0))+IF(AND(general!$C$23&lt;=1,$C65&lt;=1),'draws%'!AG$5*(1-AG$4))</f>
        <v>0</v>
      </c>
      <c r="AH65" s="542">
        <f>+IF($C65=general!$C$21,1,0)</f>
        <v>0</v>
      </c>
      <c r="AK65" s="524">
        <f>IF(A65&lt;=general!$D$27,IF(MONTH(A65)=11,1,IF(C65=general!$C$27,1,0)),)</f>
        <v>0</v>
      </c>
      <c r="AL65" s="524">
        <f>IF(AK65=1,COUNTIFS($C$8:$C$128,"&lt;="&amp;general!$C$27&amp;"",'draws%'!$AM$8:$AM$128,"="&amp;AM65&amp;""),0)</f>
        <v>0</v>
      </c>
      <c r="AM65" s="524">
        <f t="shared" si="13"/>
        <v>2031</v>
      </c>
      <c r="AN65" s="524"/>
    </row>
    <row r="66" spans="1:40" ht="14">
      <c r="A66" s="903">
        <f t="shared" si="8"/>
        <v>48029</v>
      </c>
      <c r="C66" s="897">
        <f t="shared" si="9"/>
        <v>58</v>
      </c>
      <c r="D66" s="542"/>
      <c r="E66" s="542">
        <f>IF($C66=$C$2,0,IF(OR($C66=0,$C66&lt;general!$C$23,$C66&gt;$C$2),0,E$2/$C$3+NORMDIST($C66-general!$C$23+1,$C$3/2,E$1,1)-NORMDIST($C65-general!$C$23+1,$C$3/2,E$1,1)))+IF($C66=$C$2,1-SUM(E$8:E65),0)</f>
        <v>0</v>
      </c>
      <c r="F66" s="542">
        <f>IF($C66=$C$2,0,IF(OR($C66=0,$C66&lt;general!$C$23,$C66&gt;$C$2),0,F$2/$C$3+NORMDIST($C66-general!$C$23+1,$C$3/2,F$1,1)-NORMDIST($C65-general!$C$23+1,$C$3/2,F$1,1)))+IF($C66=$C$2,1-SUM(F$8:F65),0)</f>
        <v>0</v>
      </c>
      <c r="G66" s="542">
        <f>IF($C66=$C$2,0,IF(OR($C66=0,$C66&lt;general!$C$23,$C66&gt;$C$2),0,G$2/$C$3+NORMDIST($C66-general!$C$23+1,$C$3/2,G$1,1)-NORMDIST($C65-general!$C$23+1,$C$3/2,G$1,1)))+IF($C66=$C$2,1-SUM(G$8:G65),0)</f>
        <v>0</v>
      </c>
      <c r="H66" s="542">
        <f>IF(C66=$C$2,0,IF(OR(C66=0,C66&lt;1,C66&gt;$C$2),0,$H$2/$C$2+NORMDIST(C66,$C$2/2,$H$1,1)-NORMDIST(C65,$C$2/2,$H$1,1)))+IF(C66=$C$2,1-SUM($H$9:H65),0)</f>
        <v>0</v>
      </c>
      <c r="I66" s="542">
        <f>IF(C66=$C$2,0,IF(OR(C66=0,C66&lt;1,C66&gt;$C$2),0,$I$2/$C$2+NORMDIST(C66,$C$2/2,$I$1,1)-NORMDIST(C65,$C$2/2,$I$1,1)))+IF(C66=$C$2,1-SUM($I$9:I65),0)</f>
        <v>0</v>
      </c>
      <c r="J66" s="542">
        <f>IF(C66=$C$2,0,IF(OR(C66=0,C66&lt;1,C66&gt;$C$2),0,$J$2/$C$2+NORMDIST(C66,$C$2/2,$J$1,1)-NORMDIST(C65,$C$2/2,$J$1,1)))+IF(C66=$C$2,1-SUM($J$9:J65),0)</f>
        <v>0</v>
      </c>
      <c r="K66" s="542">
        <f t="shared" si="14"/>
        <v>0</v>
      </c>
      <c r="L66" s="542">
        <f t="shared" si="11"/>
        <v>0</v>
      </c>
      <c r="M66" s="542">
        <f>IF($C66&gt;$C$2,IF($C66=sales!$F$36,M$4,0),(1-M$4)/$C$2)</f>
        <v>0</v>
      </c>
      <c r="N66" s="542">
        <f>IF(ISEVEN($C$2),IF(C66&gt;$C$2,0,IF(C66&lt;=$C$2/2,C66,C66-1-2*(SUMPRODUCT(--($C$8:C66&gt;$C$2/2))-1))/(($C$2/2)*($C$2/2+1))),0)+IF(ISODD($C$2),IF(C66&gt;$C$2,0,IF(C66-1&lt;=$C$2/2,C66,C66-2*(SUMPRODUCT(--($C$8:C66&gt;$C$2/2))-1))/((INT($C$2/2))*(INT($C$2/2)+1)+ROUNDUP($C$2/2,0))),0)</f>
        <v>0</v>
      </c>
      <c r="O66" s="542"/>
      <c r="P66" s="542">
        <f t="shared" si="12"/>
        <v>0</v>
      </c>
      <c r="Q66" s="542">
        <f>IF($C66=general!$C$28,Q$4,IFERROR(($C66&lt;general!$C$23)*((1-Q$4)*Q$5)/(general!$C$23-1),0)+IFERROR(($C66&gt;=general!$C$23)*($C66&lt;=general!$C$27)*((1-Q$4)*Q$6)/(general!$C$27-general!$C$23+1),0))+IF(AND(general!$C$23&lt;=1,$C66&lt;=1),'draws%'!Q$5*(1-Q$4))</f>
        <v>0</v>
      </c>
      <c r="R66" s="542">
        <f>IF($C66=general!$C$27,R$4,IFERROR(($C66&lt;general!$C$23)*((1-R$4)*R$5)/(general!$C$23-1),0)+IFERROR(($C66&gt;=general!$C$23)*($C66&lt;general!$C$27)*((1-R$4)*R$6)/(general!$C$27-general!$C$23),0))+IF(AND(general!$C$23&lt;=1,$C66&lt;=1),'draws%'!R$5*(1-R$4))</f>
        <v>0</v>
      </c>
      <c r="S66" s="542">
        <f>IF(OR(C66=general!$C$27,C66=general!$C$27-1),50%,0)</f>
        <v>0</v>
      </c>
      <c r="T66" s="542">
        <f>(C66&gt;=general!$C$26-6)*(C66&lt;general!$C$26)*1/6*0.5+(C66=3)*0.25+(C66=9)*0.25</f>
        <v>0</v>
      </c>
      <c r="U66" s="542">
        <f>IF(C66='Development Cash Flow'!$C$6,$U$5,0)+IF(C66=general!$C$27,$U$6,0)</f>
        <v>0</v>
      </c>
      <c r="V66" s="542">
        <f>IF(C66=general!$C$28,1,0)</f>
        <v>0</v>
      </c>
      <c r="W66" s="542">
        <f t="shared" si="15"/>
        <v>0</v>
      </c>
      <c r="X66" s="542">
        <f>IF(C66=general!$C$23,1,0)</f>
        <v>0</v>
      </c>
      <c r="Y66" s="542">
        <f>IFERROR((C66&lt;general!$C$23)*Y$5/(general!$C$23),0)+IFERROR((C66&gt;=general!$C$23)*(C66&lt;=general!$C$27)*Y$6/(general!$C$27-general!$C$23+1),0)</f>
        <v>0</v>
      </c>
      <c r="Z66" s="542">
        <f>IFERROR(($C66&lt;general!$C$23)*Z$5/(general!$C$23),0)+IFERROR(($C66&gt;=general!$C$23)*($C66&lt;=general!$C$27)*Z$6/(general!$C$27-general!$C$23+1),0)*(1-$Z$4)+$Z$4*AF66</f>
        <v>0</v>
      </c>
      <c r="AA66" s="542">
        <f>MAX((IFERROR(($C66&lt;general!$C$23)*AA$5/(general!$C$23),0)+IFERROR(($C66&gt;=general!$C$23)*($C66&lt;=general!$C$27)*AA$6/(general!$C$27-general!$C$23+1),0)),0)</f>
        <v>0</v>
      </c>
      <c r="AB66" s="542">
        <f>MAX((IFERROR(($C66&lt;general!$C$23)*AB$5/(general!$C$23),0)+IFERROR(($C66&gt;=general!$C$23)*($C66&lt;=general!$C$27)*AB$6/(general!$C$27-general!$C$23+1),0)),0)</f>
        <v>0</v>
      </c>
      <c r="AC66" s="542">
        <f>MAX((IFERROR(($C66&lt;general!$C$23)*AC$5/(general!$C$23),0)+IFERROR(($C66&gt;=general!$C$23)*($C66&lt;=general!$C$27)*AC$6/(general!$C$27-general!$C$23+1),0)),0)</f>
        <v>0</v>
      </c>
      <c r="AD66" s="542">
        <f>MAX((IFERROR(($C66&lt;general!$C$23)*AD$5/(general!$C$23),0)+IFERROR(($C66&gt;=general!$C$23)*($C66&lt;=general!$C$27)*AD$6/(general!$C$27-general!$C$23+1),0)),0)</f>
        <v>0</v>
      </c>
      <c r="AE66" s="542">
        <f t="shared" si="7"/>
        <v>0</v>
      </c>
      <c r="AF66" s="542">
        <f>+SUMPRODUCT(--($C66=sales!$C$50:$C$54),sales!$D$50:$D$54)</f>
        <v>0</v>
      </c>
      <c r="AG66" s="542">
        <f>IF($C66=general!$C$28,AG$4,IFERROR(($C66&lt;general!$C$23)*((1-AG$4)*AG$5)/(general!$C$23-1),0)+IFERROR(($C66&gt;=general!$C$23)*($C66&lt;=general!$C$27)*((1-AG$4)*AG$6)/(general!$C$27-general!$C$23+1),0))+IF(AND(general!$C$23&lt;=1,$C66&lt;=1),'draws%'!AG$5*(1-AG$4))</f>
        <v>0</v>
      </c>
      <c r="AH66" s="542">
        <f>+IF($C66=general!$C$21,1,0)</f>
        <v>0</v>
      </c>
      <c r="AK66" s="524">
        <f>IF(A66&lt;=general!$D$27,IF(MONTH(A66)=11,1,IF(C66=general!$C$27,1,0)),)</f>
        <v>0</v>
      </c>
      <c r="AL66" s="524">
        <f>IF(AK66=1,COUNTIFS($C$8:$C$128,"&lt;="&amp;general!$C$27&amp;"",'draws%'!$AM$8:$AM$128,"="&amp;AM66&amp;""),0)</f>
        <v>0</v>
      </c>
      <c r="AM66" s="524">
        <f t="shared" si="13"/>
        <v>2031</v>
      </c>
      <c r="AN66" s="524"/>
    </row>
    <row r="67" spans="1:40" ht="14">
      <c r="A67" s="903">
        <f t="shared" si="8"/>
        <v>48060</v>
      </c>
      <c r="C67" s="897">
        <f t="shared" si="9"/>
        <v>59</v>
      </c>
      <c r="D67" s="542"/>
      <c r="E67" s="542">
        <f>IF($C67=$C$2,0,IF(OR($C67=0,$C67&lt;general!$C$23,$C67&gt;$C$2),0,E$2/$C$3+NORMDIST($C67-general!$C$23+1,$C$3/2,E$1,1)-NORMDIST($C66-general!$C$23+1,$C$3/2,E$1,1)))+IF($C67=$C$2,1-SUM(E$8:E66),0)</f>
        <v>0</v>
      </c>
      <c r="F67" s="542">
        <f>IF($C67=$C$2,0,IF(OR($C67=0,$C67&lt;general!$C$23,$C67&gt;$C$2),0,F$2/$C$3+NORMDIST($C67-general!$C$23+1,$C$3/2,F$1,1)-NORMDIST($C66-general!$C$23+1,$C$3/2,F$1,1)))+IF($C67=$C$2,1-SUM(F$8:F66),0)</f>
        <v>0</v>
      </c>
      <c r="G67" s="542">
        <f>IF($C67=$C$2,0,IF(OR($C67=0,$C67&lt;general!$C$23,$C67&gt;$C$2),0,G$2/$C$3+NORMDIST($C67-general!$C$23+1,$C$3/2,G$1,1)-NORMDIST($C66-general!$C$23+1,$C$3/2,G$1,1)))+IF($C67=$C$2,1-SUM(G$8:G66),0)</f>
        <v>0</v>
      </c>
      <c r="H67" s="542">
        <f>IF(C67=$C$2,0,IF(OR(C67=0,C67&lt;1,C67&gt;$C$2),0,$H$2/$C$2+NORMDIST(C67,$C$2/2,$H$1,1)-NORMDIST(C66,$C$2/2,$H$1,1)))+IF(C67=$C$2,1-SUM($H$9:H66),0)</f>
        <v>0</v>
      </c>
      <c r="I67" s="542">
        <f>IF(C67=$C$2,0,IF(OR(C67=0,C67&lt;1,C67&gt;$C$2),0,$I$2/$C$2+NORMDIST(C67,$C$2/2,$I$1,1)-NORMDIST(C66,$C$2/2,$I$1,1)))+IF(C67=$C$2,1-SUM($I$9:I66),0)</f>
        <v>0</v>
      </c>
      <c r="J67" s="542">
        <f>IF(C67=$C$2,0,IF(OR(C67=0,C67&lt;1,C67&gt;$C$2),0,$J$2/$C$2+NORMDIST(C67,$C$2/2,$J$1,1)-NORMDIST(C66,$C$2/2,$J$1,1)))+IF(C67=$C$2,1-SUM($J$9:J66),0)</f>
        <v>0</v>
      </c>
      <c r="K67" s="542">
        <f t="shared" si="14"/>
        <v>0</v>
      </c>
      <c r="L67" s="542">
        <f t="shared" si="11"/>
        <v>0</v>
      </c>
      <c r="M67" s="542">
        <f>IF($C67&gt;$C$2,IF($C67=sales!$F$36,M$4,0),(1-M$4)/$C$2)</f>
        <v>0</v>
      </c>
      <c r="N67" s="542">
        <f>IF(ISEVEN($C$2),IF(C67&gt;$C$2,0,IF(C67&lt;=$C$2/2,C67,C67-1-2*(SUMPRODUCT(--($C$8:C67&gt;$C$2/2))-1))/(($C$2/2)*($C$2/2+1))),0)+IF(ISODD($C$2),IF(C67&gt;$C$2,0,IF(C67-1&lt;=$C$2/2,C67,C67-2*(SUMPRODUCT(--($C$8:C67&gt;$C$2/2))-1))/((INT($C$2/2))*(INT($C$2/2)+1)+ROUNDUP($C$2/2,0))),0)</f>
        <v>0</v>
      </c>
      <c r="O67" s="542"/>
      <c r="P67" s="542">
        <f t="shared" si="12"/>
        <v>0</v>
      </c>
      <c r="Q67" s="542">
        <f>IF($C67=general!$C$28,Q$4,IFERROR(($C67&lt;general!$C$23)*((1-Q$4)*Q$5)/(general!$C$23-1),0)+IFERROR(($C67&gt;=general!$C$23)*($C67&lt;=general!$C$27)*((1-Q$4)*Q$6)/(general!$C$27-general!$C$23+1),0))+IF(AND(general!$C$23&lt;=1,$C67&lt;=1),'draws%'!Q$5*(1-Q$4))</f>
        <v>0</v>
      </c>
      <c r="R67" s="542">
        <f>IF($C67=general!$C$27,R$4,IFERROR(($C67&lt;general!$C$23)*((1-R$4)*R$5)/(general!$C$23-1),0)+IFERROR(($C67&gt;=general!$C$23)*($C67&lt;general!$C$27)*((1-R$4)*R$6)/(general!$C$27-general!$C$23),0))+IF(AND(general!$C$23&lt;=1,$C67&lt;=1),'draws%'!R$5*(1-R$4))</f>
        <v>0</v>
      </c>
      <c r="S67" s="542">
        <f>IF(OR(C67=general!$C$27,C67=general!$C$27-1),50%,0)</f>
        <v>0</v>
      </c>
      <c r="T67" s="542">
        <f>(C67&gt;=general!$C$26-6)*(C67&lt;general!$C$26)*1/6*0.5+(C67=3)*0.25+(C67=9)*0.25</f>
        <v>0</v>
      </c>
      <c r="U67" s="542">
        <f>IF(C67='Development Cash Flow'!$C$6,$U$5,0)+IF(C67=general!$C$27,$U$6,0)</f>
        <v>0</v>
      </c>
      <c r="V67" s="542">
        <f>IF(C67=general!$C$28,1,0)</f>
        <v>0</v>
      </c>
      <c r="W67" s="542">
        <f t="shared" si="15"/>
        <v>0</v>
      </c>
      <c r="X67" s="542">
        <f>IF(C67=general!$C$23,1,0)</f>
        <v>0</v>
      </c>
      <c r="Y67" s="542">
        <f>IFERROR((C67&lt;general!$C$23)*Y$5/(general!$C$23),0)+IFERROR((C67&gt;=general!$C$23)*(C67&lt;=general!$C$27)*Y$6/(general!$C$27-general!$C$23+1),0)</f>
        <v>0</v>
      </c>
      <c r="Z67" s="542">
        <f>IFERROR(($C67&lt;general!$C$23)*Z$5/(general!$C$23),0)+IFERROR(($C67&gt;=general!$C$23)*($C67&lt;=general!$C$27)*Z$6/(general!$C$27-general!$C$23+1),0)*(1-$Z$4)+$Z$4*AF67</f>
        <v>0</v>
      </c>
      <c r="AA67" s="542">
        <f>MAX((IFERROR(($C67&lt;general!$C$23)*AA$5/(general!$C$23),0)+IFERROR(($C67&gt;=general!$C$23)*($C67&lt;=general!$C$27)*AA$6/(general!$C$27-general!$C$23+1),0)),0)</f>
        <v>0</v>
      </c>
      <c r="AB67" s="542">
        <f>MAX((IFERROR(($C67&lt;general!$C$23)*AB$5/(general!$C$23),0)+IFERROR(($C67&gt;=general!$C$23)*($C67&lt;=general!$C$27)*AB$6/(general!$C$27-general!$C$23+1),0)),0)</f>
        <v>0</v>
      </c>
      <c r="AC67" s="542">
        <f>MAX((IFERROR(($C67&lt;general!$C$23)*AC$5/(general!$C$23),0)+IFERROR(($C67&gt;=general!$C$23)*($C67&lt;=general!$C$27)*AC$6/(general!$C$27-general!$C$23+1),0)),0)</f>
        <v>0</v>
      </c>
      <c r="AD67" s="542">
        <f>MAX((IFERROR(($C67&lt;general!$C$23)*AD$5/(general!$C$23),0)+IFERROR(($C67&gt;=general!$C$23)*($C67&lt;=general!$C$27)*AD$6/(general!$C$27-general!$C$23+1),0)),0)</f>
        <v>0</v>
      </c>
      <c r="AE67" s="542">
        <f t="shared" si="7"/>
        <v>0</v>
      </c>
      <c r="AF67" s="542">
        <f>+SUMPRODUCT(--($C67=sales!$C$50:$C$54),sales!$D$50:$D$54)</f>
        <v>0</v>
      </c>
      <c r="AG67" s="542">
        <f>IF($C67=general!$C$28,AG$4,IFERROR(($C67&lt;general!$C$23)*((1-AG$4)*AG$5)/(general!$C$23-1),0)+IFERROR(($C67&gt;=general!$C$23)*($C67&lt;=general!$C$27)*((1-AG$4)*AG$6)/(general!$C$27-general!$C$23+1),0))+IF(AND(general!$C$23&lt;=1,$C67&lt;=1),'draws%'!AG$5*(1-AG$4))</f>
        <v>0</v>
      </c>
      <c r="AH67" s="542">
        <f>+IF($C67=general!$C$21,1,0)</f>
        <v>0</v>
      </c>
      <c r="AK67" s="524">
        <f>IF(A67&lt;=general!$D$27,IF(MONTH(A67)=11,1,IF(C67=general!$C$27,1,0)),)</f>
        <v>0</v>
      </c>
      <c r="AL67" s="524">
        <f>IF(AK67=1,COUNTIFS($C$8:$C$128,"&lt;="&amp;general!$C$27&amp;"",'draws%'!$AM$8:$AM$128,"="&amp;AM67&amp;""),0)</f>
        <v>0</v>
      </c>
      <c r="AM67" s="524">
        <f t="shared" si="13"/>
        <v>2031</v>
      </c>
      <c r="AN67" s="524"/>
    </row>
    <row r="68" spans="1:40" ht="14">
      <c r="A68" s="903">
        <f t="shared" si="8"/>
        <v>48091</v>
      </c>
      <c r="C68" s="897">
        <f t="shared" si="9"/>
        <v>60</v>
      </c>
      <c r="D68" s="542"/>
      <c r="E68" s="542">
        <f>IF($C68=$C$2,0,IF(OR($C68=0,$C68&lt;general!$C$23,$C68&gt;$C$2),0,E$2/$C$3+NORMDIST($C68-general!$C$23+1,$C$3/2,E$1,1)-NORMDIST($C67-general!$C$23+1,$C$3/2,E$1,1)))+IF($C68=$C$2,1-SUM(E$8:E67),0)</f>
        <v>0</v>
      </c>
      <c r="F68" s="542">
        <f>IF($C68=$C$2,0,IF(OR($C68=0,$C68&lt;general!$C$23,$C68&gt;$C$2),0,F$2/$C$3+NORMDIST($C68-general!$C$23+1,$C$3/2,F$1,1)-NORMDIST($C67-general!$C$23+1,$C$3/2,F$1,1)))+IF($C68=$C$2,1-SUM(F$8:F67),0)</f>
        <v>0</v>
      </c>
      <c r="G68" s="542">
        <f>IF($C68=$C$2,0,IF(OR($C68=0,$C68&lt;general!$C$23,$C68&gt;$C$2),0,G$2/$C$3+NORMDIST($C68-general!$C$23+1,$C$3/2,G$1,1)-NORMDIST($C67-general!$C$23+1,$C$3/2,G$1,1)))+IF($C68=$C$2,1-SUM(G$8:G67),0)</f>
        <v>0</v>
      </c>
      <c r="H68" s="542">
        <f>IF(C68=$C$2,0,IF(OR(C68=0,C68&lt;1,C68&gt;$C$2),0,$H$2/$C$2+NORMDIST(C68,$C$2/2,$H$1,1)-NORMDIST(C67,$C$2/2,$H$1,1)))+IF(C68=$C$2,1-SUM($H$9:H67),0)</f>
        <v>0</v>
      </c>
      <c r="I68" s="542">
        <f>IF(C68=$C$2,0,IF(OR(C68=0,C68&lt;1,C68&gt;$C$2),0,$I$2/$C$2+NORMDIST(C68,$C$2/2,$I$1,1)-NORMDIST(C67,$C$2/2,$I$1,1)))+IF(C68=$C$2,1-SUM($I$9:I67),0)</f>
        <v>0</v>
      </c>
      <c r="J68" s="542">
        <f>IF(C68=$C$2,0,IF(OR(C68=0,C68&lt;1,C68&gt;$C$2),0,$J$2/$C$2+NORMDIST(C68,$C$2/2,$J$1,1)-NORMDIST(C67,$C$2/2,$J$1,1)))+IF(C68=$C$2,1-SUM($J$9:J67),0)</f>
        <v>0</v>
      </c>
      <c r="K68" s="542">
        <f t="shared" si="14"/>
        <v>0</v>
      </c>
      <c r="L68" s="542">
        <f t="shared" si="11"/>
        <v>0</v>
      </c>
      <c r="M68" s="542">
        <f>IF($C68&gt;$C$2,IF($C68=sales!$F$36,M$4,0),(1-M$4)/$C$2)</f>
        <v>0</v>
      </c>
      <c r="N68" s="542">
        <f>IF(ISEVEN($C$2),IF(C68&gt;$C$2,0,IF(C68&lt;=$C$2/2,C68,C68-1-2*(SUMPRODUCT(--($C$8:C68&gt;$C$2/2))-1))/(($C$2/2)*($C$2/2+1))),0)+IF(ISODD($C$2),IF(C68&gt;$C$2,0,IF(C68-1&lt;=$C$2/2,C68,C68-2*(SUMPRODUCT(--($C$8:C68&gt;$C$2/2))-1))/((INT($C$2/2))*(INT($C$2/2)+1)+ROUNDUP($C$2/2,0))),0)</f>
        <v>0</v>
      </c>
      <c r="O68" s="542"/>
      <c r="P68" s="542">
        <f t="shared" si="12"/>
        <v>0</v>
      </c>
      <c r="Q68" s="542">
        <f>IF($C68=general!$C$28,Q$4,IFERROR(($C68&lt;general!$C$23)*((1-Q$4)*Q$5)/(general!$C$23-1),0)+IFERROR(($C68&gt;=general!$C$23)*($C68&lt;=general!$C$27)*((1-Q$4)*Q$6)/(general!$C$27-general!$C$23+1),0))+IF(AND(general!$C$23&lt;=1,$C68&lt;=1),'draws%'!Q$5*(1-Q$4))</f>
        <v>0</v>
      </c>
      <c r="R68" s="542">
        <f>IF($C68=general!$C$27,R$4,IFERROR(($C68&lt;general!$C$23)*((1-R$4)*R$5)/(general!$C$23-1),0)+IFERROR(($C68&gt;=general!$C$23)*($C68&lt;general!$C$27)*((1-R$4)*R$6)/(general!$C$27-general!$C$23),0))+IF(AND(general!$C$23&lt;=1,$C68&lt;=1),'draws%'!R$5*(1-R$4))</f>
        <v>0</v>
      </c>
      <c r="S68" s="542">
        <f>IF(OR(C68=general!$C$27,C68=general!$C$27-1),50%,0)</f>
        <v>0</v>
      </c>
      <c r="T68" s="542">
        <f>(C68&gt;=general!$C$26-6)*(C68&lt;general!$C$26)*1/6*0.5+(C68=3)*0.25+(C68=9)*0.25</f>
        <v>0</v>
      </c>
      <c r="U68" s="542">
        <f>IF(C68='Development Cash Flow'!$C$6,$U$5,0)+IF(C68=general!$C$27,$U$6,0)</f>
        <v>0</v>
      </c>
      <c r="V68" s="542">
        <f>IF(C68=general!$C$28,1,0)</f>
        <v>0</v>
      </c>
      <c r="W68" s="542">
        <f t="shared" si="15"/>
        <v>0</v>
      </c>
      <c r="X68" s="542">
        <f>IF(C68=general!$C$23,1,0)</f>
        <v>0</v>
      </c>
      <c r="Y68" s="542">
        <f>IFERROR((C68&lt;general!$C$23)*Y$5/(general!$C$23),0)+IFERROR((C68&gt;=general!$C$23)*(C68&lt;=general!$C$27)*Y$6/(general!$C$27-general!$C$23+1),0)</f>
        <v>0</v>
      </c>
      <c r="Z68" s="542">
        <f>IFERROR(($C68&lt;general!$C$23)*Z$5/(general!$C$23),0)+IFERROR(($C68&gt;=general!$C$23)*($C68&lt;=general!$C$27)*Z$6/(general!$C$27-general!$C$23+1),0)*(1-$Z$4)+$Z$4*AF68</f>
        <v>0</v>
      </c>
      <c r="AA68" s="542">
        <f>MAX((IFERROR(($C68&lt;general!$C$23)*AA$5/(general!$C$23),0)+IFERROR(($C68&gt;=general!$C$23)*($C68&lt;=general!$C$27)*AA$6/(general!$C$27-general!$C$23+1),0)),0)</f>
        <v>0</v>
      </c>
      <c r="AB68" s="542">
        <f>MAX((IFERROR(($C68&lt;general!$C$23)*AB$5/(general!$C$23),0)+IFERROR(($C68&gt;=general!$C$23)*($C68&lt;=general!$C$27)*AB$6/(general!$C$27-general!$C$23+1),0)),0)</f>
        <v>0</v>
      </c>
      <c r="AC68" s="542">
        <f>MAX((IFERROR(($C68&lt;general!$C$23)*AC$5/(general!$C$23),0)+IFERROR(($C68&gt;=general!$C$23)*($C68&lt;=general!$C$27)*AC$6/(general!$C$27-general!$C$23+1),0)),0)</f>
        <v>0</v>
      </c>
      <c r="AD68" s="542">
        <f>MAX((IFERROR(($C68&lt;general!$C$23)*AD$5/(general!$C$23),0)+IFERROR(($C68&gt;=general!$C$23)*($C68&lt;=general!$C$27)*AD$6/(general!$C$27-general!$C$23+1),0)),0)</f>
        <v>0</v>
      </c>
      <c r="AE68" s="542">
        <f t="shared" si="7"/>
        <v>0</v>
      </c>
      <c r="AF68" s="542">
        <f>+SUMPRODUCT(--($C68=sales!$C$50:$C$54),sales!$D$50:$D$54)</f>
        <v>0</v>
      </c>
      <c r="AG68" s="542">
        <f>IF($C68=general!$C$28,AG$4,IFERROR(($C68&lt;general!$C$23)*((1-AG$4)*AG$5)/(general!$C$23-1),0)+IFERROR(($C68&gt;=general!$C$23)*($C68&lt;=general!$C$27)*((1-AG$4)*AG$6)/(general!$C$27-general!$C$23+1),0))+IF(AND(general!$C$23&lt;=1,$C68&lt;=1),'draws%'!AG$5*(1-AG$4))</f>
        <v>0</v>
      </c>
      <c r="AH68" s="542">
        <f>+IF($C68=general!$C$21,1,0)</f>
        <v>0</v>
      </c>
      <c r="AK68" s="524">
        <f>IF(A68&lt;=general!$D$27,IF(MONTH(A68)=11,1,IF(C68=general!$C$27,1,0)),)</f>
        <v>0</v>
      </c>
      <c r="AL68" s="524">
        <f>IF(AK68=1,COUNTIFS($C$8:$C$128,"&lt;="&amp;general!$C$27&amp;"",'draws%'!$AM$8:$AM$128,"="&amp;AM68&amp;""),0)</f>
        <v>0</v>
      </c>
      <c r="AM68" s="524">
        <f t="shared" si="13"/>
        <v>2031</v>
      </c>
      <c r="AN68" s="524"/>
    </row>
    <row r="69" spans="1:40" ht="14">
      <c r="A69" s="903">
        <f t="shared" si="8"/>
        <v>48121</v>
      </c>
      <c r="C69" s="897">
        <f t="shared" si="9"/>
        <v>61</v>
      </c>
      <c r="D69" s="542"/>
      <c r="E69" s="542">
        <f>IF($C69=$C$2,0,IF(OR($C69=0,$C69&lt;general!$C$23,$C69&gt;$C$2),0,E$2/$C$3+NORMDIST($C69-general!$C$23+1,$C$3/2,E$1,1)-NORMDIST($C68-general!$C$23+1,$C$3/2,E$1,1)))+IF($C69=$C$2,1-SUM(E$8:E68),0)</f>
        <v>0</v>
      </c>
      <c r="F69" s="542">
        <f>IF($C69=$C$2,0,IF(OR($C69=0,$C69&lt;general!$C$23,$C69&gt;$C$2),0,F$2/$C$3+NORMDIST($C69-general!$C$23+1,$C$3/2,F$1,1)-NORMDIST($C68-general!$C$23+1,$C$3/2,F$1,1)))+IF($C69=$C$2,1-SUM(F$8:F68),0)</f>
        <v>0</v>
      </c>
      <c r="G69" s="542">
        <f>IF($C69=$C$2,0,IF(OR($C69=0,$C69&lt;general!$C$23,$C69&gt;$C$2),0,G$2/$C$3+NORMDIST($C69-general!$C$23+1,$C$3/2,G$1,1)-NORMDIST($C68-general!$C$23+1,$C$3/2,G$1,1)))+IF($C69=$C$2,1-SUM(G$8:G68),0)</f>
        <v>0</v>
      </c>
      <c r="H69" s="542">
        <f>IF(C69=$C$2,0,IF(OR(C69=0,C69&lt;1,C69&gt;$C$2),0,$H$2/$C$2+NORMDIST(C69,$C$2/2,$H$1,1)-NORMDIST(C68,$C$2/2,$H$1,1)))+IF(C69=$C$2,1-SUM($H$9:H68),0)</f>
        <v>0</v>
      </c>
      <c r="I69" s="542">
        <f>IF(C69=$C$2,0,IF(OR(C69=0,C69&lt;1,C69&gt;$C$2),0,$I$2/$C$2+NORMDIST(C69,$C$2/2,$I$1,1)-NORMDIST(C68,$C$2/2,$I$1,1)))+IF(C69=$C$2,1-SUM($I$9:I68),0)</f>
        <v>0</v>
      </c>
      <c r="J69" s="542">
        <f>IF(C69=$C$2,0,IF(OR(C69=0,C69&lt;1,C69&gt;$C$2),0,$J$2/$C$2+NORMDIST(C69,$C$2/2,$J$1,1)-NORMDIST(C68,$C$2/2,$J$1,1)))+IF(C69=$C$2,1-SUM($J$9:J68),0)</f>
        <v>0</v>
      </c>
      <c r="K69" s="542">
        <f t="shared" si="14"/>
        <v>0</v>
      </c>
      <c r="L69" s="542">
        <f t="shared" si="11"/>
        <v>0</v>
      </c>
      <c r="M69" s="542">
        <f>IF($C69&gt;$C$2,IF($C69=sales!$F$36,M$4,0),(1-M$4)/$C$2)</f>
        <v>0</v>
      </c>
      <c r="N69" s="542">
        <f>IF(ISEVEN($C$2),IF(C69&gt;$C$2,0,IF(C69&lt;=$C$2/2,C69,C69-1-2*(SUMPRODUCT(--($C$8:C69&gt;$C$2/2))-1))/(($C$2/2)*($C$2/2+1))),0)+IF(ISODD($C$2),IF(C69&gt;$C$2,0,IF(C69-1&lt;=$C$2/2,C69,C69-2*(SUMPRODUCT(--($C$8:C69&gt;$C$2/2))-1))/((INT($C$2/2))*(INT($C$2/2)+1)+ROUNDUP($C$2/2,0))),0)</f>
        <v>0</v>
      </c>
      <c r="O69" s="542"/>
      <c r="P69" s="542">
        <f t="shared" si="12"/>
        <v>0</v>
      </c>
      <c r="Q69" s="542">
        <f>IF($C69=general!$C$28,Q$4,IFERROR(($C69&lt;general!$C$23)*((1-Q$4)*Q$5)/(general!$C$23-1),0)+IFERROR(($C69&gt;=general!$C$23)*($C69&lt;=general!$C$27)*((1-Q$4)*Q$6)/(general!$C$27-general!$C$23+1),0))+IF(AND(general!$C$23&lt;=1,$C69&lt;=1),'draws%'!Q$5*(1-Q$4))</f>
        <v>0</v>
      </c>
      <c r="R69" s="542">
        <f>IF($C69=general!$C$27,R$4,IFERROR(($C69&lt;general!$C$23)*((1-R$4)*R$5)/(general!$C$23-1),0)+IFERROR(($C69&gt;=general!$C$23)*($C69&lt;general!$C$27)*((1-R$4)*R$6)/(general!$C$27-general!$C$23),0))+IF(AND(general!$C$23&lt;=1,$C69&lt;=1),'draws%'!R$5*(1-R$4))</f>
        <v>0</v>
      </c>
      <c r="S69" s="542">
        <f>IF(OR(C69=general!$C$27,C69=general!$C$27-1),50%,0)</f>
        <v>0</v>
      </c>
      <c r="T69" s="542">
        <f>(C69&gt;=general!$C$26-6)*(C69&lt;general!$C$26)*1/6*0.5+(C69=3)*0.25+(C69=9)*0.25</f>
        <v>0</v>
      </c>
      <c r="U69" s="542">
        <f>IF(C69='Development Cash Flow'!$C$6,$U$5,0)+IF(C69=general!$C$27,$U$6,0)</f>
        <v>0</v>
      </c>
      <c r="V69" s="542">
        <f>IF(C69=general!$C$28,1,0)</f>
        <v>0</v>
      </c>
      <c r="W69" s="542">
        <f t="shared" si="15"/>
        <v>0</v>
      </c>
      <c r="X69" s="542">
        <f>IF(C69=general!$C$23,1,0)</f>
        <v>0</v>
      </c>
      <c r="Y69" s="542">
        <f>IFERROR((C69&lt;general!$C$23)*Y$5/(general!$C$23),0)+IFERROR((C69&gt;=general!$C$23)*(C69&lt;=general!$C$27)*Y$6/(general!$C$27-general!$C$23+1),0)</f>
        <v>0</v>
      </c>
      <c r="Z69" s="542">
        <f>IFERROR(($C69&lt;general!$C$23)*Z$5/(general!$C$23),0)+IFERROR(($C69&gt;=general!$C$23)*($C69&lt;=general!$C$27)*Z$6/(general!$C$27-general!$C$23+1),0)*(1-$Z$4)+$Z$4*AF69</f>
        <v>0</v>
      </c>
      <c r="AA69" s="542">
        <f>MAX((IFERROR(($C69&lt;general!$C$23)*AA$5/(general!$C$23),0)+IFERROR(($C69&gt;=general!$C$23)*($C69&lt;=general!$C$27)*AA$6/(general!$C$27-general!$C$23+1),0)),0)</f>
        <v>0</v>
      </c>
      <c r="AB69" s="542">
        <f>MAX((IFERROR(($C69&lt;general!$C$23)*AB$5/(general!$C$23),0)+IFERROR(($C69&gt;=general!$C$23)*($C69&lt;=general!$C$27)*AB$6/(general!$C$27-general!$C$23+1),0)),0)</f>
        <v>0</v>
      </c>
      <c r="AC69" s="542">
        <f>MAX((IFERROR(($C69&lt;general!$C$23)*AC$5/(general!$C$23),0)+IFERROR(($C69&gt;=general!$C$23)*($C69&lt;=general!$C$27)*AC$6/(general!$C$27-general!$C$23+1),0)),0)</f>
        <v>0</v>
      </c>
      <c r="AD69" s="542">
        <f>MAX((IFERROR(($C69&lt;general!$C$23)*AD$5/(general!$C$23),0)+IFERROR(($C69&gt;=general!$C$23)*($C69&lt;=general!$C$27)*AD$6/(general!$C$27-general!$C$23+1),0)),0)</f>
        <v>0</v>
      </c>
      <c r="AE69" s="542">
        <f t="shared" si="7"/>
        <v>0</v>
      </c>
      <c r="AF69" s="542">
        <f>+SUMPRODUCT(--($C69=sales!$C$50:$C$54),sales!$D$50:$D$54)</f>
        <v>0</v>
      </c>
      <c r="AG69" s="542">
        <f>IF($C69=general!$C$28,AG$4,IFERROR(($C69&lt;general!$C$23)*((1-AG$4)*AG$5)/(general!$C$23-1),0)+IFERROR(($C69&gt;=general!$C$23)*($C69&lt;=general!$C$27)*((1-AG$4)*AG$6)/(general!$C$27-general!$C$23+1),0))+IF(AND(general!$C$23&lt;=1,$C69&lt;=1),'draws%'!AG$5*(1-AG$4))</f>
        <v>0</v>
      </c>
      <c r="AH69" s="542">
        <f>+IF($C69=general!$C$21,1,0)</f>
        <v>0</v>
      </c>
      <c r="AK69" s="524">
        <f>IF(A69&lt;=general!$D$27,IF(MONTH(A69)=11,1,IF(C69=general!$C$27,1,0)),)</f>
        <v>0</v>
      </c>
      <c r="AL69" s="524">
        <f>IF(AK69=1,COUNTIFS($C$8:$C$128,"&lt;="&amp;general!$C$27&amp;"",'draws%'!$AM$8:$AM$128,"="&amp;AM69&amp;""),0)</f>
        <v>0</v>
      </c>
      <c r="AM69" s="524">
        <f t="shared" si="13"/>
        <v>2031</v>
      </c>
      <c r="AN69" s="524"/>
    </row>
    <row r="70" spans="1:40" ht="14">
      <c r="A70" s="903">
        <f t="shared" si="8"/>
        <v>48152</v>
      </c>
      <c r="C70" s="897">
        <f t="shared" si="9"/>
        <v>62</v>
      </c>
      <c r="D70" s="542"/>
      <c r="E70" s="542">
        <f>IF($C70=$C$2,0,IF(OR($C70=0,$C70&lt;general!$C$23,$C70&gt;$C$2),0,E$2/$C$3+NORMDIST($C70-general!$C$23+1,$C$3/2,E$1,1)-NORMDIST($C69-general!$C$23+1,$C$3/2,E$1,1)))+IF($C70=$C$2,1-SUM(E$8:E69),0)</f>
        <v>0</v>
      </c>
      <c r="F70" s="542">
        <f>IF($C70=$C$2,0,IF(OR($C70=0,$C70&lt;general!$C$23,$C70&gt;$C$2),0,F$2/$C$3+NORMDIST($C70-general!$C$23+1,$C$3/2,F$1,1)-NORMDIST($C69-general!$C$23+1,$C$3/2,F$1,1)))+IF($C70=$C$2,1-SUM(F$8:F69),0)</f>
        <v>0</v>
      </c>
      <c r="G70" s="542">
        <f>IF($C70=$C$2,0,IF(OR($C70=0,$C70&lt;general!$C$23,$C70&gt;$C$2),0,G$2/$C$3+NORMDIST($C70-general!$C$23+1,$C$3/2,G$1,1)-NORMDIST($C69-general!$C$23+1,$C$3/2,G$1,1)))+IF($C70=$C$2,1-SUM(G$8:G69),0)</f>
        <v>0</v>
      </c>
      <c r="H70" s="542">
        <f>IF(C70=$C$2,0,IF(OR(C70=0,C70&lt;1,C70&gt;$C$2),0,$H$2/$C$2+NORMDIST(C70,$C$2/2,$H$1,1)-NORMDIST(C69,$C$2/2,$H$1,1)))+IF(C70=$C$2,1-SUM($H$9:H69),0)</f>
        <v>0</v>
      </c>
      <c r="I70" s="542">
        <f>IF(C70=$C$2,0,IF(OR(C70=0,C70&lt;1,C70&gt;$C$2),0,$I$2/$C$2+NORMDIST(C70,$C$2/2,$I$1,1)-NORMDIST(C69,$C$2/2,$I$1,1)))+IF(C70=$C$2,1-SUM($I$9:I69),0)</f>
        <v>0</v>
      </c>
      <c r="J70" s="542">
        <f>IF(C70=$C$2,0,IF(OR(C70=0,C70&lt;1,C70&gt;$C$2),0,$J$2/$C$2+NORMDIST(C70,$C$2/2,$J$1,1)-NORMDIST(C69,$C$2/2,$J$1,1)))+IF(C70=$C$2,1-SUM($J$9:J69),0)</f>
        <v>0</v>
      </c>
      <c r="K70" s="542">
        <f t="shared" si="14"/>
        <v>0</v>
      </c>
      <c r="L70" s="542">
        <f t="shared" si="11"/>
        <v>0</v>
      </c>
      <c r="M70" s="542">
        <f>IF($C70&gt;$C$2,IF($C70=sales!$F$36,M$4,0),(1-M$4)/$C$2)</f>
        <v>0</v>
      </c>
      <c r="N70" s="542">
        <f>IF(ISEVEN($C$2),IF(C70&gt;$C$2,0,IF(C70&lt;=$C$2/2,C70,C70-1-2*(SUMPRODUCT(--($C$8:C70&gt;$C$2/2))-1))/(($C$2/2)*($C$2/2+1))),0)+IF(ISODD($C$2),IF(C70&gt;$C$2,0,IF(C70-1&lt;=$C$2/2,C70,C70-2*(SUMPRODUCT(--($C$8:C70&gt;$C$2/2))-1))/((INT($C$2/2))*(INT($C$2/2)+1)+ROUNDUP($C$2/2,0))),0)</f>
        <v>0</v>
      </c>
      <c r="O70" s="542"/>
      <c r="P70" s="542">
        <f t="shared" si="12"/>
        <v>0</v>
      </c>
      <c r="Q70" s="542">
        <f>IF($C70=general!$C$28,Q$4,IFERROR(($C70&lt;general!$C$23)*((1-Q$4)*Q$5)/(general!$C$23-1),0)+IFERROR(($C70&gt;=general!$C$23)*($C70&lt;=general!$C$27)*((1-Q$4)*Q$6)/(general!$C$27-general!$C$23+1),0))+IF(AND(general!$C$23&lt;=1,$C70&lt;=1),'draws%'!Q$5*(1-Q$4))</f>
        <v>0</v>
      </c>
      <c r="R70" s="542">
        <f>IF($C70=general!$C$27,R$4,IFERROR(($C70&lt;general!$C$23)*((1-R$4)*R$5)/(general!$C$23-1),0)+IFERROR(($C70&gt;=general!$C$23)*($C70&lt;general!$C$27)*((1-R$4)*R$6)/(general!$C$27-general!$C$23),0))+IF(AND(general!$C$23&lt;=1,$C70&lt;=1),'draws%'!R$5*(1-R$4))</f>
        <v>0</v>
      </c>
      <c r="S70" s="542">
        <f>IF(OR(C70=general!$C$27,C70=general!$C$27-1),50%,0)</f>
        <v>0</v>
      </c>
      <c r="T70" s="542">
        <f>(C70&gt;=general!$C$26-6)*(C70&lt;general!$C$26)*1/6*0.5+(C70=3)*0.25+(C70=9)*0.25</f>
        <v>0</v>
      </c>
      <c r="U70" s="542">
        <f>IF(C70='Development Cash Flow'!$C$6,$U$5,0)+IF(C70=general!$C$27,$U$6,0)</f>
        <v>0</v>
      </c>
      <c r="V70" s="542">
        <f>IF(C70=general!$C$28,1,0)</f>
        <v>0</v>
      </c>
      <c r="W70" s="542">
        <f t="shared" si="15"/>
        <v>0</v>
      </c>
      <c r="X70" s="542">
        <f>IF(C70=general!$C$23,1,0)</f>
        <v>0</v>
      </c>
      <c r="Y70" s="542">
        <f>IFERROR((C70&lt;general!$C$23)*Y$5/(general!$C$23),0)+IFERROR((C70&gt;=general!$C$23)*(C70&lt;=general!$C$27)*Y$6/(general!$C$27-general!$C$23+1),0)</f>
        <v>0</v>
      </c>
      <c r="Z70" s="542">
        <f>IFERROR(($C70&lt;general!$C$23)*Z$5/(general!$C$23),0)+IFERROR(($C70&gt;=general!$C$23)*($C70&lt;=general!$C$27)*Z$6/(general!$C$27-general!$C$23+1),0)*(1-$Z$4)+$Z$4*AF70</f>
        <v>0</v>
      </c>
      <c r="AA70" s="542">
        <f>MAX((IFERROR(($C70&lt;general!$C$23)*AA$5/(general!$C$23),0)+IFERROR(($C70&gt;=general!$C$23)*($C70&lt;=general!$C$27)*AA$6/(general!$C$27-general!$C$23+1),0)),0)</f>
        <v>0</v>
      </c>
      <c r="AB70" s="542">
        <f>MAX((IFERROR(($C70&lt;general!$C$23)*AB$5/(general!$C$23),0)+IFERROR(($C70&gt;=general!$C$23)*($C70&lt;=general!$C$27)*AB$6/(general!$C$27-general!$C$23+1),0)),0)</f>
        <v>0</v>
      </c>
      <c r="AC70" s="542">
        <f>MAX((IFERROR(($C70&lt;general!$C$23)*AC$5/(general!$C$23),0)+IFERROR(($C70&gt;=general!$C$23)*($C70&lt;=general!$C$27)*AC$6/(general!$C$27-general!$C$23+1),0)),0)</f>
        <v>0</v>
      </c>
      <c r="AD70" s="542">
        <f>MAX((IFERROR(($C70&lt;general!$C$23)*AD$5/(general!$C$23),0)+IFERROR(($C70&gt;=general!$C$23)*($C70&lt;=general!$C$27)*AD$6/(general!$C$27-general!$C$23+1),0)),0)</f>
        <v>0</v>
      </c>
      <c r="AE70" s="542">
        <f t="shared" si="7"/>
        <v>0</v>
      </c>
      <c r="AF70" s="542">
        <f>+SUMPRODUCT(--($C70=sales!$C$50:$C$54),sales!$D$50:$D$54)</f>
        <v>0</v>
      </c>
      <c r="AG70" s="542">
        <f>IF($C70=general!$C$28,AG$4,IFERROR(($C70&lt;general!$C$23)*((1-AG$4)*AG$5)/(general!$C$23-1),0)+IFERROR(($C70&gt;=general!$C$23)*($C70&lt;=general!$C$27)*((1-AG$4)*AG$6)/(general!$C$27-general!$C$23+1),0))+IF(AND(general!$C$23&lt;=1,$C70&lt;=1),'draws%'!AG$5*(1-AG$4))</f>
        <v>0</v>
      </c>
      <c r="AH70" s="542">
        <f>+IF($C70=general!$C$21,1,0)</f>
        <v>0</v>
      </c>
      <c r="AK70" s="524">
        <f>IF(A70&lt;=general!$D$27,IF(MONTH(A70)=11,1,IF(C70=general!$C$27,1,0)),)</f>
        <v>0</v>
      </c>
      <c r="AL70" s="524">
        <f>IF(AK70=1,COUNTIFS($C$8:$C$128,"&lt;="&amp;general!$C$27&amp;"",'draws%'!$AM$8:$AM$128,"="&amp;AM70&amp;""),0)</f>
        <v>0</v>
      </c>
      <c r="AM70" s="524">
        <f t="shared" si="13"/>
        <v>2031</v>
      </c>
      <c r="AN70" s="524"/>
    </row>
    <row r="71" spans="1:40" ht="14">
      <c r="A71" s="903">
        <f t="shared" si="8"/>
        <v>48182</v>
      </c>
      <c r="C71" s="897">
        <f t="shared" si="9"/>
        <v>63</v>
      </c>
      <c r="D71" s="542"/>
      <c r="E71" s="542">
        <f>IF($C71=$C$2,0,IF(OR($C71=0,$C71&lt;general!$C$23,$C71&gt;$C$2),0,E$2/$C$3+NORMDIST($C71-general!$C$23+1,$C$3/2,E$1,1)-NORMDIST($C70-general!$C$23+1,$C$3/2,E$1,1)))+IF($C71=$C$2,1-SUM(E$8:E70),0)</f>
        <v>0</v>
      </c>
      <c r="F71" s="542">
        <f>IF($C71=$C$2,0,IF(OR($C71=0,$C71&lt;general!$C$23,$C71&gt;$C$2),0,F$2/$C$3+NORMDIST($C71-general!$C$23+1,$C$3/2,F$1,1)-NORMDIST($C70-general!$C$23+1,$C$3/2,F$1,1)))+IF($C71=$C$2,1-SUM(F$8:F70),0)</f>
        <v>0</v>
      </c>
      <c r="G71" s="542">
        <f>IF($C71=$C$2,0,IF(OR($C71=0,$C71&lt;general!$C$23,$C71&gt;$C$2),0,G$2/$C$3+NORMDIST($C71-general!$C$23+1,$C$3/2,G$1,1)-NORMDIST($C70-general!$C$23+1,$C$3/2,G$1,1)))+IF($C71=$C$2,1-SUM(G$8:G70),0)</f>
        <v>0</v>
      </c>
      <c r="H71" s="542">
        <f>IF(C71=$C$2,0,IF(OR(C71=0,C71&lt;1,C71&gt;$C$2),0,$H$2/$C$2+NORMDIST(C71,$C$2/2,$H$1,1)-NORMDIST(C70,$C$2/2,$H$1,1)))+IF(C71=$C$2,1-SUM($H$9:H70),0)</f>
        <v>0</v>
      </c>
      <c r="I71" s="542">
        <f>IF(C71=$C$2,0,IF(OR(C71=0,C71&lt;1,C71&gt;$C$2),0,$I$2/$C$2+NORMDIST(C71,$C$2/2,$I$1,1)-NORMDIST(C70,$C$2/2,$I$1,1)))+IF(C71=$C$2,1-SUM($I$9:I70),0)</f>
        <v>0</v>
      </c>
      <c r="J71" s="542">
        <f>IF(C71=$C$2,0,IF(OR(C71=0,C71&lt;1,C71&gt;$C$2),0,$J$2/$C$2+NORMDIST(C71,$C$2/2,$J$1,1)-NORMDIST(C70,$C$2/2,$J$1,1)))+IF(C71=$C$2,1-SUM($J$9:J70),0)</f>
        <v>0</v>
      </c>
      <c r="K71" s="542">
        <f t="shared" si="14"/>
        <v>0</v>
      </c>
      <c r="L71" s="542">
        <f t="shared" si="11"/>
        <v>0</v>
      </c>
      <c r="M71" s="542">
        <f>IF($C71&gt;$C$2,IF($C71=sales!$F$36,M$4,0),(1-M$4)/$C$2)</f>
        <v>0</v>
      </c>
      <c r="N71" s="542">
        <f>IF(ISEVEN($C$2),IF(C71&gt;$C$2,0,IF(C71&lt;=$C$2/2,C71,C71-1-2*(SUMPRODUCT(--($C$8:C71&gt;$C$2/2))-1))/(($C$2/2)*($C$2/2+1))),0)+IF(ISODD($C$2),IF(C71&gt;$C$2,0,IF(C71-1&lt;=$C$2/2,C71,C71-2*(SUMPRODUCT(--($C$8:C71&gt;$C$2/2))-1))/((INT($C$2/2))*(INT($C$2/2)+1)+ROUNDUP($C$2/2,0))),0)</f>
        <v>0</v>
      </c>
      <c r="O71" s="542"/>
      <c r="P71" s="542">
        <f t="shared" si="12"/>
        <v>0</v>
      </c>
      <c r="Q71" s="542">
        <f>IF($C71=general!$C$28,Q$4,IFERROR(($C71&lt;general!$C$23)*((1-Q$4)*Q$5)/(general!$C$23-1),0)+IFERROR(($C71&gt;=general!$C$23)*($C71&lt;=general!$C$27)*((1-Q$4)*Q$6)/(general!$C$27-general!$C$23+1),0))+IF(AND(general!$C$23&lt;=1,$C71&lt;=1),'draws%'!Q$5*(1-Q$4))</f>
        <v>0</v>
      </c>
      <c r="R71" s="542">
        <f>IF($C71=general!$C$27,R$4,IFERROR(($C71&lt;general!$C$23)*((1-R$4)*R$5)/(general!$C$23-1),0)+IFERROR(($C71&gt;=general!$C$23)*($C71&lt;general!$C$27)*((1-R$4)*R$6)/(general!$C$27-general!$C$23),0))+IF(AND(general!$C$23&lt;=1,$C71&lt;=1),'draws%'!R$5*(1-R$4))</f>
        <v>0</v>
      </c>
      <c r="S71" s="542">
        <f>IF(OR(C71=general!$C$27,C71=general!$C$27-1),50%,0)</f>
        <v>0</v>
      </c>
      <c r="T71" s="542">
        <f>(C71&gt;=general!$C$26-6)*(C71&lt;general!$C$26)*1/6*0.5+(C71=3)*0.25+(C71=9)*0.25</f>
        <v>0</v>
      </c>
      <c r="U71" s="542">
        <f>IF(C71='Development Cash Flow'!$C$6,$U$5,0)+IF(C71=general!$C$27,$U$6,0)</f>
        <v>0</v>
      </c>
      <c r="V71" s="542">
        <f>IF(C71=general!$C$28,1,0)</f>
        <v>0</v>
      </c>
      <c r="W71" s="542">
        <f t="shared" si="15"/>
        <v>0</v>
      </c>
      <c r="X71" s="542">
        <f>IF(C71=general!$C$23,1,0)</f>
        <v>0</v>
      </c>
      <c r="Y71" s="542">
        <f>IFERROR((C71&lt;general!$C$23)*Y$5/(general!$C$23),0)+IFERROR((C71&gt;=general!$C$23)*(C71&lt;=general!$C$27)*Y$6/(general!$C$27-general!$C$23+1),0)</f>
        <v>0</v>
      </c>
      <c r="Z71" s="542">
        <f>IFERROR(($C71&lt;general!$C$23)*Z$5/(general!$C$23),0)+IFERROR(($C71&gt;=general!$C$23)*($C71&lt;=general!$C$27)*Z$6/(general!$C$27-general!$C$23+1),0)*(1-$Z$4)+$Z$4*AF71</f>
        <v>0</v>
      </c>
      <c r="AA71" s="542">
        <f>MAX((IFERROR(($C71&lt;general!$C$23)*AA$5/(general!$C$23),0)+IFERROR(($C71&gt;=general!$C$23)*($C71&lt;=general!$C$27)*AA$6/(general!$C$27-general!$C$23+1),0)),0)</f>
        <v>0</v>
      </c>
      <c r="AB71" s="542">
        <f>MAX((IFERROR(($C71&lt;general!$C$23)*AB$5/(general!$C$23),0)+IFERROR(($C71&gt;=general!$C$23)*($C71&lt;=general!$C$27)*AB$6/(general!$C$27-general!$C$23+1),0)),0)</f>
        <v>0</v>
      </c>
      <c r="AC71" s="542">
        <f>MAX((IFERROR(($C71&lt;general!$C$23)*AC$5/(general!$C$23),0)+IFERROR(($C71&gt;=general!$C$23)*($C71&lt;=general!$C$27)*AC$6/(general!$C$27-general!$C$23+1),0)),0)</f>
        <v>0</v>
      </c>
      <c r="AD71" s="542">
        <f>MAX((IFERROR(($C71&lt;general!$C$23)*AD$5/(general!$C$23),0)+IFERROR(($C71&gt;=general!$C$23)*($C71&lt;=general!$C$27)*AD$6/(general!$C$27-general!$C$23+1),0)),0)</f>
        <v>0</v>
      </c>
      <c r="AE71" s="542">
        <f t="shared" si="7"/>
        <v>0</v>
      </c>
      <c r="AF71" s="542">
        <f>+SUMPRODUCT(--($C71=sales!$C$50:$C$54),sales!$D$50:$D$54)</f>
        <v>0</v>
      </c>
      <c r="AG71" s="542">
        <f>IF($C71=general!$C$28,AG$4,IFERROR(($C71&lt;general!$C$23)*((1-AG$4)*AG$5)/(general!$C$23-1),0)+IFERROR(($C71&gt;=general!$C$23)*($C71&lt;=general!$C$27)*((1-AG$4)*AG$6)/(general!$C$27-general!$C$23+1),0))+IF(AND(general!$C$23&lt;=1,$C71&lt;=1),'draws%'!AG$5*(1-AG$4))</f>
        <v>0</v>
      </c>
      <c r="AH71" s="542">
        <f>+IF($C71=general!$C$21,1,0)</f>
        <v>0</v>
      </c>
      <c r="AK71" s="524">
        <f>IF(A71&lt;=general!$D$27,IF(MONTH(A71)=11,1,IF(C71=general!$C$27,1,0)),)</f>
        <v>0</v>
      </c>
      <c r="AL71" s="524">
        <f>IF(AK71=1,COUNTIFS($C$8:$C$128,"&lt;="&amp;general!$C$27&amp;"",'draws%'!$AM$8:$AM$128,"="&amp;AM71&amp;""),0)</f>
        <v>0</v>
      </c>
      <c r="AM71" s="524">
        <f t="shared" si="13"/>
        <v>2031</v>
      </c>
      <c r="AN71" s="524"/>
    </row>
    <row r="72" spans="1:40" ht="14">
      <c r="A72" s="903">
        <f t="shared" si="8"/>
        <v>48213</v>
      </c>
      <c r="C72" s="897">
        <f t="shared" si="9"/>
        <v>64</v>
      </c>
      <c r="D72" s="542"/>
      <c r="E72" s="542">
        <f>IF($C72=$C$2,0,IF(OR($C72=0,$C72&lt;general!$C$23,$C72&gt;$C$2),0,E$2/$C$3+NORMDIST($C72-general!$C$23+1,$C$3/2,E$1,1)-NORMDIST($C71-general!$C$23+1,$C$3/2,E$1,1)))+IF($C72=$C$2,1-SUM(E$8:E71),0)</f>
        <v>0</v>
      </c>
      <c r="F72" s="542">
        <f>IF($C72=$C$2,0,IF(OR($C72=0,$C72&lt;general!$C$23,$C72&gt;$C$2),0,F$2/$C$3+NORMDIST($C72-general!$C$23+1,$C$3/2,F$1,1)-NORMDIST($C71-general!$C$23+1,$C$3/2,F$1,1)))+IF($C72=$C$2,1-SUM(F$8:F71),0)</f>
        <v>0</v>
      </c>
      <c r="G72" s="542">
        <f>IF($C72=$C$2,0,IF(OR($C72=0,$C72&lt;general!$C$23,$C72&gt;$C$2),0,G$2/$C$3+NORMDIST($C72-general!$C$23+1,$C$3/2,G$1,1)-NORMDIST($C71-general!$C$23+1,$C$3/2,G$1,1)))+IF($C72=$C$2,1-SUM(G$8:G71),0)</f>
        <v>0</v>
      </c>
      <c r="H72" s="542">
        <f>IF(C72=$C$2,0,IF(OR(C72=0,C72&lt;1,C72&gt;$C$2),0,$H$2/$C$2+NORMDIST(C72,$C$2/2,$H$1,1)-NORMDIST(C71,$C$2/2,$H$1,1)))+IF(C72=$C$2,1-SUM($H$9:H71),0)</f>
        <v>0</v>
      </c>
      <c r="I72" s="542">
        <f>IF(C72=$C$2,0,IF(OR(C72=0,C72&lt;1,C72&gt;$C$2),0,$I$2/$C$2+NORMDIST(C72,$C$2/2,$I$1,1)-NORMDIST(C71,$C$2/2,$I$1,1)))+IF(C72=$C$2,1-SUM($I$9:I71),0)</f>
        <v>0</v>
      </c>
      <c r="J72" s="542">
        <f>IF(C72=$C$2,0,IF(OR(C72=0,C72&lt;1,C72&gt;$C$2),0,$J$2/$C$2+NORMDIST(C72,$C$2/2,$J$1,1)-NORMDIST(C71,$C$2/2,$J$1,1)))+IF(C72=$C$2,1-SUM($J$9:J71),0)</f>
        <v>0</v>
      </c>
      <c r="K72" s="542">
        <f t="shared" si="14"/>
        <v>0</v>
      </c>
      <c r="L72" s="542">
        <f t="shared" ref="L72:L103" si="16">IF(C72&gt;$C$2,0,1/($C$2+1))</f>
        <v>0</v>
      </c>
      <c r="M72" s="542">
        <f>IF($C72&gt;$C$2,IF($C72=sales!$F$36,M$4,0),(1-M$4)/$C$2)</f>
        <v>0</v>
      </c>
      <c r="N72" s="542">
        <f>IF(ISEVEN($C$2),IF(C72&gt;$C$2,0,IF(C72&lt;=$C$2/2,C72,C72-1-2*(SUMPRODUCT(--($C$8:C72&gt;$C$2/2))-1))/(($C$2/2)*($C$2/2+1))),0)+IF(ISODD($C$2),IF(C72&gt;$C$2,0,IF(C72-1&lt;=$C$2/2,C72,C72-2*(SUMPRODUCT(--($C$8:C72&gt;$C$2/2))-1))/((INT($C$2/2))*(INT($C$2/2)+1)+ROUNDUP($C$2/2,0))),0)</f>
        <v>0</v>
      </c>
      <c r="O72" s="542"/>
      <c r="P72" s="542">
        <f t="shared" ref="P72:P103" si="17">IF(AND(C72&gt;=$C$2-5,C72&lt;=$C$2),1/6,0)</f>
        <v>0</v>
      </c>
      <c r="Q72" s="542">
        <f>IF($C72=general!$C$28,Q$4,IFERROR(($C72&lt;general!$C$23)*((1-Q$4)*Q$5)/(general!$C$23-1),0)+IFERROR(($C72&gt;=general!$C$23)*($C72&lt;=general!$C$27)*((1-Q$4)*Q$6)/(general!$C$27-general!$C$23+1),0))+IF(AND(general!$C$23&lt;=1,$C72&lt;=1),'draws%'!Q$5*(1-Q$4))</f>
        <v>0</v>
      </c>
      <c r="R72" s="542">
        <f>IF($C72=general!$C$27,R$4,IFERROR(($C72&lt;general!$C$23)*((1-R$4)*R$5)/(general!$C$23-1),0)+IFERROR(($C72&gt;=general!$C$23)*($C72&lt;general!$C$27)*((1-R$4)*R$6)/(general!$C$27-general!$C$23),0))+IF(AND(general!$C$23&lt;=1,$C72&lt;=1),'draws%'!R$5*(1-R$4))</f>
        <v>0</v>
      </c>
      <c r="S72" s="542">
        <f>IF(OR(C72=general!$C$27,C72=general!$C$27-1),50%,0)</f>
        <v>0</v>
      </c>
      <c r="T72" s="542">
        <f>(C72&gt;=general!$C$26-6)*(C72&lt;general!$C$26)*1/6*0.5+(C72=3)*0.25+(C72=9)*0.25</f>
        <v>0</v>
      </c>
      <c r="U72" s="542">
        <f>IF(C72='Development Cash Flow'!$C$6,$U$5,0)+IF(C72=general!$C$27,$U$6,0)</f>
        <v>0</v>
      </c>
      <c r="V72" s="542">
        <f>IF(C72=general!$C$28,1,0)</f>
        <v>0</v>
      </c>
      <c r="W72" s="542">
        <f t="shared" si="15"/>
        <v>0</v>
      </c>
      <c r="X72" s="542">
        <f>IF(C72=general!$C$23,1,0)</f>
        <v>0</v>
      </c>
      <c r="Y72" s="542">
        <f>IFERROR((C72&lt;general!$C$23)*Y$5/(general!$C$23),0)+IFERROR((C72&gt;=general!$C$23)*(C72&lt;=general!$C$27)*Y$6/(general!$C$27-general!$C$23+1),0)</f>
        <v>0</v>
      </c>
      <c r="Z72" s="542">
        <f>IFERROR(($C72&lt;general!$C$23)*Z$5/(general!$C$23),0)+IFERROR(($C72&gt;=general!$C$23)*($C72&lt;=general!$C$27)*Z$6/(general!$C$27-general!$C$23+1),0)*(1-$Z$4)+$Z$4*AF72</f>
        <v>0</v>
      </c>
      <c r="AA72" s="542">
        <f>MAX((IFERROR(($C72&lt;general!$C$23)*AA$5/(general!$C$23),0)+IFERROR(($C72&gt;=general!$C$23)*($C72&lt;=general!$C$27)*AA$6/(general!$C$27-general!$C$23+1),0)),0)</f>
        <v>0</v>
      </c>
      <c r="AB72" s="542">
        <f>MAX((IFERROR(($C72&lt;general!$C$23)*AB$5/(general!$C$23),0)+IFERROR(($C72&gt;=general!$C$23)*($C72&lt;=general!$C$27)*AB$6/(general!$C$27-general!$C$23+1),0)),0)</f>
        <v>0</v>
      </c>
      <c r="AC72" s="542">
        <f>MAX((IFERROR(($C72&lt;general!$C$23)*AC$5/(general!$C$23),0)+IFERROR(($C72&gt;=general!$C$23)*($C72&lt;=general!$C$27)*AC$6/(general!$C$27-general!$C$23+1),0)),0)</f>
        <v>0</v>
      </c>
      <c r="AD72" s="542">
        <f>MAX((IFERROR(($C72&lt;general!$C$23)*AD$5/(general!$C$23),0)+IFERROR(($C72&gt;=general!$C$23)*($C72&lt;=general!$C$27)*AD$6/(general!$C$27-general!$C$23+1),0)),0)</f>
        <v>0</v>
      </c>
      <c r="AE72" s="542">
        <f t="shared" si="7"/>
        <v>0</v>
      </c>
      <c r="AF72" s="542">
        <f>+SUMPRODUCT(--($C72=sales!$C$50:$C$54),sales!$D$50:$D$54)</f>
        <v>0</v>
      </c>
      <c r="AG72" s="542">
        <f>IF($C72=general!$C$28,AG$4,IFERROR(($C72&lt;general!$C$23)*((1-AG$4)*AG$5)/(general!$C$23-1),0)+IFERROR(($C72&gt;=general!$C$23)*($C72&lt;=general!$C$27)*((1-AG$4)*AG$6)/(general!$C$27-general!$C$23+1),0))+IF(AND(general!$C$23&lt;=1,$C72&lt;=1),'draws%'!AG$5*(1-AG$4))</f>
        <v>0</v>
      </c>
      <c r="AH72" s="542">
        <f>+IF($C72=general!$C$21,1,0)</f>
        <v>0</v>
      </c>
      <c r="AK72" s="524">
        <f>IF(A72&lt;=general!$D$27,IF(MONTH(A72)=11,1,IF(C72=general!$C$27,1,0)),)</f>
        <v>0</v>
      </c>
      <c r="AL72" s="524">
        <f>IF(AK72=1,COUNTIFS($C$8:$C$128,"&lt;="&amp;general!$C$27&amp;"",'draws%'!$AM$8:$AM$128,"="&amp;AM72&amp;""),0)</f>
        <v>0</v>
      </c>
      <c r="AM72" s="524">
        <f t="shared" ref="AM72:AM103" si="18">YEAR(A72)</f>
        <v>2031</v>
      </c>
      <c r="AN72" s="524"/>
    </row>
    <row r="73" spans="1:40" ht="14">
      <c r="A73" s="903">
        <f t="shared" si="8"/>
        <v>48244</v>
      </c>
      <c r="C73" s="897">
        <f t="shared" si="9"/>
        <v>65</v>
      </c>
      <c r="D73" s="542"/>
      <c r="E73" s="542">
        <f>IF($C73=$C$2,0,IF(OR($C73=0,$C73&lt;general!$C$23,$C73&gt;$C$2),0,E$2/$C$3+NORMDIST($C73-general!$C$23+1,$C$3/2,E$1,1)-NORMDIST($C72-general!$C$23+1,$C$3/2,E$1,1)))+IF($C73=$C$2,1-SUM(E$8:E72),0)</f>
        <v>0</v>
      </c>
      <c r="F73" s="542">
        <f>IF($C73=$C$2,0,IF(OR($C73=0,$C73&lt;general!$C$23,$C73&gt;$C$2),0,F$2/$C$3+NORMDIST($C73-general!$C$23+1,$C$3/2,F$1,1)-NORMDIST($C72-general!$C$23+1,$C$3/2,F$1,1)))+IF($C73=$C$2,1-SUM(F$8:F72),0)</f>
        <v>0</v>
      </c>
      <c r="G73" s="542">
        <f>IF($C73=$C$2,0,IF(OR($C73=0,$C73&lt;general!$C$23,$C73&gt;$C$2),0,G$2/$C$3+NORMDIST($C73-general!$C$23+1,$C$3/2,G$1,1)-NORMDIST($C72-general!$C$23+1,$C$3/2,G$1,1)))+IF($C73=$C$2,1-SUM(G$8:G72),0)</f>
        <v>0</v>
      </c>
      <c r="H73" s="542">
        <f>IF(C73=$C$2,0,IF(OR(C73=0,C73&lt;1,C73&gt;$C$2),0,$H$2/$C$2+NORMDIST(C73,$C$2/2,$H$1,1)-NORMDIST(C72,$C$2/2,$H$1,1)))+IF(C73=$C$2,1-SUM($H$9:H72),0)</f>
        <v>0</v>
      </c>
      <c r="I73" s="542">
        <f>IF(C73=$C$2,0,IF(OR(C73=0,C73&lt;1,C73&gt;$C$2),0,$I$2/$C$2+NORMDIST(C73,$C$2/2,$I$1,1)-NORMDIST(C72,$C$2/2,$I$1,1)))+IF(C73=$C$2,1-SUM($I$9:I72),0)</f>
        <v>0</v>
      </c>
      <c r="J73" s="542">
        <f>IF(C73=$C$2,0,IF(OR(C73=0,C73&lt;1,C73&gt;$C$2),0,$J$2/$C$2+NORMDIST(C73,$C$2/2,$J$1,1)-NORMDIST(C72,$C$2/2,$J$1,1)))+IF(C73=$C$2,1-SUM($J$9:J72),0)</f>
        <v>0</v>
      </c>
      <c r="K73" s="542">
        <f t="shared" ref="K73:K104" si="19">IF(C73&lt;=$C$2,50%/$C$2,0)</f>
        <v>0</v>
      </c>
      <c r="L73" s="542">
        <f t="shared" si="16"/>
        <v>0</v>
      </c>
      <c r="M73" s="542">
        <f>IF($C73&gt;$C$2,IF($C73=sales!$F$36,M$4,0),(1-M$4)/$C$2)</f>
        <v>0</v>
      </c>
      <c r="N73" s="542">
        <f>IF(ISEVEN($C$2),IF(C73&gt;$C$2,0,IF(C73&lt;=$C$2/2,C73,C73-1-2*(SUMPRODUCT(--($C$8:C73&gt;$C$2/2))-1))/(($C$2/2)*($C$2/2+1))),0)+IF(ISODD($C$2),IF(C73&gt;$C$2,0,IF(C73-1&lt;=$C$2/2,C73,C73-2*(SUMPRODUCT(--($C$8:C73&gt;$C$2/2))-1))/((INT($C$2/2))*(INT($C$2/2)+1)+ROUNDUP($C$2/2,0))),0)</f>
        <v>0</v>
      </c>
      <c r="O73" s="542"/>
      <c r="P73" s="542">
        <f t="shared" si="17"/>
        <v>0</v>
      </c>
      <c r="Q73" s="542">
        <f>IF($C73=general!$C$28,Q$4,IFERROR(($C73&lt;general!$C$23)*((1-Q$4)*Q$5)/(general!$C$23-1),0)+IFERROR(($C73&gt;=general!$C$23)*($C73&lt;=general!$C$27)*((1-Q$4)*Q$6)/(general!$C$27-general!$C$23+1),0))+IF(AND(general!$C$23&lt;=1,$C73&lt;=1),'draws%'!Q$5*(1-Q$4))</f>
        <v>0</v>
      </c>
      <c r="R73" s="542">
        <f>IF($C73=general!$C$27,R$4,IFERROR(($C73&lt;general!$C$23)*((1-R$4)*R$5)/(general!$C$23-1),0)+IFERROR(($C73&gt;=general!$C$23)*($C73&lt;general!$C$27)*((1-R$4)*R$6)/(general!$C$27-general!$C$23),0))+IF(AND(general!$C$23&lt;=1,$C73&lt;=1),'draws%'!R$5*(1-R$4))</f>
        <v>0</v>
      </c>
      <c r="S73" s="542">
        <f>IF(OR(C73=general!$C$27,C73=general!$C$27-1),50%,0)</f>
        <v>0</v>
      </c>
      <c r="T73" s="542">
        <f>(C73&gt;=general!$C$26-6)*(C73&lt;general!$C$26)*1/6*0.5+(C73=3)*0.25+(C73=9)*0.25</f>
        <v>0</v>
      </c>
      <c r="U73" s="542">
        <f>IF(C73='Development Cash Flow'!$C$6,$U$5,0)+IF(C73=general!$C$27,$U$6,0)</f>
        <v>0</v>
      </c>
      <c r="V73" s="542">
        <f>IF(C73=general!$C$28,1,0)</f>
        <v>0</v>
      </c>
      <c r="W73" s="542">
        <f t="shared" si="15"/>
        <v>0</v>
      </c>
      <c r="X73" s="542">
        <f>IF(C73=general!$C$23,1,0)</f>
        <v>0</v>
      </c>
      <c r="Y73" s="542">
        <f>IFERROR((C73&lt;general!$C$23)*Y$5/(general!$C$23),0)+IFERROR((C73&gt;=general!$C$23)*(C73&lt;=general!$C$27)*Y$6/(general!$C$27-general!$C$23+1),0)</f>
        <v>0</v>
      </c>
      <c r="Z73" s="542">
        <f>IFERROR(($C73&lt;general!$C$23)*Z$5/(general!$C$23),0)+IFERROR(($C73&gt;=general!$C$23)*($C73&lt;=general!$C$27)*Z$6/(general!$C$27-general!$C$23+1),0)*(1-$Z$4)+$Z$4*AF73</f>
        <v>0</v>
      </c>
      <c r="AA73" s="542">
        <f>MAX((IFERROR(($C73&lt;general!$C$23)*AA$5/(general!$C$23),0)+IFERROR(($C73&gt;=general!$C$23)*($C73&lt;=general!$C$27)*AA$6/(general!$C$27-general!$C$23+1),0)),0)</f>
        <v>0</v>
      </c>
      <c r="AB73" s="542">
        <f>MAX((IFERROR(($C73&lt;general!$C$23)*AB$5/(general!$C$23),0)+IFERROR(($C73&gt;=general!$C$23)*($C73&lt;=general!$C$27)*AB$6/(general!$C$27-general!$C$23+1),0)),0)</f>
        <v>0</v>
      </c>
      <c r="AC73" s="542">
        <f>MAX((IFERROR(($C73&lt;general!$C$23)*AC$5/(general!$C$23),0)+IFERROR(($C73&gt;=general!$C$23)*($C73&lt;=general!$C$27)*AC$6/(general!$C$27-general!$C$23+1),0)),0)</f>
        <v>0</v>
      </c>
      <c r="AD73" s="542">
        <f>MAX((IFERROR(($C73&lt;general!$C$23)*AD$5/(general!$C$23),0)+IFERROR(($C73&gt;=general!$C$23)*($C73&lt;=general!$C$27)*AD$6/(general!$C$27-general!$C$23+1),0)),0)</f>
        <v>0</v>
      </c>
      <c r="AE73" s="542">
        <f t="shared" ref="AE73:AE104" si="20">IF(AK73=1,AL73/SUM($AL$8:$AL$128),0)</f>
        <v>0</v>
      </c>
      <c r="AF73" s="542">
        <f>+SUMPRODUCT(--($C73=sales!$C$50:$C$54),sales!$D$50:$D$54)</f>
        <v>0</v>
      </c>
      <c r="AG73" s="542">
        <f>IF($C73=general!$C$28,AG$4,IFERROR(($C73&lt;general!$C$23)*((1-AG$4)*AG$5)/(general!$C$23-1),0)+IFERROR(($C73&gt;=general!$C$23)*($C73&lt;=general!$C$27)*((1-AG$4)*AG$6)/(general!$C$27-general!$C$23+1),0))+IF(AND(general!$C$23&lt;=1,$C73&lt;=1),'draws%'!AG$5*(1-AG$4))</f>
        <v>0</v>
      </c>
      <c r="AH73" s="542">
        <f>+IF($C73=general!$C$21,1,0)</f>
        <v>0</v>
      </c>
      <c r="AK73" s="524">
        <f>IF(A73&lt;=general!$D$27,IF(MONTH(A73)=11,1,IF(C73=general!$C$27,1,0)),)</f>
        <v>0</v>
      </c>
      <c r="AL73" s="524">
        <f>IF(AK73=1,COUNTIFS($C$8:$C$128,"&lt;="&amp;general!$C$27&amp;"",'draws%'!$AM$8:$AM$128,"="&amp;AM73&amp;""),0)</f>
        <v>0</v>
      </c>
      <c r="AM73" s="524">
        <f t="shared" si="18"/>
        <v>2032</v>
      </c>
      <c r="AN73" s="524"/>
    </row>
    <row r="74" spans="1:40" ht="14">
      <c r="A74" s="903">
        <f t="shared" ref="A74:A128" si="21">EOMONTH(A73,1)</f>
        <v>48273</v>
      </c>
      <c r="C74" s="897">
        <f t="shared" ref="C74:C128" si="22">C73+1</f>
        <v>66</v>
      </c>
      <c r="D74" s="542"/>
      <c r="E74" s="542">
        <f>IF($C74=$C$2,0,IF(OR($C74=0,$C74&lt;general!$C$23,$C74&gt;$C$2),0,E$2/$C$3+NORMDIST($C74-general!$C$23+1,$C$3/2,E$1,1)-NORMDIST($C73-general!$C$23+1,$C$3/2,E$1,1)))+IF($C74=$C$2,1-SUM(E$8:E73),0)</f>
        <v>0</v>
      </c>
      <c r="F74" s="542">
        <f>IF($C74=$C$2,0,IF(OR($C74=0,$C74&lt;general!$C$23,$C74&gt;$C$2),0,F$2/$C$3+NORMDIST($C74-general!$C$23+1,$C$3/2,F$1,1)-NORMDIST($C73-general!$C$23+1,$C$3/2,F$1,1)))+IF($C74=$C$2,1-SUM(F$8:F73),0)</f>
        <v>0</v>
      </c>
      <c r="G74" s="542">
        <f>IF($C74=$C$2,0,IF(OR($C74=0,$C74&lt;general!$C$23,$C74&gt;$C$2),0,G$2/$C$3+NORMDIST($C74-general!$C$23+1,$C$3/2,G$1,1)-NORMDIST($C73-general!$C$23+1,$C$3/2,G$1,1)))+IF($C74=$C$2,1-SUM(G$8:G73),0)</f>
        <v>0</v>
      </c>
      <c r="H74" s="542">
        <f>IF(C74=$C$2,0,IF(OR(C74=0,C74&lt;1,C74&gt;$C$2),0,$H$2/$C$2+NORMDIST(C74,$C$2/2,$H$1,1)-NORMDIST(C73,$C$2/2,$H$1,1)))+IF(C74=$C$2,1-SUM($H$9:H73),0)</f>
        <v>0</v>
      </c>
      <c r="I74" s="542">
        <f>IF(C74=$C$2,0,IF(OR(C74=0,C74&lt;1,C74&gt;$C$2),0,$I$2/$C$2+NORMDIST(C74,$C$2/2,$I$1,1)-NORMDIST(C73,$C$2/2,$I$1,1)))+IF(C74=$C$2,1-SUM($I$9:I73),0)</f>
        <v>0</v>
      </c>
      <c r="J74" s="542">
        <f>IF(C74=$C$2,0,IF(OR(C74=0,C74&lt;1,C74&gt;$C$2),0,$J$2/$C$2+NORMDIST(C74,$C$2/2,$J$1,1)-NORMDIST(C73,$C$2/2,$J$1,1)))+IF(C74=$C$2,1-SUM($J$9:J73),0)</f>
        <v>0</v>
      </c>
      <c r="K74" s="542">
        <f t="shared" si="19"/>
        <v>0</v>
      </c>
      <c r="L74" s="542">
        <f t="shared" si="16"/>
        <v>0</v>
      </c>
      <c r="M74" s="542">
        <f>IF($C74&gt;$C$2,IF($C74=sales!$F$36,M$4,0),(1-M$4)/$C$2)</f>
        <v>0</v>
      </c>
      <c r="N74" s="542">
        <f>IF(ISEVEN($C$2),IF(C74&gt;$C$2,0,IF(C74&lt;=$C$2/2,C74,C74-1-2*(SUMPRODUCT(--($C$8:C74&gt;$C$2/2))-1))/(($C$2/2)*($C$2/2+1))),0)+IF(ISODD($C$2),IF(C74&gt;$C$2,0,IF(C74-1&lt;=$C$2/2,C74,C74-2*(SUMPRODUCT(--($C$8:C74&gt;$C$2/2))-1))/((INT($C$2/2))*(INT($C$2/2)+1)+ROUNDUP($C$2/2,0))),0)</f>
        <v>0</v>
      </c>
      <c r="O74" s="542"/>
      <c r="P74" s="542">
        <f t="shared" si="17"/>
        <v>0</v>
      </c>
      <c r="Q74" s="542">
        <f>IF($C74=general!$C$28,Q$4,IFERROR(($C74&lt;general!$C$23)*((1-Q$4)*Q$5)/(general!$C$23-1),0)+IFERROR(($C74&gt;=general!$C$23)*($C74&lt;=general!$C$27)*((1-Q$4)*Q$6)/(general!$C$27-general!$C$23+1),0))+IF(AND(general!$C$23&lt;=1,$C74&lt;=1),'draws%'!Q$5*(1-Q$4))</f>
        <v>0</v>
      </c>
      <c r="R74" s="542">
        <f>IF($C74=general!$C$27,R$4,IFERROR(($C74&lt;general!$C$23)*((1-R$4)*R$5)/(general!$C$23-1),0)+IFERROR(($C74&gt;=general!$C$23)*($C74&lt;general!$C$27)*((1-R$4)*R$6)/(general!$C$27-general!$C$23),0))+IF(AND(general!$C$23&lt;=1,$C74&lt;=1),'draws%'!R$5*(1-R$4))</f>
        <v>0</v>
      </c>
      <c r="S74" s="542">
        <f>IF(OR(C74=general!$C$27,C74=general!$C$27-1),50%,0)</f>
        <v>0</v>
      </c>
      <c r="T74" s="542">
        <f>(C74&gt;=general!$C$26-6)*(C74&lt;general!$C$26)*1/6*0.5+(C74=3)*0.25+(C74=9)*0.25</f>
        <v>0</v>
      </c>
      <c r="U74" s="542">
        <f>IF(C74='Development Cash Flow'!$C$6,$U$5,0)+IF(C74=general!$C$27,$U$6,0)</f>
        <v>0</v>
      </c>
      <c r="V74" s="542">
        <f>IF(C74=general!$C$28,1,0)</f>
        <v>0</v>
      </c>
      <c r="W74" s="542">
        <f t="shared" si="15"/>
        <v>0</v>
      </c>
      <c r="X74" s="542">
        <f>IF(C74=general!$C$23,1,0)</f>
        <v>0</v>
      </c>
      <c r="Y74" s="542">
        <f>IFERROR((C74&lt;general!$C$23)*Y$5/(general!$C$23),0)+IFERROR((C74&gt;=general!$C$23)*(C74&lt;=general!$C$27)*Y$6/(general!$C$27-general!$C$23+1),0)</f>
        <v>0</v>
      </c>
      <c r="Z74" s="542">
        <f>IFERROR(($C74&lt;general!$C$23)*Z$5/(general!$C$23),0)+IFERROR(($C74&gt;=general!$C$23)*($C74&lt;=general!$C$27)*Z$6/(general!$C$27-general!$C$23+1),0)*(1-$Z$4)+$Z$4*AF74</f>
        <v>0</v>
      </c>
      <c r="AA74" s="542">
        <f>MAX((IFERROR(($C74&lt;general!$C$23)*AA$5/(general!$C$23),0)+IFERROR(($C74&gt;=general!$C$23)*($C74&lt;=general!$C$27)*AA$6/(general!$C$27-general!$C$23+1),0)),0)</f>
        <v>0</v>
      </c>
      <c r="AB74" s="542">
        <f>MAX((IFERROR(($C74&lt;general!$C$23)*AB$5/(general!$C$23),0)+IFERROR(($C74&gt;=general!$C$23)*($C74&lt;=general!$C$27)*AB$6/(general!$C$27-general!$C$23+1),0)),0)</f>
        <v>0</v>
      </c>
      <c r="AC74" s="542">
        <f>MAX((IFERROR(($C74&lt;general!$C$23)*AC$5/(general!$C$23),0)+IFERROR(($C74&gt;=general!$C$23)*($C74&lt;=general!$C$27)*AC$6/(general!$C$27-general!$C$23+1),0)),0)</f>
        <v>0</v>
      </c>
      <c r="AD74" s="542">
        <f>MAX((IFERROR(($C74&lt;general!$C$23)*AD$5/(general!$C$23),0)+IFERROR(($C74&gt;=general!$C$23)*($C74&lt;=general!$C$27)*AD$6/(general!$C$27-general!$C$23+1),0)),0)</f>
        <v>0</v>
      </c>
      <c r="AE74" s="542">
        <f t="shared" si="20"/>
        <v>0</v>
      </c>
      <c r="AF74" s="542">
        <f>+SUMPRODUCT(--($C74=sales!$C$50:$C$54),sales!$D$50:$D$54)</f>
        <v>0</v>
      </c>
      <c r="AG74" s="542">
        <f>IF($C74=general!$C$28,AG$4,IFERROR(($C74&lt;general!$C$23)*((1-AG$4)*AG$5)/(general!$C$23-1),0)+IFERROR(($C74&gt;=general!$C$23)*($C74&lt;=general!$C$27)*((1-AG$4)*AG$6)/(general!$C$27-general!$C$23+1),0))+IF(AND(general!$C$23&lt;=1,$C74&lt;=1),'draws%'!AG$5*(1-AG$4))</f>
        <v>0</v>
      </c>
      <c r="AH74" s="542">
        <f>+IF($C74=general!$C$21,1,0)</f>
        <v>0</v>
      </c>
      <c r="AK74" s="524">
        <f>IF(A74&lt;=general!$D$27,IF(MONTH(A74)=11,1,IF(C74=general!$C$27,1,0)),)</f>
        <v>0</v>
      </c>
      <c r="AL74" s="524">
        <f>IF(AK74=1,COUNTIFS($C$8:$C$128,"&lt;="&amp;general!$C$27&amp;"",'draws%'!$AM$8:$AM$128,"="&amp;AM74&amp;""),0)</f>
        <v>0</v>
      </c>
      <c r="AM74" s="524">
        <f t="shared" si="18"/>
        <v>2032</v>
      </c>
      <c r="AN74" s="524"/>
    </row>
    <row r="75" spans="1:40" ht="14">
      <c r="A75" s="903">
        <f t="shared" si="21"/>
        <v>48304</v>
      </c>
      <c r="C75" s="897">
        <f t="shared" si="22"/>
        <v>67</v>
      </c>
      <c r="D75" s="542"/>
      <c r="E75" s="542">
        <f>IF($C75=$C$2,0,IF(OR($C75=0,$C75&lt;general!$C$23,$C75&gt;$C$2),0,E$2/$C$3+NORMDIST($C75-general!$C$23+1,$C$3/2,E$1,1)-NORMDIST($C74-general!$C$23+1,$C$3/2,E$1,1)))+IF($C75=$C$2,1-SUM(E$8:E74),0)</f>
        <v>0</v>
      </c>
      <c r="F75" s="542">
        <f>IF($C75=$C$2,0,IF(OR($C75=0,$C75&lt;general!$C$23,$C75&gt;$C$2),0,F$2/$C$3+NORMDIST($C75-general!$C$23+1,$C$3/2,F$1,1)-NORMDIST($C74-general!$C$23+1,$C$3/2,F$1,1)))+IF($C75=$C$2,1-SUM(F$8:F74),0)</f>
        <v>0</v>
      </c>
      <c r="G75" s="542">
        <f>IF($C75=$C$2,0,IF(OR($C75=0,$C75&lt;general!$C$23,$C75&gt;$C$2),0,G$2/$C$3+NORMDIST($C75-general!$C$23+1,$C$3/2,G$1,1)-NORMDIST($C74-general!$C$23+1,$C$3/2,G$1,1)))+IF($C75=$C$2,1-SUM(G$8:G74),0)</f>
        <v>0</v>
      </c>
      <c r="H75" s="542">
        <f>IF(C75=$C$2,0,IF(OR(C75=0,C75&lt;1,C75&gt;$C$2),0,$H$2/$C$2+NORMDIST(C75,$C$2/2,$H$1,1)-NORMDIST(C74,$C$2/2,$H$1,1)))+IF(C75=$C$2,1-SUM($H$9:H74),0)</f>
        <v>0</v>
      </c>
      <c r="I75" s="542">
        <f>IF(C75=$C$2,0,IF(OR(C75=0,C75&lt;1,C75&gt;$C$2),0,$I$2/$C$2+NORMDIST(C75,$C$2/2,$I$1,1)-NORMDIST(C74,$C$2/2,$I$1,1)))+IF(C75=$C$2,1-SUM($I$9:I74),0)</f>
        <v>0</v>
      </c>
      <c r="J75" s="542">
        <f>IF(C75=$C$2,0,IF(OR(C75=0,C75&lt;1,C75&gt;$C$2),0,$J$2/$C$2+NORMDIST(C75,$C$2/2,$J$1,1)-NORMDIST(C74,$C$2/2,$J$1,1)))+IF(C75=$C$2,1-SUM($J$9:J74),0)</f>
        <v>0</v>
      </c>
      <c r="K75" s="542">
        <f t="shared" si="19"/>
        <v>0</v>
      </c>
      <c r="L75" s="542">
        <f t="shared" si="16"/>
        <v>0</v>
      </c>
      <c r="M75" s="542">
        <f>IF($C75&gt;$C$2,IF($C75=sales!$F$36,M$4,0),(1-M$4)/$C$2)</f>
        <v>0</v>
      </c>
      <c r="N75" s="542">
        <f>IF(ISEVEN($C$2),IF(C75&gt;$C$2,0,IF(C75&lt;=$C$2/2,C75,C75-1-2*(SUMPRODUCT(--($C$8:C75&gt;$C$2/2))-1))/(($C$2/2)*($C$2/2+1))),0)+IF(ISODD($C$2),IF(C75&gt;$C$2,0,IF(C75-1&lt;=$C$2/2,C75,C75-2*(SUMPRODUCT(--($C$8:C75&gt;$C$2/2))-1))/((INT($C$2/2))*(INT($C$2/2)+1)+ROUNDUP($C$2/2,0))),0)</f>
        <v>0</v>
      </c>
      <c r="O75" s="542"/>
      <c r="P75" s="542">
        <f t="shared" si="17"/>
        <v>0</v>
      </c>
      <c r="Q75" s="542">
        <f>IF($C75=general!$C$28,Q$4,IFERROR(($C75&lt;general!$C$23)*((1-Q$4)*Q$5)/(general!$C$23-1),0)+IFERROR(($C75&gt;=general!$C$23)*($C75&lt;=general!$C$27)*((1-Q$4)*Q$6)/(general!$C$27-general!$C$23+1),0))+IF(AND(general!$C$23&lt;=1,$C75&lt;=1),'draws%'!Q$5*(1-Q$4))</f>
        <v>0</v>
      </c>
      <c r="R75" s="542">
        <f>IF($C75=general!$C$27,R$4,IFERROR(($C75&lt;general!$C$23)*((1-R$4)*R$5)/(general!$C$23-1),0)+IFERROR(($C75&gt;=general!$C$23)*($C75&lt;general!$C$27)*((1-R$4)*R$6)/(general!$C$27-general!$C$23),0))+IF(AND(general!$C$23&lt;=1,$C75&lt;=1),'draws%'!R$5*(1-R$4))</f>
        <v>0</v>
      </c>
      <c r="S75" s="542">
        <f>IF(OR(C75=general!$C$27,C75=general!$C$27-1),50%,0)</f>
        <v>0</v>
      </c>
      <c r="T75" s="542">
        <f>(C75&gt;=general!$C$26-6)*(C75&lt;general!$C$26)*1/6*0.5+(C75=3)*0.25+(C75=9)*0.25</f>
        <v>0</v>
      </c>
      <c r="U75" s="542">
        <f>IF(C75='Development Cash Flow'!$C$6,$U$5,0)+IF(C75=general!$C$27,$U$6,0)</f>
        <v>0</v>
      </c>
      <c r="V75" s="542">
        <f>IF(C75=general!$C$28,1,0)</f>
        <v>0</v>
      </c>
      <c r="W75" s="542">
        <f t="shared" si="15"/>
        <v>0</v>
      </c>
      <c r="X75" s="542">
        <f>IF(C75=general!$C$23,1,0)</f>
        <v>0</v>
      </c>
      <c r="Y75" s="542">
        <f>IFERROR((C75&lt;general!$C$23)*Y$5/(general!$C$23),0)+IFERROR((C75&gt;=general!$C$23)*(C75&lt;=general!$C$27)*Y$6/(general!$C$27-general!$C$23+1),0)</f>
        <v>0</v>
      </c>
      <c r="Z75" s="542">
        <f>IFERROR(($C75&lt;general!$C$23)*Z$5/(general!$C$23),0)+IFERROR(($C75&gt;=general!$C$23)*($C75&lt;=general!$C$27)*Z$6/(general!$C$27-general!$C$23+1),0)*(1-$Z$4)+$Z$4*AF75</f>
        <v>0</v>
      </c>
      <c r="AA75" s="542">
        <f>MAX((IFERROR(($C75&lt;general!$C$23)*AA$5/(general!$C$23),0)+IFERROR(($C75&gt;=general!$C$23)*($C75&lt;=general!$C$27)*AA$6/(general!$C$27-general!$C$23+1),0)),0)</f>
        <v>0</v>
      </c>
      <c r="AB75" s="542">
        <f>MAX((IFERROR(($C75&lt;general!$C$23)*AB$5/(general!$C$23),0)+IFERROR(($C75&gt;=general!$C$23)*($C75&lt;=general!$C$27)*AB$6/(general!$C$27-general!$C$23+1),0)),0)</f>
        <v>0</v>
      </c>
      <c r="AC75" s="542">
        <f>MAX((IFERROR(($C75&lt;general!$C$23)*AC$5/(general!$C$23),0)+IFERROR(($C75&gt;=general!$C$23)*($C75&lt;=general!$C$27)*AC$6/(general!$C$27-general!$C$23+1),0)),0)</f>
        <v>0</v>
      </c>
      <c r="AD75" s="542">
        <f>MAX((IFERROR(($C75&lt;general!$C$23)*AD$5/(general!$C$23),0)+IFERROR(($C75&gt;=general!$C$23)*($C75&lt;=general!$C$27)*AD$6/(general!$C$27-general!$C$23+1),0)),0)</f>
        <v>0</v>
      </c>
      <c r="AE75" s="542">
        <f t="shared" si="20"/>
        <v>0</v>
      </c>
      <c r="AF75" s="542">
        <f>+SUMPRODUCT(--($C75=sales!$C$50:$C$54),sales!$D$50:$D$54)</f>
        <v>0</v>
      </c>
      <c r="AG75" s="542">
        <f>IF($C75=general!$C$28,AG$4,IFERROR(($C75&lt;general!$C$23)*((1-AG$4)*AG$5)/(general!$C$23-1),0)+IFERROR(($C75&gt;=general!$C$23)*($C75&lt;=general!$C$27)*((1-AG$4)*AG$6)/(general!$C$27-general!$C$23+1),0))+IF(AND(general!$C$23&lt;=1,$C75&lt;=1),'draws%'!AG$5*(1-AG$4))</f>
        <v>0</v>
      </c>
      <c r="AH75" s="542">
        <f>+IF($C75=general!$C$21,1,0)</f>
        <v>0</v>
      </c>
      <c r="AK75" s="524">
        <f>IF(A75&lt;=general!$D$27,IF(MONTH(A75)=11,1,IF(C75=general!$C$27,1,0)),)</f>
        <v>0</v>
      </c>
      <c r="AL75" s="524">
        <f>IF(AK75=1,COUNTIFS($C$8:$C$128,"&lt;="&amp;general!$C$27&amp;"",'draws%'!$AM$8:$AM$128,"="&amp;AM75&amp;""),0)</f>
        <v>0</v>
      </c>
      <c r="AM75" s="524">
        <f t="shared" si="18"/>
        <v>2032</v>
      </c>
      <c r="AN75" s="524"/>
    </row>
    <row r="76" spans="1:40" ht="14">
      <c r="A76" s="903">
        <f t="shared" si="21"/>
        <v>48334</v>
      </c>
      <c r="C76" s="897">
        <f t="shared" si="22"/>
        <v>68</v>
      </c>
      <c r="D76" s="542"/>
      <c r="E76" s="542">
        <f>IF($C76=$C$2,0,IF(OR($C76=0,$C76&lt;general!$C$23,$C76&gt;$C$2),0,E$2/$C$3+NORMDIST($C76-general!$C$23+1,$C$3/2,E$1,1)-NORMDIST($C75-general!$C$23+1,$C$3/2,E$1,1)))+IF($C76=$C$2,1-SUM(E$8:E75),0)</f>
        <v>0</v>
      </c>
      <c r="F76" s="542">
        <f>IF($C76=$C$2,0,IF(OR($C76=0,$C76&lt;general!$C$23,$C76&gt;$C$2),0,F$2/$C$3+NORMDIST($C76-general!$C$23+1,$C$3/2,F$1,1)-NORMDIST($C75-general!$C$23+1,$C$3/2,F$1,1)))+IF($C76=$C$2,1-SUM(F$8:F75),0)</f>
        <v>0</v>
      </c>
      <c r="G76" s="542">
        <f>IF($C76=$C$2,0,IF(OR($C76=0,$C76&lt;general!$C$23,$C76&gt;$C$2),0,G$2/$C$3+NORMDIST($C76-general!$C$23+1,$C$3/2,G$1,1)-NORMDIST($C75-general!$C$23+1,$C$3/2,G$1,1)))+IF($C76=$C$2,1-SUM(G$8:G75),0)</f>
        <v>0</v>
      </c>
      <c r="H76" s="542">
        <f>IF(C76=$C$2,0,IF(OR(C76=0,C76&lt;1,C76&gt;$C$2),0,$H$2/$C$2+NORMDIST(C76,$C$2/2,$H$1,1)-NORMDIST(C75,$C$2/2,$H$1,1)))+IF(C76=$C$2,1-SUM($H$9:H75),0)</f>
        <v>0</v>
      </c>
      <c r="I76" s="542">
        <f>IF(C76=$C$2,0,IF(OR(C76=0,C76&lt;1,C76&gt;$C$2),0,$I$2/$C$2+NORMDIST(C76,$C$2/2,$I$1,1)-NORMDIST(C75,$C$2/2,$I$1,1)))+IF(C76=$C$2,1-SUM($I$9:I75),0)</f>
        <v>0</v>
      </c>
      <c r="J76" s="542">
        <f>IF(C76=$C$2,0,IF(OR(C76=0,C76&lt;1,C76&gt;$C$2),0,$J$2/$C$2+NORMDIST(C76,$C$2/2,$J$1,1)-NORMDIST(C75,$C$2/2,$J$1,1)))+IF(C76=$C$2,1-SUM($J$9:J75),0)</f>
        <v>0</v>
      </c>
      <c r="K76" s="542">
        <f t="shared" si="19"/>
        <v>0</v>
      </c>
      <c r="L76" s="542">
        <f t="shared" si="16"/>
        <v>0</v>
      </c>
      <c r="M76" s="542">
        <f>IF($C76&gt;$C$2,IF($C76=sales!$F$36,M$4,0),(1-M$4)/$C$2)</f>
        <v>0</v>
      </c>
      <c r="N76" s="542">
        <f>IF(ISEVEN($C$2),IF(C76&gt;$C$2,0,IF(C76&lt;=$C$2/2,C76,C76-1-2*(SUMPRODUCT(--($C$8:C76&gt;$C$2/2))-1))/(($C$2/2)*($C$2/2+1))),0)+IF(ISODD($C$2),IF(C76&gt;$C$2,0,IF(C76-1&lt;=$C$2/2,C76,C76-2*(SUMPRODUCT(--($C$8:C76&gt;$C$2/2))-1))/((INT($C$2/2))*(INT($C$2/2)+1)+ROUNDUP($C$2/2,0))),0)</f>
        <v>0</v>
      </c>
      <c r="O76" s="542"/>
      <c r="P76" s="542">
        <f t="shared" si="17"/>
        <v>0</v>
      </c>
      <c r="Q76" s="542">
        <f>IF($C76=general!$C$28,Q$4,IFERROR(($C76&lt;general!$C$23)*((1-Q$4)*Q$5)/(general!$C$23-1),0)+IFERROR(($C76&gt;=general!$C$23)*($C76&lt;=general!$C$27)*((1-Q$4)*Q$6)/(general!$C$27-general!$C$23+1),0))+IF(AND(general!$C$23&lt;=1,$C76&lt;=1),'draws%'!Q$5*(1-Q$4))</f>
        <v>0</v>
      </c>
      <c r="R76" s="542">
        <f>IF($C76=general!$C$27,R$4,IFERROR(($C76&lt;general!$C$23)*((1-R$4)*R$5)/(general!$C$23-1),0)+IFERROR(($C76&gt;=general!$C$23)*($C76&lt;general!$C$27)*((1-R$4)*R$6)/(general!$C$27-general!$C$23),0))+IF(AND(general!$C$23&lt;=1,$C76&lt;=1),'draws%'!R$5*(1-R$4))</f>
        <v>0</v>
      </c>
      <c r="S76" s="542">
        <f>IF(OR(C76=general!$C$27,C76=general!$C$27-1),50%,0)</f>
        <v>0</v>
      </c>
      <c r="T76" s="542">
        <f>(C76&gt;=general!$C$26-6)*(C76&lt;general!$C$26)*1/6*0.5+(C76=3)*0.25+(C76=9)*0.25</f>
        <v>0</v>
      </c>
      <c r="U76" s="542">
        <f>IF(C76='Development Cash Flow'!$C$6,$U$5,0)+IF(C76=general!$C$27,$U$6,0)</f>
        <v>0</v>
      </c>
      <c r="V76" s="542">
        <f>IF(C76=general!$C$28,1,0)</f>
        <v>0</v>
      </c>
      <c r="W76" s="542">
        <f t="shared" si="15"/>
        <v>0</v>
      </c>
      <c r="X76" s="542">
        <f>IF(C76=general!$C$23,1,0)</f>
        <v>0</v>
      </c>
      <c r="Y76" s="542">
        <f>IFERROR((C76&lt;general!$C$23)*Y$5/(general!$C$23),0)+IFERROR((C76&gt;=general!$C$23)*(C76&lt;=general!$C$27)*Y$6/(general!$C$27-general!$C$23+1),0)</f>
        <v>0</v>
      </c>
      <c r="Z76" s="542">
        <f>IFERROR(($C76&lt;general!$C$23)*Z$5/(general!$C$23),0)+IFERROR(($C76&gt;=general!$C$23)*($C76&lt;=general!$C$27)*Z$6/(general!$C$27-general!$C$23+1),0)*(1-$Z$4)+$Z$4*AF76</f>
        <v>0</v>
      </c>
      <c r="AA76" s="542">
        <f>MAX((IFERROR(($C76&lt;general!$C$23)*AA$5/(general!$C$23),0)+IFERROR(($C76&gt;=general!$C$23)*($C76&lt;=general!$C$27)*AA$6/(general!$C$27-general!$C$23+1),0)),0)</f>
        <v>0</v>
      </c>
      <c r="AB76" s="542">
        <f>MAX((IFERROR(($C76&lt;general!$C$23)*AB$5/(general!$C$23),0)+IFERROR(($C76&gt;=general!$C$23)*($C76&lt;=general!$C$27)*AB$6/(general!$C$27-general!$C$23+1),0)),0)</f>
        <v>0</v>
      </c>
      <c r="AC76" s="542">
        <f>MAX((IFERROR(($C76&lt;general!$C$23)*AC$5/(general!$C$23),0)+IFERROR(($C76&gt;=general!$C$23)*($C76&lt;=general!$C$27)*AC$6/(general!$C$27-general!$C$23+1),0)),0)</f>
        <v>0</v>
      </c>
      <c r="AD76" s="542">
        <f>MAX((IFERROR(($C76&lt;general!$C$23)*AD$5/(general!$C$23),0)+IFERROR(($C76&gt;=general!$C$23)*($C76&lt;=general!$C$27)*AD$6/(general!$C$27-general!$C$23+1),0)),0)</f>
        <v>0</v>
      </c>
      <c r="AE76" s="542">
        <f t="shared" si="20"/>
        <v>0</v>
      </c>
      <c r="AF76" s="542">
        <f>+SUMPRODUCT(--($C76=sales!$C$50:$C$54),sales!$D$50:$D$54)</f>
        <v>0</v>
      </c>
      <c r="AG76" s="542">
        <f>IF($C76=general!$C$28,AG$4,IFERROR(($C76&lt;general!$C$23)*((1-AG$4)*AG$5)/(general!$C$23-1),0)+IFERROR(($C76&gt;=general!$C$23)*($C76&lt;=general!$C$27)*((1-AG$4)*AG$6)/(general!$C$27-general!$C$23+1),0))+IF(AND(general!$C$23&lt;=1,$C76&lt;=1),'draws%'!AG$5*(1-AG$4))</f>
        <v>0</v>
      </c>
      <c r="AH76" s="542">
        <f>+IF($C76=general!$C$21,1,0)</f>
        <v>0</v>
      </c>
      <c r="AK76" s="524">
        <f>IF(A76&lt;=general!$D$27,IF(MONTH(A76)=11,1,IF(C76=general!$C$27,1,0)),)</f>
        <v>0</v>
      </c>
      <c r="AL76" s="524">
        <f>IF(AK76=1,COUNTIFS($C$8:$C$128,"&lt;="&amp;general!$C$27&amp;"",'draws%'!$AM$8:$AM$128,"="&amp;AM76&amp;""),0)</f>
        <v>0</v>
      </c>
      <c r="AM76" s="524">
        <f t="shared" si="18"/>
        <v>2032</v>
      </c>
      <c r="AN76" s="524"/>
    </row>
    <row r="77" spans="1:40" ht="14">
      <c r="A77" s="903">
        <f t="shared" si="21"/>
        <v>48365</v>
      </c>
      <c r="C77" s="897">
        <f t="shared" si="22"/>
        <v>69</v>
      </c>
      <c r="D77" s="542"/>
      <c r="E77" s="542">
        <f>IF($C77=$C$2,0,IF(OR($C77=0,$C77&lt;general!$C$23,$C77&gt;$C$2),0,E$2/$C$3+NORMDIST($C77-general!$C$23+1,$C$3/2,E$1,1)-NORMDIST($C76-general!$C$23+1,$C$3/2,E$1,1)))+IF($C77=$C$2,1-SUM(E$8:E76),0)</f>
        <v>0</v>
      </c>
      <c r="F77" s="542">
        <f>IF($C77=$C$2,0,IF(OR($C77=0,$C77&lt;general!$C$23,$C77&gt;$C$2),0,F$2/$C$3+NORMDIST($C77-general!$C$23+1,$C$3/2,F$1,1)-NORMDIST($C76-general!$C$23+1,$C$3/2,F$1,1)))+IF($C77=$C$2,1-SUM(F$8:F76),0)</f>
        <v>0</v>
      </c>
      <c r="G77" s="542">
        <f>IF($C77=$C$2,0,IF(OR($C77=0,$C77&lt;general!$C$23,$C77&gt;$C$2),0,G$2/$C$3+NORMDIST($C77-general!$C$23+1,$C$3/2,G$1,1)-NORMDIST($C76-general!$C$23+1,$C$3/2,G$1,1)))+IF($C77=$C$2,1-SUM(G$8:G76),0)</f>
        <v>0</v>
      </c>
      <c r="H77" s="542">
        <f>IF(C77=$C$2,0,IF(OR(C77=0,C77&lt;1,C77&gt;$C$2),0,$H$2/$C$2+NORMDIST(C77,$C$2/2,$H$1,1)-NORMDIST(C76,$C$2/2,$H$1,1)))+IF(C77=$C$2,1-SUM($H$9:H76),0)</f>
        <v>0</v>
      </c>
      <c r="I77" s="542">
        <f>IF(C77=$C$2,0,IF(OR(C77=0,C77&lt;1,C77&gt;$C$2),0,$I$2/$C$2+NORMDIST(C77,$C$2/2,$I$1,1)-NORMDIST(C76,$C$2/2,$I$1,1)))+IF(C77=$C$2,1-SUM($I$9:I76),0)</f>
        <v>0</v>
      </c>
      <c r="J77" s="542">
        <f>IF(C77=$C$2,0,IF(OR(C77=0,C77&lt;1,C77&gt;$C$2),0,$J$2/$C$2+NORMDIST(C77,$C$2/2,$J$1,1)-NORMDIST(C76,$C$2/2,$J$1,1)))+IF(C77=$C$2,1-SUM($J$9:J76),0)</f>
        <v>0</v>
      </c>
      <c r="K77" s="542">
        <f t="shared" si="19"/>
        <v>0</v>
      </c>
      <c r="L77" s="542">
        <f t="shared" si="16"/>
        <v>0</v>
      </c>
      <c r="M77" s="542">
        <f>IF($C77&gt;$C$2,IF($C77=sales!$F$36,M$4,0),(1-M$4)/$C$2)</f>
        <v>0</v>
      </c>
      <c r="N77" s="542">
        <f>IF(ISEVEN($C$2),IF(C77&gt;$C$2,0,IF(C77&lt;=$C$2/2,C77,C77-1-2*(SUMPRODUCT(--($C$8:C77&gt;$C$2/2))-1))/(($C$2/2)*($C$2/2+1))),0)+IF(ISODD($C$2),IF(C77&gt;$C$2,0,IF(C77-1&lt;=$C$2/2,C77,C77-2*(SUMPRODUCT(--($C$8:C77&gt;$C$2/2))-1))/((INT($C$2/2))*(INT($C$2/2)+1)+ROUNDUP($C$2/2,0))),0)</f>
        <v>0</v>
      </c>
      <c r="O77" s="542"/>
      <c r="P77" s="542">
        <f t="shared" si="17"/>
        <v>0</v>
      </c>
      <c r="Q77" s="542">
        <f>IF($C77=general!$C$28,Q$4,IFERROR(($C77&lt;general!$C$23)*((1-Q$4)*Q$5)/(general!$C$23-1),0)+IFERROR(($C77&gt;=general!$C$23)*($C77&lt;=general!$C$27)*((1-Q$4)*Q$6)/(general!$C$27-general!$C$23+1),0))+IF(AND(general!$C$23&lt;=1,$C77&lt;=1),'draws%'!Q$5*(1-Q$4))</f>
        <v>0</v>
      </c>
      <c r="R77" s="542">
        <f>IF($C77=general!$C$27,R$4,IFERROR(($C77&lt;general!$C$23)*((1-R$4)*R$5)/(general!$C$23-1),0)+IFERROR(($C77&gt;=general!$C$23)*($C77&lt;general!$C$27)*((1-R$4)*R$6)/(general!$C$27-general!$C$23),0))+IF(AND(general!$C$23&lt;=1,$C77&lt;=1),'draws%'!R$5*(1-R$4))</f>
        <v>0</v>
      </c>
      <c r="S77" s="542">
        <f>IF(OR(C77=general!$C$27,C77=general!$C$27-1),50%,0)</f>
        <v>0</v>
      </c>
      <c r="T77" s="542">
        <f>(C77&gt;=general!$C$26-6)*(C77&lt;general!$C$26)*1/6*0.5+(C77=3)*0.25+(C77=9)*0.25</f>
        <v>0</v>
      </c>
      <c r="U77" s="542">
        <f>IF(C77='Development Cash Flow'!$C$6,$U$5,0)+IF(C77=general!$C$27,$U$6,0)</f>
        <v>0</v>
      </c>
      <c r="V77" s="542">
        <f>IF(C77=general!$C$28,1,0)</f>
        <v>0</v>
      </c>
      <c r="W77" s="542">
        <f t="shared" si="15"/>
        <v>0</v>
      </c>
      <c r="X77" s="542">
        <f>IF(C77=general!$C$23,1,0)</f>
        <v>0</v>
      </c>
      <c r="Y77" s="542">
        <f>IFERROR((C77&lt;general!$C$23)*Y$5/(general!$C$23),0)+IFERROR((C77&gt;=general!$C$23)*(C77&lt;=general!$C$27)*Y$6/(general!$C$27-general!$C$23+1),0)</f>
        <v>0</v>
      </c>
      <c r="Z77" s="542">
        <f>IFERROR(($C77&lt;general!$C$23)*Z$5/(general!$C$23),0)+IFERROR(($C77&gt;=general!$C$23)*($C77&lt;=general!$C$27)*Z$6/(general!$C$27-general!$C$23+1),0)*(1-$Z$4)+$Z$4*AF77</f>
        <v>0</v>
      </c>
      <c r="AA77" s="542">
        <f>MAX((IFERROR(($C77&lt;general!$C$23)*AA$5/(general!$C$23),0)+IFERROR(($C77&gt;=general!$C$23)*($C77&lt;=general!$C$27)*AA$6/(general!$C$27-general!$C$23+1),0)),0)</f>
        <v>0</v>
      </c>
      <c r="AB77" s="542">
        <f>MAX((IFERROR(($C77&lt;general!$C$23)*AB$5/(general!$C$23),0)+IFERROR(($C77&gt;=general!$C$23)*($C77&lt;=general!$C$27)*AB$6/(general!$C$27-general!$C$23+1),0)),0)</f>
        <v>0</v>
      </c>
      <c r="AC77" s="542">
        <f>MAX((IFERROR(($C77&lt;general!$C$23)*AC$5/(general!$C$23),0)+IFERROR(($C77&gt;=general!$C$23)*($C77&lt;=general!$C$27)*AC$6/(general!$C$27-general!$C$23+1),0)),0)</f>
        <v>0</v>
      </c>
      <c r="AD77" s="542">
        <f>MAX((IFERROR(($C77&lt;general!$C$23)*AD$5/(general!$C$23),0)+IFERROR(($C77&gt;=general!$C$23)*($C77&lt;=general!$C$27)*AD$6/(general!$C$27-general!$C$23+1),0)),0)</f>
        <v>0</v>
      </c>
      <c r="AE77" s="542">
        <f t="shared" si="20"/>
        <v>0</v>
      </c>
      <c r="AF77" s="542">
        <f>+SUMPRODUCT(--($C77=sales!$C$50:$C$54),sales!$D$50:$D$54)</f>
        <v>0</v>
      </c>
      <c r="AG77" s="542">
        <f>IF($C77=general!$C$28,AG$4,IFERROR(($C77&lt;general!$C$23)*((1-AG$4)*AG$5)/(general!$C$23-1),0)+IFERROR(($C77&gt;=general!$C$23)*($C77&lt;=general!$C$27)*((1-AG$4)*AG$6)/(general!$C$27-general!$C$23+1),0))+IF(AND(general!$C$23&lt;=1,$C77&lt;=1),'draws%'!AG$5*(1-AG$4))</f>
        <v>0</v>
      </c>
      <c r="AH77" s="542">
        <f>+IF($C77=general!$C$21,1,0)</f>
        <v>0</v>
      </c>
      <c r="AK77" s="524">
        <f>IF(A77&lt;=general!$D$27,IF(MONTH(A77)=11,1,IF(C77=general!$C$27,1,0)),)</f>
        <v>0</v>
      </c>
      <c r="AL77" s="524">
        <f>IF(AK77=1,COUNTIFS($C$8:$C$128,"&lt;="&amp;general!$C$27&amp;"",'draws%'!$AM$8:$AM$128,"="&amp;AM77&amp;""),0)</f>
        <v>0</v>
      </c>
      <c r="AM77" s="524">
        <f t="shared" si="18"/>
        <v>2032</v>
      </c>
      <c r="AN77" s="524"/>
    </row>
    <row r="78" spans="1:40" ht="14">
      <c r="A78" s="903">
        <f t="shared" si="21"/>
        <v>48395</v>
      </c>
      <c r="C78" s="897">
        <f t="shared" si="22"/>
        <v>70</v>
      </c>
      <c r="D78" s="542"/>
      <c r="E78" s="542">
        <f>IF($C78=$C$2,0,IF(OR($C78=0,$C78&lt;general!$C$23,$C78&gt;$C$2),0,E$2/$C$3+NORMDIST($C78-general!$C$23+1,$C$3/2,E$1,1)-NORMDIST($C77-general!$C$23+1,$C$3/2,E$1,1)))+IF($C78=$C$2,1-SUM(E$8:E77),0)</f>
        <v>0</v>
      </c>
      <c r="F78" s="542">
        <f>IF($C78=$C$2,0,IF(OR($C78=0,$C78&lt;general!$C$23,$C78&gt;$C$2),0,F$2/$C$3+NORMDIST($C78-general!$C$23+1,$C$3/2,F$1,1)-NORMDIST($C77-general!$C$23+1,$C$3/2,F$1,1)))+IF($C78=$C$2,1-SUM(F$8:F77),0)</f>
        <v>0</v>
      </c>
      <c r="G78" s="542">
        <f>IF($C78=$C$2,0,IF(OR($C78=0,$C78&lt;general!$C$23,$C78&gt;$C$2),0,G$2/$C$3+NORMDIST($C78-general!$C$23+1,$C$3/2,G$1,1)-NORMDIST($C77-general!$C$23+1,$C$3/2,G$1,1)))+IF($C78=$C$2,1-SUM(G$8:G77),0)</f>
        <v>0</v>
      </c>
      <c r="H78" s="542">
        <f>IF(C78=$C$2,0,IF(OR(C78=0,C78&lt;1,C78&gt;$C$2),0,$H$2/$C$2+NORMDIST(C78,$C$2/2,$H$1,1)-NORMDIST(C77,$C$2/2,$H$1,1)))+IF(C78=$C$2,1-SUM($H$9:H77),0)</f>
        <v>0</v>
      </c>
      <c r="I78" s="542">
        <f>IF(C78=$C$2,0,IF(OR(C78=0,C78&lt;1,C78&gt;$C$2),0,$I$2/$C$2+NORMDIST(C78,$C$2/2,$I$1,1)-NORMDIST(C77,$C$2/2,$I$1,1)))+IF(C78=$C$2,1-SUM($I$9:I77),0)</f>
        <v>0</v>
      </c>
      <c r="J78" s="542">
        <f>IF(C78=$C$2,0,IF(OR(C78=0,C78&lt;1,C78&gt;$C$2),0,$J$2/$C$2+NORMDIST(C78,$C$2/2,$J$1,1)-NORMDIST(C77,$C$2/2,$J$1,1)))+IF(C78=$C$2,1-SUM($J$9:J77),0)</f>
        <v>0</v>
      </c>
      <c r="K78" s="542">
        <f t="shared" si="19"/>
        <v>0</v>
      </c>
      <c r="L78" s="542">
        <f t="shared" si="16"/>
        <v>0</v>
      </c>
      <c r="M78" s="542">
        <f>IF($C78&gt;$C$2,IF($C78=sales!$F$36,M$4,0),(1-M$4)/$C$2)</f>
        <v>0</v>
      </c>
      <c r="N78" s="542">
        <f>IF(ISEVEN($C$2),IF(C78&gt;$C$2,0,IF(C78&lt;=$C$2/2,C78,C78-1-2*(SUMPRODUCT(--($C$8:C78&gt;$C$2/2))-1))/(($C$2/2)*($C$2/2+1))),0)+IF(ISODD($C$2),IF(C78&gt;$C$2,0,IF(C78-1&lt;=$C$2/2,C78,C78-2*(SUMPRODUCT(--($C$8:C78&gt;$C$2/2))-1))/((INT($C$2/2))*(INT($C$2/2)+1)+ROUNDUP($C$2/2,0))),0)</f>
        <v>0</v>
      </c>
      <c r="O78" s="542"/>
      <c r="P78" s="542">
        <f t="shared" si="17"/>
        <v>0</v>
      </c>
      <c r="Q78" s="542">
        <f>IF($C78=general!$C$28,Q$4,IFERROR(($C78&lt;general!$C$23)*((1-Q$4)*Q$5)/(general!$C$23-1),0)+IFERROR(($C78&gt;=general!$C$23)*($C78&lt;=general!$C$27)*((1-Q$4)*Q$6)/(general!$C$27-general!$C$23+1),0))+IF(AND(general!$C$23&lt;=1,$C78&lt;=1),'draws%'!Q$5*(1-Q$4))</f>
        <v>0</v>
      </c>
      <c r="R78" s="542">
        <f>IF($C78=general!$C$27,R$4,IFERROR(($C78&lt;general!$C$23)*((1-R$4)*R$5)/(general!$C$23-1),0)+IFERROR(($C78&gt;=general!$C$23)*($C78&lt;general!$C$27)*((1-R$4)*R$6)/(general!$C$27-general!$C$23),0))+IF(AND(general!$C$23&lt;=1,$C78&lt;=1),'draws%'!R$5*(1-R$4))</f>
        <v>0</v>
      </c>
      <c r="S78" s="542">
        <f>IF(OR(C78=general!$C$27,C78=general!$C$27-1),50%,0)</f>
        <v>0</v>
      </c>
      <c r="T78" s="542">
        <f>(C78&gt;=general!$C$26-6)*(C78&lt;general!$C$26)*1/6*0.5+(C78=3)*0.25+(C78=9)*0.25</f>
        <v>0</v>
      </c>
      <c r="U78" s="542">
        <f>IF(C78='Development Cash Flow'!$C$6,$U$5,0)+IF(C78=general!$C$27,$U$6,0)</f>
        <v>0</v>
      </c>
      <c r="V78" s="542">
        <f>IF(C78=general!$C$28,1,0)</f>
        <v>0</v>
      </c>
      <c r="W78" s="542">
        <f t="shared" si="15"/>
        <v>0</v>
      </c>
      <c r="X78" s="542">
        <f>IF(C78=general!$C$23,1,0)</f>
        <v>0</v>
      </c>
      <c r="Y78" s="542">
        <f>IFERROR((C78&lt;general!$C$23)*Y$5/(general!$C$23),0)+IFERROR((C78&gt;=general!$C$23)*(C78&lt;=general!$C$27)*Y$6/(general!$C$27-general!$C$23+1),0)</f>
        <v>0</v>
      </c>
      <c r="Z78" s="542">
        <f>IFERROR(($C78&lt;general!$C$23)*Z$5/(general!$C$23),0)+IFERROR(($C78&gt;=general!$C$23)*($C78&lt;=general!$C$27)*Z$6/(general!$C$27-general!$C$23+1),0)*(1-$Z$4)+$Z$4*AF78</f>
        <v>0</v>
      </c>
      <c r="AA78" s="542">
        <f>MAX((IFERROR(($C78&lt;general!$C$23)*AA$5/(general!$C$23),0)+IFERROR(($C78&gt;=general!$C$23)*($C78&lt;=general!$C$27)*AA$6/(general!$C$27-general!$C$23+1),0)),0)</f>
        <v>0</v>
      </c>
      <c r="AB78" s="542">
        <f>MAX((IFERROR(($C78&lt;general!$C$23)*AB$5/(general!$C$23),0)+IFERROR(($C78&gt;=general!$C$23)*($C78&lt;=general!$C$27)*AB$6/(general!$C$27-general!$C$23+1),0)),0)</f>
        <v>0</v>
      </c>
      <c r="AC78" s="542">
        <f>MAX((IFERROR(($C78&lt;general!$C$23)*AC$5/(general!$C$23),0)+IFERROR(($C78&gt;=general!$C$23)*($C78&lt;=general!$C$27)*AC$6/(general!$C$27-general!$C$23+1),0)),0)</f>
        <v>0</v>
      </c>
      <c r="AD78" s="542">
        <f>MAX((IFERROR(($C78&lt;general!$C$23)*AD$5/(general!$C$23),0)+IFERROR(($C78&gt;=general!$C$23)*($C78&lt;=general!$C$27)*AD$6/(general!$C$27-general!$C$23+1),0)),0)</f>
        <v>0</v>
      </c>
      <c r="AE78" s="542">
        <f t="shared" si="20"/>
        <v>0</v>
      </c>
      <c r="AF78" s="542">
        <f>+SUMPRODUCT(--($C78=sales!$C$50:$C$54),sales!$D$50:$D$54)</f>
        <v>0</v>
      </c>
      <c r="AG78" s="542">
        <f>IF($C78=general!$C$28,AG$4,IFERROR(($C78&lt;general!$C$23)*((1-AG$4)*AG$5)/(general!$C$23-1),0)+IFERROR(($C78&gt;=general!$C$23)*($C78&lt;=general!$C$27)*((1-AG$4)*AG$6)/(general!$C$27-general!$C$23+1),0))+IF(AND(general!$C$23&lt;=1,$C78&lt;=1),'draws%'!AG$5*(1-AG$4))</f>
        <v>0</v>
      </c>
      <c r="AH78" s="542">
        <f>+IF($C78=general!$C$21,1,0)</f>
        <v>0</v>
      </c>
      <c r="AK78" s="524">
        <f>IF(A78&lt;=general!$D$27,IF(MONTH(A78)=11,1,IF(C78=general!$C$27,1,0)),)</f>
        <v>0</v>
      </c>
      <c r="AL78" s="524">
        <f>IF(AK78=1,COUNTIFS($C$8:$C$128,"&lt;="&amp;general!$C$27&amp;"",'draws%'!$AM$8:$AM$128,"="&amp;AM78&amp;""),0)</f>
        <v>0</v>
      </c>
      <c r="AM78" s="524">
        <f t="shared" si="18"/>
        <v>2032</v>
      </c>
      <c r="AN78" s="524"/>
    </row>
    <row r="79" spans="1:40" ht="14">
      <c r="A79" s="903">
        <f t="shared" si="21"/>
        <v>48426</v>
      </c>
      <c r="C79" s="897">
        <f t="shared" si="22"/>
        <v>71</v>
      </c>
      <c r="D79" s="542"/>
      <c r="E79" s="542">
        <f>IF($C79=$C$2,0,IF(OR($C79=0,$C79&lt;general!$C$23,$C79&gt;$C$2),0,E$2/$C$3+NORMDIST($C79-general!$C$23+1,$C$3/2,E$1,1)-NORMDIST($C78-general!$C$23+1,$C$3/2,E$1,1)))+IF($C79=$C$2,1-SUM(E$8:E78),0)</f>
        <v>0</v>
      </c>
      <c r="F79" s="542">
        <f>IF($C79=$C$2,0,IF(OR($C79=0,$C79&lt;general!$C$23,$C79&gt;$C$2),0,F$2/$C$3+NORMDIST($C79-general!$C$23+1,$C$3/2,F$1,1)-NORMDIST($C78-general!$C$23+1,$C$3/2,F$1,1)))+IF($C79=$C$2,1-SUM(F$8:F78),0)</f>
        <v>0</v>
      </c>
      <c r="G79" s="542">
        <f>IF($C79=$C$2,0,IF(OR($C79=0,$C79&lt;general!$C$23,$C79&gt;$C$2),0,G$2/$C$3+NORMDIST($C79-general!$C$23+1,$C$3/2,G$1,1)-NORMDIST($C78-general!$C$23+1,$C$3/2,G$1,1)))+IF($C79=$C$2,1-SUM(G$8:G78),0)</f>
        <v>0</v>
      </c>
      <c r="H79" s="542">
        <f>IF(C79=$C$2,0,IF(OR(C79=0,C79&lt;1,C79&gt;$C$2),0,$H$2/$C$2+NORMDIST(C79,$C$2/2,$H$1,1)-NORMDIST(C78,$C$2/2,$H$1,1)))+IF(C79=$C$2,1-SUM($H$9:H78),0)</f>
        <v>0</v>
      </c>
      <c r="I79" s="542">
        <f>IF(C79=$C$2,0,IF(OR(C79=0,C79&lt;1,C79&gt;$C$2),0,$I$2/$C$2+NORMDIST(C79,$C$2/2,$I$1,1)-NORMDIST(C78,$C$2/2,$I$1,1)))+IF(C79=$C$2,1-SUM($I$9:I78),0)</f>
        <v>0</v>
      </c>
      <c r="J79" s="542">
        <f>IF(C79=$C$2,0,IF(OR(C79=0,C79&lt;1,C79&gt;$C$2),0,$J$2/$C$2+NORMDIST(C79,$C$2/2,$J$1,1)-NORMDIST(C78,$C$2/2,$J$1,1)))+IF(C79=$C$2,1-SUM($J$9:J78),0)</f>
        <v>0</v>
      </c>
      <c r="K79" s="542">
        <f t="shared" si="19"/>
        <v>0</v>
      </c>
      <c r="L79" s="542">
        <f t="shared" si="16"/>
        <v>0</v>
      </c>
      <c r="M79" s="542">
        <f>IF($C79&gt;$C$2,IF($C79=sales!$F$36,M$4,0),(1-M$4)/$C$2)</f>
        <v>0</v>
      </c>
      <c r="N79" s="542">
        <f>IF(ISEVEN($C$2),IF(C79&gt;$C$2,0,IF(C79&lt;=$C$2/2,C79,C79-1-2*(SUMPRODUCT(--($C$8:C79&gt;$C$2/2))-1))/(($C$2/2)*($C$2/2+1))),0)+IF(ISODD($C$2),IF(C79&gt;$C$2,0,IF(C79-1&lt;=$C$2/2,C79,C79-2*(SUMPRODUCT(--($C$8:C79&gt;$C$2/2))-1))/((INT($C$2/2))*(INT($C$2/2)+1)+ROUNDUP($C$2/2,0))),0)</f>
        <v>0</v>
      </c>
      <c r="O79" s="542"/>
      <c r="P79" s="542">
        <f t="shared" si="17"/>
        <v>0</v>
      </c>
      <c r="Q79" s="542">
        <f>IF($C79=general!$C$28,Q$4,IFERROR(($C79&lt;general!$C$23)*((1-Q$4)*Q$5)/(general!$C$23-1),0)+IFERROR(($C79&gt;=general!$C$23)*($C79&lt;=general!$C$27)*((1-Q$4)*Q$6)/(general!$C$27-general!$C$23+1),0))+IF(AND(general!$C$23&lt;=1,$C79&lt;=1),'draws%'!Q$5*(1-Q$4))</f>
        <v>0</v>
      </c>
      <c r="R79" s="542">
        <f>IF($C79=general!$C$27,R$4,IFERROR(($C79&lt;general!$C$23)*((1-R$4)*R$5)/(general!$C$23-1),0)+IFERROR(($C79&gt;=general!$C$23)*($C79&lt;general!$C$27)*((1-R$4)*R$6)/(general!$C$27-general!$C$23),0))+IF(AND(general!$C$23&lt;=1,$C79&lt;=1),'draws%'!R$5*(1-R$4))</f>
        <v>0</v>
      </c>
      <c r="S79" s="542">
        <f>IF(OR(C79=general!$C$27,C79=general!$C$27-1),50%,0)</f>
        <v>0</v>
      </c>
      <c r="T79" s="542">
        <f>(C79&gt;=general!$C$26-6)*(C79&lt;general!$C$26)*1/6*0.5+(C79=3)*0.25+(C79=9)*0.25</f>
        <v>0</v>
      </c>
      <c r="U79" s="542">
        <f>IF(C79='Development Cash Flow'!$C$6,$U$5,0)+IF(C79=general!$C$27,$U$6,0)</f>
        <v>0</v>
      </c>
      <c r="V79" s="542">
        <f>IF(C79=general!$C$28,1,0)</f>
        <v>0</v>
      </c>
      <c r="W79" s="542">
        <f t="shared" ref="W79:W110" si="23">IF(AND(C79&gt;=$C$2-5,C79&lt;=$C$2),1/12,0)</f>
        <v>0</v>
      </c>
      <c r="X79" s="542">
        <f>IF(C79=general!$C$23,1,0)</f>
        <v>0</v>
      </c>
      <c r="Y79" s="542">
        <f>IFERROR((C79&lt;general!$C$23)*Y$5/(general!$C$23),0)+IFERROR((C79&gt;=general!$C$23)*(C79&lt;=general!$C$27)*Y$6/(general!$C$27-general!$C$23+1),0)</f>
        <v>0</v>
      </c>
      <c r="Z79" s="542">
        <f>IFERROR(($C79&lt;general!$C$23)*Z$5/(general!$C$23),0)+IFERROR(($C79&gt;=general!$C$23)*($C79&lt;=general!$C$27)*Z$6/(general!$C$27-general!$C$23+1),0)*(1-$Z$4)+$Z$4*AF79</f>
        <v>0</v>
      </c>
      <c r="AA79" s="542">
        <f>MAX((IFERROR(($C79&lt;general!$C$23)*AA$5/(general!$C$23),0)+IFERROR(($C79&gt;=general!$C$23)*($C79&lt;=general!$C$27)*AA$6/(general!$C$27-general!$C$23+1),0)),0)</f>
        <v>0</v>
      </c>
      <c r="AB79" s="542">
        <f>MAX((IFERROR(($C79&lt;general!$C$23)*AB$5/(general!$C$23),0)+IFERROR(($C79&gt;=general!$C$23)*($C79&lt;=general!$C$27)*AB$6/(general!$C$27-general!$C$23+1),0)),0)</f>
        <v>0</v>
      </c>
      <c r="AC79" s="542">
        <f>MAX((IFERROR(($C79&lt;general!$C$23)*AC$5/(general!$C$23),0)+IFERROR(($C79&gt;=general!$C$23)*($C79&lt;=general!$C$27)*AC$6/(general!$C$27-general!$C$23+1),0)),0)</f>
        <v>0</v>
      </c>
      <c r="AD79" s="542">
        <f>MAX((IFERROR(($C79&lt;general!$C$23)*AD$5/(general!$C$23),0)+IFERROR(($C79&gt;=general!$C$23)*($C79&lt;=general!$C$27)*AD$6/(general!$C$27-general!$C$23+1),0)),0)</f>
        <v>0</v>
      </c>
      <c r="AE79" s="542">
        <f t="shared" si="20"/>
        <v>0</v>
      </c>
      <c r="AF79" s="542">
        <f>+SUMPRODUCT(--($C79=sales!$C$50:$C$54),sales!$D$50:$D$54)</f>
        <v>0</v>
      </c>
      <c r="AG79" s="542">
        <f>IF($C79=general!$C$28,AG$4,IFERROR(($C79&lt;general!$C$23)*((1-AG$4)*AG$5)/(general!$C$23-1),0)+IFERROR(($C79&gt;=general!$C$23)*($C79&lt;=general!$C$27)*((1-AG$4)*AG$6)/(general!$C$27-general!$C$23+1),0))+IF(AND(general!$C$23&lt;=1,$C79&lt;=1),'draws%'!AG$5*(1-AG$4))</f>
        <v>0</v>
      </c>
      <c r="AH79" s="542">
        <f>+IF($C79=general!$C$21,1,0)</f>
        <v>0</v>
      </c>
      <c r="AK79" s="524">
        <f>IF(A79&lt;=general!$D$27,IF(MONTH(A79)=11,1,IF(C79=general!$C$27,1,0)),)</f>
        <v>0</v>
      </c>
      <c r="AL79" s="524">
        <f>IF(AK79=1,COUNTIFS($C$8:$C$128,"&lt;="&amp;general!$C$27&amp;"",'draws%'!$AM$8:$AM$128,"="&amp;AM79&amp;""),0)</f>
        <v>0</v>
      </c>
      <c r="AM79" s="524">
        <f t="shared" si="18"/>
        <v>2032</v>
      </c>
      <c r="AN79" s="524"/>
    </row>
    <row r="80" spans="1:40" ht="14">
      <c r="A80" s="903">
        <f t="shared" si="21"/>
        <v>48457</v>
      </c>
      <c r="C80" s="897">
        <f t="shared" si="22"/>
        <v>72</v>
      </c>
      <c r="D80" s="542"/>
      <c r="E80" s="542">
        <f>IF($C80=$C$2,0,IF(OR($C80=0,$C80&lt;general!$C$23,$C80&gt;$C$2),0,E$2/$C$3+NORMDIST($C80-general!$C$23+1,$C$3/2,E$1,1)-NORMDIST($C79-general!$C$23+1,$C$3/2,E$1,1)))+IF($C80=$C$2,1-SUM(E$8:E79),0)</f>
        <v>0</v>
      </c>
      <c r="F80" s="542">
        <f>IF($C80=$C$2,0,IF(OR($C80=0,$C80&lt;general!$C$23,$C80&gt;$C$2),0,F$2/$C$3+NORMDIST($C80-general!$C$23+1,$C$3/2,F$1,1)-NORMDIST($C79-general!$C$23+1,$C$3/2,F$1,1)))+IF($C80=$C$2,1-SUM(F$8:F79),0)</f>
        <v>0</v>
      </c>
      <c r="G80" s="542">
        <f>IF($C80=$C$2,0,IF(OR($C80=0,$C80&lt;general!$C$23,$C80&gt;$C$2),0,G$2/$C$3+NORMDIST($C80-general!$C$23+1,$C$3/2,G$1,1)-NORMDIST($C79-general!$C$23+1,$C$3/2,G$1,1)))+IF($C80=$C$2,1-SUM(G$8:G79),0)</f>
        <v>0</v>
      </c>
      <c r="H80" s="542">
        <f>IF(C80=$C$2,0,IF(OR(C80=0,C80&lt;1,C80&gt;$C$2),0,$H$2/$C$2+NORMDIST(C80,$C$2/2,$H$1,1)-NORMDIST(C79,$C$2/2,$H$1,1)))+IF(C80=$C$2,1-SUM($H$9:H79),0)</f>
        <v>0</v>
      </c>
      <c r="I80" s="542">
        <f>IF(C80=$C$2,0,IF(OR(C80=0,C80&lt;1,C80&gt;$C$2),0,$I$2/$C$2+NORMDIST(C80,$C$2/2,$I$1,1)-NORMDIST(C79,$C$2/2,$I$1,1)))+IF(C80=$C$2,1-SUM($I$9:I79),0)</f>
        <v>0</v>
      </c>
      <c r="J80" s="542">
        <f>IF(C80=$C$2,0,IF(OR(C80=0,C80&lt;1,C80&gt;$C$2),0,$J$2/$C$2+NORMDIST(C80,$C$2/2,$J$1,1)-NORMDIST(C79,$C$2/2,$J$1,1)))+IF(C80=$C$2,1-SUM($J$9:J79),0)</f>
        <v>0</v>
      </c>
      <c r="K80" s="542">
        <f t="shared" si="19"/>
        <v>0</v>
      </c>
      <c r="L80" s="542">
        <f t="shared" si="16"/>
        <v>0</v>
      </c>
      <c r="M80" s="542">
        <f>IF($C80&gt;$C$2,IF($C80=sales!$F$36,M$4,0),(1-M$4)/$C$2)</f>
        <v>0</v>
      </c>
      <c r="N80" s="542">
        <f>IF(ISEVEN($C$2),IF(C80&gt;$C$2,0,IF(C80&lt;=$C$2/2,C80,C80-1-2*(SUMPRODUCT(--($C$8:C80&gt;$C$2/2))-1))/(($C$2/2)*($C$2/2+1))),0)+IF(ISODD($C$2),IF(C80&gt;$C$2,0,IF(C80-1&lt;=$C$2/2,C80,C80-2*(SUMPRODUCT(--($C$8:C80&gt;$C$2/2))-1))/((INT($C$2/2))*(INT($C$2/2)+1)+ROUNDUP($C$2/2,0))),0)</f>
        <v>0</v>
      </c>
      <c r="O80" s="542"/>
      <c r="P80" s="542">
        <f t="shared" si="17"/>
        <v>0</v>
      </c>
      <c r="Q80" s="542">
        <f>IF($C80=general!$C$28,Q$4,IFERROR(($C80&lt;general!$C$23)*((1-Q$4)*Q$5)/(general!$C$23-1),0)+IFERROR(($C80&gt;=general!$C$23)*($C80&lt;=general!$C$27)*((1-Q$4)*Q$6)/(general!$C$27-general!$C$23+1),0))+IF(AND(general!$C$23&lt;=1,$C80&lt;=1),'draws%'!Q$5*(1-Q$4))</f>
        <v>0</v>
      </c>
      <c r="R80" s="542">
        <f>IF($C80=general!$C$27,R$4,IFERROR(($C80&lt;general!$C$23)*((1-R$4)*R$5)/(general!$C$23-1),0)+IFERROR(($C80&gt;=general!$C$23)*($C80&lt;general!$C$27)*((1-R$4)*R$6)/(general!$C$27-general!$C$23),0))+IF(AND(general!$C$23&lt;=1,$C80&lt;=1),'draws%'!R$5*(1-R$4))</f>
        <v>0</v>
      </c>
      <c r="S80" s="542">
        <f>IF(OR(C80=general!$C$27,C80=general!$C$27-1),50%,0)</f>
        <v>0</v>
      </c>
      <c r="T80" s="542">
        <f>(C80&gt;=general!$C$26-6)*(C80&lt;general!$C$26)*1/6*0.5+(C80=3)*0.25+(C80=9)*0.25</f>
        <v>0</v>
      </c>
      <c r="U80" s="542">
        <f>IF(C80='Development Cash Flow'!$C$6,$U$5,0)+IF(C80=general!$C$27,$U$6,0)</f>
        <v>0</v>
      </c>
      <c r="V80" s="542">
        <f>IF(C80=general!$C$28,1,0)</f>
        <v>0</v>
      </c>
      <c r="W80" s="542">
        <f t="shared" si="23"/>
        <v>0</v>
      </c>
      <c r="X80" s="542">
        <f>IF(C80=general!$C$23,1,0)</f>
        <v>0</v>
      </c>
      <c r="Y80" s="542">
        <f>IFERROR((C80&lt;general!$C$23)*Y$5/(general!$C$23),0)+IFERROR((C80&gt;=general!$C$23)*(C80&lt;=general!$C$27)*Y$6/(general!$C$27-general!$C$23+1),0)</f>
        <v>0</v>
      </c>
      <c r="Z80" s="542">
        <f>IFERROR(($C80&lt;general!$C$23)*Z$5/(general!$C$23),0)+IFERROR(($C80&gt;=general!$C$23)*($C80&lt;=general!$C$27)*Z$6/(general!$C$27-general!$C$23+1),0)*(1-$Z$4)+$Z$4*AF80</f>
        <v>0</v>
      </c>
      <c r="AA80" s="542">
        <f>MAX((IFERROR(($C80&lt;general!$C$23)*AA$5/(general!$C$23),0)+IFERROR(($C80&gt;=general!$C$23)*($C80&lt;=general!$C$27)*AA$6/(general!$C$27-general!$C$23+1),0)),0)</f>
        <v>0</v>
      </c>
      <c r="AB80" s="542">
        <f>MAX((IFERROR(($C80&lt;general!$C$23)*AB$5/(general!$C$23),0)+IFERROR(($C80&gt;=general!$C$23)*($C80&lt;=general!$C$27)*AB$6/(general!$C$27-general!$C$23+1),0)),0)</f>
        <v>0</v>
      </c>
      <c r="AC80" s="542">
        <f>MAX((IFERROR(($C80&lt;general!$C$23)*AC$5/(general!$C$23),0)+IFERROR(($C80&gt;=general!$C$23)*($C80&lt;=general!$C$27)*AC$6/(general!$C$27-general!$C$23+1),0)),0)</f>
        <v>0</v>
      </c>
      <c r="AD80" s="542">
        <f>MAX((IFERROR(($C80&lt;general!$C$23)*AD$5/(general!$C$23),0)+IFERROR(($C80&gt;=general!$C$23)*($C80&lt;=general!$C$27)*AD$6/(general!$C$27-general!$C$23+1),0)),0)</f>
        <v>0</v>
      </c>
      <c r="AE80" s="542">
        <f t="shared" si="20"/>
        <v>0</v>
      </c>
      <c r="AF80" s="542">
        <f>+SUMPRODUCT(--($C80=sales!$C$50:$C$54),sales!$D$50:$D$54)</f>
        <v>0</v>
      </c>
      <c r="AG80" s="542">
        <f>IF($C80=general!$C$28,AG$4,IFERROR(($C80&lt;general!$C$23)*((1-AG$4)*AG$5)/(general!$C$23-1),0)+IFERROR(($C80&gt;=general!$C$23)*($C80&lt;=general!$C$27)*((1-AG$4)*AG$6)/(general!$C$27-general!$C$23+1),0))+IF(AND(general!$C$23&lt;=1,$C80&lt;=1),'draws%'!AG$5*(1-AG$4))</f>
        <v>0</v>
      </c>
      <c r="AH80" s="542">
        <f>+IF($C80=general!$C$21,1,0)</f>
        <v>0</v>
      </c>
      <c r="AK80" s="524">
        <f>IF(A80&lt;=general!$D$27,IF(MONTH(A80)=11,1,IF(C80=general!$C$27,1,0)),)</f>
        <v>0</v>
      </c>
      <c r="AL80" s="524">
        <f>IF(AK80=1,COUNTIFS($C$8:$C$128,"&lt;="&amp;general!$C$27&amp;"",'draws%'!$AM$8:$AM$128,"="&amp;AM80&amp;""),0)</f>
        <v>0</v>
      </c>
      <c r="AM80" s="524">
        <f t="shared" si="18"/>
        <v>2032</v>
      </c>
      <c r="AN80" s="524"/>
    </row>
    <row r="81" spans="1:40" ht="14">
      <c r="A81" s="903">
        <f t="shared" si="21"/>
        <v>48487</v>
      </c>
      <c r="C81" s="897">
        <f t="shared" si="22"/>
        <v>73</v>
      </c>
      <c r="D81" s="542"/>
      <c r="E81" s="542">
        <f>IF($C81=$C$2,0,IF(OR($C81=0,$C81&lt;general!$C$23,$C81&gt;$C$2),0,E$2/$C$3+NORMDIST($C81-general!$C$23+1,$C$3/2,E$1,1)-NORMDIST($C80-general!$C$23+1,$C$3/2,E$1,1)))+IF($C81=$C$2,1-SUM(E$8:E80),0)</f>
        <v>0</v>
      </c>
      <c r="F81" s="542">
        <f>IF($C81=$C$2,0,IF(OR($C81=0,$C81&lt;general!$C$23,$C81&gt;$C$2),0,F$2/$C$3+NORMDIST($C81-general!$C$23+1,$C$3/2,F$1,1)-NORMDIST($C80-general!$C$23+1,$C$3/2,F$1,1)))+IF($C81=$C$2,1-SUM(F$8:F80),0)</f>
        <v>0</v>
      </c>
      <c r="G81" s="542">
        <f>IF($C81=$C$2,0,IF(OR($C81=0,$C81&lt;general!$C$23,$C81&gt;$C$2),0,G$2/$C$3+NORMDIST($C81-general!$C$23+1,$C$3/2,G$1,1)-NORMDIST($C80-general!$C$23+1,$C$3/2,G$1,1)))+IF($C81=$C$2,1-SUM(G$8:G80),0)</f>
        <v>0</v>
      </c>
      <c r="H81" s="542">
        <f>IF(C81=$C$2,0,IF(OR(C81=0,C81&lt;1,C81&gt;$C$2),0,$H$2/$C$2+NORMDIST(C81,$C$2/2,$H$1,1)-NORMDIST(C80,$C$2/2,$H$1,1)))+IF(C81=$C$2,1-SUM($H$9:H80),0)</f>
        <v>0</v>
      </c>
      <c r="I81" s="542">
        <f>IF(C81=$C$2,0,IF(OR(C81=0,C81&lt;1,C81&gt;$C$2),0,$I$2/$C$2+NORMDIST(C81,$C$2/2,$I$1,1)-NORMDIST(C80,$C$2/2,$I$1,1)))+IF(C81=$C$2,1-SUM($I$9:I80),0)</f>
        <v>0</v>
      </c>
      <c r="J81" s="542">
        <f>IF(C81=$C$2,0,IF(OR(C81=0,C81&lt;1,C81&gt;$C$2),0,$J$2/$C$2+NORMDIST(C81,$C$2/2,$J$1,1)-NORMDIST(C80,$C$2/2,$J$1,1)))+IF(C81=$C$2,1-SUM($J$9:J80),0)</f>
        <v>0</v>
      </c>
      <c r="K81" s="542">
        <f t="shared" si="19"/>
        <v>0</v>
      </c>
      <c r="L81" s="542">
        <f t="shared" si="16"/>
        <v>0</v>
      </c>
      <c r="M81" s="542">
        <f>IF($C81&gt;$C$2,IF($C81=sales!$F$36,M$4,0),(1-M$4)/$C$2)</f>
        <v>0</v>
      </c>
      <c r="N81" s="542">
        <f>IF(ISEVEN($C$2),IF(C81&gt;$C$2,0,IF(C81&lt;=$C$2/2,C81,C81-1-2*(SUMPRODUCT(--($C$8:C81&gt;$C$2/2))-1))/(($C$2/2)*($C$2/2+1))),0)+IF(ISODD($C$2),IF(C81&gt;$C$2,0,IF(C81-1&lt;=$C$2/2,C81,C81-2*(SUMPRODUCT(--($C$8:C81&gt;$C$2/2))-1))/((INT($C$2/2))*(INT($C$2/2)+1)+ROUNDUP($C$2/2,0))),0)</f>
        <v>0</v>
      </c>
      <c r="O81" s="542"/>
      <c r="P81" s="542">
        <f t="shared" si="17"/>
        <v>0</v>
      </c>
      <c r="Q81" s="542">
        <f>IF($C81=general!$C$28,Q$4,IFERROR(($C81&lt;general!$C$23)*((1-Q$4)*Q$5)/(general!$C$23-1),0)+IFERROR(($C81&gt;=general!$C$23)*($C81&lt;=general!$C$27)*((1-Q$4)*Q$6)/(general!$C$27-general!$C$23+1),0))+IF(AND(general!$C$23&lt;=1,$C81&lt;=1),'draws%'!Q$5*(1-Q$4))</f>
        <v>0</v>
      </c>
      <c r="R81" s="542">
        <f>IF($C81=general!$C$27,R$4,IFERROR(($C81&lt;general!$C$23)*((1-R$4)*R$5)/(general!$C$23-1),0)+IFERROR(($C81&gt;=general!$C$23)*($C81&lt;general!$C$27)*((1-R$4)*R$6)/(general!$C$27-general!$C$23),0))+IF(AND(general!$C$23&lt;=1,$C81&lt;=1),'draws%'!R$5*(1-R$4))</f>
        <v>0</v>
      </c>
      <c r="S81" s="542">
        <f>IF(OR(C81=general!$C$27,C81=general!$C$27-1),50%,0)</f>
        <v>0</v>
      </c>
      <c r="T81" s="542">
        <f>(C81&gt;=general!$C$26-6)*(C81&lt;general!$C$26)*1/6*0.5+(C81=3)*0.25+(C81=9)*0.25</f>
        <v>0</v>
      </c>
      <c r="U81" s="542">
        <f>IF(C81='Development Cash Flow'!$C$6,$U$5,0)+IF(C81=general!$C$27,$U$6,0)</f>
        <v>0</v>
      </c>
      <c r="V81" s="542">
        <f>IF(C81=general!$C$28,1,0)</f>
        <v>0</v>
      </c>
      <c r="W81" s="542">
        <f t="shared" si="23"/>
        <v>0</v>
      </c>
      <c r="X81" s="542">
        <f>IF(C81=general!$C$23,1,0)</f>
        <v>0</v>
      </c>
      <c r="Y81" s="542">
        <f>IFERROR((C81&lt;general!$C$23)*Y$5/(general!$C$23),0)+IFERROR((C81&gt;=general!$C$23)*(C81&lt;=general!$C$27)*Y$6/(general!$C$27-general!$C$23+1),0)</f>
        <v>0</v>
      </c>
      <c r="Z81" s="542">
        <f>IFERROR(($C81&lt;general!$C$23)*Z$5/(general!$C$23),0)+IFERROR(($C81&gt;=general!$C$23)*($C81&lt;=general!$C$27)*Z$6/(general!$C$27-general!$C$23+1),0)*(1-$Z$4)+$Z$4*AF81</f>
        <v>0</v>
      </c>
      <c r="AA81" s="542">
        <f>MAX((IFERROR(($C81&lt;general!$C$23)*AA$5/(general!$C$23),0)+IFERROR(($C81&gt;=general!$C$23)*($C81&lt;=general!$C$27)*AA$6/(general!$C$27-general!$C$23+1),0)),0)</f>
        <v>0</v>
      </c>
      <c r="AB81" s="542">
        <f>MAX((IFERROR(($C81&lt;general!$C$23)*AB$5/(general!$C$23),0)+IFERROR(($C81&gt;=general!$C$23)*($C81&lt;=general!$C$27)*AB$6/(general!$C$27-general!$C$23+1),0)),0)</f>
        <v>0</v>
      </c>
      <c r="AC81" s="542">
        <f>MAX((IFERROR(($C81&lt;general!$C$23)*AC$5/(general!$C$23),0)+IFERROR(($C81&gt;=general!$C$23)*($C81&lt;=general!$C$27)*AC$6/(general!$C$27-general!$C$23+1),0)),0)</f>
        <v>0</v>
      </c>
      <c r="AD81" s="542">
        <f>MAX((IFERROR(($C81&lt;general!$C$23)*AD$5/(general!$C$23),0)+IFERROR(($C81&gt;=general!$C$23)*($C81&lt;=general!$C$27)*AD$6/(general!$C$27-general!$C$23+1),0)),0)</f>
        <v>0</v>
      </c>
      <c r="AE81" s="542">
        <f t="shared" si="20"/>
        <v>0</v>
      </c>
      <c r="AF81" s="542">
        <f>+SUMPRODUCT(--($C81=sales!$C$50:$C$54),sales!$D$50:$D$54)</f>
        <v>0</v>
      </c>
      <c r="AG81" s="542">
        <f>IF($C81=general!$C$28,AG$4,IFERROR(($C81&lt;general!$C$23)*((1-AG$4)*AG$5)/(general!$C$23-1),0)+IFERROR(($C81&gt;=general!$C$23)*($C81&lt;=general!$C$27)*((1-AG$4)*AG$6)/(general!$C$27-general!$C$23+1),0))+IF(AND(general!$C$23&lt;=1,$C81&lt;=1),'draws%'!AG$5*(1-AG$4))</f>
        <v>0</v>
      </c>
      <c r="AH81" s="542">
        <f>+IF($C81=general!$C$21,1,0)</f>
        <v>0</v>
      </c>
      <c r="AK81" s="524">
        <f>IF(A81&lt;=general!$D$27,IF(MONTH(A81)=11,1,IF(C81=general!$C$27,1,0)),)</f>
        <v>0</v>
      </c>
      <c r="AL81" s="524">
        <f>IF(AK81=1,COUNTIFS($C$8:$C$128,"&lt;="&amp;general!$C$27&amp;"",'draws%'!$AM$8:$AM$128,"="&amp;AM81&amp;""),0)</f>
        <v>0</v>
      </c>
      <c r="AM81" s="524">
        <f t="shared" si="18"/>
        <v>2032</v>
      </c>
      <c r="AN81" s="524"/>
    </row>
    <row r="82" spans="1:40" ht="14">
      <c r="A82" s="903">
        <f t="shared" si="21"/>
        <v>48518</v>
      </c>
      <c r="C82" s="897">
        <f t="shared" si="22"/>
        <v>74</v>
      </c>
      <c r="D82" s="542"/>
      <c r="E82" s="542">
        <f>IF($C82=$C$2,0,IF(OR($C82=0,$C82&lt;general!$C$23,$C82&gt;$C$2),0,E$2/$C$3+NORMDIST($C82-general!$C$23+1,$C$3/2,E$1,1)-NORMDIST($C81-general!$C$23+1,$C$3/2,E$1,1)))+IF($C82=$C$2,1-SUM(E$8:E81),0)</f>
        <v>0</v>
      </c>
      <c r="F82" s="542">
        <f>IF($C82=$C$2,0,IF(OR($C82=0,$C82&lt;general!$C$23,$C82&gt;$C$2),0,F$2/$C$3+NORMDIST($C82-general!$C$23+1,$C$3/2,F$1,1)-NORMDIST($C81-general!$C$23+1,$C$3/2,F$1,1)))+IF($C82=$C$2,1-SUM(F$8:F81),0)</f>
        <v>0</v>
      </c>
      <c r="G82" s="542">
        <f>IF($C82=$C$2,0,IF(OR($C82=0,$C82&lt;general!$C$23,$C82&gt;$C$2),0,G$2/$C$3+NORMDIST($C82-general!$C$23+1,$C$3/2,G$1,1)-NORMDIST($C81-general!$C$23+1,$C$3/2,G$1,1)))+IF($C82=$C$2,1-SUM(G$8:G81),0)</f>
        <v>0</v>
      </c>
      <c r="H82" s="542">
        <f>IF(C82=$C$2,0,IF(OR(C82=0,C82&lt;1,C82&gt;$C$2),0,$H$2/$C$2+NORMDIST(C82,$C$2/2,$H$1,1)-NORMDIST(C81,$C$2/2,$H$1,1)))+IF(C82=$C$2,1-SUM($H$9:H81),0)</f>
        <v>0</v>
      </c>
      <c r="I82" s="542">
        <f>IF(C82=$C$2,0,IF(OR(C82=0,C82&lt;1,C82&gt;$C$2),0,$I$2/$C$2+NORMDIST(C82,$C$2/2,$I$1,1)-NORMDIST(C81,$C$2/2,$I$1,1)))+IF(C82=$C$2,1-SUM($I$9:I81),0)</f>
        <v>0</v>
      </c>
      <c r="J82" s="542">
        <f>IF(C82=$C$2,0,IF(OR(C82=0,C82&lt;1,C82&gt;$C$2),0,$J$2/$C$2+NORMDIST(C82,$C$2/2,$J$1,1)-NORMDIST(C81,$C$2/2,$J$1,1)))+IF(C82=$C$2,1-SUM($J$9:J81),0)</f>
        <v>0</v>
      </c>
      <c r="K82" s="542">
        <f t="shared" si="19"/>
        <v>0</v>
      </c>
      <c r="L82" s="542">
        <f t="shared" si="16"/>
        <v>0</v>
      </c>
      <c r="M82" s="542">
        <f>IF($C82&gt;$C$2,IF($C82=sales!$F$36,M$4,0),(1-M$4)/$C$2)</f>
        <v>0</v>
      </c>
      <c r="N82" s="542">
        <f>IF(ISEVEN($C$2),IF(C82&gt;$C$2,0,IF(C82&lt;=$C$2/2,C82,C82-1-2*(SUMPRODUCT(--($C$8:C82&gt;$C$2/2))-1))/(($C$2/2)*($C$2/2+1))),0)+IF(ISODD($C$2),IF(C82&gt;$C$2,0,IF(C82-1&lt;=$C$2/2,C82,C82-2*(SUMPRODUCT(--($C$8:C82&gt;$C$2/2))-1))/((INT($C$2/2))*(INT($C$2/2)+1)+ROUNDUP($C$2/2,0))),0)</f>
        <v>0</v>
      </c>
      <c r="O82" s="542"/>
      <c r="P82" s="542">
        <f t="shared" si="17"/>
        <v>0</v>
      </c>
      <c r="Q82" s="542">
        <f>IF($C82=general!$C$28,Q$4,IFERROR(($C82&lt;general!$C$23)*((1-Q$4)*Q$5)/(general!$C$23-1),0)+IFERROR(($C82&gt;=general!$C$23)*($C82&lt;=general!$C$27)*((1-Q$4)*Q$6)/(general!$C$27-general!$C$23+1),0))+IF(AND(general!$C$23&lt;=1,$C82&lt;=1),'draws%'!Q$5*(1-Q$4))</f>
        <v>0</v>
      </c>
      <c r="R82" s="542">
        <f>IF($C82=general!$C$27,R$4,IFERROR(($C82&lt;general!$C$23)*((1-R$4)*R$5)/(general!$C$23-1),0)+IFERROR(($C82&gt;=general!$C$23)*($C82&lt;general!$C$27)*((1-R$4)*R$6)/(general!$C$27-general!$C$23),0))+IF(AND(general!$C$23&lt;=1,$C82&lt;=1),'draws%'!R$5*(1-R$4))</f>
        <v>0</v>
      </c>
      <c r="S82" s="542">
        <f>IF(OR(C82=general!$C$27,C82=general!$C$27-1),50%,0)</f>
        <v>0</v>
      </c>
      <c r="T82" s="542">
        <f>(C82&gt;=general!$C$26-6)*(C82&lt;general!$C$26)*1/6*0.5+(C82=3)*0.25+(C82=9)*0.25</f>
        <v>0</v>
      </c>
      <c r="U82" s="542">
        <f>IF(C82='Development Cash Flow'!$C$6,$U$5,0)+IF(C82=general!$C$27,$U$6,0)</f>
        <v>0</v>
      </c>
      <c r="V82" s="542">
        <f>IF(C82=general!$C$28,1,0)</f>
        <v>0</v>
      </c>
      <c r="W82" s="542">
        <f t="shared" si="23"/>
        <v>0</v>
      </c>
      <c r="X82" s="542">
        <f>IF(C82=general!$C$23,1,0)</f>
        <v>0</v>
      </c>
      <c r="Y82" s="542">
        <f>IFERROR((C82&lt;general!$C$23)*Y$5/(general!$C$23),0)+IFERROR((C82&gt;=general!$C$23)*(C82&lt;=general!$C$27)*Y$6/(general!$C$27-general!$C$23+1),0)</f>
        <v>0</v>
      </c>
      <c r="Z82" s="542">
        <f>IFERROR(($C82&lt;general!$C$23)*Z$5/(general!$C$23),0)+IFERROR(($C82&gt;=general!$C$23)*($C82&lt;=general!$C$27)*Z$6/(general!$C$27-general!$C$23+1),0)*(1-$Z$4)+$Z$4*AF82</f>
        <v>0</v>
      </c>
      <c r="AA82" s="542">
        <f>MAX((IFERROR(($C82&lt;general!$C$23)*AA$5/(general!$C$23),0)+IFERROR(($C82&gt;=general!$C$23)*($C82&lt;=general!$C$27)*AA$6/(general!$C$27-general!$C$23+1),0)),0)</f>
        <v>0</v>
      </c>
      <c r="AB82" s="542">
        <f>MAX((IFERROR(($C82&lt;general!$C$23)*AB$5/(general!$C$23),0)+IFERROR(($C82&gt;=general!$C$23)*($C82&lt;=general!$C$27)*AB$6/(general!$C$27-general!$C$23+1),0)),0)</f>
        <v>0</v>
      </c>
      <c r="AC82" s="542">
        <f>MAX((IFERROR(($C82&lt;general!$C$23)*AC$5/(general!$C$23),0)+IFERROR(($C82&gt;=general!$C$23)*($C82&lt;=general!$C$27)*AC$6/(general!$C$27-general!$C$23+1),0)),0)</f>
        <v>0</v>
      </c>
      <c r="AD82" s="542">
        <f>MAX((IFERROR(($C82&lt;general!$C$23)*AD$5/(general!$C$23),0)+IFERROR(($C82&gt;=general!$C$23)*($C82&lt;=general!$C$27)*AD$6/(general!$C$27-general!$C$23+1),0)),0)</f>
        <v>0</v>
      </c>
      <c r="AE82" s="542">
        <f t="shared" si="20"/>
        <v>0</v>
      </c>
      <c r="AF82" s="542">
        <f>+SUMPRODUCT(--($C82=sales!$C$50:$C$54),sales!$D$50:$D$54)</f>
        <v>0</v>
      </c>
      <c r="AG82" s="542">
        <f>IF($C82=general!$C$28,AG$4,IFERROR(($C82&lt;general!$C$23)*((1-AG$4)*AG$5)/(general!$C$23-1),0)+IFERROR(($C82&gt;=general!$C$23)*($C82&lt;=general!$C$27)*((1-AG$4)*AG$6)/(general!$C$27-general!$C$23+1),0))+IF(AND(general!$C$23&lt;=1,$C82&lt;=1),'draws%'!AG$5*(1-AG$4))</f>
        <v>0</v>
      </c>
      <c r="AH82" s="542">
        <f>+IF($C82=general!$C$21,1,0)</f>
        <v>0</v>
      </c>
      <c r="AK82" s="524">
        <f>IF(A82&lt;=general!$D$27,IF(MONTH(A82)=11,1,IF(C82=general!$C$27,1,0)),)</f>
        <v>0</v>
      </c>
      <c r="AL82" s="524">
        <f>IF(AK82=1,COUNTIFS($C$8:$C$128,"&lt;="&amp;general!$C$27&amp;"",'draws%'!$AM$8:$AM$128,"="&amp;AM82&amp;""),0)</f>
        <v>0</v>
      </c>
      <c r="AM82" s="524">
        <f t="shared" si="18"/>
        <v>2032</v>
      </c>
      <c r="AN82" s="524"/>
    </row>
    <row r="83" spans="1:40" ht="14">
      <c r="A83" s="903">
        <f t="shared" si="21"/>
        <v>48548</v>
      </c>
      <c r="C83" s="897">
        <f t="shared" si="22"/>
        <v>75</v>
      </c>
      <c r="D83" s="542"/>
      <c r="E83" s="542">
        <f>IF($C83=$C$2,0,IF(OR($C83=0,$C83&lt;general!$C$23,$C83&gt;$C$2),0,E$2/$C$3+NORMDIST($C83-general!$C$23+1,$C$3/2,E$1,1)-NORMDIST($C82-general!$C$23+1,$C$3/2,E$1,1)))+IF($C83=$C$2,1-SUM(E$8:E82),0)</f>
        <v>0</v>
      </c>
      <c r="F83" s="542">
        <f>IF($C83=$C$2,0,IF(OR($C83=0,$C83&lt;general!$C$23,$C83&gt;$C$2),0,F$2/$C$3+NORMDIST($C83-general!$C$23+1,$C$3/2,F$1,1)-NORMDIST($C82-general!$C$23+1,$C$3/2,F$1,1)))+IF($C83=$C$2,1-SUM(F$8:F82),0)</f>
        <v>0</v>
      </c>
      <c r="G83" s="542">
        <f>IF($C83=$C$2,0,IF(OR($C83=0,$C83&lt;general!$C$23,$C83&gt;$C$2),0,G$2/$C$3+NORMDIST($C83-general!$C$23+1,$C$3/2,G$1,1)-NORMDIST($C82-general!$C$23+1,$C$3/2,G$1,1)))+IF($C83=$C$2,1-SUM(G$8:G82),0)</f>
        <v>0</v>
      </c>
      <c r="H83" s="542">
        <f>IF(C83=$C$2,0,IF(OR(C83=0,C83&lt;1,C83&gt;$C$2),0,$H$2/$C$2+NORMDIST(C83,$C$2/2,$H$1,1)-NORMDIST(C82,$C$2/2,$H$1,1)))+IF(C83=$C$2,1-SUM($H$9:H82),0)</f>
        <v>0</v>
      </c>
      <c r="I83" s="542">
        <f>IF(C83=$C$2,0,IF(OR(C83=0,C83&lt;1,C83&gt;$C$2),0,$I$2/$C$2+NORMDIST(C83,$C$2/2,$I$1,1)-NORMDIST(C82,$C$2/2,$I$1,1)))+IF(C83=$C$2,1-SUM($I$9:I82),0)</f>
        <v>0</v>
      </c>
      <c r="J83" s="542">
        <f>IF(C83=$C$2,0,IF(OR(C83=0,C83&lt;1,C83&gt;$C$2),0,$J$2/$C$2+NORMDIST(C83,$C$2/2,$J$1,1)-NORMDIST(C82,$C$2/2,$J$1,1)))+IF(C83=$C$2,1-SUM($J$9:J82),0)</f>
        <v>0</v>
      </c>
      <c r="K83" s="542">
        <f t="shared" si="19"/>
        <v>0</v>
      </c>
      <c r="L83" s="542">
        <f t="shared" si="16"/>
        <v>0</v>
      </c>
      <c r="M83" s="542">
        <f>IF($C83&gt;$C$2,IF($C83=sales!$F$36,M$4,0),(1-M$4)/$C$2)</f>
        <v>0</v>
      </c>
      <c r="N83" s="542">
        <f>IF(ISEVEN($C$2),IF(C83&gt;$C$2,0,IF(C83&lt;=$C$2/2,C83,C83-1-2*(SUMPRODUCT(--($C$8:C83&gt;$C$2/2))-1))/(($C$2/2)*($C$2/2+1))),0)+IF(ISODD($C$2),IF(C83&gt;$C$2,0,IF(C83-1&lt;=$C$2/2,C83,C83-2*(SUMPRODUCT(--($C$8:C83&gt;$C$2/2))-1))/((INT($C$2/2))*(INT($C$2/2)+1)+ROUNDUP($C$2/2,0))),0)</f>
        <v>0</v>
      </c>
      <c r="O83" s="542"/>
      <c r="P83" s="542">
        <f t="shared" si="17"/>
        <v>0</v>
      </c>
      <c r="Q83" s="542">
        <f>IF($C83=general!$C$28,Q$4,IFERROR(($C83&lt;general!$C$23)*((1-Q$4)*Q$5)/(general!$C$23-1),0)+IFERROR(($C83&gt;=general!$C$23)*($C83&lt;=general!$C$27)*((1-Q$4)*Q$6)/(general!$C$27-general!$C$23+1),0))+IF(AND(general!$C$23&lt;=1,$C83&lt;=1),'draws%'!Q$5*(1-Q$4))</f>
        <v>0</v>
      </c>
      <c r="R83" s="542">
        <f>IF($C83=general!$C$27,R$4,IFERROR(($C83&lt;general!$C$23)*((1-R$4)*R$5)/(general!$C$23-1),0)+IFERROR(($C83&gt;=general!$C$23)*($C83&lt;general!$C$27)*((1-R$4)*R$6)/(general!$C$27-general!$C$23),0))+IF(AND(general!$C$23&lt;=1,$C83&lt;=1),'draws%'!R$5*(1-R$4))</f>
        <v>0</v>
      </c>
      <c r="S83" s="542">
        <f>IF(OR(C83=general!$C$27,C83=general!$C$27-1),50%,0)</f>
        <v>0</v>
      </c>
      <c r="T83" s="542">
        <f>(C83&gt;=general!$C$26-6)*(C83&lt;general!$C$26)*1/6*0.5+(C83=3)*0.25+(C83=9)*0.25</f>
        <v>0</v>
      </c>
      <c r="U83" s="542">
        <f>IF(C83='Development Cash Flow'!$C$6,$U$5,0)+IF(C83=general!$C$27,$U$6,0)</f>
        <v>0</v>
      </c>
      <c r="V83" s="542">
        <f>IF(C83=general!$C$28,1,0)</f>
        <v>0</v>
      </c>
      <c r="W83" s="542">
        <f t="shared" si="23"/>
        <v>0</v>
      </c>
      <c r="X83" s="542">
        <f>IF(C83=general!$C$23,1,0)</f>
        <v>0</v>
      </c>
      <c r="Y83" s="542">
        <f>IFERROR((C83&lt;general!$C$23)*Y$5/(general!$C$23),0)+IFERROR((C83&gt;=general!$C$23)*(C83&lt;=general!$C$27)*Y$6/(general!$C$27-general!$C$23+1),0)</f>
        <v>0</v>
      </c>
      <c r="Z83" s="542">
        <f>IFERROR(($C83&lt;general!$C$23)*Z$5/(general!$C$23),0)+IFERROR(($C83&gt;=general!$C$23)*($C83&lt;=general!$C$27)*Z$6/(general!$C$27-general!$C$23+1),0)*(1-$Z$4)+$Z$4*AF83</f>
        <v>0</v>
      </c>
      <c r="AA83" s="542">
        <f>MAX((IFERROR(($C83&lt;general!$C$23)*AA$5/(general!$C$23),0)+IFERROR(($C83&gt;=general!$C$23)*($C83&lt;=general!$C$27)*AA$6/(general!$C$27-general!$C$23+1),0)),0)</f>
        <v>0</v>
      </c>
      <c r="AB83" s="542">
        <f>MAX((IFERROR(($C83&lt;general!$C$23)*AB$5/(general!$C$23),0)+IFERROR(($C83&gt;=general!$C$23)*($C83&lt;=general!$C$27)*AB$6/(general!$C$27-general!$C$23+1),0)),0)</f>
        <v>0</v>
      </c>
      <c r="AC83" s="542">
        <f>MAX((IFERROR(($C83&lt;general!$C$23)*AC$5/(general!$C$23),0)+IFERROR(($C83&gt;=general!$C$23)*($C83&lt;=general!$C$27)*AC$6/(general!$C$27-general!$C$23+1),0)),0)</f>
        <v>0</v>
      </c>
      <c r="AD83" s="542">
        <f>MAX((IFERROR(($C83&lt;general!$C$23)*AD$5/(general!$C$23),0)+IFERROR(($C83&gt;=general!$C$23)*($C83&lt;=general!$C$27)*AD$6/(general!$C$27-general!$C$23+1),0)),0)</f>
        <v>0</v>
      </c>
      <c r="AE83" s="542">
        <f t="shared" si="20"/>
        <v>0</v>
      </c>
      <c r="AF83" s="542">
        <f>+SUMPRODUCT(--($C83=sales!$C$50:$C$54),sales!$D$50:$D$54)</f>
        <v>0</v>
      </c>
      <c r="AG83" s="542">
        <f>IF($C83=general!$C$28,AG$4,IFERROR(($C83&lt;general!$C$23)*((1-AG$4)*AG$5)/(general!$C$23-1),0)+IFERROR(($C83&gt;=general!$C$23)*($C83&lt;=general!$C$27)*((1-AG$4)*AG$6)/(general!$C$27-general!$C$23+1),0))+IF(AND(general!$C$23&lt;=1,$C83&lt;=1),'draws%'!AG$5*(1-AG$4))</f>
        <v>0</v>
      </c>
      <c r="AH83" s="542">
        <f>+IF($C83=general!$C$21,1,0)</f>
        <v>0</v>
      </c>
      <c r="AK83" s="524">
        <f>IF(A83&lt;=general!$D$27,IF(MONTH(A83)=11,1,IF(C83=general!$C$27,1,0)),)</f>
        <v>0</v>
      </c>
      <c r="AL83" s="524">
        <f>IF(AK83=1,COUNTIFS($C$8:$C$128,"&lt;="&amp;general!$C$27&amp;"",'draws%'!$AM$8:$AM$128,"="&amp;AM83&amp;""),0)</f>
        <v>0</v>
      </c>
      <c r="AM83" s="524">
        <f t="shared" si="18"/>
        <v>2032</v>
      </c>
      <c r="AN83" s="524"/>
    </row>
    <row r="84" spans="1:40" ht="14">
      <c r="A84" s="903">
        <f t="shared" si="21"/>
        <v>48579</v>
      </c>
      <c r="C84" s="897">
        <f t="shared" si="22"/>
        <v>76</v>
      </c>
      <c r="D84" s="542"/>
      <c r="E84" s="542">
        <f>IF($C84=$C$2,0,IF(OR($C84=0,$C84&lt;general!$C$23,$C84&gt;$C$2),0,E$2/$C$3+NORMDIST($C84-general!$C$23+1,$C$3/2,E$1,1)-NORMDIST($C83-general!$C$23+1,$C$3/2,E$1,1)))+IF($C84=$C$2,1-SUM(E$8:E83),0)</f>
        <v>0</v>
      </c>
      <c r="F84" s="542">
        <f>IF($C84=$C$2,0,IF(OR($C84=0,$C84&lt;general!$C$23,$C84&gt;$C$2),0,F$2/$C$3+NORMDIST($C84-general!$C$23+1,$C$3/2,F$1,1)-NORMDIST($C83-general!$C$23+1,$C$3/2,F$1,1)))+IF($C84=$C$2,1-SUM(F$8:F83),0)</f>
        <v>0</v>
      </c>
      <c r="G84" s="542">
        <f>IF($C84=$C$2,0,IF(OR($C84=0,$C84&lt;general!$C$23,$C84&gt;$C$2),0,G$2/$C$3+NORMDIST($C84-general!$C$23+1,$C$3/2,G$1,1)-NORMDIST($C83-general!$C$23+1,$C$3/2,G$1,1)))+IF($C84=$C$2,1-SUM(G$8:G83),0)</f>
        <v>0</v>
      </c>
      <c r="H84" s="542">
        <f>IF(C84=$C$2,0,IF(OR(C84=0,C84&lt;1,C84&gt;$C$2),0,$H$2/$C$2+NORMDIST(C84,$C$2/2,$H$1,1)-NORMDIST(C83,$C$2/2,$H$1,1)))+IF(C84=$C$2,1-SUM($H$9:H83),0)</f>
        <v>0</v>
      </c>
      <c r="I84" s="542">
        <f>IF(C84=$C$2,0,IF(OR(C84=0,C84&lt;1,C84&gt;$C$2),0,$I$2/$C$2+NORMDIST(C84,$C$2/2,$I$1,1)-NORMDIST(C83,$C$2/2,$I$1,1)))+IF(C84=$C$2,1-SUM($I$9:I83),0)</f>
        <v>0</v>
      </c>
      <c r="J84" s="542">
        <f>IF(C84=$C$2,0,IF(OR(C84=0,C84&lt;1,C84&gt;$C$2),0,$J$2/$C$2+NORMDIST(C84,$C$2/2,$J$1,1)-NORMDIST(C83,$C$2/2,$J$1,1)))+IF(C84=$C$2,1-SUM($J$9:J83),0)</f>
        <v>0</v>
      </c>
      <c r="K84" s="542">
        <f t="shared" si="19"/>
        <v>0</v>
      </c>
      <c r="L84" s="542">
        <f t="shared" si="16"/>
        <v>0</v>
      </c>
      <c r="M84" s="542">
        <f>IF($C84&gt;$C$2,IF($C84=sales!$F$36,M$4,0),(1-M$4)/$C$2)</f>
        <v>0</v>
      </c>
      <c r="N84" s="542">
        <f>IF(ISEVEN($C$2),IF(C84&gt;$C$2,0,IF(C84&lt;=$C$2/2,C84,C84-1-2*(SUMPRODUCT(--($C$8:C84&gt;$C$2/2))-1))/(($C$2/2)*($C$2/2+1))),0)+IF(ISODD($C$2),IF(C84&gt;$C$2,0,IF(C84-1&lt;=$C$2/2,C84,C84-2*(SUMPRODUCT(--($C$8:C84&gt;$C$2/2))-1))/((INT($C$2/2))*(INT($C$2/2)+1)+ROUNDUP($C$2/2,0))),0)</f>
        <v>0</v>
      </c>
      <c r="O84" s="542"/>
      <c r="P84" s="542">
        <f t="shared" si="17"/>
        <v>0</v>
      </c>
      <c r="Q84" s="542">
        <f>IF($C84=general!$C$28,Q$4,IFERROR(($C84&lt;general!$C$23)*((1-Q$4)*Q$5)/(general!$C$23-1),0)+IFERROR(($C84&gt;=general!$C$23)*($C84&lt;=general!$C$27)*((1-Q$4)*Q$6)/(general!$C$27-general!$C$23+1),0))+IF(AND(general!$C$23&lt;=1,$C84&lt;=1),'draws%'!Q$5*(1-Q$4))</f>
        <v>0</v>
      </c>
      <c r="R84" s="542">
        <f>IF($C84=general!$C$27,R$4,IFERROR(($C84&lt;general!$C$23)*((1-R$4)*R$5)/(general!$C$23-1),0)+IFERROR(($C84&gt;=general!$C$23)*($C84&lt;general!$C$27)*((1-R$4)*R$6)/(general!$C$27-general!$C$23),0))+IF(AND(general!$C$23&lt;=1,$C84&lt;=1),'draws%'!R$5*(1-R$4))</f>
        <v>0</v>
      </c>
      <c r="S84" s="542">
        <f>IF(OR(C84=general!$C$27,C84=general!$C$27-1),50%,0)</f>
        <v>0</v>
      </c>
      <c r="T84" s="542">
        <f>(C84&gt;=general!$C$26-6)*(C84&lt;general!$C$26)*1/6*0.5+(C84=3)*0.25+(C84=9)*0.25</f>
        <v>0</v>
      </c>
      <c r="U84" s="542">
        <f>IF(C84='Development Cash Flow'!$C$6,$U$5,0)+IF(C84=general!$C$27,$U$6,0)</f>
        <v>0</v>
      </c>
      <c r="V84" s="542">
        <f>IF(C84=general!$C$28,1,0)</f>
        <v>0</v>
      </c>
      <c r="W84" s="542">
        <f t="shared" si="23"/>
        <v>0</v>
      </c>
      <c r="X84" s="542">
        <f>IF(C84=general!$C$23,1,0)</f>
        <v>0</v>
      </c>
      <c r="Y84" s="542">
        <f>IFERROR((C84&lt;general!$C$23)*Y$5/(general!$C$23),0)+IFERROR((C84&gt;=general!$C$23)*(C84&lt;=general!$C$27)*Y$6/(general!$C$27-general!$C$23+1),0)</f>
        <v>0</v>
      </c>
      <c r="Z84" s="542">
        <f>IFERROR(($C84&lt;general!$C$23)*Z$5/(general!$C$23),0)+IFERROR(($C84&gt;=general!$C$23)*($C84&lt;=general!$C$27)*Z$6/(general!$C$27-general!$C$23+1),0)*(1-$Z$4)+$Z$4*AF84</f>
        <v>0</v>
      </c>
      <c r="AA84" s="542">
        <f>MAX((IFERROR(($C84&lt;general!$C$23)*AA$5/(general!$C$23),0)+IFERROR(($C84&gt;=general!$C$23)*($C84&lt;=general!$C$27)*AA$6/(general!$C$27-general!$C$23+1),0)),0)</f>
        <v>0</v>
      </c>
      <c r="AB84" s="542">
        <f>MAX((IFERROR(($C84&lt;general!$C$23)*AB$5/(general!$C$23),0)+IFERROR(($C84&gt;=general!$C$23)*($C84&lt;=general!$C$27)*AB$6/(general!$C$27-general!$C$23+1),0)),0)</f>
        <v>0</v>
      </c>
      <c r="AC84" s="542">
        <f>MAX((IFERROR(($C84&lt;general!$C$23)*AC$5/(general!$C$23),0)+IFERROR(($C84&gt;=general!$C$23)*($C84&lt;=general!$C$27)*AC$6/(general!$C$27-general!$C$23+1),0)),0)</f>
        <v>0</v>
      </c>
      <c r="AD84" s="542">
        <f>MAX((IFERROR(($C84&lt;general!$C$23)*AD$5/(general!$C$23),0)+IFERROR(($C84&gt;=general!$C$23)*($C84&lt;=general!$C$27)*AD$6/(general!$C$27-general!$C$23+1),0)),0)</f>
        <v>0</v>
      </c>
      <c r="AE84" s="542">
        <f t="shared" si="20"/>
        <v>0</v>
      </c>
      <c r="AF84" s="542">
        <f>+SUMPRODUCT(--($C84=sales!$C$50:$C$54),sales!$D$50:$D$54)</f>
        <v>0</v>
      </c>
      <c r="AG84" s="542">
        <f>IF($C84=general!$C$28,AG$4,IFERROR(($C84&lt;general!$C$23)*((1-AG$4)*AG$5)/(general!$C$23-1),0)+IFERROR(($C84&gt;=general!$C$23)*($C84&lt;=general!$C$27)*((1-AG$4)*AG$6)/(general!$C$27-general!$C$23+1),0))+IF(AND(general!$C$23&lt;=1,$C84&lt;=1),'draws%'!AG$5*(1-AG$4))</f>
        <v>0</v>
      </c>
      <c r="AH84" s="542">
        <f>+IF($C84=general!$C$21,1,0)</f>
        <v>0</v>
      </c>
      <c r="AK84" s="524">
        <f>IF(A84&lt;=general!$D$27,IF(MONTH(A84)=11,1,IF(C84=general!$C$27,1,0)),)</f>
        <v>0</v>
      </c>
      <c r="AL84" s="524">
        <f>IF(AK84=1,COUNTIFS($C$8:$C$128,"&lt;="&amp;general!$C$27&amp;"",'draws%'!$AM$8:$AM$128,"="&amp;AM84&amp;""),0)</f>
        <v>0</v>
      </c>
      <c r="AM84" s="524">
        <f t="shared" si="18"/>
        <v>2032</v>
      </c>
      <c r="AN84" s="524"/>
    </row>
    <row r="85" spans="1:40" ht="14">
      <c r="A85" s="903">
        <f t="shared" si="21"/>
        <v>48610</v>
      </c>
      <c r="C85" s="897">
        <f t="shared" si="22"/>
        <v>77</v>
      </c>
      <c r="D85" s="542"/>
      <c r="E85" s="542">
        <f>IF($C85=$C$2,0,IF(OR($C85=0,$C85&lt;general!$C$23,$C85&gt;$C$2),0,E$2/$C$3+NORMDIST($C85-general!$C$23+1,$C$3/2,E$1,1)-NORMDIST($C84-general!$C$23+1,$C$3/2,E$1,1)))+IF($C85=$C$2,1-SUM(E$8:E84),0)</f>
        <v>0</v>
      </c>
      <c r="F85" s="542">
        <f>IF($C85=$C$2,0,IF(OR($C85=0,$C85&lt;general!$C$23,$C85&gt;$C$2),0,F$2/$C$3+NORMDIST($C85-general!$C$23+1,$C$3/2,F$1,1)-NORMDIST($C84-general!$C$23+1,$C$3/2,F$1,1)))+IF($C85=$C$2,1-SUM(F$8:F84),0)</f>
        <v>0</v>
      </c>
      <c r="G85" s="542">
        <f>IF($C85=$C$2,0,IF(OR($C85=0,$C85&lt;general!$C$23,$C85&gt;$C$2),0,G$2/$C$3+NORMDIST($C85-general!$C$23+1,$C$3/2,G$1,1)-NORMDIST($C84-general!$C$23+1,$C$3/2,G$1,1)))+IF($C85=$C$2,1-SUM(G$8:G84),0)</f>
        <v>0</v>
      </c>
      <c r="H85" s="542">
        <f>IF(C85=$C$2,0,IF(OR(C85=0,C85&lt;1,C85&gt;$C$2),0,$H$2/$C$2+NORMDIST(C85,$C$2/2,$H$1,1)-NORMDIST(C84,$C$2/2,$H$1,1)))+IF(C85=$C$2,1-SUM($H$9:H84),0)</f>
        <v>0</v>
      </c>
      <c r="I85" s="542">
        <f>IF(C85=$C$2,0,IF(OR(C85=0,C85&lt;1,C85&gt;$C$2),0,$I$2/$C$2+NORMDIST(C85,$C$2/2,$I$1,1)-NORMDIST(C84,$C$2/2,$I$1,1)))+IF(C85=$C$2,1-SUM($I$9:I84),0)</f>
        <v>0</v>
      </c>
      <c r="J85" s="542">
        <f>IF(C85=$C$2,0,IF(OR(C85=0,C85&lt;1,C85&gt;$C$2),0,$J$2/$C$2+NORMDIST(C85,$C$2/2,$J$1,1)-NORMDIST(C84,$C$2/2,$J$1,1)))+IF(C85=$C$2,1-SUM($J$9:J84),0)</f>
        <v>0</v>
      </c>
      <c r="K85" s="542">
        <f t="shared" si="19"/>
        <v>0</v>
      </c>
      <c r="L85" s="542">
        <f t="shared" si="16"/>
        <v>0</v>
      </c>
      <c r="M85" s="542">
        <f>IF($C85&gt;$C$2,IF($C85=sales!$F$36,M$4,0),(1-M$4)/$C$2)</f>
        <v>0</v>
      </c>
      <c r="N85" s="542">
        <f>IF(ISEVEN($C$2),IF(C85&gt;$C$2,0,IF(C85&lt;=$C$2/2,C85,C85-1-2*(SUMPRODUCT(--($C$8:C85&gt;$C$2/2))-1))/(($C$2/2)*($C$2/2+1))),0)+IF(ISODD($C$2),IF(C85&gt;$C$2,0,IF(C85-1&lt;=$C$2/2,C85,C85-2*(SUMPRODUCT(--($C$8:C85&gt;$C$2/2))-1))/((INT($C$2/2))*(INT($C$2/2)+1)+ROUNDUP($C$2/2,0))),0)</f>
        <v>0</v>
      </c>
      <c r="O85" s="542"/>
      <c r="P85" s="542">
        <f t="shared" si="17"/>
        <v>0</v>
      </c>
      <c r="Q85" s="542">
        <f>IF($C85=general!$C$28,Q$4,IFERROR(($C85&lt;general!$C$23)*((1-Q$4)*Q$5)/(general!$C$23-1),0)+IFERROR(($C85&gt;=general!$C$23)*($C85&lt;=general!$C$27)*((1-Q$4)*Q$6)/(general!$C$27-general!$C$23+1),0))+IF(AND(general!$C$23&lt;=1,$C85&lt;=1),'draws%'!Q$5*(1-Q$4))</f>
        <v>0</v>
      </c>
      <c r="R85" s="542">
        <f>IF($C85=general!$C$27,R$4,IFERROR(($C85&lt;general!$C$23)*((1-R$4)*R$5)/(general!$C$23-1),0)+IFERROR(($C85&gt;=general!$C$23)*($C85&lt;general!$C$27)*((1-R$4)*R$6)/(general!$C$27-general!$C$23),0))+IF(AND(general!$C$23&lt;=1,$C85&lt;=1),'draws%'!R$5*(1-R$4))</f>
        <v>0</v>
      </c>
      <c r="S85" s="542">
        <f>IF(OR(C85=general!$C$27,C85=general!$C$27-1),50%,0)</f>
        <v>0</v>
      </c>
      <c r="T85" s="542">
        <f>(C85&gt;=general!$C$26-6)*(C85&lt;general!$C$26)*1/6*0.5+(C85=3)*0.25+(C85=9)*0.25</f>
        <v>0</v>
      </c>
      <c r="U85" s="542">
        <f>IF(C85='Development Cash Flow'!$C$6,$U$5,0)+IF(C85=general!$C$27,$U$6,0)</f>
        <v>0</v>
      </c>
      <c r="V85" s="542">
        <f>IF(C85=general!$C$28,1,0)</f>
        <v>0</v>
      </c>
      <c r="W85" s="542">
        <f t="shared" si="23"/>
        <v>0</v>
      </c>
      <c r="X85" s="542">
        <f>IF(C85=general!$C$23,1,0)</f>
        <v>0</v>
      </c>
      <c r="Y85" s="542">
        <f>IFERROR((C85&lt;general!$C$23)*Y$5/(general!$C$23),0)+IFERROR((C85&gt;=general!$C$23)*(C85&lt;=general!$C$27)*Y$6/(general!$C$27-general!$C$23+1),0)</f>
        <v>0</v>
      </c>
      <c r="Z85" s="542">
        <f>IFERROR(($C85&lt;general!$C$23)*Z$5/(general!$C$23),0)+IFERROR(($C85&gt;=general!$C$23)*($C85&lt;=general!$C$27)*Z$6/(general!$C$27-general!$C$23+1),0)*(1-$Z$4)+$Z$4*AF85</f>
        <v>0</v>
      </c>
      <c r="AA85" s="542">
        <f>MAX((IFERROR(($C85&lt;general!$C$23)*AA$5/(general!$C$23),0)+IFERROR(($C85&gt;=general!$C$23)*($C85&lt;=general!$C$27)*AA$6/(general!$C$27-general!$C$23+1),0)),0)</f>
        <v>0</v>
      </c>
      <c r="AB85" s="542">
        <f>MAX((IFERROR(($C85&lt;general!$C$23)*AB$5/(general!$C$23),0)+IFERROR(($C85&gt;=general!$C$23)*($C85&lt;=general!$C$27)*AB$6/(general!$C$27-general!$C$23+1),0)),0)</f>
        <v>0</v>
      </c>
      <c r="AC85" s="542">
        <f>MAX((IFERROR(($C85&lt;general!$C$23)*AC$5/(general!$C$23),0)+IFERROR(($C85&gt;=general!$C$23)*($C85&lt;=general!$C$27)*AC$6/(general!$C$27-general!$C$23+1),0)),0)</f>
        <v>0</v>
      </c>
      <c r="AD85" s="542">
        <f>MAX((IFERROR(($C85&lt;general!$C$23)*AD$5/(general!$C$23),0)+IFERROR(($C85&gt;=general!$C$23)*($C85&lt;=general!$C$27)*AD$6/(general!$C$27-general!$C$23+1),0)),0)</f>
        <v>0</v>
      </c>
      <c r="AE85" s="542">
        <f t="shared" si="20"/>
        <v>0</v>
      </c>
      <c r="AF85" s="542">
        <f>+SUMPRODUCT(--($C85=sales!$C$50:$C$54),sales!$D$50:$D$54)</f>
        <v>0</v>
      </c>
      <c r="AG85" s="542">
        <f>IF($C85=general!$C$28,AG$4,IFERROR(($C85&lt;general!$C$23)*((1-AG$4)*AG$5)/(general!$C$23-1),0)+IFERROR(($C85&gt;=general!$C$23)*($C85&lt;=general!$C$27)*((1-AG$4)*AG$6)/(general!$C$27-general!$C$23+1),0))+IF(AND(general!$C$23&lt;=1,$C85&lt;=1),'draws%'!AG$5*(1-AG$4))</f>
        <v>0</v>
      </c>
      <c r="AH85" s="542">
        <f>+IF($C85=general!$C$21,1,0)</f>
        <v>0</v>
      </c>
      <c r="AK85" s="524">
        <f>IF(A85&lt;=general!$D$27,IF(MONTH(A85)=11,1,IF(C85=general!$C$27,1,0)),)</f>
        <v>0</v>
      </c>
      <c r="AL85" s="524">
        <f>IF(AK85=1,COUNTIFS($C$8:$C$128,"&lt;="&amp;general!$C$27&amp;"",'draws%'!$AM$8:$AM$128,"="&amp;AM85&amp;""),0)</f>
        <v>0</v>
      </c>
      <c r="AM85" s="524">
        <f t="shared" si="18"/>
        <v>2033</v>
      </c>
      <c r="AN85" s="524"/>
    </row>
    <row r="86" spans="1:40" ht="14">
      <c r="A86" s="903">
        <f t="shared" si="21"/>
        <v>48638</v>
      </c>
      <c r="C86" s="897">
        <f t="shared" si="22"/>
        <v>78</v>
      </c>
      <c r="D86" s="542"/>
      <c r="E86" s="542">
        <f>IF($C86=$C$2,0,IF(OR($C86=0,$C86&lt;general!$C$23,$C86&gt;$C$2),0,E$2/$C$3+NORMDIST($C86-general!$C$23+1,$C$3/2,E$1,1)-NORMDIST($C85-general!$C$23+1,$C$3/2,E$1,1)))+IF($C86=$C$2,1-SUM(E$8:E85),0)</f>
        <v>0</v>
      </c>
      <c r="F86" s="542">
        <f>IF($C86=$C$2,0,IF(OR($C86=0,$C86&lt;general!$C$23,$C86&gt;$C$2),0,F$2/$C$3+NORMDIST($C86-general!$C$23+1,$C$3/2,F$1,1)-NORMDIST($C85-general!$C$23+1,$C$3/2,F$1,1)))+IF($C86=$C$2,1-SUM(F$8:F85),0)</f>
        <v>0</v>
      </c>
      <c r="G86" s="542">
        <f>IF($C86=$C$2,0,IF(OR($C86=0,$C86&lt;general!$C$23,$C86&gt;$C$2),0,G$2/$C$3+NORMDIST($C86-general!$C$23+1,$C$3/2,G$1,1)-NORMDIST($C85-general!$C$23+1,$C$3/2,G$1,1)))+IF($C86=$C$2,1-SUM(G$8:G85),0)</f>
        <v>0</v>
      </c>
      <c r="H86" s="542">
        <f>IF(C86=$C$2,0,IF(OR(C86=0,C86&lt;1,C86&gt;$C$2),0,$H$2/$C$2+NORMDIST(C86,$C$2/2,$H$1,1)-NORMDIST(C85,$C$2/2,$H$1,1)))+IF(C86=$C$2,1-SUM($H$9:H85),0)</f>
        <v>0</v>
      </c>
      <c r="I86" s="542">
        <f>IF(C86=$C$2,0,IF(OR(C86=0,C86&lt;1,C86&gt;$C$2),0,$I$2/$C$2+NORMDIST(C86,$C$2/2,$I$1,1)-NORMDIST(C85,$C$2/2,$I$1,1)))+IF(C86=$C$2,1-SUM($I$9:I85),0)</f>
        <v>0</v>
      </c>
      <c r="J86" s="542">
        <f>IF(C86=$C$2,0,IF(OR(C86=0,C86&lt;1,C86&gt;$C$2),0,$J$2/$C$2+NORMDIST(C86,$C$2/2,$J$1,1)-NORMDIST(C85,$C$2/2,$J$1,1)))+IF(C86=$C$2,1-SUM($J$9:J85),0)</f>
        <v>0</v>
      </c>
      <c r="K86" s="542">
        <f t="shared" si="19"/>
        <v>0</v>
      </c>
      <c r="L86" s="542">
        <f t="shared" si="16"/>
        <v>0</v>
      </c>
      <c r="M86" s="542">
        <f>IF($C86&gt;$C$2,IF($C86=sales!$F$36,M$4,0),(1-M$4)/$C$2)</f>
        <v>0</v>
      </c>
      <c r="N86" s="542">
        <f>IF(ISEVEN($C$2),IF(C86&gt;$C$2,0,IF(C86&lt;=$C$2/2,C86,C86-1-2*(SUMPRODUCT(--($C$8:C86&gt;$C$2/2))-1))/(($C$2/2)*($C$2/2+1))),0)+IF(ISODD($C$2),IF(C86&gt;$C$2,0,IF(C86-1&lt;=$C$2/2,C86,C86-2*(SUMPRODUCT(--($C$8:C86&gt;$C$2/2))-1))/((INT($C$2/2))*(INT($C$2/2)+1)+ROUNDUP($C$2/2,0))),0)</f>
        <v>0</v>
      </c>
      <c r="O86" s="542"/>
      <c r="P86" s="542">
        <f t="shared" si="17"/>
        <v>0</v>
      </c>
      <c r="Q86" s="542">
        <f>IF($C86=general!$C$28,Q$4,IFERROR(($C86&lt;general!$C$23)*((1-Q$4)*Q$5)/(general!$C$23-1),0)+IFERROR(($C86&gt;=general!$C$23)*($C86&lt;=general!$C$27)*((1-Q$4)*Q$6)/(general!$C$27-general!$C$23+1),0))+IF(AND(general!$C$23&lt;=1,$C86&lt;=1),'draws%'!Q$5*(1-Q$4))</f>
        <v>0</v>
      </c>
      <c r="R86" s="542">
        <f>IF($C86=general!$C$27,R$4,IFERROR(($C86&lt;general!$C$23)*((1-R$4)*R$5)/(general!$C$23-1),0)+IFERROR(($C86&gt;=general!$C$23)*($C86&lt;general!$C$27)*((1-R$4)*R$6)/(general!$C$27-general!$C$23),0))+IF(AND(general!$C$23&lt;=1,$C86&lt;=1),'draws%'!R$5*(1-R$4))</f>
        <v>0</v>
      </c>
      <c r="S86" s="542">
        <f>IF(OR(C86=general!$C$27,C86=general!$C$27-1),50%,0)</f>
        <v>0</v>
      </c>
      <c r="T86" s="542">
        <f>(C86&gt;=general!$C$26-6)*(C86&lt;general!$C$26)*1/6*0.5+(C86=3)*0.25+(C86=9)*0.25</f>
        <v>0</v>
      </c>
      <c r="U86" s="542">
        <f>IF(C86='Development Cash Flow'!$C$6,$U$5,0)+IF(C86=general!$C$27,$U$6,0)</f>
        <v>0</v>
      </c>
      <c r="V86" s="542">
        <f>IF(C86=general!$C$28,1,0)</f>
        <v>0</v>
      </c>
      <c r="W86" s="542">
        <f t="shared" si="23"/>
        <v>0</v>
      </c>
      <c r="X86" s="542">
        <f>IF(C86=general!$C$23,1,0)</f>
        <v>0</v>
      </c>
      <c r="Y86" s="542">
        <f>IFERROR((C86&lt;general!$C$23)*Y$5/(general!$C$23),0)+IFERROR((C86&gt;=general!$C$23)*(C86&lt;=general!$C$27)*Y$6/(general!$C$27-general!$C$23+1),0)</f>
        <v>0</v>
      </c>
      <c r="Z86" s="542">
        <f>IFERROR(($C86&lt;general!$C$23)*Z$5/(general!$C$23),0)+IFERROR(($C86&gt;=general!$C$23)*($C86&lt;=general!$C$27)*Z$6/(general!$C$27-general!$C$23+1),0)*(1-$Z$4)+$Z$4*AF86</f>
        <v>0</v>
      </c>
      <c r="AA86" s="542">
        <f>MAX((IFERROR(($C86&lt;general!$C$23)*AA$5/(general!$C$23),0)+IFERROR(($C86&gt;=general!$C$23)*($C86&lt;=general!$C$27)*AA$6/(general!$C$27-general!$C$23+1),0)),0)</f>
        <v>0</v>
      </c>
      <c r="AB86" s="542">
        <f>MAX((IFERROR(($C86&lt;general!$C$23)*AB$5/(general!$C$23),0)+IFERROR(($C86&gt;=general!$C$23)*($C86&lt;=general!$C$27)*AB$6/(general!$C$27-general!$C$23+1),0)),0)</f>
        <v>0</v>
      </c>
      <c r="AC86" s="542">
        <f>MAX((IFERROR(($C86&lt;general!$C$23)*AC$5/(general!$C$23),0)+IFERROR(($C86&gt;=general!$C$23)*($C86&lt;=general!$C$27)*AC$6/(general!$C$27-general!$C$23+1),0)),0)</f>
        <v>0</v>
      </c>
      <c r="AD86" s="542">
        <f>MAX((IFERROR(($C86&lt;general!$C$23)*AD$5/(general!$C$23),0)+IFERROR(($C86&gt;=general!$C$23)*($C86&lt;=general!$C$27)*AD$6/(general!$C$27-general!$C$23+1),0)),0)</f>
        <v>0</v>
      </c>
      <c r="AE86" s="542">
        <f t="shared" si="20"/>
        <v>0</v>
      </c>
      <c r="AF86" s="542">
        <f>+SUMPRODUCT(--($C86=sales!$C$50:$C$54),sales!$D$50:$D$54)</f>
        <v>0</v>
      </c>
      <c r="AG86" s="542">
        <f>IF($C86=general!$C$28,AG$4,IFERROR(($C86&lt;general!$C$23)*((1-AG$4)*AG$5)/(general!$C$23-1),0)+IFERROR(($C86&gt;=general!$C$23)*($C86&lt;=general!$C$27)*((1-AG$4)*AG$6)/(general!$C$27-general!$C$23+1),0))+IF(AND(general!$C$23&lt;=1,$C86&lt;=1),'draws%'!AG$5*(1-AG$4))</f>
        <v>0</v>
      </c>
      <c r="AH86" s="542">
        <f>+IF($C86=general!$C$21,1,0)</f>
        <v>0</v>
      </c>
      <c r="AK86" s="524">
        <f>IF(A86&lt;=general!$D$27,IF(MONTH(A86)=11,1,IF(C86=general!$C$27,1,0)),)</f>
        <v>0</v>
      </c>
      <c r="AL86" s="524">
        <f>IF(AK86=1,COUNTIFS($C$8:$C$128,"&lt;="&amp;general!$C$27&amp;"",'draws%'!$AM$8:$AM$128,"="&amp;AM86&amp;""),0)</f>
        <v>0</v>
      </c>
      <c r="AM86" s="524">
        <f t="shared" si="18"/>
        <v>2033</v>
      </c>
      <c r="AN86" s="524"/>
    </row>
    <row r="87" spans="1:40" ht="14">
      <c r="A87" s="903">
        <f t="shared" si="21"/>
        <v>48669</v>
      </c>
      <c r="C87" s="897">
        <f t="shared" si="22"/>
        <v>79</v>
      </c>
      <c r="D87" s="542"/>
      <c r="E87" s="542">
        <f>IF($C87=$C$2,0,IF(OR($C87=0,$C87&lt;general!$C$23,$C87&gt;$C$2),0,E$2/$C$3+NORMDIST($C87-general!$C$23+1,$C$3/2,E$1,1)-NORMDIST($C86-general!$C$23+1,$C$3/2,E$1,1)))+IF($C87=$C$2,1-SUM(E$8:E86),0)</f>
        <v>0</v>
      </c>
      <c r="F87" s="542">
        <f>IF($C87=$C$2,0,IF(OR($C87=0,$C87&lt;general!$C$23,$C87&gt;$C$2),0,F$2/$C$3+NORMDIST($C87-general!$C$23+1,$C$3/2,F$1,1)-NORMDIST($C86-general!$C$23+1,$C$3/2,F$1,1)))+IF($C87=$C$2,1-SUM(F$8:F86),0)</f>
        <v>0</v>
      </c>
      <c r="G87" s="542">
        <f>IF($C87=$C$2,0,IF(OR($C87=0,$C87&lt;general!$C$23,$C87&gt;$C$2),0,G$2/$C$3+NORMDIST($C87-general!$C$23+1,$C$3/2,G$1,1)-NORMDIST($C86-general!$C$23+1,$C$3/2,G$1,1)))+IF($C87=$C$2,1-SUM(G$8:G86),0)</f>
        <v>0</v>
      </c>
      <c r="H87" s="542">
        <f>IF(C87=$C$2,0,IF(OR(C87=0,C87&lt;1,C87&gt;$C$2),0,$H$2/$C$2+NORMDIST(C87,$C$2/2,$H$1,1)-NORMDIST(C86,$C$2/2,$H$1,1)))+IF(C87=$C$2,1-SUM($H$9:H86),0)</f>
        <v>0</v>
      </c>
      <c r="I87" s="542">
        <f>IF(C87=$C$2,0,IF(OR(C87=0,C87&lt;1,C87&gt;$C$2),0,$I$2/$C$2+NORMDIST(C87,$C$2/2,$I$1,1)-NORMDIST(C86,$C$2/2,$I$1,1)))+IF(C87=$C$2,1-SUM($I$9:I86),0)</f>
        <v>0</v>
      </c>
      <c r="J87" s="542">
        <f>IF(C87=$C$2,0,IF(OR(C87=0,C87&lt;1,C87&gt;$C$2),0,$J$2/$C$2+NORMDIST(C87,$C$2/2,$J$1,1)-NORMDIST(C86,$C$2/2,$J$1,1)))+IF(C87=$C$2,1-SUM($J$9:J86),0)</f>
        <v>0</v>
      </c>
      <c r="K87" s="542">
        <f t="shared" si="19"/>
        <v>0</v>
      </c>
      <c r="L87" s="542">
        <f t="shared" si="16"/>
        <v>0</v>
      </c>
      <c r="M87" s="542">
        <f>IF($C87&gt;$C$2,IF($C87=sales!$F$36,M$4,0),(1-M$4)/$C$2)</f>
        <v>0</v>
      </c>
      <c r="N87" s="542">
        <f>IF(ISEVEN($C$2),IF(C87&gt;$C$2,0,IF(C87&lt;=$C$2/2,C87,C87-1-2*(SUMPRODUCT(--($C$8:C87&gt;$C$2/2))-1))/(($C$2/2)*($C$2/2+1))),0)+IF(ISODD($C$2),IF(C87&gt;$C$2,0,IF(C87-1&lt;=$C$2/2,C87,C87-2*(SUMPRODUCT(--($C$8:C87&gt;$C$2/2))-1))/((INT($C$2/2))*(INT($C$2/2)+1)+ROUNDUP($C$2/2,0))),0)</f>
        <v>0</v>
      </c>
      <c r="O87" s="542"/>
      <c r="P87" s="542">
        <f t="shared" si="17"/>
        <v>0</v>
      </c>
      <c r="Q87" s="542">
        <f>IF($C87=general!$C$28,Q$4,IFERROR(($C87&lt;general!$C$23)*((1-Q$4)*Q$5)/(general!$C$23-1),0)+IFERROR(($C87&gt;=general!$C$23)*($C87&lt;=general!$C$27)*((1-Q$4)*Q$6)/(general!$C$27-general!$C$23+1),0))+IF(AND(general!$C$23&lt;=1,$C87&lt;=1),'draws%'!Q$5*(1-Q$4))</f>
        <v>0</v>
      </c>
      <c r="R87" s="542">
        <f>IF($C87=general!$C$27,R$4,IFERROR(($C87&lt;general!$C$23)*((1-R$4)*R$5)/(general!$C$23-1),0)+IFERROR(($C87&gt;=general!$C$23)*($C87&lt;general!$C$27)*((1-R$4)*R$6)/(general!$C$27-general!$C$23),0))+IF(AND(general!$C$23&lt;=1,$C87&lt;=1),'draws%'!R$5*(1-R$4))</f>
        <v>0</v>
      </c>
      <c r="S87" s="542">
        <f>IF(OR(C87=general!$C$27,C87=general!$C$27-1),50%,0)</f>
        <v>0</v>
      </c>
      <c r="T87" s="542">
        <f>(C87&gt;=general!$C$26-6)*(C87&lt;general!$C$26)*1/6*0.5+(C87=3)*0.25+(C87=9)*0.25</f>
        <v>0</v>
      </c>
      <c r="U87" s="542">
        <f>IF(C87='Development Cash Flow'!$C$6,$U$5,0)+IF(C87=general!$C$27,$U$6,0)</f>
        <v>0</v>
      </c>
      <c r="V87" s="542">
        <f>IF(C87=general!$C$28,1,0)</f>
        <v>0</v>
      </c>
      <c r="W87" s="542">
        <f t="shared" si="23"/>
        <v>0</v>
      </c>
      <c r="X87" s="542">
        <f>IF(C87=general!$C$23,1,0)</f>
        <v>0</v>
      </c>
      <c r="Y87" s="542">
        <f>IFERROR((C87&lt;general!$C$23)*Y$5/(general!$C$23),0)+IFERROR((C87&gt;=general!$C$23)*(C87&lt;=general!$C$27)*Y$6/(general!$C$27-general!$C$23+1),0)</f>
        <v>0</v>
      </c>
      <c r="Z87" s="542">
        <f>IFERROR(($C87&lt;general!$C$23)*Z$5/(general!$C$23),0)+IFERROR(($C87&gt;=general!$C$23)*($C87&lt;=general!$C$27)*Z$6/(general!$C$27-general!$C$23+1),0)*(1-$Z$4)+$Z$4*AF87</f>
        <v>0</v>
      </c>
      <c r="AA87" s="542">
        <f>MAX((IFERROR(($C87&lt;general!$C$23)*AA$5/(general!$C$23),0)+IFERROR(($C87&gt;=general!$C$23)*($C87&lt;=general!$C$27)*AA$6/(general!$C$27-general!$C$23+1),0)),0)</f>
        <v>0</v>
      </c>
      <c r="AB87" s="542">
        <f>MAX((IFERROR(($C87&lt;general!$C$23)*AB$5/(general!$C$23),0)+IFERROR(($C87&gt;=general!$C$23)*($C87&lt;=general!$C$27)*AB$6/(general!$C$27-general!$C$23+1),0)),0)</f>
        <v>0</v>
      </c>
      <c r="AC87" s="542">
        <f>MAX((IFERROR(($C87&lt;general!$C$23)*AC$5/(general!$C$23),0)+IFERROR(($C87&gt;=general!$C$23)*($C87&lt;=general!$C$27)*AC$6/(general!$C$27-general!$C$23+1),0)),0)</f>
        <v>0</v>
      </c>
      <c r="AD87" s="542">
        <f>MAX((IFERROR(($C87&lt;general!$C$23)*AD$5/(general!$C$23),0)+IFERROR(($C87&gt;=general!$C$23)*($C87&lt;=general!$C$27)*AD$6/(general!$C$27-general!$C$23+1),0)),0)</f>
        <v>0</v>
      </c>
      <c r="AE87" s="542">
        <f t="shared" si="20"/>
        <v>0</v>
      </c>
      <c r="AF87" s="542">
        <f>+SUMPRODUCT(--($C87=sales!$C$50:$C$54),sales!$D$50:$D$54)</f>
        <v>0</v>
      </c>
      <c r="AG87" s="542">
        <f>IF($C87=general!$C$28,AG$4,IFERROR(($C87&lt;general!$C$23)*((1-AG$4)*AG$5)/(general!$C$23-1),0)+IFERROR(($C87&gt;=general!$C$23)*($C87&lt;=general!$C$27)*((1-AG$4)*AG$6)/(general!$C$27-general!$C$23+1),0))+IF(AND(general!$C$23&lt;=1,$C87&lt;=1),'draws%'!AG$5*(1-AG$4))</f>
        <v>0</v>
      </c>
      <c r="AH87" s="542">
        <f>+IF($C87=general!$C$21,1,0)</f>
        <v>0</v>
      </c>
      <c r="AK87" s="524">
        <f>IF(A87&lt;=general!$D$27,IF(MONTH(A87)=11,1,IF(C87=general!$C$27,1,0)),)</f>
        <v>0</v>
      </c>
      <c r="AL87" s="524">
        <f>IF(AK87=1,COUNTIFS($C$8:$C$128,"&lt;="&amp;general!$C$27&amp;"",'draws%'!$AM$8:$AM$128,"="&amp;AM87&amp;""),0)</f>
        <v>0</v>
      </c>
      <c r="AM87" s="524">
        <f t="shared" si="18"/>
        <v>2033</v>
      </c>
      <c r="AN87" s="524"/>
    </row>
    <row r="88" spans="1:40" ht="14">
      <c r="A88" s="903">
        <f t="shared" si="21"/>
        <v>48699</v>
      </c>
      <c r="C88" s="897">
        <f t="shared" si="22"/>
        <v>80</v>
      </c>
      <c r="D88" s="542"/>
      <c r="E88" s="542">
        <f>IF($C88=$C$2,0,IF(OR($C88=0,$C88&lt;general!$C$23,$C88&gt;$C$2),0,E$2/$C$3+NORMDIST($C88-general!$C$23+1,$C$3/2,E$1,1)-NORMDIST($C87-general!$C$23+1,$C$3/2,E$1,1)))+IF($C88=$C$2,1-SUM(E$8:E87),0)</f>
        <v>0</v>
      </c>
      <c r="F88" s="542">
        <f>IF($C88=$C$2,0,IF(OR($C88=0,$C88&lt;general!$C$23,$C88&gt;$C$2),0,F$2/$C$3+NORMDIST($C88-general!$C$23+1,$C$3/2,F$1,1)-NORMDIST($C87-general!$C$23+1,$C$3/2,F$1,1)))+IF($C88=$C$2,1-SUM(F$8:F87),0)</f>
        <v>0</v>
      </c>
      <c r="G88" s="542">
        <f>IF($C88=$C$2,0,IF(OR($C88=0,$C88&lt;general!$C$23,$C88&gt;$C$2),0,G$2/$C$3+NORMDIST($C88-general!$C$23+1,$C$3/2,G$1,1)-NORMDIST($C87-general!$C$23+1,$C$3/2,G$1,1)))+IF($C88=$C$2,1-SUM(G$8:G87),0)</f>
        <v>0</v>
      </c>
      <c r="H88" s="542">
        <f>IF(C88=$C$2,0,IF(OR(C88=0,C88&lt;1,C88&gt;$C$2),0,$H$2/$C$2+NORMDIST(C88,$C$2/2,$H$1,1)-NORMDIST(C87,$C$2/2,$H$1,1)))+IF(C88=$C$2,1-SUM($H$9:H87),0)</f>
        <v>0</v>
      </c>
      <c r="I88" s="542">
        <f>IF(C88=$C$2,0,IF(OR(C88=0,C88&lt;1,C88&gt;$C$2),0,$I$2/$C$2+NORMDIST(C88,$C$2/2,$I$1,1)-NORMDIST(C87,$C$2/2,$I$1,1)))+IF(C88=$C$2,1-SUM($I$9:I87),0)</f>
        <v>0</v>
      </c>
      <c r="J88" s="542">
        <f>IF(C88=$C$2,0,IF(OR(C88=0,C88&lt;1,C88&gt;$C$2),0,$J$2/$C$2+NORMDIST(C88,$C$2/2,$J$1,1)-NORMDIST(C87,$C$2/2,$J$1,1)))+IF(C88=$C$2,1-SUM($J$9:J87),0)</f>
        <v>0</v>
      </c>
      <c r="K88" s="542">
        <f t="shared" si="19"/>
        <v>0</v>
      </c>
      <c r="L88" s="542">
        <f t="shared" si="16"/>
        <v>0</v>
      </c>
      <c r="M88" s="542">
        <f>IF($C88&gt;$C$2,IF($C88=sales!$F$36,M$4,0),(1-M$4)/$C$2)</f>
        <v>0</v>
      </c>
      <c r="N88" s="542">
        <f>IF(ISEVEN($C$2),IF(C88&gt;$C$2,0,IF(C88&lt;=$C$2/2,C88,C88-1-2*(SUMPRODUCT(--($C$8:C88&gt;$C$2/2))-1))/(($C$2/2)*($C$2/2+1))),0)+IF(ISODD($C$2),IF(C88&gt;$C$2,0,IF(C88-1&lt;=$C$2/2,C88,C88-2*(SUMPRODUCT(--($C$8:C88&gt;$C$2/2))-1))/((INT($C$2/2))*(INT($C$2/2)+1)+ROUNDUP($C$2/2,0))),0)</f>
        <v>0</v>
      </c>
      <c r="O88" s="542"/>
      <c r="P88" s="542">
        <f t="shared" si="17"/>
        <v>0</v>
      </c>
      <c r="Q88" s="542">
        <f>IF($C88=general!$C$28,Q$4,IFERROR(($C88&lt;general!$C$23)*((1-Q$4)*Q$5)/(general!$C$23-1),0)+IFERROR(($C88&gt;=general!$C$23)*($C88&lt;=general!$C$27)*((1-Q$4)*Q$6)/(general!$C$27-general!$C$23+1),0))+IF(AND(general!$C$23&lt;=1,$C88&lt;=1),'draws%'!Q$5*(1-Q$4))</f>
        <v>0</v>
      </c>
      <c r="R88" s="542">
        <f>IF($C88=general!$C$27,R$4,IFERROR(($C88&lt;general!$C$23)*((1-R$4)*R$5)/(general!$C$23-1),0)+IFERROR(($C88&gt;=general!$C$23)*($C88&lt;general!$C$27)*((1-R$4)*R$6)/(general!$C$27-general!$C$23),0))+IF(AND(general!$C$23&lt;=1,$C88&lt;=1),'draws%'!R$5*(1-R$4))</f>
        <v>0</v>
      </c>
      <c r="S88" s="542">
        <f>IF(OR(C88=general!$C$27,C88=general!$C$27-1),50%,0)</f>
        <v>0</v>
      </c>
      <c r="T88" s="542">
        <f>(C88&gt;=general!$C$26-6)*(C88&lt;general!$C$26)*1/6*0.5+(C88=3)*0.25+(C88=9)*0.25</f>
        <v>0</v>
      </c>
      <c r="U88" s="542">
        <f>IF(C88='Development Cash Flow'!$C$6,$U$5,0)+IF(C88=general!$C$27,$U$6,0)</f>
        <v>0</v>
      </c>
      <c r="V88" s="542">
        <f>IF(C88=general!$C$28,1,0)</f>
        <v>0</v>
      </c>
      <c r="W88" s="542">
        <f t="shared" si="23"/>
        <v>0</v>
      </c>
      <c r="X88" s="542">
        <f>IF(C88=general!$C$23,1,0)</f>
        <v>0</v>
      </c>
      <c r="Y88" s="542">
        <f>IFERROR((C88&lt;general!$C$23)*Y$5/(general!$C$23),0)+IFERROR((C88&gt;=general!$C$23)*(C88&lt;=general!$C$27)*Y$6/(general!$C$27-general!$C$23+1),0)</f>
        <v>0</v>
      </c>
      <c r="Z88" s="542">
        <f>IFERROR(($C88&lt;general!$C$23)*Z$5/(general!$C$23),0)+IFERROR(($C88&gt;=general!$C$23)*($C88&lt;=general!$C$27)*Z$6/(general!$C$27-general!$C$23+1),0)*(1-$Z$4)+$Z$4*AF88</f>
        <v>0</v>
      </c>
      <c r="AA88" s="542">
        <f>MAX((IFERROR(($C88&lt;general!$C$23)*AA$5/(general!$C$23),0)+IFERROR(($C88&gt;=general!$C$23)*($C88&lt;=general!$C$27)*AA$6/(general!$C$27-general!$C$23+1),0)),0)</f>
        <v>0</v>
      </c>
      <c r="AB88" s="542">
        <f>MAX((IFERROR(($C88&lt;general!$C$23)*AB$5/(general!$C$23),0)+IFERROR(($C88&gt;=general!$C$23)*($C88&lt;=general!$C$27)*AB$6/(general!$C$27-general!$C$23+1),0)),0)</f>
        <v>0</v>
      </c>
      <c r="AC88" s="542">
        <f>MAX((IFERROR(($C88&lt;general!$C$23)*AC$5/(general!$C$23),0)+IFERROR(($C88&gt;=general!$C$23)*($C88&lt;=general!$C$27)*AC$6/(general!$C$27-general!$C$23+1),0)),0)</f>
        <v>0</v>
      </c>
      <c r="AD88" s="542">
        <f>MAX((IFERROR(($C88&lt;general!$C$23)*AD$5/(general!$C$23),0)+IFERROR(($C88&gt;=general!$C$23)*($C88&lt;=general!$C$27)*AD$6/(general!$C$27-general!$C$23+1),0)),0)</f>
        <v>0</v>
      </c>
      <c r="AE88" s="542">
        <f t="shared" si="20"/>
        <v>0</v>
      </c>
      <c r="AF88" s="542">
        <f>+SUMPRODUCT(--($C88=sales!$C$50:$C$54),sales!$D$50:$D$54)</f>
        <v>0</v>
      </c>
      <c r="AG88" s="542">
        <f>IF($C88=general!$C$28,AG$4,IFERROR(($C88&lt;general!$C$23)*((1-AG$4)*AG$5)/(general!$C$23-1),0)+IFERROR(($C88&gt;=general!$C$23)*($C88&lt;=general!$C$27)*((1-AG$4)*AG$6)/(general!$C$27-general!$C$23+1),0))+IF(AND(general!$C$23&lt;=1,$C88&lt;=1),'draws%'!AG$5*(1-AG$4))</f>
        <v>0</v>
      </c>
      <c r="AH88" s="542">
        <f>+IF($C88=general!$C$21,1,0)</f>
        <v>0</v>
      </c>
      <c r="AK88" s="524">
        <f>IF(A88&lt;=general!$D$27,IF(MONTH(A88)=11,1,IF(C88=general!$C$27,1,0)),)</f>
        <v>0</v>
      </c>
      <c r="AL88" s="524">
        <f>IF(AK88=1,COUNTIFS($C$8:$C$128,"&lt;="&amp;general!$C$27&amp;"",'draws%'!$AM$8:$AM$128,"="&amp;AM88&amp;""),0)</f>
        <v>0</v>
      </c>
      <c r="AM88" s="524">
        <f t="shared" si="18"/>
        <v>2033</v>
      </c>
      <c r="AN88" s="524"/>
    </row>
    <row r="89" spans="1:40" ht="14">
      <c r="A89" s="903">
        <f t="shared" si="21"/>
        <v>48730</v>
      </c>
      <c r="C89" s="897">
        <f t="shared" si="22"/>
        <v>81</v>
      </c>
      <c r="D89" s="542"/>
      <c r="E89" s="542">
        <f>IF($C89=$C$2,0,IF(OR($C89=0,$C89&lt;general!$C$23,$C89&gt;$C$2),0,E$2/$C$3+NORMDIST($C89-general!$C$23+1,$C$3/2,E$1,1)-NORMDIST($C88-general!$C$23+1,$C$3/2,E$1,1)))+IF($C89=$C$2,1-SUM(E$8:E88),0)</f>
        <v>0</v>
      </c>
      <c r="F89" s="542">
        <f>IF($C89=$C$2,0,IF(OR($C89=0,$C89&lt;general!$C$23,$C89&gt;$C$2),0,F$2/$C$3+NORMDIST($C89-general!$C$23+1,$C$3/2,F$1,1)-NORMDIST($C88-general!$C$23+1,$C$3/2,F$1,1)))+IF($C89=$C$2,1-SUM(F$8:F88),0)</f>
        <v>0</v>
      </c>
      <c r="G89" s="542">
        <f>IF($C89=$C$2,0,IF(OR($C89=0,$C89&lt;general!$C$23,$C89&gt;$C$2),0,G$2/$C$3+NORMDIST($C89-general!$C$23+1,$C$3/2,G$1,1)-NORMDIST($C88-general!$C$23+1,$C$3/2,G$1,1)))+IF($C89=$C$2,1-SUM(G$8:G88),0)</f>
        <v>0</v>
      </c>
      <c r="H89" s="542">
        <f>IF(C89=$C$2,0,IF(OR(C89=0,C89&lt;1,C89&gt;$C$2),0,$H$2/$C$2+NORMDIST(C89,$C$2/2,$H$1,1)-NORMDIST(C88,$C$2/2,$H$1,1)))+IF(C89=$C$2,1-SUM($H$9:H88),0)</f>
        <v>0</v>
      </c>
      <c r="I89" s="542">
        <f>IF(C89=$C$2,0,IF(OR(C89=0,C89&lt;1,C89&gt;$C$2),0,$I$2/$C$2+NORMDIST(C89,$C$2/2,$I$1,1)-NORMDIST(C88,$C$2/2,$I$1,1)))+IF(C89=$C$2,1-SUM($I$9:I88),0)</f>
        <v>0</v>
      </c>
      <c r="J89" s="542">
        <f>IF(C89=$C$2,0,IF(OR(C89=0,C89&lt;1,C89&gt;$C$2),0,$J$2/$C$2+NORMDIST(C89,$C$2/2,$J$1,1)-NORMDIST(C88,$C$2/2,$J$1,1)))+IF(C89=$C$2,1-SUM($J$9:J88),0)</f>
        <v>0</v>
      </c>
      <c r="K89" s="542">
        <f t="shared" si="19"/>
        <v>0</v>
      </c>
      <c r="L89" s="542">
        <f t="shared" si="16"/>
        <v>0</v>
      </c>
      <c r="M89" s="542">
        <f>IF($C89&gt;$C$2,IF($C89=sales!$F$36,M$4,0),(1-M$4)/$C$2)</f>
        <v>0</v>
      </c>
      <c r="N89" s="542">
        <f>IF(ISEVEN($C$2),IF(C89&gt;$C$2,0,IF(C89&lt;=$C$2/2,C89,C89-1-2*(SUMPRODUCT(--($C$8:C89&gt;$C$2/2))-1))/(($C$2/2)*($C$2/2+1))),0)+IF(ISODD($C$2),IF(C89&gt;$C$2,0,IF(C89-1&lt;=$C$2/2,C89,C89-2*(SUMPRODUCT(--($C$8:C89&gt;$C$2/2))-1))/((INT($C$2/2))*(INT($C$2/2)+1)+ROUNDUP($C$2/2,0))),0)</f>
        <v>0</v>
      </c>
      <c r="O89" s="542"/>
      <c r="P89" s="542">
        <f t="shared" si="17"/>
        <v>0</v>
      </c>
      <c r="Q89" s="542">
        <f>IF($C89=general!$C$28,Q$4,IFERROR(($C89&lt;general!$C$23)*((1-Q$4)*Q$5)/(general!$C$23-1),0)+IFERROR(($C89&gt;=general!$C$23)*($C89&lt;=general!$C$27)*((1-Q$4)*Q$6)/(general!$C$27-general!$C$23+1),0))+IF(AND(general!$C$23&lt;=1,$C89&lt;=1),'draws%'!Q$5*(1-Q$4))</f>
        <v>0</v>
      </c>
      <c r="R89" s="542">
        <f>IF($C89=general!$C$27,R$4,IFERROR(($C89&lt;general!$C$23)*((1-R$4)*R$5)/(general!$C$23-1),0)+IFERROR(($C89&gt;=general!$C$23)*($C89&lt;general!$C$27)*((1-R$4)*R$6)/(general!$C$27-general!$C$23),0))+IF(AND(general!$C$23&lt;=1,$C89&lt;=1),'draws%'!R$5*(1-R$4))</f>
        <v>0</v>
      </c>
      <c r="S89" s="542">
        <f>IF(OR(C89=general!$C$27,C89=general!$C$27-1),50%,0)</f>
        <v>0</v>
      </c>
      <c r="T89" s="542">
        <f>(C89&gt;=general!$C$26-6)*(C89&lt;general!$C$26)*1/6*0.5+(C89=3)*0.25+(C89=9)*0.25</f>
        <v>0</v>
      </c>
      <c r="U89" s="542">
        <f>IF(C89='Development Cash Flow'!$C$6,$U$5,0)+IF(C89=general!$C$27,$U$6,0)</f>
        <v>0</v>
      </c>
      <c r="V89" s="542">
        <f>IF(C89=general!$C$28,1,0)</f>
        <v>0</v>
      </c>
      <c r="W89" s="542">
        <f t="shared" si="23"/>
        <v>0</v>
      </c>
      <c r="X89" s="542">
        <f>IF(C89=general!$C$23,1,0)</f>
        <v>0</v>
      </c>
      <c r="Y89" s="542">
        <f>IFERROR((C89&lt;general!$C$23)*Y$5/(general!$C$23),0)+IFERROR((C89&gt;=general!$C$23)*(C89&lt;=general!$C$27)*Y$6/(general!$C$27-general!$C$23+1),0)</f>
        <v>0</v>
      </c>
      <c r="Z89" s="542">
        <f>IFERROR(($C89&lt;general!$C$23)*Z$5/(general!$C$23),0)+IFERROR(($C89&gt;=general!$C$23)*($C89&lt;=general!$C$27)*Z$6/(general!$C$27-general!$C$23+1),0)*(1-$Z$4)+$Z$4*AF89</f>
        <v>0</v>
      </c>
      <c r="AA89" s="542">
        <f>MAX((IFERROR(($C89&lt;general!$C$23)*AA$5/(general!$C$23),0)+IFERROR(($C89&gt;=general!$C$23)*($C89&lt;=general!$C$27)*AA$6/(general!$C$27-general!$C$23+1),0)),0)</f>
        <v>0</v>
      </c>
      <c r="AB89" s="542">
        <f>MAX((IFERROR(($C89&lt;general!$C$23)*AB$5/(general!$C$23),0)+IFERROR(($C89&gt;=general!$C$23)*($C89&lt;=general!$C$27)*AB$6/(general!$C$27-general!$C$23+1),0)),0)</f>
        <v>0</v>
      </c>
      <c r="AC89" s="542">
        <f>MAX((IFERROR(($C89&lt;general!$C$23)*AC$5/(general!$C$23),0)+IFERROR(($C89&gt;=general!$C$23)*($C89&lt;=general!$C$27)*AC$6/(general!$C$27-general!$C$23+1),0)),0)</f>
        <v>0</v>
      </c>
      <c r="AD89" s="542">
        <f>MAX((IFERROR(($C89&lt;general!$C$23)*AD$5/(general!$C$23),0)+IFERROR(($C89&gt;=general!$C$23)*($C89&lt;=general!$C$27)*AD$6/(general!$C$27-general!$C$23+1),0)),0)</f>
        <v>0</v>
      </c>
      <c r="AE89" s="542">
        <f t="shared" si="20"/>
        <v>0</v>
      </c>
      <c r="AF89" s="542">
        <f>+SUMPRODUCT(--($C89=sales!$C$50:$C$54),sales!$D$50:$D$54)</f>
        <v>0</v>
      </c>
      <c r="AG89" s="542">
        <f>IF($C89=general!$C$28,AG$4,IFERROR(($C89&lt;general!$C$23)*((1-AG$4)*AG$5)/(general!$C$23-1),0)+IFERROR(($C89&gt;=general!$C$23)*($C89&lt;=general!$C$27)*((1-AG$4)*AG$6)/(general!$C$27-general!$C$23+1),0))+IF(AND(general!$C$23&lt;=1,$C89&lt;=1),'draws%'!AG$5*(1-AG$4))</f>
        <v>0</v>
      </c>
      <c r="AH89" s="542">
        <f>+IF($C89=general!$C$21,1,0)</f>
        <v>0</v>
      </c>
      <c r="AK89" s="524">
        <f>IF(A89&lt;=general!$D$27,IF(MONTH(A89)=11,1,IF(C89=general!$C$27,1,0)),)</f>
        <v>0</v>
      </c>
      <c r="AL89" s="524">
        <f>IF(AK89=1,COUNTIFS($C$8:$C$128,"&lt;="&amp;general!$C$27&amp;"",'draws%'!$AM$8:$AM$128,"="&amp;AM89&amp;""),0)</f>
        <v>0</v>
      </c>
      <c r="AM89" s="524">
        <f t="shared" si="18"/>
        <v>2033</v>
      </c>
      <c r="AN89" s="524"/>
    </row>
    <row r="90" spans="1:40" ht="14">
      <c r="A90" s="903">
        <f t="shared" si="21"/>
        <v>48760</v>
      </c>
      <c r="C90" s="897">
        <f t="shared" si="22"/>
        <v>82</v>
      </c>
      <c r="D90" s="542"/>
      <c r="E90" s="542">
        <f>IF($C90=$C$2,0,IF(OR($C90=0,$C90&lt;general!$C$23,$C90&gt;$C$2),0,E$2/$C$3+NORMDIST($C90-general!$C$23+1,$C$3/2,E$1,1)-NORMDIST($C89-general!$C$23+1,$C$3/2,E$1,1)))+IF($C90=$C$2,1-SUM(E$8:E89),0)</f>
        <v>0</v>
      </c>
      <c r="F90" s="542">
        <f>IF($C90=$C$2,0,IF(OR($C90=0,$C90&lt;general!$C$23,$C90&gt;$C$2),0,F$2/$C$3+NORMDIST($C90-general!$C$23+1,$C$3/2,F$1,1)-NORMDIST($C89-general!$C$23+1,$C$3/2,F$1,1)))+IF($C90=$C$2,1-SUM(F$8:F89),0)</f>
        <v>0</v>
      </c>
      <c r="G90" s="542">
        <f>IF($C90=$C$2,0,IF(OR($C90=0,$C90&lt;general!$C$23,$C90&gt;$C$2),0,G$2/$C$3+NORMDIST($C90-general!$C$23+1,$C$3/2,G$1,1)-NORMDIST($C89-general!$C$23+1,$C$3/2,G$1,1)))+IF($C90=$C$2,1-SUM(G$8:G89),0)</f>
        <v>0</v>
      </c>
      <c r="H90" s="542">
        <f>IF(C90=$C$2,0,IF(OR(C90=0,C90&lt;1,C90&gt;$C$2),0,$H$2/$C$2+NORMDIST(C90,$C$2/2,$H$1,1)-NORMDIST(C89,$C$2/2,$H$1,1)))+IF(C90=$C$2,1-SUM($H$9:H89),0)</f>
        <v>0</v>
      </c>
      <c r="I90" s="542">
        <f>IF(C90=$C$2,0,IF(OR(C90=0,C90&lt;1,C90&gt;$C$2),0,$I$2/$C$2+NORMDIST(C90,$C$2/2,$I$1,1)-NORMDIST(C89,$C$2/2,$I$1,1)))+IF(C90=$C$2,1-SUM($I$9:I89),0)</f>
        <v>0</v>
      </c>
      <c r="J90" s="542">
        <f>IF(C90=$C$2,0,IF(OR(C90=0,C90&lt;1,C90&gt;$C$2),0,$J$2/$C$2+NORMDIST(C90,$C$2/2,$J$1,1)-NORMDIST(C89,$C$2/2,$J$1,1)))+IF(C90=$C$2,1-SUM($J$9:J89),0)</f>
        <v>0</v>
      </c>
      <c r="K90" s="542">
        <f t="shared" si="19"/>
        <v>0</v>
      </c>
      <c r="L90" s="542">
        <f t="shared" si="16"/>
        <v>0</v>
      </c>
      <c r="M90" s="542">
        <f>IF($C90&gt;$C$2,IF($C90=sales!$F$36,M$4,0),(1-M$4)/$C$2)</f>
        <v>0</v>
      </c>
      <c r="N90" s="542">
        <f>IF(ISEVEN($C$2),IF(C90&gt;$C$2,0,IF(C90&lt;=$C$2/2,C90,C90-1-2*(SUMPRODUCT(--($C$8:C90&gt;$C$2/2))-1))/(($C$2/2)*($C$2/2+1))),0)+IF(ISODD($C$2),IF(C90&gt;$C$2,0,IF(C90-1&lt;=$C$2/2,C90,C90-2*(SUMPRODUCT(--($C$8:C90&gt;$C$2/2))-1))/((INT($C$2/2))*(INT($C$2/2)+1)+ROUNDUP($C$2/2,0))),0)</f>
        <v>0</v>
      </c>
      <c r="O90" s="542"/>
      <c r="P90" s="542">
        <f t="shared" si="17"/>
        <v>0</v>
      </c>
      <c r="Q90" s="542">
        <f>IF($C90=general!$C$28,Q$4,IFERROR(($C90&lt;general!$C$23)*((1-Q$4)*Q$5)/(general!$C$23-1),0)+IFERROR(($C90&gt;=general!$C$23)*($C90&lt;=general!$C$27)*((1-Q$4)*Q$6)/(general!$C$27-general!$C$23+1),0))+IF(AND(general!$C$23&lt;=1,$C90&lt;=1),'draws%'!Q$5*(1-Q$4))</f>
        <v>0</v>
      </c>
      <c r="R90" s="542">
        <f>IF($C90=general!$C$27,R$4,IFERROR(($C90&lt;general!$C$23)*((1-R$4)*R$5)/(general!$C$23-1),0)+IFERROR(($C90&gt;=general!$C$23)*($C90&lt;general!$C$27)*((1-R$4)*R$6)/(general!$C$27-general!$C$23),0))+IF(AND(general!$C$23&lt;=1,$C90&lt;=1),'draws%'!R$5*(1-R$4))</f>
        <v>0</v>
      </c>
      <c r="S90" s="542">
        <f>IF(OR(C90=general!$C$27,C90=general!$C$27-1),50%,0)</f>
        <v>0</v>
      </c>
      <c r="T90" s="542">
        <f>(C90&gt;=general!$C$26-6)*(C90&lt;general!$C$26)*1/6*0.5+(C90=3)*0.25+(C90=9)*0.25</f>
        <v>0</v>
      </c>
      <c r="U90" s="542">
        <f>IF(C90='Development Cash Flow'!$C$6,$U$5,0)+IF(C90=general!$C$27,$U$6,0)</f>
        <v>0</v>
      </c>
      <c r="V90" s="542">
        <f>IF(C90=general!$C$28,1,0)</f>
        <v>0</v>
      </c>
      <c r="W90" s="542">
        <f t="shared" si="23"/>
        <v>0</v>
      </c>
      <c r="X90" s="542">
        <f>IF(C90=general!$C$23,1,0)</f>
        <v>0</v>
      </c>
      <c r="Y90" s="542">
        <f>IFERROR((C90&lt;general!$C$23)*Y$5/(general!$C$23),0)+IFERROR((C90&gt;=general!$C$23)*(C90&lt;=general!$C$27)*Y$6/(general!$C$27-general!$C$23+1),0)</f>
        <v>0</v>
      </c>
      <c r="Z90" s="542">
        <f>IFERROR(($C90&lt;general!$C$23)*Z$5/(general!$C$23),0)+IFERROR(($C90&gt;=general!$C$23)*($C90&lt;=general!$C$27)*Z$6/(general!$C$27-general!$C$23+1),0)*(1-$Z$4)+$Z$4*AF90</f>
        <v>0</v>
      </c>
      <c r="AA90" s="542">
        <f>MAX((IFERROR(($C90&lt;general!$C$23)*AA$5/(general!$C$23),0)+IFERROR(($C90&gt;=general!$C$23)*($C90&lt;=general!$C$27)*AA$6/(general!$C$27-general!$C$23+1),0)),0)</f>
        <v>0</v>
      </c>
      <c r="AB90" s="542">
        <f>MAX((IFERROR(($C90&lt;general!$C$23)*AB$5/(general!$C$23),0)+IFERROR(($C90&gt;=general!$C$23)*($C90&lt;=general!$C$27)*AB$6/(general!$C$27-general!$C$23+1),0)),0)</f>
        <v>0</v>
      </c>
      <c r="AC90" s="542">
        <f>MAX((IFERROR(($C90&lt;general!$C$23)*AC$5/(general!$C$23),0)+IFERROR(($C90&gt;=general!$C$23)*($C90&lt;=general!$C$27)*AC$6/(general!$C$27-general!$C$23+1),0)),0)</f>
        <v>0</v>
      </c>
      <c r="AD90" s="542">
        <f>MAX((IFERROR(($C90&lt;general!$C$23)*AD$5/(general!$C$23),0)+IFERROR(($C90&gt;=general!$C$23)*($C90&lt;=general!$C$27)*AD$6/(general!$C$27-general!$C$23+1),0)),0)</f>
        <v>0</v>
      </c>
      <c r="AE90" s="542">
        <f t="shared" si="20"/>
        <v>0</v>
      </c>
      <c r="AF90" s="542">
        <f>+SUMPRODUCT(--($C90=sales!$C$50:$C$54),sales!$D$50:$D$54)</f>
        <v>0</v>
      </c>
      <c r="AG90" s="542">
        <f>IF($C90=general!$C$28,AG$4,IFERROR(($C90&lt;general!$C$23)*((1-AG$4)*AG$5)/(general!$C$23-1),0)+IFERROR(($C90&gt;=general!$C$23)*($C90&lt;=general!$C$27)*((1-AG$4)*AG$6)/(general!$C$27-general!$C$23+1),0))+IF(AND(general!$C$23&lt;=1,$C90&lt;=1),'draws%'!AG$5*(1-AG$4))</f>
        <v>0</v>
      </c>
      <c r="AH90" s="542">
        <f>+IF($C90=general!$C$21,1,0)</f>
        <v>0</v>
      </c>
      <c r="AK90" s="524">
        <f>IF(A90&lt;=general!$D$27,IF(MONTH(A90)=11,1,IF(C90=general!$C$27,1,0)),)</f>
        <v>0</v>
      </c>
      <c r="AL90" s="524">
        <f>IF(AK90=1,COUNTIFS($C$8:$C$128,"&lt;="&amp;general!$C$27&amp;"",'draws%'!$AM$8:$AM$128,"="&amp;AM90&amp;""),0)</f>
        <v>0</v>
      </c>
      <c r="AM90" s="524">
        <f t="shared" si="18"/>
        <v>2033</v>
      </c>
      <c r="AN90" s="524"/>
    </row>
    <row r="91" spans="1:40" ht="14">
      <c r="A91" s="903">
        <f t="shared" si="21"/>
        <v>48791</v>
      </c>
      <c r="C91" s="897">
        <f t="shared" si="22"/>
        <v>83</v>
      </c>
      <c r="D91" s="542"/>
      <c r="E91" s="542">
        <f>IF($C91=$C$2,0,IF(OR($C91=0,$C91&lt;general!$C$23,$C91&gt;$C$2),0,E$2/$C$3+NORMDIST($C91-general!$C$23+1,$C$3/2,E$1,1)-NORMDIST($C90-general!$C$23+1,$C$3/2,E$1,1)))+IF($C91=$C$2,1-SUM(E$8:E90),0)</f>
        <v>0</v>
      </c>
      <c r="F91" s="542">
        <f>IF($C91=$C$2,0,IF(OR($C91=0,$C91&lt;general!$C$23,$C91&gt;$C$2),0,F$2/$C$3+NORMDIST($C91-general!$C$23+1,$C$3/2,F$1,1)-NORMDIST($C90-general!$C$23+1,$C$3/2,F$1,1)))+IF($C91=$C$2,1-SUM(F$8:F90),0)</f>
        <v>0</v>
      </c>
      <c r="G91" s="542">
        <f>IF($C91=$C$2,0,IF(OR($C91=0,$C91&lt;general!$C$23,$C91&gt;$C$2),0,G$2/$C$3+NORMDIST($C91-general!$C$23+1,$C$3/2,G$1,1)-NORMDIST($C90-general!$C$23+1,$C$3/2,G$1,1)))+IF($C91=$C$2,1-SUM(G$8:G90),0)</f>
        <v>0</v>
      </c>
      <c r="H91" s="542">
        <f>IF(C91=$C$2,0,IF(OR(C91=0,C91&lt;1,C91&gt;$C$2),0,$H$2/$C$2+NORMDIST(C91,$C$2/2,$H$1,1)-NORMDIST(C90,$C$2/2,$H$1,1)))+IF(C91=$C$2,1-SUM($H$9:H90),0)</f>
        <v>0</v>
      </c>
      <c r="I91" s="542">
        <f>IF(C91=$C$2,0,IF(OR(C91=0,C91&lt;1,C91&gt;$C$2),0,$I$2/$C$2+NORMDIST(C91,$C$2/2,$I$1,1)-NORMDIST(C90,$C$2/2,$I$1,1)))+IF(C91=$C$2,1-SUM($I$9:I90),0)</f>
        <v>0</v>
      </c>
      <c r="J91" s="542">
        <f>IF(C91=$C$2,0,IF(OR(C91=0,C91&lt;1,C91&gt;$C$2),0,$J$2/$C$2+NORMDIST(C91,$C$2/2,$J$1,1)-NORMDIST(C90,$C$2/2,$J$1,1)))+IF(C91=$C$2,1-SUM($J$9:J90),0)</f>
        <v>0</v>
      </c>
      <c r="K91" s="542">
        <f t="shared" si="19"/>
        <v>0</v>
      </c>
      <c r="L91" s="542">
        <f t="shared" si="16"/>
        <v>0</v>
      </c>
      <c r="M91" s="542">
        <f>IF($C91&gt;$C$2,IF($C91=sales!$F$36,M$4,0),(1-M$4)/$C$2)</f>
        <v>0</v>
      </c>
      <c r="N91" s="542">
        <f>IF(ISEVEN($C$2),IF(C91&gt;$C$2,0,IF(C91&lt;=$C$2/2,C91,C91-1-2*(SUMPRODUCT(--($C$8:C91&gt;$C$2/2))-1))/(($C$2/2)*($C$2/2+1))),0)+IF(ISODD($C$2),IF(C91&gt;$C$2,0,IF(C91-1&lt;=$C$2/2,C91,C91-2*(SUMPRODUCT(--($C$8:C91&gt;$C$2/2))-1))/((INT($C$2/2))*(INT($C$2/2)+1)+ROUNDUP($C$2/2,0))),0)</f>
        <v>0</v>
      </c>
      <c r="O91" s="542"/>
      <c r="P91" s="542">
        <f t="shared" si="17"/>
        <v>0</v>
      </c>
      <c r="Q91" s="542">
        <f>IF($C91=general!$C$28,Q$4,IFERROR(($C91&lt;general!$C$23)*((1-Q$4)*Q$5)/(general!$C$23-1),0)+IFERROR(($C91&gt;=general!$C$23)*($C91&lt;=general!$C$27)*((1-Q$4)*Q$6)/(general!$C$27-general!$C$23+1),0))+IF(AND(general!$C$23&lt;=1,$C91&lt;=1),'draws%'!Q$5*(1-Q$4))</f>
        <v>0</v>
      </c>
      <c r="R91" s="542">
        <f>IF($C91=general!$C$27,R$4,IFERROR(($C91&lt;general!$C$23)*((1-R$4)*R$5)/(general!$C$23-1),0)+IFERROR(($C91&gt;=general!$C$23)*($C91&lt;general!$C$27)*((1-R$4)*R$6)/(general!$C$27-general!$C$23),0))+IF(AND(general!$C$23&lt;=1,$C91&lt;=1),'draws%'!R$5*(1-R$4))</f>
        <v>0</v>
      </c>
      <c r="S91" s="542">
        <f>IF(OR(C91=general!$C$27,C91=general!$C$27-1),50%,0)</f>
        <v>0</v>
      </c>
      <c r="T91" s="542">
        <f>(C91&gt;=general!$C$26-6)*(C91&lt;general!$C$26)*1/6*0.5+(C91=3)*0.25+(C91=9)*0.25</f>
        <v>0</v>
      </c>
      <c r="U91" s="542">
        <f>IF(C91='Development Cash Flow'!$C$6,$U$5,0)+IF(C91=general!$C$27,$U$6,0)</f>
        <v>0</v>
      </c>
      <c r="V91" s="542">
        <f>IF(C91=general!$C$28,1,0)</f>
        <v>0</v>
      </c>
      <c r="W91" s="542">
        <f t="shared" si="23"/>
        <v>0</v>
      </c>
      <c r="X91" s="542">
        <f>IF(C91=general!$C$23,1,0)</f>
        <v>0</v>
      </c>
      <c r="Y91" s="542">
        <f>IFERROR((C91&lt;general!$C$23)*Y$5/(general!$C$23),0)+IFERROR((C91&gt;=general!$C$23)*(C91&lt;=general!$C$27)*Y$6/(general!$C$27-general!$C$23+1),0)</f>
        <v>0</v>
      </c>
      <c r="Z91" s="542">
        <f>IFERROR(($C91&lt;general!$C$23)*Z$5/(general!$C$23),0)+IFERROR(($C91&gt;=general!$C$23)*($C91&lt;=general!$C$27)*Z$6/(general!$C$27-general!$C$23+1),0)*(1-$Z$4)+$Z$4*AF91</f>
        <v>0</v>
      </c>
      <c r="AA91" s="542">
        <f>MAX((IFERROR(($C91&lt;general!$C$23)*AA$5/(general!$C$23),0)+IFERROR(($C91&gt;=general!$C$23)*($C91&lt;=general!$C$27)*AA$6/(general!$C$27-general!$C$23+1),0)),0)</f>
        <v>0</v>
      </c>
      <c r="AB91" s="542">
        <f>MAX((IFERROR(($C91&lt;general!$C$23)*AB$5/(general!$C$23),0)+IFERROR(($C91&gt;=general!$C$23)*($C91&lt;=general!$C$27)*AB$6/(general!$C$27-general!$C$23+1),0)),0)</f>
        <v>0</v>
      </c>
      <c r="AC91" s="542">
        <f>MAX((IFERROR(($C91&lt;general!$C$23)*AC$5/(general!$C$23),0)+IFERROR(($C91&gt;=general!$C$23)*($C91&lt;=general!$C$27)*AC$6/(general!$C$27-general!$C$23+1),0)),0)</f>
        <v>0</v>
      </c>
      <c r="AD91" s="542">
        <f>MAX((IFERROR(($C91&lt;general!$C$23)*AD$5/(general!$C$23),0)+IFERROR(($C91&gt;=general!$C$23)*($C91&lt;=general!$C$27)*AD$6/(general!$C$27-general!$C$23+1),0)),0)</f>
        <v>0</v>
      </c>
      <c r="AE91" s="542">
        <f t="shared" si="20"/>
        <v>0</v>
      </c>
      <c r="AF91" s="542">
        <f>+SUMPRODUCT(--($C91=sales!$C$50:$C$54),sales!$D$50:$D$54)</f>
        <v>0</v>
      </c>
      <c r="AG91" s="542">
        <f>IF($C91=general!$C$28,AG$4,IFERROR(($C91&lt;general!$C$23)*((1-AG$4)*AG$5)/(general!$C$23-1),0)+IFERROR(($C91&gt;=general!$C$23)*($C91&lt;=general!$C$27)*((1-AG$4)*AG$6)/(general!$C$27-general!$C$23+1),0))+IF(AND(general!$C$23&lt;=1,$C91&lt;=1),'draws%'!AG$5*(1-AG$4))</f>
        <v>0</v>
      </c>
      <c r="AH91" s="542">
        <f>+IF($C91=general!$C$21,1,0)</f>
        <v>0</v>
      </c>
      <c r="AK91" s="524">
        <f>IF(A91&lt;=general!$D$27,IF(MONTH(A91)=11,1,IF(C91=general!$C$27,1,0)),)</f>
        <v>0</v>
      </c>
      <c r="AL91" s="524">
        <f>IF(AK91=1,COUNTIFS($C$8:$C$128,"&lt;="&amp;general!$C$27&amp;"",'draws%'!$AM$8:$AM$128,"="&amp;AM91&amp;""),0)</f>
        <v>0</v>
      </c>
      <c r="AM91" s="524">
        <f t="shared" si="18"/>
        <v>2033</v>
      </c>
      <c r="AN91" s="524"/>
    </row>
    <row r="92" spans="1:40" ht="14">
      <c r="A92" s="903">
        <f t="shared" si="21"/>
        <v>48822</v>
      </c>
      <c r="C92" s="897">
        <f t="shared" si="22"/>
        <v>84</v>
      </c>
      <c r="D92" s="542"/>
      <c r="E92" s="542">
        <f>IF($C92=$C$2,0,IF(OR($C92=0,$C92&lt;general!$C$23,$C92&gt;$C$2),0,E$2/$C$3+NORMDIST($C92-general!$C$23+1,$C$3/2,E$1,1)-NORMDIST($C91-general!$C$23+1,$C$3/2,E$1,1)))+IF($C92=$C$2,1-SUM(E$8:E91),0)</f>
        <v>0</v>
      </c>
      <c r="F92" s="542">
        <f>IF($C92=$C$2,0,IF(OR($C92=0,$C92&lt;general!$C$23,$C92&gt;$C$2),0,F$2/$C$3+NORMDIST($C92-general!$C$23+1,$C$3/2,F$1,1)-NORMDIST($C91-general!$C$23+1,$C$3/2,F$1,1)))+IF($C92=$C$2,1-SUM(F$8:F91),0)</f>
        <v>0</v>
      </c>
      <c r="G92" s="542">
        <f>IF($C92=$C$2,0,IF(OR($C92=0,$C92&lt;general!$C$23,$C92&gt;$C$2),0,G$2/$C$3+NORMDIST($C92-general!$C$23+1,$C$3/2,G$1,1)-NORMDIST($C91-general!$C$23+1,$C$3/2,G$1,1)))+IF($C92=$C$2,1-SUM(G$8:G91),0)</f>
        <v>0</v>
      </c>
      <c r="H92" s="542">
        <f>IF(C92=$C$2,0,IF(OR(C92=0,C92&lt;1,C92&gt;$C$2),0,$H$2/$C$2+NORMDIST(C92,$C$2/2,$H$1,1)-NORMDIST(C91,$C$2/2,$H$1,1)))+IF(C92=$C$2,1-SUM($H$9:H91),0)</f>
        <v>0</v>
      </c>
      <c r="I92" s="542">
        <f>IF(C92=$C$2,0,IF(OR(C92=0,C92&lt;1,C92&gt;$C$2),0,$I$2/$C$2+NORMDIST(C92,$C$2/2,$I$1,1)-NORMDIST(C91,$C$2/2,$I$1,1)))+IF(C92=$C$2,1-SUM($I$9:I91),0)</f>
        <v>0</v>
      </c>
      <c r="J92" s="542">
        <f>IF(C92=$C$2,0,IF(OR(C92=0,C92&lt;1,C92&gt;$C$2),0,$J$2/$C$2+NORMDIST(C92,$C$2/2,$J$1,1)-NORMDIST(C91,$C$2/2,$J$1,1)))+IF(C92=$C$2,1-SUM($J$9:J91),0)</f>
        <v>0</v>
      </c>
      <c r="K92" s="542">
        <f t="shared" si="19"/>
        <v>0</v>
      </c>
      <c r="L92" s="542">
        <f t="shared" si="16"/>
        <v>0</v>
      </c>
      <c r="M92" s="542">
        <f>IF($C92&gt;$C$2,IF($C92=sales!$F$36,M$4,0),(1-M$4)/$C$2)</f>
        <v>0</v>
      </c>
      <c r="N92" s="542">
        <f>IF(ISEVEN($C$2),IF(C92&gt;$C$2,0,IF(C92&lt;=$C$2/2,C92,C92-1-2*(SUMPRODUCT(--($C$8:C92&gt;$C$2/2))-1))/(($C$2/2)*($C$2/2+1))),0)+IF(ISODD($C$2),IF(C92&gt;$C$2,0,IF(C92-1&lt;=$C$2/2,C92,C92-2*(SUMPRODUCT(--($C$8:C92&gt;$C$2/2))-1))/((INT($C$2/2))*(INT($C$2/2)+1)+ROUNDUP($C$2/2,0))),0)</f>
        <v>0</v>
      </c>
      <c r="O92" s="542"/>
      <c r="P92" s="542">
        <f t="shared" si="17"/>
        <v>0</v>
      </c>
      <c r="Q92" s="542">
        <f>IF($C92=general!$C$28,Q$4,IFERROR(($C92&lt;general!$C$23)*((1-Q$4)*Q$5)/(general!$C$23-1),0)+IFERROR(($C92&gt;=general!$C$23)*($C92&lt;=general!$C$27)*((1-Q$4)*Q$6)/(general!$C$27-general!$C$23+1),0))+IF(AND(general!$C$23&lt;=1,$C92&lt;=1),'draws%'!Q$5*(1-Q$4))</f>
        <v>0</v>
      </c>
      <c r="R92" s="542">
        <f>IF($C92=general!$C$27,R$4,IFERROR(($C92&lt;general!$C$23)*((1-R$4)*R$5)/(general!$C$23-1),0)+IFERROR(($C92&gt;=general!$C$23)*($C92&lt;general!$C$27)*((1-R$4)*R$6)/(general!$C$27-general!$C$23),0))+IF(AND(general!$C$23&lt;=1,$C92&lt;=1),'draws%'!R$5*(1-R$4))</f>
        <v>0</v>
      </c>
      <c r="S92" s="542">
        <f>IF(OR(C92=general!$C$27,C92=general!$C$27-1),50%,0)</f>
        <v>0</v>
      </c>
      <c r="T92" s="542">
        <f>(C92&gt;=general!$C$26-6)*(C92&lt;general!$C$26)*1/6*0.5+(C92=3)*0.25+(C92=9)*0.25</f>
        <v>0</v>
      </c>
      <c r="U92" s="542">
        <f>IF(C92='Development Cash Flow'!$C$6,$U$5,0)+IF(C92=general!$C$27,$U$6,0)</f>
        <v>0</v>
      </c>
      <c r="V92" s="542">
        <f>IF(C92=general!$C$28,1,0)</f>
        <v>0</v>
      </c>
      <c r="W92" s="542">
        <f t="shared" si="23"/>
        <v>0</v>
      </c>
      <c r="X92" s="542">
        <f>IF(C92=general!$C$23,1,0)</f>
        <v>0</v>
      </c>
      <c r="Y92" s="542">
        <f>IFERROR((C92&lt;general!$C$23)*Y$5/(general!$C$23),0)+IFERROR((C92&gt;=general!$C$23)*(C92&lt;=general!$C$27)*Y$6/(general!$C$27-general!$C$23+1),0)</f>
        <v>0</v>
      </c>
      <c r="Z92" s="542">
        <f>IFERROR(($C92&lt;general!$C$23)*Z$5/(general!$C$23),0)+IFERROR(($C92&gt;=general!$C$23)*($C92&lt;=general!$C$27)*Z$6/(general!$C$27-general!$C$23+1),0)*(1-$Z$4)+$Z$4*AF92</f>
        <v>0</v>
      </c>
      <c r="AA92" s="542">
        <f>MAX((IFERROR(($C92&lt;general!$C$23)*AA$5/(general!$C$23),0)+IFERROR(($C92&gt;=general!$C$23)*($C92&lt;=general!$C$27)*AA$6/(general!$C$27-general!$C$23+1),0)),0)</f>
        <v>0</v>
      </c>
      <c r="AB92" s="542">
        <f>MAX((IFERROR(($C92&lt;general!$C$23)*AB$5/(general!$C$23),0)+IFERROR(($C92&gt;=general!$C$23)*($C92&lt;=general!$C$27)*AB$6/(general!$C$27-general!$C$23+1),0)),0)</f>
        <v>0</v>
      </c>
      <c r="AC92" s="542">
        <f>MAX((IFERROR(($C92&lt;general!$C$23)*AC$5/(general!$C$23),0)+IFERROR(($C92&gt;=general!$C$23)*($C92&lt;=general!$C$27)*AC$6/(general!$C$27-general!$C$23+1),0)),0)</f>
        <v>0</v>
      </c>
      <c r="AD92" s="542">
        <f>MAX((IFERROR(($C92&lt;general!$C$23)*AD$5/(general!$C$23),0)+IFERROR(($C92&gt;=general!$C$23)*($C92&lt;=general!$C$27)*AD$6/(general!$C$27-general!$C$23+1),0)),0)</f>
        <v>0</v>
      </c>
      <c r="AE92" s="542">
        <f t="shared" si="20"/>
        <v>0</v>
      </c>
      <c r="AF92" s="542">
        <f>+SUMPRODUCT(--($C92=sales!$C$50:$C$54),sales!$D$50:$D$54)</f>
        <v>0</v>
      </c>
      <c r="AG92" s="542">
        <f>IF($C92=general!$C$28,AG$4,IFERROR(($C92&lt;general!$C$23)*((1-AG$4)*AG$5)/(general!$C$23-1),0)+IFERROR(($C92&gt;=general!$C$23)*($C92&lt;=general!$C$27)*((1-AG$4)*AG$6)/(general!$C$27-general!$C$23+1),0))+IF(AND(general!$C$23&lt;=1,$C92&lt;=1),'draws%'!AG$5*(1-AG$4))</f>
        <v>0</v>
      </c>
      <c r="AH92" s="542">
        <f>+IF($C92=general!$C$21,1,0)</f>
        <v>0</v>
      </c>
      <c r="AK92" s="524">
        <f>IF(A92&lt;=general!$D$27,IF(MONTH(A92)=11,1,IF(C92=general!$C$27,1,0)),)</f>
        <v>0</v>
      </c>
      <c r="AL92" s="524">
        <f>IF(AK92=1,COUNTIFS($C$8:$C$128,"&lt;="&amp;general!$C$27&amp;"",'draws%'!$AM$8:$AM$128,"="&amp;AM92&amp;""),0)</f>
        <v>0</v>
      </c>
      <c r="AM92" s="524">
        <f t="shared" si="18"/>
        <v>2033</v>
      </c>
      <c r="AN92" s="524"/>
    </row>
    <row r="93" spans="1:40" ht="14">
      <c r="A93" s="903">
        <f t="shared" si="21"/>
        <v>48852</v>
      </c>
      <c r="C93" s="897">
        <f t="shared" si="22"/>
        <v>85</v>
      </c>
      <c r="D93" s="542"/>
      <c r="E93" s="542">
        <f>IF($C93=$C$2,0,IF(OR($C93=0,$C93&lt;general!$C$23,$C93&gt;$C$2),0,E$2/$C$3+NORMDIST($C93-general!$C$23+1,$C$3/2,E$1,1)-NORMDIST($C92-general!$C$23+1,$C$3/2,E$1,1)))+IF($C93=$C$2,1-SUM(E$8:E92),0)</f>
        <v>0</v>
      </c>
      <c r="F93" s="542">
        <f>IF($C93=$C$2,0,IF(OR($C93=0,$C93&lt;general!$C$23,$C93&gt;$C$2),0,F$2/$C$3+NORMDIST($C93-general!$C$23+1,$C$3/2,F$1,1)-NORMDIST($C92-general!$C$23+1,$C$3/2,F$1,1)))+IF($C93=$C$2,1-SUM(F$8:F92),0)</f>
        <v>0</v>
      </c>
      <c r="G93" s="542">
        <f>IF($C93=$C$2,0,IF(OR($C93=0,$C93&lt;general!$C$23,$C93&gt;$C$2),0,G$2/$C$3+NORMDIST($C93-general!$C$23+1,$C$3/2,G$1,1)-NORMDIST($C92-general!$C$23+1,$C$3/2,G$1,1)))+IF($C93=$C$2,1-SUM(G$8:G92),0)</f>
        <v>0</v>
      </c>
      <c r="H93" s="542">
        <f>IF(C93=$C$2,0,IF(OR(C93=0,C93&lt;1,C93&gt;$C$2),0,$H$2/$C$2+NORMDIST(C93,$C$2/2,$H$1,1)-NORMDIST(C92,$C$2/2,$H$1,1)))+IF(C93=$C$2,1-SUM($H$9:H92),0)</f>
        <v>0</v>
      </c>
      <c r="I93" s="542">
        <f>IF(C93=$C$2,0,IF(OR(C93=0,C93&lt;1,C93&gt;$C$2),0,$I$2/$C$2+NORMDIST(C93,$C$2/2,$I$1,1)-NORMDIST(C92,$C$2/2,$I$1,1)))+IF(C93=$C$2,1-SUM($I$9:I92),0)</f>
        <v>0</v>
      </c>
      <c r="J93" s="542">
        <f>IF(C93=$C$2,0,IF(OR(C93=0,C93&lt;1,C93&gt;$C$2),0,$J$2/$C$2+NORMDIST(C93,$C$2/2,$J$1,1)-NORMDIST(C92,$C$2/2,$J$1,1)))+IF(C93=$C$2,1-SUM($J$9:J92),0)</f>
        <v>0</v>
      </c>
      <c r="K93" s="542">
        <f t="shared" si="19"/>
        <v>0</v>
      </c>
      <c r="L93" s="542">
        <f t="shared" si="16"/>
        <v>0</v>
      </c>
      <c r="M93" s="542">
        <f>IF($C93&gt;$C$2,IF($C93=sales!$F$36,M$4,0),(1-M$4)/$C$2)</f>
        <v>0</v>
      </c>
      <c r="N93" s="542">
        <f>IF(ISEVEN($C$2),IF(C93&gt;$C$2,0,IF(C93&lt;=$C$2/2,C93,C93-1-2*(SUMPRODUCT(--($C$8:C93&gt;$C$2/2))-1))/(($C$2/2)*($C$2/2+1))),0)+IF(ISODD($C$2),IF(C93&gt;$C$2,0,IF(C93-1&lt;=$C$2/2,C93,C93-2*(SUMPRODUCT(--($C$8:C93&gt;$C$2/2))-1))/((INT($C$2/2))*(INT($C$2/2)+1)+ROUNDUP($C$2/2,0))),0)</f>
        <v>0</v>
      </c>
      <c r="O93" s="542"/>
      <c r="P93" s="542">
        <f t="shared" si="17"/>
        <v>0</v>
      </c>
      <c r="Q93" s="542">
        <f>IF($C93=general!$C$28,Q$4,IFERROR(($C93&lt;general!$C$23)*((1-Q$4)*Q$5)/(general!$C$23-1),0)+IFERROR(($C93&gt;=general!$C$23)*($C93&lt;=general!$C$27)*((1-Q$4)*Q$6)/(general!$C$27-general!$C$23+1),0))+IF(AND(general!$C$23&lt;=1,$C93&lt;=1),'draws%'!Q$5*(1-Q$4))</f>
        <v>0</v>
      </c>
      <c r="R93" s="542">
        <f>IF($C93=general!$C$27,R$4,IFERROR(($C93&lt;general!$C$23)*((1-R$4)*R$5)/(general!$C$23-1),0)+IFERROR(($C93&gt;=general!$C$23)*($C93&lt;general!$C$27)*((1-R$4)*R$6)/(general!$C$27-general!$C$23),0))+IF(AND(general!$C$23&lt;=1,$C93&lt;=1),'draws%'!R$5*(1-R$4))</f>
        <v>0</v>
      </c>
      <c r="S93" s="542">
        <f>IF(OR(C93=general!$C$27,C93=general!$C$27-1),50%,0)</f>
        <v>0</v>
      </c>
      <c r="T93" s="542">
        <f>(C93&gt;=general!$C$26-6)*(C93&lt;general!$C$26)*1/6*0.5+(C93=3)*0.25+(C93=9)*0.25</f>
        <v>0</v>
      </c>
      <c r="U93" s="542">
        <f>IF(C93='Development Cash Flow'!$C$6,$U$5,0)+IF(C93=general!$C$27,$U$6,0)</f>
        <v>0</v>
      </c>
      <c r="V93" s="542">
        <f>IF(C93=general!$C$28,1,0)</f>
        <v>0</v>
      </c>
      <c r="W93" s="542">
        <f t="shared" si="23"/>
        <v>0</v>
      </c>
      <c r="X93" s="542">
        <f>IF(C93=general!$C$23,1,0)</f>
        <v>0</v>
      </c>
      <c r="Y93" s="542">
        <f>IFERROR((C93&lt;general!$C$23)*Y$5/(general!$C$23),0)+IFERROR((C93&gt;=general!$C$23)*(C93&lt;=general!$C$27)*Y$6/(general!$C$27-general!$C$23+1),0)</f>
        <v>0</v>
      </c>
      <c r="Z93" s="542">
        <f>IFERROR(($C93&lt;general!$C$23)*Z$5/(general!$C$23),0)+IFERROR(($C93&gt;=general!$C$23)*($C93&lt;=general!$C$27)*Z$6/(general!$C$27-general!$C$23+1),0)*(1-$Z$4)+$Z$4*AF93</f>
        <v>0</v>
      </c>
      <c r="AA93" s="542">
        <f>MAX((IFERROR(($C93&lt;general!$C$23)*AA$5/(general!$C$23),0)+IFERROR(($C93&gt;=general!$C$23)*($C93&lt;=general!$C$27)*AA$6/(general!$C$27-general!$C$23+1),0)),0)</f>
        <v>0</v>
      </c>
      <c r="AB93" s="542">
        <f>MAX((IFERROR(($C93&lt;general!$C$23)*AB$5/(general!$C$23),0)+IFERROR(($C93&gt;=general!$C$23)*($C93&lt;=general!$C$27)*AB$6/(general!$C$27-general!$C$23+1),0)),0)</f>
        <v>0</v>
      </c>
      <c r="AC93" s="542">
        <f>MAX((IFERROR(($C93&lt;general!$C$23)*AC$5/(general!$C$23),0)+IFERROR(($C93&gt;=general!$C$23)*($C93&lt;=general!$C$27)*AC$6/(general!$C$27-general!$C$23+1),0)),0)</f>
        <v>0</v>
      </c>
      <c r="AD93" s="542">
        <f>MAX((IFERROR(($C93&lt;general!$C$23)*AD$5/(general!$C$23),0)+IFERROR(($C93&gt;=general!$C$23)*($C93&lt;=general!$C$27)*AD$6/(general!$C$27-general!$C$23+1),0)),0)</f>
        <v>0</v>
      </c>
      <c r="AE93" s="542">
        <f t="shared" si="20"/>
        <v>0</v>
      </c>
      <c r="AF93" s="542">
        <f>+SUMPRODUCT(--($C93=sales!$C$50:$C$54),sales!$D$50:$D$54)</f>
        <v>0</v>
      </c>
      <c r="AG93" s="542">
        <f>IF($C93=general!$C$28,AG$4,IFERROR(($C93&lt;general!$C$23)*((1-AG$4)*AG$5)/(general!$C$23-1),0)+IFERROR(($C93&gt;=general!$C$23)*($C93&lt;=general!$C$27)*((1-AG$4)*AG$6)/(general!$C$27-general!$C$23+1),0))+IF(AND(general!$C$23&lt;=1,$C93&lt;=1),'draws%'!AG$5*(1-AG$4))</f>
        <v>0</v>
      </c>
      <c r="AH93" s="542">
        <f>+IF($C93=general!$C$21,1,0)</f>
        <v>0</v>
      </c>
      <c r="AK93" s="524">
        <f>IF(A93&lt;=general!$D$27,IF(MONTH(A93)=11,1,IF(C93=general!$C$27,1,0)),)</f>
        <v>0</v>
      </c>
      <c r="AL93" s="524">
        <f>IF(AK93=1,COUNTIFS($C$8:$C$128,"&lt;="&amp;general!$C$27&amp;"",'draws%'!$AM$8:$AM$128,"="&amp;AM93&amp;""),0)</f>
        <v>0</v>
      </c>
      <c r="AM93" s="524">
        <f t="shared" si="18"/>
        <v>2033</v>
      </c>
      <c r="AN93" s="524"/>
    </row>
    <row r="94" spans="1:40" ht="14">
      <c r="A94" s="903">
        <f t="shared" si="21"/>
        <v>48883</v>
      </c>
      <c r="C94" s="897">
        <f t="shared" si="22"/>
        <v>86</v>
      </c>
      <c r="D94" s="542"/>
      <c r="E94" s="542">
        <f>IF($C94=$C$2,0,IF(OR($C94=0,$C94&lt;general!$C$23,$C94&gt;$C$2),0,E$2/$C$3+NORMDIST($C94-general!$C$23+1,$C$3/2,E$1,1)-NORMDIST($C93-general!$C$23+1,$C$3/2,E$1,1)))+IF($C94=$C$2,1-SUM(E$8:E93),0)</f>
        <v>0</v>
      </c>
      <c r="F94" s="542">
        <f>IF($C94=$C$2,0,IF(OR($C94=0,$C94&lt;general!$C$23,$C94&gt;$C$2),0,F$2/$C$3+NORMDIST($C94-general!$C$23+1,$C$3/2,F$1,1)-NORMDIST($C93-general!$C$23+1,$C$3/2,F$1,1)))+IF($C94=$C$2,1-SUM(F$8:F93),0)</f>
        <v>0</v>
      </c>
      <c r="G94" s="542">
        <f>IF($C94=$C$2,0,IF(OR($C94=0,$C94&lt;general!$C$23,$C94&gt;$C$2),0,G$2/$C$3+NORMDIST($C94-general!$C$23+1,$C$3/2,G$1,1)-NORMDIST($C93-general!$C$23+1,$C$3/2,G$1,1)))+IF($C94=$C$2,1-SUM(G$8:G93),0)</f>
        <v>0</v>
      </c>
      <c r="H94" s="542">
        <f>IF(C94=$C$2,0,IF(OR(C94=0,C94&lt;1,C94&gt;$C$2),0,$H$2/$C$2+NORMDIST(C94,$C$2/2,$H$1,1)-NORMDIST(C93,$C$2/2,$H$1,1)))+IF(C94=$C$2,1-SUM($H$9:H93),0)</f>
        <v>0</v>
      </c>
      <c r="I94" s="542">
        <f>IF(C94=$C$2,0,IF(OR(C94=0,C94&lt;1,C94&gt;$C$2),0,$I$2/$C$2+NORMDIST(C94,$C$2/2,$I$1,1)-NORMDIST(C93,$C$2/2,$I$1,1)))+IF(C94=$C$2,1-SUM($I$9:I93),0)</f>
        <v>0</v>
      </c>
      <c r="J94" s="542">
        <f>IF(C94=$C$2,0,IF(OR(C94=0,C94&lt;1,C94&gt;$C$2),0,$J$2/$C$2+NORMDIST(C94,$C$2/2,$J$1,1)-NORMDIST(C93,$C$2/2,$J$1,1)))+IF(C94=$C$2,1-SUM($J$9:J93),0)</f>
        <v>0</v>
      </c>
      <c r="K94" s="542">
        <f t="shared" si="19"/>
        <v>0</v>
      </c>
      <c r="L94" s="542">
        <f t="shared" si="16"/>
        <v>0</v>
      </c>
      <c r="M94" s="542">
        <f>IF($C94&gt;$C$2,IF($C94=sales!$F$36,M$4,0),(1-M$4)/$C$2)</f>
        <v>0</v>
      </c>
      <c r="N94" s="542">
        <f>IF(ISEVEN($C$2),IF(C94&gt;$C$2,0,IF(C94&lt;=$C$2/2,C94,C94-1-2*(SUMPRODUCT(--($C$8:C94&gt;$C$2/2))-1))/(($C$2/2)*($C$2/2+1))),0)+IF(ISODD($C$2),IF(C94&gt;$C$2,0,IF(C94-1&lt;=$C$2/2,C94,C94-2*(SUMPRODUCT(--($C$8:C94&gt;$C$2/2))-1))/((INT($C$2/2))*(INT($C$2/2)+1)+ROUNDUP($C$2/2,0))),0)</f>
        <v>0</v>
      </c>
      <c r="O94" s="542"/>
      <c r="P94" s="542">
        <f t="shared" si="17"/>
        <v>0</v>
      </c>
      <c r="Q94" s="542">
        <f>IF($C94=general!$C$28,Q$4,IFERROR(($C94&lt;general!$C$23)*((1-Q$4)*Q$5)/(general!$C$23-1),0)+IFERROR(($C94&gt;=general!$C$23)*($C94&lt;=general!$C$27)*((1-Q$4)*Q$6)/(general!$C$27-general!$C$23+1),0))+IF(AND(general!$C$23&lt;=1,$C94&lt;=1),'draws%'!Q$5*(1-Q$4))</f>
        <v>0</v>
      </c>
      <c r="R94" s="542">
        <f>IF($C94=general!$C$27,R$4,IFERROR(($C94&lt;general!$C$23)*((1-R$4)*R$5)/(general!$C$23-1),0)+IFERROR(($C94&gt;=general!$C$23)*($C94&lt;general!$C$27)*((1-R$4)*R$6)/(general!$C$27-general!$C$23),0))+IF(AND(general!$C$23&lt;=1,$C94&lt;=1),'draws%'!R$5*(1-R$4))</f>
        <v>0</v>
      </c>
      <c r="S94" s="542">
        <f>IF(OR(C94=general!$C$27,C94=general!$C$27-1),50%,0)</f>
        <v>0</v>
      </c>
      <c r="T94" s="542">
        <f>(C94&gt;=general!$C$26-6)*(C94&lt;general!$C$26)*1/6*0.5+(C94=3)*0.25+(C94=9)*0.25</f>
        <v>0</v>
      </c>
      <c r="U94" s="542">
        <f>IF(C94='Development Cash Flow'!$C$6,$U$5,0)+IF(C94=general!$C$27,$U$6,0)</f>
        <v>0</v>
      </c>
      <c r="V94" s="542">
        <f>IF(C94=general!$C$28,1,0)</f>
        <v>0</v>
      </c>
      <c r="W94" s="542">
        <f t="shared" si="23"/>
        <v>0</v>
      </c>
      <c r="X94" s="542">
        <f>IF(C94=general!$C$23,1,0)</f>
        <v>0</v>
      </c>
      <c r="Y94" s="542">
        <f>IFERROR((C94&lt;general!$C$23)*Y$5/(general!$C$23),0)+IFERROR((C94&gt;=general!$C$23)*(C94&lt;=general!$C$27)*Y$6/(general!$C$27-general!$C$23+1),0)</f>
        <v>0</v>
      </c>
      <c r="Z94" s="542">
        <f>IFERROR(($C94&lt;general!$C$23)*Z$5/(general!$C$23),0)+IFERROR(($C94&gt;=general!$C$23)*($C94&lt;=general!$C$27)*Z$6/(general!$C$27-general!$C$23+1),0)*(1-$Z$4)+$Z$4*AF94</f>
        <v>0</v>
      </c>
      <c r="AA94" s="542">
        <f>MAX((IFERROR(($C94&lt;general!$C$23)*AA$5/(general!$C$23),0)+IFERROR(($C94&gt;=general!$C$23)*($C94&lt;=general!$C$27)*AA$6/(general!$C$27-general!$C$23+1),0)),0)</f>
        <v>0</v>
      </c>
      <c r="AB94" s="542">
        <f>MAX((IFERROR(($C94&lt;general!$C$23)*AB$5/(general!$C$23),0)+IFERROR(($C94&gt;=general!$C$23)*($C94&lt;=general!$C$27)*AB$6/(general!$C$27-general!$C$23+1),0)),0)</f>
        <v>0</v>
      </c>
      <c r="AC94" s="542">
        <f>MAX((IFERROR(($C94&lt;general!$C$23)*AC$5/(general!$C$23),0)+IFERROR(($C94&gt;=general!$C$23)*($C94&lt;=general!$C$27)*AC$6/(general!$C$27-general!$C$23+1),0)),0)</f>
        <v>0</v>
      </c>
      <c r="AD94" s="542">
        <f>MAX((IFERROR(($C94&lt;general!$C$23)*AD$5/(general!$C$23),0)+IFERROR(($C94&gt;=general!$C$23)*($C94&lt;=general!$C$27)*AD$6/(general!$C$27-general!$C$23+1),0)),0)</f>
        <v>0</v>
      </c>
      <c r="AE94" s="542">
        <f t="shared" si="20"/>
        <v>0</v>
      </c>
      <c r="AF94" s="542">
        <f>+SUMPRODUCT(--($C94=sales!$C$50:$C$54),sales!$D$50:$D$54)</f>
        <v>0</v>
      </c>
      <c r="AG94" s="542">
        <f>IF($C94=general!$C$28,AG$4,IFERROR(($C94&lt;general!$C$23)*((1-AG$4)*AG$5)/(general!$C$23-1),0)+IFERROR(($C94&gt;=general!$C$23)*($C94&lt;=general!$C$27)*((1-AG$4)*AG$6)/(general!$C$27-general!$C$23+1),0))+IF(AND(general!$C$23&lt;=1,$C94&lt;=1),'draws%'!AG$5*(1-AG$4))</f>
        <v>0</v>
      </c>
      <c r="AH94" s="542">
        <f>+IF($C94=general!$C$21,1,0)</f>
        <v>0</v>
      </c>
      <c r="AK94" s="524">
        <f>IF(A94&lt;=general!$D$27,IF(MONTH(A94)=11,1,IF(C94=general!$C$27,1,0)),)</f>
        <v>0</v>
      </c>
      <c r="AL94" s="524">
        <f>IF(AK94=1,COUNTIFS($C$8:$C$128,"&lt;="&amp;general!$C$27&amp;"",'draws%'!$AM$8:$AM$128,"="&amp;AM94&amp;""),0)</f>
        <v>0</v>
      </c>
      <c r="AM94" s="524">
        <f t="shared" si="18"/>
        <v>2033</v>
      </c>
      <c r="AN94" s="524"/>
    </row>
    <row r="95" spans="1:40" ht="14">
      <c r="A95" s="903">
        <f t="shared" si="21"/>
        <v>48913</v>
      </c>
      <c r="C95" s="897">
        <f t="shared" si="22"/>
        <v>87</v>
      </c>
      <c r="D95" s="542"/>
      <c r="E95" s="542">
        <f>IF($C95=$C$2,0,IF(OR($C95=0,$C95&lt;general!$C$23,$C95&gt;$C$2),0,E$2/$C$3+NORMDIST($C95-general!$C$23+1,$C$3/2,E$1,1)-NORMDIST($C94-general!$C$23+1,$C$3/2,E$1,1)))+IF($C95=$C$2,1-SUM(E$8:E94),0)</f>
        <v>0</v>
      </c>
      <c r="F95" s="542">
        <f>IF($C95=$C$2,0,IF(OR($C95=0,$C95&lt;general!$C$23,$C95&gt;$C$2),0,F$2/$C$3+NORMDIST($C95-general!$C$23+1,$C$3/2,F$1,1)-NORMDIST($C94-general!$C$23+1,$C$3/2,F$1,1)))+IF($C95=$C$2,1-SUM(F$8:F94),0)</f>
        <v>0</v>
      </c>
      <c r="G95" s="542">
        <f>IF($C95=$C$2,0,IF(OR($C95=0,$C95&lt;general!$C$23,$C95&gt;$C$2),0,G$2/$C$3+NORMDIST($C95-general!$C$23+1,$C$3/2,G$1,1)-NORMDIST($C94-general!$C$23+1,$C$3/2,G$1,1)))+IF($C95=$C$2,1-SUM(G$8:G94),0)</f>
        <v>0</v>
      </c>
      <c r="H95" s="542">
        <f>IF(C95=$C$2,0,IF(OR(C95=0,C95&lt;1,C95&gt;$C$2),0,$H$2/$C$2+NORMDIST(C95,$C$2/2,$H$1,1)-NORMDIST(C94,$C$2/2,$H$1,1)))+IF(C95=$C$2,1-SUM($H$9:H94),0)</f>
        <v>0</v>
      </c>
      <c r="I95" s="542">
        <f>IF(C95=$C$2,0,IF(OR(C95=0,C95&lt;1,C95&gt;$C$2),0,$I$2/$C$2+NORMDIST(C95,$C$2/2,$I$1,1)-NORMDIST(C94,$C$2/2,$I$1,1)))+IF(C95=$C$2,1-SUM($I$9:I94),0)</f>
        <v>0</v>
      </c>
      <c r="J95" s="542">
        <f>IF(C95=$C$2,0,IF(OR(C95=0,C95&lt;1,C95&gt;$C$2),0,$J$2/$C$2+NORMDIST(C95,$C$2/2,$J$1,1)-NORMDIST(C94,$C$2/2,$J$1,1)))+IF(C95=$C$2,1-SUM($J$9:J94),0)</f>
        <v>0</v>
      </c>
      <c r="K95" s="542">
        <f t="shared" si="19"/>
        <v>0</v>
      </c>
      <c r="L95" s="542">
        <f t="shared" si="16"/>
        <v>0</v>
      </c>
      <c r="M95" s="542">
        <f>IF($C95&gt;$C$2,IF($C95=sales!$F$36,M$4,0),(1-M$4)/$C$2)</f>
        <v>0</v>
      </c>
      <c r="N95" s="542">
        <f>IF(ISEVEN($C$2),IF(C95&gt;$C$2,0,IF(C95&lt;=$C$2/2,C95,C95-1-2*(SUMPRODUCT(--($C$8:C95&gt;$C$2/2))-1))/(($C$2/2)*($C$2/2+1))),0)+IF(ISODD($C$2),IF(C95&gt;$C$2,0,IF(C95-1&lt;=$C$2/2,C95,C95-2*(SUMPRODUCT(--($C$8:C95&gt;$C$2/2))-1))/((INT($C$2/2))*(INT($C$2/2)+1)+ROUNDUP($C$2/2,0))),0)</f>
        <v>0</v>
      </c>
      <c r="O95" s="542"/>
      <c r="P95" s="542">
        <f t="shared" si="17"/>
        <v>0</v>
      </c>
      <c r="Q95" s="542">
        <f>IF($C95=general!$C$28,Q$4,IFERROR(($C95&lt;general!$C$23)*((1-Q$4)*Q$5)/(general!$C$23-1),0)+IFERROR(($C95&gt;=general!$C$23)*($C95&lt;=general!$C$27)*((1-Q$4)*Q$6)/(general!$C$27-general!$C$23+1),0))+IF(AND(general!$C$23&lt;=1,$C95&lt;=1),'draws%'!Q$5*(1-Q$4))</f>
        <v>0</v>
      </c>
      <c r="R95" s="542">
        <f>IF($C95=general!$C$27,R$4,IFERROR(($C95&lt;general!$C$23)*((1-R$4)*R$5)/(general!$C$23-1),0)+IFERROR(($C95&gt;=general!$C$23)*($C95&lt;general!$C$27)*((1-R$4)*R$6)/(general!$C$27-general!$C$23),0))+IF(AND(general!$C$23&lt;=1,$C95&lt;=1),'draws%'!R$5*(1-R$4))</f>
        <v>0</v>
      </c>
      <c r="S95" s="542">
        <f>IF(OR(C95=general!$C$27,C95=general!$C$27-1),50%,0)</f>
        <v>0</v>
      </c>
      <c r="T95" s="542">
        <f>(C95&gt;=general!$C$26-6)*(C95&lt;general!$C$26)*1/6*0.5+(C95=3)*0.25+(C95=9)*0.25</f>
        <v>0</v>
      </c>
      <c r="U95" s="542">
        <f>IF(C95='Development Cash Flow'!$C$6,$U$5,0)+IF(C95=general!$C$27,$U$6,0)</f>
        <v>0</v>
      </c>
      <c r="V95" s="542">
        <f>IF(C95=general!$C$28,1,0)</f>
        <v>0</v>
      </c>
      <c r="W95" s="542">
        <f t="shared" si="23"/>
        <v>0</v>
      </c>
      <c r="X95" s="542">
        <f>IF(C95=general!$C$23,1,0)</f>
        <v>0</v>
      </c>
      <c r="Y95" s="542">
        <f>IFERROR((C95&lt;general!$C$23)*Y$5/(general!$C$23),0)+IFERROR((C95&gt;=general!$C$23)*(C95&lt;=general!$C$27)*Y$6/(general!$C$27-general!$C$23+1),0)</f>
        <v>0</v>
      </c>
      <c r="Z95" s="542">
        <f>IFERROR(($C95&lt;general!$C$23)*Z$5/(general!$C$23),0)+IFERROR(($C95&gt;=general!$C$23)*($C95&lt;=general!$C$27)*Z$6/(general!$C$27-general!$C$23+1),0)*(1-$Z$4)+$Z$4*AF95</f>
        <v>0</v>
      </c>
      <c r="AA95" s="542">
        <f>MAX((IFERROR(($C95&lt;general!$C$23)*AA$5/(general!$C$23),0)+IFERROR(($C95&gt;=general!$C$23)*($C95&lt;=general!$C$27)*AA$6/(general!$C$27-general!$C$23+1),0)),0)</f>
        <v>0</v>
      </c>
      <c r="AB95" s="542">
        <f>MAX((IFERROR(($C95&lt;general!$C$23)*AB$5/(general!$C$23),0)+IFERROR(($C95&gt;=general!$C$23)*($C95&lt;=general!$C$27)*AB$6/(general!$C$27-general!$C$23+1),0)),0)</f>
        <v>0</v>
      </c>
      <c r="AC95" s="542">
        <f>MAX((IFERROR(($C95&lt;general!$C$23)*AC$5/(general!$C$23),0)+IFERROR(($C95&gt;=general!$C$23)*($C95&lt;=general!$C$27)*AC$6/(general!$C$27-general!$C$23+1),0)),0)</f>
        <v>0</v>
      </c>
      <c r="AD95" s="542">
        <f>MAX((IFERROR(($C95&lt;general!$C$23)*AD$5/(general!$C$23),0)+IFERROR(($C95&gt;=general!$C$23)*($C95&lt;=general!$C$27)*AD$6/(general!$C$27-general!$C$23+1),0)),0)</f>
        <v>0</v>
      </c>
      <c r="AE95" s="542">
        <f t="shared" si="20"/>
        <v>0</v>
      </c>
      <c r="AF95" s="542">
        <f>+SUMPRODUCT(--($C95=sales!$C$50:$C$54),sales!$D$50:$D$54)</f>
        <v>0</v>
      </c>
      <c r="AG95" s="542">
        <f>IF($C95=general!$C$28,AG$4,IFERROR(($C95&lt;general!$C$23)*((1-AG$4)*AG$5)/(general!$C$23-1),0)+IFERROR(($C95&gt;=general!$C$23)*($C95&lt;=general!$C$27)*((1-AG$4)*AG$6)/(general!$C$27-general!$C$23+1),0))+IF(AND(general!$C$23&lt;=1,$C95&lt;=1),'draws%'!AG$5*(1-AG$4))</f>
        <v>0</v>
      </c>
      <c r="AH95" s="542">
        <f>+IF($C95=general!$C$21,1,0)</f>
        <v>0</v>
      </c>
      <c r="AK95" s="524">
        <f>IF(A95&lt;=general!$D$27,IF(MONTH(A95)=11,1,IF(C95=general!$C$27,1,0)),)</f>
        <v>0</v>
      </c>
      <c r="AL95" s="524">
        <f>IF(AK95=1,COUNTIFS($C$8:$C$128,"&lt;="&amp;general!$C$27&amp;"",'draws%'!$AM$8:$AM$128,"="&amp;AM95&amp;""),0)</f>
        <v>0</v>
      </c>
      <c r="AM95" s="524">
        <f t="shared" si="18"/>
        <v>2033</v>
      </c>
      <c r="AN95" s="524"/>
    </row>
    <row r="96" spans="1:40" ht="14">
      <c r="A96" s="903">
        <f t="shared" si="21"/>
        <v>48944</v>
      </c>
      <c r="C96" s="897">
        <f t="shared" si="22"/>
        <v>88</v>
      </c>
      <c r="D96" s="542"/>
      <c r="E96" s="542">
        <f>IF($C96=$C$2,0,IF(OR($C96=0,$C96&lt;general!$C$23,$C96&gt;$C$2),0,E$2/$C$3+NORMDIST($C96-general!$C$23+1,$C$3/2,E$1,1)-NORMDIST($C95-general!$C$23+1,$C$3/2,E$1,1)))+IF($C96=$C$2,1-SUM(E$8:E95),0)</f>
        <v>0</v>
      </c>
      <c r="F96" s="542">
        <f>IF($C96=$C$2,0,IF(OR($C96=0,$C96&lt;general!$C$23,$C96&gt;$C$2),0,F$2/$C$3+NORMDIST($C96-general!$C$23+1,$C$3/2,F$1,1)-NORMDIST($C95-general!$C$23+1,$C$3/2,F$1,1)))+IF($C96=$C$2,1-SUM(F$8:F95),0)</f>
        <v>0</v>
      </c>
      <c r="G96" s="542">
        <f>IF($C96=$C$2,0,IF(OR($C96=0,$C96&lt;general!$C$23,$C96&gt;$C$2),0,G$2/$C$3+NORMDIST($C96-general!$C$23+1,$C$3/2,G$1,1)-NORMDIST($C95-general!$C$23+1,$C$3/2,G$1,1)))+IF($C96=$C$2,1-SUM(G$8:G95),0)</f>
        <v>0</v>
      </c>
      <c r="H96" s="542">
        <f>IF(C96=$C$2,0,IF(OR(C96=0,C96&lt;1,C96&gt;$C$2),0,$H$2/$C$2+NORMDIST(C96,$C$2/2,$H$1,1)-NORMDIST(C95,$C$2/2,$H$1,1)))+IF(C96=$C$2,1-SUM($H$9:H95),0)</f>
        <v>0</v>
      </c>
      <c r="I96" s="542">
        <f>IF(C96=$C$2,0,IF(OR(C96=0,C96&lt;1,C96&gt;$C$2),0,$I$2/$C$2+NORMDIST(C96,$C$2/2,$I$1,1)-NORMDIST(C95,$C$2/2,$I$1,1)))+IF(C96=$C$2,1-SUM($I$9:I95),0)</f>
        <v>0</v>
      </c>
      <c r="J96" s="542">
        <f>IF(C96=$C$2,0,IF(OR(C96=0,C96&lt;1,C96&gt;$C$2),0,$J$2/$C$2+NORMDIST(C96,$C$2/2,$J$1,1)-NORMDIST(C95,$C$2/2,$J$1,1)))+IF(C96=$C$2,1-SUM($J$9:J95),0)</f>
        <v>0</v>
      </c>
      <c r="K96" s="542">
        <f t="shared" si="19"/>
        <v>0</v>
      </c>
      <c r="L96" s="542">
        <f t="shared" si="16"/>
        <v>0</v>
      </c>
      <c r="M96" s="542">
        <f>IF($C96&gt;$C$2,IF($C96=sales!$F$36,M$4,0),(1-M$4)/$C$2)</f>
        <v>0</v>
      </c>
      <c r="N96" s="542">
        <f>IF(ISEVEN($C$2),IF(C96&gt;$C$2,0,IF(C96&lt;=$C$2/2,C96,C96-1-2*(SUMPRODUCT(--($C$8:C96&gt;$C$2/2))-1))/(($C$2/2)*($C$2/2+1))),0)+IF(ISODD($C$2),IF(C96&gt;$C$2,0,IF(C96-1&lt;=$C$2/2,C96,C96-2*(SUMPRODUCT(--($C$8:C96&gt;$C$2/2))-1))/((INT($C$2/2))*(INT($C$2/2)+1)+ROUNDUP($C$2/2,0))),0)</f>
        <v>0</v>
      </c>
      <c r="O96" s="542"/>
      <c r="P96" s="542">
        <f t="shared" si="17"/>
        <v>0</v>
      </c>
      <c r="Q96" s="542">
        <f>IF($C96=general!$C$28,Q$4,IFERROR(($C96&lt;general!$C$23)*((1-Q$4)*Q$5)/(general!$C$23-1),0)+IFERROR(($C96&gt;=general!$C$23)*($C96&lt;=general!$C$27)*((1-Q$4)*Q$6)/(general!$C$27-general!$C$23+1),0))+IF(AND(general!$C$23&lt;=1,$C96&lt;=1),'draws%'!Q$5*(1-Q$4))</f>
        <v>0</v>
      </c>
      <c r="R96" s="542">
        <f>IF($C96=general!$C$27,R$4,IFERROR(($C96&lt;general!$C$23)*((1-R$4)*R$5)/(general!$C$23-1),0)+IFERROR(($C96&gt;=general!$C$23)*($C96&lt;general!$C$27)*((1-R$4)*R$6)/(general!$C$27-general!$C$23),0))+IF(AND(general!$C$23&lt;=1,$C96&lt;=1),'draws%'!R$5*(1-R$4))</f>
        <v>0</v>
      </c>
      <c r="S96" s="542">
        <f>IF(OR(C96=general!$C$27,C96=general!$C$27-1),50%,0)</f>
        <v>0</v>
      </c>
      <c r="T96" s="542">
        <f>(C96&gt;=general!$C$26-6)*(C96&lt;general!$C$26)*1/6*0.5+(C96=3)*0.25+(C96=9)*0.25</f>
        <v>0</v>
      </c>
      <c r="U96" s="542">
        <f>IF(C96='Development Cash Flow'!$C$6,$U$5,0)+IF(C96=general!$C$27,$U$6,0)</f>
        <v>0</v>
      </c>
      <c r="V96" s="542">
        <f>IF(C96=general!$C$28,1,0)</f>
        <v>0</v>
      </c>
      <c r="W96" s="542">
        <f t="shared" si="23"/>
        <v>0</v>
      </c>
      <c r="X96" s="542">
        <f>IF(C96=general!$C$23,1,0)</f>
        <v>0</v>
      </c>
      <c r="Y96" s="542">
        <f>IFERROR((C96&lt;general!$C$23)*Y$5/(general!$C$23),0)+IFERROR((C96&gt;=general!$C$23)*(C96&lt;=general!$C$27)*Y$6/(general!$C$27-general!$C$23+1),0)</f>
        <v>0</v>
      </c>
      <c r="Z96" s="542">
        <f>IFERROR(($C96&lt;general!$C$23)*Z$5/(general!$C$23),0)+IFERROR(($C96&gt;=general!$C$23)*($C96&lt;=general!$C$27)*Z$6/(general!$C$27-general!$C$23+1),0)*(1-$Z$4)+$Z$4*AF96</f>
        <v>0</v>
      </c>
      <c r="AA96" s="542">
        <f>MAX((IFERROR(($C96&lt;general!$C$23)*AA$5/(general!$C$23),0)+IFERROR(($C96&gt;=general!$C$23)*($C96&lt;=general!$C$27)*AA$6/(general!$C$27-general!$C$23+1),0)),0)</f>
        <v>0</v>
      </c>
      <c r="AB96" s="542">
        <f>MAX((IFERROR(($C96&lt;general!$C$23)*AB$5/(general!$C$23),0)+IFERROR(($C96&gt;=general!$C$23)*($C96&lt;=general!$C$27)*AB$6/(general!$C$27-general!$C$23+1),0)),0)</f>
        <v>0</v>
      </c>
      <c r="AC96" s="542">
        <f>MAX((IFERROR(($C96&lt;general!$C$23)*AC$5/(general!$C$23),0)+IFERROR(($C96&gt;=general!$C$23)*($C96&lt;=general!$C$27)*AC$6/(general!$C$27-general!$C$23+1),0)),0)</f>
        <v>0</v>
      </c>
      <c r="AD96" s="542">
        <f>MAX((IFERROR(($C96&lt;general!$C$23)*AD$5/(general!$C$23),0)+IFERROR(($C96&gt;=general!$C$23)*($C96&lt;=general!$C$27)*AD$6/(general!$C$27-general!$C$23+1),0)),0)</f>
        <v>0</v>
      </c>
      <c r="AE96" s="542">
        <f t="shared" si="20"/>
        <v>0</v>
      </c>
      <c r="AF96" s="542">
        <f>+SUMPRODUCT(--($C96=sales!$C$50:$C$54),sales!$D$50:$D$54)</f>
        <v>0</v>
      </c>
      <c r="AG96" s="542">
        <f>IF($C96=general!$C$28,AG$4,IFERROR(($C96&lt;general!$C$23)*((1-AG$4)*AG$5)/(general!$C$23-1),0)+IFERROR(($C96&gt;=general!$C$23)*($C96&lt;=general!$C$27)*((1-AG$4)*AG$6)/(general!$C$27-general!$C$23+1),0))+IF(AND(general!$C$23&lt;=1,$C96&lt;=1),'draws%'!AG$5*(1-AG$4))</f>
        <v>0</v>
      </c>
      <c r="AH96" s="542">
        <f>+IF($C96=general!$C$21,1,0)</f>
        <v>0</v>
      </c>
      <c r="AK96" s="524">
        <f>IF(A96&lt;=general!$D$27,IF(MONTH(A96)=11,1,IF(C96=general!$C$27,1,0)),)</f>
        <v>0</v>
      </c>
      <c r="AL96" s="524">
        <f>IF(AK96=1,COUNTIFS($C$8:$C$128,"&lt;="&amp;general!$C$27&amp;"",'draws%'!$AM$8:$AM$128,"="&amp;AM96&amp;""),0)</f>
        <v>0</v>
      </c>
      <c r="AM96" s="524">
        <f t="shared" si="18"/>
        <v>2033</v>
      </c>
      <c r="AN96" s="524"/>
    </row>
    <row r="97" spans="1:40" ht="14">
      <c r="A97" s="903">
        <f t="shared" si="21"/>
        <v>48975</v>
      </c>
      <c r="C97" s="897">
        <f t="shared" si="22"/>
        <v>89</v>
      </c>
      <c r="D97" s="542"/>
      <c r="E97" s="542">
        <f>IF($C97=$C$2,0,IF(OR($C97=0,$C97&lt;general!$C$23,$C97&gt;$C$2),0,E$2/$C$3+NORMDIST($C97-general!$C$23+1,$C$3/2,E$1,1)-NORMDIST($C96-general!$C$23+1,$C$3/2,E$1,1)))+IF($C97=$C$2,1-SUM(E$8:E96),0)</f>
        <v>0</v>
      </c>
      <c r="F97" s="542">
        <f>IF($C97=$C$2,0,IF(OR($C97=0,$C97&lt;general!$C$23,$C97&gt;$C$2),0,F$2/$C$3+NORMDIST($C97-general!$C$23+1,$C$3/2,F$1,1)-NORMDIST($C96-general!$C$23+1,$C$3/2,F$1,1)))+IF($C97=$C$2,1-SUM(F$8:F96),0)</f>
        <v>0</v>
      </c>
      <c r="G97" s="542">
        <f>IF($C97=$C$2,0,IF(OR($C97=0,$C97&lt;general!$C$23,$C97&gt;$C$2),0,G$2/$C$3+NORMDIST($C97-general!$C$23+1,$C$3/2,G$1,1)-NORMDIST($C96-general!$C$23+1,$C$3/2,G$1,1)))+IF($C97=$C$2,1-SUM(G$8:G96),0)</f>
        <v>0</v>
      </c>
      <c r="H97" s="542">
        <f>IF(C97=$C$2,0,IF(OR(C97=0,C97&lt;1,C97&gt;$C$2),0,$H$2/$C$2+NORMDIST(C97,$C$2/2,$H$1,1)-NORMDIST(C96,$C$2/2,$H$1,1)))+IF(C97=$C$2,1-SUM($H$9:H96),0)</f>
        <v>0</v>
      </c>
      <c r="I97" s="542">
        <f>IF(C97=$C$2,0,IF(OR(C97=0,C97&lt;1,C97&gt;$C$2),0,$I$2/$C$2+NORMDIST(C97,$C$2/2,$I$1,1)-NORMDIST(C96,$C$2/2,$I$1,1)))+IF(C97=$C$2,1-SUM($I$9:I96),0)</f>
        <v>0</v>
      </c>
      <c r="J97" s="542">
        <f>IF(C97=$C$2,0,IF(OR(C97=0,C97&lt;1,C97&gt;$C$2),0,$J$2/$C$2+NORMDIST(C97,$C$2/2,$J$1,1)-NORMDIST(C96,$C$2/2,$J$1,1)))+IF(C97=$C$2,1-SUM($J$9:J96),0)</f>
        <v>0</v>
      </c>
      <c r="K97" s="542">
        <f t="shared" si="19"/>
        <v>0</v>
      </c>
      <c r="L97" s="542">
        <f t="shared" si="16"/>
        <v>0</v>
      </c>
      <c r="M97" s="542">
        <f>IF($C97&gt;$C$2,IF($C97=sales!$F$36,M$4,0),(1-M$4)/$C$2)</f>
        <v>0</v>
      </c>
      <c r="N97" s="542">
        <f>IF(ISEVEN($C$2),IF(C97&gt;$C$2,0,IF(C97&lt;=$C$2/2,C97,C97-1-2*(SUMPRODUCT(--($C$8:C97&gt;$C$2/2))-1))/(($C$2/2)*($C$2/2+1))),0)+IF(ISODD($C$2),IF(C97&gt;$C$2,0,IF(C97-1&lt;=$C$2/2,C97,C97-2*(SUMPRODUCT(--($C$8:C97&gt;$C$2/2))-1))/((INT($C$2/2))*(INT($C$2/2)+1)+ROUNDUP($C$2/2,0))),0)</f>
        <v>0</v>
      </c>
      <c r="O97" s="542"/>
      <c r="P97" s="542">
        <f t="shared" si="17"/>
        <v>0</v>
      </c>
      <c r="Q97" s="542">
        <f>IF($C97=general!$C$28,Q$4,IFERROR(($C97&lt;general!$C$23)*((1-Q$4)*Q$5)/(general!$C$23-1),0)+IFERROR(($C97&gt;=general!$C$23)*($C97&lt;=general!$C$27)*((1-Q$4)*Q$6)/(general!$C$27-general!$C$23+1),0))+IF(AND(general!$C$23&lt;=1,$C97&lt;=1),'draws%'!Q$5*(1-Q$4))</f>
        <v>0</v>
      </c>
      <c r="R97" s="542">
        <f>IF($C97=general!$C$27,R$4,IFERROR(($C97&lt;general!$C$23)*((1-R$4)*R$5)/(general!$C$23-1),0)+IFERROR(($C97&gt;=general!$C$23)*($C97&lt;general!$C$27)*((1-R$4)*R$6)/(general!$C$27-general!$C$23),0))+IF(AND(general!$C$23&lt;=1,$C97&lt;=1),'draws%'!R$5*(1-R$4))</f>
        <v>0</v>
      </c>
      <c r="S97" s="542">
        <f>IF(OR(C97=general!$C$27,C97=general!$C$27-1),50%,0)</f>
        <v>0</v>
      </c>
      <c r="T97" s="542">
        <f>(C97&gt;=general!$C$26-6)*(C97&lt;general!$C$26)*1/6*0.5+(C97=3)*0.25+(C97=9)*0.25</f>
        <v>0</v>
      </c>
      <c r="U97" s="542">
        <f>IF(C97='Development Cash Flow'!$C$6,$U$5,0)+IF(C97=general!$C$27,$U$6,0)</f>
        <v>0</v>
      </c>
      <c r="V97" s="542">
        <f>IF(C97=general!$C$28,1,0)</f>
        <v>0</v>
      </c>
      <c r="W97" s="542">
        <f t="shared" si="23"/>
        <v>0</v>
      </c>
      <c r="X97" s="542">
        <f>IF(C97=general!$C$23,1,0)</f>
        <v>0</v>
      </c>
      <c r="Y97" s="542">
        <f>IFERROR((C97&lt;general!$C$23)*Y$5/(general!$C$23),0)+IFERROR((C97&gt;=general!$C$23)*(C97&lt;=general!$C$27)*Y$6/(general!$C$27-general!$C$23+1),0)</f>
        <v>0</v>
      </c>
      <c r="Z97" s="542">
        <f>IFERROR(($C97&lt;general!$C$23)*Z$5/(general!$C$23),0)+IFERROR(($C97&gt;=general!$C$23)*($C97&lt;=general!$C$27)*Z$6/(general!$C$27-general!$C$23+1),0)*(1-$Z$4)+$Z$4*AF97</f>
        <v>0</v>
      </c>
      <c r="AA97" s="542">
        <f>MAX((IFERROR(($C97&lt;general!$C$23)*AA$5/(general!$C$23),0)+IFERROR(($C97&gt;=general!$C$23)*($C97&lt;=general!$C$27)*AA$6/(general!$C$27-general!$C$23+1),0)),0)</f>
        <v>0</v>
      </c>
      <c r="AB97" s="542">
        <f>MAX((IFERROR(($C97&lt;general!$C$23)*AB$5/(general!$C$23),0)+IFERROR(($C97&gt;=general!$C$23)*($C97&lt;=general!$C$27)*AB$6/(general!$C$27-general!$C$23+1),0)),0)</f>
        <v>0</v>
      </c>
      <c r="AC97" s="542">
        <f>MAX((IFERROR(($C97&lt;general!$C$23)*AC$5/(general!$C$23),0)+IFERROR(($C97&gt;=general!$C$23)*($C97&lt;=general!$C$27)*AC$6/(general!$C$27-general!$C$23+1),0)),0)</f>
        <v>0</v>
      </c>
      <c r="AD97" s="542">
        <f>MAX((IFERROR(($C97&lt;general!$C$23)*AD$5/(general!$C$23),0)+IFERROR(($C97&gt;=general!$C$23)*($C97&lt;=general!$C$27)*AD$6/(general!$C$27-general!$C$23+1),0)),0)</f>
        <v>0</v>
      </c>
      <c r="AE97" s="542">
        <f t="shared" si="20"/>
        <v>0</v>
      </c>
      <c r="AF97" s="542">
        <f>+SUMPRODUCT(--($C97=sales!$C$50:$C$54),sales!$D$50:$D$54)</f>
        <v>0</v>
      </c>
      <c r="AG97" s="542">
        <f>IF($C97=general!$C$28,AG$4,IFERROR(($C97&lt;general!$C$23)*((1-AG$4)*AG$5)/(general!$C$23-1),0)+IFERROR(($C97&gt;=general!$C$23)*($C97&lt;=general!$C$27)*((1-AG$4)*AG$6)/(general!$C$27-general!$C$23+1),0))+IF(AND(general!$C$23&lt;=1,$C97&lt;=1),'draws%'!AG$5*(1-AG$4))</f>
        <v>0</v>
      </c>
      <c r="AH97" s="542">
        <f>+IF($C97=general!$C$21,1,0)</f>
        <v>0</v>
      </c>
      <c r="AK97" s="524">
        <f>IF(A97&lt;=general!$D$27,IF(MONTH(A97)=11,1,IF(C97=general!$C$27,1,0)),)</f>
        <v>0</v>
      </c>
      <c r="AL97" s="524">
        <f>IF(AK97=1,COUNTIFS($C$8:$C$128,"&lt;="&amp;general!$C$27&amp;"",'draws%'!$AM$8:$AM$128,"="&amp;AM97&amp;""),0)</f>
        <v>0</v>
      </c>
      <c r="AM97" s="524">
        <f t="shared" si="18"/>
        <v>2034</v>
      </c>
      <c r="AN97" s="524"/>
    </row>
    <row r="98" spans="1:40" ht="14">
      <c r="A98" s="903">
        <f t="shared" si="21"/>
        <v>49003</v>
      </c>
      <c r="C98" s="897">
        <f t="shared" si="22"/>
        <v>90</v>
      </c>
      <c r="D98" s="542"/>
      <c r="E98" s="542">
        <f>IF($C98=$C$2,0,IF(OR($C98=0,$C98&lt;general!$C$23,$C98&gt;$C$2),0,E$2/$C$3+NORMDIST($C98-general!$C$23+1,$C$3/2,E$1,1)-NORMDIST($C97-general!$C$23+1,$C$3/2,E$1,1)))+IF($C98=$C$2,1-SUM(E$8:E97),0)</f>
        <v>0</v>
      </c>
      <c r="F98" s="542">
        <f>IF($C98=$C$2,0,IF(OR($C98=0,$C98&lt;general!$C$23,$C98&gt;$C$2),0,F$2/$C$3+NORMDIST($C98-general!$C$23+1,$C$3/2,F$1,1)-NORMDIST($C97-general!$C$23+1,$C$3/2,F$1,1)))+IF($C98=$C$2,1-SUM(F$8:F97),0)</f>
        <v>0</v>
      </c>
      <c r="G98" s="542">
        <f>IF($C98=$C$2,0,IF(OR($C98=0,$C98&lt;general!$C$23,$C98&gt;$C$2),0,G$2/$C$3+NORMDIST($C98-general!$C$23+1,$C$3/2,G$1,1)-NORMDIST($C97-general!$C$23+1,$C$3/2,G$1,1)))+IF($C98=$C$2,1-SUM(G$8:G97),0)</f>
        <v>0</v>
      </c>
      <c r="H98" s="542">
        <f>IF(C98=$C$2,0,IF(OR(C98=0,C98&lt;1,C98&gt;$C$2),0,$H$2/$C$2+NORMDIST(C98,$C$2/2,$H$1,1)-NORMDIST(C97,$C$2/2,$H$1,1)))+IF(C98=$C$2,1-SUM($H$9:H97),0)</f>
        <v>0</v>
      </c>
      <c r="I98" s="542">
        <f>IF(C98=$C$2,0,IF(OR(C98=0,C98&lt;1,C98&gt;$C$2),0,$I$2/$C$2+NORMDIST(C98,$C$2/2,$I$1,1)-NORMDIST(C97,$C$2/2,$I$1,1)))+IF(C98=$C$2,1-SUM($I$9:I97),0)</f>
        <v>0</v>
      </c>
      <c r="J98" s="542">
        <f>IF(C98=$C$2,0,IF(OR(C98=0,C98&lt;1,C98&gt;$C$2),0,$J$2/$C$2+NORMDIST(C98,$C$2/2,$J$1,1)-NORMDIST(C97,$C$2/2,$J$1,1)))+IF(C98=$C$2,1-SUM($J$9:J97),0)</f>
        <v>0</v>
      </c>
      <c r="K98" s="542">
        <f t="shared" si="19"/>
        <v>0</v>
      </c>
      <c r="L98" s="542">
        <f t="shared" si="16"/>
        <v>0</v>
      </c>
      <c r="M98" s="542">
        <f>IF($C98&gt;$C$2,IF($C98=sales!$F$36,M$4,0),(1-M$4)/$C$2)</f>
        <v>0</v>
      </c>
      <c r="N98" s="542">
        <f>IF(ISEVEN($C$2),IF(C98&gt;$C$2,0,IF(C98&lt;=$C$2/2,C98,C98-1-2*(SUMPRODUCT(--($C$8:C98&gt;$C$2/2))-1))/(($C$2/2)*($C$2/2+1))),0)+IF(ISODD($C$2),IF(C98&gt;$C$2,0,IF(C98-1&lt;=$C$2/2,C98,C98-2*(SUMPRODUCT(--($C$8:C98&gt;$C$2/2))-1))/((INT($C$2/2))*(INT($C$2/2)+1)+ROUNDUP($C$2/2,0))),0)</f>
        <v>0</v>
      </c>
      <c r="O98" s="542"/>
      <c r="P98" s="542">
        <f t="shared" si="17"/>
        <v>0</v>
      </c>
      <c r="Q98" s="542">
        <f>IF($C98=general!$C$28,Q$4,IFERROR(($C98&lt;general!$C$23)*((1-Q$4)*Q$5)/(general!$C$23-1),0)+IFERROR(($C98&gt;=general!$C$23)*($C98&lt;=general!$C$27)*((1-Q$4)*Q$6)/(general!$C$27-general!$C$23+1),0))+IF(AND(general!$C$23&lt;=1,$C98&lt;=1),'draws%'!Q$5*(1-Q$4))</f>
        <v>0</v>
      </c>
      <c r="R98" s="542">
        <f>IF($C98=general!$C$27,R$4,IFERROR(($C98&lt;general!$C$23)*((1-R$4)*R$5)/(general!$C$23-1),0)+IFERROR(($C98&gt;=general!$C$23)*($C98&lt;general!$C$27)*((1-R$4)*R$6)/(general!$C$27-general!$C$23),0))+IF(AND(general!$C$23&lt;=1,$C98&lt;=1),'draws%'!R$5*(1-R$4))</f>
        <v>0</v>
      </c>
      <c r="S98" s="542">
        <f>IF(OR(C98=general!$C$27,C98=general!$C$27-1),50%,0)</f>
        <v>0</v>
      </c>
      <c r="T98" s="542">
        <f>(C98&gt;=general!$C$26-6)*(C98&lt;general!$C$26)*1/6*0.5+(C98=3)*0.25+(C98=9)*0.25</f>
        <v>0</v>
      </c>
      <c r="U98" s="542">
        <f>IF(C98='Development Cash Flow'!$C$6,$U$5,0)+IF(C98=general!$C$27,$U$6,0)</f>
        <v>0</v>
      </c>
      <c r="V98" s="542">
        <f>IF(C98=general!$C$28,1,0)</f>
        <v>0</v>
      </c>
      <c r="W98" s="542">
        <f t="shared" si="23"/>
        <v>0</v>
      </c>
      <c r="X98" s="542">
        <f>IF(C98=general!$C$23,1,0)</f>
        <v>0</v>
      </c>
      <c r="Y98" s="542">
        <f>IFERROR((C98&lt;general!$C$23)*Y$5/(general!$C$23),0)+IFERROR((C98&gt;=general!$C$23)*(C98&lt;=general!$C$27)*Y$6/(general!$C$27-general!$C$23+1),0)</f>
        <v>0</v>
      </c>
      <c r="Z98" s="542">
        <f>IFERROR(($C98&lt;general!$C$23)*Z$5/(general!$C$23),0)+IFERROR(($C98&gt;=general!$C$23)*($C98&lt;=general!$C$27)*Z$6/(general!$C$27-general!$C$23+1),0)*(1-$Z$4)+$Z$4*AF98</f>
        <v>0</v>
      </c>
      <c r="AA98" s="542">
        <f>MAX((IFERROR(($C98&lt;general!$C$23)*AA$5/(general!$C$23),0)+IFERROR(($C98&gt;=general!$C$23)*($C98&lt;=general!$C$27)*AA$6/(general!$C$27-general!$C$23+1),0)),0)</f>
        <v>0</v>
      </c>
      <c r="AB98" s="542">
        <f>MAX((IFERROR(($C98&lt;general!$C$23)*AB$5/(general!$C$23),0)+IFERROR(($C98&gt;=general!$C$23)*($C98&lt;=general!$C$27)*AB$6/(general!$C$27-general!$C$23+1),0)),0)</f>
        <v>0</v>
      </c>
      <c r="AC98" s="542">
        <f>MAX((IFERROR(($C98&lt;general!$C$23)*AC$5/(general!$C$23),0)+IFERROR(($C98&gt;=general!$C$23)*($C98&lt;=general!$C$27)*AC$6/(general!$C$27-general!$C$23+1),0)),0)</f>
        <v>0</v>
      </c>
      <c r="AD98" s="542">
        <f>MAX((IFERROR(($C98&lt;general!$C$23)*AD$5/(general!$C$23),0)+IFERROR(($C98&gt;=general!$C$23)*($C98&lt;=general!$C$27)*AD$6/(general!$C$27-general!$C$23+1),0)),0)</f>
        <v>0</v>
      </c>
      <c r="AE98" s="542">
        <f t="shared" si="20"/>
        <v>0</v>
      </c>
      <c r="AF98" s="542">
        <f>+SUMPRODUCT(--($C98=sales!$C$50:$C$54),sales!$D$50:$D$54)</f>
        <v>0</v>
      </c>
      <c r="AG98" s="542">
        <f>IF($C98=general!$C$28,AG$4,IFERROR(($C98&lt;general!$C$23)*((1-AG$4)*AG$5)/(general!$C$23-1),0)+IFERROR(($C98&gt;=general!$C$23)*($C98&lt;=general!$C$27)*((1-AG$4)*AG$6)/(general!$C$27-general!$C$23+1),0))+IF(AND(general!$C$23&lt;=1,$C98&lt;=1),'draws%'!AG$5*(1-AG$4))</f>
        <v>0</v>
      </c>
      <c r="AH98" s="542">
        <f>+IF($C98=general!$C$21,1,0)</f>
        <v>0</v>
      </c>
      <c r="AK98" s="524">
        <f>IF(A98&lt;=general!$D$27,IF(MONTH(A98)=11,1,IF(C98=general!$C$27,1,0)),)</f>
        <v>0</v>
      </c>
      <c r="AL98" s="524">
        <f>IF(AK98=1,COUNTIFS($C$8:$C$128,"&lt;="&amp;general!$C$27&amp;"",'draws%'!$AM$8:$AM$128,"="&amp;AM98&amp;""),0)</f>
        <v>0</v>
      </c>
      <c r="AM98" s="524">
        <f t="shared" si="18"/>
        <v>2034</v>
      </c>
      <c r="AN98" s="524"/>
    </row>
    <row r="99" spans="1:40" ht="14">
      <c r="A99" s="903">
        <f t="shared" si="21"/>
        <v>49034</v>
      </c>
      <c r="C99" s="897">
        <f t="shared" si="22"/>
        <v>91</v>
      </c>
      <c r="D99" s="542"/>
      <c r="E99" s="542">
        <f>IF($C99=$C$2,0,IF(OR($C99=0,$C99&lt;general!$C$23,$C99&gt;$C$2),0,E$2/$C$3+NORMDIST($C99-general!$C$23+1,$C$3/2,E$1,1)-NORMDIST($C98-general!$C$23+1,$C$3/2,E$1,1)))+IF($C99=$C$2,1-SUM(E$8:E98),0)</f>
        <v>0</v>
      </c>
      <c r="F99" s="542">
        <f>IF($C99=$C$2,0,IF(OR($C99=0,$C99&lt;general!$C$23,$C99&gt;$C$2),0,F$2/$C$3+NORMDIST($C99-general!$C$23+1,$C$3/2,F$1,1)-NORMDIST($C98-general!$C$23+1,$C$3/2,F$1,1)))+IF($C99=$C$2,1-SUM(F$8:F98),0)</f>
        <v>0</v>
      </c>
      <c r="G99" s="542">
        <f>IF($C99=$C$2,0,IF(OR($C99=0,$C99&lt;general!$C$23,$C99&gt;$C$2),0,G$2/$C$3+NORMDIST($C99-general!$C$23+1,$C$3/2,G$1,1)-NORMDIST($C98-general!$C$23+1,$C$3/2,G$1,1)))+IF($C99=$C$2,1-SUM(G$8:G98),0)</f>
        <v>0</v>
      </c>
      <c r="H99" s="542">
        <f>IF(C99=$C$2,0,IF(OR(C99=0,C99&lt;1,C99&gt;$C$2),0,$H$2/$C$2+NORMDIST(C99,$C$2/2,$H$1,1)-NORMDIST(C98,$C$2/2,$H$1,1)))+IF(C99=$C$2,1-SUM($H$9:H98),0)</f>
        <v>0</v>
      </c>
      <c r="I99" s="542">
        <f>IF(C99=$C$2,0,IF(OR(C99=0,C99&lt;1,C99&gt;$C$2),0,$I$2/$C$2+NORMDIST(C99,$C$2/2,$I$1,1)-NORMDIST(C98,$C$2/2,$I$1,1)))+IF(C99=$C$2,1-SUM($I$9:I98),0)</f>
        <v>0</v>
      </c>
      <c r="J99" s="542">
        <f>IF(C99=$C$2,0,IF(OR(C99=0,C99&lt;1,C99&gt;$C$2),0,$J$2/$C$2+NORMDIST(C99,$C$2/2,$J$1,1)-NORMDIST(C98,$C$2/2,$J$1,1)))+IF(C99=$C$2,1-SUM($J$9:J98),0)</f>
        <v>0</v>
      </c>
      <c r="K99" s="542">
        <f t="shared" si="19"/>
        <v>0</v>
      </c>
      <c r="L99" s="542">
        <f t="shared" si="16"/>
        <v>0</v>
      </c>
      <c r="M99" s="542">
        <f>IF($C99&gt;$C$2,IF($C99=sales!$F$36,M$4,0),(1-M$4)/$C$2)</f>
        <v>0</v>
      </c>
      <c r="N99" s="542">
        <f>IF(ISEVEN($C$2),IF(C99&gt;$C$2,0,IF(C99&lt;=$C$2/2,C99,C99-1-2*(SUMPRODUCT(--($C$8:C99&gt;$C$2/2))-1))/(($C$2/2)*($C$2/2+1))),0)+IF(ISODD($C$2),IF(C99&gt;$C$2,0,IF(C99-1&lt;=$C$2/2,C99,C99-2*(SUMPRODUCT(--($C$8:C99&gt;$C$2/2))-1))/((INT($C$2/2))*(INT($C$2/2)+1)+ROUNDUP($C$2/2,0))),0)</f>
        <v>0</v>
      </c>
      <c r="O99" s="542"/>
      <c r="P99" s="542">
        <f t="shared" si="17"/>
        <v>0</v>
      </c>
      <c r="Q99" s="542">
        <f>IF($C99=general!$C$28,Q$4,IFERROR(($C99&lt;general!$C$23)*((1-Q$4)*Q$5)/(general!$C$23-1),0)+IFERROR(($C99&gt;=general!$C$23)*($C99&lt;=general!$C$27)*((1-Q$4)*Q$6)/(general!$C$27-general!$C$23+1),0))+IF(AND(general!$C$23&lt;=1,$C99&lt;=1),'draws%'!Q$5*(1-Q$4))</f>
        <v>0</v>
      </c>
      <c r="R99" s="542">
        <f>IF($C99=general!$C$27,R$4,IFERROR(($C99&lt;general!$C$23)*((1-R$4)*R$5)/(general!$C$23-1),0)+IFERROR(($C99&gt;=general!$C$23)*($C99&lt;general!$C$27)*((1-R$4)*R$6)/(general!$C$27-general!$C$23),0))+IF(AND(general!$C$23&lt;=1,$C99&lt;=1),'draws%'!R$5*(1-R$4))</f>
        <v>0</v>
      </c>
      <c r="S99" s="542">
        <f>IF(OR(C99=general!$C$27,C99=general!$C$27-1),50%,0)</f>
        <v>0</v>
      </c>
      <c r="T99" s="542">
        <f>(C99&gt;=general!$C$26-6)*(C99&lt;general!$C$26)*1/6*0.5+(C99=3)*0.25+(C99=9)*0.25</f>
        <v>0</v>
      </c>
      <c r="U99" s="542">
        <f>IF(C99='Development Cash Flow'!$C$6,$U$5,0)+IF(C99=general!$C$27,$U$6,0)</f>
        <v>0</v>
      </c>
      <c r="V99" s="542">
        <f>IF(C99=general!$C$28,1,0)</f>
        <v>0</v>
      </c>
      <c r="W99" s="542">
        <f t="shared" si="23"/>
        <v>0</v>
      </c>
      <c r="X99" s="542">
        <f>IF(C99=general!$C$23,1,0)</f>
        <v>0</v>
      </c>
      <c r="Y99" s="542">
        <f>IFERROR((C99&lt;general!$C$23)*Y$5/(general!$C$23),0)+IFERROR((C99&gt;=general!$C$23)*(C99&lt;=general!$C$27)*Y$6/(general!$C$27-general!$C$23+1),0)</f>
        <v>0</v>
      </c>
      <c r="Z99" s="542">
        <f>IFERROR(($C99&lt;general!$C$23)*Z$5/(general!$C$23),0)+IFERROR(($C99&gt;=general!$C$23)*($C99&lt;=general!$C$27)*Z$6/(general!$C$27-general!$C$23+1),0)*(1-$Z$4)+$Z$4*AF99</f>
        <v>0</v>
      </c>
      <c r="AA99" s="542">
        <f>MAX((IFERROR(($C99&lt;general!$C$23)*AA$5/(general!$C$23),0)+IFERROR(($C99&gt;=general!$C$23)*($C99&lt;=general!$C$27)*AA$6/(general!$C$27-general!$C$23+1),0)),0)</f>
        <v>0</v>
      </c>
      <c r="AB99" s="542">
        <f>MAX((IFERROR(($C99&lt;general!$C$23)*AB$5/(general!$C$23),0)+IFERROR(($C99&gt;=general!$C$23)*($C99&lt;=general!$C$27)*AB$6/(general!$C$27-general!$C$23+1),0)),0)</f>
        <v>0</v>
      </c>
      <c r="AC99" s="542">
        <f>MAX((IFERROR(($C99&lt;general!$C$23)*AC$5/(general!$C$23),0)+IFERROR(($C99&gt;=general!$C$23)*($C99&lt;=general!$C$27)*AC$6/(general!$C$27-general!$C$23+1),0)),0)</f>
        <v>0</v>
      </c>
      <c r="AD99" s="542">
        <f>MAX((IFERROR(($C99&lt;general!$C$23)*AD$5/(general!$C$23),0)+IFERROR(($C99&gt;=general!$C$23)*($C99&lt;=general!$C$27)*AD$6/(general!$C$27-general!$C$23+1),0)),0)</f>
        <v>0</v>
      </c>
      <c r="AE99" s="542">
        <f t="shared" si="20"/>
        <v>0</v>
      </c>
      <c r="AF99" s="542">
        <f>+SUMPRODUCT(--($C99=sales!$C$50:$C$54),sales!$D$50:$D$54)</f>
        <v>0</v>
      </c>
      <c r="AG99" s="542">
        <f>IF($C99=general!$C$28,AG$4,IFERROR(($C99&lt;general!$C$23)*((1-AG$4)*AG$5)/(general!$C$23-1),0)+IFERROR(($C99&gt;=general!$C$23)*($C99&lt;=general!$C$27)*((1-AG$4)*AG$6)/(general!$C$27-general!$C$23+1),0))+IF(AND(general!$C$23&lt;=1,$C99&lt;=1),'draws%'!AG$5*(1-AG$4))</f>
        <v>0</v>
      </c>
      <c r="AH99" s="542">
        <f>+IF($C99=general!$C$21,1,0)</f>
        <v>0</v>
      </c>
      <c r="AK99" s="524">
        <f>IF(A99&lt;=general!$D$27,IF(MONTH(A99)=11,1,IF(C99=general!$C$27,1,0)),)</f>
        <v>0</v>
      </c>
      <c r="AL99" s="524">
        <f>IF(AK99=1,COUNTIFS($C$8:$C$128,"&lt;="&amp;general!$C$27&amp;"",'draws%'!$AM$8:$AM$128,"="&amp;AM99&amp;""),0)</f>
        <v>0</v>
      </c>
      <c r="AM99" s="524">
        <f t="shared" si="18"/>
        <v>2034</v>
      </c>
      <c r="AN99" s="524"/>
    </row>
    <row r="100" spans="1:40" ht="14">
      <c r="A100" s="903">
        <f t="shared" si="21"/>
        <v>49064</v>
      </c>
      <c r="C100" s="897">
        <f t="shared" si="22"/>
        <v>92</v>
      </c>
      <c r="D100" s="542"/>
      <c r="E100" s="542">
        <f>IF($C100=$C$2,0,IF(OR($C100=0,$C100&lt;general!$C$23,$C100&gt;$C$2),0,E$2/$C$3+NORMDIST($C100-general!$C$23+1,$C$3/2,E$1,1)-NORMDIST($C99-general!$C$23+1,$C$3/2,E$1,1)))+IF($C100=$C$2,1-SUM(E$8:E99),0)</f>
        <v>0</v>
      </c>
      <c r="F100" s="542">
        <f>IF($C100=$C$2,0,IF(OR($C100=0,$C100&lt;general!$C$23,$C100&gt;$C$2),0,F$2/$C$3+NORMDIST($C100-general!$C$23+1,$C$3/2,F$1,1)-NORMDIST($C99-general!$C$23+1,$C$3/2,F$1,1)))+IF($C100=$C$2,1-SUM(F$8:F99),0)</f>
        <v>0</v>
      </c>
      <c r="G100" s="542">
        <f>IF($C100=$C$2,0,IF(OR($C100=0,$C100&lt;general!$C$23,$C100&gt;$C$2),0,G$2/$C$3+NORMDIST($C100-general!$C$23+1,$C$3/2,G$1,1)-NORMDIST($C99-general!$C$23+1,$C$3/2,G$1,1)))+IF($C100=$C$2,1-SUM(G$8:G99),0)</f>
        <v>0</v>
      </c>
      <c r="H100" s="542">
        <f>IF(C100=$C$2,0,IF(OR(C100=0,C100&lt;1,C100&gt;$C$2),0,$H$2/$C$2+NORMDIST(C100,$C$2/2,$H$1,1)-NORMDIST(C99,$C$2/2,$H$1,1)))+IF(C100=$C$2,1-SUM($H$9:H99),0)</f>
        <v>0</v>
      </c>
      <c r="I100" s="542">
        <f>IF(C100=$C$2,0,IF(OR(C100=0,C100&lt;1,C100&gt;$C$2),0,$I$2/$C$2+NORMDIST(C100,$C$2/2,$I$1,1)-NORMDIST(C99,$C$2/2,$I$1,1)))+IF(C100=$C$2,1-SUM($I$9:I99),0)</f>
        <v>0</v>
      </c>
      <c r="J100" s="542">
        <f>IF(C100=$C$2,0,IF(OR(C100=0,C100&lt;1,C100&gt;$C$2),0,$J$2/$C$2+NORMDIST(C100,$C$2/2,$J$1,1)-NORMDIST(C99,$C$2/2,$J$1,1)))+IF(C100=$C$2,1-SUM($J$9:J99),0)</f>
        <v>0</v>
      </c>
      <c r="K100" s="542">
        <f t="shared" si="19"/>
        <v>0</v>
      </c>
      <c r="L100" s="542">
        <f t="shared" si="16"/>
        <v>0</v>
      </c>
      <c r="M100" s="542">
        <f>IF($C100&gt;$C$2,IF($C100=sales!$F$36,M$4,0),(1-M$4)/$C$2)</f>
        <v>0</v>
      </c>
      <c r="N100" s="542">
        <f>IF(ISEVEN($C$2),IF(C100&gt;$C$2,0,IF(C100&lt;=$C$2/2,C100,C100-1-2*(SUMPRODUCT(--($C$8:C100&gt;$C$2/2))-1))/(($C$2/2)*($C$2/2+1))),0)+IF(ISODD($C$2),IF(C100&gt;$C$2,0,IF(C100-1&lt;=$C$2/2,C100,C100-2*(SUMPRODUCT(--($C$8:C100&gt;$C$2/2))-1))/((INT($C$2/2))*(INT($C$2/2)+1)+ROUNDUP($C$2/2,0))),0)</f>
        <v>0</v>
      </c>
      <c r="O100" s="542"/>
      <c r="P100" s="542">
        <f t="shared" si="17"/>
        <v>0</v>
      </c>
      <c r="Q100" s="542">
        <f>IF($C100=general!$C$28,Q$4,IFERROR(($C100&lt;general!$C$23)*((1-Q$4)*Q$5)/(general!$C$23-1),0)+IFERROR(($C100&gt;=general!$C$23)*($C100&lt;=general!$C$27)*((1-Q$4)*Q$6)/(general!$C$27-general!$C$23+1),0))+IF(AND(general!$C$23&lt;=1,$C100&lt;=1),'draws%'!Q$5*(1-Q$4))</f>
        <v>0</v>
      </c>
      <c r="R100" s="542">
        <f>IF($C100=general!$C$27,R$4,IFERROR(($C100&lt;general!$C$23)*((1-R$4)*R$5)/(general!$C$23-1),0)+IFERROR(($C100&gt;=general!$C$23)*($C100&lt;general!$C$27)*((1-R$4)*R$6)/(general!$C$27-general!$C$23),0))+IF(AND(general!$C$23&lt;=1,$C100&lt;=1),'draws%'!R$5*(1-R$4))</f>
        <v>0</v>
      </c>
      <c r="S100" s="542">
        <f>IF(OR(C100=general!$C$27,C100=general!$C$27-1),50%,0)</f>
        <v>0</v>
      </c>
      <c r="T100" s="542">
        <f>(C100&gt;=general!$C$26-6)*(C100&lt;general!$C$26)*1/6*0.5+(C100=3)*0.25+(C100=9)*0.25</f>
        <v>0</v>
      </c>
      <c r="U100" s="542">
        <f>IF(C100='Development Cash Flow'!$C$6,$U$5,0)+IF(C100=general!$C$27,$U$6,0)</f>
        <v>0</v>
      </c>
      <c r="V100" s="542">
        <f>IF(C100=general!$C$28,1,0)</f>
        <v>0</v>
      </c>
      <c r="W100" s="542">
        <f t="shared" si="23"/>
        <v>0</v>
      </c>
      <c r="X100" s="542">
        <f>IF(C100=general!$C$23,1,0)</f>
        <v>0</v>
      </c>
      <c r="Y100" s="542">
        <f>IFERROR((C100&lt;general!$C$23)*Y$5/(general!$C$23),0)+IFERROR((C100&gt;=general!$C$23)*(C100&lt;=general!$C$27)*Y$6/(general!$C$27-general!$C$23+1),0)</f>
        <v>0</v>
      </c>
      <c r="Z100" s="542">
        <f>IFERROR(($C100&lt;general!$C$23)*Z$5/(general!$C$23),0)+IFERROR(($C100&gt;=general!$C$23)*($C100&lt;=general!$C$27)*Z$6/(general!$C$27-general!$C$23+1),0)*(1-$Z$4)+$Z$4*AF100</f>
        <v>0</v>
      </c>
      <c r="AA100" s="542">
        <f>MAX((IFERROR(($C100&lt;general!$C$23)*AA$5/(general!$C$23),0)+IFERROR(($C100&gt;=general!$C$23)*($C100&lt;=general!$C$27)*AA$6/(general!$C$27-general!$C$23+1),0)),0)</f>
        <v>0</v>
      </c>
      <c r="AB100" s="542">
        <f>MAX((IFERROR(($C100&lt;general!$C$23)*AB$5/(general!$C$23),0)+IFERROR(($C100&gt;=general!$C$23)*($C100&lt;=general!$C$27)*AB$6/(general!$C$27-general!$C$23+1),0)),0)</f>
        <v>0</v>
      </c>
      <c r="AC100" s="542">
        <f>MAX((IFERROR(($C100&lt;general!$C$23)*AC$5/(general!$C$23),0)+IFERROR(($C100&gt;=general!$C$23)*($C100&lt;=general!$C$27)*AC$6/(general!$C$27-general!$C$23+1),0)),0)</f>
        <v>0</v>
      </c>
      <c r="AD100" s="542">
        <f>MAX((IFERROR(($C100&lt;general!$C$23)*AD$5/(general!$C$23),0)+IFERROR(($C100&gt;=general!$C$23)*($C100&lt;=general!$C$27)*AD$6/(general!$C$27-general!$C$23+1),0)),0)</f>
        <v>0</v>
      </c>
      <c r="AE100" s="542">
        <f t="shared" si="20"/>
        <v>0</v>
      </c>
      <c r="AF100" s="542">
        <f>+SUMPRODUCT(--($C100=sales!$C$50:$C$54),sales!$D$50:$D$54)</f>
        <v>0</v>
      </c>
      <c r="AG100" s="542">
        <f>IF($C100=general!$C$28,AG$4,IFERROR(($C100&lt;general!$C$23)*((1-AG$4)*AG$5)/(general!$C$23-1),0)+IFERROR(($C100&gt;=general!$C$23)*($C100&lt;=general!$C$27)*((1-AG$4)*AG$6)/(general!$C$27-general!$C$23+1),0))+IF(AND(general!$C$23&lt;=1,$C100&lt;=1),'draws%'!AG$5*(1-AG$4))</f>
        <v>0</v>
      </c>
      <c r="AH100" s="542">
        <f>+IF($C100=general!$C$21,1,0)</f>
        <v>0</v>
      </c>
      <c r="AK100" s="524">
        <f>IF(A100&lt;=general!$D$27,IF(MONTH(A100)=11,1,IF(C100=general!$C$27,1,0)),)</f>
        <v>0</v>
      </c>
      <c r="AL100" s="524">
        <f>IF(AK100=1,COUNTIFS($C$8:$C$128,"&lt;="&amp;general!$C$27&amp;"",'draws%'!$AM$8:$AM$128,"="&amp;AM100&amp;""),0)</f>
        <v>0</v>
      </c>
      <c r="AM100" s="524">
        <f t="shared" si="18"/>
        <v>2034</v>
      </c>
      <c r="AN100" s="524"/>
    </row>
    <row r="101" spans="1:40" ht="14">
      <c r="A101" s="903">
        <f t="shared" si="21"/>
        <v>49095</v>
      </c>
      <c r="C101" s="897">
        <f t="shared" si="22"/>
        <v>93</v>
      </c>
      <c r="D101" s="542"/>
      <c r="E101" s="542">
        <f>IF($C101=$C$2,0,IF(OR($C101=0,$C101&lt;general!$C$23,$C101&gt;$C$2),0,E$2/$C$3+NORMDIST($C101-general!$C$23+1,$C$3/2,E$1,1)-NORMDIST($C100-general!$C$23+1,$C$3/2,E$1,1)))+IF($C101=$C$2,1-SUM(E$8:E100),0)</f>
        <v>0</v>
      </c>
      <c r="F101" s="542">
        <f>IF($C101=$C$2,0,IF(OR($C101=0,$C101&lt;general!$C$23,$C101&gt;$C$2),0,F$2/$C$3+NORMDIST($C101-general!$C$23+1,$C$3/2,F$1,1)-NORMDIST($C100-general!$C$23+1,$C$3/2,F$1,1)))+IF($C101=$C$2,1-SUM(F$8:F100),0)</f>
        <v>0</v>
      </c>
      <c r="G101" s="542">
        <f>IF($C101=$C$2,0,IF(OR($C101=0,$C101&lt;general!$C$23,$C101&gt;$C$2),0,G$2/$C$3+NORMDIST($C101-general!$C$23+1,$C$3/2,G$1,1)-NORMDIST($C100-general!$C$23+1,$C$3/2,G$1,1)))+IF($C101=$C$2,1-SUM(G$8:G100),0)</f>
        <v>0</v>
      </c>
      <c r="H101" s="542">
        <f>IF(C101=$C$2,0,IF(OR(C101=0,C101&lt;1,C101&gt;$C$2),0,$H$2/$C$2+NORMDIST(C101,$C$2/2,$H$1,1)-NORMDIST(C100,$C$2/2,$H$1,1)))+IF(C101=$C$2,1-SUM($H$9:H100),0)</f>
        <v>0</v>
      </c>
      <c r="I101" s="542">
        <f>IF(C101=$C$2,0,IF(OR(C101=0,C101&lt;1,C101&gt;$C$2),0,$I$2/$C$2+NORMDIST(C101,$C$2/2,$I$1,1)-NORMDIST(C100,$C$2/2,$I$1,1)))+IF(C101=$C$2,1-SUM($I$9:I100),0)</f>
        <v>0</v>
      </c>
      <c r="J101" s="542">
        <f>IF(C101=$C$2,0,IF(OR(C101=0,C101&lt;1,C101&gt;$C$2),0,$J$2/$C$2+NORMDIST(C101,$C$2/2,$J$1,1)-NORMDIST(C100,$C$2/2,$J$1,1)))+IF(C101=$C$2,1-SUM($J$9:J100),0)</f>
        <v>0</v>
      </c>
      <c r="K101" s="542">
        <f t="shared" si="19"/>
        <v>0</v>
      </c>
      <c r="L101" s="542">
        <f t="shared" si="16"/>
        <v>0</v>
      </c>
      <c r="M101" s="542">
        <f>IF($C101&gt;$C$2,IF($C101=sales!$F$36,M$4,0),(1-M$4)/$C$2)</f>
        <v>0</v>
      </c>
      <c r="N101" s="542">
        <f>IF(ISEVEN($C$2),IF(C101&gt;$C$2,0,IF(C101&lt;=$C$2/2,C101,C101-1-2*(SUMPRODUCT(--($C$8:C101&gt;$C$2/2))-1))/(($C$2/2)*($C$2/2+1))),0)+IF(ISODD($C$2),IF(C101&gt;$C$2,0,IF(C101-1&lt;=$C$2/2,C101,C101-2*(SUMPRODUCT(--($C$8:C101&gt;$C$2/2))-1))/((INT($C$2/2))*(INT($C$2/2)+1)+ROUNDUP($C$2/2,0))),0)</f>
        <v>0</v>
      </c>
      <c r="O101" s="542"/>
      <c r="P101" s="542">
        <f t="shared" si="17"/>
        <v>0</v>
      </c>
      <c r="Q101" s="542">
        <f>IF($C101=general!$C$28,Q$4,IFERROR(($C101&lt;general!$C$23)*((1-Q$4)*Q$5)/(general!$C$23-1),0)+IFERROR(($C101&gt;=general!$C$23)*($C101&lt;=general!$C$27)*((1-Q$4)*Q$6)/(general!$C$27-general!$C$23+1),0))+IF(AND(general!$C$23&lt;=1,$C101&lt;=1),'draws%'!Q$5*(1-Q$4))</f>
        <v>0</v>
      </c>
      <c r="R101" s="542">
        <f>IF($C101=general!$C$27,R$4,IFERROR(($C101&lt;general!$C$23)*((1-R$4)*R$5)/(general!$C$23-1),0)+IFERROR(($C101&gt;=general!$C$23)*($C101&lt;general!$C$27)*((1-R$4)*R$6)/(general!$C$27-general!$C$23),0))+IF(AND(general!$C$23&lt;=1,$C101&lt;=1),'draws%'!R$5*(1-R$4))</f>
        <v>0</v>
      </c>
      <c r="S101" s="542">
        <f>IF(OR(C101=general!$C$27,C101=general!$C$27-1),50%,0)</f>
        <v>0</v>
      </c>
      <c r="T101" s="542">
        <f>(C101&gt;=general!$C$26-6)*(C101&lt;general!$C$26)*1/6*0.5+(C101=3)*0.25+(C101=9)*0.25</f>
        <v>0</v>
      </c>
      <c r="U101" s="542">
        <f>IF(C101='Development Cash Flow'!$C$6,$U$5,0)+IF(C101=general!$C$27,$U$6,0)</f>
        <v>0</v>
      </c>
      <c r="V101" s="542">
        <f>IF(C101=general!$C$28,1,0)</f>
        <v>0</v>
      </c>
      <c r="W101" s="542">
        <f t="shared" si="23"/>
        <v>0</v>
      </c>
      <c r="X101" s="542">
        <f>IF(C101=general!$C$23,1,0)</f>
        <v>0</v>
      </c>
      <c r="Y101" s="542">
        <f>IFERROR((C101&lt;general!$C$23)*Y$5/(general!$C$23),0)+IFERROR((C101&gt;=general!$C$23)*(C101&lt;=general!$C$27)*Y$6/(general!$C$27-general!$C$23+1),0)</f>
        <v>0</v>
      </c>
      <c r="Z101" s="542">
        <f>IFERROR(($C101&lt;general!$C$23)*Z$5/(general!$C$23),0)+IFERROR(($C101&gt;=general!$C$23)*($C101&lt;=general!$C$27)*Z$6/(general!$C$27-general!$C$23+1),0)*(1-$Z$4)+$Z$4*AF101</f>
        <v>0</v>
      </c>
      <c r="AA101" s="542">
        <f>MAX((IFERROR(($C101&lt;general!$C$23)*AA$5/(general!$C$23),0)+IFERROR(($C101&gt;=general!$C$23)*($C101&lt;=general!$C$27)*AA$6/(general!$C$27-general!$C$23+1),0)),0)</f>
        <v>0</v>
      </c>
      <c r="AB101" s="542">
        <f>MAX((IFERROR(($C101&lt;general!$C$23)*AB$5/(general!$C$23),0)+IFERROR(($C101&gt;=general!$C$23)*($C101&lt;=general!$C$27)*AB$6/(general!$C$27-general!$C$23+1),0)),0)</f>
        <v>0</v>
      </c>
      <c r="AC101" s="542">
        <f>MAX((IFERROR(($C101&lt;general!$C$23)*AC$5/(general!$C$23),0)+IFERROR(($C101&gt;=general!$C$23)*($C101&lt;=general!$C$27)*AC$6/(general!$C$27-general!$C$23+1),0)),0)</f>
        <v>0</v>
      </c>
      <c r="AD101" s="542">
        <f>MAX((IFERROR(($C101&lt;general!$C$23)*AD$5/(general!$C$23),0)+IFERROR(($C101&gt;=general!$C$23)*($C101&lt;=general!$C$27)*AD$6/(general!$C$27-general!$C$23+1),0)),0)</f>
        <v>0</v>
      </c>
      <c r="AE101" s="542">
        <f t="shared" si="20"/>
        <v>0</v>
      </c>
      <c r="AF101" s="542">
        <f>+SUMPRODUCT(--($C101=sales!$C$50:$C$54),sales!$D$50:$D$54)</f>
        <v>0</v>
      </c>
      <c r="AG101" s="542">
        <f>IF($C101=general!$C$28,AG$4,IFERROR(($C101&lt;general!$C$23)*((1-AG$4)*AG$5)/(general!$C$23-1),0)+IFERROR(($C101&gt;=general!$C$23)*($C101&lt;=general!$C$27)*((1-AG$4)*AG$6)/(general!$C$27-general!$C$23+1),0))+IF(AND(general!$C$23&lt;=1,$C101&lt;=1),'draws%'!AG$5*(1-AG$4))</f>
        <v>0</v>
      </c>
      <c r="AH101" s="542">
        <f>+IF($C101=general!$C$21,1,0)</f>
        <v>0</v>
      </c>
      <c r="AK101" s="524">
        <f>IF(A101&lt;=general!$D$27,IF(MONTH(A101)=11,1,IF(C101=general!$C$27,1,0)),)</f>
        <v>0</v>
      </c>
      <c r="AL101" s="524">
        <f>IF(AK101=1,COUNTIFS($C$8:$C$128,"&lt;="&amp;general!$C$27&amp;"",'draws%'!$AM$8:$AM$128,"="&amp;AM101&amp;""),0)</f>
        <v>0</v>
      </c>
      <c r="AM101" s="524">
        <f t="shared" si="18"/>
        <v>2034</v>
      </c>
      <c r="AN101" s="524"/>
    </row>
    <row r="102" spans="1:40" ht="14">
      <c r="A102" s="903">
        <f t="shared" si="21"/>
        <v>49125</v>
      </c>
      <c r="C102" s="897">
        <f t="shared" si="22"/>
        <v>94</v>
      </c>
      <c r="D102" s="542"/>
      <c r="E102" s="542">
        <f>IF($C102=$C$2,0,IF(OR($C102=0,$C102&lt;general!$C$23,$C102&gt;$C$2),0,E$2/$C$3+NORMDIST($C102-general!$C$23+1,$C$3/2,E$1,1)-NORMDIST($C101-general!$C$23+1,$C$3/2,E$1,1)))+IF($C102=$C$2,1-SUM(E$8:E101),0)</f>
        <v>0</v>
      </c>
      <c r="F102" s="542">
        <f>IF($C102=$C$2,0,IF(OR($C102=0,$C102&lt;general!$C$23,$C102&gt;$C$2),0,F$2/$C$3+NORMDIST($C102-general!$C$23+1,$C$3/2,F$1,1)-NORMDIST($C101-general!$C$23+1,$C$3/2,F$1,1)))+IF($C102=$C$2,1-SUM(F$8:F101),0)</f>
        <v>0</v>
      </c>
      <c r="G102" s="542">
        <f>IF($C102=$C$2,0,IF(OR($C102=0,$C102&lt;general!$C$23,$C102&gt;$C$2),0,G$2/$C$3+NORMDIST($C102-general!$C$23+1,$C$3/2,G$1,1)-NORMDIST($C101-general!$C$23+1,$C$3/2,G$1,1)))+IF($C102=$C$2,1-SUM(G$8:G101),0)</f>
        <v>0</v>
      </c>
      <c r="H102" s="542">
        <f>IF(C102=$C$2,0,IF(OR(C102=0,C102&lt;1,C102&gt;$C$2),0,$H$2/$C$2+NORMDIST(C102,$C$2/2,$H$1,1)-NORMDIST(C101,$C$2/2,$H$1,1)))+IF(C102=$C$2,1-SUM($H$9:H101),0)</f>
        <v>0</v>
      </c>
      <c r="I102" s="542">
        <f>IF(C102=$C$2,0,IF(OR(C102=0,C102&lt;1,C102&gt;$C$2),0,$I$2/$C$2+NORMDIST(C102,$C$2/2,$I$1,1)-NORMDIST(C101,$C$2/2,$I$1,1)))+IF(C102=$C$2,1-SUM($I$9:I101),0)</f>
        <v>0</v>
      </c>
      <c r="J102" s="542">
        <f>IF(C102=$C$2,0,IF(OR(C102=0,C102&lt;1,C102&gt;$C$2),0,$J$2/$C$2+NORMDIST(C102,$C$2/2,$J$1,1)-NORMDIST(C101,$C$2/2,$J$1,1)))+IF(C102=$C$2,1-SUM($J$9:J101),0)</f>
        <v>0</v>
      </c>
      <c r="K102" s="542">
        <f t="shared" si="19"/>
        <v>0</v>
      </c>
      <c r="L102" s="542">
        <f t="shared" si="16"/>
        <v>0</v>
      </c>
      <c r="M102" s="542">
        <f>IF($C102&gt;$C$2,IF($C102=sales!$F$36,M$4,0),(1-M$4)/$C$2)</f>
        <v>0</v>
      </c>
      <c r="N102" s="542">
        <f>IF(ISEVEN($C$2),IF(C102&gt;$C$2,0,IF(C102&lt;=$C$2/2,C102,C102-1-2*(SUMPRODUCT(--($C$8:C102&gt;$C$2/2))-1))/(($C$2/2)*($C$2/2+1))),0)+IF(ISODD($C$2),IF(C102&gt;$C$2,0,IF(C102-1&lt;=$C$2/2,C102,C102-2*(SUMPRODUCT(--($C$8:C102&gt;$C$2/2))-1))/((INT($C$2/2))*(INT($C$2/2)+1)+ROUNDUP($C$2/2,0))),0)</f>
        <v>0</v>
      </c>
      <c r="O102" s="542"/>
      <c r="P102" s="542">
        <f t="shared" si="17"/>
        <v>0</v>
      </c>
      <c r="Q102" s="542">
        <f>IF($C102=general!$C$28,Q$4,IFERROR(($C102&lt;general!$C$23)*((1-Q$4)*Q$5)/(general!$C$23-1),0)+IFERROR(($C102&gt;=general!$C$23)*($C102&lt;=general!$C$27)*((1-Q$4)*Q$6)/(general!$C$27-general!$C$23+1),0))+IF(AND(general!$C$23&lt;=1,$C102&lt;=1),'draws%'!Q$5*(1-Q$4))</f>
        <v>0</v>
      </c>
      <c r="R102" s="542">
        <f>IF($C102=general!$C$27,R$4,IFERROR(($C102&lt;general!$C$23)*((1-R$4)*R$5)/(general!$C$23-1),0)+IFERROR(($C102&gt;=general!$C$23)*($C102&lt;general!$C$27)*((1-R$4)*R$6)/(general!$C$27-general!$C$23),0))+IF(AND(general!$C$23&lt;=1,$C102&lt;=1),'draws%'!R$5*(1-R$4))</f>
        <v>0</v>
      </c>
      <c r="S102" s="542">
        <f>IF(OR(C102=general!$C$27,C102=general!$C$27-1),50%,0)</f>
        <v>0</v>
      </c>
      <c r="T102" s="542">
        <f>(C102&gt;=general!$C$26-6)*(C102&lt;general!$C$26)*1/6*0.5+(C102=3)*0.25+(C102=9)*0.25</f>
        <v>0</v>
      </c>
      <c r="U102" s="542">
        <f>IF(C102='Development Cash Flow'!$C$6,$U$5,0)+IF(C102=general!$C$27,$U$6,0)</f>
        <v>0</v>
      </c>
      <c r="V102" s="542">
        <f>IF(C102=general!$C$28,1,0)</f>
        <v>0</v>
      </c>
      <c r="W102" s="542">
        <f t="shared" si="23"/>
        <v>0</v>
      </c>
      <c r="X102" s="542">
        <f>IF(C102=general!$C$23,1,0)</f>
        <v>0</v>
      </c>
      <c r="Y102" s="542">
        <f>IFERROR((C102&lt;general!$C$23)*Y$5/(general!$C$23),0)+IFERROR((C102&gt;=general!$C$23)*(C102&lt;=general!$C$27)*Y$6/(general!$C$27-general!$C$23+1),0)</f>
        <v>0</v>
      </c>
      <c r="Z102" s="542">
        <f>IFERROR(($C102&lt;general!$C$23)*Z$5/(general!$C$23),0)+IFERROR(($C102&gt;=general!$C$23)*($C102&lt;=general!$C$27)*Z$6/(general!$C$27-general!$C$23+1),0)*(1-$Z$4)+$Z$4*AF102</f>
        <v>0</v>
      </c>
      <c r="AA102" s="542">
        <f>MAX((IFERROR(($C102&lt;general!$C$23)*AA$5/(general!$C$23),0)+IFERROR(($C102&gt;=general!$C$23)*($C102&lt;=general!$C$27)*AA$6/(general!$C$27-general!$C$23+1),0)),0)</f>
        <v>0</v>
      </c>
      <c r="AB102" s="542">
        <f>MAX((IFERROR(($C102&lt;general!$C$23)*AB$5/(general!$C$23),0)+IFERROR(($C102&gt;=general!$C$23)*($C102&lt;=general!$C$27)*AB$6/(general!$C$27-general!$C$23+1),0)),0)</f>
        <v>0</v>
      </c>
      <c r="AC102" s="542">
        <f>MAX((IFERROR(($C102&lt;general!$C$23)*AC$5/(general!$C$23),0)+IFERROR(($C102&gt;=general!$C$23)*($C102&lt;=general!$C$27)*AC$6/(general!$C$27-general!$C$23+1),0)),0)</f>
        <v>0</v>
      </c>
      <c r="AD102" s="542">
        <f>MAX((IFERROR(($C102&lt;general!$C$23)*AD$5/(general!$C$23),0)+IFERROR(($C102&gt;=general!$C$23)*($C102&lt;=general!$C$27)*AD$6/(general!$C$27-general!$C$23+1),0)),0)</f>
        <v>0</v>
      </c>
      <c r="AE102" s="542">
        <f t="shared" si="20"/>
        <v>0</v>
      </c>
      <c r="AF102" s="542">
        <f>+SUMPRODUCT(--($C102=sales!$C$50:$C$54),sales!$D$50:$D$54)</f>
        <v>0</v>
      </c>
      <c r="AG102" s="542">
        <f>IF($C102=general!$C$28,AG$4,IFERROR(($C102&lt;general!$C$23)*((1-AG$4)*AG$5)/(general!$C$23-1),0)+IFERROR(($C102&gt;=general!$C$23)*($C102&lt;=general!$C$27)*((1-AG$4)*AG$6)/(general!$C$27-general!$C$23+1),0))+IF(AND(general!$C$23&lt;=1,$C102&lt;=1),'draws%'!AG$5*(1-AG$4))</f>
        <v>0</v>
      </c>
      <c r="AH102" s="542">
        <f>+IF($C102=general!$C$21,1,0)</f>
        <v>0</v>
      </c>
      <c r="AK102" s="524">
        <f>IF(A102&lt;=general!$D$27,IF(MONTH(A102)=11,1,IF(C102=general!$C$27,1,0)),)</f>
        <v>0</v>
      </c>
      <c r="AL102" s="524">
        <f>IF(AK102=1,COUNTIFS($C$8:$C$128,"&lt;="&amp;general!$C$27&amp;"",'draws%'!$AM$8:$AM$128,"="&amp;AM102&amp;""),0)</f>
        <v>0</v>
      </c>
      <c r="AM102" s="524">
        <f t="shared" si="18"/>
        <v>2034</v>
      </c>
      <c r="AN102" s="524"/>
    </row>
    <row r="103" spans="1:40" ht="14">
      <c r="A103" s="903">
        <f t="shared" si="21"/>
        <v>49156</v>
      </c>
      <c r="C103" s="897">
        <f t="shared" si="22"/>
        <v>95</v>
      </c>
      <c r="D103" s="542"/>
      <c r="E103" s="542">
        <f>IF($C103=$C$2,0,IF(OR($C103=0,$C103&lt;general!$C$23,$C103&gt;$C$2),0,E$2/$C$3+NORMDIST($C103-general!$C$23+1,$C$3/2,E$1,1)-NORMDIST($C102-general!$C$23+1,$C$3/2,E$1,1)))+IF($C103=$C$2,1-SUM(E$8:E102),0)</f>
        <v>0</v>
      </c>
      <c r="F103" s="542">
        <f>IF($C103=$C$2,0,IF(OR($C103=0,$C103&lt;general!$C$23,$C103&gt;$C$2),0,F$2/$C$3+NORMDIST($C103-general!$C$23+1,$C$3/2,F$1,1)-NORMDIST($C102-general!$C$23+1,$C$3/2,F$1,1)))+IF($C103=$C$2,1-SUM(F$8:F102),0)</f>
        <v>0</v>
      </c>
      <c r="G103" s="542">
        <f>IF($C103=$C$2,0,IF(OR($C103=0,$C103&lt;general!$C$23,$C103&gt;$C$2),0,G$2/$C$3+NORMDIST($C103-general!$C$23+1,$C$3/2,G$1,1)-NORMDIST($C102-general!$C$23+1,$C$3/2,G$1,1)))+IF($C103=$C$2,1-SUM(G$8:G102),0)</f>
        <v>0</v>
      </c>
      <c r="H103" s="542">
        <f>IF(C103=$C$2,0,IF(OR(C103=0,C103&lt;1,C103&gt;$C$2),0,$H$2/$C$2+NORMDIST(C103,$C$2/2,$H$1,1)-NORMDIST(C102,$C$2/2,$H$1,1)))+IF(C103=$C$2,1-SUM($H$9:H102),0)</f>
        <v>0</v>
      </c>
      <c r="I103" s="542">
        <f>IF(C103=$C$2,0,IF(OR(C103=0,C103&lt;1,C103&gt;$C$2),0,$I$2/$C$2+NORMDIST(C103,$C$2/2,$I$1,1)-NORMDIST(C102,$C$2/2,$I$1,1)))+IF(C103=$C$2,1-SUM($I$9:I102),0)</f>
        <v>0</v>
      </c>
      <c r="J103" s="542">
        <f>IF(C103=$C$2,0,IF(OR(C103=0,C103&lt;1,C103&gt;$C$2),0,$J$2/$C$2+NORMDIST(C103,$C$2/2,$J$1,1)-NORMDIST(C102,$C$2/2,$J$1,1)))+IF(C103=$C$2,1-SUM($J$9:J102),0)</f>
        <v>0</v>
      </c>
      <c r="K103" s="542">
        <f t="shared" si="19"/>
        <v>0</v>
      </c>
      <c r="L103" s="542">
        <f t="shared" si="16"/>
        <v>0</v>
      </c>
      <c r="M103" s="542">
        <f>IF($C103&gt;$C$2,IF($C103=sales!$F$36,M$4,0),(1-M$4)/$C$2)</f>
        <v>0</v>
      </c>
      <c r="N103" s="542">
        <f>IF(ISEVEN($C$2),IF(C103&gt;$C$2,0,IF(C103&lt;=$C$2/2,C103,C103-1-2*(SUMPRODUCT(--($C$8:C103&gt;$C$2/2))-1))/(($C$2/2)*($C$2/2+1))),0)+IF(ISODD($C$2),IF(C103&gt;$C$2,0,IF(C103-1&lt;=$C$2/2,C103,C103-2*(SUMPRODUCT(--($C$8:C103&gt;$C$2/2))-1))/((INT($C$2/2))*(INT($C$2/2)+1)+ROUNDUP($C$2/2,0))),0)</f>
        <v>0</v>
      </c>
      <c r="O103" s="542"/>
      <c r="P103" s="542">
        <f t="shared" si="17"/>
        <v>0</v>
      </c>
      <c r="Q103" s="542">
        <f>IF($C103=general!$C$28,Q$4,IFERROR(($C103&lt;general!$C$23)*((1-Q$4)*Q$5)/(general!$C$23-1),0)+IFERROR(($C103&gt;=general!$C$23)*($C103&lt;=general!$C$27)*((1-Q$4)*Q$6)/(general!$C$27-general!$C$23+1),0))+IF(AND(general!$C$23&lt;=1,$C103&lt;=1),'draws%'!Q$5*(1-Q$4))</f>
        <v>0</v>
      </c>
      <c r="R103" s="542">
        <f>IF($C103=general!$C$27,R$4,IFERROR(($C103&lt;general!$C$23)*((1-R$4)*R$5)/(general!$C$23-1),0)+IFERROR(($C103&gt;=general!$C$23)*($C103&lt;general!$C$27)*((1-R$4)*R$6)/(general!$C$27-general!$C$23),0))+IF(AND(general!$C$23&lt;=1,$C103&lt;=1),'draws%'!R$5*(1-R$4))</f>
        <v>0</v>
      </c>
      <c r="S103" s="542">
        <f>IF(OR(C103=general!$C$27,C103=general!$C$27-1),50%,0)</f>
        <v>0</v>
      </c>
      <c r="T103" s="542">
        <f>(C103&gt;=general!$C$26-6)*(C103&lt;general!$C$26)*1/6*0.5+(C103=3)*0.25+(C103=9)*0.25</f>
        <v>0</v>
      </c>
      <c r="U103" s="542">
        <f>IF(C103='Development Cash Flow'!$C$6,$U$5,0)+IF(C103=general!$C$27,$U$6,0)</f>
        <v>0</v>
      </c>
      <c r="V103" s="542">
        <f>IF(C103=general!$C$28,1,0)</f>
        <v>0</v>
      </c>
      <c r="W103" s="542">
        <f t="shared" si="23"/>
        <v>0</v>
      </c>
      <c r="X103" s="542">
        <f>IF(C103=general!$C$23,1,0)</f>
        <v>0</v>
      </c>
      <c r="Y103" s="542">
        <f>IFERROR((C103&lt;general!$C$23)*Y$5/(general!$C$23),0)+IFERROR((C103&gt;=general!$C$23)*(C103&lt;=general!$C$27)*Y$6/(general!$C$27-general!$C$23+1),0)</f>
        <v>0</v>
      </c>
      <c r="Z103" s="542">
        <f>IFERROR(($C103&lt;general!$C$23)*Z$5/(general!$C$23),0)+IFERROR(($C103&gt;=general!$C$23)*($C103&lt;=general!$C$27)*Z$6/(general!$C$27-general!$C$23+1),0)*(1-$Z$4)+$Z$4*AF103</f>
        <v>0</v>
      </c>
      <c r="AA103" s="542">
        <f>MAX((IFERROR(($C103&lt;general!$C$23)*AA$5/(general!$C$23),0)+IFERROR(($C103&gt;=general!$C$23)*($C103&lt;=general!$C$27)*AA$6/(general!$C$27-general!$C$23+1),0)),0)</f>
        <v>0</v>
      </c>
      <c r="AB103" s="542">
        <f>MAX((IFERROR(($C103&lt;general!$C$23)*AB$5/(general!$C$23),0)+IFERROR(($C103&gt;=general!$C$23)*($C103&lt;=general!$C$27)*AB$6/(general!$C$27-general!$C$23+1),0)),0)</f>
        <v>0</v>
      </c>
      <c r="AC103" s="542">
        <f>MAX((IFERROR(($C103&lt;general!$C$23)*AC$5/(general!$C$23),0)+IFERROR(($C103&gt;=general!$C$23)*($C103&lt;=general!$C$27)*AC$6/(general!$C$27-general!$C$23+1),0)),0)</f>
        <v>0</v>
      </c>
      <c r="AD103" s="542">
        <f>MAX((IFERROR(($C103&lt;general!$C$23)*AD$5/(general!$C$23),0)+IFERROR(($C103&gt;=general!$C$23)*($C103&lt;=general!$C$27)*AD$6/(general!$C$27-general!$C$23+1),0)),0)</f>
        <v>0</v>
      </c>
      <c r="AE103" s="542">
        <f t="shared" si="20"/>
        <v>0</v>
      </c>
      <c r="AF103" s="542">
        <f>+SUMPRODUCT(--($C103=sales!$C$50:$C$54),sales!$D$50:$D$54)</f>
        <v>0</v>
      </c>
      <c r="AG103" s="542">
        <f>IF($C103=general!$C$28,AG$4,IFERROR(($C103&lt;general!$C$23)*((1-AG$4)*AG$5)/(general!$C$23-1),0)+IFERROR(($C103&gt;=general!$C$23)*($C103&lt;=general!$C$27)*((1-AG$4)*AG$6)/(general!$C$27-general!$C$23+1),0))+IF(AND(general!$C$23&lt;=1,$C103&lt;=1),'draws%'!AG$5*(1-AG$4))</f>
        <v>0</v>
      </c>
      <c r="AH103" s="542">
        <f>+IF($C103=general!$C$21,1,0)</f>
        <v>0</v>
      </c>
      <c r="AK103" s="524">
        <f>IF(A103&lt;=general!$D$27,IF(MONTH(A103)=11,1,IF(C103=general!$C$27,1,0)),)</f>
        <v>0</v>
      </c>
      <c r="AL103" s="524">
        <f>IF(AK103=1,COUNTIFS($C$8:$C$128,"&lt;="&amp;general!$C$27&amp;"",'draws%'!$AM$8:$AM$128,"="&amp;AM103&amp;""),0)</f>
        <v>0</v>
      </c>
      <c r="AM103" s="524">
        <f t="shared" si="18"/>
        <v>2034</v>
      </c>
      <c r="AN103" s="524"/>
    </row>
    <row r="104" spans="1:40" ht="14">
      <c r="A104" s="903">
        <f t="shared" si="21"/>
        <v>49187</v>
      </c>
      <c r="C104" s="897">
        <f t="shared" si="22"/>
        <v>96</v>
      </c>
      <c r="D104" s="542"/>
      <c r="E104" s="542">
        <f>IF($C104=$C$2,0,IF(OR($C104=0,$C104&lt;general!$C$23,$C104&gt;$C$2),0,E$2/$C$3+NORMDIST($C104-general!$C$23+1,$C$3/2,E$1,1)-NORMDIST($C103-general!$C$23+1,$C$3/2,E$1,1)))+IF($C104=$C$2,1-SUM(E$8:E103),0)</f>
        <v>0</v>
      </c>
      <c r="F104" s="542">
        <f>IF($C104=$C$2,0,IF(OR($C104=0,$C104&lt;general!$C$23,$C104&gt;$C$2),0,F$2/$C$3+NORMDIST($C104-general!$C$23+1,$C$3/2,F$1,1)-NORMDIST($C103-general!$C$23+1,$C$3/2,F$1,1)))+IF($C104=$C$2,1-SUM(F$8:F103),0)</f>
        <v>0</v>
      </c>
      <c r="G104" s="542">
        <f>IF($C104=$C$2,0,IF(OR($C104=0,$C104&lt;general!$C$23,$C104&gt;$C$2),0,G$2/$C$3+NORMDIST($C104-general!$C$23+1,$C$3/2,G$1,1)-NORMDIST($C103-general!$C$23+1,$C$3/2,G$1,1)))+IF($C104=$C$2,1-SUM(G$8:G103),0)</f>
        <v>0</v>
      </c>
      <c r="H104" s="542">
        <f>IF(C104=$C$2,0,IF(OR(C104=0,C104&lt;1,C104&gt;$C$2),0,$H$2/$C$2+NORMDIST(C104,$C$2/2,$H$1,1)-NORMDIST(C103,$C$2/2,$H$1,1)))+IF(C104=$C$2,1-SUM($H$9:H103),0)</f>
        <v>0</v>
      </c>
      <c r="I104" s="542">
        <f>IF(C104=$C$2,0,IF(OR(C104=0,C104&lt;1,C104&gt;$C$2),0,$I$2/$C$2+NORMDIST(C104,$C$2/2,$I$1,1)-NORMDIST(C103,$C$2/2,$I$1,1)))+IF(C104=$C$2,1-SUM($I$9:I103),0)</f>
        <v>0</v>
      </c>
      <c r="J104" s="542">
        <f>IF(C104=$C$2,0,IF(OR(C104=0,C104&lt;1,C104&gt;$C$2),0,$J$2/$C$2+NORMDIST(C104,$C$2/2,$J$1,1)-NORMDIST(C103,$C$2/2,$J$1,1)))+IF(C104=$C$2,1-SUM($J$9:J103),0)</f>
        <v>0</v>
      </c>
      <c r="K104" s="542">
        <f t="shared" si="19"/>
        <v>0</v>
      </c>
      <c r="L104" s="542">
        <f t="shared" ref="L104:L128" si="24">IF(C104&gt;$C$2,0,1/($C$2+1))</f>
        <v>0</v>
      </c>
      <c r="M104" s="542">
        <f>IF($C104&gt;$C$2,IF($C104=sales!$F$36,M$4,0),(1-M$4)/$C$2)</f>
        <v>0</v>
      </c>
      <c r="N104" s="542">
        <f>IF(ISEVEN($C$2),IF(C104&gt;$C$2,0,IF(C104&lt;=$C$2/2,C104,C104-1-2*(SUMPRODUCT(--($C$8:C104&gt;$C$2/2))-1))/(($C$2/2)*($C$2/2+1))),0)+IF(ISODD($C$2),IF(C104&gt;$C$2,0,IF(C104-1&lt;=$C$2/2,C104,C104-2*(SUMPRODUCT(--($C$8:C104&gt;$C$2/2))-1))/((INT($C$2/2))*(INT($C$2/2)+1)+ROUNDUP($C$2/2,0))),0)</f>
        <v>0</v>
      </c>
      <c r="O104" s="542"/>
      <c r="P104" s="542">
        <f t="shared" ref="P104:P128" si="25">IF(AND(C104&gt;=$C$2-5,C104&lt;=$C$2),1/6,0)</f>
        <v>0</v>
      </c>
      <c r="Q104" s="542">
        <f>IF($C104=general!$C$28,Q$4,IFERROR(($C104&lt;general!$C$23)*((1-Q$4)*Q$5)/(general!$C$23-1),0)+IFERROR(($C104&gt;=general!$C$23)*($C104&lt;=general!$C$27)*((1-Q$4)*Q$6)/(general!$C$27-general!$C$23+1),0))+IF(AND(general!$C$23&lt;=1,$C104&lt;=1),'draws%'!Q$5*(1-Q$4))</f>
        <v>0</v>
      </c>
      <c r="R104" s="542">
        <f>IF($C104=general!$C$27,R$4,IFERROR(($C104&lt;general!$C$23)*((1-R$4)*R$5)/(general!$C$23-1),0)+IFERROR(($C104&gt;=general!$C$23)*($C104&lt;general!$C$27)*((1-R$4)*R$6)/(general!$C$27-general!$C$23),0))+IF(AND(general!$C$23&lt;=1,$C104&lt;=1),'draws%'!R$5*(1-R$4))</f>
        <v>0</v>
      </c>
      <c r="S104" s="542">
        <f>IF(OR(C104=general!$C$27,C104=general!$C$27-1),50%,0)</f>
        <v>0</v>
      </c>
      <c r="T104" s="542">
        <f>(C104&gt;=general!$C$26-6)*(C104&lt;general!$C$26)*1/6*0.5+(C104=3)*0.25+(C104=9)*0.25</f>
        <v>0</v>
      </c>
      <c r="U104" s="542">
        <f>IF(C104='Development Cash Flow'!$C$6,$U$5,0)+IF(C104=general!$C$27,$U$6,0)</f>
        <v>0</v>
      </c>
      <c r="V104" s="542">
        <f>IF(C104=general!$C$28,1,0)</f>
        <v>0</v>
      </c>
      <c r="W104" s="542">
        <f t="shared" si="23"/>
        <v>0</v>
      </c>
      <c r="X104" s="542">
        <f>IF(C104=general!$C$23,1,0)</f>
        <v>0</v>
      </c>
      <c r="Y104" s="542">
        <f>IFERROR((C104&lt;general!$C$23)*Y$5/(general!$C$23),0)+IFERROR((C104&gt;=general!$C$23)*(C104&lt;=general!$C$27)*Y$6/(general!$C$27-general!$C$23+1),0)</f>
        <v>0</v>
      </c>
      <c r="Z104" s="542">
        <f>IFERROR(($C104&lt;general!$C$23)*Z$5/(general!$C$23),0)+IFERROR(($C104&gt;=general!$C$23)*($C104&lt;=general!$C$27)*Z$6/(general!$C$27-general!$C$23+1),0)*(1-$Z$4)+$Z$4*AF104</f>
        <v>0</v>
      </c>
      <c r="AA104" s="542">
        <f>MAX((IFERROR(($C104&lt;general!$C$23)*AA$5/(general!$C$23),0)+IFERROR(($C104&gt;=general!$C$23)*($C104&lt;=general!$C$27)*AA$6/(general!$C$27-general!$C$23+1),0)),0)</f>
        <v>0</v>
      </c>
      <c r="AB104" s="542">
        <f>MAX((IFERROR(($C104&lt;general!$C$23)*AB$5/(general!$C$23),0)+IFERROR(($C104&gt;=general!$C$23)*($C104&lt;=general!$C$27)*AB$6/(general!$C$27-general!$C$23+1),0)),0)</f>
        <v>0</v>
      </c>
      <c r="AC104" s="542">
        <f>MAX((IFERROR(($C104&lt;general!$C$23)*AC$5/(general!$C$23),0)+IFERROR(($C104&gt;=general!$C$23)*($C104&lt;=general!$C$27)*AC$6/(general!$C$27-general!$C$23+1),0)),0)</f>
        <v>0</v>
      </c>
      <c r="AD104" s="542">
        <f>MAX((IFERROR(($C104&lt;general!$C$23)*AD$5/(general!$C$23),0)+IFERROR(($C104&gt;=general!$C$23)*($C104&lt;=general!$C$27)*AD$6/(general!$C$27-general!$C$23+1),0)),0)</f>
        <v>0</v>
      </c>
      <c r="AE104" s="542">
        <f t="shared" si="20"/>
        <v>0</v>
      </c>
      <c r="AF104" s="542">
        <f>+SUMPRODUCT(--($C104=sales!$C$50:$C$54),sales!$D$50:$D$54)</f>
        <v>0</v>
      </c>
      <c r="AG104" s="542">
        <f>IF($C104=general!$C$28,AG$4,IFERROR(($C104&lt;general!$C$23)*((1-AG$4)*AG$5)/(general!$C$23-1),0)+IFERROR(($C104&gt;=general!$C$23)*($C104&lt;=general!$C$27)*((1-AG$4)*AG$6)/(general!$C$27-general!$C$23+1),0))+IF(AND(general!$C$23&lt;=1,$C104&lt;=1),'draws%'!AG$5*(1-AG$4))</f>
        <v>0</v>
      </c>
      <c r="AH104" s="542">
        <f>+IF($C104=general!$C$21,1,0)</f>
        <v>0</v>
      </c>
      <c r="AK104" s="524">
        <f>IF(A104&lt;=general!$D$27,IF(MONTH(A104)=11,1,IF(C104=general!$C$27,1,0)),)</f>
        <v>0</v>
      </c>
      <c r="AL104" s="524">
        <f>IF(AK104=1,COUNTIFS($C$8:$C$128,"&lt;="&amp;general!$C$27&amp;"",'draws%'!$AM$8:$AM$128,"="&amp;AM104&amp;""),0)</f>
        <v>0</v>
      </c>
      <c r="AM104" s="524">
        <f t="shared" ref="AM104:AM128" si="26">YEAR(A104)</f>
        <v>2034</v>
      </c>
      <c r="AN104" s="524"/>
    </row>
    <row r="105" spans="1:40" ht="14">
      <c r="A105" s="903">
        <f t="shared" si="21"/>
        <v>49217</v>
      </c>
      <c r="C105" s="897">
        <f t="shared" si="22"/>
        <v>97</v>
      </c>
      <c r="D105" s="542"/>
      <c r="E105" s="542">
        <f>IF($C105=$C$2,0,IF(OR($C105=0,$C105&lt;general!$C$23,$C105&gt;$C$2),0,E$2/$C$3+NORMDIST($C105-general!$C$23+1,$C$3/2,E$1,1)-NORMDIST($C104-general!$C$23+1,$C$3/2,E$1,1)))+IF($C105=$C$2,1-SUM(E$8:E104),0)</f>
        <v>0</v>
      </c>
      <c r="F105" s="542">
        <f>IF($C105=$C$2,0,IF(OR($C105=0,$C105&lt;general!$C$23,$C105&gt;$C$2),0,F$2/$C$3+NORMDIST($C105-general!$C$23+1,$C$3/2,F$1,1)-NORMDIST($C104-general!$C$23+1,$C$3/2,F$1,1)))+IF($C105=$C$2,1-SUM(F$8:F104),0)</f>
        <v>0</v>
      </c>
      <c r="G105" s="542">
        <f>IF($C105=$C$2,0,IF(OR($C105=0,$C105&lt;general!$C$23,$C105&gt;$C$2),0,G$2/$C$3+NORMDIST($C105-general!$C$23+1,$C$3/2,G$1,1)-NORMDIST($C104-general!$C$23+1,$C$3/2,G$1,1)))+IF($C105=$C$2,1-SUM(G$8:G104),0)</f>
        <v>0</v>
      </c>
      <c r="H105" s="542">
        <f>IF(C105=$C$2,0,IF(OR(C105=0,C105&lt;1,C105&gt;$C$2),0,$H$2/$C$2+NORMDIST(C105,$C$2/2,$H$1,1)-NORMDIST(C104,$C$2/2,$H$1,1)))+IF(C105=$C$2,1-SUM($H$9:H104),0)</f>
        <v>0</v>
      </c>
      <c r="I105" s="542">
        <f>IF(C105=$C$2,0,IF(OR(C105=0,C105&lt;1,C105&gt;$C$2),0,$I$2/$C$2+NORMDIST(C105,$C$2/2,$I$1,1)-NORMDIST(C104,$C$2/2,$I$1,1)))+IF(C105=$C$2,1-SUM($I$9:I104),0)</f>
        <v>0</v>
      </c>
      <c r="J105" s="542">
        <f>IF(C105=$C$2,0,IF(OR(C105=0,C105&lt;1,C105&gt;$C$2),0,$J$2/$C$2+NORMDIST(C105,$C$2/2,$J$1,1)-NORMDIST(C104,$C$2/2,$J$1,1)))+IF(C105=$C$2,1-SUM($J$9:J104),0)</f>
        <v>0</v>
      </c>
      <c r="K105" s="542">
        <f t="shared" ref="K105:K128" si="27">IF(C105&lt;=$C$2,50%/$C$2,0)</f>
        <v>0</v>
      </c>
      <c r="L105" s="542">
        <f t="shared" si="24"/>
        <v>0</v>
      </c>
      <c r="M105" s="542">
        <f>IF($C105&gt;$C$2,IF($C105=sales!$F$36,M$4,0),(1-M$4)/$C$2)</f>
        <v>0</v>
      </c>
      <c r="N105" s="542">
        <f>IF(ISEVEN($C$2),IF(C105&gt;$C$2,0,IF(C105&lt;=$C$2/2,C105,C105-1-2*(SUMPRODUCT(--($C$8:C105&gt;$C$2/2))-1))/(($C$2/2)*($C$2/2+1))),0)+IF(ISODD($C$2),IF(C105&gt;$C$2,0,IF(C105-1&lt;=$C$2/2,C105,C105-2*(SUMPRODUCT(--($C$8:C105&gt;$C$2/2))-1))/((INT($C$2/2))*(INT($C$2/2)+1)+ROUNDUP($C$2/2,0))),0)</f>
        <v>0</v>
      </c>
      <c r="O105" s="542"/>
      <c r="P105" s="542">
        <f t="shared" si="25"/>
        <v>0</v>
      </c>
      <c r="Q105" s="542">
        <f>IF($C105=general!$C$28,Q$4,IFERROR(($C105&lt;general!$C$23)*((1-Q$4)*Q$5)/(general!$C$23-1),0)+IFERROR(($C105&gt;=general!$C$23)*($C105&lt;=general!$C$27)*((1-Q$4)*Q$6)/(general!$C$27-general!$C$23+1),0))+IF(AND(general!$C$23&lt;=1,$C105&lt;=1),'draws%'!Q$5*(1-Q$4))</f>
        <v>0</v>
      </c>
      <c r="R105" s="542">
        <f>IF($C105=general!$C$27,R$4,IFERROR(($C105&lt;general!$C$23)*((1-R$4)*R$5)/(general!$C$23-1),0)+IFERROR(($C105&gt;=general!$C$23)*($C105&lt;general!$C$27)*((1-R$4)*R$6)/(general!$C$27-general!$C$23),0))+IF(AND(general!$C$23&lt;=1,$C105&lt;=1),'draws%'!R$5*(1-R$4))</f>
        <v>0</v>
      </c>
      <c r="S105" s="542">
        <f>IF(OR(C105=general!$C$27,C105=general!$C$27-1),50%,0)</f>
        <v>0</v>
      </c>
      <c r="T105" s="542">
        <f>(C105&gt;=general!$C$26-6)*(C105&lt;general!$C$26)*1/6*0.5+(C105=3)*0.25+(C105=9)*0.25</f>
        <v>0</v>
      </c>
      <c r="U105" s="542">
        <f>IF(C105='Development Cash Flow'!$C$6,$U$5,0)+IF(C105=general!$C$27,$U$6,0)</f>
        <v>0</v>
      </c>
      <c r="V105" s="542">
        <f>IF(C105=general!$C$28,1,0)</f>
        <v>0</v>
      </c>
      <c r="W105" s="542">
        <f t="shared" si="23"/>
        <v>0</v>
      </c>
      <c r="X105" s="542">
        <f>IF(C105=general!$C$23,1,0)</f>
        <v>0</v>
      </c>
      <c r="Y105" s="542">
        <f>IFERROR((C105&lt;general!$C$23)*Y$5/(general!$C$23),0)+IFERROR((C105&gt;=general!$C$23)*(C105&lt;=general!$C$27)*Y$6/(general!$C$27-general!$C$23+1),0)</f>
        <v>0</v>
      </c>
      <c r="Z105" s="542">
        <f>IFERROR(($C105&lt;general!$C$23)*Z$5/(general!$C$23),0)+IFERROR(($C105&gt;=general!$C$23)*($C105&lt;=general!$C$27)*Z$6/(general!$C$27-general!$C$23+1),0)*(1-$Z$4)+$Z$4*AF105</f>
        <v>0</v>
      </c>
      <c r="AA105" s="542">
        <f>MAX((IFERROR(($C105&lt;general!$C$23)*AA$5/(general!$C$23),0)+IFERROR(($C105&gt;=general!$C$23)*($C105&lt;=general!$C$27)*AA$6/(general!$C$27-general!$C$23+1),0)),0)</f>
        <v>0</v>
      </c>
      <c r="AB105" s="542">
        <f>MAX((IFERROR(($C105&lt;general!$C$23)*AB$5/(general!$C$23),0)+IFERROR(($C105&gt;=general!$C$23)*($C105&lt;=general!$C$27)*AB$6/(general!$C$27-general!$C$23+1),0)),0)</f>
        <v>0</v>
      </c>
      <c r="AC105" s="542">
        <f>MAX((IFERROR(($C105&lt;general!$C$23)*AC$5/(general!$C$23),0)+IFERROR(($C105&gt;=general!$C$23)*($C105&lt;=general!$C$27)*AC$6/(general!$C$27-general!$C$23+1),0)),0)</f>
        <v>0</v>
      </c>
      <c r="AD105" s="542">
        <f>MAX((IFERROR(($C105&lt;general!$C$23)*AD$5/(general!$C$23),0)+IFERROR(($C105&gt;=general!$C$23)*($C105&lt;=general!$C$27)*AD$6/(general!$C$27-general!$C$23+1),0)),0)</f>
        <v>0</v>
      </c>
      <c r="AE105" s="542">
        <f t="shared" ref="AE105:AE128" si="28">IF(AK105=1,AL105/SUM($AL$8:$AL$128),0)</f>
        <v>0</v>
      </c>
      <c r="AF105" s="542">
        <f>+SUMPRODUCT(--($C105=sales!$C$50:$C$54),sales!$D$50:$D$54)</f>
        <v>0</v>
      </c>
      <c r="AG105" s="542">
        <f>IF($C105=general!$C$28,AG$4,IFERROR(($C105&lt;general!$C$23)*((1-AG$4)*AG$5)/(general!$C$23-1),0)+IFERROR(($C105&gt;=general!$C$23)*($C105&lt;=general!$C$27)*((1-AG$4)*AG$6)/(general!$C$27-general!$C$23+1),0))+IF(AND(general!$C$23&lt;=1,$C105&lt;=1),'draws%'!AG$5*(1-AG$4))</f>
        <v>0</v>
      </c>
      <c r="AH105" s="542">
        <f>+IF($C105=general!$C$21,1,0)</f>
        <v>0</v>
      </c>
      <c r="AK105" s="524">
        <f>IF(A105&lt;=general!$D$27,IF(MONTH(A105)=11,1,IF(C105=general!$C$27,1,0)),)</f>
        <v>0</v>
      </c>
      <c r="AL105" s="524">
        <f>IF(AK105=1,COUNTIFS($C$8:$C$128,"&lt;="&amp;general!$C$27&amp;"",'draws%'!$AM$8:$AM$128,"="&amp;AM105&amp;""),0)</f>
        <v>0</v>
      </c>
      <c r="AM105" s="524">
        <f t="shared" si="26"/>
        <v>2034</v>
      </c>
      <c r="AN105" s="524"/>
    </row>
    <row r="106" spans="1:40" ht="14">
      <c r="A106" s="903">
        <f t="shared" si="21"/>
        <v>49248</v>
      </c>
      <c r="C106" s="897">
        <f t="shared" si="22"/>
        <v>98</v>
      </c>
      <c r="D106" s="542"/>
      <c r="E106" s="542">
        <f>IF($C106=$C$2,0,IF(OR($C106=0,$C106&lt;general!$C$23,$C106&gt;$C$2),0,E$2/$C$3+NORMDIST($C106-general!$C$23+1,$C$3/2,E$1,1)-NORMDIST($C105-general!$C$23+1,$C$3/2,E$1,1)))+IF($C106=$C$2,1-SUM(E$8:E105),0)</f>
        <v>0</v>
      </c>
      <c r="F106" s="542">
        <f>IF($C106=$C$2,0,IF(OR($C106=0,$C106&lt;general!$C$23,$C106&gt;$C$2),0,F$2/$C$3+NORMDIST($C106-general!$C$23+1,$C$3/2,F$1,1)-NORMDIST($C105-general!$C$23+1,$C$3/2,F$1,1)))+IF($C106=$C$2,1-SUM(F$8:F105),0)</f>
        <v>0</v>
      </c>
      <c r="G106" s="542">
        <f>IF($C106=$C$2,0,IF(OR($C106=0,$C106&lt;general!$C$23,$C106&gt;$C$2),0,G$2/$C$3+NORMDIST($C106-general!$C$23+1,$C$3/2,G$1,1)-NORMDIST($C105-general!$C$23+1,$C$3/2,G$1,1)))+IF($C106=$C$2,1-SUM(G$8:G105),0)</f>
        <v>0</v>
      </c>
      <c r="H106" s="542">
        <f>IF(C106=$C$2,0,IF(OR(C106=0,C106&lt;1,C106&gt;$C$2),0,$H$2/$C$2+NORMDIST(C106,$C$2/2,$H$1,1)-NORMDIST(C105,$C$2/2,$H$1,1)))+IF(C106=$C$2,1-SUM($H$9:H105),0)</f>
        <v>0</v>
      </c>
      <c r="I106" s="542">
        <f>IF(C106=$C$2,0,IF(OR(C106=0,C106&lt;1,C106&gt;$C$2),0,$I$2/$C$2+NORMDIST(C106,$C$2/2,$I$1,1)-NORMDIST(C105,$C$2/2,$I$1,1)))+IF(C106=$C$2,1-SUM($I$9:I105),0)</f>
        <v>0</v>
      </c>
      <c r="J106" s="542">
        <f>IF(C106=$C$2,0,IF(OR(C106=0,C106&lt;1,C106&gt;$C$2),0,$J$2/$C$2+NORMDIST(C106,$C$2/2,$J$1,1)-NORMDIST(C105,$C$2/2,$J$1,1)))+IF(C106=$C$2,1-SUM($J$9:J105),0)</f>
        <v>0</v>
      </c>
      <c r="K106" s="542">
        <f t="shared" si="27"/>
        <v>0</v>
      </c>
      <c r="L106" s="542">
        <f t="shared" si="24"/>
        <v>0</v>
      </c>
      <c r="M106" s="542">
        <f>IF($C106&gt;$C$2,IF($C106=sales!$F$36,M$4,0),(1-M$4)/$C$2)</f>
        <v>0</v>
      </c>
      <c r="N106" s="542">
        <f>IF(ISEVEN($C$2),IF(C106&gt;$C$2,0,IF(C106&lt;=$C$2/2,C106,C106-1-2*(SUMPRODUCT(--($C$8:C106&gt;$C$2/2))-1))/(($C$2/2)*($C$2/2+1))),0)+IF(ISODD($C$2),IF(C106&gt;$C$2,0,IF(C106-1&lt;=$C$2/2,C106,C106-2*(SUMPRODUCT(--($C$8:C106&gt;$C$2/2))-1))/((INT($C$2/2))*(INT($C$2/2)+1)+ROUNDUP($C$2/2,0))),0)</f>
        <v>0</v>
      </c>
      <c r="O106" s="542"/>
      <c r="P106" s="542">
        <f t="shared" si="25"/>
        <v>0</v>
      </c>
      <c r="Q106" s="542">
        <f>IF($C106=general!$C$28,Q$4,IFERROR(($C106&lt;general!$C$23)*((1-Q$4)*Q$5)/(general!$C$23-1),0)+IFERROR(($C106&gt;=general!$C$23)*($C106&lt;=general!$C$27)*((1-Q$4)*Q$6)/(general!$C$27-general!$C$23+1),0))+IF(AND(general!$C$23&lt;=1,$C106&lt;=1),'draws%'!Q$5*(1-Q$4))</f>
        <v>0</v>
      </c>
      <c r="R106" s="542">
        <f>IF($C106=general!$C$27,R$4,IFERROR(($C106&lt;general!$C$23)*((1-R$4)*R$5)/(general!$C$23-1),0)+IFERROR(($C106&gt;=general!$C$23)*($C106&lt;general!$C$27)*((1-R$4)*R$6)/(general!$C$27-general!$C$23),0))+IF(AND(general!$C$23&lt;=1,$C106&lt;=1),'draws%'!R$5*(1-R$4))</f>
        <v>0</v>
      </c>
      <c r="S106" s="542">
        <f>IF(OR(C106=general!$C$27,C106=general!$C$27-1),50%,0)</f>
        <v>0</v>
      </c>
      <c r="T106" s="542">
        <f>(C106&gt;=general!$C$26-6)*(C106&lt;general!$C$26)*1/6*0.5+(C106=3)*0.25+(C106=9)*0.25</f>
        <v>0</v>
      </c>
      <c r="U106" s="542">
        <f>IF(C106='Development Cash Flow'!$C$6,$U$5,0)+IF(C106=general!$C$27,$U$6,0)</f>
        <v>0</v>
      </c>
      <c r="V106" s="542">
        <f>IF(C106=general!$C$28,1,0)</f>
        <v>0</v>
      </c>
      <c r="W106" s="542">
        <f t="shared" si="23"/>
        <v>0</v>
      </c>
      <c r="X106" s="542">
        <f>IF(C106=general!$C$23,1,0)</f>
        <v>0</v>
      </c>
      <c r="Y106" s="542">
        <f>IFERROR((C106&lt;general!$C$23)*Y$5/(general!$C$23),0)+IFERROR((C106&gt;=general!$C$23)*(C106&lt;=general!$C$27)*Y$6/(general!$C$27-general!$C$23+1),0)</f>
        <v>0</v>
      </c>
      <c r="Z106" s="542">
        <f>IFERROR(($C106&lt;general!$C$23)*Z$5/(general!$C$23),0)+IFERROR(($C106&gt;=general!$C$23)*($C106&lt;=general!$C$27)*Z$6/(general!$C$27-general!$C$23+1),0)*(1-$Z$4)+$Z$4*AF106</f>
        <v>0</v>
      </c>
      <c r="AA106" s="542">
        <f>MAX((IFERROR(($C106&lt;general!$C$23)*AA$5/(general!$C$23),0)+IFERROR(($C106&gt;=general!$C$23)*($C106&lt;=general!$C$27)*AA$6/(general!$C$27-general!$C$23+1),0)),0)</f>
        <v>0</v>
      </c>
      <c r="AB106" s="542">
        <f>MAX((IFERROR(($C106&lt;general!$C$23)*AB$5/(general!$C$23),0)+IFERROR(($C106&gt;=general!$C$23)*($C106&lt;=general!$C$27)*AB$6/(general!$C$27-general!$C$23+1),0)),0)</f>
        <v>0</v>
      </c>
      <c r="AC106" s="542">
        <f>MAX((IFERROR(($C106&lt;general!$C$23)*AC$5/(general!$C$23),0)+IFERROR(($C106&gt;=general!$C$23)*($C106&lt;=general!$C$27)*AC$6/(general!$C$27-general!$C$23+1),0)),0)</f>
        <v>0</v>
      </c>
      <c r="AD106" s="542">
        <f>MAX((IFERROR(($C106&lt;general!$C$23)*AD$5/(general!$C$23),0)+IFERROR(($C106&gt;=general!$C$23)*($C106&lt;=general!$C$27)*AD$6/(general!$C$27-general!$C$23+1),0)),0)</f>
        <v>0</v>
      </c>
      <c r="AE106" s="542">
        <f t="shared" si="28"/>
        <v>0</v>
      </c>
      <c r="AF106" s="542">
        <f>+SUMPRODUCT(--($C106=sales!$C$50:$C$54),sales!$D$50:$D$54)</f>
        <v>0</v>
      </c>
      <c r="AG106" s="542">
        <f>IF($C106=general!$C$28,AG$4,IFERROR(($C106&lt;general!$C$23)*((1-AG$4)*AG$5)/(general!$C$23-1),0)+IFERROR(($C106&gt;=general!$C$23)*($C106&lt;=general!$C$27)*((1-AG$4)*AG$6)/(general!$C$27-general!$C$23+1),0))+IF(AND(general!$C$23&lt;=1,$C106&lt;=1),'draws%'!AG$5*(1-AG$4))</f>
        <v>0</v>
      </c>
      <c r="AH106" s="542">
        <f>+IF($C106=general!$C$21,1,0)</f>
        <v>0</v>
      </c>
      <c r="AK106" s="524">
        <f>IF(A106&lt;=general!$D$27,IF(MONTH(A106)=11,1,IF(C106=general!$C$27,1,0)),)</f>
        <v>0</v>
      </c>
      <c r="AL106" s="524">
        <f>IF(AK106=1,COUNTIFS($C$8:$C$128,"&lt;="&amp;general!$C$27&amp;"",'draws%'!$AM$8:$AM$128,"="&amp;AM106&amp;""),0)</f>
        <v>0</v>
      </c>
      <c r="AM106" s="524">
        <f t="shared" si="26"/>
        <v>2034</v>
      </c>
      <c r="AN106" s="524"/>
    </row>
    <row r="107" spans="1:40" ht="14">
      <c r="A107" s="903">
        <f t="shared" si="21"/>
        <v>49278</v>
      </c>
      <c r="C107" s="897">
        <f t="shared" si="22"/>
        <v>99</v>
      </c>
      <c r="D107" s="542"/>
      <c r="E107" s="542">
        <f>IF($C107=$C$2,0,IF(OR($C107=0,$C107&lt;general!$C$23,$C107&gt;$C$2),0,E$2/$C$3+NORMDIST($C107-general!$C$23+1,$C$3/2,E$1,1)-NORMDIST($C106-general!$C$23+1,$C$3/2,E$1,1)))+IF($C107=$C$2,1-SUM(E$8:E106),0)</f>
        <v>0</v>
      </c>
      <c r="F107" s="542">
        <f>IF($C107=$C$2,0,IF(OR($C107=0,$C107&lt;general!$C$23,$C107&gt;$C$2),0,F$2/$C$3+NORMDIST($C107-general!$C$23+1,$C$3/2,F$1,1)-NORMDIST($C106-general!$C$23+1,$C$3/2,F$1,1)))+IF($C107=$C$2,1-SUM(F$8:F106),0)</f>
        <v>0</v>
      </c>
      <c r="G107" s="542">
        <f>IF($C107=$C$2,0,IF(OR($C107=0,$C107&lt;general!$C$23,$C107&gt;$C$2),0,G$2/$C$3+NORMDIST($C107-general!$C$23+1,$C$3/2,G$1,1)-NORMDIST($C106-general!$C$23+1,$C$3/2,G$1,1)))+IF($C107=$C$2,1-SUM(G$8:G106),0)</f>
        <v>0</v>
      </c>
      <c r="H107" s="542">
        <f>IF(C107=$C$2,0,IF(OR(C107=0,C107&lt;1,C107&gt;$C$2),0,$H$2/$C$2+NORMDIST(C107,$C$2/2,$H$1,1)-NORMDIST(C106,$C$2/2,$H$1,1)))+IF(C107=$C$2,1-SUM($H$9:H106),0)</f>
        <v>0</v>
      </c>
      <c r="I107" s="542">
        <f>IF(C107=$C$2,0,IF(OR(C107=0,C107&lt;1,C107&gt;$C$2),0,$I$2/$C$2+NORMDIST(C107,$C$2/2,$I$1,1)-NORMDIST(C106,$C$2/2,$I$1,1)))+IF(C107=$C$2,1-SUM($I$9:I106),0)</f>
        <v>0</v>
      </c>
      <c r="J107" s="542">
        <f>IF(C107=$C$2,0,IF(OR(C107=0,C107&lt;1,C107&gt;$C$2),0,$J$2/$C$2+NORMDIST(C107,$C$2/2,$J$1,1)-NORMDIST(C106,$C$2/2,$J$1,1)))+IF(C107=$C$2,1-SUM($J$9:J106),0)</f>
        <v>0</v>
      </c>
      <c r="K107" s="542">
        <f t="shared" si="27"/>
        <v>0</v>
      </c>
      <c r="L107" s="542">
        <f t="shared" si="24"/>
        <v>0</v>
      </c>
      <c r="M107" s="542">
        <f>IF($C107&gt;$C$2,IF($C107=sales!$F$36,M$4,0),(1-M$4)/$C$2)</f>
        <v>0</v>
      </c>
      <c r="N107" s="542">
        <f>IF(ISEVEN($C$2),IF(C107&gt;$C$2,0,IF(C107&lt;=$C$2/2,C107,C107-1-2*(SUMPRODUCT(--($C$8:C107&gt;$C$2/2))-1))/(($C$2/2)*($C$2/2+1))),0)+IF(ISODD($C$2),IF(C107&gt;$C$2,0,IF(C107-1&lt;=$C$2/2,C107,C107-2*(SUMPRODUCT(--($C$8:C107&gt;$C$2/2))-1))/((INT($C$2/2))*(INT($C$2/2)+1)+ROUNDUP($C$2/2,0))),0)</f>
        <v>0</v>
      </c>
      <c r="O107" s="542"/>
      <c r="P107" s="542">
        <f t="shared" si="25"/>
        <v>0</v>
      </c>
      <c r="Q107" s="542">
        <f>IF($C107=general!$C$28,Q$4,IFERROR(($C107&lt;general!$C$23)*((1-Q$4)*Q$5)/(general!$C$23-1),0)+IFERROR(($C107&gt;=general!$C$23)*($C107&lt;=general!$C$27)*((1-Q$4)*Q$6)/(general!$C$27-general!$C$23+1),0))+IF(AND(general!$C$23&lt;=1,$C107&lt;=1),'draws%'!Q$5*(1-Q$4))</f>
        <v>0</v>
      </c>
      <c r="R107" s="542">
        <f>IF($C107=general!$C$27,R$4,IFERROR(($C107&lt;general!$C$23)*((1-R$4)*R$5)/(general!$C$23-1),0)+IFERROR(($C107&gt;=general!$C$23)*($C107&lt;general!$C$27)*((1-R$4)*R$6)/(general!$C$27-general!$C$23),0))+IF(AND(general!$C$23&lt;=1,$C107&lt;=1),'draws%'!R$5*(1-R$4))</f>
        <v>0</v>
      </c>
      <c r="S107" s="542">
        <f>IF(OR(C107=general!$C$27,C107=general!$C$27-1),50%,0)</f>
        <v>0</v>
      </c>
      <c r="T107" s="542">
        <f>(C107&gt;=general!$C$26-6)*(C107&lt;general!$C$26)*1/6*0.5+(C107=3)*0.25+(C107=9)*0.25</f>
        <v>0</v>
      </c>
      <c r="U107" s="542">
        <f>IF(C107='Development Cash Flow'!$C$6,$U$5,0)+IF(C107=general!$C$27,$U$6,0)</f>
        <v>0</v>
      </c>
      <c r="V107" s="542">
        <f>IF(C107=general!$C$28,1,0)</f>
        <v>0</v>
      </c>
      <c r="W107" s="542">
        <f t="shared" si="23"/>
        <v>0</v>
      </c>
      <c r="X107" s="542">
        <f>IF(C107=general!$C$23,1,0)</f>
        <v>0</v>
      </c>
      <c r="Y107" s="542">
        <f>IFERROR((C107&lt;general!$C$23)*Y$5/(general!$C$23),0)+IFERROR((C107&gt;=general!$C$23)*(C107&lt;=general!$C$27)*Y$6/(general!$C$27-general!$C$23+1),0)</f>
        <v>0</v>
      </c>
      <c r="Z107" s="542">
        <f>IFERROR(($C107&lt;general!$C$23)*Z$5/(general!$C$23),0)+IFERROR(($C107&gt;=general!$C$23)*($C107&lt;=general!$C$27)*Z$6/(general!$C$27-general!$C$23+1),0)*(1-$Z$4)+$Z$4*AF107</f>
        <v>0</v>
      </c>
      <c r="AA107" s="542">
        <f>MAX((IFERROR(($C107&lt;general!$C$23)*AA$5/(general!$C$23),0)+IFERROR(($C107&gt;=general!$C$23)*($C107&lt;=general!$C$27)*AA$6/(general!$C$27-general!$C$23+1),0)),0)</f>
        <v>0</v>
      </c>
      <c r="AB107" s="542">
        <f>MAX((IFERROR(($C107&lt;general!$C$23)*AB$5/(general!$C$23),0)+IFERROR(($C107&gt;=general!$C$23)*($C107&lt;=general!$C$27)*AB$6/(general!$C$27-general!$C$23+1),0)),0)</f>
        <v>0</v>
      </c>
      <c r="AC107" s="542">
        <f>MAX((IFERROR(($C107&lt;general!$C$23)*AC$5/(general!$C$23),0)+IFERROR(($C107&gt;=general!$C$23)*($C107&lt;=general!$C$27)*AC$6/(general!$C$27-general!$C$23+1),0)),0)</f>
        <v>0</v>
      </c>
      <c r="AD107" s="542">
        <f>MAX((IFERROR(($C107&lt;general!$C$23)*AD$5/(general!$C$23),0)+IFERROR(($C107&gt;=general!$C$23)*($C107&lt;=general!$C$27)*AD$6/(general!$C$27-general!$C$23+1),0)),0)</f>
        <v>0</v>
      </c>
      <c r="AE107" s="542">
        <f t="shared" si="28"/>
        <v>0</v>
      </c>
      <c r="AF107" s="542">
        <f>+SUMPRODUCT(--($C107=sales!$C$50:$C$54),sales!$D$50:$D$54)</f>
        <v>0</v>
      </c>
      <c r="AG107" s="542">
        <f>IF($C107=general!$C$28,AG$4,IFERROR(($C107&lt;general!$C$23)*((1-AG$4)*AG$5)/(general!$C$23-1),0)+IFERROR(($C107&gt;=general!$C$23)*($C107&lt;=general!$C$27)*((1-AG$4)*AG$6)/(general!$C$27-general!$C$23+1),0))+IF(AND(general!$C$23&lt;=1,$C107&lt;=1),'draws%'!AG$5*(1-AG$4))</f>
        <v>0</v>
      </c>
      <c r="AH107" s="542">
        <f>+IF($C107=general!$C$21,1,0)</f>
        <v>0</v>
      </c>
      <c r="AK107" s="524">
        <f>IF(A107&lt;=general!$D$27,IF(MONTH(A107)=11,1,IF(C107=general!$C$27,1,0)),)</f>
        <v>0</v>
      </c>
      <c r="AL107" s="524">
        <f>IF(AK107=1,COUNTIFS($C$8:$C$128,"&lt;="&amp;general!$C$27&amp;"",'draws%'!$AM$8:$AM$128,"="&amp;AM107&amp;""),0)</f>
        <v>0</v>
      </c>
      <c r="AM107" s="524">
        <f t="shared" si="26"/>
        <v>2034</v>
      </c>
      <c r="AN107" s="524"/>
    </row>
    <row r="108" spans="1:40" ht="14">
      <c r="A108" s="903">
        <f t="shared" si="21"/>
        <v>49309</v>
      </c>
      <c r="C108" s="897">
        <f t="shared" si="22"/>
        <v>100</v>
      </c>
      <c r="D108" s="542"/>
      <c r="E108" s="542">
        <f>IF($C108=$C$2,0,IF(OR($C108=0,$C108&lt;general!$C$23,$C108&gt;$C$2),0,E$2/$C$3+NORMDIST($C108-general!$C$23+1,$C$3/2,E$1,1)-NORMDIST($C107-general!$C$23+1,$C$3/2,E$1,1)))+IF($C108=$C$2,1-SUM(E$8:E107),0)</f>
        <v>0</v>
      </c>
      <c r="F108" s="542">
        <f>IF($C108=$C$2,0,IF(OR($C108=0,$C108&lt;general!$C$23,$C108&gt;$C$2),0,F$2/$C$3+NORMDIST($C108-general!$C$23+1,$C$3/2,F$1,1)-NORMDIST($C107-general!$C$23+1,$C$3/2,F$1,1)))+IF($C108=$C$2,1-SUM(F$8:F107),0)</f>
        <v>0</v>
      </c>
      <c r="G108" s="542">
        <f>IF($C108=$C$2,0,IF(OR($C108=0,$C108&lt;general!$C$23,$C108&gt;$C$2),0,G$2/$C$3+NORMDIST($C108-general!$C$23+1,$C$3/2,G$1,1)-NORMDIST($C107-general!$C$23+1,$C$3/2,G$1,1)))+IF($C108=$C$2,1-SUM(G$8:G107),0)</f>
        <v>0</v>
      </c>
      <c r="H108" s="542">
        <f>IF(C108=$C$2,0,IF(OR(C108=0,C108&lt;1,C108&gt;$C$2),0,$H$2/$C$2+NORMDIST(C108,$C$2/2,$H$1,1)-NORMDIST(C107,$C$2/2,$H$1,1)))+IF(C108=$C$2,1-SUM($H$9:H107),0)</f>
        <v>0</v>
      </c>
      <c r="I108" s="542">
        <f>IF(C108=$C$2,0,IF(OR(C108=0,C108&lt;1,C108&gt;$C$2),0,$I$2/$C$2+NORMDIST(C108,$C$2/2,$I$1,1)-NORMDIST(C107,$C$2/2,$I$1,1)))+IF(C108=$C$2,1-SUM($I$9:I107),0)</f>
        <v>0</v>
      </c>
      <c r="J108" s="542">
        <f>IF(C108=$C$2,0,IF(OR(C108=0,C108&lt;1,C108&gt;$C$2),0,$J$2/$C$2+NORMDIST(C108,$C$2/2,$J$1,1)-NORMDIST(C107,$C$2/2,$J$1,1)))+IF(C108=$C$2,1-SUM($J$9:J107),0)</f>
        <v>0</v>
      </c>
      <c r="K108" s="542">
        <f t="shared" si="27"/>
        <v>0</v>
      </c>
      <c r="L108" s="542">
        <f t="shared" si="24"/>
        <v>0</v>
      </c>
      <c r="M108" s="542">
        <f>IF($C108&gt;$C$2,IF($C108=sales!$F$36,M$4,0),(1-M$4)/$C$2)</f>
        <v>0</v>
      </c>
      <c r="N108" s="542">
        <f>IF(ISEVEN($C$2),IF(C108&gt;$C$2,0,IF(C108&lt;=$C$2/2,C108,C108-1-2*(SUMPRODUCT(--($C$8:C108&gt;$C$2/2))-1))/(($C$2/2)*($C$2/2+1))),0)+IF(ISODD($C$2),IF(C108&gt;$C$2,0,IF(C108-1&lt;=$C$2/2,C108,C108-2*(SUMPRODUCT(--($C$8:C108&gt;$C$2/2))-1))/((INT($C$2/2))*(INT($C$2/2)+1)+ROUNDUP($C$2/2,0))),0)</f>
        <v>0</v>
      </c>
      <c r="O108" s="542"/>
      <c r="P108" s="542">
        <f t="shared" si="25"/>
        <v>0</v>
      </c>
      <c r="Q108" s="542">
        <f>IF($C108=general!$C$28,Q$4,IFERROR(($C108&lt;general!$C$23)*((1-Q$4)*Q$5)/(general!$C$23-1),0)+IFERROR(($C108&gt;=general!$C$23)*($C108&lt;=general!$C$27)*((1-Q$4)*Q$6)/(general!$C$27-general!$C$23+1),0))+IF(AND(general!$C$23&lt;=1,$C108&lt;=1),'draws%'!Q$5*(1-Q$4))</f>
        <v>0</v>
      </c>
      <c r="R108" s="542">
        <f>IF($C108=general!$C$27,R$4,IFERROR(($C108&lt;general!$C$23)*((1-R$4)*R$5)/(general!$C$23-1),0)+IFERROR(($C108&gt;=general!$C$23)*($C108&lt;general!$C$27)*((1-R$4)*R$6)/(general!$C$27-general!$C$23),0))+IF(AND(general!$C$23&lt;=1,$C108&lt;=1),'draws%'!R$5*(1-R$4))</f>
        <v>0</v>
      </c>
      <c r="S108" s="542">
        <f>IF(OR(C108=general!$C$27,C108=general!$C$27-1),50%,0)</f>
        <v>0</v>
      </c>
      <c r="T108" s="542">
        <f>(C108&gt;=general!$C$26-6)*(C108&lt;general!$C$26)*1/6*0.5+(C108=3)*0.25+(C108=9)*0.25</f>
        <v>0</v>
      </c>
      <c r="U108" s="542">
        <f>IF(C108='Development Cash Flow'!$C$6,$U$5,0)+IF(C108=general!$C$27,$U$6,0)</f>
        <v>0</v>
      </c>
      <c r="V108" s="542">
        <f>IF(C108=general!$C$28,1,0)</f>
        <v>0</v>
      </c>
      <c r="W108" s="542">
        <f t="shared" si="23"/>
        <v>0</v>
      </c>
      <c r="X108" s="542">
        <f>IF(C108=general!$C$23,1,0)</f>
        <v>0</v>
      </c>
      <c r="Y108" s="542">
        <f>IFERROR((C108&lt;general!$C$23)*Y$5/(general!$C$23),0)+IFERROR((C108&gt;=general!$C$23)*(C108&lt;=general!$C$27)*Y$6/(general!$C$27-general!$C$23+1),0)</f>
        <v>0</v>
      </c>
      <c r="Z108" s="542">
        <f>IFERROR(($C108&lt;general!$C$23)*Z$5/(general!$C$23),0)+IFERROR(($C108&gt;=general!$C$23)*($C108&lt;=general!$C$27)*Z$6/(general!$C$27-general!$C$23+1),0)*(1-$Z$4)+$Z$4*AF108</f>
        <v>0</v>
      </c>
      <c r="AA108" s="542">
        <f>MAX((IFERROR(($C108&lt;general!$C$23)*AA$5/(general!$C$23),0)+IFERROR(($C108&gt;=general!$C$23)*($C108&lt;=general!$C$27)*AA$6/(general!$C$27-general!$C$23+1),0)),0)</f>
        <v>0</v>
      </c>
      <c r="AB108" s="542">
        <f>MAX((IFERROR(($C108&lt;general!$C$23)*AB$5/(general!$C$23),0)+IFERROR(($C108&gt;=general!$C$23)*($C108&lt;=general!$C$27)*AB$6/(general!$C$27-general!$C$23+1),0)),0)</f>
        <v>0</v>
      </c>
      <c r="AC108" s="542">
        <f>MAX((IFERROR(($C108&lt;general!$C$23)*AC$5/(general!$C$23),0)+IFERROR(($C108&gt;=general!$C$23)*($C108&lt;=general!$C$27)*AC$6/(general!$C$27-general!$C$23+1),0)),0)</f>
        <v>0</v>
      </c>
      <c r="AD108" s="542">
        <f>MAX((IFERROR(($C108&lt;general!$C$23)*AD$5/(general!$C$23),0)+IFERROR(($C108&gt;=general!$C$23)*($C108&lt;=general!$C$27)*AD$6/(general!$C$27-general!$C$23+1),0)),0)</f>
        <v>0</v>
      </c>
      <c r="AE108" s="542">
        <f t="shared" si="28"/>
        <v>0</v>
      </c>
      <c r="AF108" s="542">
        <f>+SUMPRODUCT(--($C108=sales!$C$50:$C$54),sales!$D$50:$D$54)</f>
        <v>0</v>
      </c>
      <c r="AG108" s="542">
        <f>IF($C108=general!$C$28,AG$4,IFERROR(($C108&lt;general!$C$23)*((1-AG$4)*AG$5)/(general!$C$23-1),0)+IFERROR(($C108&gt;=general!$C$23)*($C108&lt;=general!$C$27)*((1-AG$4)*AG$6)/(general!$C$27-general!$C$23+1),0))+IF(AND(general!$C$23&lt;=1,$C108&lt;=1),'draws%'!AG$5*(1-AG$4))</f>
        <v>0</v>
      </c>
      <c r="AH108" s="542">
        <f>+IF($C108=general!$C$21,1,0)</f>
        <v>0</v>
      </c>
      <c r="AK108" s="524">
        <f>IF(A108&lt;=general!$D$27,IF(MONTH(A108)=11,1,IF(C108=general!$C$27,1,0)),)</f>
        <v>0</v>
      </c>
      <c r="AL108" s="524">
        <f>IF(AK108=1,COUNTIFS($C$8:$C$128,"&lt;="&amp;general!$C$27&amp;"",'draws%'!$AM$8:$AM$128,"="&amp;AM108&amp;""),0)</f>
        <v>0</v>
      </c>
      <c r="AM108" s="524">
        <f t="shared" si="26"/>
        <v>2034</v>
      </c>
      <c r="AN108" s="524"/>
    </row>
    <row r="109" spans="1:40" ht="14">
      <c r="A109" s="903">
        <f t="shared" si="21"/>
        <v>49340</v>
      </c>
      <c r="C109" s="897">
        <f t="shared" si="22"/>
        <v>101</v>
      </c>
      <c r="D109" s="542"/>
      <c r="E109" s="542">
        <f>IF($C109=$C$2,0,IF(OR($C109=0,$C109&lt;general!$C$23,$C109&gt;$C$2),0,E$2/$C$3+NORMDIST($C109-general!$C$23+1,$C$3/2,E$1,1)-NORMDIST($C108-general!$C$23+1,$C$3/2,E$1,1)))+IF($C109=$C$2,1-SUM(E$8:E108),0)</f>
        <v>0</v>
      </c>
      <c r="F109" s="542">
        <f>IF($C109=$C$2,0,IF(OR($C109=0,$C109&lt;general!$C$23,$C109&gt;$C$2),0,F$2/$C$3+NORMDIST($C109-general!$C$23+1,$C$3/2,F$1,1)-NORMDIST($C108-general!$C$23+1,$C$3/2,F$1,1)))+IF($C109=$C$2,1-SUM(F$8:F108),0)</f>
        <v>0</v>
      </c>
      <c r="G109" s="542">
        <f>IF($C109=$C$2,0,IF(OR($C109=0,$C109&lt;general!$C$23,$C109&gt;$C$2),0,G$2/$C$3+NORMDIST($C109-general!$C$23+1,$C$3/2,G$1,1)-NORMDIST($C108-general!$C$23+1,$C$3/2,G$1,1)))+IF($C109=$C$2,1-SUM(G$8:G108),0)</f>
        <v>0</v>
      </c>
      <c r="H109" s="542">
        <f>IF(C109=$C$2,0,IF(OR(C109=0,C109&lt;1,C109&gt;$C$2),0,$H$2/$C$2+NORMDIST(C109,$C$2/2,$H$1,1)-NORMDIST(C108,$C$2/2,$H$1,1)))+IF(C109=$C$2,1-SUM($H$9:H108),0)</f>
        <v>0</v>
      </c>
      <c r="I109" s="542">
        <f>IF(C109=$C$2,0,IF(OR(C109=0,C109&lt;1,C109&gt;$C$2),0,$I$2/$C$2+NORMDIST(C109,$C$2/2,$I$1,1)-NORMDIST(C108,$C$2/2,$I$1,1)))+IF(C109=$C$2,1-SUM($I$9:I108),0)</f>
        <v>0</v>
      </c>
      <c r="J109" s="542">
        <f>IF(C109=$C$2,0,IF(OR(C109=0,C109&lt;1,C109&gt;$C$2),0,$J$2/$C$2+NORMDIST(C109,$C$2/2,$J$1,1)-NORMDIST(C108,$C$2/2,$J$1,1)))+IF(C109=$C$2,1-SUM($J$9:J108),0)</f>
        <v>0</v>
      </c>
      <c r="K109" s="542">
        <f t="shared" si="27"/>
        <v>0</v>
      </c>
      <c r="L109" s="542">
        <f t="shared" si="24"/>
        <v>0</v>
      </c>
      <c r="M109" s="542">
        <f>IF($C109&gt;$C$2,IF($C109=sales!$F$36,M$4,0),(1-M$4)/$C$2)</f>
        <v>0</v>
      </c>
      <c r="N109" s="542">
        <f>IF(ISEVEN($C$2),IF(C109&gt;$C$2,0,IF(C109&lt;=$C$2/2,C109,C109-1-2*(SUMPRODUCT(--($C$8:C109&gt;$C$2/2))-1))/(($C$2/2)*($C$2/2+1))),0)+IF(ISODD($C$2),IF(C109&gt;$C$2,0,IF(C109-1&lt;=$C$2/2,C109,C109-2*(SUMPRODUCT(--($C$8:C109&gt;$C$2/2))-1))/((INT($C$2/2))*(INT($C$2/2)+1)+ROUNDUP($C$2/2,0))),0)</f>
        <v>0</v>
      </c>
      <c r="O109" s="542"/>
      <c r="P109" s="542">
        <f t="shared" si="25"/>
        <v>0</v>
      </c>
      <c r="Q109" s="542">
        <f>IF($C109=general!$C$28,Q$4,IFERROR(($C109&lt;general!$C$23)*((1-Q$4)*Q$5)/(general!$C$23-1),0)+IFERROR(($C109&gt;=general!$C$23)*($C109&lt;=general!$C$27)*((1-Q$4)*Q$6)/(general!$C$27-general!$C$23+1),0))+IF(AND(general!$C$23&lt;=1,$C109&lt;=1),'draws%'!Q$5*(1-Q$4))</f>
        <v>0</v>
      </c>
      <c r="R109" s="542">
        <f>IF($C109=general!$C$27,R$4,IFERROR(($C109&lt;general!$C$23)*((1-R$4)*R$5)/(general!$C$23-1),0)+IFERROR(($C109&gt;=general!$C$23)*($C109&lt;general!$C$27)*((1-R$4)*R$6)/(general!$C$27-general!$C$23),0))+IF(AND(general!$C$23&lt;=1,$C109&lt;=1),'draws%'!R$5*(1-R$4))</f>
        <v>0</v>
      </c>
      <c r="S109" s="542">
        <f>IF(OR(C109=general!$C$27,C109=general!$C$27-1),50%,0)</f>
        <v>0</v>
      </c>
      <c r="T109" s="542">
        <f>(C109&gt;=general!$C$26-6)*(C109&lt;general!$C$26)*1/6*0.5+(C109=3)*0.25+(C109=9)*0.25</f>
        <v>0</v>
      </c>
      <c r="U109" s="542">
        <f>IF(C109='Development Cash Flow'!$C$6,$U$5,0)+IF(C109=general!$C$27,$U$6,0)</f>
        <v>0</v>
      </c>
      <c r="V109" s="542">
        <f>IF(C109=general!$C$28,1,0)</f>
        <v>0</v>
      </c>
      <c r="W109" s="542">
        <f t="shared" si="23"/>
        <v>0</v>
      </c>
      <c r="X109" s="542">
        <f>IF(C109=general!$C$23,1,0)</f>
        <v>0</v>
      </c>
      <c r="Y109" s="542">
        <f>IFERROR((C109&lt;general!$C$23)*Y$5/(general!$C$23),0)+IFERROR((C109&gt;=general!$C$23)*(C109&lt;=general!$C$27)*Y$6/(general!$C$27-general!$C$23+1),0)</f>
        <v>0</v>
      </c>
      <c r="Z109" s="542">
        <f>IFERROR(($C109&lt;general!$C$23)*Z$5/(general!$C$23),0)+IFERROR(($C109&gt;=general!$C$23)*($C109&lt;=general!$C$27)*Z$6/(general!$C$27-general!$C$23+1),0)*(1-$Z$4)+$Z$4*AF109</f>
        <v>0</v>
      </c>
      <c r="AA109" s="542">
        <f>MAX((IFERROR(($C109&lt;general!$C$23)*AA$5/(general!$C$23),0)+IFERROR(($C109&gt;=general!$C$23)*($C109&lt;=general!$C$27)*AA$6/(general!$C$27-general!$C$23+1),0)),0)</f>
        <v>0</v>
      </c>
      <c r="AB109" s="542">
        <f>MAX((IFERROR(($C109&lt;general!$C$23)*AB$5/(general!$C$23),0)+IFERROR(($C109&gt;=general!$C$23)*($C109&lt;=general!$C$27)*AB$6/(general!$C$27-general!$C$23+1),0)),0)</f>
        <v>0</v>
      </c>
      <c r="AC109" s="542">
        <f>MAX((IFERROR(($C109&lt;general!$C$23)*AC$5/(general!$C$23),0)+IFERROR(($C109&gt;=general!$C$23)*($C109&lt;=general!$C$27)*AC$6/(general!$C$27-general!$C$23+1),0)),0)</f>
        <v>0</v>
      </c>
      <c r="AD109" s="542">
        <f>MAX((IFERROR(($C109&lt;general!$C$23)*AD$5/(general!$C$23),0)+IFERROR(($C109&gt;=general!$C$23)*($C109&lt;=general!$C$27)*AD$6/(general!$C$27-general!$C$23+1),0)),0)</f>
        <v>0</v>
      </c>
      <c r="AE109" s="542">
        <f t="shared" si="28"/>
        <v>0</v>
      </c>
      <c r="AF109" s="542">
        <f>+SUMPRODUCT(--($C109=sales!$C$50:$C$54),sales!$D$50:$D$54)</f>
        <v>0</v>
      </c>
      <c r="AG109" s="542">
        <f>IF($C109=general!$C$28,AG$4,IFERROR(($C109&lt;general!$C$23)*((1-AG$4)*AG$5)/(general!$C$23-1),0)+IFERROR(($C109&gt;=general!$C$23)*($C109&lt;=general!$C$27)*((1-AG$4)*AG$6)/(general!$C$27-general!$C$23+1),0))+IF(AND(general!$C$23&lt;=1,$C109&lt;=1),'draws%'!AG$5*(1-AG$4))</f>
        <v>0</v>
      </c>
      <c r="AH109" s="542">
        <f>+IF($C109=general!$C$21,1,0)</f>
        <v>0</v>
      </c>
      <c r="AK109" s="524">
        <f>IF(A109&lt;=general!$D$27,IF(MONTH(A109)=11,1,IF(C109=general!$C$27,1,0)),)</f>
        <v>0</v>
      </c>
      <c r="AL109" s="524">
        <f>IF(AK109=1,COUNTIFS($C$8:$C$128,"&lt;="&amp;general!$C$27&amp;"",'draws%'!$AM$8:$AM$128,"="&amp;AM109&amp;""),0)</f>
        <v>0</v>
      </c>
      <c r="AM109" s="524">
        <f t="shared" si="26"/>
        <v>2035</v>
      </c>
      <c r="AN109" s="524"/>
    </row>
    <row r="110" spans="1:40" ht="14">
      <c r="A110" s="903">
        <f t="shared" si="21"/>
        <v>49368</v>
      </c>
      <c r="C110" s="897">
        <f t="shared" si="22"/>
        <v>102</v>
      </c>
      <c r="D110" s="542"/>
      <c r="E110" s="542">
        <f>IF($C110=$C$2,0,IF(OR($C110=0,$C110&lt;general!$C$23,$C110&gt;$C$2),0,E$2/$C$3+NORMDIST($C110-general!$C$23+1,$C$3/2,E$1,1)-NORMDIST($C109-general!$C$23+1,$C$3/2,E$1,1)))+IF($C110=$C$2,1-SUM(E$8:E109),0)</f>
        <v>0</v>
      </c>
      <c r="F110" s="542">
        <f>IF($C110=$C$2,0,IF(OR($C110=0,$C110&lt;general!$C$23,$C110&gt;$C$2),0,F$2/$C$3+NORMDIST($C110-general!$C$23+1,$C$3/2,F$1,1)-NORMDIST($C109-general!$C$23+1,$C$3/2,F$1,1)))+IF($C110=$C$2,1-SUM(F$8:F109),0)</f>
        <v>0</v>
      </c>
      <c r="G110" s="542">
        <f>IF($C110=$C$2,0,IF(OR($C110=0,$C110&lt;general!$C$23,$C110&gt;$C$2),0,G$2/$C$3+NORMDIST($C110-general!$C$23+1,$C$3/2,G$1,1)-NORMDIST($C109-general!$C$23+1,$C$3/2,G$1,1)))+IF($C110=$C$2,1-SUM(G$8:G109),0)</f>
        <v>0</v>
      </c>
      <c r="H110" s="542">
        <f>IF(C110=$C$2,0,IF(OR(C110=0,C110&lt;1,C110&gt;$C$2),0,$H$2/$C$2+NORMDIST(C110,$C$2/2,$H$1,1)-NORMDIST(C109,$C$2/2,$H$1,1)))+IF(C110=$C$2,1-SUM($H$9:H109),0)</f>
        <v>0</v>
      </c>
      <c r="I110" s="542">
        <f>IF(C110=$C$2,0,IF(OR(C110=0,C110&lt;1,C110&gt;$C$2),0,$I$2/$C$2+NORMDIST(C110,$C$2/2,$I$1,1)-NORMDIST(C109,$C$2/2,$I$1,1)))+IF(C110=$C$2,1-SUM($I$9:I109),0)</f>
        <v>0</v>
      </c>
      <c r="J110" s="542">
        <f>IF(C110=$C$2,0,IF(OR(C110=0,C110&lt;1,C110&gt;$C$2),0,$J$2/$C$2+NORMDIST(C110,$C$2/2,$J$1,1)-NORMDIST(C109,$C$2/2,$J$1,1)))+IF(C110=$C$2,1-SUM($J$9:J109),0)</f>
        <v>0</v>
      </c>
      <c r="K110" s="542">
        <f t="shared" si="27"/>
        <v>0</v>
      </c>
      <c r="L110" s="542">
        <f t="shared" si="24"/>
        <v>0</v>
      </c>
      <c r="M110" s="542">
        <f>IF($C110&gt;$C$2,IF($C110=sales!$F$36,M$4,0),(1-M$4)/$C$2)</f>
        <v>0</v>
      </c>
      <c r="N110" s="542">
        <f>IF(ISEVEN($C$2),IF(C110&gt;$C$2,0,IF(C110&lt;=$C$2/2,C110,C110-1-2*(SUMPRODUCT(--($C$8:C110&gt;$C$2/2))-1))/(($C$2/2)*($C$2/2+1))),0)+IF(ISODD($C$2),IF(C110&gt;$C$2,0,IF(C110-1&lt;=$C$2/2,C110,C110-2*(SUMPRODUCT(--($C$8:C110&gt;$C$2/2))-1))/((INT($C$2/2))*(INT($C$2/2)+1)+ROUNDUP($C$2/2,0))),0)</f>
        <v>0</v>
      </c>
      <c r="O110" s="542"/>
      <c r="P110" s="542">
        <f t="shared" si="25"/>
        <v>0</v>
      </c>
      <c r="Q110" s="542">
        <f>IF($C110=general!$C$28,Q$4,IFERROR(($C110&lt;general!$C$23)*((1-Q$4)*Q$5)/(general!$C$23-1),0)+IFERROR(($C110&gt;=general!$C$23)*($C110&lt;=general!$C$27)*((1-Q$4)*Q$6)/(general!$C$27-general!$C$23+1),0))+IF(AND(general!$C$23&lt;=1,$C110&lt;=1),'draws%'!Q$5*(1-Q$4))</f>
        <v>0</v>
      </c>
      <c r="R110" s="542">
        <f>IF($C110=general!$C$27,R$4,IFERROR(($C110&lt;general!$C$23)*((1-R$4)*R$5)/(general!$C$23-1),0)+IFERROR(($C110&gt;=general!$C$23)*($C110&lt;general!$C$27)*((1-R$4)*R$6)/(general!$C$27-general!$C$23),0))+IF(AND(general!$C$23&lt;=1,$C110&lt;=1),'draws%'!R$5*(1-R$4))</f>
        <v>0</v>
      </c>
      <c r="S110" s="542">
        <f>IF(OR(C110=general!$C$27,C110=general!$C$27-1),50%,0)</f>
        <v>0</v>
      </c>
      <c r="T110" s="542">
        <f>(C110&gt;=general!$C$26-6)*(C110&lt;general!$C$26)*1/6*0.5+(C110=3)*0.25+(C110=9)*0.25</f>
        <v>0</v>
      </c>
      <c r="U110" s="542">
        <f>IF(C110='Development Cash Flow'!$C$6,$U$5,0)+IF(C110=general!$C$27,$U$6,0)</f>
        <v>0</v>
      </c>
      <c r="V110" s="542">
        <f>IF(C110=general!$C$28,1,0)</f>
        <v>0</v>
      </c>
      <c r="W110" s="542">
        <f t="shared" si="23"/>
        <v>0</v>
      </c>
      <c r="X110" s="542">
        <f>IF(C110=general!$C$23,1,0)</f>
        <v>0</v>
      </c>
      <c r="Y110" s="542">
        <f>IFERROR((C110&lt;general!$C$23)*Y$5/(general!$C$23),0)+IFERROR((C110&gt;=general!$C$23)*(C110&lt;=general!$C$27)*Y$6/(general!$C$27-general!$C$23+1),0)</f>
        <v>0</v>
      </c>
      <c r="Z110" s="542">
        <f>IFERROR(($C110&lt;general!$C$23)*Z$5/(general!$C$23),0)+IFERROR(($C110&gt;=general!$C$23)*($C110&lt;=general!$C$27)*Z$6/(general!$C$27-general!$C$23+1),0)*(1-$Z$4)+$Z$4*AF110</f>
        <v>0</v>
      </c>
      <c r="AA110" s="542">
        <f>MAX((IFERROR(($C110&lt;general!$C$23)*AA$5/(general!$C$23),0)+IFERROR(($C110&gt;=general!$C$23)*($C110&lt;=general!$C$27)*AA$6/(general!$C$27-general!$C$23+1),0)),0)</f>
        <v>0</v>
      </c>
      <c r="AB110" s="542">
        <f>MAX((IFERROR(($C110&lt;general!$C$23)*AB$5/(general!$C$23),0)+IFERROR(($C110&gt;=general!$C$23)*($C110&lt;=general!$C$27)*AB$6/(general!$C$27-general!$C$23+1),0)),0)</f>
        <v>0</v>
      </c>
      <c r="AC110" s="542">
        <f>MAX((IFERROR(($C110&lt;general!$C$23)*AC$5/(general!$C$23),0)+IFERROR(($C110&gt;=general!$C$23)*($C110&lt;=general!$C$27)*AC$6/(general!$C$27-general!$C$23+1),0)),0)</f>
        <v>0</v>
      </c>
      <c r="AD110" s="542">
        <f>MAX((IFERROR(($C110&lt;general!$C$23)*AD$5/(general!$C$23),0)+IFERROR(($C110&gt;=general!$C$23)*($C110&lt;=general!$C$27)*AD$6/(general!$C$27-general!$C$23+1),0)),0)</f>
        <v>0</v>
      </c>
      <c r="AE110" s="542">
        <f t="shared" si="28"/>
        <v>0</v>
      </c>
      <c r="AF110" s="542">
        <f>+SUMPRODUCT(--($C110=sales!$C$50:$C$54),sales!$D$50:$D$54)</f>
        <v>0</v>
      </c>
      <c r="AG110" s="542">
        <f>IF($C110=general!$C$28,AG$4,IFERROR(($C110&lt;general!$C$23)*((1-AG$4)*AG$5)/(general!$C$23-1),0)+IFERROR(($C110&gt;=general!$C$23)*($C110&lt;=general!$C$27)*((1-AG$4)*AG$6)/(general!$C$27-general!$C$23+1),0))+IF(AND(general!$C$23&lt;=1,$C110&lt;=1),'draws%'!AG$5*(1-AG$4))</f>
        <v>0</v>
      </c>
      <c r="AH110" s="542">
        <f>+IF($C110=general!$C$21,1,0)</f>
        <v>0</v>
      </c>
      <c r="AK110" s="524">
        <f>IF(A110&lt;=general!$D$27,IF(MONTH(A110)=11,1,IF(C110=general!$C$27,1,0)),)</f>
        <v>0</v>
      </c>
      <c r="AL110" s="524">
        <f>IF(AK110=1,COUNTIFS($C$8:$C$128,"&lt;="&amp;general!$C$27&amp;"",'draws%'!$AM$8:$AM$128,"="&amp;AM110&amp;""),0)</f>
        <v>0</v>
      </c>
      <c r="AM110" s="524">
        <f t="shared" si="26"/>
        <v>2035</v>
      </c>
      <c r="AN110" s="524"/>
    </row>
    <row r="111" spans="1:40" ht="14">
      <c r="A111" s="903">
        <f t="shared" si="21"/>
        <v>49399</v>
      </c>
      <c r="C111" s="897">
        <f t="shared" si="22"/>
        <v>103</v>
      </c>
      <c r="D111" s="542"/>
      <c r="E111" s="542">
        <f>IF($C111=$C$2,0,IF(OR($C111=0,$C111&lt;general!$C$23,$C111&gt;$C$2),0,E$2/$C$3+NORMDIST($C111-general!$C$23+1,$C$3/2,E$1,1)-NORMDIST($C110-general!$C$23+1,$C$3/2,E$1,1)))+IF($C111=$C$2,1-SUM(E$8:E110),0)</f>
        <v>0</v>
      </c>
      <c r="F111" s="542">
        <f>IF($C111=$C$2,0,IF(OR($C111=0,$C111&lt;general!$C$23,$C111&gt;$C$2),0,F$2/$C$3+NORMDIST($C111-general!$C$23+1,$C$3/2,F$1,1)-NORMDIST($C110-general!$C$23+1,$C$3/2,F$1,1)))+IF($C111=$C$2,1-SUM(F$8:F110),0)</f>
        <v>0</v>
      </c>
      <c r="G111" s="542">
        <f>IF($C111=$C$2,0,IF(OR($C111=0,$C111&lt;general!$C$23,$C111&gt;$C$2),0,G$2/$C$3+NORMDIST($C111-general!$C$23+1,$C$3/2,G$1,1)-NORMDIST($C110-general!$C$23+1,$C$3/2,G$1,1)))+IF($C111=$C$2,1-SUM(G$8:G110),0)</f>
        <v>0</v>
      </c>
      <c r="H111" s="542">
        <f>IF(C111=$C$2,0,IF(OR(C111=0,C111&lt;1,C111&gt;$C$2),0,$H$2/$C$2+NORMDIST(C111,$C$2/2,$H$1,1)-NORMDIST(C110,$C$2/2,$H$1,1)))+IF(C111=$C$2,1-SUM($H$9:H110),0)</f>
        <v>0</v>
      </c>
      <c r="I111" s="542">
        <f>IF(C111=$C$2,0,IF(OR(C111=0,C111&lt;1,C111&gt;$C$2),0,$I$2/$C$2+NORMDIST(C111,$C$2/2,$I$1,1)-NORMDIST(C110,$C$2/2,$I$1,1)))+IF(C111=$C$2,1-SUM($I$9:I110),0)</f>
        <v>0</v>
      </c>
      <c r="J111" s="542">
        <f>IF(C111=$C$2,0,IF(OR(C111=0,C111&lt;1,C111&gt;$C$2),0,$J$2/$C$2+NORMDIST(C111,$C$2/2,$J$1,1)-NORMDIST(C110,$C$2/2,$J$1,1)))+IF(C111=$C$2,1-SUM($J$9:J110),0)</f>
        <v>0</v>
      </c>
      <c r="K111" s="542">
        <f t="shared" si="27"/>
        <v>0</v>
      </c>
      <c r="L111" s="542">
        <f t="shared" si="24"/>
        <v>0</v>
      </c>
      <c r="M111" s="542">
        <f>IF($C111&gt;$C$2,IF($C111=sales!$F$36,M$4,0),(1-M$4)/$C$2)</f>
        <v>0</v>
      </c>
      <c r="N111" s="542">
        <f>IF(ISEVEN($C$2),IF(C111&gt;$C$2,0,IF(C111&lt;=$C$2/2,C111,C111-1-2*(SUMPRODUCT(--($C$8:C111&gt;$C$2/2))-1))/(($C$2/2)*($C$2/2+1))),0)+IF(ISODD($C$2),IF(C111&gt;$C$2,0,IF(C111-1&lt;=$C$2/2,C111,C111-2*(SUMPRODUCT(--($C$8:C111&gt;$C$2/2))-1))/((INT($C$2/2))*(INT($C$2/2)+1)+ROUNDUP($C$2/2,0))),0)</f>
        <v>0</v>
      </c>
      <c r="O111" s="542"/>
      <c r="P111" s="542">
        <f t="shared" si="25"/>
        <v>0</v>
      </c>
      <c r="Q111" s="542">
        <f>IF($C111=general!$C$28,Q$4,IFERROR(($C111&lt;general!$C$23)*((1-Q$4)*Q$5)/(general!$C$23-1),0)+IFERROR(($C111&gt;=general!$C$23)*($C111&lt;=general!$C$27)*((1-Q$4)*Q$6)/(general!$C$27-general!$C$23+1),0))+IF(AND(general!$C$23&lt;=1,$C111&lt;=1),'draws%'!Q$5*(1-Q$4))</f>
        <v>0</v>
      </c>
      <c r="R111" s="542">
        <f>IF($C111=general!$C$27,R$4,IFERROR(($C111&lt;general!$C$23)*((1-R$4)*R$5)/(general!$C$23-1),0)+IFERROR(($C111&gt;=general!$C$23)*($C111&lt;general!$C$27)*((1-R$4)*R$6)/(general!$C$27-general!$C$23),0))+IF(AND(general!$C$23&lt;=1,$C111&lt;=1),'draws%'!R$5*(1-R$4))</f>
        <v>0</v>
      </c>
      <c r="S111" s="542">
        <f>IF(OR(C111=general!$C$27,C111=general!$C$27-1),50%,0)</f>
        <v>0</v>
      </c>
      <c r="T111" s="542">
        <f>(C111&gt;=general!$C$26-6)*(C111&lt;general!$C$26)*1/6*0.5+(C111=3)*0.25+(C111=9)*0.25</f>
        <v>0</v>
      </c>
      <c r="U111" s="542">
        <f>IF(C111='Development Cash Flow'!$C$6,$U$5,0)+IF(C111=general!$C$27,$U$6,0)</f>
        <v>0</v>
      </c>
      <c r="V111" s="542">
        <f>IF(C111=general!$C$28,1,0)</f>
        <v>0</v>
      </c>
      <c r="W111" s="542">
        <f t="shared" ref="W111:W128" si="29">IF(AND(C111&gt;=$C$2-5,C111&lt;=$C$2),1/12,0)</f>
        <v>0</v>
      </c>
      <c r="X111" s="542">
        <f>IF(C111=general!$C$23,1,0)</f>
        <v>0</v>
      </c>
      <c r="Y111" s="542">
        <f>IFERROR((C111&lt;general!$C$23)*Y$5/(general!$C$23),0)+IFERROR((C111&gt;=general!$C$23)*(C111&lt;=general!$C$27)*Y$6/(general!$C$27-general!$C$23+1),0)</f>
        <v>0</v>
      </c>
      <c r="Z111" s="542">
        <f>IFERROR(($C111&lt;general!$C$23)*Z$5/(general!$C$23),0)+IFERROR(($C111&gt;=general!$C$23)*($C111&lt;=general!$C$27)*Z$6/(general!$C$27-general!$C$23+1),0)*(1-$Z$4)+$Z$4*AF111</f>
        <v>0</v>
      </c>
      <c r="AA111" s="542">
        <f>MAX((IFERROR(($C111&lt;general!$C$23)*AA$5/(general!$C$23),0)+IFERROR(($C111&gt;=general!$C$23)*($C111&lt;=general!$C$27)*AA$6/(general!$C$27-general!$C$23+1),0)),0)</f>
        <v>0</v>
      </c>
      <c r="AB111" s="542">
        <f>MAX((IFERROR(($C111&lt;general!$C$23)*AB$5/(general!$C$23),0)+IFERROR(($C111&gt;=general!$C$23)*($C111&lt;=general!$C$27)*AB$6/(general!$C$27-general!$C$23+1),0)),0)</f>
        <v>0</v>
      </c>
      <c r="AC111" s="542">
        <f>MAX((IFERROR(($C111&lt;general!$C$23)*AC$5/(general!$C$23),0)+IFERROR(($C111&gt;=general!$C$23)*($C111&lt;=general!$C$27)*AC$6/(general!$C$27-general!$C$23+1),0)),0)</f>
        <v>0</v>
      </c>
      <c r="AD111" s="542">
        <f>MAX((IFERROR(($C111&lt;general!$C$23)*AD$5/(general!$C$23),0)+IFERROR(($C111&gt;=general!$C$23)*($C111&lt;=general!$C$27)*AD$6/(general!$C$27-general!$C$23+1),0)),0)</f>
        <v>0</v>
      </c>
      <c r="AE111" s="542">
        <f t="shared" si="28"/>
        <v>0</v>
      </c>
      <c r="AF111" s="542">
        <f>+SUMPRODUCT(--($C111=sales!$C$50:$C$54),sales!$D$50:$D$54)</f>
        <v>0</v>
      </c>
      <c r="AG111" s="542">
        <f>IF($C111=general!$C$28,AG$4,IFERROR(($C111&lt;general!$C$23)*((1-AG$4)*AG$5)/(general!$C$23-1),0)+IFERROR(($C111&gt;=general!$C$23)*($C111&lt;=general!$C$27)*((1-AG$4)*AG$6)/(general!$C$27-general!$C$23+1),0))+IF(AND(general!$C$23&lt;=1,$C111&lt;=1),'draws%'!AG$5*(1-AG$4))</f>
        <v>0</v>
      </c>
      <c r="AH111" s="542">
        <f>+IF($C111=general!$C$21,1,0)</f>
        <v>0</v>
      </c>
      <c r="AK111" s="524">
        <f>IF(A111&lt;=general!$D$27,IF(MONTH(A111)=11,1,IF(C111=general!$C$27,1,0)),)</f>
        <v>0</v>
      </c>
      <c r="AL111" s="524">
        <f>IF(AK111=1,COUNTIFS($C$8:$C$128,"&lt;="&amp;general!$C$27&amp;"",'draws%'!$AM$8:$AM$128,"="&amp;AM111&amp;""),0)</f>
        <v>0</v>
      </c>
      <c r="AM111" s="524">
        <f t="shared" si="26"/>
        <v>2035</v>
      </c>
      <c r="AN111" s="524"/>
    </row>
    <row r="112" spans="1:40" ht="14">
      <c r="A112" s="903">
        <f t="shared" si="21"/>
        <v>49429</v>
      </c>
      <c r="C112" s="897">
        <f t="shared" si="22"/>
        <v>104</v>
      </c>
      <c r="D112" s="542"/>
      <c r="E112" s="542">
        <f>IF($C112=$C$2,0,IF(OR($C112=0,$C112&lt;general!$C$23,$C112&gt;$C$2),0,E$2/$C$3+NORMDIST($C112-general!$C$23+1,$C$3/2,E$1,1)-NORMDIST($C111-general!$C$23+1,$C$3/2,E$1,1)))+IF($C112=$C$2,1-SUM(E$8:E111),0)</f>
        <v>0</v>
      </c>
      <c r="F112" s="542">
        <f>IF($C112=$C$2,0,IF(OR($C112=0,$C112&lt;general!$C$23,$C112&gt;$C$2),0,F$2/$C$3+NORMDIST($C112-general!$C$23+1,$C$3/2,F$1,1)-NORMDIST($C111-general!$C$23+1,$C$3/2,F$1,1)))+IF($C112=$C$2,1-SUM(F$8:F111),0)</f>
        <v>0</v>
      </c>
      <c r="G112" s="542">
        <f>IF($C112=$C$2,0,IF(OR($C112=0,$C112&lt;general!$C$23,$C112&gt;$C$2),0,G$2/$C$3+NORMDIST($C112-general!$C$23+1,$C$3/2,G$1,1)-NORMDIST($C111-general!$C$23+1,$C$3/2,G$1,1)))+IF($C112=$C$2,1-SUM(G$8:G111),0)</f>
        <v>0</v>
      </c>
      <c r="H112" s="542">
        <f>IF(C112=$C$2,0,IF(OR(C112=0,C112&lt;1,C112&gt;$C$2),0,$H$2/$C$2+NORMDIST(C112,$C$2/2,$H$1,1)-NORMDIST(C111,$C$2/2,$H$1,1)))+IF(C112=$C$2,1-SUM($H$9:H111),0)</f>
        <v>0</v>
      </c>
      <c r="I112" s="542">
        <f>IF(C112=$C$2,0,IF(OR(C112=0,C112&lt;1,C112&gt;$C$2),0,$I$2/$C$2+NORMDIST(C112,$C$2/2,$I$1,1)-NORMDIST(C111,$C$2/2,$I$1,1)))+IF(C112=$C$2,1-SUM($I$9:I111),0)</f>
        <v>0</v>
      </c>
      <c r="J112" s="542">
        <f>IF(C112=$C$2,0,IF(OR(C112=0,C112&lt;1,C112&gt;$C$2),0,$J$2/$C$2+NORMDIST(C112,$C$2/2,$J$1,1)-NORMDIST(C111,$C$2/2,$J$1,1)))+IF(C112=$C$2,1-SUM($J$9:J111),0)</f>
        <v>0</v>
      </c>
      <c r="K112" s="542">
        <f t="shared" si="27"/>
        <v>0</v>
      </c>
      <c r="L112" s="542">
        <f t="shared" si="24"/>
        <v>0</v>
      </c>
      <c r="M112" s="542">
        <f>IF($C112&gt;$C$2,IF($C112=sales!$F$36,M$4,0),(1-M$4)/$C$2)</f>
        <v>0</v>
      </c>
      <c r="N112" s="542">
        <f>IF(ISEVEN($C$2),IF(C112&gt;$C$2,0,IF(C112&lt;=$C$2/2,C112,C112-1-2*(SUMPRODUCT(--($C$8:C112&gt;$C$2/2))-1))/(($C$2/2)*($C$2/2+1))),0)+IF(ISODD($C$2),IF(C112&gt;$C$2,0,IF(C112-1&lt;=$C$2/2,C112,C112-2*(SUMPRODUCT(--($C$8:C112&gt;$C$2/2))-1))/((INT($C$2/2))*(INT($C$2/2)+1)+ROUNDUP($C$2/2,0))),0)</f>
        <v>0</v>
      </c>
      <c r="O112" s="542"/>
      <c r="P112" s="542">
        <f t="shared" si="25"/>
        <v>0</v>
      </c>
      <c r="Q112" s="542">
        <f>IF($C112=general!$C$28,Q$4,IFERROR(($C112&lt;general!$C$23)*((1-Q$4)*Q$5)/(general!$C$23-1),0)+IFERROR(($C112&gt;=general!$C$23)*($C112&lt;=general!$C$27)*((1-Q$4)*Q$6)/(general!$C$27-general!$C$23+1),0))+IF(AND(general!$C$23&lt;=1,$C112&lt;=1),'draws%'!Q$5*(1-Q$4))</f>
        <v>0</v>
      </c>
      <c r="R112" s="542">
        <f>IF($C112=general!$C$27,R$4,IFERROR(($C112&lt;general!$C$23)*((1-R$4)*R$5)/(general!$C$23-1),0)+IFERROR(($C112&gt;=general!$C$23)*($C112&lt;general!$C$27)*((1-R$4)*R$6)/(general!$C$27-general!$C$23),0))+IF(AND(general!$C$23&lt;=1,$C112&lt;=1),'draws%'!R$5*(1-R$4))</f>
        <v>0</v>
      </c>
      <c r="S112" s="542">
        <f>IF(OR(C112=general!$C$27,C112=general!$C$27-1),50%,0)</f>
        <v>0</v>
      </c>
      <c r="T112" s="542">
        <f>(C112&gt;=general!$C$26-6)*(C112&lt;general!$C$26)*1/6*0.5+(C112=3)*0.25+(C112=9)*0.25</f>
        <v>0</v>
      </c>
      <c r="U112" s="542">
        <f>IF(C112='Development Cash Flow'!$C$6,$U$5,0)+IF(C112=general!$C$27,$U$6,0)</f>
        <v>0</v>
      </c>
      <c r="V112" s="542">
        <f>IF(C112=general!$C$28,1,0)</f>
        <v>0</v>
      </c>
      <c r="W112" s="542">
        <f t="shared" si="29"/>
        <v>0</v>
      </c>
      <c r="X112" s="542">
        <f>IF(C112=general!$C$23,1,0)</f>
        <v>0</v>
      </c>
      <c r="Y112" s="542">
        <f>IFERROR((C112&lt;general!$C$23)*Y$5/(general!$C$23),0)+IFERROR((C112&gt;=general!$C$23)*(C112&lt;=general!$C$27)*Y$6/(general!$C$27-general!$C$23+1),0)</f>
        <v>0</v>
      </c>
      <c r="Z112" s="542">
        <f>IFERROR(($C112&lt;general!$C$23)*Z$5/(general!$C$23),0)+IFERROR(($C112&gt;=general!$C$23)*($C112&lt;=general!$C$27)*Z$6/(general!$C$27-general!$C$23+1),0)*(1-$Z$4)+$Z$4*AF112</f>
        <v>0</v>
      </c>
      <c r="AA112" s="542">
        <f>MAX((IFERROR(($C112&lt;general!$C$23)*AA$5/(general!$C$23),0)+IFERROR(($C112&gt;=general!$C$23)*($C112&lt;=general!$C$27)*AA$6/(general!$C$27-general!$C$23+1),0)),0)</f>
        <v>0</v>
      </c>
      <c r="AB112" s="542">
        <f>MAX((IFERROR(($C112&lt;general!$C$23)*AB$5/(general!$C$23),0)+IFERROR(($C112&gt;=general!$C$23)*($C112&lt;=general!$C$27)*AB$6/(general!$C$27-general!$C$23+1),0)),0)</f>
        <v>0</v>
      </c>
      <c r="AC112" s="542">
        <f>MAX((IFERROR(($C112&lt;general!$C$23)*AC$5/(general!$C$23),0)+IFERROR(($C112&gt;=general!$C$23)*($C112&lt;=general!$C$27)*AC$6/(general!$C$27-general!$C$23+1),0)),0)</f>
        <v>0</v>
      </c>
      <c r="AD112" s="542">
        <f>MAX((IFERROR(($C112&lt;general!$C$23)*AD$5/(general!$C$23),0)+IFERROR(($C112&gt;=general!$C$23)*($C112&lt;=general!$C$27)*AD$6/(general!$C$27-general!$C$23+1),0)),0)</f>
        <v>0</v>
      </c>
      <c r="AE112" s="542">
        <f t="shared" si="28"/>
        <v>0</v>
      </c>
      <c r="AF112" s="542">
        <f>+SUMPRODUCT(--($C112=sales!$C$50:$C$54),sales!$D$50:$D$54)</f>
        <v>0</v>
      </c>
      <c r="AG112" s="542">
        <f>IF($C112=general!$C$28,AG$4,IFERROR(($C112&lt;general!$C$23)*((1-AG$4)*AG$5)/(general!$C$23-1),0)+IFERROR(($C112&gt;=general!$C$23)*($C112&lt;=general!$C$27)*((1-AG$4)*AG$6)/(general!$C$27-general!$C$23+1),0))+IF(AND(general!$C$23&lt;=1,$C112&lt;=1),'draws%'!AG$5*(1-AG$4))</f>
        <v>0</v>
      </c>
      <c r="AH112" s="542">
        <f>+IF($C112=general!$C$21,1,0)</f>
        <v>0</v>
      </c>
      <c r="AK112" s="524">
        <f>IF(A112&lt;=general!$D$27,IF(MONTH(A112)=11,1,IF(C112=general!$C$27,1,0)),)</f>
        <v>0</v>
      </c>
      <c r="AL112" s="524">
        <f>IF(AK112=1,COUNTIFS($C$8:$C$128,"&lt;="&amp;general!$C$27&amp;"",'draws%'!$AM$8:$AM$128,"="&amp;AM112&amp;""),0)</f>
        <v>0</v>
      </c>
      <c r="AM112" s="524">
        <f t="shared" si="26"/>
        <v>2035</v>
      </c>
      <c r="AN112" s="524"/>
    </row>
    <row r="113" spans="1:40" ht="14">
      <c r="A113" s="903">
        <f t="shared" si="21"/>
        <v>49460</v>
      </c>
      <c r="C113" s="897">
        <f t="shared" si="22"/>
        <v>105</v>
      </c>
      <c r="D113" s="542"/>
      <c r="E113" s="542">
        <f>IF($C113=$C$2,0,IF(OR($C113=0,$C113&lt;general!$C$23,$C113&gt;$C$2),0,E$2/$C$3+NORMDIST($C113-general!$C$23+1,$C$3/2,E$1,1)-NORMDIST($C112-general!$C$23+1,$C$3/2,E$1,1)))+IF($C113=$C$2,1-SUM(E$8:E112),0)</f>
        <v>0</v>
      </c>
      <c r="F113" s="542">
        <f>IF($C113=$C$2,0,IF(OR($C113=0,$C113&lt;general!$C$23,$C113&gt;$C$2),0,F$2/$C$3+NORMDIST($C113-general!$C$23+1,$C$3/2,F$1,1)-NORMDIST($C112-general!$C$23+1,$C$3/2,F$1,1)))+IF($C113=$C$2,1-SUM(F$8:F112),0)</f>
        <v>0</v>
      </c>
      <c r="G113" s="542">
        <f>IF($C113=$C$2,0,IF(OR($C113=0,$C113&lt;general!$C$23,$C113&gt;$C$2),0,G$2/$C$3+NORMDIST($C113-general!$C$23+1,$C$3/2,G$1,1)-NORMDIST($C112-general!$C$23+1,$C$3/2,G$1,1)))+IF($C113=$C$2,1-SUM(G$8:G112),0)</f>
        <v>0</v>
      </c>
      <c r="H113" s="542">
        <f>IF(C113=$C$2,0,IF(OR(C113=0,C113&lt;1,C113&gt;$C$2),0,$H$2/$C$2+NORMDIST(C113,$C$2/2,$H$1,1)-NORMDIST(C112,$C$2/2,$H$1,1)))+IF(C113=$C$2,1-SUM($H$9:H112),0)</f>
        <v>0</v>
      </c>
      <c r="I113" s="542">
        <f>IF(C113=$C$2,0,IF(OR(C113=0,C113&lt;1,C113&gt;$C$2),0,$I$2/$C$2+NORMDIST(C113,$C$2/2,$I$1,1)-NORMDIST(C112,$C$2/2,$I$1,1)))+IF(C113=$C$2,1-SUM($I$9:I112),0)</f>
        <v>0</v>
      </c>
      <c r="J113" s="542">
        <f>IF(C113=$C$2,0,IF(OR(C113=0,C113&lt;1,C113&gt;$C$2),0,$J$2/$C$2+NORMDIST(C113,$C$2/2,$J$1,1)-NORMDIST(C112,$C$2/2,$J$1,1)))+IF(C113=$C$2,1-SUM($J$9:J112),0)</f>
        <v>0</v>
      </c>
      <c r="K113" s="542">
        <f t="shared" si="27"/>
        <v>0</v>
      </c>
      <c r="L113" s="542">
        <f t="shared" si="24"/>
        <v>0</v>
      </c>
      <c r="M113" s="542">
        <f>IF($C113&gt;$C$2,IF($C113=sales!$F$36,M$4,0),(1-M$4)/$C$2)</f>
        <v>0</v>
      </c>
      <c r="N113" s="542">
        <f>IF(ISEVEN($C$2),IF(C113&gt;$C$2,0,IF(C113&lt;=$C$2/2,C113,C113-1-2*(SUMPRODUCT(--($C$8:C113&gt;$C$2/2))-1))/(($C$2/2)*($C$2/2+1))),0)+IF(ISODD($C$2),IF(C113&gt;$C$2,0,IF(C113-1&lt;=$C$2/2,C113,C113-2*(SUMPRODUCT(--($C$8:C113&gt;$C$2/2))-1))/((INT($C$2/2))*(INT($C$2/2)+1)+ROUNDUP($C$2/2,0))),0)</f>
        <v>0</v>
      </c>
      <c r="O113" s="542"/>
      <c r="P113" s="542">
        <f t="shared" si="25"/>
        <v>0</v>
      </c>
      <c r="Q113" s="542">
        <f>IF($C113=general!$C$28,Q$4,IFERROR(($C113&lt;general!$C$23)*((1-Q$4)*Q$5)/(general!$C$23-1),0)+IFERROR(($C113&gt;=general!$C$23)*($C113&lt;=general!$C$27)*((1-Q$4)*Q$6)/(general!$C$27-general!$C$23+1),0))+IF(AND(general!$C$23&lt;=1,$C113&lt;=1),'draws%'!Q$5*(1-Q$4))</f>
        <v>0</v>
      </c>
      <c r="R113" s="542">
        <f>IF($C113=general!$C$27,R$4,IFERROR(($C113&lt;general!$C$23)*((1-R$4)*R$5)/(general!$C$23-1),0)+IFERROR(($C113&gt;=general!$C$23)*($C113&lt;general!$C$27)*((1-R$4)*R$6)/(general!$C$27-general!$C$23),0))+IF(AND(general!$C$23&lt;=1,$C113&lt;=1),'draws%'!R$5*(1-R$4))</f>
        <v>0</v>
      </c>
      <c r="S113" s="542">
        <f>IF(OR(C113=general!$C$27,C113=general!$C$27-1),50%,0)</f>
        <v>0</v>
      </c>
      <c r="T113" s="542">
        <f>(C113&gt;=general!$C$26-6)*(C113&lt;general!$C$26)*1/6*0.5+(C113=3)*0.25+(C113=9)*0.25</f>
        <v>0</v>
      </c>
      <c r="U113" s="542">
        <f>IF(C113='Development Cash Flow'!$C$6,$U$5,0)+IF(C113=general!$C$27,$U$6,0)</f>
        <v>0</v>
      </c>
      <c r="V113" s="542">
        <f>IF(C113=general!$C$28,1,0)</f>
        <v>0</v>
      </c>
      <c r="W113" s="542">
        <f t="shared" si="29"/>
        <v>0</v>
      </c>
      <c r="X113" s="542">
        <f>IF(C113=general!$C$23,1,0)</f>
        <v>0</v>
      </c>
      <c r="Y113" s="542">
        <f>IFERROR((C113&lt;general!$C$23)*Y$5/(general!$C$23),0)+IFERROR((C113&gt;=general!$C$23)*(C113&lt;=general!$C$27)*Y$6/(general!$C$27-general!$C$23+1),0)</f>
        <v>0</v>
      </c>
      <c r="Z113" s="542">
        <f>IFERROR(($C113&lt;general!$C$23)*Z$5/(general!$C$23),0)+IFERROR(($C113&gt;=general!$C$23)*($C113&lt;=general!$C$27)*Z$6/(general!$C$27-general!$C$23+1),0)*(1-$Z$4)+$Z$4*AF113</f>
        <v>0</v>
      </c>
      <c r="AA113" s="542">
        <f>MAX((IFERROR(($C113&lt;general!$C$23)*AA$5/(general!$C$23),0)+IFERROR(($C113&gt;=general!$C$23)*($C113&lt;=general!$C$27)*AA$6/(general!$C$27-general!$C$23+1),0)),0)</f>
        <v>0</v>
      </c>
      <c r="AB113" s="542">
        <f>MAX((IFERROR(($C113&lt;general!$C$23)*AB$5/(general!$C$23),0)+IFERROR(($C113&gt;=general!$C$23)*($C113&lt;=general!$C$27)*AB$6/(general!$C$27-general!$C$23+1),0)),0)</f>
        <v>0</v>
      </c>
      <c r="AC113" s="542">
        <f>MAX((IFERROR(($C113&lt;general!$C$23)*AC$5/(general!$C$23),0)+IFERROR(($C113&gt;=general!$C$23)*($C113&lt;=general!$C$27)*AC$6/(general!$C$27-general!$C$23+1),0)),0)</f>
        <v>0</v>
      </c>
      <c r="AD113" s="542">
        <f>MAX((IFERROR(($C113&lt;general!$C$23)*AD$5/(general!$C$23),0)+IFERROR(($C113&gt;=general!$C$23)*($C113&lt;=general!$C$27)*AD$6/(general!$C$27-general!$C$23+1),0)),0)</f>
        <v>0</v>
      </c>
      <c r="AE113" s="542">
        <f t="shared" si="28"/>
        <v>0</v>
      </c>
      <c r="AF113" s="542">
        <f>+SUMPRODUCT(--($C113=sales!$C$50:$C$54),sales!$D$50:$D$54)</f>
        <v>0</v>
      </c>
      <c r="AG113" s="542">
        <f>IF($C113=general!$C$28,AG$4,IFERROR(($C113&lt;general!$C$23)*((1-AG$4)*AG$5)/(general!$C$23-1),0)+IFERROR(($C113&gt;=general!$C$23)*($C113&lt;=general!$C$27)*((1-AG$4)*AG$6)/(general!$C$27-general!$C$23+1),0))+IF(AND(general!$C$23&lt;=1,$C113&lt;=1),'draws%'!AG$5*(1-AG$4))</f>
        <v>0</v>
      </c>
      <c r="AH113" s="542">
        <f>+IF($C113=general!$C$21,1,0)</f>
        <v>0</v>
      </c>
      <c r="AK113" s="524">
        <f>IF(A113&lt;=general!$D$27,IF(MONTH(A113)=11,1,IF(C113=general!$C$27,1,0)),)</f>
        <v>0</v>
      </c>
      <c r="AL113" s="524">
        <f>IF(AK113=1,COUNTIFS($C$8:$C$128,"&lt;="&amp;general!$C$27&amp;"",'draws%'!$AM$8:$AM$128,"="&amp;AM113&amp;""),0)</f>
        <v>0</v>
      </c>
      <c r="AM113" s="524">
        <f t="shared" si="26"/>
        <v>2035</v>
      </c>
      <c r="AN113" s="524"/>
    </row>
    <row r="114" spans="1:40" ht="14">
      <c r="A114" s="903">
        <f t="shared" si="21"/>
        <v>49490</v>
      </c>
      <c r="C114" s="897">
        <f t="shared" si="22"/>
        <v>106</v>
      </c>
      <c r="D114" s="542"/>
      <c r="E114" s="542">
        <f>IF($C114=$C$2,0,IF(OR($C114=0,$C114&lt;general!$C$23,$C114&gt;$C$2),0,E$2/$C$3+NORMDIST($C114-general!$C$23+1,$C$3/2,E$1,1)-NORMDIST($C113-general!$C$23+1,$C$3/2,E$1,1)))+IF($C114=$C$2,1-SUM(E$8:E113),0)</f>
        <v>0</v>
      </c>
      <c r="F114" s="542">
        <f>IF($C114=$C$2,0,IF(OR($C114=0,$C114&lt;general!$C$23,$C114&gt;$C$2),0,F$2/$C$3+NORMDIST($C114-general!$C$23+1,$C$3/2,F$1,1)-NORMDIST($C113-general!$C$23+1,$C$3/2,F$1,1)))+IF($C114=$C$2,1-SUM(F$8:F113),0)</f>
        <v>0</v>
      </c>
      <c r="G114" s="542">
        <f>IF($C114=$C$2,0,IF(OR($C114=0,$C114&lt;general!$C$23,$C114&gt;$C$2),0,G$2/$C$3+NORMDIST($C114-general!$C$23+1,$C$3/2,G$1,1)-NORMDIST($C113-general!$C$23+1,$C$3/2,G$1,1)))+IF($C114=$C$2,1-SUM(G$8:G113),0)</f>
        <v>0</v>
      </c>
      <c r="H114" s="542">
        <f>IF(C114=$C$2,0,IF(OR(C114=0,C114&lt;1,C114&gt;$C$2),0,$H$2/$C$2+NORMDIST(C114,$C$2/2,$H$1,1)-NORMDIST(C113,$C$2/2,$H$1,1)))+IF(C114=$C$2,1-SUM($H$9:H113),0)</f>
        <v>0</v>
      </c>
      <c r="I114" s="542">
        <f>IF(C114=$C$2,0,IF(OR(C114=0,C114&lt;1,C114&gt;$C$2),0,$I$2/$C$2+NORMDIST(C114,$C$2/2,$I$1,1)-NORMDIST(C113,$C$2/2,$I$1,1)))+IF(C114=$C$2,1-SUM($I$9:I113),0)</f>
        <v>0</v>
      </c>
      <c r="J114" s="542">
        <f>IF(C114=$C$2,0,IF(OR(C114=0,C114&lt;1,C114&gt;$C$2),0,$J$2/$C$2+NORMDIST(C114,$C$2/2,$J$1,1)-NORMDIST(C113,$C$2/2,$J$1,1)))+IF(C114=$C$2,1-SUM($J$9:J113),0)</f>
        <v>0</v>
      </c>
      <c r="K114" s="542">
        <f t="shared" si="27"/>
        <v>0</v>
      </c>
      <c r="L114" s="542">
        <f t="shared" si="24"/>
        <v>0</v>
      </c>
      <c r="M114" s="542">
        <f>IF($C114&gt;$C$2,IF($C114=sales!$F$36,M$4,0),(1-M$4)/$C$2)</f>
        <v>0</v>
      </c>
      <c r="N114" s="542">
        <f>IF(ISEVEN($C$2),IF(C114&gt;$C$2,0,IF(C114&lt;=$C$2/2,C114,C114-1-2*(SUMPRODUCT(--($C$8:C114&gt;$C$2/2))-1))/(($C$2/2)*($C$2/2+1))),0)+IF(ISODD($C$2),IF(C114&gt;$C$2,0,IF(C114-1&lt;=$C$2/2,C114,C114-2*(SUMPRODUCT(--($C$8:C114&gt;$C$2/2))-1))/((INT($C$2/2))*(INT($C$2/2)+1)+ROUNDUP($C$2/2,0))),0)</f>
        <v>0</v>
      </c>
      <c r="O114" s="542"/>
      <c r="P114" s="542">
        <f t="shared" si="25"/>
        <v>0</v>
      </c>
      <c r="Q114" s="542">
        <f>IF($C114=general!$C$28,Q$4,IFERROR(($C114&lt;general!$C$23)*((1-Q$4)*Q$5)/(general!$C$23-1),0)+IFERROR(($C114&gt;=general!$C$23)*($C114&lt;=general!$C$27)*((1-Q$4)*Q$6)/(general!$C$27-general!$C$23+1),0))+IF(AND(general!$C$23&lt;=1,$C114&lt;=1),'draws%'!Q$5*(1-Q$4))</f>
        <v>0</v>
      </c>
      <c r="R114" s="542">
        <f>IF($C114=general!$C$27,R$4,IFERROR(($C114&lt;general!$C$23)*((1-R$4)*R$5)/(general!$C$23-1),0)+IFERROR(($C114&gt;=general!$C$23)*($C114&lt;general!$C$27)*((1-R$4)*R$6)/(general!$C$27-general!$C$23),0))+IF(AND(general!$C$23&lt;=1,$C114&lt;=1),'draws%'!R$5*(1-R$4))</f>
        <v>0</v>
      </c>
      <c r="S114" s="542">
        <f>IF(OR(C114=general!$C$27,C114=general!$C$27-1),50%,0)</f>
        <v>0</v>
      </c>
      <c r="T114" s="542">
        <f>(C114&gt;=general!$C$26-6)*(C114&lt;general!$C$26)*1/6*0.5+(C114=3)*0.25+(C114=9)*0.25</f>
        <v>0</v>
      </c>
      <c r="U114" s="542">
        <f>IF(C114='Development Cash Flow'!$C$6,$U$5,0)+IF(C114=general!$C$27,$U$6,0)</f>
        <v>0</v>
      </c>
      <c r="V114" s="542">
        <f>IF(C114=general!$C$28,1,0)</f>
        <v>0</v>
      </c>
      <c r="W114" s="542">
        <f t="shared" si="29"/>
        <v>0</v>
      </c>
      <c r="X114" s="542">
        <f>IF(C114=general!$C$23,1,0)</f>
        <v>0</v>
      </c>
      <c r="Y114" s="542">
        <f>IFERROR((C114&lt;general!$C$23)*Y$5/(general!$C$23),0)+IFERROR((C114&gt;=general!$C$23)*(C114&lt;=general!$C$27)*Y$6/(general!$C$27-general!$C$23+1),0)</f>
        <v>0</v>
      </c>
      <c r="Z114" s="542">
        <f>IFERROR(($C114&lt;general!$C$23)*Z$5/(general!$C$23),0)+IFERROR(($C114&gt;=general!$C$23)*($C114&lt;=general!$C$27)*Z$6/(general!$C$27-general!$C$23+1),0)*(1-$Z$4)+$Z$4*AF114</f>
        <v>0</v>
      </c>
      <c r="AA114" s="542">
        <f>MAX((IFERROR(($C114&lt;general!$C$23)*AA$5/(general!$C$23),0)+IFERROR(($C114&gt;=general!$C$23)*($C114&lt;=general!$C$27)*AA$6/(general!$C$27-general!$C$23+1),0)),0)</f>
        <v>0</v>
      </c>
      <c r="AB114" s="542">
        <f>MAX((IFERROR(($C114&lt;general!$C$23)*AB$5/(general!$C$23),0)+IFERROR(($C114&gt;=general!$C$23)*($C114&lt;=general!$C$27)*AB$6/(general!$C$27-general!$C$23+1),0)),0)</f>
        <v>0</v>
      </c>
      <c r="AC114" s="542">
        <f>MAX((IFERROR(($C114&lt;general!$C$23)*AC$5/(general!$C$23),0)+IFERROR(($C114&gt;=general!$C$23)*($C114&lt;=general!$C$27)*AC$6/(general!$C$27-general!$C$23+1),0)),0)</f>
        <v>0</v>
      </c>
      <c r="AD114" s="542">
        <f>MAX((IFERROR(($C114&lt;general!$C$23)*AD$5/(general!$C$23),0)+IFERROR(($C114&gt;=general!$C$23)*($C114&lt;=general!$C$27)*AD$6/(general!$C$27-general!$C$23+1),0)),0)</f>
        <v>0</v>
      </c>
      <c r="AE114" s="542">
        <f t="shared" si="28"/>
        <v>0</v>
      </c>
      <c r="AF114" s="542">
        <f>+SUMPRODUCT(--($C114=sales!$C$50:$C$54),sales!$D$50:$D$54)</f>
        <v>0</v>
      </c>
      <c r="AG114" s="542">
        <f>IF($C114=general!$C$28,AG$4,IFERROR(($C114&lt;general!$C$23)*((1-AG$4)*AG$5)/(general!$C$23-1),0)+IFERROR(($C114&gt;=general!$C$23)*($C114&lt;=general!$C$27)*((1-AG$4)*AG$6)/(general!$C$27-general!$C$23+1),0))+IF(AND(general!$C$23&lt;=1,$C114&lt;=1),'draws%'!AG$5*(1-AG$4))</f>
        <v>0</v>
      </c>
      <c r="AH114" s="542">
        <f>+IF($C114=general!$C$21,1,0)</f>
        <v>0</v>
      </c>
      <c r="AK114" s="524">
        <f>IF(A114&lt;=general!$D$27,IF(MONTH(A114)=11,1,IF(C114=general!$C$27,1,0)),)</f>
        <v>0</v>
      </c>
      <c r="AL114" s="524">
        <f>IF(AK114=1,COUNTIFS($C$8:$C$128,"&lt;="&amp;general!$C$27&amp;"",'draws%'!$AM$8:$AM$128,"="&amp;AM114&amp;""),0)</f>
        <v>0</v>
      </c>
      <c r="AM114" s="524">
        <f t="shared" si="26"/>
        <v>2035</v>
      </c>
      <c r="AN114" s="524"/>
    </row>
    <row r="115" spans="1:40" ht="14">
      <c r="A115" s="903">
        <f t="shared" si="21"/>
        <v>49521</v>
      </c>
      <c r="C115" s="897">
        <f t="shared" si="22"/>
        <v>107</v>
      </c>
      <c r="D115" s="542"/>
      <c r="E115" s="542">
        <f>IF($C115=$C$2,0,IF(OR($C115=0,$C115&lt;general!$C$23,$C115&gt;$C$2),0,E$2/$C$3+NORMDIST($C115-general!$C$23+1,$C$3/2,E$1,1)-NORMDIST($C114-general!$C$23+1,$C$3/2,E$1,1)))+IF($C115=$C$2,1-SUM(E$8:E114),0)</f>
        <v>0</v>
      </c>
      <c r="F115" s="542">
        <f>IF($C115=$C$2,0,IF(OR($C115=0,$C115&lt;general!$C$23,$C115&gt;$C$2),0,F$2/$C$3+NORMDIST($C115-general!$C$23+1,$C$3/2,F$1,1)-NORMDIST($C114-general!$C$23+1,$C$3/2,F$1,1)))+IF($C115=$C$2,1-SUM(F$8:F114),0)</f>
        <v>0</v>
      </c>
      <c r="G115" s="542">
        <f>IF($C115=$C$2,0,IF(OR($C115=0,$C115&lt;general!$C$23,$C115&gt;$C$2),0,G$2/$C$3+NORMDIST($C115-general!$C$23+1,$C$3/2,G$1,1)-NORMDIST($C114-general!$C$23+1,$C$3/2,G$1,1)))+IF($C115=$C$2,1-SUM(G$8:G114),0)</f>
        <v>0</v>
      </c>
      <c r="H115" s="542">
        <f>IF(C115=$C$2,0,IF(OR(C115=0,C115&lt;1,C115&gt;$C$2),0,$H$2/$C$2+NORMDIST(C115,$C$2/2,$H$1,1)-NORMDIST(C114,$C$2/2,$H$1,1)))+IF(C115=$C$2,1-SUM($H$9:H114),0)</f>
        <v>0</v>
      </c>
      <c r="I115" s="542">
        <f>IF(C115=$C$2,0,IF(OR(C115=0,C115&lt;1,C115&gt;$C$2),0,$I$2/$C$2+NORMDIST(C115,$C$2/2,$I$1,1)-NORMDIST(C114,$C$2/2,$I$1,1)))+IF(C115=$C$2,1-SUM($I$9:I114),0)</f>
        <v>0</v>
      </c>
      <c r="J115" s="542">
        <f>IF(C115=$C$2,0,IF(OR(C115=0,C115&lt;1,C115&gt;$C$2),0,$J$2/$C$2+NORMDIST(C115,$C$2/2,$J$1,1)-NORMDIST(C114,$C$2/2,$J$1,1)))+IF(C115=$C$2,1-SUM($J$9:J114),0)</f>
        <v>0</v>
      </c>
      <c r="K115" s="542">
        <f t="shared" si="27"/>
        <v>0</v>
      </c>
      <c r="L115" s="542">
        <f t="shared" si="24"/>
        <v>0</v>
      </c>
      <c r="M115" s="542">
        <f>IF($C115&gt;$C$2,IF($C115=sales!$F$36,M$4,0),(1-M$4)/$C$2)</f>
        <v>0</v>
      </c>
      <c r="N115" s="542">
        <f>IF(ISEVEN($C$2),IF(C115&gt;$C$2,0,IF(C115&lt;=$C$2/2,C115,C115-1-2*(SUMPRODUCT(--($C$8:C115&gt;$C$2/2))-1))/(($C$2/2)*($C$2/2+1))),0)+IF(ISODD($C$2),IF(C115&gt;$C$2,0,IF(C115-1&lt;=$C$2/2,C115,C115-2*(SUMPRODUCT(--($C$8:C115&gt;$C$2/2))-1))/((INT($C$2/2))*(INT($C$2/2)+1)+ROUNDUP($C$2/2,0))),0)</f>
        <v>0</v>
      </c>
      <c r="O115" s="542"/>
      <c r="P115" s="542">
        <f t="shared" si="25"/>
        <v>0</v>
      </c>
      <c r="Q115" s="542">
        <f>IF($C115=general!$C$28,Q$4,IFERROR(($C115&lt;general!$C$23)*((1-Q$4)*Q$5)/(general!$C$23-1),0)+IFERROR(($C115&gt;=general!$C$23)*($C115&lt;=general!$C$27)*((1-Q$4)*Q$6)/(general!$C$27-general!$C$23+1),0))+IF(AND(general!$C$23&lt;=1,$C115&lt;=1),'draws%'!Q$5*(1-Q$4))</f>
        <v>0</v>
      </c>
      <c r="R115" s="542">
        <f>IF($C115=general!$C$27,R$4,IFERROR(($C115&lt;general!$C$23)*((1-R$4)*R$5)/(general!$C$23-1),0)+IFERROR(($C115&gt;=general!$C$23)*($C115&lt;general!$C$27)*((1-R$4)*R$6)/(general!$C$27-general!$C$23),0))+IF(AND(general!$C$23&lt;=1,$C115&lt;=1),'draws%'!R$5*(1-R$4))</f>
        <v>0</v>
      </c>
      <c r="S115" s="542">
        <f>IF(OR(C115=general!$C$27,C115=general!$C$27-1),50%,0)</f>
        <v>0</v>
      </c>
      <c r="T115" s="542">
        <f>(C115&gt;=general!$C$26-6)*(C115&lt;general!$C$26)*1/6*0.5+(C115=3)*0.25+(C115=9)*0.25</f>
        <v>0</v>
      </c>
      <c r="U115" s="542">
        <f>IF(C115='Development Cash Flow'!$C$6,$U$5,0)+IF(C115=general!$C$27,$U$6,0)</f>
        <v>0</v>
      </c>
      <c r="V115" s="542">
        <f>IF(C115=general!$C$28,1,0)</f>
        <v>0</v>
      </c>
      <c r="W115" s="542">
        <f t="shared" si="29"/>
        <v>0</v>
      </c>
      <c r="X115" s="542">
        <f>IF(C115=general!$C$23,1,0)</f>
        <v>0</v>
      </c>
      <c r="Y115" s="542">
        <f>IFERROR((C115&lt;general!$C$23)*Y$5/(general!$C$23),0)+IFERROR((C115&gt;=general!$C$23)*(C115&lt;=general!$C$27)*Y$6/(general!$C$27-general!$C$23+1),0)</f>
        <v>0</v>
      </c>
      <c r="Z115" s="542">
        <f>IFERROR(($C115&lt;general!$C$23)*Z$5/(general!$C$23),0)+IFERROR(($C115&gt;=general!$C$23)*($C115&lt;=general!$C$27)*Z$6/(general!$C$27-general!$C$23+1),0)*(1-$Z$4)+$Z$4*AF115</f>
        <v>0</v>
      </c>
      <c r="AA115" s="542">
        <f>MAX((IFERROR(($C115&lt;general!$C$23)*AA$5/(general!$C$23),0)+IFERROR(($C115&gt;=general!$C$23)*($C115&lt;=general!$C$27)*AA$6/(general!$C$27-general!$C$23+1),0)),0)</f>
        <v>0</v>
      </c>
      <c r="AB115" s="542">
        <f>MAX((IFERROR(($C115&lt;general!$C$23)*AB$5/(general!$C$23),0)+IFERROR(($C115&gt;=general!$C$23)*($C115&lt;=general!$C$27)*AB$6/(general!$C$27-general!$C$23+1),0)),0)</f>
        <v>0</v>
      </c>
      <c r="AC115" s="542">
        <f>MAX((IFERROR(($C115&lt;general!$C$23)*AC$5/(general!$C$23),0)+IFERROR(($C115&gt;=general!$C$23)*($C115&lt;=general!$C$27)*AC$6/(general!$C$27-general!$C$23+1),0)),0)</f>
        <v>0</v>
      </c>
      <c r="AD115" s="542">
        <f>MAX((IFERROR(($C115&lt;general!$C$23)*AD$5/(general!$C$23),0)+IFERROR(($C115&gt;=general!$C$23)*($C115&lt;=general!$C$27)*AD$6/(general!$C$27-general!$C$23+1),0)),0)</f>
        <v>0</v>
      </c>
      <c r="AE115" s="542">
        <f t="shared" si="28"/>
        <v>0</v>
      </c>
      <c r="AF115" s="542">
        <f>+SUMPRODUCT(--($C115=sales!$C$50:$C$54),sales!$D$50:$D$54)</f>
        <v>0</v>
      </c>
      <c r="AG115" s="542">
        <f>IF($C115=general!$C$28,AG$4,IFERROR(($C115&lt;general!$C$23)*((1-AG$4)*AG$5)/(general!$C$23-1),0)+IFERROR(($C115&gt;=general!$C$23)*($C115&lt;=general!$C$27)*((1-AG$4)*AG$6)/(general!$C$27-general!$C$23+1),0))+IF(AND(general!$C$23&lt;=1,$C115&lt;=1),'draws%'!AG$5*(1-AG$4))</f>
        <v>0</v>
      </c>
      <c r="AH115" s="542">
        <f>+IF($C115=general!$C$21,1,0)</f>
        <v>0</v>
      </c>
      <c r="AK115" s="524">
        <f>IF(A115&lt;=general!$D$27,IF(MONTH(A115)=11,1,IF(C115=general!$C$27,1,0)),)</f>
        <v>0</v>
      </c>
      <c r="AL115" s="524">
        <f>IF(AK115=1,COUNTIFS($C$8:$C$128,"&lt;="&amp;general!$C$27&amp;"",'draws%'!$AM$8:$AM$128,"="&amp;AM115&amp;""),0)</f>
        <v>0</v>
      </c>
      <c r="AM115" s="524">
        <f t="shared" si="26"/>
        <v>2035</v>
      </c>
      <c r="AN115" s="524"/>
    </row>
    <row r="116" spans="1:40" ht="14">
      <c r="A116" s="903">
        <f t="shared" si="21"/>
        <v>49552</v>
      </c>
      <c r="C116" s="897">
        <f t="shared" si="22"/>
        <v>108</v>
      </c>
      <c r="D116" s="542"/>
      <c r="E116" s="542">
        <f>IF($C116=$C$2,0,IF(OR($C116=0,$C116&lt;general!$C$23,$C116&gt;$C$2),0,E$2/$C$3+NORMDIST($C116-general!$C$23+1,$C$3/2,E$1,1)-NORMDIST($C115-general!$C$23+1,$C$3/2,E$1,1)))+IF($C116=$C$2,1-SUM(E$8:E115),0)</f>
        <v>0</v>
      </c>
      <c r="F116" s="542">
        <f>IF($C116=$C$2,0,IF(OR($C116=0,$C116&lt;general!$C$23,$C116&gt;$C$2),0,F$2/$C$3+NORMDIST($C116-general!$C$23+1,$C$3/2,F$1,1)-NORMDIST($C115-general!$C$23+1,$C$3/2,F$1,1)))+IF($C116=$C$2,1-SUM(F$8:F115),0)</f>
        <v>0</v>
      </c>
      <c r="G116" s="542">
        <f>IF($C116=$C$2,0,IF(OR($C116=0,$C116&lt;general!$C$23,$C116&gt;$C$2),0,G$2/$C$3+NORMDIST($C116-general!$C$23+1,$C$3/2,G$1,1)-NORMDIST($C115-general!$C$23+1,$C$3/2,G$1,1)))+IF($C116=$C$2,1-SUM(G$8:G115),0)</f>
        <v>0</v>
      </c>
      <c r="H116" s="542">
        <f>IF(C116=$C$2,0,IF(OR(C116=0,C116&lt;1,C116&gt;$C$2),0,$H$2/$C$2+NORMDIST(C116,$C$2/2,$H$1,1)-NORMDIST(C115,$C$2/2,$H$1,1)))+IF(C116=$C$2,1-SUM($H$9:H115),0)</f>
        <v>0</v>
      </c>
      <c r="I116" s="542">
        <f>IF(C116=$C$2,0,IF(OR(C116=0,C116&lt;1,C116&gt;$C$2),0,$I$2/$C$2+NORMDIST(C116,$C$2/2,$I$1,1)-NORMDIST(C115,$C$2/2,$I$1,1)))+IF(C116=$C$2,1-SUM($I$9:I115),0)</f>
        <v>0</v>
      </c>
      <c r="J116" s="542">
        <f>IF(C116=$C$2,0,IF(OR(C116=0,C116&lt;1,C116&gt;$C$2),0,$J$2/$C$2+NORMDIST(C116,$C$2/2,$J$1,1)-NORMDIST(C115,$C$2/2,$J$1,1)))+IF(C116=$C$2,1-SUM($J$9:J115),0)</f>
        <v>0</v>
      </c>
      <c r="K116" s="542">
        <f t="shared" si="27"/>
        <v>0</v>
      </c>
      <c r="L116" s="542">
        <f t="shared" si="24"/>
        <v>0</v>
      </c>
      <c r="M116" s="542">
        <f>IF($C116&gt;$C$2,IF($C116=sales!$F$36,M$4,0),(1-M$4)/$C$2)</f>
        <v>0</v>
      </c>
      <c r="N116" s="542">
        <f>IF(ISEVEN($C$2),IF(C116&gt;$C$2,0,IF(C116&lt;=$C$2/2,C116,C116-1-2*(SUMPRODUCT(--($C$8:C116&gt;$C$2/2))-1))/(($C$2/2)*($C$2/2+1))),0)+IF(ISODD($C$2),IF(C116&gt;$C$2,0,IF(C116-1&lt;=$C$2/2,C116,C116-2*(SUMPRODUCT(--($C$8:C116&gt;$C$2/2))-1))/((INT($C$2/2))*(INT($C$2/2)+1)+ROUNDUP($C$2/2,0))),0)</f>
        <v>0</v>
      </c>
      <c r="O116" s="542"/>
      <c r="P116" s="542">
        <f t="shared" si="25"/>
        <v>0</v>
      </c>
      <c r="Q116" s="542">
        <f>IF($C116=general!$C$28,Q$4,IFERROR(($C116&lt;general!$C$23)*((1-Q$4)*Q$5)/(general!$C$23-1),0)+IFERROR(($C116&gt;=general!$C$23)*($C116&lt;=general!$C$27)*((1-Q$4)*Q$6)/(general!$C$27-general!$C$23+1),0))+IF(AND(general!$C$23&lt;=1,$C116&lt;=1),'draws%'!Q$5*(1-Q$4))</f>
        <v>0</v>
      </c>
      <c r="R116" s="542">
        <f>IF($C116=general!$C$27,R$4,IFERROR(($C116&lt;general!$C$23)*((1-R$4)*R$5)/(general!$C$23-1),0)+IFERROR(($C116&gt;=general!$C$23)*($C116&lt;general!$C$27)*((1-R$4)*R$6)/(general!$C$27-general!$C$23),0))+IF(AND(general!$C$23&lt;=1,$C116&lt;=1),'draws%'!R$5*(1-R$4))</f>
        <v>0</v>
      </c>
      <c r="S116" s="542">
        <f>IF(OR(C116=general!$C$27,C116=general!$C$27-1),50%,0)</f>
        <v>0</v>
      </c>
      <c r="T116" s="542">
        <f>(C116&gt;=general!$C$26-6)*(C116&lt;general!$C$26)*1/6*0.5+(C116=3)*0.25+(C116=9)*0.25</f>
        <v>0</v>
      </c>
      <c r="U116" s="542">
        <f>IF(C116='Development Cash Flow'!$C$6,$U$5,0)+IF(C116=general!$C$27,$U$6,0)</f>
        <v>0</v>
      </c>
      <c r="V116" s="542">
        <f>IF(C116=general!$C$28,1,0)</f>
        <v>0</v>
      </c>
      <c r="W116" s="542">
        <f t="shared" si="29"/>
        <v>0</v>
      </c>
      <c r="X116" s="542">
        <f>IF(C116=general!$C$23,1,0)</f>
        <v>0</v>
      </c>
      <c r="Y116" s="542">
        <f>IFERROR((C116&lt;general!$C$23)*Y$5/(general!$C$23),0)+IFERROR((C116&gt;=general!$C$23)*(C116&lt;=general!$C$27)*Y$6/(general!$C$27-general!$C$23+1),0)</f>
        <v>0</v>
      </c>
      <c r="Z116" s="542">
        <f>IFERROR(($C116&lt;general!$C$23)*Z$5/(general!$C$23),0)+IFERROR(($C116&gt;=general!$C$23)*($C116&lt;=general!$C$27)*Z$6/(general!$C$27-general!$C$23+1),0)*(1-$Z$4)+$Z$4*AF116</f>
        <v>0</v>
      </c>
      <c r="AA116" s="542">
        <f>MAX((IFERROR(($C116&lt;general!$C$23)*AA$5/(general!$C$23),0)+IFERROR(($C116&gt;=general!$C$23)*($C116&lt;=general!$C$27)*AA$6/(general!$C$27-general!$C$23+1),0)),0)</f>
        <v>0</v>
      </c>
      <c r="AB116" s="542">
        <f>MAX((IFERROR(($C116&lt;general!$C$23)*AB$5/(general!$C$23),0)+IFERROR(($C116&gt;=general!$C$23)*($C116&lt;=general!$C$27)*AB$6/(general!$C$27-general!$C$23+1),0)),0)</f>
        <v>0</v>
      </c>
      <c r="AC116" s="542">
        <f>MAX((IFERROR(($C116&lt;general!$C$23)*AC$5/(general!$C$23),0)+IFERROR(($C116&gt;=general!$C$23)*($C116&lt;=general!$C$27)*AC$6/(general!$C$27-general!$C$23+1),0)),0)</f>
        <v>0</v>
      </c>
      <c r="AD116" s="542">
        <f>MAX((IFERROR(($C116&lt;general!$C$23)*AD$5/(general!$C$23),0)+IFERROR(($C116&gt;=general!$C$23)*($C116&lt;=general!$C$27)*AD$6/(general!$C$27-general!$C$23+1),0)),0)</f>
        <v>0</v>
      </c>
      <c r="AE116" s="542">
        <f t="shared" si="28"/>
        <v>0</v>
      </c>
      <c r="AF116" s="542">
        <f>+SUMPRODUCT(--($C116=sales!$C$50:$C$54),sales!$D$50:$D$54)</f>
        <v>0</v>
      </c>
      <c r="AG116" s="542">
        <f>IF($C116=general!$C$28,AG$4,IFERROR(($C116&lt;general!$C$23)*((1-AG$4)*AG$5)/(general!$C$23-1),0)+IFERROR(($C116&gt;=general!$C$23)*($C116&lt;=general!$C$27)*((1-AG$4)*AG$6)/(general!$C$27-general!$C$23+1),0))+IF(AND(general!$C$23&lt;=1,$C116&lt;=1),'draws%'!AG$5*(1-AG$4))</f>
        <v>0</v>
      </c>
      <c r="AH116" s="542">
        <f>+IF($C116=general!$C$21,1,0)</f>
        <v>0</v>
      </c>
      <c r="AK116" s="524">
        <f>IF(A116&lt;=general!$D$27,IF(MONTH(A116)=11,1,IF(C116=general!$C$27,1,0)),)</f>
        <v>0</v>
      </c>
      <c r="AL116" s="524">
        <f>IF(AK116=1,COUNTIFS($C$8:$C$128,"&lt;="&amp;general!$C$27&amp;"",'draws%'!$AM$8:$AM$128,"="&amp;AM116&amp;""),0)</f>
        <v>0</v>
      </c>
      <c r="AM116" s="524">
        <f t="shared" si="26"/>
        <v>2035</v>
      </c>
      <c r="AN116" s="524"/>
    </row>
    <row r="117" spans="1:40" ht="14">
      <c r="A117" s="903">
        <f t="shared" si="21"/>
        <v>49582</v>
      </c>
      <c r="C117" s="897">
        <f t="shared" si="22"/>
        <v>109</v>
      </c>
      <c r="D117" s="542"/>
      <c r="E117" s="542">
        <f>IF($C117=$C$2,0,IF(OR($C117=0,$C117&lt;general!$C$23,$C117&gt;$C$2),0,E$2/$C$3+NORMDIST($C117-general!$C$23+1,$C$3/2,E$1,1)-NORMDIST($C116-general!$C$23+1,$C$3/2,E$1,1)))+IF($C117=$C$2,1-SUM(E$8:E116),0)</f>
        <v>0</v>
      </c>
      <c r="F117" s="542">
        <f>IF($C117=$C$2,0,IF(OR($C117=0,$C117&lt;general!$C$23,$C117&gt;$C$2),0,F$2/$C$3+NORMDIST($C117-general!$C$23+1,$C$3/2,F$1,1)-NORMDIST($C116-general!$C$23+1,$C$3/2,F$1,1)))+IF($C117=$C$2,1-SUM(F$8:F116),0)</f>
        <v>0</v>
      </c>
      <c r="G117" s="542">
        <f>IF($C117=$C$2,0,IF(OR($C117=0,$C117&lt;general!$C$23,$C117&gt;$C$2),0,G$2/$C$3+NORMDIST($C117-general!$C$23+1,$C$3/2,G$1,1)-NORMDIST($C116-general!$C$23+1,$C$3/2,G$1,1)))+IF($C117=$C$2,1-SUM(G$8:G116),0)</f>
        <v>0</v>
      </c>
      <c r="H117" s="542">
        <f>IF(C117=$C$2,0,IF(OR(C117=0,C117&lt;1,C117&gt;$C$2),0,$H$2/$C$2+NORMDIST(C117,$C$2/2,$H$1,1)-NORMDIST(C116,$C$2/2,$H$1,1)))+IF(C117=$C$2,1-SUM($H$9:H116),0)</f>
        <v>0</v>
      </c>
      <c r="I117" s="542">
        <f>IF(C117=$C$2,0,IF(OR(C117=0,C117&lt;1,C117&gt;$C$2),0,$I$2/$C$2+NORMDIST(C117,$C$2/2,$I$1,1)-NORMDIST(C116,$C$2/2,$I$1,1)))+IF(C117=$C$2,1-SUM($I$9:I116),0)</f>
        <v>0</v>
      </c>
      <c r="J117" s="542">
        <f>IF(C117=$C$2,0,IF(OR(C117=0,C117&lt;1,C117&gt;$C$2),0,$J$2/$C$2+NORMDIST(C117,$C$2/2,$J$1,1)-NORMDIST(C116,$C$2/2,$J$1,1)))+IF(C117=$C$2,1-SUM($J$9:J116),0)</f>
        <v>0</v>
      </c>
      <c r="K117" s="542">
        <f t="shared" si="27"/>
        <v>0</v>
      </c>
      <c r="L117" s="542">
        <f t="shared" si="24"/>
        <v>0</v>
      </c>
      <c r="M117" s="542">
        <f>IF($C117&gt;$C$2,IF($C117=sales!$F$36,M$4,0),(1-M$4)/$C$2)</f>
        <v>0</v>
      </c>
      <c r="N117" s="542">
        <f>IF(ISEVEN($C$2),IF(C117&gt;$C$2,0,IF(C117&lt;=$C$2/2,C117,C117-1-2*(SUMPRODUCT(--($C$8:C117&gt;$C$2/2))-1))/(($C$2/2)*($C$2/2+1))),0)+IF(ISODD($C$2),IF(C117&gt;$C$2,0,IF(C117-1&lt;=$C$2/2,C117,C117-2*(SUMPRODUCT(--($C$8:C117&gt;$C$2/2))-1))/((INT($C$2/2))*(INT($C$2/2)+1)+ROUNDUP($C$2/2,0))),0)</f>
        <v>0</v>
      </c>
      <c r="O117" s="542"/>
      <c r="P117" s="542">
        <f t="shared" si="25"/>
        <v>0</v>
      </c>
      <c r="Q117" s="542">
        <f>IF($C117=general!$C$28,Q$4,IFERROR(($C117&lt;general!$C$23)*((1-Q$4)*Q$5)/(general!$C$23-1),0)+IFERROR(($C117&gt;=general!$C$23)*($C117&lt;=general!$C$27)*((1-Q$4)*Q$6)/(general!$C$27-general!$C$23+1),0))+IF(AND(general!$C$23&lt;=1,$C117&lt;=1),'draws%'!Q$5*(1-Q$4))</f>
        <v>0</v>
      </c>
      <c r="R117" s="542">
        <f>IF($C117=general!$C$27,R$4,IFERROR(($C117&lt;general!$C$23)*((1-R$4)*R$5)/(general!$C$23-1),0)+IFERROR(($C117&gt;=general!$C$23)*($C117&lt;general!$C$27)*((1-R$4)*R$6)/(general!$C$27-general!$C$23),0))+IF(AND(general!$C$23&lt;=1,$C117&lt;=1),'draws%'!R$5*(1-R$4))</f>
        <v>0</v>
      </c>
      <c r="S117" s="542">
        <f>IF(OR(C117=general!$C$27,C117=general!$C$27-1),50%,0)</f>
        <v>0</v>
      </c>
      <c r="T117" s="542">
        <f>(C117&gt;=general!$C$26-6)*(C117&lt;general!$C$26)*1/6*0.5+(C117=3)*0.25+(C117=9)*0.25</f>
        <v>0</v>
      </c>
      <c r="U117" s="542">
        <f>IF(C117='Development Cash Flow'!$C$6,$U$5,0)+IF(C117=general!$C$27,$U$6,0)</f>
        <v>0</v>
      </c>
      <c r="V117" s="542">
        <f>IF(C117=general!$C$28,1,0)</f>
        <v>0</v>
      </c>
      <c r="W117" s="542">
        <f t="shared" si="29"/>
        <v>0</v>
      </c>
      <c r="X117" s="542">
        <f>IF(C117=general!$C$23,1,0)</f>
        <v>0</v>
      </c>
      <c r="Y117" s="542">
        <f>IFERROR((C117&lt;general!$C$23)*Y$5/(general!$C$23),0)+IFERROR((C117&gt;=general!$C$23)*(C117&lt;=general!$C$27)*Y$6/(general!$C$27-general!$C$23+1),0)</f>
        <v>0</v>
      </c>
      <c r="Z117" s="542">
        <f>IFERROR(($C117&lt;general!$C$23)*Z$5/(general!$C$23),0)+IFERROR(($C117&gt;=general!$C$23)*($C117&lt;=general!$C$27)*Z$6/(general!$C$27-general!$C$23+1),0)*(1-$Z$4)+$Z$4*AF117</f>
        <v>0</v>
      </c>
      <c r="AA117" s="542">
        <f>MAX((IFERROR(($C117&lt;general!$C$23)*AA$5/(general!$C$23),0)+IFERROR(($C117&gt;=general!$C$23)*($C117&lt;=general!$C$27)*AA$6/(general!$C$27-general!$C$23+1),0)),0)</f>
        <v>0</v>
      </c>
      <c r="AB117" s="542">
        <f>MAX((IFERROR(($C117&lt;general!$C$23)*AB$5/(general!$C$23),0)+IFERROR(($C117&gt;=general!$C$23)*($C117&lt;=general!$C$27)*AB$6/(general!$C$27-general!$C$23+1),0)),0)</f>
        <v>0</v>
      </c>
      <c r="AC117" s="542">
        <f>MAX((IFERROR(($C117&lt;general!$C$23)*AC$5/(general!$C$23),0)+IFERROR(($C117&gt;=general!$C$23)*($C117&lt;=general!$C$27)*AC$6/(general!$C$27-general!$C$23+1),0)),0)</f>
        <v>0</v>
      </c>
      <c r="AD117" s="542">
        <f>MAX((IFERROR(($C117&lt;general!$C$23)*AD$5/(general!$C$23),0)+IFERROR(($C117&gt;=general!$C$23)*($C117&lt;=general!$C$27)*AD$6/(general!$C$27-general!$C$23+1),0)),0)</f>
        <v>0</v>
      </c>
      <c r="AE117" s="542">
        <f t="shared" si="28"/>
        <v>0</v>
      </c>
      <c r="AF117" s="542">
        <f>+SUMPRODUCT(--($C117=sales!$C$50:$C$54),sales!$D$50:$D$54)</f>
        <v>0</v>
      </c>
      <c r="AG117" s="542">
        <f>IF($C117=general!$C$28,AG$4,IFERROR(($C117&lt;general!$C$23)*((1-AG$4)*AG$5)/(general!$C$23-1),0)+IFERROR(($C117&gt;=general!$C$23)*($C117&lt;=general!$C$27)*((1-AG$4)*AG$6)/(general!$C$27-general!$C$23+1),0))+IF(AND(general!$C$23&lt;=1,$C117&lt;=1),'draws%'!AG$5*(1-AG$4))</f>
        <v>0</v>
      </c>
      <c r="AH117" s="542">
        <f>+IF($C117=general!$C$21,1,0)</f>
        <v>0</v>
      </c>
      <c r="AK117" s="524">
        <f>IF(A117&lt;=general!$D$27,IF(MONTH(A117)=11,1,IF(C117=general!$C$27,1,0)),)</f>
        <v>0</v>
      </c>
      <c r="AL117" s="524">
        <f>IF(AK117=1,COUNTIFS($C$8:$C$128,"&lt;="&amp;general!$C$27&amp;"",'draws%'!$AM$8:$AM$128,"="&amp;AM117&amp;""),0)</f>
        <v>0</v>
      </c>
      <c r="AM117" s="524">
        <f t="shared" si="26"/>
        <v>2035</v>
      </c>
      <c r="AN117" s="524"/>
    </row>
    <row r="118" spans="1:40" ht="14">
      <c r="A118" s="903">
        <f t="shared" si="21"/>
        <v>49613</v>
      </c>
      <c r="C118" s="897">
        <f t="shared" si="22"/>
        <v>110</v>
      </c>
      <c r="D118" s="542"/>
      <c r="E118" s="542">
        <f>IF($C118=$C$2,0,IF(OR($C118=0,$C118&lt;general!$C$23,$C118&gt;$C$2),0,E$2/$C$3+NORMDIST($C118-general!$C$23+1,$C$3/2,E$1,1)-NORMDIST($C117-general!$C$23+1,$C$3/2,E$1,1)))+IF($C118=$C$2,1-SUM(E$8:E117),0)</f>
        <v>0</v>
      </c>
      <c r="F118" s="542">
        <f>IF($C118=$C$2,0,IF(OR($C118=0,$C118&lt;general!$C$23,$C118&gt;$C$2),0,F$2/$C$3+NORMDIST($C118-general!$C$23+1,$C$3/2,F$1,1)-NORMDIST($C117-general!$C$23+1,$C$3/2,F$1,1)))+IF($C118=$C$2,1-SUM(F$8:F117),0)</f>
        <v>0</v>
      </c>
      <c r="G118" s="542">
        <f>IF($C118=$C$2,0,IF(OR($C118=0,$C118&lt;general!$C$23,$C118&gt;$C$2),0,G$2/$C$3+NORMDIST($C118-general!$C$23+1,$C$3/2,G$1,1)-NORMDIST($C117-general!$C$23+1,$C$3/2,G$1,1)))+IF($C118=$C$2,1-SUM(G$8:G117),0)</f>
        <v>0</v>
      </c>
      <c r="H118" s="542">
        <f>IF(C118=$C$2,0,IF(OR(C118=0,C118&lt;1,C118&gt;$C$2),0,$H$2/$C$2+NORMDIST(C118,$C$2/2,$H$1,1)-NORMDIST(C117,$C$2/2,$H$1,1)))+IF(C118=$C$2,1-SUM($H$9:H117),0)</f>
        <v>0</v>
      </c>
      <c r="I118" s="542">
        <f>IF(C118=$C$2,0,IF(OR(C118=0,C118&lt;1,C118&gt;$C$2),0,$I$2/$C$2+NORMDIST(C118,$C$2/2,$I$1,1)-NORMDIST(C117,$C$2/2,$I$1,1)))+IF(C118=$C$2,1-SUM($I$9:I117),0)</f>
        <v>0</v>
      </c>
      <c r="J118" s="542">
        <f>IF(C118=$C$2,0,IF(OR(C118=0,C118&lt;1,C118&gt;$C$2),0,$J$2/$C$2+NORMDIST(C118,$C$2/2,$J$1,1)-NORMDIST(C117,$C$2/2,$J$1,1)))+IF(C118=$C$2,1-SUM($J$9:J117),0)</f>
        <v>0</v>
      </c>
      <c r="K118" s="542">
        <f t="shared" si="27"/>
        <v>0</v>
      </c>
      <c r="L118" s="542">
        <f t="shared" si="24"/>
        <v>0</v>
      </c>
      <c r="M118" s="542">
        <f>IF($C118&gt;$C$2,IF($C118=sales!$F$36,M$4,0),(1-M$4)/$C$2)</f>
        <v>0</v>
      </c>
      <c r="N118" s="542">
        <f>IF(ISEVEN($C$2),IF(C118&gt;$C$2,0,IF(C118&lt;=$C$2/2,C118,C118-1-2*(SUMPRODUCT(--($C$8:C118&gt;$C$2/2))-1))/(($C$2/2)*($C$2/2+1))),0)+IF(ISODD($C$2),IF(C118&gt;$C$2,0,IF(C118-1&lt;=$C$2/2,C118,C118-2*(SUMPRODUCT(--($C$8:C118&gt;$C$2/2))-1))/((INT($C$2/2))*(INT($C$2/2)+1)+ROUNDUP($C$2/2,0))),0)</f>
        <v>0</v>
      </c>
      <c r="O118" s="542"/>
      <c r="P118" s="542">
        <f t="shared" si="25"/>
        <v>0</v>
      </c>
      <c r="Q118" s="542">
        <f>IF($C118=general!$C$28,Q$4,IFERROR(($C118&lt;general!$C$23)*((1-Q$4)*Q$5)/(general!$C$23-1),0)+IFERROR(($C118&gt;=general!$C$23)*($C118&lt;=general!$C$27)*((1-Q$4)*Q$6)/(general!$C$27-general!$C$23+1),0))+IF(AND(general!$C$23&lt;=1,$C118&lt;=1),'draws%'!Q$5*(1-Q$4))</f>
        <v>0</v>
      </c>
      <c r="R118" s="542">
        <f>IF($C118=general!$C$27,R$4,IFERROR(($C118&lt;general!$C$23)*((1-R$4)*R$5)/(general!$C$23-1),0)+IFERROR(($C118&gt;=general!$C$23)*($C118&lt;general!$C$27)*((1-R$4)*R$6)/(general!$C$27-general!$C$23),0))+IF(AND(general!$C$23&lt;=1,$C118&lt;=1),'draws%'!R$5*(1-R$4))</f>
        <v>0</v>
      </c>
      <c r="S118" s="542">
        <f>IF(OR(C118=general!$C$27,C118=general!$C$27-1),50%,0)</f>
        <v>0</v>
      </c>
      <c r="T118" s="542">
        <f>(C118&gt;=general!$C$26-6)*(C118&lt;general!$C$26)*1/6*0.5+(C118=3)*0.25+(C118=9)*0.25</f>
        <v>0</v>
      </c>
      <c r="U118" s="542">
        <f>IF(C118='Development Cash Flow'!$C$6,$U$5,0)+IF(C118=general!$C$27,$U$6,0)</f>
        <v>0</v>
      </c>
      <c r="V118" s="542">
        <f>IF(C118=general!$C$28,1,0)</f>
        <v>0</v>
      </c>
      <c r="W118" s="542">
        <f t="shared" si="29"/>
        <v>0</v>
      </c>
      <c r="X118" s="542">
        <f>IF(C118=general!$C$23,1,0)</f>
        <v>0</v>
      </c>
      <c r="Y118" s="542">
        <f>IFERROR((C118&lt;general!$C$23)*Y$5/(general!$C$23),0)+IFERROR((C118&gt;=general!$C$23)*(C118&lt;=general!$C$27)*Y$6/(general!$C$27-general!$C$23+1),0)</f>
        <v>0</v>
      </c>
      <c r="Z118" s="542">
        <f>IFERROR(($C118&lt;general!$C$23)*Z$5/(general!$C$23),0)+IFERROR(($C118&gt;=general!$C$23)*($C118&lt;=general!$C$27)*Z$6/(general!$C$27-general!$C$23+1),0)*(1-$Z$4)+$Z$4*AF118</f>
        <v>0</v>
      </c>
      <c r="AA118" s="542">
        <f>MAX((IFERROR(($C118&lt;general!$C$23)*AA$5/(general!$C$23),0)+IFERROR(($C118&gt;=general!$C$23)*($C118&lt;=general!$C$27)*AA$6/(general!$C$27-general!$C$23+1),0)),0)</f>
        <v>0</v>
      </c>
      <c r="AB118" s="542">
        <f>MAX((IFERROR(($C118&lt;general!$C$23)*AB$5/(general!$C$23),0)+IFERROR(($C118&gt;=general!$C$23)*($C118&lt;=general!$C$27)*AB$6/(general!$C$27-general!$C$23+1),0)),0)</f>
        <v>0</v>
      </c>
      <c r="AC118" s="542">
        <f>MAX((IFERROR(($C118&lt;general!$C$23)*AC$5/(general!$C$23),0)+IFERROR(($C118&gt;=general!$C$23)*($C118&lt;=general!$C$27)*AC$6/(general!$C$27-general!$C$23+1),0)),0)</f>
        <v>0</v>
      </c>
      <c r="AD118" s="542">
        <f>MAX((IFERROR(($C118&lt;general!$C$23)*AD$5/(general!$C$23),0)+IFERROR(($C118&gt;=general!$C$23)*($C118&lt;=general!$C$27)*AD$6/(general!$C$27-general!$C$23+1),0)),0)</f>
        <v>0</v>
      </c>
      <c r="AE118" s="542">
        <f t="shared" si="28"/>
        <v>0</v>
      </c>
      <c r="AF118" s="542">
        <f>+SUMPRODUCT(--($C118=sales!$C$50:$C$54),sales!$D$50:$D$54)</f>
        <v>0</v>
      </c>
      <c r="AG118" s="542">
        <f>IF($C118=general!$C$28,AG$4,IFERROR(($C118&lt;general!$C$23)*((1-AG$4)*AG$5)/(general!$C$23-1),0)+IFERROR(($C118&gt;=general!$C$23)*($C118&lt;=general!$C$27)*((1-AG$4)*AG$6)/(general!$C$27-general!$C$23+1),0))+IF(AND(general!$C$23&lt;=1,$C118&lt;=1),'draws%'!AG$5*(1-AG$4))</f>
        <v>0</v>
      </c>
      <c r="AH118" s="542">
        <f>+IF($C118=general!$C$21,1,0)</f>
        <v>0</v>
      </c>
      <c r="AK118" s="524">
        <f>IF(A118&lt;=general!$D$27,IF(MONTH(A118)=11,1,IF(C118=general!$C$27,1,0)),)</f>
        <v>0</v>
      </c>
      <c r="AL118" s="524">
        <f>IF(AK118=1,COUNTIFS($C$8:$C$128,"&lt;="&amp;general!$C$27&amp;"",'draws%'!$AM$8:$AM$128,"="&amp;AM118&amp;""),0)</f>
        <v>0</v>
      </c>
      <c r="AM118" s="524">
        <f t="shared" si="26"/>
        <v>2035</v>
      </c>
      <c r="AN118" s="524"/>
    </row>
    <row r="119" spans="1:40" ht="14">
      <c r="A119" s="903">
        <f t="shared" si="21"/>
        <v>49643</v>
      </c>
      <c r="C119" s="897">
        <f t="shared" si="22"/>
        <v>111</v>
      </c>
      <c r="D119" s="542"/>
      <c r="E119" s="542">
        <f>IF($C119=$C$2,0,IF(OR($C119=0,$C119&lt;general!$C$23,$C119&gt;$C$2),0,E$2/$C$3+NORMDIST($C119-general!$C$23+1,$C$3/2,E$1,1)-NORMDIST($C118-general!$C$23+1,$C$3/2,E$1,1)))+IF($C119=$C$2,1-SUM(E$8:E118),0)</f>
        <v>0</v>
      </c>
      <c r="F119" s="542">
        <f>IF($C119=$C$2,0,IF(OR($C119=0,$C119&lt;general!$C$23,$C119&gt;$C$2),0,F$2/$C$3+NORMDIST($C119-general!$C$23+1,$C$3/2,F$1,1)-NORMDIST($C118-general!$C$23+1,$C$3/2,F$1,1)))+IF($C119=$C$2,1-SUM(F$8:F118),0)</f>
        <v>0</v>
      </c>
      <c r="G119" s="542">
        <f>IF($C119=$C$2,0,IF(OR($C119=0,$C119&lt;general!$C$23,$C119&gt;$C$2),0,G$2/$C$3+NORMDIST($C119-general!$C$23+1,$C$3/2,G$1,1)-NORMDIST($C118-general!$C$23+1,$C$3/2,G$1,1)))+IF($C119=$C$2,1-SUM(G$8:G118),0)</f>
        <v>0</v>
      </c>
      <c r="H119" s="542">
        <f>IF(C119=$C$2,0,IF(OR(C119=0,C119&lt;1,C119&gt;$C$2),0,$H$2/$C$2+NORMDIST(C119,$C$2/2,$H$1,1)-NORMDIST(C118,$C$2/2,$H$1,1)))+IF(C119=$C$2,1-SUM($H$9:H118),0)</f>
        <v>0</v>
      </c>
      <c r="I119" s="542">
        <f>IF(C119=$C$2,0,IF(OR(C119=0,C119&lt;1,C119&gt;$C$2),0,$I$2/$C$2+NORMDIST(C119,$C$2/2,$I$1,1)-NORMDIST(C118,$C$2/2,$I$1,1)))+IF(C119=$C$2,1-SUM($I$9:I118),0)</f>
        <v>0</v>
      </c>
      <c r="J119" s="542">
        <f>IF(C119=$C$2,0,IF(OR(C119=0,C119&lt;1,C119&gt;$C$2),0,$J$2/$C$2+NORMDIST(C119,$C$2/2,$J$1,1)-NORMDIST(C118,$C$2/2,$J$1,1)))+IF(C119=$C$2,1-SUM($J$9:J118),0)</f>
        <v>0</v>
      </c>
      <c r="K119" s="542">
        <f t="shared" si="27"/>
        <v>0</v>
      </c>
      <c r="L119" s="542">
        <f t="shared" si="24"/>
        <v>0</v>
      </c>
      <c r="M119" s="542">
        <f>IF($C119&gt;$C$2,IF($C119=sales!$F$36,M$4,0),(1-M$4)/$C$2)</f>
        <v>0</v>
      </c>
      <c r="N119" s="542">
        <f>IF(ISEVEN($C$2),IF(C119&gt;$C$2,0,IF(C119&lt;=$C$2/2,C119,C119-1-2*(SUMPRODUCT(--($C$8:C119&gt;$C$2/2))-1))/(($C$2/2)*($C$2/2+1))),0)+IF(ISODD($C$2),IF(C119&gt;$C$2,0,IF(C119-1&lt;=$C$2/2,C119,C119-2*(SUMPRODUCT(--($C$8:C119&gt;$C$2/2))-1))/((INT($C$2/2))*(INT($C$2/2)+1)+ROUNDUP($C$2/2,0))),0)</f>
        <v>0</v>
      </c>
      <c r="O119" s="542"/>
      <c r="P119" s="542">
        <f t="shared" si="25"/>
        <v>0</v>
      </c>
      <c r="Q119" s="542">
        <f>IF($C119=general!$C$28,Q$4,IFERROR(($C119&lt;general!$C$23)*((1-Q$4)*Q$5)/(general!$C$23-1),0)+IFERROR(($C119&gt;=general!$C$23)*($C119&lt;=general!$C$27)*((1-Q$4)*Q$6)/(general!$C$27-general!$C$23+1),0))+IF(AND(general!$C$23&lt;=1,$C119&lt;=1),'draws%'!Q$5*(1-Q$4))</f>
        <v>0</v>
      </c>
      <c r="R119" s="542">
        <f>IF($C119=general!$C$27,R$4,IFERROR(($C119&lt;general!$C$23)*((1-R$4)*R$5)/(general!$C$23-1),0)+IFERROR(($C119&gt;=general!$C$23)*($C119&lt;general!$C$27)*((1-R$4)*R$6)/(general!$C$27-general!$C$23),0))+IF(AND(general!$C$23&lt;=1,$C119&lt;=1),'draws%'!R$5*(1-R$4))</f>
        <v>0</v>
      </c>
      <c r="S119" s="542">
        <f>IF(OR(C119=general!$C$27,C119=general!$C$27-1),50%,0)</f>
        <v>0</v>
      </c>
      <c r="T119" s="542">
        <f>(C119&gt;=general!$C$26-6)*(C119&lt;general!$C$26)*1/6*0.5+(C119=3)*0.25+(C119=9)*0.25</f>
        <v>0</v>
      </c>
      <c r="U119" s="542">
        <f>IF(C119='Development Cash Flow'!$C$6,$U$5,0)+IF(C119=general!$C$27,$U$6,0)</f>
        <v>0</v>
      </c>
      <c r="V119" s="542">
        <f>IF(C119=general!$C$28,1,0)</f>
        <v>0</v>
      </c>
      <c r="W119" s="542">
        <f t="shared" si="29"/>
        <v>0</v>
      </c>
      <c r="X119" s="542">
        <f>IF(C119=general!$C$23,1,0)</f>
        <v>0</v>
      </c>
      <c r="Y119" s="542">
        <f>IFERROR((C119&lt;general!$C$23)*Y$5/(general!$C$23),0)+IFERROR((C119&gt;=general!$C$23)*(C119&lt;=general!$C$27)*Y$6/(general!$C$27-general!$C$23+1),0)</f>
        <v>0</v>
      </c>
      <c r="Z119" s="542">
        <f>IFERROR(($C119&lt;general!$C$23)*Z$5/(general!$C$23),0)+IFERROR(($C119&gt;=general!$C$23)*($C119&lt;=general!$C$27)*Z$6/(general!$C$27-general!$C$23+1),0)*(1-$Z$4)+$Z$4*AF119</f>
        <v>0</v>
      </c>
      <c r="AA119" s="542">
        <f>MAX((IFERROR(($C119&lt;general!$C$23)*AA$5/(general!$C$23),0)+IFERROR(($C119&gt;=general!$C$23)*($C119&lt;=general!$C$27)*AA$6/(general!$C$27-general!$C$23+1),0)),0)</f>
        <v>0</v>
      </c>
      <c r="AB119" s="542">
        <f>MAX((IFERROR(($C119&lt;general!$C$23)*AB$5/(general!$C$23),0)+IFERROR(($C119&gt;=general!$C$23)*($C119&lt;=general!$C$27)*AB$6/(general!$C$27-general!$C$23+1),0)),0)</f>
        <v>0</v>
      </c>
      <c r="AC119" s="542">
        <f>MAX((IFERROR(($C119&lt;general!$C$23)*AC$5/(general!$C$23),0)+IFERROR(($C119&gt;=general!$C$23)*($C119&lt;=general!$C$27)*AC$6/(general!$C$27-general!$C$23+1),0)),0)</f>
        <v>0</v>
      </c>
      <c r="AD119" s="542">
        <f>MAX((IFERROR(($C119&lt;general!$C$23)*AD$5/(general!$C$23),0)+IFERROR(($C119&gt;=general!$C$23)*($C119&lt;=general!$C$27)*AD$6/(general!$C$27-general!$C$23+1),0)),0)</f>
        <v>0</v>
      </c>
      <c r="AE119" s="542">
        <f t="shared" si="28"/>
        <v>0</v>
      </c>
      <c r="AF119" s="542">
        <f>+SUMPRODUCT(--($C119=sales!$C$50:$C$54),sales!$D$50:$D$54)</f>
        <v>0</v>
      </c>
      <c r="AG119" s="542">
        <f>IF($C119=general!$C$28,AG$4,IFERROR(($C119&lt;general!$C$23)*((1-AG$4)*AG$5)/(general!$C$23-1),0)+IFERROR(($C119&gt;=general!$C$23)*($C119&lt;=general!$C$27)*((1-AG$4)*AG$6)/(general!$C$27-general!$C$23+1),0))+IF(AND(general!$C$23&lt;=1,$C119&lt;=1),'draws%'!AG$5*(1-AG$4))</f>
        <v>0</v>
      </c>
      <c r="AH119" s="542">
        <f>+IF($C119=general!$C$21,1,0)</f>
        <v>0</v>
      </c>
      <c r="AK119" s="524">
        <f>IF(A119&lt;=general!$D$27,IF(MONTH(A119)=11,1,IF(C119=general!$C$27,1,0)),)</f>
        <v>0</v>
      </c>
      <c r="AL119" s="524">
        <f>IF(AK119=1,COUNTIFS($C$8:$C$128,"&lt;="&amp;general!$C$27&amp;"",'draws%'!$AM$8:$AM$128,"="&amp;AM119&amp;""),0)</f>
        <v>0</v>
      </c>
      <c r="AM119" s="524">
        <f t="shared" si="26"/>
        <v>2035</v>
      </c>
      <c r="AN119" s="524"/>
    </row>
    <row r="120" spans="1:40" ht="14">
      <c r="A120" s="903">
        <f t="shared" si="21"/>
        <v>49674</v>
      </c>
      <c r="C120" s="897">
        <f t="shared" si="22"/>
        <v>112</v>
      </c>
      <c r="D120" s="542"/>
      <c r="E120" s="542">
        <f>IF($C120=$C$2,0,IF(OR($C120=0,$C120&lt;general!$C$23,$C120&gt;$C$2),0,E$2/$C$3+NORMDIST($C120-general!$C$23+1,$C$3/2,E$1,1)-NORMDIST($C119-general!$C$23+1,$C$3/2,E$1,1)))+IF($C120=$C$2,1-SUM(E$8:E119),0)</f>
        <v>0</v>
      </c>
      <c r="F120" s="542">
        <f>IF($C120=$C$2,0,IF(OR($C120=0,$C120&lt;general!$C$23,$C120&gt;$C$2),0,F$2/$C$3+NORMDIST($C120-general!$C$23+1,$C$3/2,F$1,1)-NORMDIST($C119-general!$C$23+1,$C$3/2,F$1,1)))+IF($C120=$C$2,1-SUM(F$8:F119),0)</f>
        <v>0</v>
      </c>
      <c r="G120" s="542">
        <f>IF($C120=$C$2,0,IF(OR($C120=0,$C120&lt;general!$C$23,$C120&gt;$C$2),0,G$2/$C$3+NORMDIST($C120-general!$C$23+1,$C$3/2,G$1,1)-NORMDIST($C119-general!$C$23+1,$C$3/2,G$1,1)))+IF($C120=$C$2,1-SUM(G$8:G119),0)</f>
        <v>0</v>
      </c>
      <c r="H120" s="542">
        <f>IF(C120=$C$2,0,IF(OR(C120=0,C120&lt;1,C120&gt;$C$2),0,$H$2/$C$2+NORMDIST(C120,$C$2/2,$H$1,1)-NORMDIST(C119,$C$2/2,$H$1,1)))+IF(C120=$C$2,1-SUM($H$9:H119),0)</f>
        <v>0</v>
      </c>
      <c r="I120" s="542">
        <f>IF(C120=$C$2,0,IF(OR(C120=0,C120&lt;1,C120&gt;$C$2),0,$I$2/$C$2+NORMDIST(C120,$C$2/2,$I$1,1)-NORMDIST(C119,$C$2/2,$I$1,1)))+IF(C120=$C$2,1-SUM($I$9:I119),0)</f>
        <v>0</v>
      </c>
      <c r="J120" s="542">
        <f>IF(C120=$C$2,0,IF(OR(C120=0,C120&lt;1,C120&gt;$C$2),0,$J$2/$C$2+NORMDIST(C120,$C$2/2,$J$1,1)-NORMDIST(C119,$C$2/2,$J$1,1)))+IF(C120=$C$2,1-SUM($J$9:J119),0)</f>
        <v>0</v>
      </c>
      <c r="K120" s="542">
        <f t="shared" si="27"/>
        <v>0</v>
      </c>
      <c r="L120" s="542">
        <f t="shared" si="24"/>
        <v>0</v>
      </c>
      <c r="M120" s="542">
        <f>IF($C120&gt;$C$2,IF($C120=sales!$F$36,M$4,0),(1-M$4)/$C$2)</f>
        <v>0</v>
      </c>
      <c r="N120" s="542">
        <f>IF(ISEVEN($C$2),IF(C120&gt;$C$2,0,IF(C120&lt;=$C$2/2,C120,C120-1-2*(SUMPRODUCT(--($C$8:C120&gt;$C$2/2))-1))/(($C$2/2)*($C$2/2+1))),0)+IF(ISODD($C$2),IF(C120&gt;$C$2,0,IF(C120-1&lt;=$C$2/2,C120,C120-2*(SUMPRODUCT(--($C$8:C120&gt;$C$2/2))-1))/((INT($C$2/2))*(INT($C$2/2)+1)+ROUNDUP($C$2/2,0))),0)</f>
        <v>0</v>
      </c>
      <c r="O120" s="542"/>
      <c r="P120" s="542">
        <f t="shared" si="25"/>
        <v>0</v>
      </c>
      <c r="Q120" s="542">
        <f>IF($C120=general!$C$28,Q$4,IFERROR(($C120&lt;general!$C$23)*((1-Q$4)*Q$5)/(general!$C$23-1),0)+IFERROR(($C120&gt;=general!$C$23)*($C120&lt;=general!$C$27)*((1-Q$4)*Q$6)/(general!$C$27-general!$C$23+1),0))+IF(AND(general!$C$23&lt;=1,$C120&lt;=1),'draws%'!Q$5*(1-Q$4))</f>
        <v>0</v>
      </c>
      <c r="R120" s="542">
        <f>IF($C120=general!$C$27,R$4,IFERROR(($C120&lt;general!$C$23)*((1-R$4)*R$5)/(general!$C$23-1),0)+IFERROR(($C120&gt;=general!$C$23)*($C120&lt;general!$C$27)*((1-R$4)*R$6)/(general!$C$27-general!$C$23),0))+IF(AND(general!$C$23&lt;=1,$C120&lt;=1),'draws%'!R$5*(1-R$4))</f>
        <v>0</v>
      </c>
      <c r="S120" s="542">
        <f>IF(OR(C120=general!$C$27,C120=general!$C$27-1),50%,0)</f>
        <v>0</v>
      </c>
      <c r="T120" s="542">
        <f>(C120&gt;=general!$C$26-6)*(C120&lt;general!$C$26)*1/6*0.5+(C120=3)*0.25+(C120=9)*0.25</f>
        <v>0</v>
      </c>
      <c r="U120" s="542">
        <f>IF(C120='Development Cash Flow'!$C$6,$U$5,0)+IF(C120=general!$C$27,$U$6,0)</f>
        <v>0</v>
      </c>
      <c r="V120" s="542">
        <f>IF(C120=general!$C$28,1,0)</f>
        <v>0</v>
      </c>
      <c r="W120" s="542">
        <f t="shared" si="29"/>
        <v>0</v>
      </c>
      <c r="X120" s="542">
        <f>IF(C120=general!$C$23,1,0)</f>
        <v>0</v>
      </c>
      <c r="Y120" s="542">
        <f>IFERROR((C120&lt;general!$C$23)*Y$5/(general!$C$23),0)+IFERROR((C120&gt;=general!$C$23)*(C120&lt;=general!$C$27)*Y$6/(general!$C$27-general!$C$23+1),0)</f>
        <v>0</v>
      </c>
      <c r="Z120" s="542">
        <f>IFERROR(($C120&lt;general!$C$23)*Z$5/(general!$C$23),0)+IFERROR(($C120&gt;=general!$C$23)*($C120&lt;=general!$C$27)*Z$6/(general!$C$27-general!$C$23+1),0)*(1-$Z$4)+$Z$4*AF120</f>
        <v>0</v>
      </c>
      <c r="AA120" s="542">
        <f>MAX((IFERROR(($C120&lt;general!$C$23)*AA$5/(general!$C$23),0)+IFERROR(($C120&gt;=general!$C$23)*($C120&lt;=general!$C$27)*AA$6/(general!$C$27-general!$C$23+1),0)),0)</f>
        <v>0</v>
      </c>
      <c r="AB120" s="542">
        <f>MAX((IFERROR(($C120&lt;general!$C$23)*AB$5/(general!$C$23),0)+IFERROR(($C120&gt;=general!$C$23)*($C120&lt;=general!$C$27)*AB$6/(general!$C$27-general!$C$23+1),0)),0)</f>
        <v>0</v>
      </c>
      <c r="AC120" s="542">
        <f>MAX((IFERROR(($C120&lt;general!$C$23)*AC$5/(general!$C$23),0)+IFERROR(($C120&gt;=general!$C$23)*($C120&lt;=general!$C$27)*AC$6/(general!$C$27-general!$C$23+1),0)),0)</f>
        <v>0</v>
      </c>
      <c r="AD120" s="542">
        <f>MAX((IFERROR(($C120&lt;general!$C$23)*AD$5/(general!$C$23),0)+IFERROR(($C120&gt;=general!$C$23)*($C120&lt;=general!$C$27)*AD$6/(general!$C$27-general!$C$23+1),0)),0)</f>
        <v>0</v>
      </c>
      <c r="AE120" s="542">
        <f t="shared" si="28"/>
        <v>0</v>
      </c>
      <c r="AF120" s="542">
        <f>+SUMPRODUCT(--($C120=sales!$C$50:$C$54),sales!$D$50:$D$54)</f>
        <v>0</v>
      </c>
      <c r="AG120" s="542">
        <f>IF($C120=general!$C$28,AG$4,IFERROR(($C120&lt;general!$C$23)*((1-AG$4)*AG$5)/(general!$C$23-1),0)+IFERROR(($C120&gt;=general!$C$23)*($C120&lt;=general!$C$27)*((1-AG$4)*AG$6)/(general!$C$27-general!$C$23+1),0))+IF(AND(general!$C$23&lt;=1,$C120&lt;=1),'draws%'!AG$5*(1-AG$4))</f>
        <v>0</v>
      </c>
      <c r="AH120" s="542">
        <f>+IF($C120=general!$C$21,1,0)</f>
        <v>0</v>
      </c>
      <c r="AK120" s="524">
        <f>IF(A120&lt;=general!$D$27,IF(MONTH(A120)=11,1,IF(C120=general!$C$27,1,0)),)</f>
        <v>0</v>
      </c>
      <c r="AL120" s="524">
        <f>IF(AK120=1,COUNTIFS($C$8:$C$128,"&lt;="&amp;general!$C$27&amp;"",'draws%'!$AM$8:$AM$128,"="&amp;AM120&amp;""),0)</f>
        <v>0</v>
      </c>
      <c r="AM120" s="524">
        <f t="shared" si="26"/>
        <v>2035</v>
      </c>
      <c r="AN120" s="524"/>
    </row>
    <row r="121" spans="1:40" ht="14">
      <c r="A121" s="903">
        <f t="shared" si="21"/>
        <v>49705</v>
      </c>
      <c r="C121" s="897">
        <f t="shared" si="22"/>
        <v>113</v>
      </c>
      <c r="D121" s="542"/>
      <c r="E121" s="542">
        <f>IF($C121=$C$2,0,IF(OR($C121=0,$C121&lt;general!$C$23,$C121&gt;$C$2),0,E$2/$C$3+NORMDIST($C121-general!$C$23+1,$C$3/2,E$1,1)-NORMDIST($C120-general!$C$23+1,$C$3/2,E$1,1)))+IF($C121=$C$2,1-SUM(E$8:E120),0)</f>
        <v>0</v>
      </c>
      <c r="F121" s="542">
        <f>IF($C121=$C$2,0,IF(OR($C121=0,$C121&lt;general!$C$23,$C121&gt;$C$2),0,F$2/$C$3+NORMDIST($C121-general!$C$23+1,$C$3/2,F$1,1)-NORMDIST($C120-general!$C$23+1,$C$3/2,F$1,1)))+IF($C121=$C$2,1-SUM(F$8:F120),0)</f>
        <v>0</v>
      </c>
      <c r="G121" s="542">
        <f>IF($C121=$C$2,0,IF(OR($C121=0,$C121&lt;general!$C$23,$C121&gt;$C$2),0,G$2/$C$3+NORMDIST($C121-general!$C$23+1,$C$3/2,G$1,1)-NORMDIST($C120-general!$C$23+1,$C$3/2,G$1,1)))+IF($C121=$C$2,1-SUM(G$8:G120),0)</f>
        <v>0</v>
      </c>
      <c r="H121" s="542">
        <f>IF(C121=$C$2,0,IF(OR(C121=0,C121&lt;1,C121&gt;$C$2),0,$H$2/$C$2+NORMDIST(C121,$C$2/2,$H$1,1)-NORMDIST(C120,$C$2/2,$H$1,1)))+IF(C121=$C$2,1-SUM($H$9:H120),0)</f>
        <v>0</v>
      </c>
      <c r="I121" s="542">
        <f>IF(C121=$C$2,0,IF(OR(C121=0,C121&lt;1,C121&gt;$C$2),0,$I$2/$C$2+NORMDIST(C121,$C$2/2,$I$1,1)-NORMDIST(C120,$C$2/2,$I$1,1)))+IF(C121=$C$2,1-SUM($I$9:I120),0)</f>
        <v>0</v>
      </c>
      <c r="J121" s="542">
        <f>IF(C121=$C$2,0,IF(OR(C121=0,C121&lt;1,C121&gt;$C$2),0,$J$2/$C$2+NORMDIST(C121,$C$2/2,$J$1,1)-NORMDIST(C120,$C$2/2,$J$1,1)))+IF(C121=$C$2,1-SUM($J$9:J120),0)</f>
        <v>0</v>
      </c>
      <c r="K121" s="542">
        <f t="shared" si="27"/>
        <v>0</v>
      </c>
      <c r="L121" s="542">
        <f t="shared" si="24"/>
        <v>0</v>
      </c>
      <c r="M121" s="542">
        <f>IF($C121&gt;$C$2,IF($C121=sales!$F$36,M$4,0),(1-M$4)/$C$2)</f>
        <v>0</v>
      </c>
      <c r="N121" s="542">
        <f>IF(ISEVEN($C$2),IF(C121&gt;$C$2,0,IF(C121&lt;=$C$2/2,C121,C121-1-2*(SUMPRODUCT(--($C$8:C121&gt;$C$2/2))-1))/(($C$2/2)*($C$2/2+1))),0)+IF(ISODD($C$2),IF(C121&gt;$C$2,0,IF(C121-1&lt;=$C$2/2,C121,C121-2*(SUMPRODUCT(--($C$8:C121&gt;$C$2/2))-1))/((INT($C$2/2))*(INT($C$2/2)+1)+ROUNDUP($C$2/2,0))),0)</f>
        <v>0</v>
      </c>
      <c r="O121" s="542"/>
      <c r="P121" s="542">
        <f t="shared" si="25"/>
        <v>0</v>
      </c>
      <c r="Q121" s="542">
        <f>IF($C121=general!$C$28,Q$4,IFERROR(($C121&lt;general!$C$23)*((1-Q$4)*Q$5)/(general!$C$23-1),0)+IFERROR(($C121&gt;=general!$C$23)*($C121&lt;=general!$C$27)*((1-Q$4)*Q$6)/(general!$C$27-general!$C$23+1),0))+IF(AND(general!$C$23&lt;=1,$C121&lt;=1),'draws%'!Q$5*(1-Q$4))</f>
        <v>0</v>
      </c>
      <c r="R121" s="542">
        <f>IF($C121=general!$C$27,R$4,IFERROR(($C121&lt;general!$C$23)*((1-R$4)*R$5)/(general!$C$23-1),0)+IFERROR(($C121&gt;=general!$C$23)*($C121&lt;general!$C$27)*((1-R$4)*R$6)/(general!$C$27-general!$C$23),0))+IF(AND(general!$C$23&lt;=1,$C121&lt;=1),'draws%'!R$5*(1-R$4))</f>
        <v>0</v>
      </c>
      <c r="S121" s="542">
        <f>IF(OR(C121=general!$C$27,C121=general!$C$27-1),50%,0)</f>
        <v>0</v>
      </c>
      <c r="T121" s="542">
        <f>(C121&gt;=general!$C$26-6)*(C121&lt;general!$C$26)*1/6*0.5+(C121=3)*0.25+(C121=9)*0.25</f>
        <v>0</v>
      </c>
      <c r="U121" s="542">
        <f>IF(C121='Development Cash Flow'!$C$6,$U$5,0)+IF(C121=general!$C$27,$U$6,0)</f>
        <v>0</v>
      </c>
      <c r="V121" s="542">
        <f>IF(C121=general!$C$28,1,0)</f>
        <v>0</v>
      </c>
      <c r="W121" s="542">
        <f t="shared" si="29"/>
        <v>0</v>
      </c>
      <c r="X121" s="542">
        <f>IF(C121=general!$C$23,1,0)</f>
        <v>0</v>
      </c>
      <c r="Y121" s="542">
        <f>IFERROR((C121&lt;general!$C$23)*Y$5/(general!$C$23),0)+IFERROR((C121&gt;=general!$C$23)*(C121&lt;=general!$C$27)*Y$6/(general!$C$27-general!$C$23+1),0)</f>
        <v>0</v>
      </c>
      <c r="Z121" s="542">
        <f>IFERROR(($C121&lt;general!$C$23)*Z$5/(general!$C$23),0)+IFERROR(($C121&gt;=general!$C$23)*($C121&lt;=general!$C$27)*Z$6/(general!$C$27-general!$C$23+1),0)*(1-$Z$4)+$Z$4*AF121</f>
        <v>0</v>
      </c>
      <c r="AA121" s="542">
        <f>MAX((IFERROR(($C121&lt;general!$C$23)*AA$5/(general!$C$23),0)+IFERROR(($C121&gt;=general!$C$23)*($C121&lt;=general!$C$27)*AA$6/(general!$C$27-general!$C$23+1),0)),0)</f>
        <v>0</v>
      </c>
      <c r="AB121" s="542">
        <f>MAX((IFERROR(($C121&lt;general!$C$23)*AB$5/(general!$C$23),0)+IFERROR(($C121&gt;=general!$C$23)*($C121&lt;=general!$C$27)*AB$6/(general!$C$27-general!$C$23+1),0)),0)</f>
        <v>0</v>
      </c>
      <c r="AC121" s="542">
        <f>MAX((IFERROR(($C121&lt;general!$C$23)*AC$5/(general!$C$23),0)+IFERROR(($C121&gt;=general!$C$23)*($C121&lt;=general!$C$27)*AC$6/(general!$C$27-general!$C$23+1),0)),0)</f>
        <v>0</v>
      </c>
      <c r="AD121" s="542">
        <f>MAX((IFERROR(($C121&lt;general!$C$23)*AD$5/(general!$C$23),0)+IFERROR(($C121&gt;=general!$C$23)*($C121&lt;=general!$C$27)*AD$6/(general!$C$27-general!$C$23+1),0)),0)</f>
        <v>0</v>
      </c>
      <c r="AE121" s="542">
        <f t="shared" si="28"/>
        <v>0</v>
      </c>
      <c r="AF121" s="542">
        <f>+SUMPRODUCT(--($C121=sales!$C$50:$C$54),sales!$D$50:$D$54)</f>
        <v>0</v>
      </c>
      <c r="AG121" s="542">
        <f>IF($C121=general!$C$28,AG$4,IFERROR(($C121&lt;general!$C$23)*((1-AG$4)*AG$5)/(general!$C$23-1),0)+IFERROR(($C121&gt;=general!$C$23)*($C121&lt;=general!$C$27)*((1-AG$4)*AG$6)/(general!$C$27-general!$C$23+1),0))+IF(AND(general!$C$23&lt;=1,$C121&lt;=1),'draws%'!AG$5*(1-AG$4))</f>
        <v>0</v>
      </c>
      <c r="AH121" s="542">
        <f>+IF($C121=general!$C$21,1,0)</f>
        <v>0</v>
      </c>
      <c r="AK121" s="524">
        <f>IF(A121&lt;=general!$D$27,IF(MONTH(A121)=11,1,IF(C121=general!$C$27,1,0)),)</f>
        <v>0</v>
      </c>
      <c r="AL121" s="524">
        <f>IF(AK121=1,COUNTIFS($C$8:$C$128,"&lt;="&amp;general!$C$27&amp;"",'draws%'!$AM$8:$AM$128,"="&amp;AM121&amp;""),0)</f>
        <v>0</v>
      </c>
      <c r="AM121" s="524">
        <f t="shared" si="26"/>
        <v>2036</v>
      </c>
      <c r="AN121" s="524"/>
    </row>
    <row r="122" spans="1:40" ht="14">
      <c r="A122" s="903">
        <f t="shared" si="21"/>
        <v>49734</v>
      </c>
      <c r="C122" s="897">
        <f t="shared" si="22"/>
        <v>114</v>
      </c>
      <c r="D122" s="542"/>
      <c r="E122" s="542">
        <f>IF($C122=$C$2,0,IF(OR($C122=0,$C122&lt;general!$C$23,$C122&gt;$C$2),0,E$2/$C$3+NORMDIST($C122-general!$C$23+1,$C$3/2,E$1,1)-NORMDIST($C121-general!$C$23+1,$C$3/2,E$1,1)))+IF($C122=$C$2,1-SUM(E$8:E121),0)</f>
        <v>0</v>
      </c>
      <c r="F122" s="542">
        <f>IF($C122=$C$2,0,IF(OR($C122=0,$C122&lt;general!$C$23,$C122&gt;$C$2),0,F$2/$C$3+NORMDIST($C122-general!$C$23+1,$C$3/2,F$1,1)-NORMDIST($C121-general!$C$23+1,$C$3/2,F$1,1)))+IF($C122=$C$2,1-SUM(F$8:F121),0)</f>
        <v>0</v>
      </c>
      <c r="G122" s="542">
        <f>IF($C122=$C$2,0,IF(OR($C122=0,$C122&lt;general!$C$23,$C122&gt;$C$2),0,G$2/$C$3+NORMDIST($C122-general!$C$23+1,$C$3/2,G$1,1)-NORMDIST($C121-general!$C$23+1,$C$3/2,G$1,1)))+IF($C122=$C$2,1-SUM(G$8:G121),0)</f>
        <v>0</v>
      </c>
      <c r="H122" s="542">
        <f>IF(C122=$C$2,0,IF(OR(C122=0,C122&lt;1,C122&gt;$C$2),0,$H$2/$C$2+NORMDIST(C122,$C$2/2,$H$1,1)-NORMDIST(C121,$C$2/2,$H$1,1)))+IF(C122=$C$2,1-SUM($H$9:H121),0)</f>
        <v>0</v>
      </c>
      <c r="I122" s="542">
        <f>IF(C122=$C$2,0,IF(OR(C122=0,C122&lt;1,C122&gt;$C$2),0,$I$2/$C$2+NORMDIST(C122,$C$2/2,$I$1,1)-NORMDIST(C121,$C$2/2,$I$1,1)))+IF(C122=$C$2,1-SUM($I$9:I121),0)</f>
        <v>0</v>
      </c>
      <c r="J122" s="542">
        <f>IF(C122=$C$2,0,IF(OR(C122=0,C122&lt;1,C122&gt;$C$2),0,$J$2/$C$2+NORMDIST(C122,$C$2/2,$J$1,1)-NORMDIST(C121,$C$2/2,$J$1,1)))+IF(C122=$C$2,1-SUM($J$9:J121),0)</f>
        <v>0</v>
      </c>
      <c r="K122" s="542">
        <f t="shared" si="27"/>
        <v>0</v>
      </c>
      <c r="L122" s="542">
        <f t="shared" si="24"/>
        <v>0</v>
      </c>
      <c r="M122" s="542">
        <f>IF($C122&gt;$C$2,IF($C122=sales!$F$36,M$4,0),(1-M$4)/$C$2)</f>
        <v>0</v>
      </c>
      <c r="N122" s="542">
        <f>IF(ISEVEN($C$2),IF(C122&gt;$C$2,0,IF(C122&lt;=$C$2/2,C122,C122-1-2*(SUMPRODUCT(--($C$8:C122&gt;$C$2/2))-1))/(($C$2/2)*($C$2/2+1))),0)+IF(ISODD($C$2),IF(C122&gt;$C$2,0,IF(C122-1&lt;=$C$2/2,C122,C122-2*(SUMPRODUCT(--($C$8:C122&gt;$C$2/2))-1))/((INT($C$2/2))*(INT($C$2/2)+1)+ROUNDUP($C$2/2,0))),0)</f>
        <v>0</v>
      </c>
      <c r="O122" s="542"/>
      <c r="P122" s="542">
        <f t="shared" si="25"/>
        <v>0</v>
      </c>
      <c r="Q122" s="542">
        <f>IF($C122=general!$C$28,Q$4,IFERROR(($C122&lt;general!$C$23)*((1-Q$4)*Q$5)/(general!$C$23-1),0)+IFERROR(($C122&gt;=general!$C$23)*($C122&lt;=general!$C$27)*((1-Q$4)*Q$6)/(general!$C$27-general!$C$23+1),0))+IF(AND(general!$C$23&lt;=1,$C122&lt;=1),'draws%'!Q$5*(1-Q$4))</f>
        <v>0</v>
      </c>
      <c r="R122" s="542">
        <f>IF($C122=general!$C$27,R$4,IFERROR(($C122&lt;general!$C$23)*((1-R$4)*R$5)/(general!$C$23-1),0)+IFERROR(($C122&gt;=general!$C$23)*($C122&lt;general!$C$27)*((1-R$4)*R$6)/(general!$C$27-general!$C$23),0))+IF(AND(general!$C$23&lt;=1,$C122&lt;=1),'draws%'!R$5*(1-R$4))</f>
        <v>0</v>
      </c>
      <c r="S122" s="542">
        <f>IF(OR(C122=general!$C$27,C122=general!$C$27-1),50%,0)</f>
        <v>0</v>
      </c>
      <c r="T122" s="542">
        <f>(C122&gt;=general!$C$26-6)*(C122&lt;general!$C$26)*1/6*0.5+(C122=3)*0.25+(C122=9)*0.25</f>
        <v>0</v>
      </c>
      <c r="U122" s="542">
        <f>IF(C122='Development Cash Flow'!$C$6,$U$5,0)+IF(C122=general!$C$27,$U$6,0)</f>
        <v>0</v>
      </c>
      <c r="V122" s="542">
        <f>IF(C122=general!$C$28,1,0)</f>
        <v>0</v>
      </c>
      <c r="W122" s="542">
        <f t="shared" si="29"/>
        <v>0</v>
      </c>
      <c r="X122" s="542">
        <f>IF(C122=general!$C$23,1,0)</f>
        <v>0</v>
      </c>
      <c r="Y122" s="542">
        <f>IFERROR((C122&lt;general!$C$23)*Y$5/(general!$C$23),0)+IFERROR((C122&gt;=general!$C$23)*(C122&lt;=general!$C$27)*Y$6/(general!$C$27-general!$C$23+1),0)</f>
        <v>0</v>
      </c>
      <c r="Z122" s="542">
        <f>IFERROR(($C122&lt;general!$C$23)*Z$5/(general!$C$23),0)+IFERROR(($C122&gt;=general!$C$23)*($C122&lt;=general!$C$27)*Z$6/(general!$C$27-general!$C$23+1),0)*(1-$Z$4)+$Z$4*AF122</f>
        <v>0</v>
      </c>
      <c r="AA122" s="542">
        <f>MAX((IFERROR(($C122&lt;general!$C$23)*AA$5/(general!$C$23),0)+IFERROR(($C122&gt;=general!$C$23)*($C122&lt;=general!$C$27)*AA$6/(general!$C$27-general!$C$23+1),0)),0)</f>
        <v>0</v>
      </c>
      <c r="AB122" s="542">
        <f>MAX((IFERROR(($C122&lt;general!$C$23)*AB$5/(general!$C$23),0)+IFERROR(($C122&gt;=general!$C$23)*($C122&lt;=general!$C$27)*AB$6/(general!$C$27-general!$C$23+1),0)),0)</f>
        <v>0</v>
      </c>
      <c r="AC122" s="542">
        <f>MAX((IFERROR(($C122&lt;general!$C$23)*AC$5/(general!$C$23),0)+IFERROR(($C122&gt;=general!$C$23)*($C122&lt;=general!$C$27)*AC$6/(general!$C$27-general!$C$23+1),0)),0)</f>
        <v>0</v>
      </c>
      <c r="AD122" s="542">
        <f>MAX((IFERROR(($C122&lt;general!$C$23)*AD$5/(general!$C$23),0)+IFERROR(($C122&gt;=general!$C$23)*($C122&lt;=general!$C$27)*AD$6/(general!$C$27-general!$C$23+1),0)),0)</f>
        <v>0</v>
      </c>
      <c r="AE122" s="542">
        <f t="shared" si="28"/>
        <v>0</v>
      </c>
      <c r="AF122" s="542">
        <f>+SUMPRODUCT(--($C122=sales!$C$50:$C$54),sales!$D$50:$D$54)</f>
        <v>0</v>
      </c>
      <c r="AG122" s="542">
        <f>IF($C122=general!$C$28,AG$4,IFERROR(($C122&lt;general!$C$23)*((1-AG$4)*AG$5)/(general!$C$23-1),0)+IFERROR(($C122&gt;=general!$C$23)*($C122&lt;=general!$C$27)*((1-AG$4)*AG$6)/(general!$C$27-general!$C$23+1),0))+IF(AND(general!$C$23&lt;=1,$C122&lt;=1),'draws%'!AG$5*(1-AG$4))</f>
        <v>0</v>
      </c>
      <c r="AH122" s="542">
        <f>+IF($C122=general!$C$21,1,0)</f>
        <v>0</v>
      </c>
      <c r="AK122" s="524">
        <f>IF(A122&lt;=general!$D$27,IF(MONTH(A122)=11,1,IF(C122=general!$C$27,1,0)),)</f>
        <v>0</v>
      </c>
      <c r="AL122" s="524">
        <f>IF(AK122=1,COUNTIFS($C$8:$C$128,"&lt;="&amp;general!$C$27&amp;"",'draws%'!$AM$8:$AM$128,"="&amp;AM122&amp;""),0)</f>
        <v>0</v>
      </c>
      <c r="AM122" s="524">
        <f t="shared" si="26"/>
        <v>2036</v>
      </c>
      <c r="AN122" s="524"/>
    </row>
    <row r="123" spans="1:40" ht="14">
      <c r="A123" s="903">
        <f t="shared" si="21"/>
        <v>49765</v>
      </c>
      <c r="C123" s="897">
        <f t="shared" si="22"/>
        <v>115</v>
      </c>
      <c r="D123" s="542"/>
      <c r="E123" s="542">
        <f>IF($C123=$C$2,0,IF(OR($C123=0,$C123&lt;general!$C$23,$C123&gt;$C$2),0,E$2/$C$3+NORMDIST($C123-general!$C$23+1,$C$3/2,E$1,1)-NORMDIST($C122-general!$C$23+1,$C$3/2,E$1,1)))+IF($C123=$C$2,1-SUM(E$8:E122),0)</f>
        <v>0</v>
      </c>
      <c r="F123" s="542">
        <f>IF($C123=$C$2,0,IF(OR($C123=0,$C123&lt;general!$C$23,$C123&gt;$C$2),0,F$2/$C$3+NORMDIST($C123-general!$C$23+1,$C$3/2,F$1,1)-NORMDIST($C122-general!$C$23+1,$C$3/2,F$1,1)))+IF($C123=$C$2,1-SUM(F$8:F122),0)</f>
        <v>0</v>
      </c>
      <c r="G123" s="542">
        <f>IF($C123=$C$2,0,IF(OR($C123=0,$C123&lt;general!$C$23,$C123&gt;$C$2),0,G$2/$C$3+NORMDIST($C123-general!$C$23+1,$C$3/2,G$1,1)-NORMDIST($C122-general!$C$23+1,$C$3/2,G$1,1)))+IF($C123=$C$2,1-SUM(G$8:G122),0)</f>
        <v>0</v>
      </c>
      <c r="H123" s="542">
        <f>IF(C123=$C$2,0,IF(OR(C123=0,C123&lt;1,C123&gt;$C$2),0,$H$2/$C$2+NORMDIST(C123,$C$2/2,$H$1,1)-NORMDIST(C122,$C$2/2,$H$1,1)))+IF(C123=$C$2,1-SUM($H$9:H122),0)</f>
        <v>0</v>
      </c>
      <c r="I123" s="542">
        <f>IF(C123=$C$2,0,IF(OR(C123=0,C123&lt;1,C123&gt;$C$2),0,$I$2/$C$2+NORMDIST(C123,$C$2/2,$I$1,1)-NORMDIST(C122,$C$2/2,$I$1,1)))+IF(C123=$C$2,1-SUM($I$9:I122),0)</f>
        <v>0</v>
      </c>
      <c r="J123" s="542">
        <f>IF(C123=$C$2,0,IF(OR(C123=0,C123&lt;1,C123&gt;$C$2),0,$J$2/$C$2+NORMDIST(C123,$C$2/2,$J$1,1)-NORMDIST(C122,$C$2/2,$J$1,1)))+IF(C123=$C$2,1-SUM($J$9:J122),0)</f>
        <v>0</v>
      </c>
      <c r="K123" s="542">
        <f t="shared" si="27"/>
        <v>0</v>
      </c>
      <c r="L123" s="542">
        <f t="shared" si="24"/>
        <v>0</v>
      </c>
      <c r="M123" s="542">
        <f>IF($C123&gt;$C$2,IF($C123=sales!$F$36,M$4,0),(1-M$4)/$C$2)</f>
        <v>0</v>
      </c>
      <c r="N123" s="542">
        <f>IF(ISEVEN($C$2),IF(C123&gt;$C$2,0,IF(C123&lt;=$C$2/2,C123,C123-1-2*(SUMPRODUCT(--($C$8:C123&gt;$C$2/2))-1))/(($C$2/2)*($C$2/2+1))),0)+IF(ISODD($C$2),IF(C123&gt;$C$2,0,IF(C123-1&lt;=$C$2/2,C123,C123-2*(SUMPRODUCT(--($C$8:C123&gt;$C$2/2))-1))/((INT($C$2/2))*(INT($C$2/2)+1)+ROUNDUP($C$2/2,0))),0)</f>
        <v>0</v>
      </c>
      <c r="O123" s="542"/>
      <c r="P123" s="542">
        <f t="shared" si="25"/>
        <v>0</v>
      </c>
      <c r="Q123" s="542">
        <f>IF($C123=general!$C$28,Q$4,IFERROR(($C123&lt;general!$C$23)*((1-Q$4)*Q$5)/(general!$C$23-1),0)+IFERROR(($C123&gt;=general!$C$23)*($C123&lt;=general!$C$27)*((1-Q$4)*Q$6)/(general!$C$27-general!$C$23+1),0))+IF(AND(general!$C$23&lt;=1,$C123&lt;=1),'draws%'!Q$5*(1-Q$4))</f>
        <v>0</v>
      </c>
      <c r="R123" s="542">
        <f>IF($C123=general!$C$27,R$4,IFERROR(($C123&lt;general!$C$23)*((1-R$4)*R$5)/(general!$C$23-1),0)+IFERROR(($C123&gt;=general!$C$23)*($C123&lt;general!$C$27)*((1-R$4)*R$6)/(general!$C$27-general!$C$23),0))+IF(AND(general!$C$23&lt;=1,$C123&lt;=1),'draws%'!R$5*(1-R$4))</f>
        <v>0</v>
      </c>
      <c r="S123" s="542">
        <f>IF(OR(C123=general!$C$27,C123=general!$C$27-1),50%,0)</f>
        <v>0</v>
      </c>
      <c r="T123" s="542">
        <f>(C123&gt;=general!$C$26-6)*(C123&lt;general!$C$26)*1/6*0.5+(C123=3)*0.25+(C123=9)*0.25</f>
        <v>0</v>
      </c>
      <c r="U123" s="542">
        <f>IF(C123='Development Cash Flow'!$C$6,$U$5,0)+IF(C123=general!$C$27,$U$6,0)</f>
        <v>0</v>
      </c>
      <c r="V123" s="542">
        <f>IF(C123=general!$C$28,1,0)</f>
        <v>0</v>
      </c>
      <c r="W123" s="542">
        <f t="shared" si="29"/>
        <v>0</v>
      </c>
      <c r="X123" s="542">
        <f>IF(C123=general!$C$23,1,0)</f>
        <v>0</v>
      </c>
      <c r="Y123" s="542">
        <f>IFERROR((C123&lt;general!$C$23)*Y$5/(general!$C$23),0)+IFERROR((C123&gt;=general!$C$23)*(C123&lt;=general!$C$27)*Y$6/(general!$C$27-general!$C$23+1),0)</f>
        <v>0</v>
      </c>
      <c r="Z123" s="542">
        <f>IFERROR(($C123&lt;general!$C$23)*Z$5/(general!$C$23),0)+IFERROR(($C123&gt;=general!$C$23)*($C123&lt;=general!$C$27)*Z$6/(general!$C$27-general!$C$23+1),0)*(1-$Z$4)+$Z$4*AF123</f>
        <v>0</v>
      </c>
      <c r="AA123" s="542">
        <f>MAX((IFERROR(($C123&lt;general!$C$23)*AA$5/(general!$C$23),0)+IFERROR(($C123&gt;=general!$C$23)*($C123&lt;=general!$C$27)*AA$6/(general!$C$27-general!$C$23+1),0)),0)</f>
        <v>0</v>
      </c>
      <c r="AB123" s="542">
        <f>MAX((IFERROR(($C123&lt;general!$C$23)*AB$5/(general!$C$23),0)+IFERROR(($C123&gt;=general!$C$23)*($C123&lt;=general!$C$27)*AB$6/(general!$C$27-general!$C$23+1),0)),0)</f>
        <v>0</v>
      </c>
      <c r="AC123" s="542">
        <f>MAX((IFERROR(($C123&lt;general!$C$23)*AC$5/(general!$C$23),0)+IFERROR(($C123&gt;=general!$C$23)*($C123&lt;=general!$C$27)*AC$6/(general!$C$27-general!$C$23+1),0)),0)</f>
        <v>0</v>
      </c>
      <c r="AD123" s="542">
        <f>MAX((IFERROR(($C123&lt;general!$C$23)*AD$5/(general!$C$23),0)+IFERROR(($C123&gt;=general!$C$23)*($C123&lt;=general!$C$27)*AD$6/(general!$C$27-general!$C$23+1),0)),0)</f>
        <v>0</v>
      </c>
      <c r="AE123" s="542">
        <f t="shared" si="28"/>
        <v>0</v>
      </c>
      <c r="AF123" s="542">
        <f>+SUMPRODUCT(--($C123=sales!$C$50:$C$54),sales!$D$50:$D$54)</f>
        <v>0</v>
      </c>
      <c r="AG123" s="542">
        <f>IF($C123=general!$C$28,AG$4,IFERROR(($C123&lt;general!$C$23)*((1-AG$4)*AG$5)/(general!$C$23-1),0)+IFERROR(($C123&gt;=general!$C$23)*($C123&lt;=general!$C$27)*((1-AG$4)*AG$6)/(general!$C$27-general!$C$23+1),0))+IF(AND(general!$C$23&lt;=1,$C123&lt;=1),'draws%'!AG$5*(1-AG$4))</f>
        <v>0</v>
      </c>
      <c r="AH123" s="542">
        <f>+IF($C123=general!$C$21,1,0)</f>
        <v>0</v>
      </c>
      <c r="AK123" s="524">
        <f>IF(A123&lt;=general!$D$27,IF(MONTH(A123)=11,1,IF(C123=general!$C$27,1,0)),)</f>
        <v>0</v>
      </c>
      <c r="AL123" s="524">
        <f>IF(AK123=1,COUNTIFS($C$8:$C$128,"&lt;="&amp;general!$C$27&amp;"",'draws%'!$AM$8:$AM$128,"="&amp;AM123&amp;""),0)</f>
        <v>0</v>
      </c>
      <c r="AM123" s="524">
        <f t="shared" si="26"/>
        <v>2036</v>
      </c>
      <c r="AN123" s="524"/>
    </row>
    <row r="124" spans="1:40" ht="14">
      <c r="A124" s="903">
        <f t="shared" si="21"/>
        <v>49795</v>
      </c>
      <c r="C124" s="897">
        <f t="shared" si="22"/>
        <v>116</v>
      </c>
      <c r="D124" s="542"/>
      <c r="E124" s="542">
        <f>IF($C124=$C$2,0,IF(OR($C124=0,$C124&lt;general!$C$23,$C124&gt;$C$2),0,E$2/$C$3+NORMDIST($C124-general!$C$23+1,$C$3/2,E$1,1)-NORMDIST($C123-general!$C$23+1,$C$3/2,E$1,1)))+IF($C124=$C$2,1-SUM(E$8:E123),0)</f>
        <v>0</v>
      </c>
      <c r="F124" s="542">
        <f>IF($C124=$C$2,0,IF(OR($C124=0,$C124&lt;general!$C$23,$C124&gt;$C$2),0,F$2/$C$3+NORMDIST($C124-general!$C$23+1,$C$3/2,F$1,1)-NORMDIST($C123-general!$C$23+1,$C$3/2,F$1,1)))+IF($C124=$C$2,1-SUM(F$8:F123),0)</f>
        <v>0</v>
      </c>
      <c r="G124" s="542">
        <f>IF($C124=$C$2,0,IF(OR($C124=0,$C124&lt;general!$C$23,$C124&gt;$C$2),0,G$2/$C$3+NORMDIST($C124-general!$C$23+1,$C$3/2,G$1,1)-NORMDIST($C123-general!$C$23+1,$C$3/2,G$1,1)))+IF($C124=$C$2,1-SUM(G$8:G123),0)</f>
        <v>0</v>
      </c>
      <c r="H124" s="542">
        <f>IF(C124=$C$2,0,IF(OR(C124=0,C124&lt;1,C124&gt;$C$2),0,$H$2/$C$2+NORMDIST(C124,$C$2/2,$H$1,1)-NORMDIST(C123,$C$2/2,$H$1,1)))+IF(C124=$C$2,1-SUM($H$9:H123),0)</f>
        <v>0</v>
      </c>
      <c r="I124" s="542">
        <f>IF(C124=$C$2,0,IF(OR(C124=0,C124&lt;1,C124&gt;$C$2),0,$I$2/$C$2+NORMDIST(C124,$C$2/2,$I$1,1)-NORMDIST(C123,$C$2/2,$I$1,1)))+IF(C124=$C$2,1-SUM($I$9:I123),0)</f>
        <v>0</v>
      </c>
      <c r="J124" s="542">
        <f>IF(C124=$C$2,0,IF(OR(C124=0,C124&lt;1,C124&gt;$C$2),0,$J$2/$C$2+NORMDIST(C124,$C$2/2,$J$1,1)-NORMDIST(C123,$C$2/2,$J$1,1)))+IF(C124=$C$2,1-SUM($J$9:J123),0)</f>
        <v>0</v>
      </c>
      <c r="K124" s="542">
        <f t="shared" si="27"/>
        <v>0</v>
      </c>
      <c r="L124" s="542">
        <f t="shared" si="24"/>
        <v>0</v>
      </c>
      <c r="M124" s="542">
        <f>IF($C124&gt;$C$2,IF($C124=sales!$F$36,M$4,0),(1-M$4)/$C$2)</f>
        <v>0</v>
      </c>
      <c r="N124" s="542">
        <f>IF(ISEVEN($C$2),IF(C124&gt;$C$2,0,IF(C124&lt;=$C$2/2,C124,C124-1-2*(SUMPRODUCT(--($C$8:C124&gt;$C$2/2))-1))/(($C$2/2)*($C$2/2+1))),0)+IF(ISODD($C$2),IF(C124&gt;$C$2,0,IF(C124-1&lt;=$C$2/2,C124,C124-2*(SUMPRODUCT(--($C$8:C124&gt;$C$2/2))-1))/((INT($C$2/2))*(INT($C$2/2)+1)+ROUNDUP($C$2/2,0))),0)</f>
        <v>0</v>
      </c>
      <c r="O124" s="542"/>
      <c r="P124" s="542">
        <f t="shared" si="25"/>
        <v>0</v>
      </c>
      <c r="Q124" s="542">
        <f>IF($C124=general!$C$28,Q$4,IFERROR(($C124&lt;general!$C$23)*((1-Q$4)*Q$5)/(general!$C$23-1),0)+IFERROR(($C124&gt;=general!$C$23)*($C124&lt;=general!$C$27)*((1-Q$4)*Q$6)/(general!$C$27-general!$C$23+1),0))+IF(AND(general!$C$23&lt;=1,$C124&lt;=1),'draws%'!Q$5*(1-Q$4))</f>
        <v>0</v>
      </c>
      <c r="R124" s="542">
        <f>IF($C124=general!$C$27,R$4,IFERROR(($C124&lt;general!$C$23)*((1-R$4)*R$5)/(general!$C$23-1),0)+IFERROR(($C124&gt;=general!$C$23)*($C124&lt;general!$C$27)*((1-R$4)*R$6)/(general!$C$27-general!$C$23),0))+IF(AND(general!$C$23&lt;=1,$C124&lt;=1),'draws%'!R$5*(1-R$4))</f>
        <v>0</v>
      </c>
      <c r="S124" s="542">
        <f>IF(OR(C124=general!$C$27,C124=general!$C$27-1),50%,0)</f>
        <v>0</v>
      </c>
      <c r="T124" s="542">
        <f>(C124&gt;=general!$C$26-6)*(C124&lt;general!$C$26)*1/6*0.5+(C124=3)*0.25+(C124=9)*0.25</f>
        <v>0</v>
      </c>
      <c r="U124" s="542">
        <f>IF(C124='Development Cash Flow'!$C$6,$U$5,0)+IF(C124=general!$C$27,$U$6,0)</f>
        <v>0</v>
      </c>
      <c r="V124" s="542">
        <f>IF(C124=general!$C$28,1,0)</f>
        <v>0</v>
      </c>
      <c r="W124" s="542">
        <f t="shared" si="29"/>
        <v>0</v>
      </c>
      <c r="X124" s="542">
        <f>IF(C124=general!$C$23,1,0)</f>
        <v>0</v>
      </c>
      <c r="Y124" s="542">
        <f>IFERROR((C124&lt;general!$C$23)*Y$5/(general!$C$23),0)+IFERROR((C124&gt;=general!$C$23)*(C124&lt;=general!$C$27)*Y$6/(general!$C$27-general!$C$23+1),0)</f>
        <v>0</v>
      </c>
      <c r="Z124" s="542">
        <f>IFERROR(($C124&lt;general!$C$23)*Z$5/(general!$C$23),0)+IFERROR(($C124&gt;=general!$C$23)*($C124&lt;=general!$C$27)*Z$6/(general!$C$27-general!$C$23+1),0)*(1-$Z$4)+$Z$4*AF124</f>
        <v>0</v>
      </c>
      <c r="AA124" s="542">
        <f>MAX((IFERROR(($C124&lt;general!$C$23)*AA$5/(general!$C$23),0)+IFERROR(($C124&gt;=general!$C$23)*($C124&lt;=general!$C$27)*AA$6/(general!$C$27-general!$C$23+1),0)),0)</f>
        <v>0</v>
      </c>
      <c r="AB124" s="542">
        <f>MAX((IFERROR(($C124&lt;general!$C$23)*AB$5/(general!$C$23),0)+IFERROR(($C124&gt;=general!$C$23)*($C124&lt;=general!$C$27)*AB$6/(general!$C$27-general!$C$23+1),0)),0)</f>
        <v>0</v>
      </c>
      <c r="AC124" s="542">
        <f>MAX((IFERROR(($C124&lt;general!$C$23)*AC$5/(general!$C$23),0)+IFERROR(($C124&gt;=general!$C$23)*($C124&lt;=general!$C$27)*AC$6/(general!$C$27-general!$C$23+1),0)),0)</f>
        <v>0</v>
      </c>
      <c r="AD124" s="542">
        <f>MAX((IFERROR(($C124&lt;general!$C$23)*AD$5/(general!$C$23),0)+IFERROR(($C124&gt;=general!$C$23)*($C124&lt;=general!$C$27)*AD$6/(general!$C$27-general!$C$23+1),0)),0)</f>
        <v>0</v>
      </c>
      <c r="AE124" s="542">
        <f t="shared" si="28"/>
        <v>0</v>
      </c>
      <c r="AF124" s="542">
        <f>+SUMPRODUCT(--($C124=sales!$C$50:$C$54),sales!$D$50:$D$54)</f>
        <v>0</v>
      </c>
      <c r="AG124" s="542">
        <f>IF($C124=general!$C$28,AG$4,IFERROR(($C124&lt;general!$C$23)*((1-AG$4)*AG$5)/(general!$C$23-1),0)+IFERROR(($C124&gt;=general!$C$23)*($C124&lt;=general!$C$27)*((1-AG$4)*AG$6)/(general!$C$27-general!$C$23+1),0))+IF(AND(general!$C$23&lt;=1,$C124&lt;=1),'draws%'!AG$5*(1-AG$4))</f>
        <v>0</v>
      </c>
      <c r="AH124" s="542">
        <f>+IF($C124=general!$C$21,1,0)</f>
        <v>0</v>
      </c>
      <c r="AK124" s="524">
        <f>IF(A124&lt;=general!$D$27,IF(MONTH(A124)=11,1,IF(C124=general!$C$27,1,0)),)</f>
        <v>0</v>
      </c>
      <c r="AL124" s="524">
        <f>IF(AK124=1,COUNTIFS($C$8:$C$128,"&lt;="&amp;general!$C$27&amp;"",'draws%'!$AM$8:$AM$128,"="&amp;AM124&amp;""),0)</f>
        <v>0</v>
      </c>
      <c r="AM124" s="524">
        <f t="shared" si="26"/>
        <v>2036</v>
      </c>
      <c r="AN124" s="524"/>
    </row>
    <row r="125" spans="1:40" ht="14">
      <c r="A125" s="903">
        <f t="shared" si="21"/>
        <v>49826</v>
      </c>
      <c r="C125" s="897">
        <f t="shared" si="22"/>
        <v>117</v>
      </c>
      <c r="D125" s="542"/>
      <c r="E125" s="542">
        <f>IF($C125=$C$2,0,IF(OR($C125=0,$C125&lt;general!$C$23,$C125&gt;$C$2),0,E$2/$C$3+NORMDIST($C125-general!$C$23+1,$C$3/2,E$1,1)-NORMDIST($C124-general!$C$23+1,$C$3/2,E$1,1)))+IF($C125=$C$2,1-SUM(E$8:E124),0)</f>
        <v>0</v>
      </c>
      <c r="F125" s="542">
        <f>IF($C125=$C$2,0,IF(OR($C125=0,$C125&lt;general!$C$23,$C125&gt;$C$2),0,F$2/$C$3+NORMDIST($C125-general!$C$23+1,$C$3/2,F$1,1)-NORMDIST($C124-general!$C$23+1,$C$3/2,F$1,1)))+IF($C125=$C$2,1-SUM(F$8:F124),0)</f>
        <v>0</v>
      </c>
      <c r="G125" s="542">
        <f>IF($C125=$C$2,0,IF(OR($C125=0,$C125&lt;general!$C$23,$C125&gt;$C$2),0,G$2/$C$3+NORMDIST($C125-general!$C$23+1,$C$3/2,G$1,1)-NORMDIST($C124-general!$C$23+1,$C$3/2,G$1,1)))+IF($C125=$C$2,1-SUM(G$8:G124),0)</f>
        <v>0</v>
      </c>
      <c r="H125" s="542">
        <f>IF(C125=$C$2,0,IF(OR(C125=0,C125&lt;1,C125&gt;$C$2),0,$H$2/$C$2+NORMDIST(C125,$C$2/2,$H$1,1)-NORMDIST(C124,$C$2/2,$H$1,1)))+IF(C125=$C$2,1-SUM($H$9:H124),0)</f>
        <v>0</v>
      </c>
      <c r="I125" s="542">
        <f>IF(C125=$C$2,0,IF(OR(C125=0,C125&lt;1,C125&gt;$C$2),0,$I$2/$C$2+NORMDIST(C125,$C$2/2,$I$1,1)-NORMDIST(C124,$C$2/2,$I$1,1)))+IF(C125=$C$2,1-SUM($I$9:I124),0)</f>
        <v>0</v>
      </c>
      <c r="J125" s="542">
        <f>IF(C125=$C$2,0,IF(OR(C125=0,C125&lt;1,C125&gt;$C$2),0,$J$2/$C$2+NORMDIST(C125,$C$2/2,$J$1,1)-NORMDIST(C124,$C$2/2,$J$1,1)))+IF(C125=$C$2,1-SUM($J$9:J124),0)</f>
        <v>0</v>
      </c>
      <c r="K125" s="542">
        <f t="shared" si="27"/>
        <v>0</v>
      </c>
      <c r="L125" s="542">
        <f t="shared" si="24"/>
        <v>0</v>
      </c>
      <c r="M125" s="542">
        <f>IF($C125&gt;$C$2,IF($C125=sales!$F$36,M$4,0),(1-M$4)/$C$2)</f>
        <v>0</v>
      </c>
      <c r="N125" s="542">
        <f>IF(ISEVEN($C$2),IF(C125&gt;$C$2,0,IF(C125&lt;=$C$2/2,C125,C125-1-2*(SUMPRODUCT(--($C$8:C125&gt;$C$2/2))-1))/(($C$2/2)*($C$2/2+1))),0)+IF(ISODD($C$2),IF(C125&gt;$C$2,0,IF(C125-1&lt;=$C$2/2,C125,C125-2*(SUMPRODUCT(--($C$8:C125&gt;$C$2/2))-1))/((INT($C$2/2))*(INT($C$2/2)+1)+ROUNDUP($C$2/2,0))),0)</f>
        <v>0</v>
      </c>
      <c r="O125" s="542"/>
      <c r="P125" s="542">
        <f t="shared" si="25"/>
        <v>0</v>
      </c>
      <c r="Q125" s="542">
        <f>IF($C125=general!$C$28,Q$4,IFERROR(($C125&lt;general!$C$23)*((1-Q$4)*Q$5)/(general!$C$23-1),0)+IFERROR(($C125&gt;=general!$C$23)*($C125&lt;=general!$C$27)*((1-Q$4)*Q$6)/(general!$C$27-general!$C$23+1),0))+IF(AND(general!$C$23&lt;=1,$C125&lt;=1),'draws%'!Q$5*(1-Q$4))</f>
        <v>0</v>
      </c>
      <c r="R125" s="542">
        <f>IF($C125=general!$C$27,R$4,IFERROR(($C125&lt;general!$C$23)*((1-R$4)*R$5)/(general!$C$23-1),0)+IFERROR(($C125&gt;=general!$C$23)*($C125&lt;general!$C$27)*((1-R$4)*R$6)/(general!$C$27-general!$C$23),0))+IF(AND(general!$C$23&lt;=1,$C125&lt;=1),'draws%'!R$5*(1-R$4))</f>
        <v>0</v>
      </c>
      <c r="S125" s="542">
        <f>IF(OR(C125=general!$C$27,C125=general!$C$27-1),50%,0)</f>
        <v>0</v>
      </c>
      <c r="T125" s="542">
        <f>(C125&gt;=general!$C$26-6)*(C125&lt;general!$C$26)*1/6*0.5+(C125=3)*0.25+(C125=9)*0.25</f>
        <v>0</v>
      </c>
      <c r="U125" s="542">
        <f>IF(C125='Development Cash Flow'!$C$6,$U$5,0)+IF(C125=general!$C$27,$U$6,0)</f>
        <v>0</v>
      </c>
      <c r="V125" s="542">
        <f>IF(C125=general!$C$28,1,0)</f>
        <v>0</v>
      </c>
      <c r="W125" s="542">
        <f t="shared" si="29"/>
        <v>0</v>
      </c>
      <c r="X125" s="542">
        <f>IF(C125=general!$C$23,1,0)</f>
        <v>0</v>
      </c>
      <c r="Y125" s="542">
        <f>IFERROR((C125&lt;general!$C$23)*Y$5/(general!$C$23),0)+IFERROR((C125&gt;=general!$C$23)*(C125&lt;=general!$C$27)*Y$6/(general!$C$27-general!$C$23+1),0)</f>
        <v>0</v>
      </c>
      <c r="Z125" s="542">
        <f>IFERROR(($C125&lt;general!$C$23)*Z$5/(general!$C$23),0)+IFERROR(($C125&gt;=general!$C$23)*($C125&lt;=general!$C$27)*Z$6/(general!$C$27-general!$C$23+1),0)*(1-$Z$4)+$Z$4*AF125</f>
        <v>0</v>
      </c>
      <c r="AA125" s="542">
        <f>MAX((IFERROR(($C125&lt;general!$C$23)*AA$5/(general!$C$23),0)+IFERROR(($C125&gt;=general!$C$23)*($C125&lt;=general!$C$27)*AA$6/(general!$C$27-general!$C$23+1),0)),0)</f>
        <v>0</v>
      </c>
      <c r="AB125" s="542">
        <f>MAX((IFERROR(($C125&lt;general!$C$23)*AB$5/(general!$C$23),0)+IFERROR(($C125&gt;=general!$C$23)*($C125&lt;=general!$C$27)*AB$6/(general!$C$27-general!$C$23+1),0)),0)</f>
        <v>0</v>
      </c>
      <c r="AC125" s="542">
        <f>MAX((IFERROR(($C125&lt;general!$C$23)*AC$5/(general!$C$23),0)+IFERROR(($C125&gt;=general!$C$23)*($C125&lt;=general!$C$27)*AC$6/(general!$C$27-general!$C$23+1),0)),0)</f>
        <v>0</v>
      </c>
      <c r="AD125" s="542">
        <f>MAX((IFERROR(($C125&lt;general!$C$23)*AD$5/(general!$C$23),0)+IFERROR(($C125&gt;=general!$C$23)*($C125&lt;=general!$C$27)*AD$6/(general!$C$27-general!$C$23+1),0)),0)</f>
        <v>0</v>
      </c>
      <c r="AE125" s="542">
        <f t="shared" si="28"/>
        <v>0</v>
      </c>
      <c r="AF125" s="542">
        <f>+SUMPRODUCT(--($C125=sales!$C$50:$C$54),sales!$D$50:$D$54)</f>
        <v>0</v>
      </c>
      <c r="AG125" s="542">
        <f>IF($C125=general!$C$28,AG$4,IFERROR(($C125&lt;general!$C$23)*((1-AG$4)*AG$5)/(general!$C$23-1),0)+IFERROR(($C125&gt;=general!$C$23)*($C125&lt;=general!$C$27)*((1-AG$4)*AG$6)/(general!$C$27-general!$C$23+1),0))+IF(AND(general!$C$23&lt;=1,$C125&lt;=1),'draws%'!AG$5*(1-AG$4))</f>
        <v>0</v>
      </c>
      <c r="AH125" s="542">
        <f>+IF($C125=general!$C$21,1,0)</f>
        <v>0</v>
      </c>
      <c r="AK125" s="524">
        <f>IF(A125&lt;=general!$D$27,IF(MONTH(A125)=11,1,IF(C125=general!$C$27,1,0)),)</f>
        <v>0</v>
      </c>
      <c r="AL125" s="524">
        <f>IF(AK125=1,COUNTIFS($C$8:$C$128,"&lt;="&amp;general!$C$27&amp;"",'draws%'!$AM$8:$AM$128,"="&amp;AM125&amp;""),0)</f>
        <v>0</v>
      </c>
      <c r="AM125" s="524">
        <f t="shared" si="26"/>
        <v>2036</v>
      </c>
      <c r="AN125" s="524"/>
    </row>
    <row r="126" spans="1:40" ht="14">
      <c r="A126" s="903">
        <f t="shared" si="21"/>
        <v>49856</v>
      </c>
      <c r="C126" s="897">
        <f t="shared" si="22"/>
        <v>118</v>
      </c>
      <c r="D126" s="542"/>
      <c r="E126" s="542">
        <f>IF($C126=$C$2,0,IF(OR($C126=0,$C126&lt;general!$C$23,$C126&gt;$C$2),0,E$2/$C$3+NORMDIST($C126-general!$C$23+1,$C$3/2,E$1,1)-NORMDIST($C125-general!$C$23+1,$C$3/2,E$1,1)))+IF($C126=$C$2,1-SUM(E$8:E125),0)</f>
        <v>0</v>
      </c>
      <c r="F126" s="542">
        <f>IF($C126=$C$2,0,IF(OR($C126=0,$C126&lt;general!$C$23,$C126&gt;$C$2),0,F$2/$C$3+NORMDIST($C126-general!$C$23+1,$C$3/2,F$1,1)-NORMDIST($C125-general!$C$23+1,$C$3/2,F$1,1)))+IF($C126=$C$2,1-SUM(F$8:F125),0)</f>
        <v>0</v>
      </c>
      <c r="G126" s="542">
        <f>IF($C126=$C$2,0,IF(OR($C126=0,$C126&lt;general!$C$23,$C126&gt;$C$2),0,G$2/$C$3+NORMDIST($C126-general!$C$23+1,$C$3/2,G$1,1)-NORMDIST($C125-general!$C$23+1,$C$3/2,G$1,1)))+IF($C126=$C$2,1-SUM(G$8:G125),0)</f>
        <v>0</v>
      </c>
      <c r="H126" s="542">
        <f>IF(C126=$C$2,0,IF(OR(C126=0,C126&lt;1,C126&gt;$C$2),0,$H$2/$C$2+NORMDIST(C126,$C$2/2,$H$1,1)-NORMDIST(C125,$C$2/2,$H$1,1)))+IF(C126=$C$2,1-SUM($H$9:H125),0)</f>
        <v>0</v>
      </c>
      <c r="I126" s="542">
        <f>IF(C126=$C$2,0,IF(OR(C126=0,C126&lt;1,C126&gt;$C$2),0,$I$2/$C$2+NORMDIST(C126,$C$2/2,$I$1,1)-NORMDIST(C125,$C$2/2,$I$1,1)))+IF(C126=$C$2,1-SUM($I$9:I125),0)</f>
        <v>0</v>
      </c>
      <c r="J126" s="542">
        <f>IF(C126=$C$2,0,IF(OR(C126=0,C126&lt;1,C126&gt;$C$2),0,$J$2/$C$2+NORMDIST(C126,$C$2/2,$J$1,1)-NORMDIST(C125,$C$2/2,$J$1,1)))+IF(C126=$C$2,1-SUM($J$9:J125),0)</f>
        <v>0</v>
      </c>
      <c r="K126" s="542">
        <f t="shared" si="27"/>
        <v>0</v>
      </c>
      <c r="L126" s="542">
        <f t="shared" si="24"/>
        <v>0</v>
      </c>
      <c r="M126" s="542">
        <f>IF($C126&gt;$C$2,IF($C126=sales!$F$36,M$4,0),(1-M$4)/$C$2)</f>
        <v>0</v>
      </c>
      <c r="N126" s="542">
        <f>IF(ISEVEN($C$2),IF(C126&gt;$C$2,0,IF(C126&lt;=$C$2/2,C126,C126-1-2*(SUMPRODUCT(--($C$8:C126&gt;$C$2/2))-1))/(($C$2/2)*($C$2/2+1))),0)+IF(ISODD($C$2),IF(C126&gt;$C$2,0,IF(C126-1&lt;=$C$2/2,C126,C126-2*(SUMPRODUCT(--($C$8:C126&gt;$C$2/2))-1))/((INT($C$2/2))*(INT($C$2/2)+1)+ROUNDUP($C$2/2,0))),0)</f>
        <v>0</v>
      </c>
      <c r="O126" s="542"/>
      <c r="P126" s="542">
        <f t="shared" si="25"/>
        <v>0</v>
      </c>
      <c r="Q126" s="542">
        <f>IF($C126=general!$C$28,Q$4,IFERROR(($C126&lt;general!$C$23)*((1-Q$4)*Q$5)/(general!$C$23-1),0)+IFERROR(($C126&gt;=general!$C$23)*($C126&lt;=general!$C$27)*((1-Q$4)*Q$6)/(general!$C$27-general!$C$23+1),0))+IF(AND(general!$C$23&lt;=1,$C126&lt;=1),'draws%'!Q$5*(1-Q$4))</f>
        <v>0</v>
      </c>
      <c r="R126" s="542">
        <f>IF($C126=general!$C$27,R$4,IFERROR(($C126&lt;general!$C$23)*((1-R$4)*R$5)/(general!$C$23-1),0)+IFERROR(($C126&gt;=general!$C$23)*($C126&lt;general!$C$27)*((1-R$4)*R$6)/(general!$C$27-general!$C$23),0))+IF(AND(general!$C$23&lt;=1,$C126&lt;=1),'draws%'!R$5*(1-R$4))</f>
        <v>0</v>
      </c>
      <c r="S126" s="542">
        <f>IF(OR(C126=general!$C$27,C126=general!$C$27-1),50%,0)</f>
        <v>0</v>
      </c>
      <c r="T126" s="542">
        <f>(C126&gt;=general!$C$26-6)*(C126&lt;general!$C$26)*1/6*0.5+(C126=3)*0.25+(C126=9)*0.25</f>
        <v>0</v>
      </c>
      <c r="U126" s="542">
        <f>IF(C126='Development Cash Flow'!$C$6,$U$5,0)+IF(C126=general!$C$27,$U$6,0)</f>
        <v>0</v>
      </c>
      <c r="V126" s="542">
        <f>IF(C126=general!$C$28,1,0)</f>
        <v>0</v>
      </c>
      <c r="W126" s="542">
        <f t="shared" si="29"/>
        <v>0</v>
      </c>
      <c r="X126" s="542">
        <f>IF(C126=general!$C$23,1,0)</f>
        <v>0</v>
      </c>
      <c r="Y126" s="542">
        <f>IFERROR((C126&lt;general!$C$23)*Y$5/(general!$C$23),0)+IFERROR((C126&gt;=general!$C$23)*(C126&lt;=general!$C$27)*Y$6/(general!$C$27-general!$C$23+1),0)</f>
        <v>0</v>
      </c>
      <c r="Z126" s="542">
        <f>IFERROR(($C126&lt;general!$C$23)*Z$5/(general!$C$23),0)+IFERROR(($C126&gt;=general!$C$23)*($C126&lt;=general!$C$27)*Z$6/(general!$C$27-general!$C$23+1),0)*(1-$Z$4)+$Z$4*AF126</f>
        <v>0</v>
      </c>
      <c r="AA126" s="542">
        <f>MAX((IFERROR(($C126&lt;general!$C$23)*AA$5/(general!$C$23),0)+IFERROR(($C126&gt;=general!$C$23)*($C126&lt;=general!$C$27)*AA$6/(general!$C$27-general!$C$23+1),0)),0)</f>
        <v>0</v>
      </c>
      <c r="AB126" s="542">
        <f>MAX((IFERROR(($C126&lt;general!$C$23)*AB$5/(general!$C$23),0)+IFERROR(($C126&gt;=general!$C$23)*($C126&lt;=general!$C$27)*AB$6/(general!$C$27-general!$C$23+1),0)),0)</f>
        <v>0</v>
      </c>
      <c r="AC126" s="542">
        <f>MAX((IFERROR(($C126&lt;general!$C$23)*AC$5/(general!$C$23),0)+IFERROR(($C126&gt;=general!$C$23)*($C126&lt;=general!$C$27)*AC$6/(general!$C$27-general!$C$23+1),0)),0)</f>
        <v>0</v>
      </c>
      <c r="AD126" s="542">
        <f>MAX((IFERROR(($C126&lt;general!$C$23)*AD$5/(general!$C$23),0)+IFERROR(($C126&gt;=general!$C$23)*($C126&lt;=general!$C$27)*AD$6/(general!$C$27-general!$C$23+1),0)),0)</f>
        <v>0</v>
      </c>
      <c r="AE126" s="542">
        <f t="shared" si="28"/>
        <v>0</v>
      </c>
      <c r="AF126" s="542">
        <f>+SUMPRODUCT(--($C126=sales!$C$50:$C$54),sales!$D$50:$D$54)</f>
        <v>0</v>
      </c>
      <c r="AG126" s="542">
        <f>IF($C126=general!$C$28,AG$4,IFERROR(($C126&lt;general!$C$23)*((1-AG$4)*AG$5)/(general!$C$23-1),0)+IFERROR(($C126&gt;=general!$C$23)*($C126&lt;=general!$C$27)*((1-AG$4)*AG$6)/(general!$C$27-general!$C$23+1),0))+IF(AND(general!$C$23&lt;=1,$C126&lt;=1),'draws%'!AG$5*(1-AG$4))</f>
        <v>0</v>
      </c>
      <c r="AH126" s="542">
        <f>+IF($C126=general!$C$21,1,0)</f>
        <v>0</v>
      </c>
      <c r="AK126" s="524">
        <f>IF(A126&lt;=general!$D$27,IF(MONTH(A126)=11,1,IF(C126=general!$C$27,1,0)),)</f>
        <v>0</v>
      </c>
      <c r="AL126" s="524">
        <f>IF(AK126=1,COUNTIFS($C$8:$C$128,"&lt;="&amp;general!$C$27&amp;"",'draws%'!$AM$8:$AM$128,"="&amp;AM126&amp;""),0)</f>
        <v>0</v>
      </c>
      <c r="AM126" s="524">
        <f t="shared" si="26"/>
        <v>2036</v>
      </c>
      <c r="AN126" s="524"/>
    </row>
    <row r="127" spans="1:40" ht="14">
      <c r="A127" s="903">
        <f t="shared" si="21"/>
        <v>49887</v>
      </c>
      <c r="C127" s="897">
        <f t="shared" si="22"/>
        <v>119</v>
      </c>
      <c r="D127" s="542"/>
      <c r="E127" s="542">
        <f>IF($C127=$C$2,0,IF(OR($C127=0,$C127&lt;general!$C$23,$C127&gt;$C$2),0,E$2/$C$3+NORMDIST($C127-general!$C$23+1,$C$3/2,E$1,1)-NORMDIST($C126-general!$C$23+1,$C$3/2,E$1,1)))+IF($C127=$C$2,1-SUM(E$8:E126),0)</f>
        <v>0</v>
      </c>
      <c r="F127" s="542">
        <f>IF($C127=$C$2,0,IF(OR($C127=0,$C127&lt;general!$C$23,$C127&gt;$C$2),0,F$2/$C$3+NORMDIST($C127-general!$C$23+1,$C$3/2,F$1,1)-NORMDIST($C126-general!$C$23+1,$C$3/2,F$1,1)))+IF($C127=$C$2,1-SUM(F$8:F126),0)</f>
        <v>0</v>
      </c>
      <c r="G127" s="542">
        <f>IF($C127=$C$2,0,IF(OR($C127=0,$C127&lt;general!$C$23,$C127&gt;$C$2),0,G$2/$C$3+NORMDIST($C127-general!$C$23+1,$C$3/2,G$1,1)-NORMDIST($C126-general!$C$23+1,$C$3/2,G$1,1)))+IF($C127=$C$2,1-SUM(G$8:G126),0)</f>
        <v>0</v>
      </c>
      <c r="H127" s="542">
        <f>IF(C127=$C$2,0,IF(OR(C127=0,C127&lt;1,C127&gt;$C$2),0,$H$2/$C$2+NORMDIST(C127,$C$2/2,$H$1,1)-NORMDIST(C126,$C$2/2,$H$1,1)))+IF(C127=$C$2,1-SUM($H$9:H126),0)</f>
        <v>0</v>
      </c>
      <c r="I127" s="542">
        <f>IF(C127=$C$2,0,IF(OR(C127=0,C127&lt;1,C127&gt;$C$2),0,$I$2/$C$2+NORMDIST(C127,$C$2/2,$I$1,1)-NORMDIST(C126,$C$2/2,$I$1,1)))+IF(C127=$C$2,1-SUM($I$9:I126),0)</f>
        <v>0</v>
      </c>
      <c r="J127" s="542">
        <f>IF(C127=$C$2,0,IF(OR(C127=0,C127&lt;1,C127&gt;$C$2),0,$J$2/$C$2+NORMDIST(C127,$C$2/2,$J$1,1)-NORMDIST(C126,$C$2/2,$J$1,1)))+IF(C127=$C$2,1-SUM($J$9:J126),0)</f>
        <v>0</v>
      </c>
      <c r="K127" s="542">
        <f t="shared" si="27"/>
        <v>0</v>
      </c>
      <c r="L127" s="542">
        <f t="shared" si="24"/>
        <v>0</v>
      </c>
      <c r="M127" s="542">
        <f>IF($C127&gt;$C$2,IF($C127=sales!$F$36,M$4,0),(1-M$4)/$C$2)</f>
        <v>0</v>
      </c>
      <c r="N127" s="542">
        <f>IF(ISEVEN($C$2),IF(C127&gt;$C$2,0,IF(C127&lt;=$C$2/2,C127,C127-1-2*(SUMPRODUCT(--($C$8:C127&gt;$C$2/2))-1))/(($C$2/2)*($C$2/2+1))),0)+IF(ISODD($C$2),IF(C127&gt;$C$2,0,IF(C127-1&lt;=$C$2/2,C127,C127-2*(SUMPRODUCT(--($C$8:C127&gt;$C$2/2))-1))/((INT($C$2/2))*(INT($C$2/2)+1)+ROUNDUP($C$2/2,0))),0)</f>
        <v>0</v>
      </c>
      <c r="O127" s="542"/>
      <c r="P127" s="542">
        <f t="shared" si="25"/>
        <v>0</v>
      </c>
      <c r="Q127" s="542">
        <f>IF($C127=general!$C$28,Q$4,IFERROR(($C127&lt;general!$C$23)*((1-Q$4)*Q$5)/(general!$C$23-1),0)+IFERROR(($C127&gt;=general!$C$23)*($C127&lt;=general!$C$27)*((1-Q$4)*Q$6)/(general!$C$27-general!$C$23+1),0))+IF(AND(general!$C$23&lt;=1,$C127&lt;=1),'draws%'!Q$5*(1-Q$4))</f>
        <v>0</v>
      </c>
      <c r="R127" s="542">
        <f>IF($C127=general!$C$27,R$4,IFERROR(($C127&lt;general!$C$23)*((1-R$4)*R$5)/(general!$C$23-1),0)+IFERROR(($C127&gt;=general!$C$23)*($C127&lt;general!$C$27)*((1-R$4)*R$6)/(general!$C$27-general!$C$23),0))+IF(AND(general!$C$23&lt;=1,$C127&lt;=1),'draws%'!R$5*(1-R$4))</f>
        <v>0</v>
      </c>
      <c r="S127" s="542">
        <f>IF(OR(C127=general!$C$27,C127=general!$C$27-1),50%,0)</f>
        <v>0</v>
      </c>
      <c r="T127" s="542">
        <f>(C127&gt;=general!$C$26-6)*(C127&lt;general!$C$26)*1/6*0.5+(C127=3)*0.25+(C127=9)*0.25</f>
        <v>0</v>
      </c>
      <c r="U127" s="542">
        <f>IF(C127='Development Cash Flow'!$C$6,$U$5,0)+IF(C127=general!$C$27,$U$6,0)</f>
        <v>0</v>
      </c>
      <c r="V127" s="542">
        <f>IF(C127=general!$C$28,1,0)</f>
        <v>0</v>
      </c>
      <c r="W127" s="542">
        <f t="shared" si="29"/>
        <v>0</v>
      </c>
      <c r="X127" s="542">
        <f>IF(C127=general!$C$23,1,0)</f>
        <v>0</v>
      </c>
      <c r="Y127" s="542">
        <f>IFERROR((C127&lt;general!$C$23)*Y$5/(general!$C$23),0)+IFERROR((C127&gt;=general!$C$23)*(C127&lt;=general!$C$27)*Y$6/(general!$C$27-general!$C$23+1),0)</f>
        <v>0</v>
      </c>
      <c r="Z127" s="542">
        <f>IFERROR(($C127&lt;general!$C$23)*Z$5/(general!$C$23),0)+IFERROR(($C127&gt;=general!$C$23)*($C127&lt;=general!$C$27)*Z$6/(general!$C$27-general!$C$23+1),0)*(1-$Z$4)+$Z$4*AF127</f>
        <v>0</v>
      </c>
      <c r="AA127" s="542">
        <f>MAX((IFERROR(($C127&lt;general!$C$23)*AA$5/(general!$C$23),0)+IFERROR(($C127&gt;=general!$C$23)*($C127&lt;=general!$C$27)*AA$6/(general!$C$27-general!$C$23+1),0)),0)</f>
        <v>0</v>
      </c>
      <c r="AB127" s="542">
        <f>MAX((IFERROR(($C127&lt;general!$C$23)*AB$5/(general!$C$23),0)+IFERROR(($C127&gt;=general!$C$23)*($C127&lt;=general!$C$27)*AB$6/(general!$C$27-general!$C$23+1),0)),0)</f>
        <v>0</v>
      </c>
      <c r="AC127" s="542">
        <f>MAX((IFERROR(($C127&lt;general!$C$23)*AC$5/(general!$C$23),0)+IFERROR(($C127&gt;=general!$C$23)*($C127&lt;=general!$C$27)*AC$6/(general!$C$27-general!$C$23+1),0)),0)</f>
        <v>0</v>
      </c>
      <c r="AD127" s="542">
        <f>MAX((IFERROR(($C127&lt;general!$C$23)*AD$5/(general!$C$23),0)+IFERROR(($C127&gt;=general!$C$23)*($C127&lt;=general!$C$27)*AD$6/(general!$C$27-general!$C$23+1),0)),0)</f>
        <v>0</v>
      </c>
      <c r="AE127" s="542">
        <f t="shared" si="28"/>
        <v>0</v>
      </c>
      <c r="AF127" s="542">
        <f>+SUMPRODUCT(--($C127=sales!$C$50:$C$54),sales!$D$50:$D$54)</f>
        <v>0</v>
      </c>
      <c r="AG127" s="542">
        <f>IF($C127=general!$C$28,AG$4,IFERROR(($C127&lt;general!$C$23)*((1-AG$4)*AG$5)/(general!$C$23-1),0)+IFERROR(($C127&gt;=general!$C$23)*($C127&lt;=general!$C$27)*((1-AG$4)*AG$6)/(general!$C$27-general!$C$23+1),0))+IF(AND(general!$C$23&lt;=1,$C127&lt;=1),'draws%'!AG$5*(1-AG$4))</f>
        <v>0</v>
      </c>
      <c r="AH127" s="542">
        <f>+IF($C127=general!$C$21,1,0)</f>
        <v>0</v>
      </c>
      <c r="AK127" s="524">
        <f>IF(A127&lt;=general!$D$27,IF(MONTH(A127)=11,1,IF(C127=general!$C$27,1,0)),)</f>
        <v>0</v>
      </c>
      <c r="AL127" s="524">
        <f>IF(AK127=1,COUNTIFS($C$8:$C$128,"&lt;="&amp;general!$C$27&amp;"",'draws%'!$AM$8:$AM$128,"="&amp;AM127&amp;""),0)</f>
        <v>0</v>
      </c>
      <c r="AM127" s="524">
        <f t="shared" si="26"/>
        <v>2036</v>
      </c>
      <c r="AN127" s="524"/>
    </row>
    <row r="128" spans="1:40" ht="14">
      <c r="A128" s="903">
        <f t="shared" si="21"/>
        <v>49918</v>
      </c>
      <c r="C128" s="897">
        <f t="shared" si="22"/>
        <v>120</v>
      </c>
      <c r="D128" s="542"/>
      <c r="E128" s="542">
        <f>IF($C128=$C$2,0,IF(OR($C128=0,$C128&lt;general!$C$23,$C128&gt;$C$2),0,E$2/$C$3+NORMDIST($C128-general!$C$23+1,$C$3/2,E$1,1)-NORMDIST($C127-general!$C$23+1,$C$3/2,E$1,1)))+IF($C128=$C$2,1-SUM(E$8:E127),0)</f>
        <v>0</v>
      </c>
      <c r="F128" s="542">
        <f>IF($C128=$C$2,0,IF(OR($C128=0,$C128&lt;general!$C$23,$C128&gt;$C$2),0,F$2/$C$3+NORMDIST($C128-general!$C$23+1,$C$3/2,F$1,1)-NORMDIST($C127-general!$C$23+1,$C$3/2,F$1,1)))+IF($C128=$C$2,1-SUM(F$8:F127),0)</f>
        <v>0</v>
      </c>
      <c r="G128" s="542">
        <f>IF($C128=$C$2,0,IF(OR($C128=0,$C128&lt;general!$C$23,$C128&gt;$C$2),0,G$2/$C$3+NORMDIST($C128-general!$C$23+1,$C$3/2,G$1,1)-NORMDIST($C127-general!$C$23+1,$C$3/2,G$1,1)))+IF($C128=$C$2,1-SUM(G$8:G127),0)</f>
        <v>0</v>
      </c>
      <c r="H128" s="542">
        <f>IF(C128=$C$2,0,IF(OR(C128=0,C128&lt;1,C128&gt;$C$2),0,$H$2/$C$2+NORMDIST(C128,$C$2/2,$H$1,1)-NORMDIST(C127,$C$2/2,$H$1,1)))+IF(C128=$C$2,1-SUM($H$9:H127),0)</f>
        <v>0</v>
      </c>
      <c r="I128" s="542">
        <f>IF(C128=$C$2,0,IF(OR(C128=0,C128&lt;1,C128&gt;$C$2),0,$I$2/$C$2+NORMDIST(C128,$C$2/2,$I$1,1)-NORMDIST(C127,$C$2/2,$I$1,1)))+IF(C128=$C$2,1-SUM($I$9:I127),0)</f>
        <v>0</v>
      </c>
      <c r="J128" s="542">
        <f>IF(C128=$C$2,0,IF(OR(C128=0,C128&lt;1,C128&gt;$C$2),0,$J$2/$C$2+NORMDIST(C128,$C$2/2,$J$1,1)-NORMDIST(C127,$C$2/2,$J$1,1)))+IF(C128=$C$2,1-SUM($J$9:J127),0)</f>
        <v>0</v>
      </c>
      <c r="K128" s="542">
        <f t="shared" si="27"/>
        <v>0</v>
      </c>
      <c r="L128" s="542">
        <f t="shared" si="24"/>
        <v>0</v>
      </c>
      <c r="M128" s="542">
        <f>IF($C128&gt;$C$2,IF($C128=sales!$F$36,M$4,0),(1-M$4)/$C$2)</f>
        <v>0</v>
      </c>
      <c r="N128" s="542">
        <f>IF(ISEVEN($C$2),IF(C128&gt;$C$2,0,IF(C128&lt;=$C$2/2,C128,C128-1-2*(SUMPRODUCT(--($C$8:C128&gt;$C$2/2))-1))/(($C$2/2)*($C$2/2+1))),0)+IF(ISODD($C$2),IF(C128&gt;$C$2,0,IF(C128-1&lt;=$C$2/2,C128,C128-2*(SUMPRODUCT(--($C$8:C128&gt;$C$2/2))-1))/((INT($C$2/2))*(INT($C$2/2)+1)+ROUNDUP($C$2/2,0))),0)</f>
        <v>0</v>
      </c>
      <c r="O128" s="542"/>
      <c r="P128" s="542">
        <f t="shared" si="25"/>
        <v>0</v>
      </c>
      <c r="Q128" s="542">
        <f>IF($C128=general!$C$28,Q$4,IFERROR(($C128&lt;general!$C$23)*((1-Q$4)*Q$5)/(general!$C$23-1),0)+IFERROR(($C128&gt;=general!$C$23)*($C128&lt;=general!$C$27)*((1-Q$4)*Q$6)/(general!$C$27-general!$C$23+1),0))+IF(AND(general!$C$23&lt;=1,$C128&lt;=1),'draws%'!Q$5*(1-Q$4))</f>
        <v>0</v>
      </c>
      <c r="R128" s="542">
        <f>IF($C128=general!$C$27,R$4,IFERROR(($C128&lt;general!$C$23)*((1-R$4)*R$5)/(general!$C$23-1),0)+IFERROR(($C128&gt;=general!$C$23)*($C128&lt;general!$C$27)*((1-R$4)*R$6)/(general!$C$27-general!$C$23),0))+IF(AND(general!$C$23&lt;=1,$C128&lt;=1),'draws%'!R$5*(1-R$4))</f>
        <v>0</v>
      </c>
      <c r="S128" s="542">
        <f>IF(OR(C128=general!$C$27,C128=general!$C$27-1),50%,0)</f>
        <v>0</v>
      </c>
      <c r="T128" s="542">
        <f>(C128&gt;=general!$C$26-6)*(C128&lt;general!$C$26)*1/6*0.5+(C128=3)*0.25+(C128=9)*0.25</f>
        <v>0</v>
      </c>
      <c r="U128" s="542">
        <f>IF(C128='Development Cash Flow'!$C$6,$U$5,0)+IF(C128=general!$C$27,$U$6,0)</f>
        <v>0</v>
      </c>
      <c r="V128" s="542">
        <f>IF(C128=general!$C$28,1,0)</f>
        <v>0</v>
      </c>
      <c r="W128" s="542">
        <f t="shared" si="29"/>
        <v>0</v>
      </c>
      <c r="X128" s="542">
        <f>IF(C128=general!$C$23,1,0)</f>
        <v>0</v>
      </c>
      <c r="Y128" s="542">
        <f>IFERROR((C128&lt;general!$C$23)*Y$5/(general!$C$23),0)+IFERROR((C128&gt;=general!$C$23)*(C128&lt;=general!$C$27)*Y$6/(general!$C$27-general!$C$23+1),0)</f>
        <v>0</v>
      </c>
      <c r="Z128" s="542">
        <f>IFERROR(($C128&lt;general!$C$23)*Z$5/(general!$C$23),0)+IFERROR(($C128&gt;=general!$C$23)*($C128&lt;=general!$C$27)*Z$6/(general!$C$27-general!$C$23+1),0)*(1-$Z$4)+$Z$4*AF128</f>
        <v>0</v>
      </c>
      <c r="AA128" s="542">
        <f>MAX((IFERROR(($C128&lt;general!$C$23)*AA$5/(general!$C$23),0)+IFERROR(($C128&gt;=general!$C$23)*($C128&lt;=general!$C$27)*AA$6/(general!$C$27-general!$C$23+1),0)),0)</f>
        <v>0</v>
      </c>
      <c r="AB128" s="542">
        <f>MAX((IFERROR(($C128&lt;general!$C$23)*AB$5/(general!$C$23),0)+IFERROR(($C128&gt;=general!$C$23)*($C128&lt;=general!$C$27)*AB$6/(general!$C$27-general!$C$23+1),0)),0)</f>
        <v>0</v>
      </c>
      <c r="AC128" s="542">
        <f>MAX((IFERROR(($C128&lt;general!$C$23)*AC$5/(general!$C$23),0)+IFERROR(($C128&gt;=general!$C$23)*($C128&lt;=general!$C$27)*AC$6/(general!$C$27-general!$C$23+1),0)),0)</f>
        <v>0</v>
      </c>
      <c r="AD128" s="542">
        <f>MAX((IFERROR(($C128&lt;general!$C$23)*AD$5/(general!$C$23),0)+IFERROR(($C128&gt;=general!$C$23)*($C128&lt;=general!$C$27)*AD$6/(general!$C$27-general!$C$23+1),0)),0)</f>
        <v>0</v>
      </c>
      <c r="AE128" s="542">
        <f t="shared" si="28"/>
        <v>0</v>
      </c>
      <c r="AF128" s="542">
        <f>+SUMPRODUCT(--($C128=sales!$C$50:$C$54),sales!$D$50:$D$54)</f>
        <v>0</v>
      </c>
      <c r="AG128" s="542">
        <f>IF($C128=general!$C$28,AG$4,IFERROR(($C128&lt;general!$C$23)*((1-AG$4)*AG$5)/(general!$C$23-1),0)+IFERROR(($C128&gt;=general!$C$23)*($C128&lt;=general!$C$27)*((1-AG$4)*AG$6)/(general!$C$27-general!$C$23+1),0))+IF(AND(general!$C$23&lt;=1,$C128&lt;=1),'draws%'!AG$5*(1-AG$4))</f>
        <v>0</v>
      </c>
      <c r="AH128" s="542">
        <f>+IF($C128=general!$C$21,1,0)</f>
        <v>0</v>
      </c>
      <c r="AK128" s="524">
        <f>IF(A128&lt;=general!$D$27,IF(MONTH(A128)=11,1,IF(C128=general!$C$27,1,0)),)</f>
        <v>0</v>
      </c>
      <c r="AL128" s="524">
        <f>IF(AK128=1,COUNTIFS($C$8:$C$128,"&lt;="&amp;general!$C$27&amp;"",'draws%'!$AM$8:$AM$128,"="&amp;AM128&amp;""),0)</f>
        <v>0</v>
      </c>
      <c r="AM128" s="524">
        <f t="shared" si="26"/>
        <v>2036</v>
      </c>
      <c r="AN128" s="524"/>
    </row>
    <row r="129" spans="3:40" ht="14">
      <c r="Q129" s="525"/>
      <c r="R129" s="525"/>
      <c r="S129" s="525"/>
      <c r="Y129" s="525"/>
      <c r="Z129" s="525"/>
      <c r="AA129" s="525"/>
      <c r="AB129" s="525"/>
      <c r="AC129" s="525"/>
      <c r="AD129" s="525"/>
      <c r="AH129" s="525"/>
      <c r="AN129" s="524"/>
    </row>
    <row r="130" spans="3:40" ht="14">
      <c r="C130" s="898" t="s">
        <v>247</v>
      </c>
      <c r="D130" s="543">
        <f>SUM(D8:D129)</f>
        <v>1</v>
      </c>
      <c r="E130" s="543">
        <f t="shared" ref="E130:AE130" si="30">SUM(E8:E129)</f>
        <v>1</v>
      </c>
      <c r="F130" s="543">
        <f t="shared" si="30"/>
        <v>1</v>
      </c>
      <c r="G130" s="543">
        <f t="shared" si="30"/>
        <v>1</v>
      </c>
      <c r="H130" s="543">
        <f t="shared" si="30"/>
        <v>1</v>
      </c>
      <c r="I130" s="543">
        <f t="shared" si="30"/>
        <v>1</v>
      </c>
      <c r="J130" s="543">
        <f t="shared" si="30"/>
        <v>1</v>
      </c>
      <c r="K130" s="543">
        <f t="shared" si="30"/>
        <v>1.0000000000000004</v>
      </c>
      <c r="L130" s="543">
        <f t="shared" si="30"/>
        <v>1.0000000000000007</v>
      </c>
      <c r="M130" s="543">
        <f>SUM(M8:M129)</f>
        <v>1.0000000000000004</v>
      </c>
      <c r="N130" s="543">
        <f t="shared" si="30"/>
        <v>1</v>
      </c>
      <c r="O130" s="543">
        <f t="shared" si="30"/>
        <v>0.99999999999999989</v>
      </c>
      <c r="P130" s="543">
        <f t="shared" si="30"/>
        <v>0.99999999999999989</v>
      </c>
      <c r="Q130" s="543">
        <f t="shared" si="30"/>
        <v>1</v>
      </c>
      <c r="R130" s="543">
        <f t="shared" si="30"/>
        <v>0.99999999999999911</v>
      </c>
      <c r="S130" s="543">
        <f>SUM(S8:S129)</f>
        <v>1</v>
      </c>
      <c r="T130" s="543">
        <f t="shared" si="30"/>
        <v>1.0000000000000002</v>
      </c>
      <c r="U130" s="543">
        <f t="shared" si="30"/>
        <v>1</v>
      </c>
      <c r="V130" s="543">
        <f t="shared" ref="V130:AA130" si="31">SUM(V8:V129)</f>
        <v>1</v>
      </c>
      <c r="W130" s="543">
        <f t="shared" si="31"/>
        <v>1</v>
      </c>
      <c r="X130" s="543">
        <f t="shared" si="31"/>
        <v>1</v>
      </c>
      <c r="Y130" s="543">
        <f t="shared" si="31"/>
        <v>1.0000000000000002</v>
      </c>
      <c r="Z130" s="543">
        <f t="shared" si="31"/>
        <v>0.99999999999999956</v>
      </c>
      <c r="AA130" s="543">
        <f t="shared" si="31"/>
        <v>1.0000000000000011</v>
      </c>
      <c r="AB130" s="543">
        <f t="shared" si="30"/>
        <v>1.0000000000000009</v>
      </c>
      <c r="AC130" s="543">
        <f>SUM(AC8:AC129)</f>
        <v>1.0000000000000002</v>
      </c>
      <c r="AD130" s="543">
        <f>SUM(AD8:AD129)</f>
        <v>1.0000000000000002</v>
      </c>
      <c r="AE130" s="543">
        <f t="shared" si="30"/>
        <v>1</v>
      </c>
      <c r="AF130" s="543">
        <f>SUM(AF8:AF129)</f>
        <v>1</v>
      </c>
      <c r="AG130" s="543">
        <f>SUM(AG8:AG129)</f>
        <v>0.99999999999999967</v>
      </c>
      <c r="AH130" s="543">
        <f>SUM(AH8:AH129)</f>
        <v>1</v>
      </c>
      <c r="AN130" s="524"/>
    </row>
    <row r="131" spans="3:40" ht="14">
      <c r="C131" s="899" t="s">
        <v>248</v>
      </c>
      <c r="D131" s="544">
        <f>IF(AND(MIN(D8:D128)&gt;=0,MAX(D8:D128)&lt;=1,ABS(D130-1)&lt;0.0000001),0,1)</f>
        <v>0</v>
      </c>
      <c r="E131" s="544">
        <f t="shared" ref="E131:AG131" si="32">IF(AND(MIN(E8:E128)&gt;=0,MAX(E8:E128)&lt;=1,ABS(E130-1)&lt;0.0000001),0,1)</f>
        <v>0</v>
      </c>
      <c r="F131" s="544">
        <f t="shared" si="32"/>
        <v>0</v>
      </c>
      <c r="G131" s="544">
        <f t="shared" si="32"/>
        <v>0</v>
      </c>
      <c r="H131" s="544">
        <f t="shared" si="32"/>
        <v>0</v>
      </c>
      <c r="I131" s="544">
        <f t="shared" si="32"/>
        <v>0</v>
      </c>
      <c r="J131" s="544">
        <f t="shared" si="32"/>
        <v>0</v>
      </c>
      <c r="K131" s="544">
        <f t="shared" si="32"/>
        <v>0</v>
      </c>
      <c r="L131" s="544">
        <f t="shared" si="32"/>
        <v>0</v>
      </c>
      <c r="M131" s="544">
        <f t="shared" si="32"/>
        <v>0</v>
      </c>
      <c r="N131" s="544">
        <f t="shared" si="32"/>
        <v>0</v>
      </c>
      <c r="O131" s="544">
        <f t="shared" si="32"/>
        <v>0</v>
      </c>
      <c r="P131" s="544">
        <f t="shared" si="32"/>
        <v>0</v>
      </c>
      <c r="Q131" s="544">
        <f t="shared" si="32"/>
        <v>0</v>
      </c>
      <c r="R131" s="544">
        <f t="shared" si="32"/>
        <v>0</v>
      </c>
      <c r="S131" s="544">
        <f>IF(AND(MIN(S8:S128)&gt;=0,MAX(S8:S128)&lt;=1,ABS(S130-1)&lt;0.0000001),0,1)</f>
        <v>0</v>
      </c>
      <c r="T131" s="544">
        <f t="shared" si="32"/>
        <v>0</v>
      </c>
      <c r="U131" s="544">
        <f t="shared" si="32"/>
        <v>0</v>
      </c>
      <c r="V131" s="544">
        <f t="shared" si="32"/>
        <v>0</v>
      </c>
      <c r="W131" s="544">
        <f t="shared" si="32"/>
        <v>0</v>
      </c>
      <c r="X131" s="544">
        <f t="shared" si="32"/>
        <v>0</v>
      </c>
      <c r="Y131" s="544">
        <f t="shared" si="32"/>
        <v>0</v>
      </c>
      <c r="Z131" s="544">
        <f t="shared" si="32"/>
        <v>0</v>
      </c>
      <c r="AA131" s="544">
        <f>IF(AND(MIN(AA8:AA128)&gt;=0,MAX(AA8:AA128)&lt;=1,ABS(AA130-1)&lt;0.0000001),0,1)</f>
        <v>0</v>
      </c>
      <c r="AB131" s="544">
        <f t="shared" si="32"/>
        <v>0</v>
      </c>
      <c r="AC131" s="544">
        <f>IF(AND(MIN(AC8:AC128)&gt;=0,MAX(AC8:AC128)&lt;=1,ABS(AC130-1)&lt;0.0000001),0,1)</f>
        <v>0</v>
      </c>
      <c r="AD131" s="544">
        <f>IF(AND(MIN(AD8:AD128)&gt;=0,MAX(AD8:AD128)&lt;=1,ABS(AD130-1)&lt;0.0000001),0,1)</f>
        <v>0</v>
      </c>
      <c r="AE131" s="544">
        <f t="shared" si="32"/>
        <v>0</v>
      </c>
      <c r="AF131" s="544">
        <f>IF(AND(MIN(AF8:AF128)&gt;=0,MAX(AF8:AF128)&lt;=1,ABS(AF130-1)&lt;0.0000001),0,1)</f>
        <v>0</v>
      </c>
      <c r="AG131" s="544">
        <f t="shared" si="32"/>
        <v>0</v>
      </c>
      <c r="AH131" s="544">
        <f>IF(AND(MIN(AH8:AH128)&gt;=0,MAX(AH8:AH128)&lt;=1,ABS(AH130-1)&lt;0.0000001),0,1)</f>
        <v>0</v>
      </c>
      <c r="AN131" s="524"/>
    </row>
    <row r="132" spans="3:40" ht="14">
      <c r="N132" s="545"/>
      <c r="AN132" s="524"/>
    </row>
  </sheetData>
  <printOptions horizontalCentered="1"/>
  <pageMargins left="0.25" right="0.25" top="0.5" bottom="0.25" header="0.3" footer="0.3"/>
  <pageSetup scale="34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2">
    <tabColor theme="1"/>
    <pageSetUpPr fitToPage="1"/>
  </sheetPr>
  <dimension ref="A1:AP133"/>
  <sheetViews>
    <sheetView topLeftCell="H1" workbookViewId="0">
      <selection activeCell="O4" sqref="O4"/>
    </sheetView>
  </sheetViews>
  <sheetFormatPr baseColWidth="10" defaultColWidth="10.83203125" defaultRowHeight="15" outlineLevelRow="1"/>
  <cols>
    <col min="1" max="1" width="10" style="155" bestFit="1" customWidth="1"/>
    <col min="2" max="2" width="1.5" style="156" customWidth="1"/>
    <col min="3" max="3" width="6.83203125" style="155" customWidth="1"/>
    <col min="4" max="4" width="11.1640625" style="156" customWidth="1"/>
    <col min="5" max="11" width="13.1640625" style="156" customWidth="1"/>
    <col min="12" max="12" width="1.5" style="156" customWidth="1"/>
    <col min="13" max="13" width="13.1640625" style="173" customWidth="1"/>
    <col min="14" max="14" width="1.5" style="156" customWidth="1"/>
    <col min="15" max="15" width="13.1640625" style="191" customWidth="1"/>
    <col min="16" max="37" width="13.1640625" style="163" customWidth="1"/>
    <col min="38" max="38" width="13.1640625" style="158" customWidth="1"/>
    <col min="39" max="39" width="3.5" style="159" customWidth="1"/>
    <col min="40" max="40" width="25.1640625" style="158" bestFit="1" customWidth="1"/>
    <col min="41" max="16384" width="10.83203125" style="158"/>
  </cols>
  <sheetData>
    <row r="1" spans="1:42">
      <c r="B1" s="157"/>
      <c r="F1" s="157"/>
      <c r="G1" s="157"/>
      <c r="H1" s="157"/>
      <c r="I1" s="157"/>
      <c r="J1" s="157"/>
      <c r="K1" s="157"/>
      <c r="L1" s="157"/>
      <c r="M1" s="157"/>
      <c r="N1" s="157"/>
      <c r="O1" s="1460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57"/>
      <c r="AJ1" s="157"/>
      <c r="AK1"/>
      <c r="AL1"/>
    </row>
    <row r="2" spans="1:42" ht="19">
      <c r="B2" s="1396"/>
      <c r="C2" s="739" t="s">
        <v>5116</v>
      </c>
      <c r="D2" s="160"/>
      <c r="E2" s="160"/>
      <c r="F2" s="160"/>
      <c r="G2" s="161"/>
      <c r="H2" s="161"/>
      <c r="I2" s="161"/>
      <c r="J2" s="161"/>
      <c r="K2" s="161"/>
      <c r="L2" s="1396"/>
      <c r="M2" s="162"/>
      <c r="N2" s="1396"/>
      <c r="O2" s="173"/>
    </row>
    <row r="3" spans="1:42" ht="16" thickBot="1">
      <c r="B3" s="158"/>
      <c r="C3" s="911" t="str">
        <f>general!$B$3</f>
        <v>Error(s)</v>
      </c>
      <c r="D3" s="164"/>
      <c r="E3" s="164"/>
      <c r="F3" s="164"/>
      <c r="G3" s="165"/>
      <c r="H3" s="165"/>
      <c r="I3" s="165"/>
      <c r="J3" s="165"/>
      <c r="K3" s="165"/>
      <c r="L3" s="158"/>
      <c r="M3" s="1393"/>
      <c r="N3" s="158"/>
      <c r="O3" s="1461"/>
      <c r="P3" s="165"/>
      <c r="Q3" s="165"/>
      <c r="R3" s="165"/>
      <c r="S3" s="165"/>
      <c r="T3" s="165"/>
      <c r="U3" s="165"/>
      <c r="V3" s="165"/>
      <c r="W3" s="165"/>
      <c r="X3" s="165"/>
      <c r="Y3" s="165"/>
      <c r="Z3" s="165"/>
      <c r="AA3" s="165"/>
      <c r="AB3" s="165"/>
      <c r="AC3" s="165"/>
      <c r="AD3" s="165"/>
      <c r="AE3" s="165"/>
      <c r="AF3" s="165"/>
      <c r="AG3" s="165"/>
      <c r="AH3" s="165"/>
      <c r="AI3" s="165"/>
      <c r="AJ3" s="165"/>
      <c r="AK3" s="165"/>
      <c r="AL3" s="166"/>
    </row>
    <row r="4" spans="1:42" s="168" customFormat="1" ht="31.5" customHeight="1" thickBot="1">
      <c r="A4" s="155"/>
      <c r="C4" s="167"/>
      <c r="F4" s="167"/>
      <c r="G4" s="169">
        <f>+sales!C32*sales!J32</f>
        <v>0.03</v>
      </c>
      <c r="H4" s="169">
        <f>+sales!C33*sales!J33</f>
        <v>0.03</v>
      </c>
      <c r="I4" s="169">
        <f>+sales!C34*sales!J34</f>
        <v>0.03</v>
      </c>
      <c r="J4" s="169">
        <f>+sales!C35*sales!J35</f>
        <v>0.03</v>
      </c>
      <c r="K4" s="170"/>
      <c r="M4" s="1394">
        <v>0.1</v>
      </c>
      <c r="O4" s="1462" t="s">
        <v>238</v>
      </c>
      <c r="P4" s="1404" t="s">
        <v>610</v>
      </c>
      <c r="Q4" s="1405" t="s">
        <v>253</v>
      </c>
      <c r="R4" s="1404" t="s">
        <v>610</v>
      </c>
      <c r="S4" s="1405" t="s">
        <v>470</v>
      </c>
      <c r="T4" s="1405" t="s">
        <v>252</v>
      </c>
      <c r="U4" s="1405" t="s">
        <v>484</v>
      </c>
      <c r="V4" s="1405" t="s">
        <v>443</v>
      </c>
      <c r="W4" s="1405" t="s">
        <v>413</v>
      </c>
      <c r="X4" s="1405" t="s">
        <v>252</v>
      </c>
      <c r="Y4" s="1405" t="s">
        <v>252</v>
      </c>
      <c r="Z4" s="1405" t="s">
        <v>218</v>
      </c>
      <c r="AA4" s="1405" t="s">
        <v>444</v>
      </c>
      <c r="AB4" s="1405" t="s">
        <v>218</v>
      </c>
      <c r="AC4" s="1406" t="s">
        <v>483</v>
      </c>
      <c r="AD4" s="1405" t="s">
        <v>255</v>
      </c>
      <c r="AE4" s="1407" t="s">
        <v>254</v>
      </c>
      <c r="AF4" s="1408"/>
      <c r="AG4" s="172"/>
      <c r="AH4" s="1409" t="s">
        <v>246</v>
      </c>
      <c r="AI4" s="1410" t="s">
        <v>221</v>
      </c>
      <c r="AJ4" s="1410" t="s">
        <v>246</v>
      </c>
      <c r="AK4" s="1410" t="s">
        <v>246</v>
      </c>
      <c r="AL4" s="1411"/>
      <c r="AM4" s="173"/>
    </row>
    <row r="5" spans="1:42" s="176" customFormat="1" ht="33" thickBot="1">
      <c r="A5" s="1419" t="s">
        <v>612</v>
      </c>
      <c r="B5" s="1397"/>
      <c r="C5" s="1389" t="s">
        <v>350</v>
      </c>
      <c r="D5" s="1390" t="s">
        <v>74</v>
      </c>
      <c r="E5" s="1391" t="s">
        <v>344</v>
      </c>
      <c r="F5" s="1391" t="s">
        <v>169</v>
      </c>
      <c r="G5" s="1392" t="s">
        <v>340</v>
      </c>
      <c r="H5" s="1392" t="s">
        <v>341</v>
      </c>
      <c r="I5" s="1392" t="s">
        <v>342</v>
      </c>
      <c r="J5" s="1392" t="s">
        <v>343</v>
      </c>
      <c r="K5" s="1401" t="s">
        <v>31</v>
      </c>
      <c r="L5" s="1397"/>
      <c r="M5" s="1402" t="s">
        <v>168</v>
      </c>
      <c r="N5" s="1397"/>
      <c r="O5" s="1412" t="s">
        <v>52</v>
      </c>
      <c r="P5" s="1413" t="s">
        <v>125</v>
      </c>
      <c r="Q5" s="1413" t="s">
        <v>165</v>
      </c>
      <c r="R5" s="1413" t="s">
        <v>166</v>
      </c>
      <c r="S5" s="1413" t="s">
        <v>347</v>
      </c>
      <c r="T5" s="1413" t="s">
        <v>18</v>
      </c>
      <c r="U5" s="1413" t="s">
        <v>34</v>
      </c>
      <c r="V5" s="1413" t="s">
        <v>345</v>
      </c>
      <c r="W5" s="1413" t="s">
        <v>213</v>
      </c>
      <c r="X5" s="1413" t="s">
        <v>29</v>
      </c>
      <c r="Y5" s="1413" t="s">
        <v>19</v>
      </c>
      <c r="Z5" s="1413" t="s">
        <v>23</v>
      </c>
      <c r="AA5" s="1413" t="s">
        <v>24</v>
      </c>
      <c r="AB5" s="1413" t="s">
        <v>501</v>
      </c>
      <c r="AC5" s="1413" t="s">
        <v>502</v>
      </c>
      <c r="AD5" s="1413" t="s">
        <v>47</v>
      </c>
      <c r="AE5" s="1413" t="s">
        <v>48</v>
      </c>
      <c r="AF5" s="1413" t="s">
        <v>138</v>
      </c>
      <c r="AG5" s="1413" t="s">
        <v>139</v>
      </c>
      <c r="AH5" s="1413" t="s">
        <v>348</v>
      </c>
      <c r="AI5" s="1413" t="s">
        <v>346</v>
      </c>
      <c r="AJ5" s="1413" t="s">
        <v>349</v>
      </c>
      <c r="AK5" s="1413" t="s">
        <v>73</v>
      </c>
      <c r="AL5" s="1414" t="s">
        <v>468</v>
      </c>
      <c r="AM5" s="173"/>
    </row>
    <row r="6" spans="1:42" ht="16">
      <c r="A6" s="1418" t="str">
        <f>IF(MAX(C$5:C5)&gt;=general!$C$27,"post dev",IF(C6&lt;general!$C$23, "Pred", "Dev"))</f>
        <v>Pred</v>
      </c>
      <c r="B6" s="1398"/>
      <c r="C6" s="1387">
        <v>0</v>
      </c>
      <c r="D6" s="177">
        <f>general!D20</f>
        <v>46235</v>
      </c>
      <c r="E6" s="178">
        <f>($C6&gt;=sales!$D$32)*($C6&lt;=sales!$F$32)*ResUnits/(sales!$E$32+1)</f>
        <v>0</v>
      </c>
      <c r="F6" s="179">
        <f>($C6&gt;=sales!$D$32)*($C6&lt;=sales!$F$32)*sales!$I$18/(sales!$E$32+1)</f>
        <v>0</v>
      </c>
      <c r="G6" s="179">
        <f>($C6&gt;=sales!$D$32)*($C6&lt;=sales!$F$32)*sales!$K$32/(sales!$E$32+1)</f>
        <v>0</v>
      </c>
      <c r="H6" s="180">
        <f>($C6&gt;=sales!$D$33)*($C6&lt;=sales!$F$33)*sales!$K$33/(sales!$E$33+1)</f>
        <v>0</v>
      </c>
      <c r="I6" s="179">
        <f>($C6&gt;=sales!$D$34)*($C6&lt;=sales!$F$34)*sales!$K$34/(sales!$E$34+1)</f>
        <v>0</v>
      </c>
      <c r="J6" s="179">
        <f>($C6&gt;=sales!$D$35)*($C6&lt;=sales!$F$35)*sales!$K$35/(sales!$E$35+1)</f>
        <v>0</v>
      </c>
      <c r="K6" s="183">
        <f>($C6&gt;=sales!$D$36)*($C6&lt;=sales!$F$36)*sales!$K$36*IFERROR(VLOOKUP(C6,sales!$C$50:$D$54,2,FALSE),0)</f>
        <v>0</v>
      </c>
      <c r="L6" s="1398"/>
      <c r="M6" s="1415">
        <f>+G6/$G$4*$M$4*sales!$J$32</f>
        <v>0</v>
      </c>
      <c r="N6" s="1398"/>
      <c r="O6" s="1463">
        <f>IF(ROUND(SUM(O$5:O5),2)&gt;=ROUND(O$129,2),0,INDEX('draws%'!$D$8:$AH$128,$C6+1,MATCH(O$4,'draws%'!$D$7:$AH$7,FALSE))*O$129)</f>
        <v>2929000</v>
      </c>
      <c r="P6" s="179">
        <f>IF(ROUND(SUM(P$5:P5),2)&gt;=ROUND(P$129,2),0,INDEX('draws%'!$D$8:$AH$128,$C6+1,MATCH(P$4,'draws%'!$D$7:$AH$7,FALSE))*P$129)</f>
        <v>0</v>
      </c>
      <c r="Q6" s="179">
        <f>IF(ROUND(SUM(Q$5:Q5),2)&gt;=ROUND(Q$129,2),0,INDEX('draws%'!$D$8:$AH$128,$C6+1,MATCH(Q$4,'draws%'!$D$7:$AH$7,FALSE))*Q$129)</f>
        <v>12762.944444444443</v>
      </c>
      <c r="R6" s="179">
        <f>IF(ROUND(SUM(R$5:R5),2)&gt;=ROUND(R$129,2),0,INDEX('draws%'!$D$8:$AH$128,$C6+1,MATCH(R$4,'draws%'!$D$7:$AH$7,FALSE))*R$129)</f>
        <v>0</v>
      </c>
      <c r="S6" s="179">
        <f>IF(ROUND(SUM(S$5:S5),2)&gt;=ROUND(S$129,2),0,INDEX('draws%'!$D$8:$AH$128,$C6+1,MATCH(S$4,'draws%'!$D$7:$AH$7,FALSE))*S$129)</f>
        <v>2222.2222222222222</v>
      </c>
      <c r="T6" s="179">
        <f>IF(ROUND(SUM(T$5:T5),2)&gt;=ROUND(T$129,2),0,INDEX('draws%'!$D$8:$AH$128,$C6+1,MATCH(T$4,'draws%'!$D$7:$AH$7,FALSE))*T$129)</f>
        <v>0</v>
      </c>
      <c r="U6" s="179">
        <f>IF(ROUND(SUM(U$5:U5),2)&gt;=ROUND(U$129,2),0,INDEX('draws%'!$D$8:$AH$128,$C6+1,MATCH(U$4,'draws%'!$D$7:$AH$7,FALSE))*U$129)</f>
        <v>0</v>
      </c>
      <c r="V6" s="179">
        <f>IF(ROUND(SUM(V$5:V5),2)&gt;=ROUND(V$129,2),0,INDEX('draws%'!$D$8:$AH$128,$C6+1,MATCH(V$4,'draws%'!$D$7:$AH$7,FALSE))*V$129)</f>
        <v>0</v>
      </c>
      <c r="W6" s="179">
        <f>IF(ROUND(SUM(W$5:W5),2)&gt;=ROUND(W$129,2),0,INDEX('draws%'!$D$8:$AH$128,$C6+1,MATCH(W$4,'draws%'!$D$7:$AH$7,FALSE))*W$129)</f>
        <v>0</v>
      </c>
      <c r="X6" s="179">
        <f>IF(ROUND(SUM(X$5:X5),2)&gt;=ROUND(X$129,2),0,INDEX('draws%'!$D$8:$AH$128,$C6+1,MATCH(X$4,'draws%'!$D$7:$AH$7,FALSE))*X$129)</f>
        <v>0</v>
      </c>
      <c r="Y6" s="179">
        <f>IF(ROUND(SUM(Y$5:Y5),2)&gt;=ROUND(Y$129,2),0,INDEX('draws%'!$D$8:$AH$128,$C6+1,MATCH(Y$4,'draws%'!$D$7:$AH$7,FALSE))*Y$129)</f>
        <v>0</v>
      </c>
      <c r="Z6" s="179">
        <f>IF(ROUND(SUM(Z$5:Z5),2)&gt;=ROUND(Z$129,2),0,INDEX('draws%'!$D$8:$AH$128,$C6+1,MATCH(Z$4,'draws%'!$D$7:$AH$7,FALSE))*Z$129)</f>
        <v>0</v>
      </c>
      <c r="AA6" s="179">
        <f>IF(ROUND(SUM(AA$5:AA5),2)&gt;=ROUND(AA$129,2),0,INDEX('draws%'!$D$8:$AH$128,$C6+1,MATCH(AA$4,'draws%'!$D$7:$AH$7,FALSE))*AA$129)</f>
        <v>0</v>
      </c>
      <c r="AB6" s="179">
        <f>IF(ROUND(SUM(AB$5:AB5),2)&gt;=ROUND(AB$129,2),0,INDEX('draws%'!$D$8:$AH$128,$C6+1,MATCH(AB$4,'draws%'!$D$7:$AH$7,FALSE))*AB$129)</f>
        <v>0</v>
      </c>
      <c r="AC6" s="179">
        <f>($C6&gt;=sales!$D$32)*($C6&lt;=sales!$F$32)*sales!$J$41/(sales!$E$32+1)+($C6&gt;=sales!$D$33)*($C6&lt;=sales!$F$33)*sales!$J$42/(sales!$E$33+1)+($C6&gt;=sales!$D$34)*($C6&lt;=sales!$F$34)*sales!$J$43/(sales!$E$34+1)+($C6&gt;=sales!$D$35)*($C6&lt;=sales!$F$35)*sales!$J$44/(sales!$E$35+1)+($C6&gt;=sales!$D$36)*($C6&lt;=sales!$F$36)*sales!$J$45/(sales!$E$36+1)</f>
        <v>0</v>
      </c>
      <c r="AD6" s="179">
        <f>IF(ROUND(SUM(AD$5:AD5),2)&gt;=ROUND(AD$129,2),0,INDEX('draws%'!$D$8:$AH$128,$C6+1,MATCH(AD$4,'draws%'!$D$7:$AH$7,FALSE))*AD$129)</f>
        <v>0</v>
      </c>
      <c r="AE6" s="179">
        <f>IF(ROUND(SUM(AE$5:AE5),2)&gt;=ROUND(AE$129,2),0,INDEX('draws%'!$D$8:$AH$128,$C6+1,MATCH(AE$4,'draws%'!$D$7:$AH$7,FALSE))*AE$129)</f>
        <v>8333.3333333333321</v>
      </c>
      <c r="AF6" s="182">
        <f>($C6&gt;=sales!$D$32)*($C6&lt;=sales!$F$32)*sales!$D$41/(sales!$E$32+1)+($C6&gt;=sales!$D$33)*($C6&lt;=sales!$F$33)*sales!$D$42/(sales!$E$33+1)+($C6&gt;=sales!$D$34)*($C6&lt;=sales!$F$34)*sales!$D$43/(sales!$E$34+1)+($C6&gt;=sales!$D$35)*($C6&lt;=sales!$F$35)*sales!$D$44/(sales!$E$35+1)+($C6&gt;=sales!$D$36)*($C6&lt;=sales!$F$36)*sales!$D$45/(sales!$E$36+1)</f>
        <v>0</v>
      </c>
      <c r="AG6" s="182">
        <f>($C6&gt;=sales!$D$32)*($C6&lt;=sales!$F$32)*sales!$F$41/(sales!$E$32+1)+($C6&gt;=sales!$D$33)*($C6&lt;=sales!$F$33)*sales!$F$42/(sales!$E$33+1)+($C6&gt;=sales!$D$34)*($C6&lt;=sales!$F$34)*sales!$F$43/(sales!$E$34+1)+($C6&gt;=sales!$D$35)*($C6&lt;=sales!$F$35)*sales!$F$44/(sales!$E$35+1)+($C6&gt;=sales!$D$36)*($C6&lt;=sales!$F$36)*sales!$F$45/(sales!$E$36+1)</f>
        <v>0</v>
      </c>
      <c r="AH6" s="179">
        <f>IF(ROUND(SUM(AH$5:AH5),2)&gt;=ROUND(AH$129,2),0,INDEX('draws%'!$D$8:$AH$128,$C6+1,MATCH(AH$4,'draws%'!$D$7:$AH$7,FALSE))*AH$129)</f>
        <v>0</v>
      </c>
      <c r="AI6" s="179">
        <f>IF(ROUND(SUM(AI$5:AI5),2)&gt;=ROUND(AI$129,2),0,INDEX('draws%'!$D$8:$AH$128,$C6+1,MATCH(AI$4,'draws%'!$D$7:$AH$7,FALSE))*AI$129)</f>
        <v>0</v>
      </c>
      <c r="AJ6" s="179">
        <f>IF(ROUND(SUM(AJ$5:AJ5),2)&gt;=ROUND(AJ$129,2),0,INDEX('draws%'!$D$8:$AH$128,$C6+1,MATCH(AJ$4,'draws%'!$D$7:$AH$7,FALSE))*AJ$129)</f>
        <v>0</v>
      </c>
      <c r="AK6" s="179">
        <f>IF(ROUND(SUM(AK$5:AK5),2)&gt;=ROUND(AK$129,2),0,INDEX('draws%'!$D$8:$AH$128,$C6+1,MATCH(AK$4,'draws%'!$D$7:$AH$7,FALSE))*AK$129)</f>
        <v>0</v>
      </c>
      <c r="AL6" s="183">
        <f>SUM(N6:AK6)</f>
        <v>2952318.5</v>
      </c>
      <c r="AM6" s="173"/>
      <c r="AN6" s="184" t="str">
        <f t="array" ref="AN6:AN38">TRANSPOSE('draws%'!$D$7:$AN$7)</f>
        <v>upfront</v>
      </c>
    </row>
    <row r="7" spans="1:42" s="168" customFormat="1" ht="16">
      <c r="A7" s="1416" t="str">
        <f>IF(MAX(C$5:C6)&gt;=general!$C$27,"post dev",IF(C7&lt;general!$C$23, "Pred", "Dev"))</f>
        <v>Pred</v>
      </c>
      <c r="B7" s="1398"/>
      <c r="C7" s="1388">
        <f>IF('Development Cash Flow'!D6&lt;general!$D$28,'Development Cash Flow'!C6+1,0)</f>
        <v>1</v>
      </c>
      <c r="D7" s="185">
        <f t="shared" ref="D7:D126" si="0">EOMONTH(D6,1)</f>
        <v>46295</v>
      </c>
      <c r="E7" s="186">
        <f>($C7&gt;=sales!$D$32)*($C7&lt;=sales!$F$32)*ResUnits/(sales!$E$32+1)</f>
        <v>0</v>
      </c>
      <c r="F7" s="181">
        <f>($C7&gt;=sales!$D$32)*($C7&lt;=sales!$F$32)*sales!$I$18/(sales!$E$32+1)</f>
        <v>0</v>
      </c>
      <c r="G7" s="181">
        <f>($C7&gt;=sales!$D$32)*($C7&lt;=sales!$F$32)*sales!$K$32/(sales!$E$32+1)</f>
        <v>0</v>
      </c>
      <c r="H7" s="187">
        <f>($C7&gt;=sales!$D$33)*($C7&lt;=sales!$F$33)*sales!$K$33/(sales!$E$33+1)</f>
        <v>0</v>
      </c>
      <c r="I7" s="181">
        <f>($C7&gt;=sales!$D$34)*($C7&lt;=sales!$F$34)*sales!$K$34/(sales!$E$34+1)</f>
        <v>0</v>
      </c>
      <c r="J7" s="181">
        <f>($C7&gt;=sales!$D$35)*($C7&lt;=sales!$F$35)*sales!$K$35/(sales!$E$35+1)</f>
        <v>0</v>
      </c>
      <c r="K7" s="189">
        <f>($C7&gt;=sales!$D$36)*($C7&lt;=sales!$F$36)*sales!$K$36*IFERROR(VLOOKUP(C7,sales!$C$50:$D$54,2,FALSE),0)</f>
        <v>0</v>
      </c>
      <c r="L7" s="1398"/>
      <c r="M7" s="1403">
        <f>+G7/$G$4*$M$4*sales!$J$32</f>
        <v>0</v>
      </c>
      <c r="N7" s="1398"/>
      <c r="O7" s="1464">
        <f>IF(ROUND(SUM(O$5:O6),2)&gt;=ROUND(O$129,2),0,INDEX('draws%'!$D$8:$AH$128,$C7+1,MATCH(O$4,'draws%'!$D$7:$AH$7,FALSE))*O$129)</f>
        <v>0</v>
      </c>
      <c r="P7" s="181">
        <f>IF(ROUND(SUM(P$5:P6),2)&gt;=ROUND(P$129,2),0,INDEX('draws%'!$D$8:$AH$128,$C7+1,MATCH(P$4,'draws%'!$D$7:$AH$7,FALSE))*P$129)</f>
        <v>0</v>
      </c>
      <c r="Q7" s="181">
        <f>IF(ROUND(SUM(Q$5:Q6),2)&gt;=ROUND(Q$129,2),0,INDEX('draws%'!$D$8:$AH$128,$C7+1,MATCH(Q$4,'draws%'!$D$7:$AH$7,FALSE))*Q$129)</f>
        <v>12762.944444444443</v>
      </c>
      <c r="R7" s="181">
        <f>IF(ROUND(SUM(R$5:R6),2)&gt;=ROUND(R$129,2),0,INDEX('draws%'!$D$8:$AH$128,$C7+1,MATCH(R$4,'draws%'!$D$7:$AH$7,FALSE))*R$129)</f>
        <v>0</v>
      </c>
      <c r="S7" s="181">
        <f>IF(ROUND(SUM(S$5:S6),2)&gt;=ROUND(S$129,2),0,INDEX('draws%'!$D$8:$AH$128,$C7+1,MATCH(S$4,'draws%'!$D$7:$AH$7,FALSE))*S$129)</f>
        <v>2222.2222222222222</v>
      </c>
      <c r="T7" s="181">
        <f>IF(ROUND(SUM(T$5:T6),2)&gt;=ROUND(T$129,2),0,INDEX('draws%'!$D$8:$AH$128,$C7+1,MATCH(T$4,'draws%'!$D$7:$AH$7,FALSE))*T$129)</f>
        <v>0</v>
      </c>
      <c r="U7" s="181">
        <f>IF(ROUND(SUM(U$5:U6),2)&gt;=ROUND(U$129,2),0,INDEX('draws%'!$D$8:$AH$128,$C7+1,MATCH(U$4,'draws%'!$D$7:$AH$7,FALSE))*U$129)</f>
        <v>0</v>
      </c>
      <c r="V7" s="181">
        <f>IF(ROUND(SUM(V$5:V6),2)&gt;=ROUND(V$129,2),0,INDEX('draws%'!$D$8:$AH$128,$C7+1,MATCH(V$4,'draws%'!$D$7:$AH$7,FALSE))*V$129)</f>
        <v>0</v>
      </c>
      <c r="W7" s="181">
        <f>IF(ROUND(SUM(W$5:W6),2)&gt;=ROUND(W$129,2),0,INDEX('draws%'!$D$8:$AH$128,$C7+1,MATCH(W$4,'draws%'!$D$7:$AH$7,FALSE))*W$129)</f>
        <v>0</v>
      </c>
      <c r="X7" s="181">
        <f>IF(ROUND(SUM(X$5:X6),2)&gt;=ROUND(X$129,2),0,INDEX('draws%'!$D$8:$AH$128,$C7+1,MATCH(X$4,'draws%'!$D$7:$AH$7,FALSE))*X$129)</f>
        <v>0</v>
      </c>
      <c r="Y7" s="181">
        <f>IF(ROUND(SUM(Y$5:Y6),2)&gt;=ROUND(Y$129,2),0,INDEX('draws%'!$D$8:$AH$128,$C7+1,MATCH(Y$4,'draws%'!$D$7:$AH$7,FALSE))*Y$129)</f>
        <v>0</v>
      </c>
      <c r="Z7" s="181">
        <f>IF(ROUND(SUM(Z$5:Z6),2)&gt;=ROUND(Z$129,2),0,INDEX('draws%'!$D$8:$AH$128,$C7+1,MATCH(Z$4,'draws%'!$D$7:$AH$7,FALSE))*Z$129)</f>
        <v>1985.4264705882354</v>
      </c>
      <c r="AA7" s="181">
        <f>IF(ROUND(SUM(AA$5:AA6),2)&gt;=ROUND(AA$129,2),0,INDEX('draws%'!$D$8:$AH$128,$C7+1,MATCH(AA$4,'draws%'!$D$7:$AH$7,FALSE))*AA$129)</f>
        <v>0</v>
      </c>
      <c r="AB7" s="181">
        <f>IF(ROUND(SUM(AB$5:AB6),2)&gt;=ROUND(AB$129,2),0,INDEX('draws%'!$D$8:$AH$128,$C7+1,MATCH(AB$4,'draws%'!$D$7:$AH$7,FALSE))*AB$129)</f>
        <v>3172.1081292681188</v>
      </c>
      <c r="AC7" s="181">
        <f>($C7&gt;=sales!$D$32)*($C7&lt;=sales!$F$32)*sales!$J$41/(sales!$E$32+1)+($C7&gt;=sales!$D$33)*($C7&lt;=sales!$F$33)*sales!$J$42/(sales!$E$33+1)+($C7&gt;=sales!$D$34)*($C7&lt;=sales!$F$34)*sales!$J$43/(sales!$E$34+1)+($C7&gt;=sales!$D$35)*($C7&lt;=sales!$F$35)*sales!$J$44/(sales!$E$35+1)+($C7&gt;=sales!$D$36)*($C7&lt;=sales!$F$36)*sales!$J$45/(sales!$E$36+1)</f>
        <v>0</v>
      </c>
      <c r="AD7" s="181">
        <f>IF(ROUND(SUM(AD$5:AD6),2)&gt;=ROUND(AD$129,2),0,INDEX('draws%'!$D$8:$AH$128,$C7+1,MATCH(AD$4,'draws%'!$D$7:$AH$7,FALSE))*AD$129)</f>
        <v>3260.0258304181157</v>
      </c>
      <c r="AE7" s="181">
        <f>IF(ROUND(SUM(AE$5:AE6),2)&gt;=ROUND(AE$129,2),0,INDEX('draws%'!$D$8:$AH$128,$C7+1,MATCH(AE$4,'draws%'!$D$7:$AH$7,FALSE))*AE$129)</f>
        <v>8333.3333333333321</v>
      </c>
      <c r="AF7" s="188">
        <f>($C7&gt;=sales!$D$32)*($C7&lt;=sales!$F$32)*sales!$D$41/(sales!$E$32+1)+($C7&gt;=sales!$D$33)*($C7&lt;=sales!$F$33)*sales!$D$42/(sales!$E$33+1)+($C7&gt;=sales!$D$34)*($C7&lt;=sales!$F$34)*sales!$D$43/(sales!$E$34+1)+($C7&gt;=sales!$D$35)*($C7&lt;=sales!$F$35)*sales!$D$44/(sales!$E$35+1)+($C7&gt;=sales!$D$36)*($C7&lt;=sales!$F$36)*sales!$D$45/(sales!$E$36+1)</f>
        <v>0</v>
      </c>
      <c r="AG7" s="188">
        <f>($C7&gt;=sales!$D$32)*($C7&lt;=sales!$F$32)*sales!$F$41/(sales!$E$32+1)+($C7&gt;=sales!$D$33)*($C7&lt;=sales!$F$33)*sales!$F$42/(sales!$E$33+1)+($C7&gt;=sales!$D$34)*($C7&lt;=sales!$F$34)*sales!$F$43/(sales!$E$34+1)+($C7&gt;=sales!$D$35)*($C7&lt;=sales!$F$35)*sales!$F$44/(sales!$E$35+1)+($C7&gt;=sales!$D$36)*($C7&lt;=sales!$F$36)*sales!$F$45/(sales!$E$36+1)</f>
        <v>0</v>
      </c>
      <c r="AH7" s="181">
        <f>IF(ROUND(SUM(AH$5:AH6),2)&gt;=ROUND(AH$129,2),0,INDEX('draws%'!$D$8:$AH$128,$C7+1,MATCH(AH$4,'draws%'!$D$7:$AH$7,FALSE))*AH$129)</f>
        <v>0</v>
      </c>
      <c r="AI7" s="181">
        <f>IF(ROUND(SUM(AI$5:AI6),2)&gt;=ROUND(AI$129,2),0,INDEX('draws%'!$D$8:$AH$128,$C7+1,MATCH(AI$4,'draws%'!$D$7:$AH$7,FALSE))*AI$129)</f>
        <v>0</v>
      </c>
      <c r="AJ7" s="181">
        <f>IF(ROUND(SUM(AJ$5:AJ6),2)&gt;=ROUND(AJ$129,2),0,INDEX('draws%'!$D$8:$AH$128,$C7+1,MATCH(AJ$4,'draws%'!$D$7:$AH$7,FALSE))*AJ$129)</f>
        <v>0</v>
      </c>
      <c r="AK7" s="181">
        <f>IF(ROUND(SUM(AK$5:AK6),2)&gt;=ROUND(AK$129,2),0,INDEX('draws%'!$D$8:$AH$128,$C7+1,MATCH(AK$4,'draws%'!$D$7:$AH$7,FALSE))*AK$129)</f>
        <v>0</v>
      </c>
      <c r="AL7" s="189">
        <f t="shared" ref="AL7:AL44" si="1">SUM(N7:AK7)</f>
        <v>31736.060430274469</v>
      </c>
      <c r="AM7" s="173"/>
      <c r="AN7" s="184" t="str">
        <v>Const. 
tight bell</v>
      </c>
      <c r="AO7" s="158"/>
      <c r="AP7" s="158"/>
    </row>
    <row r="8" spans="1:42" s="168" customFormat="1" ht="16">
      <c r="A8" s="1416" t="str">
        <f>IF(MAX(C$5:C7)&gt;=general!$C$27,"post dev",IF(C8&lt;general!$C$23, "Pred", "Dev"))</f>
        <v>Pred</v>
      </c>
      <c r="B8" s="1398"/>
      <c r="C8" s="1388">
        <f>IF('Development Cash Flow'!D7&lt;general!$D$28,'Development Cash Flow'!C7+1,0)</f>
        <v>2</v>
      </c>
      <c r="D8" s="185">
        <f t="shared" si="0"/>
        <v>46326</v>
      </c>
      <c r="E8" s="186">
        <f>($C8&gt;=sales!$D$32)*($C8&lt;=sales!$F$32)*ResUnits/(sales!$E$32+1)</f>
        <v>0</v>
      </c>
      <c r="F8" s="181">
        <f>($C8&gt;=sales!$D$32)*($C8&lt;=sales!$F$32)*sales!$I$18/(sales!$E$32+1)</f>
        <v>0</v>
      </c>
      <c r="G8" s="181">
        <f>($C8&gt;=sales!$D$32)*($C8&lt;=sales!$F$32)*sales!$K$32/(sales!$E$32+1)</f>
        <v>0</v>
      </c>
      <c r="H8" s="187">
        <f>($C8&gt;=sales!$D$33)*($C8&lt;=sales!$F$33)*sales!$K$33/(sales!$E$33+1)</f>
        <v>0</v>
      </c>
      <c r="I8" s="181">
        <f>($C8&gt;=sales!$D$34)*($C8&lt;=sales!$F$34)*sales!$K$34/(sales!$E$34+1)</f>
        <v>0</v>
      </c>
      <c r="J8" s="181">
        <f>($C8&gt;=sales!$D$35)*($C8&lt;=sales!$F$35)*sales!$K$35/(sales!$E$35+1)</f>
        <v>0</v>
      </c>
      <c r="K8" s="189">
        <f>($C8&gt;=sales!$D$36)*($C8&lt;=sales!$F$36)*sales!$K$36*IFERROR(VLOOKUP(C8,sales!$C$50:$D$54,2,FALSE),0)</f>
        <v>0</v>
      </c>
      <c r="L8" s="1398"/>
      <c r="M8" s="1403">
        <f>+G8/$G$4*$M$4*sales!$J$32</f>
        <v>0</v>
      </c>
      <c r="N8" s="1398"/>
      <c r="O8" s="1464">
        <f>IF(ROUND(SUM(O$5:O7),2)&gt;=ROUND(O$129,2),0,INDEX('draws%'!$D$8:$AH$128,$C8+1,MATCH(O$4,'draws%'!$D$7:$AH$7,FALSE))*O$129)</f>
        <v>0</v>
      </c>
      <c r="P8" s="181">
        <f>IF(ROUND(SUM(P$5:P7),2)&gt;=ROUND(P$129,2),0,INDEX('draws%'!$D$8:$AH$128,$C8+1,MATCH(P$4,'draws%'!$D$7:$AH$7,FALSE))*P$129)</f>
        <v>0</v>
      </c>
      <c r="Q8" s="181">
        <f>IF(ROUND(SUM(Q$5:Q7),2)&gt;=ROUND(Q$129,2),0,INDEX('draws%'!$D$8:$AH$128,$C8+1,MATCH(Q$4,'draws%'!$D$7:$AH$7,FALSE))*Q$129)</f>
        <v>12762.944444444443</v>
      </c>
      <c r="R8" s="181">
        <f>IF(ROUND(SUM(R$5:R7),2)&gt;=ROUND(R$129,2),0,INDEX('draws%'!$D$8:$AH$128,$C8+1,MATCH(R$4,'draws%'!$D$7:$AH$7,FALSE))*R$129)</f>
        <v>0</v>
      </c>
      <c r="S8" s="181">
        <f>IF(ROUND(SUM(S$5:S7),2)&gt;=ROUND(S$129,2),0,INDEX('draws%'!$D$8:$AH$128,$C8+1,MATCH(S$4,'draws%'!$D$7:$AH$7,FALSE))*S$129)</f>
        <v>2222.2222222222222</v>
      </c>
      <c r="T8" s="181">
        <f>IF(ROUND(SUM(T$5:T7),2)&gt;=ROUND(T$129,2),0,INDEX('draws%'!$D$8:$AH$128,$C8+1,MATCH(T$4,'draws%'!$D$7:$AH$7,FALSE))*T$129)</f>
        <v>0</v>
      </c>
      <c r="U8" s="181">
        <f>IF(ROUND(SUM(U$5:U7),2)&gt;=ROUND(U$129,2),0,INDEX('draws%'!$D$8:$AH$128,$C8+1,MATCH(U$4,'draws%'!$D$7:$AH$7,FALSE))*U$129)</f>
        <v>0</v>
      </c>
      <c r="V8" s="181">
        <f>IF(ROUND(SUM(V$5:V7),2)&gt;=ROUND(V$129,2),0,INDEX('draws%'!$D$8:$AH$128,$C8+1,MATCH(V$4,'draws%'!$D$7:$AH$7,FALSE))*V$129)</f>
        <v>0</v>
      </c>
      <c r="W8" s="181">
        <f>IF(ROUND(SUM(W$5:W7),2)&gt;=ROUND(W$129,2),0,INDEX('draws%'!$D$8:$AH$128,$C8+1,MATCH(W$4,'draws%'!$D$7:$AH$7,FALSE))*W$129)</f>
        <v>0</v>
      </c>
      <c r="X8" s="181">
        <f>IF(ROUND(SUM(X$5:X7),2)&gt;=ROUND(X$129,2),0,INDEX('draws%'!$D$8:$AH$128,$C8+1,MATCH(X$4,'draws%'!$D$7:$AH$7,FALSE))*X$129)</f>
        <v>0</v>
      </c>
      <c r="Y8" s="181">
        <f>IF(ROUND(SUM(Y$5:Y7),2)&gt;=ROUND(Y$129,2),0,INDEX('draws%'!$D$8:$AH$128,$C8+1,MATCH(Y$4,'draws%'!$D$7:$AH$7,FALSE))*Y$129)</f>
        <v>0</v>
      </c>
      <c r="Z8" s="181">
        <f>IF(ROUND(SUM(Z$5:Z7),2)&gt;=ROUND(Z$129,2),0,INDEX('draws%'!$D$8:$AH$128,$C8+1,MATCH(Z$4,'draws%'!$D$7:$AH$7,FALSE))*Z$129)</f>
        <v>1985.4264705882354</v>
      </c>
      <c r="AA8" s="181">
        <f>IF(ROUND(SUM(AA$5:AA7),2)&gt;=ROUND(AA$129,2),0,INDEX('draws%'!$D$8:$AH$128,$C8+1,MATCH(AA$4,'draws%'!$D$7:$AH$7,FALSE))*AA$129)</f>
        <v>0</v>
      </c>
      <c r="AB8" s="181">
        <f>IF(ROUND(SUM(AB$5:AB7),2)&gt;=ROUND(AB$129,2),0,INDEX('draws%'!$D$8:$AH$128,$C8+1,MATCH(AB$4,'draws%'!$D$7:$AH$7,FALSE))*AB$129)</f>
        <v>3172.1081292681188</v>
      </c>
      <c r="AC8" s="181">
        <f>($C8&gt;=sales!$D$32)*($C8&lt;=sales!$F$32)*sales!$J$41/(sales!$E$32+1)+($C8&gt;=sales!$D$33)*($C8&lt;=sales!$F$33)*sales!$J$42/(sales!$E$33+1)+($C8&gt;=sales!$D$34)*($C8&lt;=sales!$F$34)*sales!$J$43/(sales!$E$34+1)+($C8&gt;=sales!$D$35)*($C8&lt;=sales!$F$35)*sales!$J$44/(sales!$E$35+1)+($C8&gt;=sales!$D$36)*($C8&lt;=sales!$F$36)*sales!$J$45/(sales!$E$36+1)</f>
        <v>0</v>
      </c>
      <c r="AD8" s="181">
        <f>IF(ROUND(SUM(AD$5:AD7),2)&gt;=ROUND(AD$129,2),0,INDEX('draws%'!$D$8:$AH$128,$C8+1,MATCH(AD$4,'draws%'!$D$7:$AH$7,FALSE))*AD$129)</f>
        <v>3260.0258304181157</v>
      </c>
      <c r="AE8" s="181">
        <f>IF(ROUND(SUM(AE$5:AE7),2)&gt;=ROUND(AE$129,2),0,INDEX('draws%'!$D$8:$AH$128,$C8+1,MATCH(AE$4,'draws%'!$D$7:$AH$7,FALSE))*AE$129)</f>
        <v>8333.3333333333321</v>
      </c>
      <c r="AF8" s="188">
        <f>($C8&gt;=sales!$D$32)*($C8&lt;=sales!$F$32)*sales!$D$41/(sales!$E$32+1)+($C8&gt;=sales!$D$33)*($C8&lt;=sales!$F$33)*sales!$D$42/(sales!$E$33+1)+($C8&gt;=sales!$D$34)*($C8&lt;=sales!$F$34)*sales!$D$43/(sales!$E$34+1)+($C8&gt;=sales!$D$35)*($C8&lt;=sales!$F$35)*sales!$D$44/(sales!$E$35+1)+($C8&gt;=sales!$D$36)*($C8&lt;=sales!$F$36)*sales!$D$45/(sales!$E$36+1)</f>
        <v>0</v>
      </c>
      <c r="AG8" s="188">
        <f>($C8&gt;=sales!$D$32)*($C8&lt;=sales!$F$32)*sales!$F$41/(sales!$E$32+1)+($C8&gt;=sales!$D$33)*($C8&lt;=sales!$F$33)*sales!$F$42/(sales!$E$33+1)+($C8&gt;=sales!$D$34)*($C8&lt;=sales!$F$34)*sales!$F$43/(sales!$E$34+1)+($C8&gt;=sales!$D$35)*($C8&lt;=sales!$F$35)*sales!$F$44/(sales!$E$35+1)+($C8&gt;=sales!$D$36)*($C8&lt;=sales!$F$36)*sales!$F$45/(sales!$E$36+1)</f>
        <v>0</v>
      </c>
      <c r="AH8" s="181">
        <f>IF(ROUND(SUM(AH$5:AH7),2)&gt;=ROUND(AH$129,2),0,INDEX('draws%'!$D$8:$AH$128,$C8+1,MATCH(AH$4,'draws%'!$D$7:$AH$7,FALSE))*AH$129)</f>
        <v>0</v>
      </c>
      <c r="AI8" s="181">
        <f>IF(ROUND(SUM(AI$5:AI7),2)&gt;=ROUND(AI$129,2),0,INDEX('draws%'!$D$8:$AH$128,$C8+1,MATCH(AI$4,'draws%'!$D$7:$AH$7,FALSE))*AI$129)</f>
        <v>0</v>
      </c>
      <c r="AJ8" s="181">
        <f>IF(ROUND(SUM(AJ$5:AJ7),2)&gt;=ROUND(AJ$129,2),0,INDEX('draws%'!$D$8:$AH$128,$C8+1,MATCH(AJ$4,'draws%'!$D$7:$AH$7,FALSE))*AJ$129)</f>
        <v>0</v>
      </c>
      <c r="AK8" s="181">
        <f>IF(ROUND(SUM(AK$5:AK7),2)&gt;=ROUND(AK$129,2),0,INDEX('draws%'!$D$8:$AH$128,$C8+1,MATCH(AK$4,'draws%'!$D$7:$AH$7,FALSE))*AK$129)</f>
        <v>0</v>
      </c>
      <c r="AL8" s="189">
        <f t="shared" si="1"/>
        <v>31736.060430274469</v>
      </c>
      <c r="AM8" s="173"/>
      <c r="AN8" s="184" t="str">
        <v>Const. 
Bell</v>
      </c>
      <c r="AO8" s="158"/>
      <c r="AP8" s="158"/>
    </row>
    <row r="9" spans="1:42" s="168" customFormat="1" ht="16">
      <c r="A9" s="1416" t="str">
        <f>IF(MAX(C$5:C8)&gt;=general!$C$27,"post dev",IF(C9&lt;general!$C$23, "Pred", "Dev"))</f>
        <v>Pred</v>
      </c>
      <c r="B9" s="1398"/>
      <c r="C9" s="1388">
        <f>IF('Development Cash Flow'!D8&lt;general!$D$28,'Development Cash Flow'!C8+1,0)</f>
        <v>3</v>
      </c>
      <c r="D9" s="185">
        <f t="shared" si="0"/>
        <v>46356</v>
      </c>
      <c r="E9" s="186">
        <f>($C9&gt;=sales!$D$32)*($C9&lt;=sales!$F$32)*ResUnits/(sales!$E$32+1)</f>
        <v>0</v>
      </c>
      <c r="F9" s="181">
        <f>($C9&gt;=sales!$D$32)*($C9&lt;=sales!$F$32)*sales!$I$18/(sales!$E$32+1)</f>
        <v>0</v>
      </c>
      <c r="G9" s="181">
        <f>($C9&gt;=sales!$D$32)*($C9&lt;=sales!$F$32)*sales!$K$32/(sales!$E$32+1)</f>
        <v>0</v>
      </c>
      <c r="H9" s="187">
        <f>($C9&gt;=sales!$D$33)*($C9&lt;=sales!$F$33)*sales!$K$33/(sales!$E$33+1)</f>
        <v>0</v>
      </c>
      <c r="I9" s="181">
        <f>($C9&gt;=sales!$D$34)*($C9&lt;=sales!$F$34)*sales!$K$34/(sales!$E$34+1)</f>
        <v>0</v>
      </c>
      <c r="J9" s="181">
        <f>($C9&gt;=sales!$D$35)*($C9&lt;=sales!$F$35)*sales!$K$35/(sales!$E$35+1)</f>
        <v>0</v>
      </c>
      <c r="K9" s="189">
        <f>($C9&gt;=sales!$D$36)*($C9&lt;=sales!$F$36)*sales!$K$36*IFERROR(VLOOKUP(C9,sales!$C$50:$D$54,2,FALSE),0)</f>
        <v>0</v>
      </c>
      <c r="L9" s="1398"/>
      <c r="M9" s="1403">
        <f>+G9/$G$4*$M$4*sales!$J$32</f>
        <v>0</v>
      </c>
      <c r="N9" s="1398"/>
      <c r="O9" s="1464">
        <f>IF(ROUND(SUM(O$5:O8),2)&gt;=ROUND(O$129,2),0,INDEX('draws%'!$D$8:$AH$128,$C9+1,MATCH(O$4,'draws%'!$D$7:$AH$7,FALSE))*O$129)</f>
        <v>0</v>
      </c>
      <c r="P9" s="181">
        <f>IF(ROUND(SUM(P$5:P8),2)&gt;=ROUND(P$129,2),0,INDEX('draws%'!$D$8:$AH$128,$C9+1,MATCH(P$4,'draws%'!$D$7:$AH$7,FALSE))*P$129)</f>
        <v>0</v>
      </c>
      <c r="Q9" s="181">
        <f>IF(ROUND(SUM(Q$5:Q8),2)&gt;=ROUND(Q$129,2),0,INDEX('draws%'!$D$8:$AH$128,$C9+1,MATCH(Q$4,'draws%'!$D$7:$AH$7,FALSE))*Q$129)</f>
        <v>12762.944444444443</v>
      </c>
      <c r="R9" s="181">
        <f>IF(ROUND(SUM(R$5:R8),2)&gt;=ROUND(R$129,2),0,INDEX('draws%'!$D$8:$AH$128,$C9+1,MATCH(R$4,'draws%'!$D$7:$AH$7,FALSE))*R$129)</f>
        <v>0</v>
      </c>
      <c r="S9" s="181">
        <f>IF(ROUND(SUM(S$5:S8),2)&gt;=ROUND(S$129,2),0,INDEX('draws%'!$D$8:$AH$128,$C9+1,MATCH(S$4,'draws%'!$D$7:$AH$7,FALSE))*S$129)</f>
        <v>2222.2222222222222</v>
      </c>
      <c r="T9" s="181">
        <f>IF(ROUND(SUM(T$5:T8),2)&gt;=ROUND(T$129,2),0,INDEX('draws%'!$D$8:$AH$128,$C9+1,MATCH(T$4,'draws%'!$D$7:$AH$7,FALSE))*T$129)</f>
        <v>0</v>
      </c>
      <c r="U9" s="181">
        <f>IF(ROUND(SUM(U$5:U8),2)&gt;=ROUND(U$129,2),0,INDEX('draws%'!$D$8:$AH$128,$C9+1,MATCH(U$4,'draws%'!$D$7:$AH$7,FALSE))*U$129)</f>
        <v>0</v>
      </c>
      <c r="V9" s="181">
        <f>IF(ROUND(SUM(V$5:V8),2)&gt;=ROUND(V$129,2),0,INDEX('draws%'!$D$8:$AH$128,$C9+1,MATCH(V$4,'draws%'!$D$7:$AH$7,FALSE))*V$129)</f>
        <v>0</v>
      </c>
      <c r="W9" s="181">
        <f>IF(ROUND(SUM(W$5:W8),2)&gt;=ROUND(W$129,2),0,INDEX('draws%'!$D$8:$AH$128,$C9+1,MATCH(W$4,'draws%'!$D$7:$AH$7,FALSE))*W$129)</f>
        <v>34047.619047619046</v>
      </c>
      <c r="X9" s="181">
        <f>IF(ROUND(SUM(X$5:X8),2)&gt;=ROUND(X$129,2),0,INDEX('draws%'!$D$8:$AH$128,$C9+1,MATCH(X$4,'draws%'!$D$7:$AH$7,FALSE))*X$129)</f>
        <v>0</v>
      </c>
      <c r="Y9" s="181">
        <f>IF(ROUND(SUM(Y$5:Y8),2)&gt;=ROUND(Y$129,2),0,INDEX('draws%'!$D$8:$AH$128,$C9+1,MATCH(Y$4,'draws%'!$D$7:$AH$7,FALSE))*Y$129)</f>
        <v>0</v>
      </c>
      <c r="Z9" s="181">
        <f>IF(ROUND(SUM(Z$5:Z8),2)&gt;=ROUND(Z$129,2),0,INDEX('draws%'!$D$8:$AH$128,$C9+1,MATCH(Z$4,'draws%'!$D$7:$AH$7,FALSE))*Z$129)</f>
        <v>1985.4264705882354</v>
      </c>
      <c r="AA9" s="181">
        <f>IF(ROUND(SUM(AA$5:AA8),2)&gt;=ROUND(AA$129,2),0,INDEX('draws%'!$D$8:$AH$128,$C9+1,MATCH(AA$4,'draws%'!$D$7:$AH$7,FALSE))*AA$129)</f>
        <v>0</v>
      </c>
      <c r="AB9" s="181">
        <f>IF(ROUND(SUM(AB$5:AB8),2)&gt;=ROUND(AB$129,2),0,INDEX('draws%'!$D$8:$AH$128,$C9+1,MATCH(AB$4,'draws%'!$D$7:$AH$7,FALSE))*AB$129)</f>
        <v>3172.1081292681188</v>
      </c>
      <c r="AC9" s="181">
        <f>($C9&gt;=sales!$D$32)*($C9&lt;=sales!$F$32)*sales!$J$41/(sales!$E$32+1)+($C9&gt;=sales!$D$33)*($C9&lt;=sales!$F$33)*sales!$J$42/(sales!$E$33+1)+($C9&gt;=sales!$D$34)*($C9&lt;=sales!$F$34)*sales!$J$43/(sales!$E$34+1)+($C9&gt;=sales!$D$35)*($C9&lt;=sales!$F$35)*sales!$J$44/(sales!$E$35+1)+($C9&gt;=sales!$D$36)*($C9&lt;=sales!$F$36)*sales!$J$45/(sales!$E$36+1)</f>
        <v>0</v>
      </c>
      <c r="AD9" s="181">
        <f>IF(ROUND(SUM(AD$5:AD8),2)&gt;=ROUND(AD$129,2),0,INDEX('draws%'!$D$8:$AH$128,$C9+1,MATCH(AD$4,'draws%'!$D$7:$AH$7,FALSE))*AD$129)</f>
        <v>3260.0258304181157</v>
      </c>
      <c r="AE9" s="181">
        <f>IF(ROUND(SUM(AE$5:AE8),2)&gt;=ROUND(AE$129,2),0,INDEX('draws%'!$D$8:$AH$128,$C9+1,MATCH(AE$4,'draws%'!$D$7:$AH$7,FALSE))*AE$129)</f>
        <v>8333.3333333333321</v>
      </c>
      <c r="AF9" s="188">
        <f>($C9&gt;=sales!$D$32)*($C9&lt;=sales!$F$32)*sales!$D$41/(sales!$E$32+1)+($C9&gt;=sales!$D$33)*($C9&lt;=sales!$F$33)*sales!$D$42/(sales!$E$33+1)+($C9&gt;=sales!$D$34)*($C9&lt;=sales!$F$34)*sales!$D$43/(sales!$E$34+1)+($C9&gt;=sales!$D$35)*($C9&lt;=sales!$F$35)*sales!$D$44/(sales!$E$35+1)+($C9&gt;=sales!$D$36)*($C9&lt;=sales!$F$36)*sales!$D$45/(sales!$E$36+1)</f>
        <v>0</v>
      </c>
      <c r="AG9" s="188">
        <f>($C9&gt;=sales!$D$32)*($C9&lt;=sales!$F$32)*sales!$F$41/(sales!$E$32+1)+($C9&gt;=sales!$D$33)*($C9&lt;=sales!$F$33)*sales!$F$42/(sales!$E$33+1)+($C9&gt;=sales!$D$34)*($C9&lt;=sales!$F$34)*sales!$F$43/(sales!$E$34+1)+($C9&gt;=sales!$D$35)*($C9&lt;=sales!$F$35)*sales!$F$44/(sales!$E$35+1)+($C9&gt;=sales!$D$36)*($C9&lt;=sales!$F$36)*sales!$F$45/(sales!$E$36+1)</f>
        <v>0</v>
      </c>
      <c r="AH9" s="181">
        <f>IF(ROUND(SUM(AH$5:AH8),2)&gt;=ROUND(AH$129,2),0,INDEX('draws%'!$D$8:$AH$128,$C9+1,MATCH(AH$4,'draws%'!$D$7:$AH$7,FALSE))*AH$129)</f>
        <v>0</v>
      </c>
      <c r="AI9" s="181">
        <f>IF(ROUND(SUM(AI$5:AI8),2)&gt;=ROUND(AI$129,2),0,INDEX('draws%'!$D$8:$AH$128,$C9+1,MATCH(AI$4,'draws%'!$D$7:$AH$7,FALSE))*AI$129)</f>
        <v>0</v>
      </c>
      <c r="AJ9" s="181">
        <f>IF(ROUND(SUM(AJ$5:AJ8),2)&gt;=ROUND(AJ$129,2),0,INDEX('draws%'!$D$8:$AH$128,$C9+1,MATCH(AJ$4,'draws%'!$D$7:$AH$7,FALSE))*AJ$129)</f>
        <v>0</v>
      </c>
      <c r="AK9" s="181">
        <f>IF(ROUND(SUM(AK$5:AK8),2)&gt;=ROUND(AK$129,2),0,INDEX('draws%'!$D$8:$AH$128,$C9+1,MATCH(AK$4,'draws%'!$D$7:$AH$7,FALSE))*AK$129)</f>
        <v>0</v>
      </c>
      <c r="AL9" s="189">
        <f t="shared" si="1"/>
        <v>65783.679477893515</v>
      </c>
      <c r="AM9" s="173"/>
      <c r="AN9" s="184" t="str">
        <v>Const. 
Fat bell</v>
      </c>
      <c r="AO9" s="158"/>
      <c r="AP9" s="158"/>
    </row>
    <row r="10" spans="1:42" s="168" customFormat="1" ht="16">
      <c r="A10" s="1416" t="str">
        <f>IF(MAX(C$5:C9)&gt;=general!$C$27,"post dev",IF(C10&lt;general!$C$23, "Pred", "Dev"))</f>
        <v>Pred</v>
      </c>
      <c r="B10" s="1398"/>
      <c r="C10" s="1388">
        <f>IF('Development Cash Flow'!D9&lt;general!$D$28,'Development Cash Flow'!C9+1,0)</f>
        <v>4</v>
      </c>
      <c r="D10" s="185">
        <f t="shared" si="0"/>
        <v>46387</v>
      </c>
      <c r="E10" s="186">
        <f>($C10&gt;=sales!$D$32)*($C10&lt;=sales!$F$32)*ResUnits/(sales!$E$32+1)</f>
        <v>0</v>
      </c>
      <c r="F10" s="181">
        <f>($C10&gt;=sales!$D$32)*($C10&lt;=sales!$F$32)*sales!$I$18/(sales!$E$32+1)</f>
        <v>0</v>
      </c>
      <c r="G10" s="181">
        <f>($C10&gt;=sales!$D$32)*($C10&lt;=sales!$F$32)*sales!$K$32/(sales!$E$32+1)</f>
        <v>0</v>
      </c>
      <c r="H10" s="187">
        <f>($C10&gt;=sales!$D$33)*($C10&lt;=sales!$F$33)*sales!$K$33/(sales!$E$33+1)</f>
        <v>0</v>
      </c>
      <c r="I10" s="181">
        <f>($C10&gt;=sales!$D$34)*($C10&lt;=sales!$F$34)*sales!$K$34/(sales!$E$34+1)</f>
        <v>0</v>
      </c>
      <c r="J10" s="181">
        <f>($C10&gt;=sales!$D$35)*($C10&lt;=sales!$F$35)*sales!$K$35/(sales!$E$35+1)</f>
        <v>0</v>
      </c>
      <c r="K10" s="189">
        <f>($C10&gt;=sales!$D$36)*($C10&lt;=sales!$F$36)*sales!$K$36*IFERROR(VLOOKUP(C10,sales!$C$50:$D$54,2,FALSE),0)</f>
        <v>0</v>
      </c>
      <c r="L10" s="1398"/>
      <c r="M10" s="1403">
        <f>+G10/$G$4*$M$4*sales!$J$32</f>
        <v>0</v>
      </c>
      <c r="N10" s="1398"/>
      <c r="O10" s="1464">
        <f>IF(ROUND(SUM(O$5:O9),2)&gt;=ROUND(O$129,2),0,INDEX('draws%'!$D$8:$AH$128,$C10+1,MATCH(O$4,'draws%'!$D$7:$AH$7,FALSE))*O$129)</f>
        <v>0</v>
      </c>
      <c r="P10" s="181">
        <f>IF(ROUND(SUM(P$5:P9),2)&gt;=ROUND(P$129,2),0,INDEX('draws%'!$D$8:$AH$128,$C10+1,MATCH(P$4,'draws%'!$D$7:$AH$7,FALSE))*P$129)</f>
        <v>0</v>
      </c>
      <c r="Q10" s="181">
        <f>IF(ROUND(SUM(Q$5:Q9),2)&gt;=ROUND(Q$129,2),0,INDEX('draws%'!$D$8:$AH$128,$C10+1,MATCH(Q$4,'draws%'!$D$7:$AH$7,FALSE))*Q$129)</f>
        <v>12762.944444444443</v>
      </c>
      <c r="R10" s="181">
        <f>IF(ROUND(SUM(R$5:R9),2)&gt;=ROUND(R$129,2),0,INDEX('draws%'!$D$8:$AH$128,$C10+1,MATCH(R$4,'draws%'!$D$7:$AH$7,FALSE))*R$129)</f>
        <v>0</v>
      </c>
      <c r="S10" s="181">
        <f>IF(ROUND(SUM(S$5:S9),2)&gt;=ROUND(S$129,2),0,INDEX('draws%'!$D$8:$AH$128,$C10+1,MATCH(S$4,'draws%'!$D$7:$AH$7,FALSE))*S$129)</f>
        <v>2222.2222222222222</v>
      </c>
      <c r="T10" s="181">
        <f>IF(ROUND(SUM(T$5:T9),2)&gt;=ROUND(T$129,2),0,INDEX('draws%'!$D$8:$AH$128,$C10+1,MATCH(T$4,'draws%'!$D$7:$AH$7,FALSE))*T$129)</f>
        <v>0</v>
      </c>
      <c r="U10" s="181">
        <f>IF(ROUND(SUM(U$5:U9),2)&gt;=ROUND(U$129,2),0,INDEX('draws%'!$D$8:$AH$128,$C10+1,MATCH(U$4,'draws%'!$D$7:$AH$7,FALSE))*U$129)</f>
        <v>0</v>
      </c>
      <c r="V10" s="181">
        <f>IF(ROUND(SUM(V$5:V9),2)&gt;=ROUND(V$129,2),0,INDEX('draws%'!$D$8:$AH$128,$C10+1,MATCH(V$4,'draws%'!$D$7:$AH$7,FALSE))*V$129)</f>
        <v>0</v>
      </c>
      <c r="W10" s="181">
        <f>IF(ROUND(SUM(W$5:W9),2)&gt;=ROUND(W$129,2),0,INDEX('draws%'!$D$8:$AH$128,$C10+1,MATCH(W$4,'draws%'!$D$7:$AH$7,FALSE))*W$129)</f>
        <v>0</v>
      </c>
      <c r="X10" s="181">
        <f>IF(ROUND(SUM(X$5:X9),2)&gt;=ROUND(X$129,2),0,INDEX('draws%'!$D$8:$AH$128,$C10+1,MATCH(X$4,'draws%'!$D$7:$AH$7,FALSE))*X$129)</f>
        <v>0</v>
      </c>
      <c r="Y10" s="181">
        <f>IF(ROUND(SUM(Y$5:Y9),2)&gt;=ROUND(Y$129,2),0,INDEX('draws%'!$D$8:$AH$128,$C10+1,MATCH(Y$4,'draws%'!$D$7:$AH$7,FALSE))*Y$129)</f>
        <v>0</v>
      </c>
      <c r="Z10" s="181">
        <f>IF(ROUND(SUM(Z$5:Z9),2)&gt;=ROUND(Z$129,2),0,INDEX('draws%'!$D$8:$AH$128,$C10+1,MATCH(Z$4,'draws%'!$D$7:$AH$7,FALSE))*Z$129)</f>
        <v>1985.4264705882354</v>
      </c>
      <c r="AA10" s="181">
        <f>IF(ROUND(SUM(AA$5:AA9),2)&gt;=ROUND(AA$129,2),0,INDEX('draws%'!$D$8:$AH$128,$C10+1,MATCH(AA$4,'draws%'!$D$7:$AH$7,FALSE))*AA$129)</f>
        <v>0</v>
      </c>
      <c r="AB10" s="181">
        <f>IF(ROUND(SUM(AB$5:AB9),2)&gt;=ROUND(AB$129,2),0,INDEX('draws%'!$D$8:$AH$128,$C10+1,MATCH(AB$4,'draws%'!$D$7:$AH$7,FALSE))*AB$129)</f>
        <v>3172.1081292681188</v>
      </c>
      <c r="AC10" s="181">
        <f>($C10&gt;=sales!$D$32)*($C10&lt;=sales!$F$32)*sales!$J$41/(sales!$E$32+1)+($C10&gt;=sales!$D$33)*($C10&lt;=sales!$F$33)*sales!$J$42/(sales!$E$33+1)+($C10&gt;=sales!$D$34)*($C10&lt;=sales!$F$34)*sales!$J$43/(sales!$E$34+1)+($C10&gt;=sales!$D$35)*($C10&lt;=sales!$F$35)*sales!$J$44/(sales!$E$35+1)+($C10&gt;=sales!$D$36)*($C10&lt;=sales!$F$36)*sales!$J$45/(sales!$E$36+1)</f>
        <v>0</v>
      </c>
      <c r="AD10" s="181">
        <f>IF(ROUND(SUM(AD$5:AD9),2)&gt;=ROUND(AD$129,2),0,INDEX('draws%'!$D$8:$AH$128,$C10+1,MATCH(AD$4,'draws%'!$D$7:$AH$7,FALSE))*AD$129)</f>
        <v>3260.0258304181157</v>
      </c>
      <c r="AE10" s="181">
        <f>IF(ROUND(SUM(AE$5:AE9),2)&gt;=ROUND(AE$129,2),0,INDEX('draws%'!$D$8:$AH$128,$C10+1,MATCH(AE$4,'draws%'!$D$7:$AH$7,FALSE))*AE$129)</f>
        <v>8333.3333333333321</v>
      </c>
      <c r="AF10" s="188">
        <f>($C10&gt;=sales!$D$32)*($C10&lt;=sales!$F$32)*sales!$D$41/(sales!$E$32+1)+($C10&gt;=sales!$D$33)*($C10&lt;=sales!$F$33)*sales!$D$42/(sales!$E$33+1)+($C10&gt;=sales!$D$34)*($C10&lt;=sales!$F$34)*sales!$D$43/(sales!$E$34+1)+($C10&gt;=sales!$D$35)*($C10&lt;=sales!$F$35)*sales!$D$44/(sales!$E$35+1)+($C10&gt;=sales!$D$36)*($C10&lt;=sales!$F$36)*sales!$D$45/(sales!$E$36+1)</f>
        <v>0</v>
      </c>
      <c r="AG10" s="188">
        <f>($C10&gt;=sales!$D$32)*($C10&lt;=sales!$F$32)*sales!$F$41/(sales!$E$32+1)+($C10&gt;=sales!$D$33)*($C10&lt;=sales!$F$33)*sales!$F$42/(sales!$E$33+1)+($C10&gt;=sales!$D$34)*($C10&lt;=sales!$F$34)*sales!$F$43/(sales!$E$34+1)+($C10&gt;=sales!$D$35)*($C10&lt;=sales!$F$35)*sales!$F$44/(sales!$E$35+1)+($C10&gt;=sales!$D$36)*($C10&lt;=sales!$F$36)*sales!$F$45/(sales!$E$36+1)</f>
        <v>0</v>
      </c>
      <c r="AH10" s="181">
        <f>IF(ROUND(SUM(AH$5:AH9),2)&gt;=ROUND(AH$129,2),0,INDEX('draws%'!$D$8:$AH$128,$C10+1,MATCH(AH$4,'draws%'!$D$7:$AH$7,FALSE))*AH$129)</f>
        <v>0</v>
      </c>
      <c r="AI10" s="181">
        <f>IF(ROUND(SUM(AI$5:AI9),2)&gt;=ROUND(AI$129,2),0,INDEX('draws%'!$D$8:$AH$128,$C10+1,MATCH(AI$4,'draws%'!$D$7:$AH$7,FALSE))*AI$129)</f>
        <v>0</v>
      </c>
      <c r="AJ10" s="181">
        <f>IF(ROUND(SUM(AJ$5:AJ9),2)&gt;=ROUND(AJ$129,2),0,INDEX('draws%'!$D$8:$AH$128,$C10+1,MATCH(AJ$4,'draws%'!$D$7:$AH$7,FALSE))*AJ$129)</f>
        <v>0</v>
      </c>
      <c r="AK10" s="181">
        <f>IF(ROUND(SUM(AK$5:AK9),2)&gt;=ROUND(AK$129,2),0,INDEX('draws%'!$D$8:$AH$128,$C10+1,MATCH(AK$4,'draws%'!$D$7:$AH$7,FALSE))*AK$129)</f>
        <v>0</v>
      </c>
      <c r="AL10" s="189">
        <f t="shared" si="1"/>
        <v>31736.060430274469</v>
      </c>
      <c r="AM10" s="173"/>
      <c r="AN10" s="184" t="str">
        <v>tight bell</v>
      </c>
      <c r="AO10" s="158"/>
      <c r="AP10" s="158"/>
    </row>
    <row r="11" spans="1:42" s="168" customFormat="1" ht="16">
      <c r="A11" s="1416" t="str">
        <f>IF(MAX(C$5:C10)&gt;=general!$C$27,"post dev",IF(C11&lt;general!$C$23, "Pred", "Dev"))</f>
        <v>Pred</v>
      </c>
      <c r="B11" s="1398"/>
      <c r="C11" s="1388">
        <f>IF('Development Cash Flow'!D10&lt;general!$D$28,'Development Cash Flow'!C10+1,0)</f>
        <v>5</v>
      </c>
      <c r="D11" s="185">
        <f t="shared" si="0"/>
        <v>46418</v>
      </c>
      <c r="E11" s="186">
        <f>($C11&gt;=sales!$D$32)*($C11&lt;=sales!$F$32)*ResUnits/(sales!$E$32+1)</f>
        <v>0</v>
      </c>
      <c r="F11" s="181">
        <f>($C11&gt;=sales!$D$32)*($C11&lt;=sales!$F$32)*sales!$I$18/(sales!$E$32+1)</f>
        <v>0</v>
      </c>
      <c r="G11" s="181">
        <f>($C11&gt;=sales!$D$32)*($C11&lt;=sales!$F$32)*sales!$K$32/(sales!$E$32+1)</f>
        <v>0</v>
      </c>
      <c r="H11" s="187">
        <f>($C11&gt;=sales!$D$33)*($C11&lt;=sales!$F$33)*sales!$K$33/(sales!$E$33+1)</f>
        <v>0</v>
      </c>
      <c r="I11" s="181">
        <f>($C11&gt;=sales!$D$34)*($C11&lt;=sales!$F$34)*sales!$K$34/(sales!$E$34+1)</f>
        <v>0</v>
      </c>
      <c r="J11" s="181">
        <f>($C11&gt;=sales!$D$35)*($C11&lt;=sales!$F$35)*sales!$K$35/(sales!$E$35+1)</f>
        <v>0</v>
      </c>
      <c r="K11" s="189">
        <f>($C11&gt;=sales!$D$36)*($C11&lt;=sales!$F$36)*sales!$K$36*IFERROR(VLOOKUP(C11,sales!$C$50:$D$54,2,FALSE),0)</f>
        <v>0</v>
      </c>
      <c r="L11" s="1398"/>
      <c r="M11" s="1403">
        <f>+G11/$G$4*$M$4*sales!$J$32</f>
        <v>0</v>
      </c>
      <c r="N11" s="1398"/>
      <c r="O11" s="1464">
        <f>IF(ROUND(SUM(O$5:O10),2)&gt;=ROUND(O$129,2),0,INDEX('draws%'!$D$8:$AH$128,$C11+1,MATCH(O$4,'draws%'!$D$7:$AH$7,FALSE))*O$129)</f>
        <v>0</v>
      </c>
      <c r="P11" s="181">
        <f>IF(ROUND(SUM(P$5:P10),2)&gt;=ROUND(P$129,2),0,INDEX('draws%'!$D$8:$AH$128,$C11+1,MATCH(P$4,'draws%'!$D$7:$AH$7,FALSE))*P$129)</f>
        <v>0</v>
      </c>
      <c r="Q11" s="181">
        <f>IF(ROUND(SUM(Q$5:Q10),2)&gt;=ROUND(Q$129,2),0,INDEX('draws%'!$D$8:$AH$128,$C11+1,MATCH(Q$4,'draws%'!$D$7:$AH$7,FALSE))*Q$129)</f>
        <v>12762.944444444443</v>
      </c>
      <c r="R11" s="181">
        <f>IF(ROUND(SUM(R$5:R10),2)&gt;=ROUND(R$129,2),0,INDEX('draws%'!$D$8:$AH$128,$C11+1,MATCH(R$4,'draws%'!$D$7:$AH$7,FALSE))*R$129)</f>
        <v>0</v>
      </c>
      <c r="S11" s="181">
        <f>IF(ROUND(SUM(S$5:S10),2)&gt;=ROUND(S$129,2),0,INDEX('draws%'!$D$8:$AH$128,$C11+1,MATCH(S$4,'draws%'!$D$7:$AH$7,FALSE))*S$129)</f>
        <v>2222.2222222222222</v>
      </c>
      <c r="T11" s="181">
        <f>IF(ROUND(SUM(T$5:T10),2)&gt;=ROUND(T$129,2),0,INDEX('draws%'!$D$8:$AH$128,$C11+1,MATCH(T$4,'draws%'!$D$7:$AH$7,FALSE))*T$129)</f>
        <v>0</v>
      </c>
      <c r="U11" s="181">
        <f>IF(ROUND(SUM(U$5:U10),2)&gt;=ROUND(U$129,2),0,INDEX('draws%'!$D$8:$AH$128,$C11+1,MATCH(U$4,'draws%'!$D$7:$AH$7,FALSE))*U$129)</f>
        <v>0</v>
      </c>
      <c r="V11" s="181">
        <f>IF(ROUND(SUM(V$5:V10),2)&gt;=ROUND(V$129,2),0,INDEX('draws%'!$D$8:$AH$128,$C11+1,MATCH(V$4,'draws%'!$D$7:$AH$7,FALSE))*V$129)</f>
        <v>0</v>
      </c>
      <c r="W11" s="181">
        <f>IF(ROUND(SUM(W$5:W10),2)&gt;=ROUND(W$129,2),0,INDEX('draws%'!$D$8:$AH$128,$C11+1,MATCH(W$4,'draws%'!$D$7:$AH$7,FALSE))*W$129)</f>
        <v>0</v>
      </c>
      <c r="X11" s="181">
        <f>IF(ROUND(SUM(X$5:X10),2)&gt;=ROUND(X$129,2),0,INDEX('draws%'!$D$8:$AH$128,$C11+1,MATCH(X$4,'draws%'!$D$7:$AH$7,FALSE))*X$129)</f>
        <v>0</v>
      </c>
      <c r="Y11" s="181">
        <f>IF(ROUND(SUM(Y$5:Y10),2)&gt;=ROUND(Y$129,2),0,INDEX('draws%'!$D$8:$AH$128,$C11+1,MATCH(Y$4,'draws%'!$D$7:$AH$7,FALSE))*Y$129)</f>
        <v>0</v>
      </c>
      <c r="Z11" s="181">
        <f>IF(ROUND(SUM(Z$5:Z10),2)&gt;=ROUND(Z$129,2),0,INDEX('draws%'!$D$8:$AH$128,$C11+1,MATCH(Z$4,'draws%'!$D$7:$AH$7,FALSE))*Z$129)</f>
        <v>1985.4264705882354</v>
      </c>
      <c r="AA11" s="181">
        <f>IF(ROUND(SUM(AA$5:AA10),2)&gt;=ROUND(AA$129,2),0,INDEX('draws%'!$D$8:$AH$128,$C11+1,MATCH(AA$4,'draws%'!$D$7:$AH$7,FALSE))*AA$129)</f>
        <v>0</v>
      </c>
      <c r="AB11" s="181">
        <f>IF(ROUND(SUM(AB$5:AB10),2)&gt;=ROUND(AB$129,2),0,INDEX('draws%'!$D$8:$AH$128,$C11+1,MATCH(AB$4,'draws%'!$D$7:$AH$7,FALSE))*AB$129)</f>
        <v>3172.1081292681188</v>
      </c>
      <c r="AC11" s="181">
        <f>($C11&gt;=sales!$D$32)*($C11&lt;=sales!$F$32)*sales!$J$41/(sales!$E$32+1)+($C11&gt;=sales!$D$33)*($C11&lt;=sales!$F$33)*sales!$J$42/(sales!$E$33+1)+($C11&gt;=sales!$D$34)*($C11&lt;=sales!$F$34)*sales!$J$43/(sales!$E$34+1)+($C11&gt;=sales!$D$35)*($C11&lt;=sales!$F$35)*sales!$J$44/(sales!$E$35+1)+($C11&gt;=sales!$D$36)*($C11&lt;=sales!$F$36)*sales!$J$45/(sales!$E$36+1)</f>
        <v>0</v>
      </c>
      <c r="AD11" s="181">
        <f>IF(ROUND(SUM(AD$5:AD10),2)&gt;=ROUND(AD$129,2),0,INDEX('draws%'!$D$8:$AH$128,$C11+1,MATCH(AD$4,'draws%'!$D$7:$AH$7,FALSE))*AD$129)</f>
        <v>3260.0258304181157</v>
      </c>
      <c r="AE11" s="181">
        <f>IF(ROUND(SUM(AE$5:AE10),2)&gt;=ROUND(AE$129,2),0,INDEX('draws%'!$D$8:$AH$128,$C11+1,MATCH(AE$4,'draws%'!$D$7:$AH$7,FALSE))*AE$129)</f>
        <v>8333.3333333333321</v>
      </c>
      <c r="AF11" s="188">
        <f>($C11&gt;=sales!$D$32)*($C11&lt;=sales!$F$32)*sales!$D$41/(sales!$E$32+1)+($C11&gt;=sales!$D$33)*($C11&lt;=sales!$F$33)*sales!$D$42/(sales!$E$33+1)+($C11&gt;=sales!$D$34)*($C11&lt;=sales!$F$34)*sales!$D$43/(sales!$E$34+1)+($C11&gt;=sales!$D$35)*($C11&lt;=sales!$F$35)*sales!$D$44/(sales!$E$35+1)+($C11&gt;=sales!$D$36)*($C11&lt;=sales!$F$36)*sales!$D$45/(sales!$E$36+1)</f>
        <v>0</v>
      </c>
      <c r="AG11" s="188">
        <f>($C11&gt;=sales!$D$32)*($C11&lt;=sales!$F$32)*sales!$F$41/(sales!$E$32+1)+($C11&gt;=sales!$D$33)*($C11&lt;=sales!$F$33)*sales!$F$42/(sales!$E$33+1)+($C11&gt;=sales!$D$34)*($C11&lt;=sales!$F$34)*sales!$F$43/(sales!$E$34+1)+($C11&gt;=sales!$D$35)*($C11&lt;=sales!$F$35)*sales!$F$44/(sales!$E$35+1)+($C11&gt;=sales!$D$36)*($C11&lt;=sales!$F$36)*sales!$F$45/(sales!$E$36+1)</f>
        <v>0</v>
      </c>
      <c r="AH11" s="181">
        <f>IF(ROUND(SUM(AH$5:AH10),2)&gt;=ROUND(AH$129,2),0,INDEX('draws%'!$D$8:$AH$128,$C11+1,MATCH(AH$4,'draws%'!$D$7:$AH$7,FALSE))*AH$129)</f>
        <v>0</v>
      </c>
      <c r="AI11" s="181">
        <f>IF(ROUND(SUM(AI$5:AI10),2)&gt;=ROUND(AI$129,2),0,INDEX('draws%'!$D$8:$AH$128,$C11+1,MATCH(AI$4,'draws%'!$D$7:$AH$7,FALSE))*AI$129)</f>
        <v>0</v>
      </c>
      <c r="AJ11" s="181">
        <f>IF(ROUND(SUM(AJ$5:AJ10),2)&gt;=ROUND(AJ$129,2),0,INDEX('draws%'!$D$8:$AH$128,$C11+1,MATCH(AJ$4,'draws%'!$D$7:$AH$7,FALSE))*AJ$129)</f>
        <v>0</v>
      </c>
      <c r="AK11" s="181">
        <f>IF(ROUND(SUM(AK$5:AK10),2)&gt;=ROUND(AK$129,2),0,INDEX('draws%'!$D$8:$AH$128,$C11+1,MATCH(AK$4,'draws%'!$D$7:$AH$7,FALSE))*AK$129)</f>
        <v>0</v>
      </c>
      <c r="AL11" s="189">
        <f t="shared" si="1"/>
        <v>31736.060430274469</v>
      </c>
      <c r="AM11" s="190"/>
      <c r="AN11" s="184" t="str">
        <v>bell</v>
      </c>
      <c r="AO11" s="158"/>
      <c r="AP11" s="158"/>
    </row>
    <row r="12" spans="1:42" s="168" customFormat="1" ht="16">
      <c r="A12" s="1416" t="str">
        <f>IF(MAX(C$5:C11)&gt;=general!$C$27,"post dev",IF(C12&lt;general!$C$23, "Pred", "Dev"))</f>
        <v>Pred</v>
      </c>
      <c r="B12" s="1398"/>
      <c r="C12" s="1388">
        <f>IF('Development Cash Flow'!D11&lt;general!$D$28,'Development Cash Flow'!C11+1,0)</f>
        <v>6</v>
      </c>
      <c r="D12" s="185">
        <f t="shared" si="0"/>
        <v>46446</v>
      </c>
      <c r="E12" s="186">
        <f>($C12&gt;=sales!$D$32)*($C12&lt;=sales!$F$32)*ResUnits/(sales!$E$32+1)</f>
        <v>0</v>
      </c>
      <c r="F12" s="181">
        <f>($C12&gt;=sales!$D$32)*($C12&lt;=sales!$F$32)*sales!$I$18/(sales!$E$32+1)</f>
        <v>0</v>
      </c>
      <c r="G12" s="181">
        <f>($C12&gt;=sales!$D$32)*($C12&lt;=sales!$F$32)*sales!$K$32/(sales!$E$32+1)</f>
        <v>0</v>
      </c>
      <c r="H12" s="187">
        <f>($C12&gt;=sales!$D$33)*($C12&lt;=sales!$F$33)*sales!$K$33/(sales!$E$33+1)</f>
        <v>0</v>
      </c>
      <c r="I12" s="181">
        <f>($C12&gt;=sales!$D$34)*($C12&lt;=sales!$F$34)*sales!$K$34/(sales!$E$34+1)</f>
        <v>0</v>
      </c>
      <c r="J12" s="181">
        <f>($C12&gt;=sales!$D$35)*($C12&lt;=sales!$F$35)*sales!$K$35/(sales!$E$35+1)</f>
        <v>0</v>
      </c>
      <c r="K12" s="189">
        <f>($C12&gt;=sales!$D$36)*($C12&lt;=sales!$F$36)*sales!$K$36*IFERROR(VLOOKUP(C12,sales!$C$50:$D$54,2,FALSE),0)</f>
        <v>0</v>
      </c>
      <c r="L12" s="1398"/>
      <c r="M12" s="1403">
        <f>+G12/$G$4*$M$4*sales!$J$32</f>
        <v>0</v>
      </c>
      <c r="N12" s="1398"/>
      <c r="O12" s="1464">
        <f>IF(ROUND(SUM(O$5:O11),2)&gt;=ROUND(O$129,2),0,INDEX('draws%'!$D$8:$AH$128,$C12+1,MATCH(O$4,'draws%'!$D$7:$AH$7,FALSE))*O$129)</f>
        <v>0</v>
      </c>
      <c r="P12" s="181">
        <f>IF(ROUND(SUM(P$5:P11),2)&gt;=ROUND(P$129,2),0,INDEX('draws%'!$D$8:$AH$128,$C12+1,MATCH(P$4,'draws%'!$D$7:$AH$7,FALSE))*P$129)</f>
        <v>0</v>
      </c>
      <c r="Q12" s="181">
        <f>IF(ROUND(SUM(Q$5:Q11),2)&gt;=ROUND(Q$129,2),0,INDEX('draws%'!$D$8:$AH$128,$C12+1,MATCH(Q$4,'draws%'!$D$7:$AH$7,FALSE))*Q$129)</f>
        <v>12762.944444444443</v>
      </c>
      <c r="R12" s="181">
        <f>IF(ROUND(SUM(R$5:R11),2)&gt;=ROUND(R$129,2),0,INDEX('draws%'!$D$8:$AH$128,$C12+1,MATCH(R$4,'draws%'!$D$7:$AH$7,FALSE))*R$129)</f>
        <v>0</v>
      </c>
      <c r="S12" s="181">
        <f>IF(ROUND(SUM(S$5:S11),2)&gt;=ROUND(S$129,2),0,INDEX('draws%'!$D$8:$AH$128,$C12+1,MATCH(S$4,'draws%'!$D$7:$AH$7,FALSE))*S$129)</f>
        <v>2222.2222222222222</v>
      </c>
      <c r="T12" s="181">
        <f>IF(ROUND(SUM(T$5:T11),2)&gt;=ROUND(T$129,2),0,INDEX('draws%'!$D$8:$AH$128,$C12+1,MATCH(T$4,'draws%'!$D$7:$AH$7,FALSE))*T$129)</f>
        <v>0</v>
      </c>
      <c r="U12" s="181">
        <f>IF(ROUND(SUM(U$5:U11),2)&gt;=ROUND(U$129,2),0,INDEX('draws%'!$D$8:$AH$128,$C12+1,MATCH(U$4,'draws%'!$D$7:$AH$7,FALSE))*U$129)</f>
        <v>0</v>
      </c>
      <c r="V12" s="181">
        <f>IF(ROUND(SUM(V$5:V11),2)&gt;=ROUND(V$129,2),0,INDEX('draws%'!$D$8:$AH$128,$C12+1,MATCH(V$4,'draws%'!$D$7:$AH$7,FALSE))*V$129)</f>
        <v>0</v>
      </c>
      <c r="W12" s="181">
        <f>IF(ROUND(SUM(W$5:W11),2)&gt;=ROUND(W$129,2),0,INDEX('draws%'!$D$8:$AH$128,$C12+1,MATCH(W$4,'draws%'!$D$7:$AH$7,FALSE))*W$129)</f>
        <v>0</v>
      </c>
      <c r="X12" s="181">
        <f>IF(ROUND(SUM(X$5:X11),2)&gt;=ROUND(X$129,2),0,INDEX('draws%'!$D$8:$AH$128,$C12+1,MATCH(X$4,'draws%'!$D$7:$AH$7,FALSE))*X$129)</f>
        <v>0</v>
      </c>
      <c r="Y12" s="181">
        <f>IF(ROUND(SUM(Y$5:Y11),2)&gt;=ROUND(Y$129,2),0,INDEX('draws%'!$D$8:$AH$128,$C12+1,MATCH(Y$4,'draws%'!$D$7:$AH$7,FALSE))*Y$129)</f>
        <v>0</v>
      </c>
      <c r="Z12" s="181">
        <f>IF(ROUND(SUM(Z$5:Z11),2)&gt;=ROUND(Z$129,2),0,INDEX('draws%'!$D$8:$AH$128,$C12+1,MATCH(Z$4,'draws%'!$D$7:$AH$7,FALSE))*Z$129)</f>
        <v>1985.4264705882354</v>
      </c>
      <c r="AA12" s="181">
        <f>IF(ROUND(SUM(AA$5:AA11),2)&gt;=ROUND(AA$129,2),0,INDEX('draws%'!$D$8:$AH$128,$C12+1,MATCH(AA$4,'draws%'!$D$7:$AH$7,FALSE))*AA$129)</f>
        <v>0</v>
      </c>
      <c r="AB12" s="181">
        <f>IF(ROUND(SUM(AB$5:AB11),2)&gt;=ROUND(AB$129,2),0,INDEX('draws%'!$D$8:$AH$128,$C12+1,MATCH(AB$4,'draws%'!$D$7:$AH$7,FALSE))*AB$129)</f>
        <v>3172.1081292681188</v>
      </c>
      <c r="AC12" s="181">
        <f>($C12&gt;=sales!$D$32)*($C12&lt;=sales!$F$32)*sales!$J$41/(sales!$E$32+1)+($C12&gt;=sales!$D$33)*($C12&lt;=sales!$F$33)*sales!$J$42/(sales!$E$33+1)+($C12&gt;=sales!$D$34)*($C12&lt;=sales!$F$34)*sales!$J$43/(sales!$E$34+1)+($C12&gt;=sales!$D$35)*($C12&lt;=sales!$F$35)*sales!$J$44/(sales!$E$35+1)+($C12&gt;=sales!$D$36)*($C12&lt;=sales!$F$36)*sales!$J$45/(sales!$E$36+1)</f>
        <v>0</v>
      </c>
      <c r="AD12" s="181">
        <f>IF(ROUND(SUM(AD$5:AD11),2)&gt;=ROUND(AD$129,2),0,INDEX('draws%'!$D$8:$AH$128,$C12+1,MATCH(AD$4,'draws%'!$D$7:$AH$7,FALSE))*AD$129)</f>
        <v>3260.0258304181157</v>
      </c>
      <c r="AE12" s="181">
        <f>IF(ROUND(SUM(AE$5:AE11),2)&gt;=ROUND(AE$129,2),0,INDEX('draws%'!$D$8:$AH$128,$C12+1,MATCH(AE$4,'draws%'!$D$7:$AH$7,FALSE))*AE$129)</f>
        <v>8333.3333333333321</v>
      </c>
      <c r="AF12" s="188">
        <f>($C12&gt;=sales!$D$32)*($C12&lt;=sales!$F$32)*sales!$D$41/(sales!$E$32+1)+($C12&gt;=sales!$D$33)*($C12&lt;=sales!$F$33)*sales!$D$42/(sales!$E$33+1)+($C12&gt;=sales!$D$34)*($C12&lt;=sales!$F$34)*sales!$D$43/(sales!$E$34+1)+($C12&gt;=sales!$D$35)*($C12&lt;=sales!$F$35)*sales!$D$44/(sales!$E$35+1)+($C12&gt;=sales!$D$36)*($C12&lt;=sales!$F$36)*sales!$D$45/(sales!$E$36+1)</f>
        <v>0</v>
      </c>
      <c r="AG12" s="188">
        <f>($C12&gt;=sales!$D$32)*($C12&lt;=sales!$F$32)*sales!$F$41/(sales!$E$32+1)+($C12&gt;=sales!$D$33)*($C12&lt;=sales!$F$33)*sales!$F$42/(sales!$E$33+1)+($C12&gt;=sales!$D$34)*($C12&lt;=sales!$F$34)*sales!$F$43/(sales!$E$34+1)+($C12&gt;=sales!$D$35)*($C12&lt;=sales!$F$35)*sales!$F$44/(sales!$E$35+1)+($C12&gt;=sales!$D$36)*($C12&lt;=sales!$F$36)*sales!$F$45/(sales!$E$36+1)</f>
        <v>0</v>
      </c>
      <c r="AH12" s="181">
        <f>IF(ROUND(SUM(AH$5:AH11),2)&gt;=ROUND(AH$129,2),0,INDEX('draws%'!$D$8:$AH$128,$C12+1,MATCH(AH$4,'draws%'!$D$7:$AH$7,FALSE))*AH$129)</f>
        <v>0</v>
      </c>
      <c r="AI12" s="181">
        <f>IF(ROUND(SUM(AI$5:AI11),2)&gt;=ROUND(AI$129,2),0,INDEX('draws%'!$D$8:$AH$128,$C12+1,MATCH(AI$4,'draws%'!$D$7:$AH$7,FALSE))*AI$129)</f>
        <v>0</v>
      </c>
      <c r="AJ12" s="181">
        <f>IF(ROUND(SUM(AJ$5:AJ11),2)&gt;=ROUND(AJ$129,2),0,INDEX('draws%'!$D$8:$AH$128,$C12+1,MATCH(AJ$4,'draws%'!$D$7:$AH$7,FALSE))*AJ$129)</f>
        <v>0</v>
      </c>
      <c r="AK12" s="181">
        <f>IF(ROUND(SUM(AK$5:AK11),2)&gt;=ROUND(AK$129,2),0,INDEX('draws%'!$D$8:$AH$128,$C12+1,MATCH(AK$4,'draws%'!$D$7:$AH$7,FALSE))*AK$129)</f>
        <v>0</v>
      </c>
      <c r="AL12" s="189">
        <f t="shared" si="1"/>
        <v>31736.060430274469</v>
      </c>
      <c r="AM12" s="173"/>
      <c r="AN12" s="184" t="str">
        <v>fat bell</v>
      </c>
      <c r="AO12" s="158"/>
      <c r="AP12" s="158"/>
    </row>
    <row r="13" spans="1:42" s="168" customFormat="1" ht="16">
      <c r="A13" s="1416" t="str">
        <f>IF(MAX(C$5:C12)&gt;=general!$C$27,"post dev",IF(C13&lt;general!$C$23, "Pred", "Dev"))</f>
        <v>Pred</v>
      </c>
      <c r="B13" s="1398"/>
      <c r="C13" s="1388">
        <f>IF('Development Cash Flow'!D12&lt;general!$D$28,'Development Cash Flow'!C12+1,0)</f>
        <v>7</v>
      </c>
      <c r="D13" s="185">
        <f t="shared" si="0"/>
        <v>46477</v>
      </c>
      <c r="E13" s="186">
        <f>($C13&gt;=sales!$D$32)*($C13&lt;=sales!$F$32)*ResUnits/(sales!$E$32+1)</f>
        <v>0</v>
      </c>
      <c r="F13" s="181">
        <f>($C13&gt;=sales!$D$32)*($C13&lt;=sales!$F$32)*sales!$I$18/(sales!$E$32+1)</f>
        <v>0</v>
      </c>
      <c r="G13" s="181">
        <f>($C13&gt;=sales!$D$32)*($C13&lt;=sales!$F$32)*sales!$K$32/(sales!$E$32+1)</f>
        <v>0</v>
      </c>
      <c r="H13" s="187">
        <f>($C13&gt;=sales!$D$33)*($C13&lt;=sales!$F$33)*sales!$K$33/(sales!$E$33+1)</f>
        <v>0</v>
      </c>
      <c r="I13" s="181">
        <f>($C13&gt;=sales!$D$34)*($C13&lt;=sales!$F$34)*sales!$K$34/(sales!$E$34+1)</f>
        <v>0</v>
      </c>
      <c r="J13" s="181">
        <f>($C13&gt;=sales!$D$35)*($C13&lt;=sales!$F$35)*sales!$K$35/(sales!$E$35+1)</f>
        <v>0</v>
      </c>
      <c r="K13" s="189">
        <f>($C13&gt;=sales!$D$36)*($C13&lt;=sales!$F$36)*sales!$K$36*IFERROR(VLOOKUP(C13,sales!$C$50:$D$54,2,FALSE),0)</f>
        <v>0</v>
      </c>
      <c r="L13" s="1398"/>
      <c r="M13" s="1403">
        <f>+G13/$G$4*$M$4*sales!$J$32</f>
        <v>0</v>
      </c>
      <c r="N13" s="1398"/>
      <c r="O13" s="1464">
        <f>IF(ROUND(SUM(O$5:O12),2)&gt;=ROUND(O$129,2),0,INDEX('draws%'!$D$8:$AH$128,$C13+1,MATCH(O$4,'draws%'!$D$7:$AH$7,FALSE))*O$129)</f>
        <v>0</v>
      </c>
      <c r="P13" s="181">
        <f>IF(ROUND(SUM(P$5:P12),2)&gt;=ROUND(P$129,2),0,INDEX('draws%'!$D$8:$AH$128,$C13+1,MATCH(P$4,'draws%'!$D$7:$AH$7,FALSE))*P$129)</f>
        <v>0</v>
      </c>
      <c r="Q13" s="181">
        <f>IF(ROUND(SUM(Q$5:Q12),2)&gt;=ROUND(Q$129,2),0,INDEX('draws%'!$D$8:$AH$128,$C13+1,MATCH(Q$4,'draws%'!$D$7:$AH$7,FALSE))*Q$129)</f>
        <v>12762.944444444443</v>
      </c>
      <c r="R13" s="181">
        <f>IF(ROUND(SUM(R$5:R12),2)&gt;=ROUND(R$129,2),0,INDEX('draws%'!$D$8:$AH$128,$C13+1,MATCH(R$4,'draws%'!$D$7:$AH$7,FALSE))*R$129)</f>
        <v>0</v>
      </c>
      <c r="S13" s="181">
        <f>IF(ROUND(SUM(S$5:S12),2)&gt;=ROUND(S$129,2),0,INDEX('draws%'!$D$8:$AH$128,$C13+1,MATCH(S$4,'draws%'!$D$7:$AH$7,FALSE))*S$129)</f>
        <v>2222.2222222222222</v>
      </c>
      <c r="T13" s="181">
        <f>IF(ROUND(SUM(T$5:T12),2)&gt;=ROUND(T$129,2),0,INDEX('draws%'!$D$8:$AH$128,$C13+1,MATCH(T$4,'draws%'!$D$7:$AH$7,FALSE))*T$129)</f>
        <v>0</v>
      </c>
      <c r="U13" s="181">
        <f>IF(ROUND(SUM(U$5:U12),2)&gt;=ROUND(U$129,2),0,INDEX('draws%'!$D$8:$AH$128,$C13+1,MATCH(U$4,'draws%'!$D$7:$AH$7,FALSE))*U$129)</f>
        <v>0</v>
      </c>
      <c r="V13" s="181">
        <f>IF(ROUND(SUM(V$5:V12),2)&gt;=ROUND(V$129,2),0,INDEX('draws%'!$D$8:$AH$128,$C13+1,MATCH(V$4,'draws%'!$D$7:$AH$7,FALSE))*V$129)</f>
        <v>0</v>
      </c>
      <c r="W13" s="181">
        <f>IF(ROUND(SUM(W$5:W12),2)&gt;=ROUND(W$129,2),0,INDEX('draws%'!$D$8:$AH$128,$C13+1,MATCH(W$4,'draws%'!$D$7:$AH$7,FALSE))*W$129)</f>
        <v>0</v>
      </c>
      <c r="X13" s="181">
        <f>IF(ROUND(SUM(X$5:X12),2)&gt;=ROUND(X$129,2),0,INDEX('draws%'!$D$8:$AH$128,$C13+1,MATCH(X$4,'draws%'!$D$7:$AH$7,FALSE))*X$129)</f>
        <v>0</v>
      </c>
      <c r="Y13" s="181">
        <f>IF(ROUND(SUM(Y$5:Y12),2)&gt;=ROUND(Y$129,2),0,INDEX('draws%'!$D$8:$AH$128,$C13+1,MATCH(Y$4,'draws%'!$D$7:$AH$7,FALSE))*Y$129)</f>
        <v>0</v>
      </c>
      <c r="Z13" s="181">
        <f>IF(ROUND(SUM(Z$5:Z12),2)&gt;=ROUND(Z$129,2),0,INDEX('draws%'!$D$8:$AH$128,$C13+1,MATCH(Z$4,'draws%'!$D$7:$AH$7,FALSE))*Z$129)</f>
        <v>1985.4264705882354</v>
      </c>
      <c r="AA13" s="181">
        <f>IF(ROUND(SUM(AA$5:AA12),2)&gt;=ROUND(AA$129,2),0,INDEX('draws%'!$D$8:$AH$128,$C13+1,MATCH(AA$4,'draws%'!$D$7:$AH$7,FALSE))*AA$129)</f>
        <v>0</v>
      </c>
      <c r="AB13" s="181">
        <f>IF(ROUND(SUM(AB$5:AB12),2)&gt;=ROUND(AB$129,2),0,INDEX('draws%'!$D$8:$AH$128,$C13+1,MATCH(AB$4,'draws%'!$D$7:$AH$7,FALSE))*AB$129)</f>
        <v>3172.1081292681188</v>
      </c>
      <c r="AC13" s="181">
        <f>($C13&gt;=sales!$D$32)*($C13&lt;=sales!$F$32)*sales!$J$41/(sales!$E$32+1)+($C13&gt;=sales!$D$33)*($C13&lt;=sales!$F$33)*sales!$J$42/(sales!$E$33+1)+($C13&gt;=sales!$D$34)*($C13&lt;=sales!$F$34)*sales!$J$43/(sales!$E$34+1)+($C13&gt;=sales!$D$35)*($C13&lt;=sales!$F$35)*sales!$J$44/(sales!$E$35+1)+($C13&gt;=sales!$D$36)*($C13&lt;=sales!$F$36)*sales!$J$45/(sales!$E$36+1)</f>
        <v>0</v>
      </c>
      <c r="AD13" s="181">
        <f>IF(ROUND(SUM(AD$5:AD12),2)&gt;=ROUND(AD$129,2),0,INDEX('draws%'!$D$8:$AH$128,$C13+1,MATCH(AD$4,'draws%'!$D$7:$AH$7,FALSE))*AD$129)</f>
        <v>3260.0258304181157</v>
      </c>
      <c r="AE13" s="181">
        <f>IF(ROUND(SUM(AE$5:AE12),2)&gt;=ROUND(AE$129,2),0,INDEX('draws%'!$D$8:$AH$128,$C13+1,MATCH(AE$4,'draws%'!$D$7:$AH$7,FALSE))*AE$129)</f>
        <v>8333.3333333333321</v>
      </c>
      <c r="AF13" s="188">
        <f>($C13&gt;=sales!$D$32)*($C13&lt;=sales!$F$32)*sales!$D$41/(sales!$E$32+1)+($C13&gt;=sales!$D$33)*($C13&lt;=sales!$F$33)*sales!$D$42/(sales!$E$33+1)+($C13&gt;=sales!$D$34)*($C13&lt;=sales!$F$34)*sales!$D$43/(sales!$E$34+1)+($C13&gt;=sales!$D$35)*($C13&lt;=sales!$F$35)*sales!$D$44/(sales!$E$35+1)+($C13&gt;=sales!$D$36)*($C13&lt;=sales!$F$36)*sales!$D$45/(sales!$E$36+1)</f>
        <v>0</v>
      </c>
      <c r="AG13" s="188">
        <f>($C13&gt;=sales!$D$32)*($C13&lt;=sales!$F$32)*sales!$F$41/(sales!$E$32+1)+($C13&gt;=sales!$D$33)*($C13&lt;=sales!$F$33)*sales!$F$42/(sales!$E$33+1)+($C13&gt;=sales!$D$34)*($C13&lt;=sales!$F$34)*sales!$F$43/(sales!$E$34+1)+($C13&gt;=sales!$D$35)*($C13&lt;=sales!$F$35)*sales!$F$44/(sales!$E$35+1)+($C13&gt;=sales!$D$36)*($C13&lt;=sales!$F$36)*sales!$F$45/(sales!$E$36+1)</f>
        <v>0</v>
      </c>
      <c r="AH13" s="181">
        <f>IF(ROUND(SUM(AH$5:AH12),2)&gt;=ROUND(AH$129,2),0,INDEX('draws%'!$D$8:$AH$128,$C13+1,MATCH(AH$4,'draws%'!$D$7:$AH$7,FALSE))*AH$129)</f>
        <v>0</v>
      </c>
      <c r="AI13" s="181">
        <f>IF(ROUND(SUM(AI$5:AI12),2)&gt;=ROUND(AI$129,2),0,INDEX('draws%'!$D$8:$AH$128,$C13+1,MATCH(AI$4,'draws%'!$D$7:$AH$7,FALSE))*AI$129)</f>
        <v>0</v>
      </c>
      <c r="AJ13" s="181">
        <f>IF(ROUND(SUM(AJ$5:AJ12),2)&gt;=ROUND(AJ$129,2),0,INDEX('draws%'!$D$8:$AH$128,$C13+1,MATCH(AJ$4,'draws%'!$D$7:$AH$7,FALSE))*AJ$129)</f>
        <v>0</v>
      </c>
      <c r="AK13" s="181">
        <f>IF(ROUND(SUM(AK$5:AK12),2)&gt;=ROUND(AK$129,2),0,INDEX('draws%'!$D$8:$AH$128,$C13+1,MATCH(AK$4,'draws%'!$D$7:$AH$7,FALSE))*AK$129)</f>
        <v>0</v>
      </c>
      <c r="AL13" s="189">
        <f t="shared" si="1"/>
        <v>31736.060430274469</v>
      </c>
      <c r="AM13" s="173"/>
      <c r="AN13" s="184" t="str">
        <v>50% upfront/ 50% flat</v>
      </c>
      <c r="AO13" s="158"/>
      <c r="AP13" s="158"/>
    </row>
    <row r="14" spans="1:42" s="168" customFormat="1" ht="16">
      <c r="A14" s="1416" t="str">
        <f>IF(MAX(C$5:C13)&gt;=general!$C$27,"post dev",IF(C14&lt;general!$C$23, "Pred", "Dev"))</f>
        <v>Pred</v>
      </c>
      <c r="B14" s="1398"/>
      <c r="C14" s="1388">
        <f>IF('Development Cash Flow'!D13&lt;general!$D$28,'Development Cash Flow'!C13+1,0)</f>
        <v>8</v>
      </c>
      <c r="D14" s="185">
        <f t="shared" si="0"/>
        <v>46507</v>
      </c>
      <c r="E14" s="186">
        <f>($C14&gt;=sales!$D$32)*($C14&lt;=sales!$F$32)*ResUnits/(sales!$E$32+1)</f>
        <v>0</v>
      </c>
      <c r="F14" s="181">
        <f>($C14&gt;=sales!$D$32)*($C14&lt;=sales!$F$32)*sales!$I$18/(sales!$E$32+1)</f>
        <v>0</v>
      </c>
      <c r="G14" s="181">
        <f>($C14&gt;=sales!$D$32)*($C14&lt;=sales!$F$32)*sales!$K$32/(sales!$E$32+1)</f>
        <v>0</v>
      </c>
      <c r="H14" s="187">
        <f>($C14&gt;=sales!$D$33)*($C14&lt;=sales!$F$33)*sales!$K$33/(sales!$E$33+1)</f>
        <v>0</v>
      </c>
      <c r="I14" s="181">
        <f>($C14&gt;=sales!$D$34)*($C14&lt;=sales!$F$34)*sales!$K$34/(sales!$E$34+1)</f>
        <v>0</v>
      </c>
      <c r="J14" s="181">
        <f>($C14&gt;=sales!$D$35)*($C14&lt;=sales!$F$35)*sales!$K$35/(sales!$E$35+1)</f>
        <v>0</v>
      </c>
      <c r="K14" s="189">
        <f>($C14&gt;=sales!$D$36)*($C14&lt;=sales!$F$36)*sales!$K$36*IFERROR(VLOOKUP(C14,sales!$C$50:$D$54,2,FALSE),0)</f>
        <v>0</v>
      </c>
      <c r="L14" s="1398"/>
      <c r="M14" s="1403">
        <f>+G14/$G$4*$M$4*sales!$J$32</f>
        <v>0</v>
      </c>
      <c r="N14" s="1398"/>
      <c r="O14" s="1464">
        <f>IF(ROUND(SUM(O$5:O13),2)&gt;=ROUND(O$129,2),0,INDEX('draws%'!$D$8:$AH$128,$C14+1,MATCH(O$4,'draws%'!$D$7:$AH$7,FALSE))*O$129)</f>
        <v>0</v>
      </c>
      <c r="P14" s="181">
        <f>IF(ROUND(SUM(P$5:P13),2)&gt;=ROUND(P$129,2),0,INDEX('draws%'!$D$8:$AH$128,$C14+1,MATCH(P$4,'draws%'!$D$7:$AH$7,FALSE))*P$129)</f>
        <v>0</v>
      </c>
      <c r="Q14" s="181">
        <f>IF(ROUND(SUM(Q$5:Q13),2)&gt;=ROUND(Q$129,2),0,INDEX('draws%'!$D$8:$AH$128,$C14+1,MATCH(Q$4,'draws%'!$D$7:$AH$7,FALSE))*Q$129)</f>
        <v>12762.944444444443</v>
      </c>
      <c r="R14" s="181">
        <f>IF(ROUND(SUM(R$5:R13),2)&gt;=ROUND(R$129,2),0,INDEX('draws%'!$D$8:$AH$128,$C14+1,MATCH(R$4,'draws%'!$D$7:$AH$7,FALSE))*R$129)</f>
        <v>0</v>
      </c>
      <c r="S14" s="181">
        <f>IF(ROUND(SUM(S$5:S13),2)&gt;=ROUND(S$129,2),0,INDEX('draws%'!$D$8:$AH$128,$C14+1,MATCH(S$4,'draws%'!$D$7:$AH$7,FALSE))*S$129)</f>
        <v>2222.2222222222222</v>
      </c>
      <c r="T14" s="181">
        <f>IF(ROUND(SUM(T$5:T13),2)&gt;=ROUND(T$129,2),0,INDEX('draws%'!$D$8:$AH$128,$C14+1,MATCH(T$4,'draws%'!$D$7:$AH$7,FALSE))*T$129)</f>
        <v>0</v>
      </c>
      <c r="U14" s="181">
        <f>IF(ROUND(SUM(U$5:U13),2)&gt;=ROUND(U$129,2),0,INDEX('draws%'!$D$8:$AH$128,$C14+1,MATCH(U$4,'draws%'!$D$7:$AH$7,FALSE))*U$129)</f>
        <v>0</v>
      </c>
      <c r="V14" s="181">
        <f>IF(ROUND(SUM(V$5:V13),2)&gt;=ROUND(V$129,2),0,INDEX('draws%'!$D$8:$AH$128,$C14+1,MATCH(V$4,'draws%'!$D$7:$AH$7,FALSE))*V$129)</f>
        <v>0</v>
      </c>
      <c r="W14" s="181">
        <f>IF(ROUND(SUM(W$5:W13),2)&gt;=ROUND(W$129,2),0,INDEX('draws%'!$D$8:$AH$128,$C14+1,MATCH(W$4,'draws%'!$D$7:$AH$7,FALSE))*W$129)</f>
        <v>0</v>
      </c>
      <c r="X14" s="181">
        <f>IF(ROUND(SUM(X$5:X13),2)&gt;=ROUND(X$129,2),0,INDEX('draws%'!$D$8:$AH$128,$C14+1,MATCH(X$4,'draws%'!$D$7:$AH$7,FALSE))*X$129)</f>
        <v>0</v>
      </c>
      <c r="Y14" s="181">
        <f>IF(ROUND(SUM(Y$5:Y13),2)&gt;=ROUND(Y$129,2),0,INDEX('draws%'!$D$8:$AH$128,$C14+1,MATCH(Y$4,'draws%'!$D$7:$AH$7,FALSE))*Y$129)</f>
        <v>0</v>
      </c>
      <c r="Z14" s="181">
        <f>IF(ROUND(SUM(Z$5:Z13),2)&gt;=ROUND(Z$129,2),0,INDEX('draws%'!$D$8:$AH$128,$C14+1,MATCH(Z$4,'draws%'!$D$7:$AH$7,FALSE))*Z$129)</f>
        <v>1985.4264705882354</v>
      </c>
      <c r="AA14" s="181">
        <f>IF(ROUND(SUM(AA$5:AA13),2)&gt;=ROUND(AA$129,2),0,INDEX('draws%'!$D$8:$AH$128,$C14+1,MATCH(AA$4,'draws%'!$D$7:$AH$7,FALSE))*AA$129)</f>
        <v>0</v>
      </c>
      <c r="AB14" s="181">
        <f>IF(ROUND(SUM(AB$5:AB13),2)&gt;=ROUND(AB$129,2),0,INDEX('draws%'!$D$8:$AH$128,$C14+1,MATCH(AB$4,'draws%'!$D$7:$AH$7,FALSE))*AB$129)</f>
        <v>3172.1081292681188</v>
      </c>
      <c r="AC14" s="181">
        <f>($C14&gt;=sales!$D$32)*($C14&lt;=sales!$F$32)*sales!$J$41/(sales!$E$32+1)+($C14&gt;=sales!$D$33)*($C14&lt;=sales!$F$33)*sales!$J$42/(sales!$E$33+1)+($C14&gt;=sales!$D$34)*($C14&lt;=sales!$F$34)*sales!$J$43/(sales!$E$34+1)+($C14&gt;=sales!$D$35)*($C14&lt;=sales!$F$35)*sales!$J$44/(sales!$E$35+1)+($C14&gt;=sales!$D$36)*($C14&lt;=sales!$F$36)*sales!$J$45/(sales!$E$36+1)</f>
        <v>0</v>
      </c>
      <c r="AD14" s="181">
        <f>IF(ROUND(SUM(AD$5:AD13),2)&gt;=ROUND(AD$129,2),0,INDEX('draws%'!$D$8:$AH$128,$C14+1,MATCH(AD$4,'draws%'!$D$7:$AH$7,FALSE))*AD$129)</f>
        <v>3260.0258304181157</v>
      </c>
      <c r="AE14" s="181">
        <f>IF(ROUND(SUM(AE$5:AE13),2)&gt;=ROUND(AE$129,2),0,INDEX('draws%'!$D$8:$AH$128,$C14+1,MATCH(AE$4,'draws%'!$D$7:$AH$7,FALSE))*AE$129)</f>
        <v>8333.3333333333321</v>
      </c>
      <c r="AF14" s="188">
        <f>($C14&gt;=sales!$D$32)*($C14&lt;=sales!$F$32)*sales!$D$41/(sales!$E$32+1)+($C14&gt;=sales!$D$33)*($C14&lt;=sales!$F$33)*sales!$D$42/(sales!$E$33+1)+($C14&gt;=sales!$D$34)*($C14&lt;=sales!$F$34)*sales!$D$43/(sales!$E$34+1)+($C14&gt;=sales!$D$35)*($C14&lt;=sales!$F$35)*sales!$D$44/(sales!$E$35+1)+($C14&gt;=sales!$D$36)*($C14&lt;=sales!$F$36)*sales!$D$45/(sales!$E$36+1)</f>
        <v>0</v>
      </c>
      <c r="AG14" s="188">
        <f>($C14&gt;=sales!$D$32)*($C14&lt;=sales!$F$32)*sales!$F$41/(sales!$E$32+1)+($C14&gt;=sales!$D$33)*($C14&lt;=sales!$F$33)*sales!$F$42/(sales!$E$33+1)+($C14&gt;=sales!$D$34)*($C14&lt;=sales!$F$34)*sales!$F$43/(sales!$E$34+1)+($C14&gt;=sales!$D$35)*($C14&lt;=sales!$F$35)*sales!$F$44/(sales!$E$35+1)+($C14&gt;=sales!$D$36)*($C14&lt;=sales!$F$36)*sales!$F$45/(sales!$E$36+1)</f>
        <v>0</v>
      </c>
      <c r="AH14" s="181">
        <f>IF(ROUND(SUM(AH$5:AH13),2)&gt;=ROUND(AH$129,2),0,INDEX('draws%'!$D$8:$AH$128,$C14+1,MATCH(AH$4,'draws%'!$D$7:$AH$7,FALSE))*AH$129)</f>
        <v>0</v>
      </c>
      <c r="AI14" s="181">
        <f>IF(ROUND(SUM(AI$5:AI13),2)&gt;=ROUND(AI$129,2),0,INDEX('draws%'!$D$8:$AH$128,$C14+1,MATCH(AI$4,'draws%'!$D$7:$AH$7,FALSE))*AI$129)</f>
        <v>0</v>
      </c>
      <c r="AJ14" s="181">
        <f>IF(ROUND(SUM(AJ$5:AJ13),2)&gt;=ROUND(AJ$129,2),0,INDEX('draws%'!$D$8:$AH$128,$C14+1,MATCH(AJ$4,'draws%'!$D$7:$AH$7,FALSE))*AJ$129)</f>
        <v>0</v>
      </c>
      <c r="AK14" s="181">
        <f>IF(ROUND(SUM(AK$5:AK13),2)&gt;=ROUND(AK$129,2),0,INDEX('draws%'!$D$8:$AH$128,$C14+1,MATCH(AK$4,'draws%'!$D$7:$AH$7,FALSE))*AK$129)</f>
        <v>0</v>
      </c>
      <c r="AL14" s="189">
        <f t="shared" si="1"/>
        <v>31736.060430274469</v>
      </c>
      <c r="AM14" s="173"/>
      <c r="AN14" s="184" t="str">
        <v>flat0</v>
      </c>
      <c r="AO14" s="158"/>
      <c r="AP14" s="158"/>
    </row>
    <row r="15" spans="1:42" s="168" customFormat="1" ht="16">
      <c r="A15" s="1416" t="str">
        <f>IF(MAX(C$5:C14)&gt;=general!$C$27,"post dev",IF(C15&lt;general!$C$23, "Pred", "Dev"))</f>
        <v>Pred</v>
      </c>
      <c r="B15" s="1398"/>
      <c r="C15" s="1388">
        <f>IF('Development Cash Flow'!D14&lt;general!$D$28,'Development Cash Flow'!C14+1,0)</f>
        <v>9</v>
      </c>
      <c r="D15" s="185">
        <f t="shared" si="0"/>
        <v>46538</v>
      </c>
      <c r="E15" s="186">
        <f>($C15&gt;=sales!$D$32)*($C15&lt;=sales!$F$32)*ResUnits/(sales!$E$32+1)</f>
        <v>0</v>
      </c>
      <c r="F15" s="181">
        <f>($C15&gt;=sales!$D$32)*($C15&lt;=sales!$F$32)*sales!$I$18/(sales!$E$32+1)</f>
        <v>0</v>
      </c>
      <c r="G15" s="181">
        <f>($C15&gt;=sales!$D$32)*($C15&lt;=sales!$F$32)*sales!$K$32/(sales!$E$32+1)</f>
        <v>0</v>
      </c>
      <c r="H15" s="187">
        <f>($C15&gt;=sales!$D$33)*($C15&lt;=sales!$F$33)*sales!$K$33/(sales!$E$33+1)</f>
        <v>0</v>
      </c>
      <c r="I15" s="181">
        <f>($C15&gt;=sales!$D$34)*($C15&lt;=sales!$F$34)*sales!$K$34/(sales!$E$34+1)</f>
        <v>0</v>
      </c>
      <c r="J15" s="181">
        <f>($C15&gt;=sales!$D$35)*($C15&lt;=sales!$F$35)*sales!$K$35/(sales!$E$35+1)</f>
        <v>0</v>
      </c>
      <c r="K15" s="189">
        <f>($C15&gt;=sales!$D$36)*($C15&lt;=sales!$F$36)*sales!$K$36*IFERROR(VLOOKUP(C15,sales!$C$50:$D$54,2,FALSE),0)</f>
        <v>0</v>
      </c>
      <c r="L15" s="1398"/>
      <c r="M15" s="1403">
        <f>+G15/$G$4*$M$4*sales!$J$32</f>
        <v>0</v>
      </c>
      <c r="N15" s="1398"/>
      <c r="O15" s="1464">
        <f>IF(ROUND(SUM(O$5:O14),2)&gt;=ROUND(O$129,2),0,INDEX('draws%'!$D$8:$AH$128,$C15+1,MATCH(O$4,'draws%'!$D$7:$AH$7,FALSE))*O$129)</f>
        <v>0</v>
      </c>
      <c r="P15" s="181">
        <f>IF(ROUND(SUM(P$5:P14),2)&gt;=ROUND(P$129,2),0,INDEX('draws%'!$D$8:$AH$128,$C15+1,MATCH(P$4,'draws%'!$D$7:$AH$7,FALSE))*P$129)</f>
        <v>0</v>
      </c>
      <c r="Q15" s="181">
        <f>IF(ROUND(SUM(Q$5:Q14),2)&gt;=ROUND(Q$129,2),0,INDEX('draws%'!$D$8:$AH$128,$C15+1,MATCH(Q$4,'draws%'!$D$7:$AH$7,FALSE))*Q$129)</f>
        <v>12762.944444444443</v>
      </c>
      <c r="R15" s="181">
        <f>IF(ROUND(SUM(R$5:R14),2)&gt;=ROUND(R$129,2),0,INDEX('draws%'!$D$8:$AH$128,$C15+1,MATCH(R$4,'draws%'!$D$7:$AH$7,FALSE))*R$129)</f>
        <v>0</v>
      </c>
      <c r="S15" s="181">
        <f>IF(ROUND(SUM(S$5:S14),2)&gt;=ROUND(S$129,2),0,INDEX('draws%'!$D$8:$AH$128,$C15+1,MATCH(S$4,'draws%'!$D$7:$AH$7,FALSE))*S$129)</f>
        <v>2222.2222222222222</v>
      </c>
      <c r="T15" s="181">
        <f>IF(ROUND(SUM(T$5:T14),2)&gt;=ROUND(T$129,2),0,INDEX('draws%'!$D$8:$AH$128,$C15+1,MATCH(T$4,'draws%'!$D$7:$AH$7,FALSE))*T$129)</f>
        <v>0</v>
      </c>
      <c r="U15" s="181">
        <f>IF(ROUND(SUM(U$5:U14),2)&gt;=ROUND(U$129,2),0,INDEX('draws%'!$D$8:$AH$128,$C15+1,MATCH(U$4,'draws%'!$D$7:$AH$7,FALSE))*U$129)</f>
        <v>0</v>
      </c>
      <c r="V15" s="181">
        <f>IF(ROUND(SUM(V$5:V14),2)&gt;=ROUND(V$129,2),0,INDEX('draws%'!$D$8:$AH$128,$C15+1,MATCH(V$4,'draws%'!$D$7:$AH$7,FALSE))*V$129)</f>
        <v>0</v>
      </c>
      <c r="W15" s="181">
        <f>IF(ROUND(SUM(W$5:W14),2)&gt;=ROUND(W$129,2),0,INDEX('draws%'!$D$8:$AH$128,$C15+1,MATCH(W$4,'draws%'!$D$7:$AH$7,FALSE))*W$129)</f>
        <v>0</v>
      </c>
      <c r="X15" s="181">
        <f>IF(ROUND(SUM(X$5:X14),2)&gt;=ROUND(X$129,2),0,INDEX('draws%'!$D$8:$AH$128,$C15+1,MATCH(X$4,'draws%'!$D$7:$AH$7,FALSE))*X$129)</f>
        <v>0</v>
      </c>
      <c r="Y15" s="181">
        <f>IF(ROUND(SUM(Y$5:Y14),2)&gt;=ROUND(Y$129,2),0,INDEX('draws%'!$D$8:$AH$128,$C15+1,MATCH(Y$4,'draws%'!$D$7:$AH$7,FALSE))*Y$129)</f>
        <v>0</v>
      </c>
      <c r="Z15" s="181">
        <f>IF(ROUND(SUM(Z$5:Z14),2)&gt;=ROUND(Z$129,2),0,INDEX('draws%'!$D$8:$AH$128,$C15+1,MATCH(Z$4,'draws%'!$D$7:$AH$7,FALSE))*Z$129)</f>
        <v>1985.4264705882354</v>
      </c>
      <c r="AA15" s="181">
        <f>IF(ROUND(SUM(AA$5:AA14),2)&gt;=ROUND(AA$129,2),0,INDEX('draws%'!$D$8:$AH$128,$C15+1,MATCH(AA$4,'draws%'!$D$7:$AH$7,FALSE))*AA$129)</f>
        <v>0</v>
      </c>
      <c r="AB15" s="181">
        <f>IF(ROUND(SUM(AB$5:AB14),2)&gt;=ROUND(AB$129,2),0,INDEX('draws%'!$D$8:$AH$128,$C15+1,MATCH(AB$4,'draws%'!$D$7:$AH$7,FALSE))*AB$129)</f>
        <v>3172.1081292681188</v>
      </c>
      <c r="AC15" s="181">
        <f>($C15&gt;=sales!$D$32)*($C15&lt;=sales!$F$32)*sales!$J$41/(sales!$E$32+1)+($C15&gt;=sales!$D$33)*($C15&lt;=sales!$F$33)*sales!$J$42/(sales!$E$33+1)+($C15&gt;=sales!$D$34)*($C15&lt;=sales!$F$34)*sales!$J$43/(sales!$E$34+1)+($C15&gt;=sales!$D$35)*($C15&lt;=sales!$F$35)*sales!$J$44/(sales!$E$35+1)+($C15&gt;=sales!$D$36)*($C15&lt;=sales!$F$36)*sales!$J$45/(sales!$E$36+1)</f>
        <v>0</v>
      </c>
      <c r="AD15" s="181">
        <f>IF(ROUND(SUM(AD$5:AD14),2)&gt;=ROUND(AD$129,2),0,INDEX('draws%'!$D$8:$AH$128,$C15+1,MATCH(AD$4,'draws%'!$D$7:$AH$7,FALSE))*AD$129)</f>
        <v>3260.0258304181157</v>
      </c>
      <c r="AE15" s="181">
        <f>IF(ROUND(SUM(AE$5:AE14),2)&gt;=ROUND(AE$129,2),0,INDEX('draws%'!$D$8:$AH$128,$C15+1,MATCH(AE$4,'draws%'!$D$7:$AH$7,FALSE))*AE$129)</f>
        <v>8333.3333333333321</v>
      </c>
      <c r="AF15" s="188">
        <f>($C15&gt;=sales!$D$32)*($C15&lt;=sales!$F$32)*sales!$D$41/(sales!$E$32+1)+($C15&gt;=sales!$D$33)*($C15&lt;=sales!$F$33)*sales!$D$42/(sales!$E$33+1)+($C15&gt;=sales!$D$34)*($C15&lt;=sales!$F$34)*sales!$D$43/(sales!$E$34+1)+($C15&gt;=sales!$D$35)*($C15&lt;=sales!$F$35)*sales!$D$44/(sales!$E$35+1)+($C15&gt;=sales!$D$36)*($C15&lt;=sales!$F$36)*sales!$D$45/(sales!$E$36+1)</f>
        <v>0</v>
      </c>
      <c r="AG15" s="188">
        <f>($C15&gt;=sales!$D$32)*($C15&lt;=sales!$F$32)*sales!$F$41/(sales!$E$32+1)+($C15&gt;=sales!$D$33)*($C15&lt;=sales!$F$33)*sales!$F$42/(sales!$E$33+1)+($C15&gt;=sales!$D$34)*($C15&lt;=sales!$F$34)*sales!$F$43/(sales!$E$34+1)+($C15&gt;=sales!$D$35)*($C15&lt;=sales!$F$35)*sales!$F$44/(sales!$E$35+1)+($C15&gt;=sales!$D$36)*($C15&lt;=sales!$F$36)*sales!$F$45/(sales!$E$36+1)</f>
        <v>0</v>
      </c>
      <c r="AH15" s="181">
        <f>IF(ROUND(SUM(AH$5:AH14),2)&gt;=ROUND(AH$129,2),0,INDEX('draws%'!$D$8:$AH$128,$C15+1,MATCH(AH$4,'draws%'!$D$7:$AH$7,FALSE))*AH$129)</f>
        <v>0</v>
      </c>
      <c r="AI15" s="181">
        <f>IF(ROUND(SUM(AI$5:AI14),2)&gt;=ROUND(AI$129,2),0,INDEX('draws%'!$D$8:$AH$128,$C15+1,MATCH(AI$4,'draws%'!$D$7:$AH$7,FALSE))*AI$129)</f>
        <v>0</v>
      </c>
      <c r="AJ15" s="181">
        <f>IF(ROUND(SUM(AJ$5:AJ14),2)&gt;=ROUND(AJ$129,2),0,INDEX('draws%'!$D$8:$AH$128,$C15+1,MATCH(AJ$4,'draws%'!$D$7:$AH$7,FALSE))*AJ$129)</f>
        <v>0</v>
      </c>
      <c r="AK15" s="181">
        <f>IF(ROUND(SUM(AK$5:AK14),2)&gt;=ROUND(AK$129,2),0,INDEX('draws%'!$D$8:$AH$128,$C15+1,MATCH(AK$4,'draws%'!$D$7:$AH$7,FALSE))*AK$129)</f>
        <v>0</v>
      </c>
      <c r="AL15" s="189">
        <f t="shared" si="1"/>
        <v>31736.060430274469</v>
      </c>
      <c r="AM15" s="173"/>
      <c r="AN15" s="184" t="str">
        <v>flat2</v>
      </c>
      <c r="AO15" s="158"/>
      <c r="AP15" s="158"/>
    </row>
    <row r="16" spans="1:42" s="168" customFormat="1" ht="16">
      <c r="A16" s="1416" t="str">
        <f>IF(MAX(C$5:C15)&gt;=general!$C$27,"post dev",IF(C16&lt;general!$C$23, "Pred", "Dev"))</f>
        <v>Pred</v>
      </c>
      <c r="B16" s="1398"/>
      <c r="C16" s="1388">
        <f>IF('Development Cash Flow'!D15&lt;general!$D$28,'Development Cash Flow'!C15+1,0)</f>
        <v>10</v>
      </c>
      <c r="D16" s="185">
        <f t="shared" si="0"/>
        <v>46568</v>
      </c>
      <c r="E16" s="186">
        <f>($C16&gt;=sales!$D$32)*($C16&lt;=sales!$F$32)*ResUnits/(sales!$E$32+1)</f>
        <v>0</v>
      </c>
      <c r="F16" s="181">
        <f>($C16&gt;=sales!$D$32)*($C16&lt;=sales!$F$32)*sales!$I$18/(sales!$E$32+1)</f>
        <v>0</v>
      </c>
      <c r="G16" s="181">
        <f>($C16&gt;=sales!$D$32)*($C16&lt;=sales!$F$32)*sales!$K$32/(sales!$E$32+1)</f>
        <v>0</v>
      </c>
      <c r="H16" s="187">
        <f>($C16&gt;=sales!$D$33)*($C16&lt;=sales!$F$33)*sales!$K$33/(sales!$E$33+1)</f>
        <v>0</v>
      </c>
      <c r="I16" s="181">
        <f>($C16&gt;=sales!$D$34)*($C16&lt;=sales!$F$34)*sales!$K$34/(sales!$E$34+1)</f>
        <v>0</v>
      </c>
      <c r="J16" s="181">
        <f>($C16&gt;=sales!$D$35)*($C16&lt;=sales!$F$35)*sales!$K$35/(sales!$E$35+1)</f>
        <v>0</v>
      </c>
      <c r="K16" s="189">
        <f>($C16&gt;=sales!$D$36)*($C16&lt;=sales!$F$36)*sales!$K$36*IFERROR(VLOOKUP(C16,sales!$C$50:$D$54,2,FALSE),0)</f>
        <v>0</v>
      </c>
      <c r="L16" s="1398"/>
      <c r="M16" s="1403">
        <f>+G16/$G$4*$M$4*sales!$J$32</f>
        <v>0</v>
      </c>
      <c r="N16" s="1398"/>
      <c r="O16" s="1464">
        <f>IF(ROUND(SUM(O$5:O15),2)&gt;=ROUND(O$129,2),0,INDEX('draws%'!$D$8:$AH$128,$C16+1,MATCH(O$4,'draws%'!$D$7:$AH$7,FALSE))*O$129)</f>
        <v>0</v>
      </c>
      <c r="P16" s="181">
        <f>IF(ROUND(SUM(P$5:P15),2)&gt;=ROUND(P$129,2),0,INDEX('draws%'!$D$8:$AH$128,$C16+1,MATCH(P$4,'draws%'!$D$7:$AH$7,FALSE))*P$129)</f>
        <v>0</v>
      </c>
      <c r="Q16" s="181">
        <f>IF(ROUND(SUM(Q$5:Q15),2)&gt;=ROUND(Q$129,2),0,INDEX('draws%'!$D$8:$AH$128,$C16+1,MATCH(Q$4,'draws%'!$D$7:$AH$7,FALSE))*Q$129)</f>
        <v>12762.944444444443</v>
      </c>
      <c r="R16" s="181">
        <f>IF(ROUND(SUM(R$5:R15),2)&gt;=ROUND(R$129,2),0,INDEX('draws%'!$D$8:$AH$128,$C16+1,MATCH(R$4,'draws%'!$D$7:$AH$7,FALSE))*R$129)</f>
        <v>0</v>
      </c>
      <c r="S16" s="181">
        <f>IF(ROUND(SUM(S$5:S15),2)&gt;=ROUND(S$129,2),0,INDEX('draws%'!$D$8:$AH$128,$C16+1,MATCH(S$4,'draws%'!$D$7:$AH$7,FALSE))*S$129)</f>
        <v>2222.2222222222222</v>
      </c>
      <c r="T16" s="181">
        <f>IF(ROUND(SUM(T$5:T15),2)&gt;=ROUND(T$129,2),0,INDEX('draws%'!$D$8:$AH$128,$C16+1,MATCH(T$4,'draws%'!$D$7:$AH$7,FALSE))*T$129)</f>
        <v>0</v>
      </c>
      <c r="U16" s="181">
        <f>IF(ROUND(SUM(U$5:U15),2)&gt;=ROUND(U$129,2),0,INDEX('draws%'!$D$8:$AH$128,$C16+1,MATCH(U$4,'draws%'!$D$7:$AH$7,FALSE))*U$129)</f>
        <v>0</v>
      </c>
      <c r="V16" s="181">
        <f>IF(ROUND(SUM(V$5:V15),2)&gt;=ROUND(V$129,2),0,INDEX('draws%'!$D$8:$AH$128,$C16+1,MATCH(V$4,'draws%'!$D$7:$AH$7,FALSE))*V$129)</f>
        <v>0</v>
      </c>
      <c r="W16" s="181">
        <f>IF(ROUND(SUM(W$5:W15),2)&gt;=ROUND(W$129,2),0,INDEX('draws%'!$D$8:$AH$128,$C16+1,MATCH(W$4,'draws%'!$D$7:$AH$7,FALSE))*W$129)</f>
        <v>0</v>
      </c>
      <c r="X16" s="181">
        <f>IF(ROUND(SUM(X$5:X15),2)&gt;=ROUND(X$129,2),0,INDEX('draws%'!$D$8:$AH$128,$C16+1,MATCH(X$4,'draws%'!$D$7:$AH$7,FALSE))*X$129)</f>
        <v>0</v>
      </c>
      <c r="Y16" s="181">
        <f>IF(ROUND(SUM(Y$5:Y15),2)&gt;=ROUND(Y$129,2),0,INDEX('draws%'!$D$8:$AH$128,$C16+1,MATCH(Y$4,'draws%'!$D$7:$AH$7,FALSE))*Y$129)</f>
        <v>0</v>
      </c>
      <c r="Z16" s="181">
        <f>IF(ROUND(SUM(Z$5:Z15),2)&gt;=ROUND(Z$129,2),0,INDEX('draws%'!$D$8:$AH$128,$C16+1,MATCH(Z$4,'draws%'!$D$7:$AH$7,FALSE))*Z$129)</f>
        <v>1985.4264705882354</v>
      </c>
      <c r="AA16" s="181">
        <f>IF(ROUND(SUM(AA$5:AA15),2)&gt;=ROUND(AA$129,2),0,INDEX('draws%'!$D$8:$AH$128,$C16+1,MATCH(AA$4,'draws%'!$D$7:$AH$7,FALSE))*AA$129)</f>
        <v>0</v>
      </c>
      <c r="AB16" s="181">
        <f>IF(ROUND(SUM(AB$5:AB15),2)&gt;=ROUND(AB$129,2),0,INDEX('draws%'!$D$8:$AH$128,$C16+1,MATCH(AB$4,'draws%'!$D$7:$AH$7,FALSE))*AB$129)</f>
        <v>3172.1081292681188</v>
      </c>
      <c r="AC16" s="181">
        <f>($C16&gt;=sales!$D$32)*($C16&lt;=sales!$F$32)*sales!$J$41/(sales!$E$32+1)+($C16&gt;=sales!$D$33)*($C16&lt;=sales!$F$33)*sales!$J$42/(sales!$E$33+1)+($C16&gt;=sales!$D$34)*($C16&lt;=sales!$F$34)*sales!$J$43/(sales!$E$34+1)+($C16&gt;=sales!$D$35)*($C16&lt;=sales!$F$35)*sales!$J$44/(sales!$E$35+1)+($C16&gt;=sales!$D$36)*($C16&lt;=sales!$F$36)*sales!$J$45/(sales!$E$36+1)</f>
        <v>0</v>
      </c>
      <c r="AD16" s="181">
        <f>IF(ROUND(SUM(AD$5:AD15),2)&gt;=ROUND(AD$129,2),0,INDEX('draws%'!$D$8:$AH$128,$C16+1,MATCH(AD$4,'draws%'!$D$7:$AH$7,FALSE))*AD$129)</f>
        <v>3260.0258304181157</v>
      </c>
      <c r="AE16" s="181">
        <f>IF(ROUND(SUM(AE$5:AE15),2)&gt;=ROUND(AE$129,2),0,INDEX('draws%'!$D$8:$AH$128,$C16+1,MATCH(AE$4,'draws%'!$D$7:$AH$7,FALSE))*AE$129)</f>
        <v>8333.3333333333321</v>
      </c>
      <c r="AF16" s="188">
        <f>($C16&gt;=sales!$D$32)*($C16&lt;=sales!$F$32)*sales!$D$41/(sales!$E$32+1)+($C16&gt;=sales!$D$33)*($C16&lt;=sales!$F$33)*sales!$D$42/(sales!$E$33+1)+($C16&gt;=sales!$D$34)*($C16&lt;=sales!$F$34)*sales!$D$43/(sales!$E$34+1)+($C16&gt;=sales!$D$35)*($C16&lt;=sales!$F$35)*sales!$D$44/(sales!$E$35+1)+($C16&gt;=sales!$D$36)*($C16&lt;=sales!$F$36)*sales!$D$45/(sales!$E$36+1)</f>
        <v>0</v>
      </c>
      <c r="AG16" s="188">
        <f>($C16&gt;=sales!$D$32)*($C16&lt;=sales!$F$32)*sales!$F$41/(sales!$E$32+1)+($C16&gt;=sales!$D$33)*($C16&lt;=sales!$F$33)*sales!$F$42/(sales!$E$33+1)+($C16&gt;=sales!$D$34)*($C16&lt;=sales!$F$34)*sales!$F$43/(sales!$E$34+1)+($C16&gt;=sales!$D$35)*($C16&lt;=sales!$F$35)*sales!$F$44/(sales!$E$35+1)+($C16&gt;=sales!$D$36)*($C16&lt;=sales!$F$36)*sales!$F$45/(sales!$E$36+1)</f>
        <v>0</v>
      </c>
      <c r="AH16" s="181">
        <f>IF(ROUND(SUM(AH$5:AH15),2)&gt;=ROUND(AH$129,2),0,INDEX('draws%'!$D$8:$AH$128,$C16+1,MATCH(AH$4,'draws%'!$D$7:$AH$7,FALSE))*AH$129)</f>
        <v>0</v>
      </c>
      <c r="AI16" s="181">
        <f>IF(ROUND(SUM(AI$5:AI15),2)&gt;=ROUND(AI$129,2),0,INDEX('draws%'!$D$8:$AH$128,$C16+1,MATCH(AI$4,'draws%'!$D$7:$AH$7,FALSE))*AI$129)</f>
        <v>0</v>
      </c>
      <c r="AJ16" s="181">
        <f>IF(ROUND(SUM(AJ$5:AJ15),2)&gt;=ROUND(AJ$129,2),0,INDEX('draws%'!$D$8:$AH$128,$C16+1,MATCH(AJ$4,'draws%'!$D$7:$AH$7,FALSE))*AJ$129)</f>
        <v>0</v>
      </c>
      <c r="AK16" s="181">
        <f>IF(ROUND(SUM(AK$5:AK15),2)&gt;=ROUND(AK$129,2),0,INDEX('draws%'!$D$8:$AH$128,$C16+1,MATCH(AK$4,'draws%'!$D$7:$AH$7,FALSE))*AK$129)</f>
        <v>0</v>
      </c>
      <c r="AL16" s="189">
        <f t="shared" si="1"/>
        <v>31736.060430274469</v>
      </c>
      <c r="AM16" s="173"/>
      <c r="AN16" s="184" t="str">
        <v>triangle</v>
      </c>
      <c r="AO16" s="158"/>
      <c r="AP16" s="158"/>
    </row>
    <row r="17" spans="1:42" ht="16">
      <c r="A17" s="1416" t="str">
        <f>IF(MAX(C$5:C16)&gt;=general!$C$27,"post dev",IF(C17&lt;general!$C$23, "Pred", "Dev"))</f>
        <v>Pred</v>
      </c>
      <c r="B17" s="1398"/>
      <c r="C17" s="1388">
        <f>IF('Development Cash Flow'!D16&lt;general!$D$28,'Development Cash Flow'!C16+1,0)</f>
        <v>11</v>
      </c>
      <c r="D17" s="185">
        <f t="shared" si="0"/>
        <v>46599</v>
      </c>
      <c r="E17" s="186">
        <f>($C17&gt;=sales!$D$32)*($C17&lt;=sales!$F$32)*ResUnits/(sales!$E$32+1)</f>
        <v>0</v>
      </c>
      <c r="F17" s="181">
        <f>($C17&gt;=sales!$D$32)*($C17&lt;=sales!$F$32)*sales!$I$18/(sales!$E$32+1)</f>
        <v>0</v>
      </c>
      <c r="G17" s="181">
        <f>($C17&gt;=sales!$D$32)*($C17&lt;=sales!$F$32)*sales!$K$32/(sales!$E$32+1)</f>
        <v>0</v>
      </c>
      <c r="H17" s="187">
        <f>($C17&gt;=sales!$D$33)*($C17&lt;=sales!$F$33)*sales!$K$33/(sales!$E$33+1)</f>
        <v>0</v>
      </c>
      <c r="I17" s="181">
        <f>($C17&gt;=sales!$D$34)*($C17&lt;=sales!$F$34)*sales!$K$34/(sales!$E$34+1)</f>
        <v>0</v>
      </c>
      <c r="J17" s="181">
        <f>($C17&gt;=sales!$D$35)*($C17&lt;=sales!$F$35)*sales!$K$35/(sales!$E$35+1)</f>
        <v>0</v>
      </c>
      <c r="K17" s="189">
        <f>($C17&gt;=sales!$D$36)*($C17&lt;=sales!$F$36)*sales!$K$36*IFERROR(VLOOKUP(C17,sales!$C$50:$D$54,2,FALSE),0)</f>
        <v>0</v>
      </c>
      <c r="L17" s="1398"/>
      <c r="M17" s="1403">
        <f>+G17/$G$4*$M$4*sales!$J$32</f>
        <v>0</v>
      </c>
      <c r="N17" s="1398"/>
      <c r="O17" s="1464">
        <f>IF(ROUND(SUM(O$5:O16),2)&gt;=ROUND(O$129,2),0,INDEX('draws%'!$D$8:$AH$128,$C17+1,MATCH(O$4,'draws%'!$D$7:$AH$7,FALSE))*O$129)</f>
        <v>0</v>
      </c>
      <c r="P17" s="181">
        <f>IF(ROUND(SUM(P$5:P16),2)&gt;=ROUND(P$129,2),0,INDEX('draws%'!$D$8:$AH$128,$C17+1,MATCH(P$4,'draws%'!$D$7:$AH$7,FALSE))*P$129)</f>
        <v>0</v>
      </c>
      <c r="Q17" s="181">
        <f>IF(ROUND(SUM(Q$5:Q16),2)&gt;=ROUND(Q$129,2),0,INDEX('draws%'!$D$8:$AH$128,$C17+1,MATCH(Q$4,'draws%'!$D$7:$AH$7,FALSE))*Q$129)</f>
        <v>12762.944444444443</v>
      </c>
      <c r="R17" s="181">
        <f>IF(ROUND(SUM(R$5:R16),2)&gt;=ROUND(R$129,2),0,INDEX('draws%'!$D$8:$AH$128,$C17+1,MATCH(R$4,'draws%'!$D$7:$AH$7,FALSE))*R$129)</f>
        <v>0</v>
      </c>
      <c r="S17" s="181">
        <f>IF(ROUND(SUM(S$5:S16),2)&gt;=ROUND(S$129,2),0,INDEX('draws%'!$D$8:$AH$128,$C17+1,MATCH(S$4,'draws%'!$D$7:$AH$7,FALSE))*S$129)</f>
        <v>2222.2222222222222</v>
      </c>
      <c r="T17" s="181">
        <f>IF(ROUND(SUM(T$5:T16),2)&gt;=ROUND(T$129,2),0,INDEX('draws%'!$D$8:$AH$128,$C17+1,MATCH(T$4,'draws%'!$D$7:$AH$7,FALSE))*T$129)</f>
        <v>0</v>
      </c>
      <c r="U17" s="181">
        <f>IF(ROUND(SUM(U$5:U16),2)&gt;=ROUND(U$129,2),0,INDEX('draws%'!$D$8:$AH$128,$C17+1,MATCH(U$4,'draws%'!$D$7:$AH$7,FALSE))*U$129)</f>
        <v>0</v>
      </c>
      <c r="V17" s="181">
        <f>IF(ROUND(SUM(V$5:V16),2)&gt;=ROUND(V$129,2),0,INDEX('draws%'!$D$8:$AH$128,$C17+1,MATCH(V$4,'draws%'!$D$7:$AH$7,FALSE))*V$129)</f>
        <v>0</v>
      </c>
      <c r="W17" s="181">
        <f>IF(ROUND(SUM(W$5:W16),2)&gt;=ROUND(W$129,2),0,INDEX('draws%'!$D$8:$AH$128,$C17+1,MATCH(W$4,'draws%'!$D$7:$AH$7,FALSE))*W$129)</f>
        <v>0</v>
      </c>
      <c r="X17" s="181">
        <f>IF(ROUND(SUM(X$5:X16),2)&gt;=ROUND(X$129,2),0,INDEX('draws%'!$D$8:$AH$128,$C17+1,MATCH(X$4,'draws%'!$D$7:$AH$7,FALSE))*X$129)</f>
        <v>0</v>
      </c>
      <c r="Y17" s="181">
        <f>IF(ROUND(SUM(Y$5:Y16),2)&gt;=ROUND(Y$129,2),0,INDEX('draws%'!$D$8:$AH$128,$C17+1,MATCH(Y$4,'draws%'!$D$7:$AH$7,FALSE))*Y$129)</f>
        <v>0</v>
      </c>
      <c r="Z17" s="181">
        <f>IF(ROUND(SUM(Z$5:Z16),2)&gt;=ROUND(Z$129,2),0,INDEX('draws%'!$D$8:$AH$128,$C17+1,MATCH(Z$4,'draws%'!$D$7:$AH$7,FALSE))*Z$129)</f>
        <v>1985.4264705882354</v>
      </c>
      <c r="AA17" s="181">
        <f>IF(ROUND(SUM(AA$5:AA16),2)&gt;=ROUND(AA$129,2),0,INDEX('draws%'!$D$8:$AH$128,$C17+1,MATCH(AA$4,'draws%'!$D$7:$AH$7,FALSE))*AA$129)</f>
        <v>0</v>
      </c>
      <c r="AB17" s="181">
        <f>IF(ROUND(SUM(AB$5:AB16),2)&gt;=ROUND(AB$129,2),0,INDEX('draws%'!$D$8:$AH$128,$C17+1,MATCH(AB$4,'draws%'!$D$7:$AH$7,FALSE))*AB$129)</f>
        <v>3172.1081292681188</v>
      </c>
      <c r="AC17" s="181">
        <f>($C17&gt;=sales!$D$32)*($C17&lt;=sales!$F$32)*sales!$J$41/(sales!$E$32+1)+($C17&gt;=sales!$D$33)*($C17&lt;=sales!$F$33)*sales!$J$42/(sales!$E$33+1)+($C17&gt;=sales!$D$34)*($C17&lt;=sales!$F$34)*sales!$J$43/(sales!$E$34+1)+($C17&gt;=sales!$D$35)*($C17&lt;=sales!$F$35)*sales!$J$44/(sales!$E$35+1)+($C17&gt;=sales!$D$36)*($C17&lt;=sales!$F$36)*sales!$J$45/(sales!$E$36+1)</f>
        <v>0</v>
      </c>
      <c r="AD17" s="181">
        <f>IF(ROUND(SUM(AD$5:AD16),2)&gt;=ROUND(AD$129,2),0,INDEX('draws%'!$D$8:$AH$128,$C17+1,MATCH(AD$4,'draws%'!$D$7:$AH$7,FALSE))*AD$129)</f>
        <v>3260.0258304181157</v>
      </c>
      <c r="AE17" s="181">
        <f>IF(ROUND(SUM(AE$5:AE16),2)&gt;=ROUND(AE$129,2),0,INDEX('draws%'!$D$8:$AH$128,$C17+1,MATCH(AE$4,'draws%'!$D$7:$AH$7,FALSE))*AE$129)</f>
        <v>8333.3333333333321</v>
      </c>
      <c r="AF17" s="188">
        <f>($C17&gt;=sales!$D$32)*($C17&lt;=sales!$F$32)*sales!$D$41/(sales!$E$32+1)+($C17&gt;=sales!$D$33)*($C17&lt;=sales!$F$33)*sales!$D$42/(sales!$E$33+1)+($C17&gt;=sales!$D$34)*($C17&lt;=sales!$F$34)*sales!$D$43/(sales!$E$34+1)+($C17&gt;=sales!$D$35)*($C17&lt;=sales!$F$35)*sales!$D$44/(sales!$E$35+1)+($C17&gt;=sales!$D$36)*($C17&lt;=sales!$F$36)*sales!$D$45/(sales!$E$36+1)</f>
        <v>0</v>
      </c>
      <c r="AG17" s="188">
        <f>($C17&gt;=sales!$D$32)*($C17&lt;=sales!$F$32)*sales!$F$41/(sales!$E$32+1)+($C17&gt;=sales!$D$33)*($C17&lt;=sales!$F$33)*sales!$F$42/(sales!$E$33+1)+($C17&gt;=sales!$D$34)*($C17&lt;=sales!$F$34)*sales!$F$43/(sales!$E$34+1)+($C17&gt;=sales!$D$35)*($C17&lt;=sales!$F$35)*sales!$F$44/(sales!$E$35+1)+($C17&gt;=sales!$D$36)*($C17&lt;=sales!$F$36)*sales!$F$45/(sales!$E$36+1)</f>
        <v>0</v>
      </c>
      <c r="AH17" s="181">
        <f>IF(ROUND(SUM(AH$5:AH16),2)&gt;=ROUND(AH$129,2),0,INDEX('draws%'!$D$8:$AH$128,$C17+1,MATCH(AH$4,'draws%'!$D$7:$AH$7,FALSE))*AH$129)</f>
        <v>0</v>
      </c>
      <c r="AI17" s="181">
        <f>IF(ROUND(SUM(AI$5:AI16),2)&gt;=ROUND(AI$129,2),0,INDEX('draws%'!$D$8:$AH$128,$C17+1,MATCH(AI$4,'draws%'!$D$7:$AH$7,FALSE))*AI$129)</f>
        <v>0</v>
      </c>
      <c r="AJ17" s="181">
        <f>IF(ROUND(SUM(AJ$5:AJ16),2)&gt;=ROUND(AJ$129,2),0,INDEX('draws%'!$D$8:$AH$128,$C17+1,MATCH(AJ$4,'draws%'!$D$7:$AH$7,FALSE))*AJ$129)</f>
        <v>0</v>
      </c>
      <c r="AK17" s="181">
        <f>IF(ROUND(SUM(AK$5:AK16),2)&gt;=ROUND(AK$129,2),0,INDEX('draws%'!$D$8:$AH$128,$C17+1,MATCH(AK$4,'draws%'!$D$7:$AH$7,FALSE))*AK$129)</f>
        <v>0</v>
      </c>
      <c r="AL17" s="189">
        <f t="shared" si="1"/>
        <v>31736.060430274469</v>
      </c>
      <c r="AM17" s="173"/>
      <c r="AN17" s="184" t="str">
        <v>1st six months</v>
      </c>
    </row>
    <row r="18" spans="1:42" s="168" customFormat="1" ht="16">
      <c r="A18" s="1416" t="str">
        <f>IF(MAX(C$5:C17)&gt;=general!$C$27,"post dev",IF(C18&lt;general!$C$23, "Pred", "Dev"))</f>
        <v>Pred</v>
      </c>
      <c r="B18" s="1398"/>
      <c r="C18" s="1388">
        <f>IF('Development Cash Flow'!D17&lt;general!$D$28,'Development Cash Flow'!C17+1,0)</f>
        <v>12</v>
      </c>
      <c r="D18" s="185">
        <f t="shared" si="0"/>
        <v>46630</v>
      </c>
      <c r="E18" s="186">
        <f>($C18&gt;=sales!$D$32)*($C18&lt;=sales!$F$32)*ResUnits/(sales!$E$32+1)</f>
        <v>0</v>
      </c>
      <c r="F18" s="181">
        <f>($C18&gt;=sales!$D$32)*($C18&lt;=sales!$F$32)*sales!$I$18/(sales!$E$32+1)</f>
        <v>0</v>
      </c>
      <c r="G18" s="181">
        <f>($C18&gt;=sales!$D$32)*($C18&lt;=sales!$F$32)*sales!$K$32/(sales!$E$32+1)</f>
        <v>0</v>
      </c>
      <c r="H18" s="187">
        <f>($C18&gt;=sales!$D$33)*($C18&lt;=sales!$F$33)*sales!$K$33/(sales!$E$33+1)</f>
        <v>0</v>
      </c>
      <c r="I18" s="181">
        <f>($C18&gt;=sales!$D$34)*($C18&lt;=sales!$F$34)*sales!$K$34/(sales!$E$34+1)</f>
        <v>0</v>
      </c>
      <c r="J18" s="181">
        <f>($C18&gt;=sales!$D$35)*($C18&lt;=sales!$F$35)*sales!$K$35/(sales!$E$35+1)</f>
        <v>0</v>
      </c>
      <c r="K18" s="189">
        <f>($C18&gt;=sales!$D$36)*($C18&lt;=sales!$F$36)*sales!$K$36*IFERROR(VLOOKUP(C18,sales!$C$50:$D$54,2,FALSE),0)</f>
        <v>0</v>
      </c>
      <c r="L18" s="1398"/>
      <c r="M18" s="1403">
        <f>+G18/$G$4*$M$4*sales!$J$32</f>
        <v>0</v>
      </c>
      <c r="N18" s="1398"/>
      <c r="O18" s="1464">
        <f>IF(ROUND(SUM(O$5:O17),2)&gt;=ROUND(O$129,2),0,INDEX('draws%'!$D$8:$AH$128,$C18+1,MATCH(O$4,'draws%'!$D$7:$AH$7,FALSE))*O$129)</f>
        <v>0</v>
      </c>
      <c r="P18" s="181">
        <f>IF(ROUND(SUM(P$5:P17),2)&gt;=ROUND(P$129,2),0,INDEX('draws%'!$D$8:$AH$128,$C18+1,MATCH(P$4,'draws%'!$D$7:$AH$7,FALSE))*P$129)</f>
        <v>0</v>
      </c>
      <c r="Q18" s="181">
        <f>IF(ROUND(SUM(Q$5:Q17),2)&gt;=ROUND(Q$129,2),0,INDEX('draws%'!$D$8:$AH$128,$C18+1,MATCH(Q$4,'draws%'!$D$7:$AH$7,FALSE))*Q$129)</f>
        <v>12762.944444444443</v>
      </c>
      <c r="R18" s="181">
        <f>IF(ROUND(SUM(R$5:R17),2)&gt;=ROUND(R$129,2),0,INDEX('draws%'!$D$8:$AH$128,$C18+1,MATCH(R$4,'draws%'!$D$7:$AH$7,FALSE))*R$129)</f>
        <v>0</v>
      </c>
      <c r="S18" s="181">
        <f>IF(ROUND(SUM(S$5:S17),2)&gt;=ROUND(S$129,2),0,INDEX('draws%'!$D$8:$AH$128,$C18+1,MATCH(S$4,'draws%'!$D$7:$AH$7,FALSE))*S$129)</f>
        <v>2222.2222222222222</v>
      </c>
      <c r="T18" s="181">
        <f>IF(ROUND(SUM(T$5:T17),2)&gt;=ROUND(T$129,2),0,INDEX('draws%'!$D$8:$AH$128,$C18+1,MATCH(T$4,'draws%'!$D$7:$AH$7,FALSE))*T$129)</f>
        <v>0</v>
      </c>
      <c r="U18" s="181">
        <f>IF(ROUND(SUM(U$5:U17),2)&gt;=ROUND(U$129,2),0,INDEX('draws%'!$D$8:$AH$128,$C18+1,MATCH(U$4,'draws%'!$D$7:$AH$7,FALSE))*U$129)</f>
        <v>0</v>
      </c>
      <c r="V18" s="181">
        <f>IF(ROUND(SUM(V$5:V17),2)&gt;=ROUND(V$129,2),0,INDEX('draws%'!$D$8:$AH$128,$C18+1,MATCH(V$4,'draws%'!$D$7:$AH$7,FALSE))*V$129)</f>
        <v>0</v>
      </c>
      <c r="W18" s="181">
        <f>IF(ROUND(SUM(W$5:W17),2)&gt;=ROUND(W$129,2),0,INDEX('draws%'!$D$8:$AH$128,$C18+1,MATCH(W$4,'draws%'!$D$7:$AH$7,FALSE))*W$129)</f>
        <v>0</v>
      </c>
      <c r="X18" s="181">
        <f>IF(ROUND(SUM(X$5:X17),2)&gt;=ROUND(X$129,2),0,INDEX('draws%'!$D$8:$AH$128,$C18+1,MATCH(X$4,'draws%'!$D$7:$AH$7,FALSE))*X$129)</f>
        <v>0</v>
      </c>
      <c r="Y18" s="181">
        <f>IF(ROUND(SUM(Y$5:Y17),2)&gt;=ROUND(Y$129,2),0,INDEX('draws%'!$D$8:$AH$128,$C18+1,MATCH(Y$4,'draws%'!$D$7:$AH$7,FALSE))*Y$129)</f>
        <v>0</v>
      </c>
      <c r="Z18" s="181">
        <f>IF(ROUND(SUM(Z$5:Z17),2)&gt;=ROUND(Z$129,2),0,INDEX('draws%'!$D$8:$AH$128,$C18+1,MATCH(Z$4,'draws%'!$D$7:$AH$7,FALSE))*Z$129)</f>
        <v>1985.4264705882354</v>
      </c>
      <c r="AA18" s="181">
        <f>IF(ROUND(SUM(AA$5:AA17),2)&gt;=ROUND(AA$129,2),0,INDEX('draws%'!$D$8:$AH$128,$C18+1,MATCH(AA$4,'draws%'!$D$7:$AH$7,FALSE))*AA$129)</f>
        <v>0</v>
      </c>
      <c r="AB18" s="181">
        <f>IF(ROUND(SUM(AB$5:AB17),2)&gt;=ROUND(AB$129,2),0,INDEX('draws%'!$D$8:$AH$128,$C18+1,MATCH(AB$4,'draws%'!$D$7:$AH$7,FALSE))*AB$129)</f>
        <v>3172.1081292681188</v>
      </c>
      <c r="AC18" s="181">
        <f>($C18&gt;=sales!$D$32)*($C18&lt;=sales!$F$32)*sales!$J$41/(sales!$E$32+1)+($C18&gt;=sales!$D$33)*($C18&lt;=sales!$F$33)*sales!$J$42/(sales!$E$33+1)+($C18&gt;=sales!$D$34)*($C18&lt;=sales!$F$34)*sales!$J$43/(sales!$E$34+1)+($C18&gt;=sales!$D$35)*($C18&lt;=sales!$F$35)*sales!$J$44/(sales!$E$35+1)+($C18&gt;=sales!$D$36)*($C18&lt;=sales!$F$36)*sales!$J$45/(sales!$E$36+1)</f>
        <v>0</v>
      </c>
      <c r="AD18" s="181">
        <f>IF(ROUND(SUM(AD$5:AD17),2)&gt;=ROUND(AD$129,2),0,INDEX('draws%'!$D$8:$AH$128,$C18+1,MATCH(AD$4,'draws%'!$D$7:$AH$7,FALSE))*AD$129)</f>
        <v>3260.0258304181157</v>
      </c>
      <c r="AE18" s="181">
        <f>IF(ROUND(SUM(AE$5:AE17),2)&gt;=ROUND(AE$129,2),0,INDEX('draws%'!$D$8:$AH$128,$C18+1,MATCH(AE$4,'draws%'!$D$7:$AH$7,FALSE))*AE$129)</f>
        <v>8333.3333333333321</v>
      </c>
      <c r="AF18" s="188">
        <f>($C18&gt;=sales!$D$32)*($C18&lt;=sales!$F$32)*sales!$D$41/(sales!$E$32+1)+($C18&gt;=sales!$D$33)*($C18&lt;=sales!$F$33)*sales!$D$42/(sales!$E$33+1)+($C18&gt;=sales!$D$34)*($C18&lt;=sales!$F$34)*sales!$D$43/(sales!$E$34+1)+($C18&gt;=sales!$D$35)*($C18&lt;=sales!$F$35)*sales!$D$44/(sales!$E$35+1)+($C18&gt;=sales!$D$36)*($C18&lt;=sales!$F$36)*sales!$D$45/(sales!$E$36+1)</f>
        <v>0</v>
      </c>
      <c r="AG18" s="188">
        <f>($C18&gt;=sales!$D$32)*($C18&lt;=sales!$F$32)*sales!$F$41/(sales!$E$32+1)+($C18&gt;=sales!$D$33)*($C18&lt;=sales!$F$33)*sales!$F$42/(sales!$E$33+1)+($C18&gt;=sales!$D$34)*($C18&lt;=sales!$F$34)*sales!$F$43/(sales!$E$34+1)+($C18&gt;=sales!$D$35)*($C18&lt;=sales!$F$35)*sales!$F$44/(sales!$E$35+1)+($C18&gt;=sales!$D$36)*($C18&lt;=sales!$F$36)*sales!$F$45/(sales!$E$36+1)</f>
        <v>0</v>
      </c>
      <c r="AH18" s="181">
        <f>IF(ROUND(SUM(AH$5:AH17),2)&gt;=ROUND(AH$129,2),0,INDEX('draws%'!$D$8:$AH$128,$C18+1,MATCH(AH$4,'draws%'!$D$7:$AH$7,FALSE))*AH$129)</f>
        <v>0</v>
      </c>
      <c r="AI18" s="181">
        <f>IF(ROUND(SUM(AI$5:AI17),2)&gt;=ROUND(AI$129,2),0,INDEX('draws%'!$D$8:$AH$128,$C18+1,MATCH(AI$4,'draws%'!$D$7:$AH$7,FALSE))*AI$129)</f>
        <v>0</v>
      </c>
      <c r="AJ18" s="181">
        <f>IF(ROUND(SUM(AJ$5:AJ17),2)&gt;=ROUND(AJ$129,2),0,INDEX('draws%'!$D$8:$AH$128,$C18+1,MATCH(AJ$4,'draws%'!$D$7:$AH$7,FALSE))*AJ$129)</f>
        <v>0</v>
      </c>
      <c r="AK18" s="181">
        <f>IF(ROUND(SUM(AK$5:AK17),2)&gt;=ROUND(AK$129,2),0,INDEX('draws%'!$D$8:$AH$128,$C18+1,MATCH(AK$4,'draws%'!$D$7:$AH$7,FALSE))*AK$129)</f>
        <v>0</v>
      </c>
      <c r="AL18" s="189">
        <f t="shared" si="1"/>
        <v>31736.060430274469</v>
      </c>
      <c r="AM18" s="173"/>
      <c r="AN18" s="184" t="str">
        <v>last six months</v>
      </c>
      <c r="AO18" s="158"/>
      <c r="AP18" s="158"/>
    </row>
    <row r="19" spans="1:42" ht="16">
      <c r="A19" s="1416" t="str">
        <f>IF(MAX(C$5:C18)&gt;=general!$C$27,"post dev",IF(C19&lt;general!$C$23, "Pred", "Dev"))</f>
        <v>Pred</v>
      </c>
      <c r="B19" s="1398"/>
      <c r="C19" s="1388">
        <f>IF('Development Cash Flow'!D18&lt;general!$D$28,'Development Cash Flow'!C18+1,0)</f>
        <v>13</v>
      </c>
      <c r="D19" s="185">
        <f t="shared" si="0"/>
        <v>46660</v>
      </c>
      <c r="E19" s="186">
        <f>($C19&gt;=sales!$D$32)*($C19&lt;=sales!$F$32)*ResUnits/(sales!$E$32+1)</f>
        <v>0</v>
      </c>
      <c r="F19" s="181">
        <f>($C19&gt;=sales!$D$32)*($C19&lt;=sales!$F$32)*sales!$I$18/(sales!$E$32+1)</f>
        <v>0</v>
      </c>
      <c r="G19" s="181">
        <f>($C19&gt;=sales!$D$32)*($C19&lt;=sales!$F$32)*sales!$K$32/(sales!$E$32+1)</f>
        <v>0</v>
      </c>
      <c r="H19" s="187">
        <f>($C19&gt;=sales!$D$33)*($C19&lt;=sales!$F$33)*sales!$K$33/(sales!$E$33+1)</f>
        <v>0</v>
      </c>
      <c r="I19" s="181">
        <f>($C19&gt;=sales!$D$34)*($C19&lt;=sales!$F$34)*sales!$K$34/(sales!$E$34+1)</f>
        <v>0</v>
      </c>
      <c r="J19" s="181">
        <f>($C19&gt;=sales!$D$35)*($C19&lt;=sales!$F$35)*sales!$K$35/(sales!$E$35+1)</f>
        <v>0</v>
      </c>
      <c r="K19" s="189">
        <f>($C19&gt;=sales!$D$36)*($C19&lt;=sales!$F$36)*sales!$K$36*IFERROR(VLOOKUP(C19,sales!$C$50:$D$54,2,FALSE),0)</f>
        <v>0</v>
      </c>
      <c r="L19" s="1398"/>
      <c r="M19" s="1403">
        <f>+G19/$G$4*$M$4*sales!$J$32</f>
        <v>0</v>
      </c>
      <c r="N19" s="1398"/>
      <c r="O19" s="1464">
        <f>IF(ROUND(SUM(O$5:O18),2)&gt;=ROUND(O$129,2),0,INDEX('draws%'!$D$8:$AH$128,$C19+1,MATCH(O$4,'draws%'!$D$7:$AH$7,FALSE))*O$129)</f>
        <v>0</v>
      </c>
      <c r="P19" s="181">
        <f>IF(ROUND(SUM(P$5:P18),2)&gt;=ROUND(P$129,2),0,INDEX('draws%'!$D$8:$AH$128,$C19+1,MATCH(P$4,'draws%'!$D$7:$AH$7,FALSE))*P$129)</f>
        <v>0</v>
      </c>
      <c r="Q19" s="181">
        <f>IF(ROUND(SUM(Q$5:Q18),2)&gt;=ROUND(Q$129,2),0,INDEX('draws%'!$D$8:$AH$128,$C19+1,MATCH(Q$4,'draws%'!$D$7:$AH$7,FALSE))*Q$129)</f>
        <v>12762.944444444443</v>
      </c>
      <c r="R19" s="181">
        <f>IF(ROUND(SUM(R$5:R18),2)&gt;=ROUND(R$129,2),0,INDEX('draws%'!$D$8:$AH$128,$C19+1,MATCH(R$4,'draws%'!$D$7:$AH$7,FALSE))*R$129)</f>
        <v>0</v>
      </c>
      <c r="S19" s="181">
        <f>IF(ROUND(SUM(S$5:S18),2)&gt;=ROUND(S$129,2),0,INDEX('draws%'!$D$8:$AH$128,$C19+1,MATCH(S$4,'draws%'!$D$7:$AH$7,FALSE))*S$129)</f>
        <v>2222.2222222222222</v>
      </c>
      <c r="T19" s="181">
        <f>IF(ROUND(SUM(T$5:T18),2)&gt;=ROUND(T$129,2),0,INDEX('draws%'!$D$8:$AH$128,$C19+1,MATCH(T$4,'draws%'!$D$7:$AH$7,FALSE))*T$129)</f>
        <v>0</v>
      </c>
      <c r="U19" s="181">
        <f>IF(ROUND(SUM(U$5:U18),2)&gt;=ROUND(U$129,2),0,INDEX('draws%'!$D$8:$AH$128,$C19+1,MATCH(U$4,'draws%'!$D$7:$AH$7,FALSE))*U$129)</f>
        <v>0</v>
      </c>
      <c r="V19" s="181">
        <f>IF(ROUND(SUM(V$5:V18),2)&gt;=ROUND(V$129,2),0,INDEX('draws%'!$D$8:$AH$128,$C19+1,MATCH(V$4,'draws%'!$D$7:$AH$7,FALSE))*V$129)</f>
        <v>0</v>
      </c>
      <c r="W19" s="181">
        <f>IF(ROUND(SUM(W$5:W18),2)&gt;=ROUND(W$129,2),0,INDEX('draws%'!$D$8:$AH$128,$C19+1,MATCH(W$4,'draws%'!$D$7:$AH$7,FALSE))*W$129)</f>
        <v>0</v>
      </c>
      <c r="X19" s="181">
        <f>IF(ROUND(SUM(X$5:X18),2)&gt;=ROUND(X$129,2),0,INDEX('draws%'!$D$8:$AH$128,$C19+1,MATCH(X$4,'draws%'!$D$7:$AH$7,FALSE))*X$129)</f>
        <v>0</v>
      </c>
      <c r="Y19" s="181">
        <f>IF(ROUND(SUM(Y$5:Y18),2)&gt;=ROUND(Y$129,2),0,INDEX('draws%'!$D$8:$AH$128,$C19+1,MATCH(Y$4,'draws%'!$D$7:$AH$7,FALSE))*Y$129)</f>
        <v>0</v>
      </c>
      <c r="Z19" s="181">
        <f>IF(ROUND(SUM(Z$5:Z18),2)&gt;=ROUND(Z$129,2),0,INDEX('draws%'!$D$8:$AH$128,$C19+1,MATCH(Z$4,'draws%'!$D$7:$AH$7,FALSE))*Z$129)</f>
        <v>1985.4264705882354</v>
      </c>
      <c r="AA19" s="181">
        <f>IF(ROUND(SUM(AA$5:AA18),2)&gt;=ROUND(AA$129,2),0,INDEX('draws%'!$D$8:$AH$128,$C19+1,MATCH(AA$4,'draws%'!$D$7:$AH$7,FALSE))*AA$129)</f>
        <v>0</v>
      </c>
      <c r="AB19" s="181">
        <f>IF(ROUND(SUM(AB$5:AB18),2)&gt;=ROUND(AB$129,2),0,INDEX('draws%'!$D$8:$AH$128,$C19+1,MATCH(AB$4,'draws%'!$D$7:$AH$7,FALSE))*AB$129)</f>
        <v>3172.1081292681188</v>
      </c>
      <c r="AC19" s="181">
        <f>($C19&gt;=sales!$D$32)*($C19&lt;=sales!$F$32)*sales!$J$41/(sales!$E$32+1)+($C19&gt;=sales!$D$33)*($C19&lt;=sales!$F$33)*sales!$J$42/(sales!$E$33+1)+($C19&gt;=sales!$D$34)*($C19&lt;=sales!$F$34)*sales!$J$43/(sales!$E$34+1)+($C19&gt;=sales!$D$35)*($C19&lt;=sales!$F$35)*sales!$J$44/(sales!$E$35+1)+($C19&gt;=sales!$D$36)*($C19&lt;=sales!$F$36)*sales!$J$45/(sales!$E$36+1)</f>
        <v>0</v>
      </c>
      <c r="AD19" s="181">
        <f>IF(ROUND(SUM(AD$5:AD18),2)&gt;=ROUND(AD$129,2),0,INDEX('draws%'!$D$8:$AH$128,$C19+1,MATCH(AD$4,'draws%'!$D$7:$AH$7,FALSE))*AD$129)</f>
        <v>3260.0258304181157</v>
      </c>
      <c r="AE19" s="181">
        <f>IF(ROUND(SUM(AE$5:AE18),2)&gt;=ROUND(AE$129,2),0,INDEX('draws%'!$D$8:$AH$128,$C19+1,MATCH(AE$4,'draws%'!$D$7:$AH$7,FALSE))*AE$129)</f>
        <v>8333.3333333333321</v>
      </c>
      <c r="AF19" s="188">
        <f>($C19&gt;=sales!$D$32)*($C19&lt;=sales!$F$32)*sales!$D$41/(sales!$E$32+1)+($C19&gt;=sales!$D$33)*($C19&lt;=sales!$F$33)*sales!$D$42/(sales!$E$33+1)+($C19&gt;=sales!$D$34)*($C19&lt;=sales!$F$34)*sales!$D$43/(sales!$E$34+1)+($C19&gt;=sales!$D$35)*($C19&lt;=sales!$F$35)*sales!$D$44/(sales!$E$35+1)+($C19&gt;=sales!$D$36)*($C19&lt;=sales!$F$36)*sales!$D$45/(sales!$E$36+1)</f>
        <v>0</v>
      </c>
      <c r="AG19" s="188">
        <f>($C19&gt;=sales!$D$32)*($C19&lt;=sales!$F$32)*sales!$F$41/(sales!$E$32+1)+($C19&gt;=sales!$D$33)*($C19&lt;=sales!$F$33)*sales!$F$42/(sales!$E$33+1)+($C19&gt;=sales!$D$34)*($C19&lt;=sales!$F$34)*sales!$F$43/(sales!$E$34+1)+($C19&gt;=sales!$D$35)*($C19&lt;=sales!$F$35)*sales!$F$44/(sales!$E$35+1)+($C19&gt;=sales!$D$36)*($C19&lt;=sales!$F$36)*sales!$F$45/(sales!$E$36+1)</f>
        <v>0</v>
      </c>
      <c r="AH19" s="181">
        <f>IF(ROUND(SUM(AH$5:AH18),2)&gt;=ROUND(AH$129,2),0,INDEX('draws%'!$D$8:$AH$128,$C19+1,MATCH(AH$4,'draws%'!$D$7:$AH$7,FALSE))*AH$129)</f>
        <v>0</v>
      </c>
      <c r="AI19" s="181">
        <f>IF(ROUND(SUM(AI$5:AI18),2)&gt;=ROUND(AI$129,2),0,INDEX('draws%'!$D$8:$AH$128,$C19+1,MATCH(AI$4,'draws%'!$D$7:$AH$7,FALSE))*AI$129)</f>
        <v>0</v>
      </c>
      <c r="AJ19" s="181">
        <f>IF(ROUND(SUM(AJ$5:AJ18),2)&gt;=ROUND(AJ$129,2),0,INDEX('draws%'!$D$8:$AH$128,$C19+1,MATCH(AJ$4,'draws%'!$D$7:$AH$7,FALSE))*AJ$129)</f>
        <v>0</v>
      </c>
      <c r="AK19" s="181">
        <f>IF(ROUND(SUM(AK$5:AK18),2)&gt;=ROUND(AK$129,2),0,INDEX('draws%'!$D$8:$AH$128,$C19+1,MATCH(AK$4,'draws%'!$D$7:$AH$7,FALSE))*AK$129)</f>
        <v>0</v>
      </c>
      <c r="AL19" s="189">
        <f t="shared" si="1"/>
        <v>31736.060430274469</v>
      </c>
      <c r="AM19" s="173"/>
      <c r="AN19" s="184" t="str">
        <v>Sales Admin</v>
      </c>
    </row>
    <row r="20" spans="1:42" ht="16">
      <c r="A20" s="1416" t="str">
        <f>IF(MAX(C$5:C19)&gt;=general!$C$27,"post dev",IF(C20&lt;general!$C$23, "Pred", "Dev"))</f>
        <v>Pred</v>
      </c>
      <c r="B20" s="1398"/>
      <c r="C20" s="1388">
        <f>IF('Development Cash Flow'!D19&lt;general!$D$28,'Development Cash Flow'!C19+1,0)</f>
        <v>14</v>
      </c>
      <c r="D20" s="185">
        <f t="shared" si="0"/>
        <v>46691</v>
      </c>
      <c r="E20" s="186">
        <f>($C20&gt;=sales!$D$32)*($C20&lt;=sales!$F$32)*ResUnits/(sales!$E$32+1)</f>
        <v>0</v>
      </c>
      <c r="F20" s="181">
        <f>($C20&gt;=sales!$D$32)*($C20&lt;=sales!$F$32)*sales!$I$18/(sales!$E$32+1)</f>
        <v>0</v>
      </c>
      <c r="G20" s="181">
        <f>($C20&gt;=sales!$D$32)*($C20&lt;=sales!$F$32)*sales!$K$32/(sales!$E$32+1)</f>
        <v>0</v>
      </c>
      <c r="H20" s="187">
        <f>($C20&gt;=sales!$D$33)*($C20&lt;=sales!$F$33)*sales!$K$33/(sales!$E$33+1)</f>
        <v>0</v>
      </c>
      <c r="I20" s="181">
        <f>($C20&gt;=sales!$D$34)*($C20&lt;=sales!$F$34)*sales!$K$34/(sales!$E$34+1)</f>
        <v>0</v>
      </c>
      <c r="J20" s="181">
        <f>($C20&gt;=sales!$D$35)*($C20&lt;=sales!$F$35)*sales!$K$35/(sales!$E$35+1)</f>
        <v>0</v>
      </c>
      <c r="K20" s="189">
        <f>($C20&gt;=sales!$D$36)*($C20&lt;=sales!$F$36)*sales!$K$36*IFERROR(VLOOKUP(C20,sales!$C$50:$D$54,2,FALSE),0)</f>
        <v>0</v>
      </c>
      <c r="L20" s="1398"/>
      <c r="M20" s="1403">
        <f>+G20/$G$4*$M$4*sales!$J$32</f>
        <v>0</v>
      </c>
      <c r="N20" s="1398"/>
      <c r="O20" s="1464">
        <f>IF(ROUND(SUM(O$5:O19),2)&gt;=ROUND(O$129,2),0,INDEX('draws%'!$D$8:$AH$128,$C20+1,MATCH(O$4,'draws%'!$D$7:$AH$7,FALSE))*O$129)</f>
        <v>0</v>
      </c>
      <c r="P20" s="181">
        <f>IF(ROUND(SUM(P$5:P19),2)&gt;=ROUND(P$129,2),0,INDEX('draws%'!$D$8:$AH$128,$C20+1,MATCH(P$4,'draws%'!$D$7:$AH$7,FALSE))*P$129)</f>
        <v>0</v>
      </c>
      <c r="Q20" s="181">
        <f>IF(ROUND(SUM(Q$5:Q19),2)&gt;=ROUND(Q$129,2),0,INDEX('draws%'!$D$8:$AH$128,$C20+1,MATCH(Q$4,'draws%'!$D$7:$AH$7,FALSE))*Q$129)</f>
        <v>12762.944444444443</v>
      </c>
      <c r="R20" s="181">
        <f>IF(ROUND(SUM(R$5:R19),2)&gt;=ROUND(R$129,2),0,INDEX('draws%'!$D$8:$AH$128,$C20+1,MATCH(R$4,'draws%'!$D$7:$AH$7,FALSE))*R$129)</f>
        <v>0</v>
      </c>
      <c r="S20" s="181">
        <f>IF(ROUND(SUM(S$5:S19),2)&gt;=ROUND(S$129,2),0,INDEX('draws%'!$D$8:$AH$128,$C20+1,MATCH(S$4,'draws%'!$D$7:$AH$7,FALSE))*S$129)</f>
        <v>2222.2222222222222</v>
      </c>
      <c r="T20" s="181">
        <f>IF(ROUND(SUM(T$5:T19),2)&gt;=ROUND(T$129,2),0,INDEX('draws%'!$D$8:$AH$128,$C20+1,MATCH(T$4,'draws%'!$D$7:$AH$7,FALSE))*T$129)</f>
        <v>0</v>
      </c>
      <c r="U20" s="181">
        <f>IF(ROUND(SUM(U$5:U19),2)&gt;=ROUND(U$129,2),0,INDEX('draws%'!$D$8:$AH$128,$C20+1,MATCH(U$4,'draws%'!$D$7:$AH$7,FALSE))*U$129)</f>
        <v>0</v>
      </c>
      <c r="V20" s="181">
        <f>IF(ROUND(SUM(V$5:V19),2)&gt;=ROUND(V$129,2),0,INDEX('draws%'!$D$8:$AH$128,$C20+1,MATCH(V$4,'draws%'!$D$7:$AH$7,FALSE))*V$129)</f>
        <v>0</v>
      </c>
      <c r="W20" s="181">
        <f>IF(ROUND(SUM(W$5:W19),2)&gt;=ROUND(W$129,2),0,INDEX('draws%'!$D$8:$AH$128,$C20+1,MATCH(W$4,'draws%'!$D$7:$AH$7,FALSE))*W$129)</f>
        <v>0</v>
      </c>
      <c r="X20" s="181">
        <f>IF(ROUND(SUM(X$5:X19),2)&gt;=ROUND(X$129,2),0,INDEX('draws%'!$D$8:$AH$128,$C20+1,MATCH(X$4,'draws%'!$D$7:$AH$7,FALSE))*X$129)</f>
        <v>0</v>
      </c>
      <c r="Y20" s="181">
        <f>IF(ROUND(SUM(Y$5:Y19),2)&gt;=ROUND(Y$129,2),0,INDEX('draws%'!$D$8:$AH$128,$C20+1,MATCH(Y$4,'draws%'!$D$7:$AH$7,FALSE))*Y$129)</f>
        <v>0</v>
      </c>
      <c r="Z20" s="181">
        <f>IF(ROUND(SUM(Z$5:Z19),2)&gt;=ROUND(Z$129,2),0,INDEX('draws%'!$D$8:$AH$128,$C20+1,MATCH(Z$4,'draws%'!$D$7:$AH$7,FALSE))*Z$129)</f>
        <v>1985.4264705882354</v>
      </c>
      <c r="AA20" s="181">
        <f>IF(ROUND(SUM(AA$5:AA19),2)&gt;=ROUND(AA$129,2),0,INDEX('draws%'!$D$8:$AH$128,$C20+1,MATCH(AA$4,'draws%'!$D$7:$AH$7,FALSE))*AA$129)</f>
        <v>0</v>
      </c>
      <c r="AB20" s="181">
        <f>IF(ROUND(SUM(AB$5:AB19),2)&gt;=ROUND(AB$129,2),0,INDEX('draws%'!$D$8:$AH$128,$C20+1,MATCH(AB$4,'draws%'!$D$7:$AH$7,FALSE))*AB$129)</f>
        <v>3172.1081292681188</v>
      </c>
      <c r="AC20" s="181">
        <f>($C20&gt;=sales!$D$32)*($C20&lt;=sales!$F$32)*sales!$J$41/(sales!$E$32+1)+($C20&gt;=sales!$D$33)*($C20&lt;=sales!$F$33)*sales!$J$42/(sales!$E$33+1)+($C20&gt;=sales!$D$34)*($C20&lt;=sales!$F$34)*sales!$J$43/(sales!$E$34+1)+($C20&gt;=sales!$D$35)*($C20&lt;=sales!$F$35)*sales!$J$44/(sales!$E$35+1)+($C20&gt;=sales!$D$36)*($C20&lt;=sales!$F$36)*sales!$J$45/(sales!$E$36+1)</f>
        <v>0</v>
      </c>
      <c r="AD20" s="181">
        <f>IF(ROUND(SUM(AD$5:AD19),2)&gt;=ROUND(AD$129,2),0,INDEX('draws%'!$D$8:$AH$128,$C20+1,MATCH(AD$4,'draws%'!$D$7:$AH$7,FALSE))*AD$129)</f>
        <v>3260.0258304181157</v>
      </c>
      <c r="AE20" s="181">
        <f>IF(ROUND(SUM(AE$5:AE19),2)&gt;=ROUND(AE$129,2),0,INDEX('draws%'!$D$8:$AH$128,$C20+1,MATCH(AE$4,'draws%'!$D$7:$AH$7,FALSE))*AE$129)</f>
        <v>8333.3333333333321</v>
      </c>
      <c r="AF20" s="188">
        <f>($C20&gt;=sales!$D$32)*($C20&lt;=sales!$F$32)*sales!$D$41/(sales!$E$32+1)+($C20&gt;=sales!$D$33)*($C20&lt;=sales!$F$33)*sales!$D$42/(sales!$E$33+1)+($C20&gt;=sales!$D$34)*($C20&lt;=sales!$F$34)*sales!$D$43/(sales!$E$34+1)+($C20&gt;=sales!$D$35)*($C20&lt;=sales!$F$35)*sales!$D$44/(sales!$E$35+1)+($C20&gt;=sales!$D$36)*($C20&lt;=sales!$F$36)*sales!$D$45/(sales!$E$36+1)</f>
        <v>0</v>
      </c>
      <c r="AG20" s="188">
        <f>($C20&gt;=sales!$D$32)*($C20&lt;=sales!$F$32)*sales!$F$41/(sales!$E$32+1)+($C20&gt;=sales!$D$33)*($C20&lt;=sales!$F$33)*sales!$F$42/(sales!$E$33+1)+($C20&gt;=sales!$D$34)*($C20&lt;=sales!$F$34)*sales!$F$43/(sales!$E$34+1)+($C20&gt;=sales!$D$35)*($C20&lt;=sales!$F$35)*sales!$F$44/(sales!$E$35+1)+($C20&gt;=sales!$D$36)*($C20&lt;=sales!$F$36)*sales!$F$45/(sales!$E$36+1)</f>
        <v>0</v>
      </c>
      <c r="AH20" s="181">
        <f>IF(ROUND(SUM(AH$5:AH19),2)&gt;=ROUND(AH$129,2),0,INDEX('draws%'!$D$8:$AH$128,$C20+1,MATCH(AH$4,'draws%'!$D$7:$AH$7,FALSE))*AH$129)</f>
        <v>0</v>
      </c>
      <c r="AI20" s="181">
        <f>IF(ROUND(SUM(AI$5:AI19),2)&gt;=ROUND(AI$129,2),0,INDEX('draws%'!$D$8:$AH$128,$C20+1,MATCH(AI$4,'draws%'!$D$7:$AH$7,FALSE))*AI$129)</f>
        <v>0</v>
      </c>
      <c r="AJ20" s="181">
        <f>IF(ROUND(SUM(AJ$5:AJ19),2)&gt;=ROUND(AJ$129,2),0,INDEX('draws%'!$D$8:$AH$128,$C20+1,MATCH(AJ$4,'draws%'!$D$7:$AH$7,FALSE))*AJ$129)</f>
        <v>0</v>
      </c>
      <c r="AK20" s="181">
        <f>IF(ROUND(SUM(AK$5:AK19),2)&gt;=ROUND(AK$129,2),0,INDEX('draws%'!$D$8:$AH$128,$C20+1,MATCH(AK$4,'draws%'!$D$7:$AH$7,FALSE))*AK$129)</f>
        <v>0</v>
      </c>
      <c r="AL20" s="189">
        <f t="shared" si="1"/>
        <v>31736.060430274469</v>
      </c>
      <c r="AM20" s="173"/>
      <c r="AN20" s="184" t="str">
        <v>Marketing</v>
      </c>
    </row>
    <row r="21" spans="1:42" ht="16">
      <c r="A21" s="1416" t="str">
        <f>IF(MAX(C$5:C20)&gt;=general!$C$27,"post dev",IF(C21&lt;general!$C$23, "Pred", "Dev"))</f>
        <v>Pred</v>
      </c>
      <c r="B21" s="1398"/>
      <c r="C21" s="1388">
        <f>IF('Development Cash Flow'!D20&lt;general!$D$28,'Development Cash Flow'!C20+1,0)</f>
        <v>15</v>
      </c>
      <c r="D21" s="185">
        <f t="shared" si="0"/>
        <v>46721</v>
      </c>
      <c r="E21" s="186">
        <f>($C21&gt;=sales!$D$32)*($C21&lt;=sales!$F$32)*ResUnits/(sales!$E$32+1)</f>
        <v>0</v>
      </c>
      <c r="F21" s="181">
        <f>($C21&gt;=sales!$D$32)*($C21&lt;=sales!$F$32)*sales!$I$18/(sales!$E$32+1)</f>
        <v>0</v>
      </c>
      <c r="G21" s="181">
        <f>($C21&gt;=sales!$D$32)*($C21&lt;=sales!$F$32)*sales!$K$32/(sales!$E$32+1)</f>
        <v>0</v>
      </c>
      <c r="H21" s="187">
        <f>($C21&gt;=sales!$D$33)*($C21&lt;=sales!$F$33)*sales!$K$33/(sales!$E$33+1)</f>
        <v>0</v>
      </c>
      <c r="I21" s="181">
        <f>($C21&gt;=sales!$D$34)*($C21&lt;=sales!$F$34)*sales!$K$34/(sales!$E$34+1)</f>
        <v>0</v>
      </c>
      <c r="J21" s="181">
        <f>($C21&gt;=sales!$D$35)*($C21&lt;=sales!$F$35)*sales!$K$35/(sales!$E$35+1)</f>
        <v>0</v>
      </c>
      <c r="K21" s="189">
        <f>($C21&gt;=sales!$D$36)*($C21&lt;=sales!$F$36)*sales!$K$36*IFERROR(VLOOKUP(C21,sales!$C$50:$D$54,2,FALSE),0)</f>
        <v>0</v>
      </c>
      <c r="L21" s="1398"/>
      <c r="M21" s="1403">
        <f>+G21/$G$4*$M$4*sales!$J$32</f>
        <v>0</v>
      </c>
      <c r="N21" s="1398"/>
      <c r="O21" s="1464">
        <f>IF(ROUND(SUM(O$5:O20),2)&gt;=ROUND(O$129,2),0,INDEX('draws%'!$D$8:$AH$128,$C21+1,MATCH(O$4,'draws%'!$D$7:$AH$7,FALSE))*O$129)</f>
        <v>0</v>
      </c>
      <c r="P21" s="181">
        <f>IF(ROUND(SUM(P$5:P20),2)&gt;=ROUND(P$129,2),0,INDEX('draws%'!$D$8:$AH$128,$C21+1,MATCH(P$4,'draws%'!$D$7:$AH$7,FALSE))*P$129)</f>
        <v>0</v>
      </c>
      <c r="Q21" s="181">
        <f>IF(ROUND(SUM(Q$5:Q20),2)&gt;=ROUND(Q$129,2),0,INDEX('draws%'!$D$8:$AH$128,$C21+1,MATCH(Q$4,'draws%'!$D$7:$AH$7,FALSE))*Q$129)</f>
        <v>12762.944444444443</v>
      </c>
      <c r="R21" s="181">
        <f>IF(ROUND(SUM(R$5:R20),2)&gt;=ROUND(R$129,2),0,INDEX('draws%'!$D$8:$AH$128,$C21+1,MATCH(R$4,'draws%'!$D$7:$AH$7,FALSE))*R$129)</f>
        <v>0</v>
      </c>
      <c r="S21" s="181">
        <f>IF(ROUND(SUM(S$5:S20),2)&gt;=ROUND(S$129,2),0,INDEX('draws%'!$D$8:$AH$128,$C21+1,MATCH(S$4,'draws%'!$D$7:$AH$7,FALSE))*S$129)</f>
        <v>2222.2222222222222</v>
      </c>
      <c r="T21" s="181">
        <f>IF(ROUND(SUM(T$5:T20),2)&gt;=ROUND(T$129,2),0,INDEX('draws%'!$D$8:$AH$128,$C21+1,MATCH(T$4,'draws%'!$D$7:$AH$7,FALSE))*T$129)</f>
        <v>0</v>
      </c>
      <c r="U21" s="181">
        <f>IF(ROUND(SUM(U$5:U20),2)&gt;=ROUND(U$129,2),0,INDEX('draws%'!$D$8:$AH$128,$C21+1,MATCH(U$4,'draws%'!$D$7:$AH$7,FALSE))*U$129)</f>
        <v>0</v>
      </c>
      <c r="V21" s="181">
        <f>IF(ROUND(SUM(V$5:V20),2)&gt;=ROUND(V$129,2),0,INDEX('draws%'!$D$8:$AH$128,$C21+1,MATCH(V$4,'draws%'!$D$7:$AH$7,FALSE))*V$129)</f>
        <v>0</v>
      </c>
      <c r="W21" s="181">
        <f>IF(ROUND(SUM(W$5:W20),2)&gt;=ROUND(W$129,2),0,INDEX('draws%'!$D$8:$AH$128,$C21+1,MATCH(W$4,'draws%'!$D$7:$AH$7,FALSE))*W$129)</f>
        <v>81714.28571428571</v>
      </c>
      <c r="X21" s="181">
        <f>IF(ROUND(SUM(X$5:X20),2)&gt;=ROUND(X$129,2),0,INDEX('draws%'!$D$8:$AH$128,$C21+1,MATCH(X$4,'draws%'!$D$7:$AH$7,FALSE))*X$129)</f>
        <v>0</v>
      </c>
      <c r="Y21" s="181">
        <f>IF(ROUND(SUM(Y$5:Y20),2)&gt;=ROUND(Y$129,2),0,INDEX('draws%'!$D$8:$AH$128,$C21+1,MATCH(Y$4,'draws%'!$D$7:$AH$7,FALSE))*Y$129)</f>
        <v>0</v>
      </c>
      <c r="Z21" s="181">
        <f>IF(ROUND(SUM(Z$5:Z20),2)&gt;=ROUND(Z$129,2),0,INDEX('draws%'!$D$8:$AH$128,$C21+1,MATCH(Z$4,'draws%'!$D$7:$AH$7,FALSE))*Z$129)</f>
        <v>1985.4264705882354</v>
      </c>
      <c r="AA21" s="181">
        <f>IF(ROUND(SUM(AA$5:AA20),2)&gt;=ROUND(AA$129,2),0,INDEX('draws%'!$D$8:$AH$128,$C21+1,MATCH(AA$4,'draws%'!$D$7:$AH$7,FALSE))*AA$129)</f>
        <v>0</v>
      </c>
      <c r="AB21" s="181">
        <f>IF(ROUND(SUM(AB$5:AB20),2)&gt;=ROUND(AB$129,2),0,INDEX('draws%'!$D$8:$AH$128,$C21+1,MATCH(AB$4,'draws%'!$D$7:$AH$7,FALSE))*AB$129)</f>
        <v>3172.1081292681188</v>
      </c>
      <c r="AC21" s="181">
        <f>($C21&gt;=sales!$D$32)*($C21&lt;=sales!$F$32)*sales!$J$41/(sales!$E$32+1)+($C21&gt;=sales!$D$33)*($C21&lt;=sales!$F$33)*sales!$J$42/(sales!$E$33+1)+($C21&gt;=sales!$D$34)*($C21&lt;=sales!$F$34)*sales!$J$43/(sales!$E$34+1)+($C21&gt;=sales!$D$35)*($C21&lt;=sales!$F$35)*sales!$J$44/(sales!$E$35+1)+($C21&gt;=sales!$D$36)*($C21&lt;=sales!$F$36)*sales!$J$45/(sales!$E$36+1)</f>
        <v>0</v>
      </c>
      <c r="AD21" s="181">
        <f>IF(ROUND(SUM(AD$5:AD20),2)&gt;=ROUND(AD$129,2),0,INDEX('draws%'!$D$8:$AH$128,$C21+1,MATCH(AD$4,'draws%'!$D$7:$AH$7,FALSE))*AD$129)</f>
        <v>3260.0258304181157</v>
      </c>
      <c r="AE21" s="181">
        <f>IF(ROUND(SUM(AE$5:AE20),2)&gt;=ROUND(AE$129,2),0,INDEX('draws%'!$D$8:$AH$128,$C21+1,MATCH(AE$4,'draws%'!$D$7:$AH$7,FALSE))*AE$129)</f>
        <v>8333.3333333333321</v>
      </c>
      <c r="AF21" s="188">
        <f>($C21&gt;=sales!$D$32)*($C21&lt;=sales!$F$32)*sales!$D$41/(sales!$E$32+1)+($C21&gt;=sales!$D$33)*($C21&lt;=sales!$F$33)*sales!$D$42/(sales!$E$33+1)+($C21&gt;=sales!$D$34)*($C21&lt;=sales!$F$34)*sales!$D$43/(sales!$E$34+1)+($C21&gt;=sales!$D$35)*($C21&lt;=sales!$F$35)*sales!$D$44/(sales!$E$35+1)+($C21&gt;=sales!$D$36)*($C21&lt;=sales!$F$36)*sales!$D$45/(sales!$E$36+1)</f>
        <v>0</v>
      </c>
      <c r="AG21" s="188">
        <f>($C21&gt;=sales!$D$32)*($C21&lt;=sales!$F$32)*sales!$F$41/(sales!$E$32+1)+($C21&gt;=sales!$D$33)*($C21&lt;=sales!$F$33)*sales!$F$42/(sales!$E$33+1)+($C21&gt;=sales!$D$34)*($C21&lt;=sales!$F$34)*sales!$F$43/(sales!$E$34+1)+($C21&gt;=sales!$D$35)*($C21&lt;=sales!$F$35)*sales!$F$44/(sales!$E$35+1)+($C21&gt;=sales!$D$36)*($C21&lt;=sales!$F$36)*sales!$F$45/(sales!$E$36+1)</f>
        <v>0</v>
      </c>
      <c r="AH21" s="181">
        <f>IF(ROUND(SUM(AH$5:AH20),2)&gt;=ROUND(AH$129,2),0,INDEX('draws%'!$D$8:$AH$128,$C21+1,MATCH(AH$4,'draws%'!$D$7:$AH$7,FALSE))*AH$129)</f>
        <v>0</v>
      </c>
      <c r="AI21" s="181">
        <f>IF(ROUND(SUM(AI$5:AI20),2)&gt;=ROUND(AI$129,2),0,INDEX('draws%'!$D$8:$AH$128,$C21+1,MATCH(AI$4,'draws%'!$D$7:$AH$7,FALSE))*AI$129)</f>
        <v>0</v>
      </c>
      <c r="AJ21" s="181">
        <f>IF(ROUND(SUM(AJ$5:AJ20),2)&gt;=ROUND(AJ$129,2),0,INDEX('draws%'!$D$8:$AH$128,$C21+1,MATCH(AJ$4,'draws%'!$D$7:$AH$7,FALSE))*AJ$129)</f>
        <v>0</v>
      </c>
      <c r="AK21" s="181">
        <f>IF(ROUND(SUM(AK$5:AK20),2)&gt;=ROUND(AK$129,2),0,INDEX('draws%'!$D$8:$AH$128,$C21+1,MATCH(AK$4,'draws%'!$D$7:$AH$7,FALSE))*AK$129)</f>
        <v>0</v>
      </c>
      <c r="AL21" s="189">
        <f t="shared" si="1"/>
        <v>113450.34614456019</v>
      </c>
      <c r="AM21" s="191"/>
      <c r="AN21" s="184" t="str">
        <v>Last2 Months Const.</v>
      </c>
    </row>
    <row r="22" spans="1:42" ht="16">
      <c r="A22" s="1416" t="str">
        <f>IF(MAX(C$5:C21)&gt;=general!$C$27,"post dev",IF(C22&lt;general!$C$23, "Pred", "Dev"))</f>
        <v>Pred</v>
      </c>
      <c r="B22" s="1398"/>
      <c r="C22" s="1388">
        <f>IF('Development Cash Flow'!D21&lt;general!$D$28,'Development Cash Flow'!C21+1,0)</f>
        <v>16</v>
      </c>
      <c r="D22" s="185">
        <f t="shared" si="0"/>
        <v>46752</v>
      </c>
      <c r="E22" s="186">
        <f>($C22&gt;=sales!$D$32)*($C22&lt;=sales!$F$32)*ResUnits/(sales!$E$32+1)</f>
        <v>0</v>
      </c>
      <c r="F22" s="181">
        <f>($C22&gt;=sales!$D$32)*($C22&lt;=sales!$F$32)*sales!$I$18/(sales!$E$32+1)</f>
        <v>0</v>
      </c>
      <c r="G22" s="181">
        <f>($C22&gt;=sales!$D$32)*($C22&lt;=sales!$F$32)*sales!$K$32/(sales!$E$32+1)</f>
        <v>0</v>
      </c>
      <c r="H22" s="187">
        <f>($C22&gt;=sales!$D$33)*($C22&lt;=sales!$F$33)*sales!$K$33/(sales!$E$33+1)</f>
        <v>0</v>
      </c>
      <c r="I22" s="181">
        <f>($C22&gt;=sales!$D$34)*($C22&lt;=sales!$F$34)*sales!$K$34/(sales!$E$34+1)</f>
        <v>0</v>
      </c>
      <c r="J22" s="181">
        <f>($C22&gt;=sales!$D$35)*($C22&lt;=sales!$F$35)*sales!$K$35/(sales!$E$35+1)</f>
        <v>0</v>
      </c>
      <c r="K22" s="189">
        <f>($C22&gt;=sales!$D$36)*($C22&lt;=sales!$F$36)*sales!$K$36*IFERROR(VLOOKUP(C22,sales!$C$50:$D$54,2,FALSE),0)</f>
        <v>0</v>
      </c>
      <c r="L22" s="1398"/>
      <c r="M22" s="1403">
        <f>+G22/$G$4*$M$4*sales!$J$32</f>
        <v>0</v>
      </c>
      <c r="N22" s="1398"/>
      <c r="O22" s="1464">
        <f>IF(ROUND(SUM(O$5:O21),2)&gt;=ROUND(O$129,2),0,INDEX('draws%'!$D$8:$AH$128,$C22+1,MATCH(O$4,'draws%'!$D$7:$AH$7,FALSE))*O$129)</f>
        <v>0</v>
      </c>
      <c r="P22" s="181">
        <f>IF(ROUND(SUM(P$5:P21),2)&gt;=ROUND(P$129,2),0,INDEX('draws%'!$D$8:$AH$128,$C22+1,MATCH(P$4,'draws%'!$D$7:$AH$7,FALSE))*P$129)</f>
        <v>0</v>
      </c>
      <c r="Q22" s="181">
        <f>IF(ROUND(SUM(Q$5:Q21),2)&gt;=ROUND(Q$129,2),0,INDEX('draws%'!$D$8:$AH$128,$C22+1,MATCH(Q$4,'draws%'!$D$7:$AH$7,FALSE))*Q$129)</f>
        <v>12762.944444444443</v>
      </c>
      <c r="R22" s="181">
        <f>IF(ROUND(SUM(R$5:R21),2)&gt;=ROUND(R$129,2),0,INDEX('draws%'!$D$8:$AH$128,$C22+1,MATCH(R$4,'draws%'!$D$7:$AH$7,FALSE))*R$129)</f>
        <v>0</v>
      </c>
      <c r="S22" s="181">
        <f>IF(ROUND(SUM(S$5:S21),2)&gt;=ROUND(S$129,2),0,INDEX('draws%'!$D$8:$AH$128,$C22+1,MATCH(S$4,'draws%'!$D$7:$AH$7,FALSE))*S$129)</f>
        <v>2222.2222222222222</v>
      </c>
      <c r="T22" s="181">
        <f>IF(ROUND(SUM(T$5:T21),2)&gt;=ROUND(T$129,2),0,INDEX('draws%'!$D$8:$AH$128,$C22+1,MATCH(T$4,'draws%'!$D$7:$AH$7,FALSE))*T$129)</f>
        <v>0</v>
      </c>
      <c r="U22" s="181">
        <f>IF(ROUND(SUM(U$5:U21),2)&gt;=ROUND(U$129,2),0,INDEX('draws%'!$D$8:$AH$128,$C22+1,MATCH(U$4,'draws%'!$D$7:$AH$7,FALSE))*U$129)</f>
        <v>0</v>
      </c>
      <c r="V22" s="181">
        <f>IF(ROUND(SUM(V$5:V21),2)&gt;=ROUND(V$129,2),0,INDEX('draws%'!$D$8:$AH$128,$C22+1,MATCH(V$4,'draws%'!$D$7:$AH$7,FALSE))*V$129)</f>
        <v>0</v>
      </c>
      <c r="W22" s="181">
        <f>IF(ROUND(SUM(W$5:W21),2)&gt;=ROUND(W$129,2),0,INDEX('draws%'!$D$8:$AH$128,$C22+1,MATCH(W$4,'draws%'!$D$7:$AH$7,FALSE))*W$129)</f>
        <v>0</v>
      </c>
      <c r="X22" s="181">
        <f>IF(ROUND(SUM(X$5:X21),2)&gt;=ROUND(X$129,2),0,INDEX('draws%'!$D$8:$AH$128,$C22+1,MATCH(X$4,'draws%'!$D$7:$AH$7,FALSE))*X$129)</f>
        <v>0</v>
      </c>
      <c r="Y22" s="181">
        <f>IF(ROUND(SUM(Y$5:Y21),2)&gt;=ROUND(Y$129,2),0,INDEX('draws%'!$D$8:$AH$128,$C22+1,MATCH(Y$4,'draws%'!$D$7:$AH$7,FALSE))*Y$129)</f>
        <v>0</v>
      </c>
      <c r="Z22" s="181">
        <f>IF(ROUND(SUM(Z$5:Z21),2)&gt;=ROUND(Z$129,2),0,INDEX('draws%'!$D$8:$AH$128,$C22+1,MATCH(Z$4,'draws%'!$D$7:$AH$7,FALSE))*Z$129)</f>
        <v>1985.4264705882354</v>
      </c>
      <c r="AA22" s="181">
        <f>IF(ROUND(SUM(AA$5:AA21),2)&gt;=ROUND(AA$129,2),0,INDEX('draws%'!$D$8:$AH$128,$C22+1,MATCH(AA$4,'draws%'!$D$7:$AH$7,FALSE))*AA$129)</f>
        <v>0</v>
      </c>
      <c r="AB22" s="181">
        <f>IF(ROUND(SUM(AB$5:AB21),2)&gt;=ROUND(AB$129,2),0,INDEX('draws%'!$D$8:$AH$128,$C22+1,MATCH(AB$4,'draws%'!$D$7:$AH$7,FALSE))*AB$129)</f>
        <v>3172.1081292681188</v>
      </c>
      <c r="AC22" s="181">
        <f>($C22&gt;=sales!$D$32)*($C22&lt;=sales!$F$32)*sales!$J$41/(sales!$E$32+1)+($C22&gt;=sales!$D$33)*($C22&lt;=sales!$F$33)*sales!$J$42/(sales!$E$33+1)+($C22&gt;=sales!$D$34)*($C22&lt;=sales!$F$34)*sales!$J$43/(sales!$E$34+1)+($C22&gt;=sales!$D$35)*($C22&lt;=sales!$F$35)*sales!$J$44/(sales!$E$35+1)+($C22&gt;=sales!$D$36)*($C22&lt;=sales!$F$36)*sales!$J$45/(sales!$E$36+1)</f>
        <v>0</v>
      </c>
      <c r="AD22" s="181">
        <f>IF(ROUND(SUM(AD$5:AD21),2)&gt;=ROUND(AD$129,2),0,INDEX('draws%'!$D$8:$AH$128,$C22+1,MATCH(AD$4,'draws%'!$D$7:$AH$7,FALSE))*AD$129)</f>
        <v>3260.0258304181157</v>
      </c>
      <c r="AE22" s="181">
        <f>IF(ROUND(SUM(AE$5:AE21),2)&gt;=ROUND(AE$129,2),0,INDEX('draws%'!$D$8:$AH$128,$C22+1,MATCH(AE$4,'draws%'!$D$7:$AH$7,FALSE))*AE$129)</f>
        <v>8333.3333333333321</v>
      </c>
      <c r="AF22" s="188">
        <f>($C22&gt;=sales!$D$32)*($C22&lt;=sales!$F$32)*sales!$D$41/(sales!$E$32+1)+($C22&gt;=sales!$D$33)*($C22&lt;=sales!$F$33)*sales!$D$42/(sales!$E$33+1)+($C22&gt;=sales!$D$34)*($C22&lt;=sales!$F$34)*sales!$D$43/(sales!$E$34+1)+($C22&gt;=sales!$D$35)*($C22&lt;=sales!$F$35)*sales!$D$44/(sales!$E$35+1)+($C22&gt;=sales!$D$36)*($C22&lt;=sales!$F$36)*sales!$D$45/(sales!$E$36+1)</f>
        <v>0</v>
      </c>
      <c r="AG22" s="188">
        <f>($C22&gt;=sales!$D$32)*($C22&lt;=sales!$F$32)*sales!$F$41/(sales!$E$32+1)+($C22&gt;=sales!$D$33)*($C22&lt;=sales!$F$33)*sales!$F$42/(sales!$E$33+1)+($C22&gt;=sales!$D$34)*($C22&lt;=sales!$F$34)*sales!$F$43/(sales!$E$34+1)+($C22&gt;=sales!$D$35)*($C22&lt;=sales!$F$35)*sales!$F$44/(sales!$E$35+1)+($C22&gt;=sales!$D$36)*($C22&lt;=sales!$F$36)*sales!$F$45/(sales!$E$36+1)</f>
        <v>0</v>
      </c>
      <c r="AH22" s="181">
        <f>IF(ROUND(SUM(AH$5:AH21),2)&gt;=ROUND(AH$129,2),0,INDEX('draws%'!$D$8:$AH$128,$C22+1,MATCH(AH$4,'draws%'!$D$7:$AH$7,FALSE))*AH$129)</f>
        <v>0</v>
      </c>
      <c r="AI22" s="181">
        <f>IF(ROUND(SUM(AI$5:AI21),2)&gt;=ROUND(AI$129,2),0,INDEX('draws%'!$D$8:$AH$128,$C22+1,MATCH(AI$4,'draws%'!$D$7:$AH$7,FALSE))*AI$129)</f>
        <v>0</v>
      </c>
      <c r="AJ22" s="181">
        <f>IF(ROUND(SUM(AJ$5:AJ21),2)&gt;=ROUND(AJ$129,2),0,INDEX('draws%'!$D$8:$AH$128,$C22+1,MATCH(AJ$4,'draws%'!$D$7:$AH$7,FALSE))*AJ$129)</f>
        <v>0</v>
      </c>
      <c r="AK22" s="181">
        <f>IF(ROUND(SUM(AK$5:AK21),2)&gt;=ROUND(AK$129,2),0,INDEX('draws%'!$D$8:$AH$128,$C22+1,MATCH(AK$4,'draws%'!$D$7:$AH$7,FALSE))*AK$129)</f>
        <v>0</v>
      </c>
      <c r="AL22" s="189">
        <f t="shared" si="1"/>
        <v>31736.060430274469</v>
      </c>
      <c r="AM22" s="191"/>
      <c r="AN22" s="184" t="str">
        <v>FF&amp;E</v>
      </c>
    </row>
    <row r="23" spans="1:42" s="192" customFormat="1" ht="16">
      <c r="A23" s="1416" t="str">
        <f>IF(MAX(C$5:C22)&gt;=general!$C$27,"post dev",IF(C23&lt;general!$C$23, "Pred", "Dev"))</f>
        <v>Pred</v>
      </c>
      <c r="B23" s="1398"/>
      <c r="C23" s="1388">
        <f>IF('Development Cash Flow'!D22&lt;general!$D$28,'Development Cash Flow'!C22+1,0)</f>
        <v>17</v>
      </c>
      <c r="D23" s="185">
        <f t="shared" si="0"/>
        <v>46783</v>
      </c>
      <c r="E23" s="186">
        <f>($C23&gt;=sales!$D$32)*($C23&lt;=sales!$F$32)*ResUnits/(sales!$E$32+1)</f>
        <v>0</v>
      </c>
      <c r="F23" s="181">
        <f>($C23&gt;=sales!$D$32)*($C23&lt;=sales!$F$32)*sales!$I$18/(sales!$E$32+1)</f>
        <v>0</v>
      </c>
      <c r="G23" s="181">
        <f>($C23&gt;=sales!$D$32)*($C23&lt;=sales!$F$32)*sales!$K$32/(sales!$E$32+1)</f>
        <v>0</v>
      </c>
      <c r="H23" s="187">
        <f>($C23&gt;=sales!$D$33)*($C23&lt;=sales!$F$33)*sales!$K$33/(sales!$E$33+1)</f>
        <v>0</v>
      </c>
      <c r="I23" s="181">
        <f>($C23&gt;=sales!$D$34)*($C23&lt;=sales!$F$34)*sales!$K$34/(sales!$E$34+1)</f>
        <v>0</v>
      </c>
      <c r="J23" s="181">
        <f>($C23&gt;=sales!$D$35)*($C23&lt;=sales!$F$35)*sales!$K$35/(sales!$E$35+1)</f>
        <v>0</v>
      </c>
      <c r="K23" s="189">
        <f>($C23&gt;=sales!$D$36)*($C23&lt;=sales!$F$36)*sales!$K$36*IFERROR(VLOOKUP(C23,sales!$C$50:$D$54,2,FALSE),0)</f>
        <v>0</v>
      </c>
      <c r="L23" s="1398"/>
      <c r="M23" s="1403">
        <f>+G23/$G$4*$M$4*sales!$J$32</f>
        <v>0</v>
      </c>
      <c r="N23" s="1398"/>
      <c r="O23" s="1464">
        <f>IF(ROUND(SUM(O$5:O22),2)&gt;=ROUND(O$129,2),0,INDEX('draws%'!$D$8:$AH$128,$C23+1,MATCH(O$4,'draws%'!$D$7:$AH$7,FALSE))*O$129)</f>
        <v>0</v>
      </c>
      <c r="P23" s="181">
        <f>IF(ROUND(SUM(P$5:P22),2)&gt;=ROUND(P$129,2),0,INDEX('draws%'!$D$8:$AH$128,$C23+1,MATCH(P$4,'draws%'!$D$7:$AH$7,FALSE))*P$129)</f>
        <v>0</v>
      </c>
      <c r="Q23" s="181">
        <f>IF(ROUND(SUM(Q$5:Q22),2)&gt;=ROUND(Q$129,2),0,INDEX('draws%'!$D$8:$AH$128,$C23+1,MATCH(Q$4,'draws%'!$D$7:$AH$7,FALSE))*Q$129)</f>
        <v>12762.944444444443</v>
      </c>
      <c r="R23" s="181">
        <f>IF(ROUND(SUM(R$5:R22),2)&gt;=ROUND(R$129,2),0,INDEX('draws%'!$D$8:$AH$128,$C23+1,MATCH(R$4,'draws%'!$D$7:$AH$7,FALSE))*R$129)</f>
        <v>0</v>
      </c>
      <c r="S23" s="181">
        <f>IF(ROUND(SUM(S$5:S22),2)&gt;=ROUND(S$129,2),0,INDEX('draws%'!$D$8:$AH$128,$C23+1,MATCH(S$4,'draws%'!$D$7:$AH$7,FALSE))*S$129)</f>
        <v>2222.2222222222222</v>
      </c>
      <c r="T23" s="181">
        <f>IF(ROUND(SUM(T$5:T22),2)&gt;=ROUND(T$129,2),0,INDEX('draws%'!$D$8:$AH$128,$C23+1,MATCH(T$4,'draws%'!$D$7:$AH$7,FALSE))*T$129)</f>
        <v>0</v>
      </c>
      <c r="U23" s="181">
        <f>IF(ROUND(SUM(U$5:U22),2)&gt;=ROUND(U$129,2),0,INDEX('draws%'!$D$8:$AH$128,$C23+1,MATCH(U$4,'draws%'!$D$7:$AH$7,FALSE))*U$129)</f>
        <v>0</v>
      </c>
      <c r="V23" s="181">
        <f>IF(ROUND(SUM(V$5:V22),2)&gt;=ROUND(V$129,2),0,INDEX('draws%'!$D$8:$AH$128,$C23+1,MATCH(V$4,'draws%'!$D$7:$AH$7,FALSE))*V$129)</f>
        <v>0</v>
      </c>
      <c r="W23" s="181">
        <f>IF(ROUND(SUM(W$5:W22),2)&gt;=ROUND(W$129,2),0,INDEX('draws%'!$D$8:$AH$128,$C23+1,MATCH(W$4,'draws%'!$D$7:$AH$7,FALSE))*W$129)</f>
        <v>0</v>
      </c>
      <c r="X23" s="181">
        <f>IF(ROUND(SUM(X$5:X22),2)&gt;=ROUND(X$129,2),0,INDEX('draws%'!$D$8:$AH$128,$C23+1,MATCH(X$4,'draws%'!$D$7:$AH$7,FALSE))*X$129)</f>
        <v>0</v>
      </c>
      <c r="Y23" s="181">
        <f>IF(ROUND(SUM(Y$5:Y22),2)&gt;=ROUND(Y$129,2),0,INDEX('draws%'!$D$8:$AH$128,$C23+1,MATCH(Y$4,'draws%'!$D$7:$AH$7,FALSE))*Y$129)</f>
        <v>0</v>
      </c>
      <c r="Z23" s="181">
        <f>IF(ROUND(SUM(Z$5:Z22),2)&gt;=ROUND(Z$129,2),0,INDEX('draws%'!$D$8:$AH$128,$C23+1,MATCH(Z$4,'draws%'!$D$7:$AH$7,FALSE))*Z$129)</f>
        <v>1985.4264705882354</v>
      </c>
      <c r="AA23" s="181">
        <f>IF(ROUND(SUM(AA$5:AA22),2)&gt;=ROUND(AA$129,2),0,INDEX('draws%'!$D$8:$AH$128,$C23+1,MATCH(AA$4,'draws%'!$D$7:$AH$7,FALSE))*AA$129)</f>
        <v>0</v>
      </c>
      <c r="AB23" s="181">
        <f>IF(ROUND(SUM(AB$5:AB22),2)&gt;=ROUND(AB$129,2),0,INDEX('draws%'!$D$8:$AH$128,$C23+1,MATCH(AB$4,'draws%'!$D$7:$AH$7,FALSE))*AB$129)</f>
        <v>3172.1081292681188</v>
      </c>
      <c r="AC23" s="181">
        <f>($C23&gt;=sales!$D$32)*($C23&lt;=sales!$F$32)*sales!$J$41/(sales!$E$32+1)+($C23&gt;=sales!$D$33)*($C23&lt;=sales!$F$33)*sales!$J$42/(sales!$E$33+1)+($C23&gt;=sales!$D$34)*($C23&lt;=sales!$F$34)*sales!$J$43/(sales!$E$34+1)+($C23&gt;=sales!$D$35)*($C23&lt;=sales!$F$35)*sales!$J$44/(sales!$E$35+1)+($C23&gt;=sales!$D$36)*($C23&lt;=sales!$F$36)*sales!$J$45/(sales!$E$36+1)</f>
        <v>0</v>
      </c>
      <c r="AD23" s="181">
        <f>IF(ROUND(SUM(AD$5:AD22),2)&gt;=ROUND(AD$129,2),0,INDEX('draws%'!$D$8:$AH$128,$C23+1,MATCH(AD$4,'draws%'!$D$7:$AH$7,FALSE))*AD$129)</f>
        <v>3260.0258304181157</v>
      </c>
      <c r="AE23" s="181">
        <f>IF(ROUND(SUM(AE$5:AE22),2)&gt;=ROUND(AE$129,2),0,INDEX('draws%'!$D$8:$AH$128,$C23+1,MATCH(AE$4,'draws%'!$D$7:$AH$7,FALSE))*AE$129)</f>
        <v>8333.3333333333321</v>
      </c>
      <c r="AF23" s="188">
        <f>($C23&gt;=sales!$D$32)*($C23&lt;=sales!$F$32)*sales!$D$41/(sales!$E$32+1)+($C23&gt;=sales!$D$33)*($C23&lt;=sales!$F$33)*sales!$D$42/(sales!$E$33+1)+($C23&gt;=sales!$D$34)*($C23&lt;=sales!$F$34)*sales!$D$43/(sales!$E$34+1)+($C23&gt;=sales!$D$35)*($C23&lt;=sales!$F$35)*sales!$D$44/(sales!$E$35+1)+($C23&gt;=sales!$D$36)*($C23&lt;=sales!$F$36)*sales!$D$45/(sales!$E$36+1)</f>
        <v>0</v>
      </c>
      <c r="AG23" s="188">
        <f>($C23&gt;=sales!$D$32)*($C23&lt;=sales!$F$32)*sales!$F$41/(sales!$E$32+1)+($C23&gt;=sales!$D$33)*($C23&lt;=sales!$F$33)*sales!$F$42/(sales!$E$33+1)+($C23&gt;=sales!$D$34)*($C23&lt;=sales!$F$34)*sales!$F$43/(sales!$E$34+1)+($C23&gt;=sales!$D$35)*($C23&lt;=sales!$F$35)*sales!$F$44/(sales!$E$35+1)+($C23&gt;=sales!$D$36)*($C23&lt;=sales!$F$36)*sales!$F$45/(sales!$E$36+1)</f>
        <v>0</v>
      </c>
      <c r="AH23" s="181">
        <f>IF(ROUND(SUM(AH$5:AH22),2)&gt;=ROUND(AH$129,2),0,INDEX('draws%'!$D$8:$AH$128,$C23+1,MATCH(AH$4,'draws%'!$D$7:$AH$7,FALSE))*AH$129)</f>
        <v>0</v>
      </c>
      <c r="AI23" s="181">
        <f>IF(ROUND(SUM(AI$5:AI22),2)&gt;=ROUND(AI$129,2),0,INDEX('draws%'!$D$8:$AH$128,$C23+1,MATCH(AI$4,'draws%'!$D$7:$AH$7,FALSE))*AI$129)</f>
        <v>0</v>
      </c>
      <c r="AJ23" s="181">
        <f>IF(ROUND(SUM(AJ$5:AJ22),2)&gt;=ROUND(AJ$129,2),0,INDEX('draws%'!$D$8:$AH$128,$C23+1,MATCH(AJ$4,'draws%'!$D$7:$AH$7,FALSE))*AJ$129)</f>
        <v>0</v>
      </c>
      <c r="AK23" s="181">
        <f>IF(ROUND(SUM(AK$5:AK22),2)&gt;=ROUND(AK$129,2),0,INDEX('draws%'!$D$8:$AH$128,$C23+1,MATCH(AK$4,'draws%'!$D$7:$AH$7,FALSE))*AK$129)</f>
        <v>0</v>
      </c>
      <c r="AL23" s="189">
        <f t="shared" si="1"/>
        <v>31736.060430274469</v>
      </c>
      <c r="AM23" s="191"/>
      <c r="AN23" s="184" t="str">
        <v>Start &amp; Finish</v>
      </c>
      <c r="AO23" s="158"/>
      <c r="AP23" s="158"/>
    </row>
    <row r="24" spans="1:42" ht="16">
      <c r="A24" s="1416" t="str">
        <f>IF(MAX(C$5:C23)&gt;=general!$C$27,"post dev",IF(C24&lt;general!$C$23, "Pred", "Dev"))</f>
        <v>Dev</v>
      </c>
      <c r="B24" s="1398"/>
      <c r="C24" s="1388">
        <f>IF('Development Cash Flow'!D23&lt;general!$D$28,'Development Cash Flow'!C23+1,0)</f>
        <v>18</v>
      </c>
      <c r="D24" s="185">
        <f t="shared" si="0"/>
        <v>46812</v>
      </c>
      <c r="E24" s="186">
        <f>($C24&gt;=sales!$D$32)*($C24&lt;=sales!$F$32)*ResUnits/(sales!$E$32+1)</f>
        <v>1.2857142857142858</v>
      </c>
      <c r="F24" s="181">
        <f>($C24&gt;=sales!$D$32)*($C24&lt;=sales!$F$32)*sales!$I$18/(sales!$E$32+1)</f>
        <v>3902800</v>
      </c>
      <c r="G24" s="181">
        <f>($C24&gt;=sales!$D$32)*($C24&lt;=sales!$F$32)*sales!$K$32/(sales!$E$32+1)</f>
        <v>117084</v>
      </c>
      <c r="H24" s="187">
        <f>($C24&gt;=sales!$D$33)*($C24&lt;=sales!$F$33)*sales!$K$33/(sales!$E$33+1)</f>
        <v>204897</v>
      </c>
      <c r="I24" s="181">
        <f>($C24&gt;=sales!$D$34)*($C24&lt;=sales!$F$34)*sales!$K$34/(sales!$E$34+1)</f>
        <v>0</v>
      </c>
      <c r="J24" s="181">
        <f>($C24&gt;=sales!$D$35)*($C24&lt;=sales!$F$35)*sales!$K$35/(sales!$E$35+1)</f>
        <v>0</v>
      </c>
      <c r="K24" s="189">
        <f>($C24&gt;=sales!$D$36)*($C24&lt;=sales!$F$36)*sales!$K$36*IFERROR(VLOOKUP(C24,sales!$C$50:$D$54,2,FALSE),0)</f>
        <v>0</v>
      </c>
      <c r="L24" s="1398"/>
      <c r="M24" s="1403">
        <f>+G24/$G$4*$M$4*sales!$J$32</f>
        <v>117084</v>
      </c>
      <c r="N24" s="1398"/>
      <c r="O24" s="1464">
        <f>IF(ROUND(SUM(O$5:O23),2)&gt;=ROUND(O$129,2),0,INDEX('draws%'!$D$8:$AH$128,$C24+1,MATCH(O$4,'draws%'!$D$7:$AH$7,FALSE))*O$129)</f>
        <v>0</v>
      </c>
      <c r="P24" s="181">
        <f>IF(ROUND(SUM(P$5:P23),2)&gt;=ROUND(P$129,2),0,INDEX('draws%'!$D$8:$AH$128,$C24+1,MATCH(P$4,'draws%'!$D$7:$AH$7,FALSE))*P$129)</f>
        <v>340857.34167522378</v>
      </c>
      <c r="Q24" s="181">
        <f>IF(ROUND(SUM(Q$5:Q23),2)&gt;=ROUND(Q$129,2),0,INDEX('draws%'!$D$8:$AH$128,$C24+1,MATCH(Q$4,'draws%'!$D$7:$AH$7,FALSE))*Q$129)</f>
        <v>9572.2083333333321</v>
      </c>
      <c r="R24" s="181">
        <f>IF(ROUND(SUM(R$5:R23),2)&gt;=ROUND(R$129,2),0,INDEX('draws%'!$D$8:$AH$128,$C24+1,MATCH(R$4,'draws%'!$D$7:$AH$7,FALSE))*R$129)</f>
        <v>5133.7029591424753</v>
      </c>
      <c r="S24" s="181">
        <f>IF(ROUND(SUM(S$5:S23),2)&gt;=ROUND(S$129,2),0,INDEX('draws%'!$D$8:$AH$128,$C24+1,MATCH(S$4,'draws%'!$D$7:$AH$7,FALSE))*S$129)</f>
        <v>2500</v>
      </c>
      <c r="T24" s="181">
        <f>IF(ROUND(SUM(T$5:T23),2)&gt;=ROUND(T$129,2),0,INDEX('draws%'!$D$8:$AH$128,$C24+1,MATCH(T$4,'draws%'!$D$7:$AH$7,FALSE))*T$129)</f>
        <v>284628.57142857148</v>
      </c>
      <c r="U24" s="181">
        <f>IF(ROUND(SUM(U$5:U23),2)&gt;=ROUND(U$129,2),0,INDEX('draws%'!$D$8:$AH$128,$C24+1,MATCH(U$4,'draws%'!$D$7:$AH$7,FALSE))*U$129)</f>
        <v>0</v>
      </c>
      <c r="V24" s="181">
        <f>IF(ROUND(SUM(V$5:V23),2)&gt;=ROUND(V$129,2),0,INDEX('draws%'!$D$8:$AH$128,$C24+1,MATCH(V$4,'draws%'!$D$7:$AH$7,FALSE))*V$129)</f>
        <v>0</v>
      </c>
      <c r="W24" s="181">
        <f>IF(ROUND(SUM(W$5:W23),2)&gt;=ROUND(W$129,2),0,INDEX('draws%'!$D$8:$AH$128,$C24+1,MATCH(W$4,'draws%'!$D$7:$AH$7,FALSE))*W$129)</f>
        <v>0</v>
      </c>
      <c r="X24" s="181">
        <f>IF(ROUND(SUM(X$5:X23),2)&gt;=ROUND(X$129,2),0,INDEX('draws%'!$D$8:$AH$128,$C24+1,MATCH(X$4,'draws%'!$D$7:$AH$7,FALSE))*X$129)</f>
        <v>400000</v>
      </c>
      <c r="Y24" s="181">
        <f>IF(ROUND(SUM(Y$5:Y23),2)&gt;=ROUND(Y$129,2),0,INDEX('draws%'!$D$8:$AH$128,$C24+1,MATCH(Y$4,'draws%'!$D$7:$AH$7,FALSE))*Y$129)</f>
        <v>346377.62945574586</v>
      </c>
      <c r="Z24" s="181">
        <f>IF(ROUND(SUM(Z$5:Z23),2)&gt;=ROUND(Z$129,2),0,INDEX('draws%'!$D$8:$AH$128,$C24+1,MATCH(Z$4,'draws%'!$D$7:$AH$7,FALSE))*Z$129)</f>
        <v>2725.336956521739</v>
      </c>
      <c r="AA24" s="181">
        <f>IF(ROUND(SUM(AA$5:AA23),2)&gt;=ROUND(AA$129,2),0,INDEX('draws%'!$D$8:$AH$128,$C24+1,MATCH(AA$4,'draws%'!$D$7:$AH$7,FALSE))*AA$129)</f>
        <v>0</v>
      </c>
      <c r="AB24" s="181">
        <f>IF(ROUND(SUM(AB$5:AB23),2)&gt;=ROUND(AB$129,2),0,INDEX('draws%'!$D$8:$AH$128,$C24+1,MATCH(AB$4,'draws%'!$D$7:$AH$7,FALSE))*AB$129)</f>
        <v>4354.2602271320138</v>
      </c>
      <c r="AC24" s="181">
        <f>($C24&gt;=sales!$D$32)*($C24&lt;=sales!$F$32)*sales!$J$41/(sales!$E$32+1)+($C24&gt;=sales!$D$33)*($C24&lt;=sales!$F$33)*sales!$J$42/(sales!$E$33+1)+($C24&gt;=sales!$D$34)*($C24&lt;=sales!$F$34)*sales!$J$43/(sales!$E$34+1)+($C24&gt;=sales!$D$35)*($C24&lt;=sales!$F$35)*sales!$J$44/(sales!$E$35+1)+($C24&gt;=sales!$D$36)*($C24&lt;=sales!$F$36)*sales!$J$45/(sales!$E$36+1)</f>
        <v>0</v>
      </c>
      <c r="AD24" s="181">
        <f>IF(ROUND(SUM(AD$5:AD23),2)&gt;=ROUND(AD$129,2),0,INDEX('draws%'!$D$8:$AH$128,$C24+1,MATCH(AD$4,'draws%'!$D$7:$AH$7,FALSE))*AD$129)</f>
        <v>6927.5548896384962</v>
      </c>
      <c r="AE24" s="181">
        <f>IF(ROUND(SUM(AE$5:AE23),2)&gt;=ROUND(AE$129,2),0,INDEX('draws%'!$D$8:$AH$128,$C24+1,MATCH(AE$4,'draws%'!$D$7:$AH$7,FALSE))*AE$129)</f>
        <v>0</v>
      </c>
      <c r="AF24" s="188">
        <f>($C24&gt;=sales!$D$32)*($C24&lt;=sales!$F$32)*sales!$D$41/(sales!$E$32+1)+($C24&gt;=sales!$D$33)*($C24&lt;=sales!$F$33)*sales!$D$42/(sales!$E$33+1)+($C24&gt;=sales!$D$34)*($C24&lt;=sales!$F$34)*sales!$D$43/(sales!$E$34+1)+($C24&gt;=sales!$D$35)*($C24&lt;=sales!$F$35)*sales!$D$44/(sales!$E$35+1)+($C24&gt;=sales!$D$36)*($C24&lt;=sales!$F$36)*sales!$D$45/(sales!$E$36+1)</f>
        <v>30734.55</v>
      </c>
      <c r="AG24" s="188">
        <f>($C24&gt;=sales!$D$32)*($C24&lt;=sales!$F$32)*sales!$F$41/(sales!$E$32+1)+($C24&gt;=sales!$D$33)*($C24&lt;=sales!$F$33)*sales!$F$42/(sales!$E$33+1)+($C24&gt;=sales!$D$34)*($C24&lt;=sales!$F$34)*sales!$F$43/(sales!$E$34+1)+($C24&gt;=sales!$D$35)*($C24&lt;=sales!$F$35)*sales!$F$44/(sales!$E$35+1)+($C24&gt;=sales!$D$36)*($C24&lt;=sales!$F$36)*sales!$F$45/(sales!$E$36+1)</f>
        <v>81958.8</v>
      </c>
      <c r="AH24" s="181">
        <f>IF(ROUND(SUM(AH$5:AH23),2)&gt;=ROUND(AH$129,2),0,INDEX('draws%'!$D$8:$AH$128,$C24+1,MATCH(AH$4,'draws%'!$D$7:$AH$7,FALSE))*AH$129)</f>
        <v>0</v>
      </c>
      <c r="AI24" s="181">
        <f>IF(ROUND(SUM(AI$5:AI23),2)&gt;=ROUND(AI$129,2),0,INDEX('draws%'!$D$8:$AH$128,$C24+1,MATCH(AI$4,'draws%'!$D$7:$AH$7,FALSE))*AI$129)</f>
        <v>22766.333333333332</v>
      </c>
      <c r="AJ24" s="181">
        <f>IF(ROUND(SUM(AJ$5:AJ23),2)&gt;=ROUND(AJ$129,2),0,INDEX('draws%'!$D$8:$AH$128,$C24+1,MATCH(AJ$4,'draws%'!$D$7:$AH$7,FALSE))*AJ$129)</f>
        <v>0</v>
      </c>
      <c r="AK24" s="181">
        <f>IF(ROUND(SUM(AK$5:AK23),2)&gt;=ROUND(AK$129,2),0,INDEX('draws%'!$D$8:$AH$128,$C24+1,MATCH(AK$4,'draws%'!$D$7:$AH$7,FALSE))*AK$129)</f>
        <v>0</v>
      </c>
      <c r="AL24" s="189">
        <f t="shared" si="1"/>
        <v>1538536.2892586426</v>
      </c>
      <c r="AM24" s="191"/>
      <c r="AN24" s="184" t="str">
        <v>End (closing)</v>
      </c>
    </row>
    <row r="25" spans="1:42" ht="16">
      <c r="A25" s="1416" t="str">
        <f>IF(MAX(C$5:C24)&gt;=general!$C$27,"post dev",IF(C25&lt;general!$C$23, "Pred", "Dev"))</f>
        <v>Dev</v>
      </c>
      <c r="B25" s="1398"/>
      <c r="C25" s="1388">
        <f>IF('Development Cash Flow'!D24&lt;general!$D$28,'Development Cash Flow'!C24+1,0)</f>
        <v>19</v>
      </c>
      <c r="D25" s="185">
        <f t="shared" si="0"/>
        <v>46843</v>
      </c>
      <c r="E25" s="186">
        <f>($C25&gt;=sales!$D$32)*($C25&lt;=sales!$F$32)*ResUnits/(sales!$E$32+1)</f>
        <v>1.2857142857142858</v>
      </c>
      <c r="F25" s="181">
        <f>($C25&gt;=sales!$D$32)*($C25&lt;=sales!$F$32)*sales!$I$18/(sales!$E$32+1)</f>
        <v>3902800</v>
      </c>
      <c r="G25" s="181">
        <f>($C25&gt;=sales!$D$32)*($C25&lt;=sales!$F$32)*sales!$K$32/(sales!$E$32+1)</f>
        <v>117084</v>
      </c>
      <c r="H25" s="187">
        <f>($C25&gt;=sales!$D$33)*($C25&lt;=sales!$F$33)*sales!$K$33/(sales!$E$33+1)</f>
        <v>204897</v>
      </c>
      <c r="I25" s="181">
        <f>($C25&gt;=sales!$D$34)*($C25&lt;=sales!$F$34)*sales!$K$34/(sales!$E$34+1)</f>
        <v>0</v>
      </c>
      <c r="J25" s="181">
        <f>($C25&gt;=sales!$D$35)*($C25&lt;=sales!$F$35)*sales!$K$35/(sales!$E$35+1)</f>
        <v>0</v>
      </c>
      <c r="K25" s="189">
        <f>($C25&gt;=sales!$D$36)*($C25&lt;=sales!$F$36)*sales!$K$36*IFERROR(VLOOKUP(C25,sales!$C$50:$D$54,2,FALSE),0)</f>
        <v>0</v>
      </c>
      <c r="L25" s="1398"/>
      <c r="M25" s="1403">
        <f>+G25/$G$4*$M$4*sales!$J$32</f>
        <v>117084</v>
      </c>
      <c r="N25" s="1398"/>
      <c r="O25" s="1464">
        <f>IF(ROUND(SUM(O$5:O24),2)&gt;=ROUND(O$129,2),0,INDEX('draws%'!$D$8:$AH$128,$C25+1,MATCH(O$4,'draws%'!$D$7:$AH$7,FALSE))*O$129)</f>
        <v>0</v>
      </c>
      <c r="P25" s="181">
        <f>IF(ROUND(SUM(P$5:P24),2)&gt;=ROUND(P$129,2),0,INDEX('draws%'!$D$8:$AH$128,$C25+1,MATCH(P$4,'draws%'!$D$7:$AH$7,FALSE))*P$129)</f>
        <v>357452.65568995546</v>
      </c>
      <c r="Q25" s="181">
        <f>IF(ROUND(SUM(Q$5:Q24),2)&gt;=ROUND(Q$129,2),0,INDEX('draws%'!$D$8:$AH$128,$C25+1,MATCH(Q$4,'draws%'!$D$7:$AH$7,FALSE))*Q$129)</f>
        <v>9572.2083333333321</v>
      </c>
      <c r="R25" s="181">
        <f>IF(ROUND(SUM(R$5:R24),2)&gt;=ROUND(R$129,2),0,INDEX('draws%'!$D$8:$AH$128,$C25+1,MATCH(R$4,'draws%'!$D$7:$AH$7,FALSE))*R$129)</f>
        <v>5383.6474439718577</v>
      </c>
      <c r="S25" s="181">
        <f>IF(ROUND(SUM(S$5:S24),2)&gt;=ROUND(S$129,2),0,INDEX('draws%'!$D$8:$AH$128,$C25+1,MATCH(S$4,'draws%'!$D$7:$AH$7,FALSE))*S$129)</f>
        <v>2500</v>
      </c>
      <c r="T25" s="181">
        <f>IF(ROUND(SUM(T$5:T24),2)&gt;=ROUND(T$129,2),0,INDEX('draws%'!$D$8:$AH$128,$C25+1,MATCH(T$4,'draws%'!$D$7:$AH$7,FALSE))*T$129)</f>
        <v>0</v>
      </c>
      <c r="U25" s="181">
        <f>IF(ROUND(SUM(U$5:U24),2)&gt;=ROUND(U$129,2),0,INDEX('draws%'!$D$8:$AH$128,$C25+1,MATCH(U$4,'draws%'!$D$7:$AH$7,FALSE))*U$129)</f>
        <v>0</v>
      </c>
      <c r="V25" s="181">
        <f>IF(ROUND(SUM(V$5:V24),2)&gt;=ROUND(V$129,2),0,INDEX('draws%'!$D$8:$AH$128,$C25+1,MATCH(V$4,'draws%'!$D$7:$AH$7,FALSE))*V$129)</f>
        <v>0</v>
      </c>
      <c r="W25" s="181">
        <f>IF(ROUND(SUM(W$5:W24),2)&gt;=ROUND(W$129,2),0,INDEX('draws%'!$D$8:$AH$128,$C25+1,MATCH(W$4,'draws%'!$D$7:$AH$7,FALSE))*W$129)</f>
        <v>0</v>
      </c>
      <c r="X25" s="181">
        <f>IF(ROUND(SUM(X$5:X24),2)&gt;=ROUND(X$129,2),0,INDEX('draws%'!$D$8:$AH$128,$C25+1,MATCH(X$4,'draws%'!$D$7:$AH$7,FALSE))*X$129)</f>
        <v>0</v>
      </c>
      <c r="Y25" s="181">
        <f>IF(ROUND(SUM(Y$5:Y24),2)&gt;=ROUND(Y$129,2),0,INDEX('draws%'!$D$8:$AH$128,$C25+1,MATCH(Y$4,'draws%'!$D$7:$AH$7,FALSE))*Y$129)</f>
        <v>0</v>
      </c>
      <c r="Z25" s="181">
        <f>IF(ROUND(SUM(Z$5:Z24),2)&gt;=ROUND(Z$129,2),0,INDEX('draws%'!$D$8:$AH$128,$C25+1,MATCH(Z$4,'draws%'!$D$7:$AH$7,FALSE))*Z$129)</f>
        <v>2725.336956521739</v>
      </c>
      <c r="AA25" s="181">
        <f>IF(ROUND(SUM(AA$5:AA24),2)&gt;=ROUND(AA$129,2),0,INDEX('draws%'!$D$8:$AH$128,$C25+1,MATCH(AA$4,'draws%'!$D$7:$AH$7,FALSE))*AA$129)</f>
        <v>0</v>
      </c>
      <c r="AB25" s="181">
        <f>IF(ROUND(SUM(AB$5:AB24),2)&gt;=ROUND(AB$129,2),0,INDEX('draws%'!$D$8:$AH$128,$C25+1,MATCH(AB$4,'draws%'!$D$7:$AH$7,FALSE))*AB$129)</f>
        <v>4354.2602271320138</v>
      </c>
      <c r="AC25" s="181">
        <f>($C25&gt;=sales!$D$32)*($C25&lt;=sales!$F$32)*sales!$J$41/(sales!$E$32+1)+($C25&gt;=sales!$D$33)*($C25&lt;=sales!$F$33)*sales!$J$42/(sales!$E$33+1)+($C25&gt;=sales!$D$34)*($C25&lt;=sales!$F$34)*sales!$J$43/(sales!$E$34+1)+($C25&gt;=sales!$D$35)*($C25&lt;=sales!$F$35)*sales!$J$44/(sales!$E$35+1)+($C25&gt;=sales!$D$36)*($C25&lt;=sales!$F$36)*sales!$J$45/(sales!$E$36+1)</f>
        <v>0</v>
      </c>
      <c r="AD25" s="181">
        <f>IF(ROUND(SUM(AD$5:AD24),2)&gt;=ROUND(AD$129,2),0,INDEX('draws%'!$D$8:$AH$128,$C25+1,MATCH(AD$4,'draws%'!$D$7:$AH$7,FALSE))*AD$129)</f>
        <v>6927.5548896384962</v>
      </c>
      <c r="AE25" s="181">
        <f>IF(ROUND(SUM(AE$5:AE24),2)&gt;=ROUND(AE$129,2),0,INDEX('draws%'!$D$8:$AH$128,$C25+1,MATCH(AE$4,'draws%'!$D$7:$AH$7,FALSE))*AE$129)</f>
        <v>0</v>
      </c>
      <c r="AF25" s="188">
        <f>($C25&gt;=sales!$D$32)*($C25&lt;=sales!$F$32)*sales!$D$41/(sales!$E$32+1)+($C25&gt;=sales!$D$33)*($C25&lt;=sales!$F$33)*sales!$D$42/(sales!$E$33+1)+($C25&gt;=sales!$D$34)*($C25&lt;=sales!$F$34)*sales!$D$43/(sales!$E$34+1)+($C25&gt;=sales!$D$35)*($C25&lt;=sales!$F$35)*sales!$D$44/(sales!$E$35+1)+($C25&gt;=sales!$D$36)*($C25&lt;=sales!$F$36)*sales!$D$45/(sales!$E$36+1)</f>
        <v>30734.55</v>
      </c>
      <c r="AG25" s="188">
        <f>($C25&gt;=sales!$D$32)*($C25&lt;=sales!$F$32)*sales!$F$41/(sales!$E$32+1)+($C25&gt;=sales!$D$33)*($C25&lt;=sales!$F$33)*sales!$F$42/(sales!$E$33+1)+($C25&gt;=sales!$D$34)*($C25&lt;=sales!$F$34)*sales!$F$43/(sales!$E$34+1)+($C25&gt;=sales!$D$35)*($C25&lt;=sales!$F$35)*sales!$F$44/(sales!$E$35+1)+($C25&gt;=sales!$D$36)*($C25&lt;=sales!$F$36)*sales!$F$45/(sales!$E$36+1)</f>
        <v>81958.8</v>
      </c>
      <c r="AH25" s="181">
        <f>IF(ROUND(SUM(AH$5:AH24),2)&gt;=ROUND(AH$129,2),0,INDEX('draws%'!$D$8:$AH$128,$C25+1,MATCH(AH$4,'draws%'!$D$7:$AH$7,FALSE))*AH$129)</f>
        <v>0</v>
      </c>
      <c r="AI25" s="181">
        <f>IF(ROUND(SUM(AI$5:AI24),2)&gt;=ROUND(AI$129,2),0,INDEX('draws%'!$D$8:$AH$128,$C25+1,MATCH(AI$4,'draws%'!$D$7:$AH$7,FALSE))*AI$129)</f>
        <v>22766.333333333332</v>
      </c>
      <c r="AJ25" s="181">
        <f>IF(ROUND(SUM(AJ$5:AJ24),2)&gt;=ROUND(AJ$129,2),0,INDEX('draws%'!$D$8:$AH$128,$C25+1,MATCH(AJ$4,'draws%'!$D$7:$AH$7,FALSE))*AJ$129)</f>
        <v>0</v>
      </c>
      <c r="AK25" s="181">
        <f>IF(ROUND(SUM(AK$5:AK24),2)&gt;=ROUND(AK$129,2),0,INDEX('draws%'!$D$8:$AH$128,$C25+1,MATCH(AK$4,'draws%'!$D$7:$AH$7,FALSE))*AK$129)</f>
        <v>0</v>
      </c>
      <c r="AL25" s="189">
        <f t="shared" si="1"/>
        <v>524375.34687388618</v>
      </c>
      <c r="AM25" s="191"/>
      <c r="AN25" s="184" t="str">
        <v>1st 6 / 
Last 6</v>
      </c>
    </row>
    <row r="26" spans="1:42" ht="16">
      <c r="A26" s="1416" t="str">
        <f>IF(MAX(C$5:C25)&gt;=general!$C$27,"post dev",IF(C26&lt;general!$C$23, "Pred", "Dev"))</f>
        <v>Dev</v>
      </c>
      <c r="B26" s="1398"/>
      <c r="C26" s="1388">
        <f>IF('Development Cash Flow'!D25&lt;general!$D$28,'Development Cash Flow'!C25+1,0)</f>
        <v>20</v>
      </c>
      <c r="D26" s="185">
        <f t="shared" si="0"/>
        <v>46873</v>
      </c>
      <c r="E26" s="186">
        <f>($C26&gt;=sales!$D$32)*($C26&lt;=sales!$F$32)*ResUnits/(sales!$E$32+1)</f>
        <v>1.2857142857142858</v>
      </c>
      <c r="F26" s="181">
        <f>($C26&gt;=sales!$D$32)*($C26&lt;=sales!$F$32)*sales!$I$18/(sales!$E$32+1)</f>
        <v>3902800</v>
      </c>
      <c r="G26" s="181">
        <f>($C26&gt;=sales!$D$32)*($C26&lt;=sales!$F$32)*sales!$K$32/(sales!$E$32+1)</f>
        <v>117084</v>
      </c>
      <c r="H26" s="187">
        <f>($C26&gt;=sales!$D$33)*($C26&lt;=sales!$F$33)*sales!$K$33/(sales!$E$33+1)</f>
        <v>204897</v>
      </c>
      <c r="I26" s="181">
        <f>($C26&gt;=sales!$D$34)*($C26&lt;=sales!$F$34)*sales!$K$34/(sales!$E$34+1)</f>
        <v>0</v>
      </c>
      <c r="J26" s="181">
        <f>($C26&gt;=sales!$D$35)*($C26&lt;=sales!$F$35)*sales!$K$35/(sales!$E$35+1)</f>
        <v>0</v>
      </c>
      <c r="K26" s="189">
        <f>($C26&gt;=sales!$D$36)*($C26&lt;=sales!$F$36)*sales!$K$36*IFERROR(VLOOKUP(C26,sales!$C$50:$D$54,2,FALSE),0)</f>
        <v>0</v>
      </c>
      <c r="L26" s="1398"/>
      <c r="M26" s="1403">
        <f>+G26/$G$4*$M$4*sales!$J$32</f>
        <v>117084</v>
      </c>
      <c r="N26" s="1398"/>
      <c r="O26" s="1464">
        <f>IF(ROUND(SUM(O$5:O25),2)&gt;=ROUND(O$129,2),0,INDEX('draws%'!$D$8:$AH$128,$C26+1,MATCH(O$4,'draws%'!$D$7:$AH$7,FALSE))*O$129)</f>
        <v>0</v>
      </c>
      <c r="P26" s="181">
        <f>IF(ROUND(SUM(P$5:P25),2)&gt;=ROUND(P$129,2),0,INDEX('draws%'!$D$8:$AH$128,$C26+1,MATCH(P$4,'draws%'!$D$7:$AH$7,FALSE))*P$129)</f>
        <v>373679.10389328765</v>
      </c>
      <c r="Q26" s="181">
        <f>IF(ROUND(SUM(Q$5:Q25),2)&gt;=ROUND(Q$129,2),0,INDEX('draws%'!$D$8:$AH$128,$C26+1,MATCH(Q$4,'draws%'!$D$7:$AH$7,FALSE))*Q$129)</f>
        <v>9572.2083333333321</v>
      </c>
      <c r="R26" s="181">
        <f>IF(ROUND(SUM(R$5:R25),2)&gt;=ROUND(R$129,2),0,INDEX('draws%'!$D$8:$AH$128,$C26+1,MATCH(R$4,'draws%'!$D$7:$AH$7,FALSE))*R$129)</f>
        <v>5628.0363861269907</v>
      </c>
      <c r="S26" s="181">
        <f>IF(ROUND(SUM(S$5:S25),2)&gt;=ROUND(S$129,2),0,INDEX('draws%'!$D$8:$AH$128,$C26+1,MATCH(S$4,'draws%'!$D$7:$AH$7,FALSE))*S$129)</f>
        <v>2500</v>
      </c>
      <c r="T26" s="181">
        <f>IF(ROUND(SUM(T$5:T25),2)&gt;=ROUND(T$129,2),0,INDEX('draws%'!$D$8:$AH$128,$C26+1,MATCH(T$4,'draws%'!$D$7:$AH$7,FALSE))*T$129)</f>
        <v>0</v>
      </c>
      <c r="U26" s="181">
        <f>IF(ROUND(SUM(U$5:U25),2)&gt;=ROUND(U$129,2),0,INDEX('draws%'!$D$8:$AH$128,$C26+1,MATCH(U$4,'draws%'!$D$7:$AH$7,FALSE))*U$129)</f>
        <v>0</v>
      </c>
      <c r="V26" s="181">
        <f>IF(ROUND(SUM(V$5:V25),2)&gt;=ROUND(V$129,2),0,INDEX('draws%'!$D$8:$AH$128,$C26+1,MATCH(V$4,'draws%'!$D$7:$AH$7,FALSE))*V$129)</f>
        <v>0</v>
      </c>
      <c r="W26" s="181">
        <f>IF(ROUND(SUM(W$5:W25),2)&gt;=ROUND(W$129,2),0,INDEX('draws%'!$D$8:$AH$128,$C26+1,MATCH(W$4,'draws%'!$D$7:$AH$7,FALSE))*W$129)</f>
        <v>0</v>
      </c>
      <c r="X26" s="181">
        <f>IF(ROUND(SUM(X$5:X25),2)&gt;=ROUND(X$129,2),0,INDEX('draws%'!$D$8:$AH$128,$C26+1,MATCH(X$4,'draws%'!$D$7:$AH$7,FALSE))*X$129)</f>
        <v>0</v>
      </c>
      <c r="Y26" s="181">
        <f>IF(ROUND(SUM(Y$5:Y25),2)&gt;=ROUND(Y$129,2),0,INDEX('draws%'!$D$8:$AH$128,$C26+1,MATCH(Y$4,'draws%'!$D$7:$AH$7,FALSE))*Y$129)</f>
        <v>0</v>
      </c>
      <c r="Z26" s="181">
        <f>IF(ROUND(SUM(Z$5:Z25),2)&gt;=ROUND(Z$129,2),0,INDEX('draws%'!$D$8:$AH$128,$C26+1,MATCH(Z$4,'draws%'!$D$7:$AH$7,FALSE))*Z$129)</f>
        <v>2725.336956521739</v>
      </c>
      <c r="AA26" s="181">
        <f>IF(ROUND(SUM(AA$5:AA25),2)&gt;=ROUND(AA$129,2),0,INDEX('draws%'!$D$8:$AH$128,$C26+1,MATCH(AA$4,'draws%'!$D$7:$AH$7,FALSE))*AA$129)</f>
        <v>0</v>
      </c>
      <c r="AB26" s="181">
        <f>IF(ROUND(SUM(AB$5:AB25),2)&gt;=ROUND(AB$129,2),0,INDEX('draws%'!$D$8:$AH$128,$C26+1,MATCH(AB$4,'draws%'!$D$7:$AH$7,FALSE))*AB$129)</f>
        <v>4354.2602271320138</v>
      </c>
      <c r="AC26" s="181">
        <f>($C26&gt;=sales!$D$32)*($C26&lt;=sales!$F$32)*sales!$J$41/(sales!$E$32+1)+($C26&gt;=sales!$D$33)*($C26&lt;=sales!$F$33)*sales!$J$42/(sales!$E$33+1)+($C26&gt;=sales!$D$34)*($C26&lt;=sales!$F$34)*sales!$J$43/(sales!$E$34+1)+($C26&gt;=sales!$D$35)*($C26&lt;=sales!$F$35)*sales!$J$44/(sales!$E$35+1)+($C26&gt;=sales!$D$36)*($C26&lt;=sales!$F$36)*sales!$J$45/(sales!$E$36+1)</f>
        <v>0</v>
      </c>
      <c r="AD26" s="181">
        <f>IF(ROUND(SUM(AD$5:AD25),2)&gt;=ROUND(AD$129,2),0,INDEX('draws%'!$D$8:$AH$128,$C26+1,MATCH(AD$4,'draws%'!$D$7:$AH$7,FALSE))*AD$129)</f>
        <v>6927.5548896384962</v>
      </c>
      <c r="AE26" s="181">
        <f>IF(ROUND(SUM(AE$5:AE25),2)&gt;=ROUND(AE$129,2),0,INDEX('draws%'!$D$8:$AH$128,$C26+1,MATCH(AE$4,'draws%'!$D$7:$AH$7,FALSE))*AE$129)</f>
        <v>0</v>
      </c>
      <c r="AF26" s="188">
        <f>($C26&gt;=sales!$D$32)*($C26&lt;=sales!$F$32)*sales!$D$41/(sales!$E$32+1)+($C26&gt;=sales!$D$33)*($C26&lt;=sales!$F$33)*sales!$D$42/(sales!$E$33+1)+($C26&gt;=sales!$D$34)*($C26&lt;=sales!$F$34)*sales!$D$43/(sales!$E$34+1)+($C26&gt;=sales!$D$35)*($C26&lt;=sales!$F$35)*sales!$D$44/(sales!$E$35+1)+($C26&gt;=sales!$D$36)*($C26&lt;=sales!$F$36)*sales!$D$45/(sales!$E$36+1)</f>
        <v>30734.55</v>
      </c>
      <c r="AG26" s="188">
        <f>($C26&gt;=sales!$D$32)*($C26&lt;=sales!$F$32)*sales!$F$41/(sales!$E$32+1)+($C26&gt;=sales!$D$33)*($C26&lt;=sales!$F$33)*sales!$F$42/(sales!$E$33+1)+($C26&gt;=sales!$D$34)*($C26&lt;=sales!$F$34)*sales!$F$43/(sales!$E$34+1)+($C26&gt;=sales!$D$35)*($C26&lt;=sales!$F$35)*sales!$F$44/(sales!$E$35+1)+($C26&gt;=sales!$D$36)*($C26&lt;=sales!$F$36)*sales!$F$45/(sales!$E$36+1)</f>
        <v>81958.8</v>
      </c>
      <c r="AH26" s="181">
        <f>IF(ROUND(SUM(AH$5:AH25),2)&gt;=ROUND(AH$129,2),0,INDEX('draws%'!$D$8:$AH$128,$C26+1,MATCH(AH$4,'draws%'!$D$7:$AH$7,FALSE))*AH$129)</f>
        <v>0</v>
      </c>
      <c r="AI26" s="181">
        <f>IF(ROUND(SUM(AI$5:AI25),2)&gt;=ROUND(AI$129,2),0,INDEX('draws%'!$D$8:$AH$128,$C26+1,MATCH(AI$4,'draws%'!$D$7:$AH$7,FALSE))*AI$129)</f>
        <v>22766.333333333332</v>
      </c>
      <c r="AJ26" s="181">
        <f>IF(ROUND(SUM(AJ$5:AJ25),2)&gt;=ROUND(AJ$129,2),0,INDEX('draws%'!$D$8:$AH$128,$C26+1,MATCH(AJ$4,'draws%'!$D$7:$AH$7,FALSE))*AJ$129)</f>
        <v>0</v>
      </c>
      <c r="AK26" s="181">
        <f>IF(ROUND(SUM(AK$5:AK25),2)&gt;=ROUND(AK$129,2),0,INDEX('draws%'!$D$8:$AH$128,$C26+1,MATCH(AK$4,'draws%'!$D$7:$AH$7,FALSE))*AK$129)</f>
        <v>0</v>
      </c>
      <c r="AL26" s="189">
        <f t="shared" si="1"/>
        <v>540846.1840193735</v>
      </c>
      <c r="AM26" s="191"/>
      <c r="AN26" s="184" t="str">
        <v>Loan Closing</v>
      </c>
    </row>
    <row r="27" spans="1:42" ht="16">
      <c r="A27" s="1416" t="str">
        <f>IF(MAX(C$5:C26)&gt;=general!$C$27,"post dev",IF(C27&lt;general!$C$23, "Pred", "Dev"))</f>
        <v>Dev</v>
      </c>
      <c r="B27" s="1398"/>
      <c r="C27" s="1388">
        <f>IF('Development Cash Flow'!D26&lt;general!$D$28,'Development Cash Flow'!C26+1,0)</f>
        <v>21</v>
      </c>
      <c r="D27" s="185">
        <f t="shared" si="0"/>
        <v>46904</v>
      </c>
      <c r="E27" s="186">
        <f>($C27&gt;=sales!$D$32)*($C27&lt;=sales!$F$32)*ResUnits/(sales!$E$32+1)</f>
        <v>1.2857142857142858</v>
      </c>
      <c r="F27" s="181">
        <f>($C27&gt;=sales!$D$32)*($C27&lt;=sales!$F$32)*sales!$I$18/(sales!$E$32+1)</f>
        <v>3902800</v>
      </c>
      <c r="G27" s="181">
        <f>($C27&gt;=sales!$D$32)*($C27&lt;=sales!$F$32)*sales!$K$32/(sales!$E$32+1)</f>
        <v>117084</v>
      </c>
      <c r="H27" s="187">
        <f>($C27&gt;=sales!$D$33)*($C27&lt;=sales!$F$33)*sales!$K$33/(sales!$E$33+1)</f>
        <v>204897</v>
      </c>
      <c r="I27" s="181">
        <f>($C27&gt;=sales!$D$34)*($C27&lt;=sales!$F$34)*sales!$K$34/(sales!$E$34+1)</f>
        <v>0</v>
      </c>
      <c r="J27" s="181">
        <f>($C27&gt;=sales!$D$35)*($C27&lt;=sales!$F$35)*sales!$K$35/(sales!$E$35+1)</f>
        <v>0</v>
      </c>
      <c r="K27" s="189">
        <f>($C27&gt;=sales!$D$36)*($C27&lt;=sales!$F$36)*sales!$K$36*IFERROR(VLOOKUP(C27,sales!$C$50:$D$54,2,FALSE),0)</f>
        <v>0</v>
      </c>
      <c r="L27" s="1398"/>
      <c r="M27" s="1403">
        <f>+G27/$G$4*$M$4*sales!$J$32</f>
        <v>117084</v>
      </c>
      <c r="N27" s="1398"/>
      <c r="O27" s="1464">
        <f>IF(ROUND(SUM(O$5:O26),2)&gt;=ROUND(O$129,2),0,INDEX('draws%'!$D$8:$AH$128,$C27+1,MATCH(O$4,'draws%'!$D$7:$AH$7,FALSE))*O$129)</f>
        <v>0</v>
      </c>
      <c r="P27" s="181">
        <f>IF(ROUND(SUM(P$5:P26),2)&gt;=ROUND(P$129,2),0,INDEX('draws%'!$D$8:$AH$128,$C27+1,MATCH(P$4,'draws%'!$D$7:$AH$7,FALSE))*P$129)</f>
        <v>389277.65318305534</v>
      </c>
      <c r="Q27" s="181">
        <f>IF(ROUND(SUM(Q$5:Q26),2)&gt;=ROUND(Q$129,2),0,INDEX('draws%'!$D$8:$AH$128,$C27+1,MATCH(Q$4,'draws%'!$D$7:$AH$7,FALSE))*Q$129)</f>
        <v>9572.2083333333321</v>
      </c>
      <c r="R27" s="181">
        <f>IF(ROUND(SUM(R$5:R26),2)&gt;=ROUND(R$129,2),0,INDEX('draws%'!$D$8:$AH$128,$C27+1,MATCH(R$4,'draws%'!$D$7:$AH$7,FALSE))*R$129)</f>
        <v>5862.9684496514146</v>
      </c>
      <c r="S27" s="181">
        <f>IF(ROUND(SUM(S$5:S26),2)&gt;=ROUND(S$129,2),0,INDEX('draws%'!$D$8:$AH$128,$C27+1,MATCH(S$4,'draws%'!$D$7:$AH$7,FALSE))*S$129)</f>
        <v>2500</v>
      </c>
      <c r="T27" s="181">
        <f>IF(ROUND(SUM(T$5:T26),2)&gt;=ROUND(T$129,2),0,INDEX('draws%'!$D$8:$AH$128,$C27+1,MATCH(T$4,'draws%'!$D$7:$AH$7,FALSE))*T$129)</f>
        <v>0</v>
      </c>
      <c r="U27" s="181">
        <f>IF(ROUND(SUM(U$5:U26),2)&gt;=ROUND(U$129,2),0,INDEX('draws%'!$D$8:$AH$128,$C27+1,MATCH(U$4,'draws%'!$D$7:$AH$7,FALSE))*U$129)</f>
        <v>0</v>
      </c>
      <c r="V27" s="181">
        <f>IF(ROUND(SUM(V$5:V26),2)&gt;=ROUND(V$129,2),0,INDEX('draws%'!$D$8:$AH$128,$C27+1,MATCH(V$4,'draws%'!$D$7:$AH$7,FALSE))*V$129)</f>
        <v>0</v>
      </c>
      <c r="W27" s="181">
        <f>IF(ROUND(SUM(W$5:W26),2)&gt;=ROUND(W$129,2),0,INDEX('draws%'!$D$8:$AH$128,$C27+1,MATCH(W$4,'draws%'!$D$7:$AH$7,FALSE))*W$129)</f>
        <v>0</v>
      </c>
      <c r="X27" s="181">
        <f>IF(ROUND(SUM(X$5:X26),2)&gt;=ROUND(X$129,2),0,INDEX('draws%'!$D$8:$AH$128,$C27+1,MATCH(X$4,'draws%'!$D$7:$AH$7,FALSE))*X$129)</f>
        <v>0</v>
      </c>
      <c r="Y27" s="181">
        <f>IF(ROUND(SUM(Y$5:Y26),2)&gt;=ROUND(Y$129,2),0,INDEX('draws%'!$D$8:$AH$128,$C27+1,MATCH(Y$4,'draws%'!$D$7:$AH$7,FALSE))*Y$129)</f>
        <v>0</v>
      </c>
      <c r="Z27" s="181">
        <f>IF(ROUND(SUM(Z$5:Z26),2)&gt;=ROUND(Z$129,2),0,INDEX('draws%'!$D$8:$AH$128,$C27+1,MATCH(Z$4,'draws%'!$D$7:$AH$7,FALSE))*Z$129)</f>
        <v>2725.336956521739</v>
      </c>
      <c r="AA27" s="181">
        <f>IF(ROUND(SUM(AA$5:AA26),2)&gt;=ROUND(AA$129,2),0,INDEX('draws%'!$D$8:$AH$128,$C27+1,MATCH(AA$4,'draws%'!$D$7:$AH$7,FALSE))*AA$129)</f>
        <v>0</v>
      </c>
      <c r="AB27" s="181">
        <f>IF(ROUND(SUM(AB$5:AB26),2)&gt;=ROUND(AB$129,2),0,INDEX('draws%'!$D$8:$AH$128,$C27+1,MATCH(AB$4,'draws%'!$D$7:$AH$7,FALSE))*AB$129)</f>
        <v>4354.2602271320138</v>
      </c>
      <c r="AC27" s="181">
        <f>($C27&gt;=sales!$D$32)*($C27&lt;=sales!$F$32)*sales!$J$41/(sales!$E$32+1)+($C27&gt;=sales!$D$33)*($C27&lt;=sales!$F$33)*sales!$J$42/(sales!$E$33+1)+($C27&gt;=sales!$D$34)*($C27&lt;=sales!$F$34)*sales!$J$43/(sales!$E$34+1)+($C27&gt;=sales!$D$35)*($C27&lt;=sales!$F$35)*sales!$J$44/(sales!$E$35+1)+($C27&gt;=sales!$D$36)*($C27&lt;=sales!$F$36)*sales!$J$45/(sales!$E$36+1)</f>
        <v>0</v>
      </c>
      <c r="AD27" s="181">
        <f>IF(ROUND(SUM(AD$5:AD26),2)&gt;=ROUND(AD$129,2),0,INDEX('draws%'!$D$8:$AH$128,$C27+1,MATCH(AD$4,'draws%'!$D$7:$AH$7,FALSE))*AD$129)</f>
        <v>6927.5548896384962</v>
      </c>
      <c r="AE27" s="181">
        <f>IF(ROUND(SUM(AE$5:AE26),2)&gt;=ROUND(AE$129,2),0,INDEX('draws%'!$D$8:$AH$128,$C27+1,MATCH(AE$4,'draws%'!$D$7:$AH$7,FALSE))*AE$129)</f>
        <v>0</v>
      </c>
      <c r="AF27" s="188">
        <f>($C27&gt;=sales!$D$32)*($C27&lt;=sales!$F$32)*sales!$D$41/(sales!$E$32+1)+($C27&gt;=sales!$D$33)*($C27&lt;=sales!$F$33)*sales!$D$42/(sales!$E$33+1)+($C27&gt;=sales!$D$34)*($C27&lt;=sales!$F$34)*sales!$D$43/(sales!$E$34+1)+($C27&gt;=sales!$D$35)*($C27&lt;=sales!$F$35)*sales!$D$44/(sales!$E$35+1)+($C27&gt;=sales!$D$36)*($C27&lt;=sales!$F$36)*sales!$D$45/(sales!$E$36+1)</f>
        <v>30734.55</v>
      </c>
      <c r="AG27" s="188">
        <f>($C27&gt;=sales!$D$32)*($C27&lt;=sales!$F$32)*sales!$F$41/(sales!$E$32+1)+($C27&gt;=sales!$D$33)*($C27&lt;=sales!$F$33)*sales!$F$42/(sales!$E$33+1)+($C27&gt;=sales!$D$34)*($C27&lt;=sales!$F$34)*sales!$F$43/(sales!$E$34+1)+($C27&gt;=sales!$D$35)*($C27&lt;=sales!$F$35)*sales!$F$44/(sales!$E$35+1)+($C27&gt;=sales!$D$36)*($C27&lt;=sales!$F$36)*sales!$F$45/(sales!$E$36+1)</f>
        <v>81958.8</v>
      </c>
      <c r="AH27" s="181">
        <f>IF(ROUND(SUM(AH$5:AH26),2)&gt;=ROUND(AH$129,2),0,INDEX('draws%'!$D$8:$AH$128,$C27+1,MATCH(AH$4,'draws%'!$D$7:$AH$7,FALSE))*AH$129)</f>
        <v>0</v>
      </c>
      <c r="AI27" s="181">
        <f>IF(ROUND(SUM(AI$5:AI26),2)&gt;=ROUND(AI$129,2),0,INDEX('draws%'!$D$8:$AH$128,$C27+1,MATCH(AI$4,'draws%'!$D$7:$AH$7,FALSE))*AI$129)</f>
        <v>22766.333333333332</v>
      </c>
      <c r="AJ27" s="181">
        <f>IF(ROUND(SUM(AJ$5:AJ26),2)&gt;=ROUND(AJ$129,2),0,INDEX('draws%'!$D$8:$AH$128,$C27+1,MATCH(AJ$4,'draws%'!$D$7:$AH$7,FALSE))*AJ$129)</f>
        <v>0</v>
      </c>
      <c r="AK27" s="181">
        <f>IF(ROUND(SUM(AK$5:AK26),2)&gt;=ROUND(AK$129,2),0,INDEX('draws%'!$D$8:$AH$128,$C27+1,MATCH(AK$4,'draws%'!$D$7:$AH$7,FALSE))*AK$129)</f>
        <v>0</v>
      </c>
      <c r="AL27" s="189">
        <f t="shared" si="1"/>
        <v>556679.66537266574</v>
      </c>
      <c r="AM27" s="191"/>
      <c r="AN27" s="184" t="str">
        <v>Sales Center</v>
      </c>
    </row>
    <row r="28" spans="1:42" ht="16">
      <c r="A28" s="1416" t="str">
        <f>IF(MAX(C$5:C27)&gt;=general!$C$27,"post dev",IF(C28&lt;general!$C$23, "Pred", "Dev"))</f>
        <v>Dev</v>
      </c>
      <c r="B28" s="1398"/>
      <c r="C28" s="1388">
        <f>IF('Development Cash Flow'!D27&lt;general!$D$28,'Development Cash Flow'!C27+1,0)</f>
        <v>22</v>
      </c>
      <c r="D28" s="185">
        <f t="shared" si="0"/>
        <v>46934</v>
      </c>
      <c r="E28" s="186">
        <f>($C28&gt;=sales!$D$32)*($C28&lt;=sales!$F$32)*ResUnits/(sales!$E$32+1)</f>
        <v>1.2857142857142858</v>
      </c>
      <c r="F28" s="181">
        <f>($C28&gt;=sales!$D$32)*($C28&lt;=sales!$F$32)*sales!$I$18/(sales!$E$32+1)</f>
        <v>3902800</v>
      </c>
      <c r="G28" s="181">
        <f>($C28&gt;=sales!$D$32)*($C28&lt;=sales!$F$32)*sales!$K$32/(sales!$E$32+1)</f>
        <v>117084</v>
      </c>
      <c r="H28" s="187">
        <f>($C28&gt;=sales!$D$33)*($C28&lt;=sales!$F$33)*sales!$K$33/(sales!$E$33+1)</f>
        <v>0</v>
      </c>
      <c r="I28" s="181">
        <f>($C28&gt;=sales!$D$34)*($C28&lt;=sales!$F$34)*sales!$K$34/(sales!$E$34+1)</f>
        <v>0</v>
      </c>
      <c r="J28" s="181">
        <f>($C28&gt;=sales!$D$35)*($C28&lt;=sales!$F$35)*sales!$K$35/(sales!$E$35+1)</f>
        <v>0</v>
      </c>
      <c r="K28" s="189">
        <f>($C28&gt;=sales!$D$36)*($C28&lt;=sales!$F$36)*sales!$K$36*IFERROR(VLOOKUP(C28,sales!$C$50:$D$54,2,FALSE),0)</f>
        <v>0</v>
      </c>
      <c r="L28" s="1398"/>
      <c r="M28" s="1403">
        <f>+G28/$G$4*$M$4*sales!$J$32</f>
        <v>117084</v>
      </c>
      <c r="N28" s="1398"/>
      <c r="O28" s="1464">
        <f>IF(ROUND(SUM(O$5:O27),2)&gt;=ROUND(O$129,2),0,INDEX('draws%'!$D$8:$AH$128,$C28+1,MATCH(O$4,'draws%'!$D$7:$AH$7,FALSE))*O$129)</f>
        <v>0</v>
      </c>
      <c r="P28" s="181">
        <f>IF(ROUND(SUM(P$5:P27),2)&gt;=ROUND(P$129,2),0,INDEX('draws%'!$D$8:$AH$128,$C28+1,MATCH(P$4,'draws%'!$D$7:$AH$7,FALSE))*P$129)</f>
        <v>403985.10633049696</v>
      </c>
      <c r="Q28" s="181">
        <f>IF(ROUND(SUM(Q$5:Q27),2)&gt;=ROUND(Q$129,2),0,INDEX('draws%'!$D$8:$AH$128,$C28+1,MATCH(Q$4,'draws%'!$D$7:$AH$7,FALSE))*Q$129)</f>
        <v>9572.2083333333321</v>
      </c>
      <c r="R28" s="181">
        <f>IF(ROUND(SUM(R$5:R27),2)&gt;=ROUND(R$129,2),0,INDEX('draws%'!$D$8:$AH$128,$C28+1,MATCH(R$4,'draws%'!$D$7:$AH$7,FALSE))*R$129)</f>
        <v>6084.4795820606205</v>
      </c>
      <c r="S28" s="181">
        <f>IF(ROUND(SUM(S$5:S27),2)&gt;=ROUND(S$129,2),0,INDEX('draws%'!$D$8:$AH$128,$C28+1,MATCH(S$4,'draws%'!$D$7:$AH$7,FALSE))*S$129)</f>
        <v>2500</v>
      </c>
      <c r="T28" s="181">
        <f>IF(ROUND(SUM(T$5:T27),2)&gt;=ROUND(T$129,2),0,INDEX('draws%'!$D$8:$AH$128,$C28+1,MATCH(T$4,'draws%'!$D$7:$AH$7,FALSE))*T$129)</f>
        <v>0</v>
      </c>
      <c r="U28" s="181">
        <f>IF(ROUND(SUM(U$5:U27),2)&gt;=ROUND(U$129,2),0,INDEX('draws%'!$D$8:$AH$128,$C28+1,MATCH(U$4,'draws%'!$D$7:$AH$7,FALSE))*U$129)</f>
        <v>0</v>
      </c>
      <c r="V28" s="181">
        <f>IF(ROUND(SUM(V$5:V27),2)&gt;=ROUND(V$129,2),0,INDEX('draws%'!$D$8:$AH$128,$C28+1,MATCH(V$4,'draws%'!$D$7:$AH$7,FALSE))*V$129)</f>
        <v>0</v>
      </c>
      <c r="W28" s="181">
        <f>IF(ROUND(SUM(W$5:W27),2)&gt;=ROUND(W$129,2),0,INDEX('draws%'!$D$8:$AH$128,$C28+1,MATCH(W$4,'draws%'!$D$7:$AH$7,FALSE))*W$129)</f>
        <v>0</v>
      </c>
      <c r="X28" s="181">
        <f>IF(ROUND(SUM(X$5:X27),2)&gt;=ROUND(X$129,2),0,INDEX('draws%'!$D$8:$AH$128,$C28+1,MATCH(X$4,'draws%'!$D$7:$AH$7,FALSE))*X$129)</f>
        <v>0</v>
      </c>
      <c r="Y28" s="181">
        <f>IF(ROUND(SUM(Y$5:Y27),2)&gt;=ROUND(Y$129,2),0,INDEX('draws%'!$D$8:$AH$128,$C28+1,MATCH(Y$4,'draws%'!$D$7:$AH$7,FALSE))*Y$129)</f>
        <v>0</v>
      </c>
      <c r="Z28" s="181">
        <f>IF(ROUND(SUM(Z$5:Z27),2)&gt;=ROUND(Z$129,2),0,INDEX('draws%'!$D$8:$AH$128,$C28+1,MATCH(Z$4,'draws%'!$D$7:$AH$7,FALSE))*Z$129)</f>
        <v>2725.336956521739</v>
      </c>
      <c r="AA28" s="181">
        <f>IF(ROUND(SUM(AA$5:AA27),2)&gt;=ROUND(AA$129,2),0,INDEX('draws%'!$D$8:$AH$128,$C28+1,MATCH(AA$4,'draws%'!$D$7:$AH$7,FALSE))*AA$129)</f>
        <v>0</v>
      </c>
      <c r="AB28" s="181">
        <f>IF(ROUND(SUM(AB$5:AB27),2)&gt;=ROUND(AB$129,2),0,INDEX('draws%'!$D$8:$AH$128,$C28+1,MATCH(AB$4,'draws%'!$D$7:$AH$7,FALSE))*AB$129)</f>
        <v>4354.2602271320138</v>
      </c>
      <c r="AC28" s="181">
        <f>($C28&gt;=sales!$D$32)*($C28&lt;=sales!$F$32)*sales!$J$41/(sales!$E$32+1)+($C28&gt;=sales!$D$33)*($C28&lt;=sales!$F$33)*sales!$J$42/(sales!$E$33+1)+($C28&gt;=sales!$D$34)*($C28&lt;=sales!$F$34)*sales!$J$43/(sales!$E$34+1)+($C28&gt;=sales!$D$35)*($C28&lt;=sales!$F$35)*sales!$J$44/(sales!$E$35+1)+($C28&gt;=sales!$D$36)*($C28&lt;=sales!$F$36)*sales!$J$45/(sales!$E$36+1)</f>
        <v>0</v>
      </c>
      <c r="AD28" s="181">
        <f>IF(ROUND(SUM(AD$5:AD27),2)&gt;=ROUND(AD$129,2),0,INDEX('draws%'!$D$8:$AH$128,$C28+1,MATCH(AD$4,'draws%'!$D$7:$AH$7,FALSE))*AD$129)</f>
        <v>6927.5548896384962</v>
      </c>
      <c r="AE28" s="181">
        <f>IF(ROUND(SUM(AE$5:AE27),2)&gt;=ROUND(AE$129,2),0,INDEX('draws%'!$D$8:$AH$128,$C28+1,MATCH(AE$4,'draws%'!$D$7:$AH$7,FALSE))*AE$129)</f>
        <v>0</v>
      </c>
      <c r="AF28" s="188">
        <f>($C28&gt;=sales!$D$32)*($C28&lt;=sales!$F$32)*sales!$D$41/(sales!$E$32+1)+($C28&gt;=sales!$D$33)*($C28&lt;=sales!$F$33)*sales!$D$42/(sales!$E$33+1)+($C28&gt;=sales!$D$34)*($C28&lt;=sales!$F$34)*sales!$D$43/(sales!$E$34+1)+($C28&gt;=sales!$D$35)*($C28&lt;=sales!$F$35)*sales!$D$44/(sales!$E$35+1)+($C28&gt;=sales!$D$36)*($C28&lt;=sales!$F$36)*sales!$D$45/(sales!$E$36+1)</f>
        <v>0</v>
      </c>
      <c r="AG28" s="188">
        <f>($C28&gt;=sales!$D$32)*($C28&lt;=sales!$F$32)*sales!$F$41/(sales!$E$32+1)+($C28&gt;=sales!$D$33)*($C28&lt;=sales!$F$33)*sales!$F$42/(sales!$E$33+1)+($C28&gt;=sales!$D$34)*($C28&lt;=sales!$F$34)*sales!$F$43/(sales!$E$34+1)+($C28&gt;=sales!$D$35)*($C28&lt;=sales!$F$35)*sales!$F$44/(sales!$E$35+1)+($C28&gt;=sales!$D$36)*($C28&lt;=sales!$F$36)*sales!$F$45/(sales!$E$36+1)</f>
        <v>0</v>
      </c>
      <c r="AH28" s="181">
        <f>IF(ROUND(SUM(AH$5:AH27),2)&gt;=ROUND(AH$129,2),0,INDEX('draws%'!$D$8:$AH$128,$C28+1,MATCH(AH$4,'draws%'!$D$7:$AH$7,FALSE))*AH$129)</f>
        <v>0</v>
      </c>
      <c r="AI28" s="181">
        <f>IF(ROUND(SUM(AI$5:AI27),2)&gt;=ROUND(AI$129,2),0,INDEX('draws%'!$D$8:$AH$128,$C28+1,MATCH(AI$4,'draws%'!$D$7:$AH$7,FALSE))*AI$129)</f>
        <v>22766.333333333332</v>
      </c>
      <c r="AJ28" s="181">
        <f>IF(ROUND(SUM(AJ$5:AJ27),2)&gt;=ROUND(AJ$129,2),0,INDEX('draws%'!$D$8:$AH$128,$C28+1,MATCH(AJ$4,'draws%'!$D$7:$AH$7,FALSE))*AJ$129)</f>
        <v>0</v>
      </c>
      <c r="AK28" s="181">
        <f>IF(ROUND(SUM(AK$5:AK27),2)&gt;=ROUND(AK$129,2),0,INDEX('draws%'!$D$8:$AH$128,$C28+1,MATCH(AK$4,'draws%'!$D$7:$AH$7,FALSE))*AK$129)</f>
        <v>0</v>
      </c>
      <c r="AL28" s="189">
        <f t="shared" si="1"/>
        <v>458915.27965251642</v>
      </c>
      <c r="AM28" s="191"/>
      <c r="AN28" s="184" t="str">
        <v>Developer Fee</v>
      </c>
    </row>
    <row r="29" spans="1:42" ht="16">
      <c r="A29" s="1416" t="str">
        <f>IF(MAX(C$5:C28)&gt;=general!$C$27,"post dev",IF(C29&lt;general!$C$23, "Pred", "Dev"))</f>
        <v>Dev</v>
      </c>
      <c r="B29" s="1398"/>
      <c r="C29" s="1388">
        <f>IF('Development Cash Flow'!D28&lt;general!$D$28,'Development Cash Flow'!C28+1,0)</f>
        <v>23</v>
      </c>
      <c r="D29" s="185">
        <f t="shared" si="0"/>
        <v>46965</v>
      </c>
      <c r="E29" s="186">
        <f>($C29&gt;=sales!$D$32)*($C29&lt;=sales!$F$32)*ResUnits/(sales!$E$32+1)</f>
        <v>1.2857142857142858</v>
      </c>
      <c r="F29" s="181">
        <f>($C29&gt;=sales!$D$32)*($C29&lt;=sales!$F$32)*sales!$I$18/(sales!$E$32+1)</f>
        <v>3902800</v>
      </c>
      <c r="G29" s="181">
        <f>($C29&gt;=sales!$D$32)*($C29&lt;=sales!$F$32)*sales!$K$32/(sales!$E$32+1)</f>
        <v>117084</v>
      </c>
      <c r="H29" s="187">
        <f>($C29&gt;=sales!$D$33)*($C29&lt;=sales!$F$33)*sales!$K$33/(sales!$E$33+1)</f>
        <v>0</v>
      </c>
      <c r="I29" s="181">
        <f>($C29&gt;=sales!$D$34)*($C29&lt;=sales!$F$34)*sales!$K$34/(sales!$E$34+1)</f>
        <v>0</v>
      </c>
      <c r="J29" s="181">
        <f>($C29&gt;=sales!$D$35)*($C29&lt;=sales!$F$35)*sales!$K$35/(sales!$E$35+1)</f>
        <v>0</v>
      </c>
      <c r="K29" s="189">
        <f>($C29&gt;=sales!$D$36)*($C29&lt;=sales!$F$36)*sales!$K$36*IFERROR(VLOOKUP(C29,sales!$C$50:$D$54,2,FALSE),0)</f>
        <v>0</v>
      </c>
      <c r="L29" s="1398"/>
      <c r="M29" s="1403">
        <f>+G29/$G$4*$M$4*sales!$J$32</f>
        <v>117084</v>
      </c>
      <c r="N29" s="1398"/>
      <c r="O29" s="1464">
        <f>IF(ROUND(SUM(O$5:O28),2)&gt;=ROUND(O$129,2),0,INDEX('draws%'!$D$8:$AH$128,$C29+1,MATCH(O$4,'draws%'!$D$7:$AH$7,FALSE))*O$129)</f>
        <v>0</v>
      </c>
      <c r="P29" s="181">
        <f>IF(ROUND(SUM(P$5:P28),2)&gt;=ROUND(P$129,2),0,INDEX('draws%'!$D$8:$AH$128,$C29+1,MATCH(P$4,'draws%'!$D$7:$AH$7,FALSE))*P$129)</f>
        <v>417541.33441309782</v>
      </c>
      <c r="Q29" s="181">
        <f>IF(ROUND(SUM(Q$5:Q28),2)&gt;=ROUND(Q$129,2),0,INDEX('draws%'!$D$8:$AH$128,$C29+1,MATCH(Q$4,'draws%'!$D$7:$AH$7,FALSE))*Q$129)</f>
        <v>9572.2083333333321</v>
      </c>
      <c r="R29" s="181">
        <f>IF(ROUND(SUM(R$5:R28),2)&gt;=ROUND(R$129,2),0,INDEX('draws%'!$D$8:$AH$128,$C29+1,MATCH(R$4,'draws%'!$D$7:$AH$7,FALSE))*R$129)</f>
        <v>6288.6519430853941</v>
      </c>
      <c r="S29" s="181">
        <f>IF(ROUND(SUM(S$5:S28),2)&gt;=ROUND(S$129,2),0,INDEX('draws%'!$D$8:$AH$128,$C29+1,MATCH(S$4,'draws%'!$D$7:$AH$7,FALSE))*S$129)</f>
        <v>2500</v>
      </c>
      <c r="T29" s="181">
        <f>IF(ROUND(SUM(T$5:T28),2)&gt;=ROUND(T$129,2),0,INDEX('draws%'!$D$8:$AH$128,$C29+1,MATCH(T$4,'draws%'!$D$7:$AH$7,FALSE))*T$129)</f>
        <v>0</v>
      </c>
      <c r="U29" s="181">
        <f>IF(ROUND(SUM(U$5:U28),2)&gt;=ROUND(U$129,2),0,INDEX('draws%'!$D$8:$AH$128,$C29+1,MATCH(U$4,'draws%'!$D$7:$AH$7,FALSE))*U$129)</f>
        <v>0</v>
      </c>
      <c r="V29" s="181">
        <f>IF(ROUND(SUM(V$5:V28),2)&gt;=ROUND(V$129,2),0,INDEX('draws%'!$D$8:$AH$128,$C29+1,MATCH(V$4,'draws%'!$D$7:$AH$7,FALSE))*V$129)</f>
        <v>0</v>
      </c>
      <c r="W29" s="181">
        <f>IF(ROUND(SUM(W$5:W28),2)&gt;=ROUND(W$129,2),0,INDEX('draws%'!$D$8:$AH$128,$C29+1,MATCH(W$4,'draws%'!$D$7:$AH$7,FALSE))*W$129)</f>
        <v>0</v>
      </c>
      <c r="X29" s="181">
        <f>IF(ROUND(SUM(X$5:X28),2)&gt;=ROUND(X$129,2),0,INDEX('draws%'!$D$8:$AH$128,$C29+1,MATCH(X$4,'draws%'!$D$7:$AH$7,FALSE))*X$129)</f>
        <v>0</v>
      </c>
      <c r="Y29" s="181">
        <f>IF(ROUND(SUM(Y$5:Y28),2)&gt;=ROUND(Y$129,2),0,INDEX('draws%'!$D$8:$AH$128,$C29+1,MATCH(Y$4,'draws%'!$D$7:$AH$7,FALSE))*Y$129)</f>
        <v>0</v>
      </c>
      <c r="Z29" s="181">
        <f>IF(ROUND(SUM(Z$5:Z28),2)&gt;=ROUND(Z$129,2),0,INDEX('draws%'!$D$8:$AH$128,$C29+1,MATCH(Z$4,'draws%'!$D$7:$AH$7,FALSE))*Z$129)</f>
        <v>2725.336956521739</v>
      </c>
      <c r="AA29" s="181">
        <f>IF(ROUND(SUM(AA$5:AA28),2)&gt;=ROUND(AA$129,2),0,INDEX('draws%'!$D$8:$AH$128,$C29+1,MATCH(AA$4,'draws%'!$D$7:$AH$7,FALSE))*AA$129)</f>
        <v>0</v>
      </c>
      <c r="AB29" s="181">
        <f>IF(ROUND(SUM(AB$5:AB28),2)&gt;=ROUND(AB$129,2),0,INDEX('draws%'!$D$8:$AH$128,$C29+1,MATCH(AB$4,'draws%'!$D$7:$AH$7,FALSE))*AB$129)</f>
        <v>4354.2602271320138</v>
      </c>
      <c r="AC29" s="181">
        <f>($C29&gt;=sales!$D$32)*($C29&lt;=sales!$F$32)*sales!$J$41/(sales!$E$32+1)+($C29&gt;=sales!$D$33)*($C29&lt;=sales!$F$33)*sales!$J$42/(sales!$E$33+1)+($C29&gt;=sales!$D$34)*($C29&lt;=sales!$F$34)*sales!$J$43/(sales!$E$34+1)+($C29&gt;=sales!$D$35)*($C29&lt;=sales!$F$35)*sales!$J$44/(sales!$E$35+1)+($C29&gt;=sales!$D$36)*($C29&lt;=sales!$F$36)*sales!$J$45/(sales!$E$36+1)</f>
        <v>0</v>
      </c>
      <c r="AD29" s="181">
        <f>IF(ROUND(SUM(AD$5:AD28),2)&gt;=ROUND(AD$129,2),0,INDEX('draws%'!$D$8:$AH$128,$C29+1,MATCH(AD$4,'draws%'!$D$7:$AH$7,FALSE))*AD$129)</f>
        <v>6927.5548896384962</v>
      </c>
      <c r="AE29" s="181">
        <f>IF(ROUND(SUM(AE$5:AE28),2)&gt;=ROUND(AE$129,2),0,INDEX('draws%'!$D$8:$AH$128,$C29+1,MATCH(AE$4,'draws%'!$D$7:$AH$7,FALSE))*AE$129)</f>
        <v>0</v>
      </c>
      <c r="AF29" s="188">
        <f>($C29&gt;=sales!$D$32)*($C29&lt;=sales!$F$32)*sales!$D$41/(sales!$E$32+1)+($C29&gt;=sales!$D$33)*($C29&lt;=sales!$F$33)*sales!$D$42/(sales!$E$33+1)+($C29&gt;=sales!$D$34)*($C29&lt;=sales!$F$34)*sales!$D$43/(sales!$E$34+1)+($C29&gt;=sales!$D$35)*($C29&lt;=sales!$F$35)*sales!$D$44/(sales!$E$35+1)+($C29&gt;=sales!$D$36)*($C29&lt;=sales!$F$36)*sales!$D$45/(sales!$E$36+1)</f>
        <v>0</v>
      </c>
      <c r="AG29" s="188">
        <f>($C29&gt;=sales!$D$32)*($C29&lt;=sales!$F$32)*sales!$F$41/(sales!$E$32+1)+($C29&gt;=sales!$D$33)*($C29&lt;=sales!$F$33)*sales!$F$42/(sales!$E$33+1)+($C29&gt;=sales!$D$34)*($C29&lt;=sales!$F$34)*sales!$F$43/(sales!$E$34+1)+($C29&gt;=sales!$D$35)*($C29&lt;=sales!$F$35)*sales!$F$44/(sales!$E$35+1)+($C29&gt;=sales!$D$36)*($C29&lt;=sales!$F$36)*sales!$F$45/(sales!$E$36+1)</f>
        <v>0</v>
      </c>
      <c r="AH29" s="181">
        <f>IF(ROUND(SUM(AH$5:AH28),2)&gt;=ROUND(AH$129,2),0,INDEX('draws%'!$D$8:$AH$128,$C29+1,MATCH(AH$4,'draws%'!$D$7:$AH$7,FALSE))*AH$129)</f>
        <v>0</v>
      </c>
      <c r="AI29" s="181">
        <f>IF(ROUND(SUM(AI$5:AI28),2)&gt;=ROUND(AI$129,2),0,INDEX('draws%'!$D$8:$AH$128,$C29+1,MATCH(AI$4,'draws%'!$D$7:$AH$7,FALSE))*AI$129)</f>
        <v>22766.333333333332</v>
      </c>
      <c r="AJ29" s="181">
        <f>IF(ROUND(SUM(AJ$5:AJ28),2)&gt;=ROUND(AJ$129,2),0,INDEX('draws%'!$D$8:$AH$128,$C29+1,MATCH(AJ$4,'draws%'!$D$7:$AH$7,FALSE))*AJ$129)</f>
        <v>0</v>
      </c>
      <c r="AK29" s="181">
        <f>IF(ROUND(SUM(AK$5:AK28),2)&gt;=ROUND(AK$129,2),0,INDEX('draws%'!$D$8:$AH$128,$C29+1,MATCH(AK$4,'draws%'!$D$7:$AH$7,FALSE))*AK$129)</f>
        <v>0</v>
      </c>
      <c r="AL29" s="189">
        <f t="shared" si="1"/>
        <v>472675.68009614205</v>
      </c>
      <c r="AM29" s="191"/>
      <c r="AN29" s="184" t="str">
        <v>Legal</v>
      </c>
    </row>
    <row r="30" spans="1:42" ht="16">
      <c r="A30" s="1416" t="str">
        <f>IF(MAX(C$5:C29)&gt;=general!$C$27,"post dev",IF(C30&lt;general!$C$23, "Pred", "Dev"))</f>
        <v>Dev</v>
      </c>
      <c r="B30" s="1398"/>
      <c r="C30" s="1388">
        <f>IF('Development Cash Flow'!D29&lt;general!$D$28,'Development Cash Flow'!C29+1,0)</f>
        <v>24</v>
      </c>
      <c r="D30" s="185">
        <f t="shared" si="0"/>
        <v>46996</v>
      </c>
      <c r="E30" s="186">
        <f>($C30&gt;=sales!$D$32)*($C30&lt;=sales!$F$32)*ResUnits/(sales!$E$32+1)</f>
        <v>1.2857142857142858</v>
      </c>
      <c r="F30" s="181">
        <f>($C30&gt;=sales!$D$32)*($C30&lt;=sales!$F$32)*sales!$I$18/(sales!$E$32+1)</f>
        <v>3902800</v>
      </c>
      <c r="G30" s="181">
        <f>($C30&gt;=sales!$D$32)*($C30&lt;=sales!$F$32)*sales!$K$32/(sales!$E$32+1)</f>
        <v>117084</v>
      </c>
      <c r="H30" s="187">
        <f>($C30&gt;=sales!$D$33)*($C30&lt;=sales!$F$33)*sales!$K$33/(sales!$E$33+1)</f>
        <v>0</v>
      </c>
      <c r="I30" s="181">
        <f>($C30&gt;=sales!$D$34)*($C30&lt;=sales!$F$34)*sales!$K$34/(sales!$E$34+1)</f>
        <v>0</v>
      </c>
      <c r="J30" s="181">
        <f>($C30&gt;=sales!$D$35)*($C30&lt;=sales!$F$35)*sales!$K$35/(sales!$E$35+1)</f>
        <v>0</v>
      </c>
      <c r="K30" s="189">
        <f>($C30&gt;=sales!$D$36)*($C30&lt;=sales!$F$36)*sales!$K$36*IFERROR(VLOOKUP(C30,sales!$C$50:$D$54,2,FALSE),0)</f>
        <v>0</v>
      </c>
      <c r="L30" s="1398"/>
      <c r="M30" s="1403">
        <f>+G30/$G$4*$M$4*sales!$J$32</f>
        <v>117084</v>
      </c>
      <c r="N30" s="1398"/>
      <c r="O30" s="1464">
        <f>IF(ROUND(SUM(O$5:O29),2)&gt;=ROUND(O$129,2),0,INDEX('draws%'!$D$8:$AH$128,$C30+1,MATCH(O$4,'draws%'!$D$7:$AH$7,FALSE))*O$129)</f>
        <v>0</v>
      </c>
      <c r="P30" s="181">
        <f>IF(ROUND(SUM(P$5:P29),2)&gt;=ROUND(P$129,2),0,INDEX('draws%'!$D$8:$AH$128,$C30+1,MATCH(P$4,'draws%'!$D$7:$AH$7,FALSE))*P$129)</f>
        <v>429696.83846758114</v>
      </c>
      <c r="Q30" s="181">
        <f>IF(ROUND(SUM(Q$5:Q29),2)&gt;=ROUND(Q$129,2),0,INDEX('draws%'!$D$8:$AH$128,$C30+1,MATCH(Q$4,'draws%'!$D$7:$AH$7,FALSE))*Q$129)</f>
        <v>9572.2083333333321</v>
      </c>
      <c r="R30" s="181">
        <f>IF(ROUND(SUM(R$5:R29),2)&gt;=ROUND(R$129,2),0,INDEX('draws%'!$D$8:$AH$128,$C30+1,MATCH(R$4,'draws%'!$D$7:$AH$7,FALSE))*R$129)</f>
        <v>6471.7277918486225</v>
      </c>
      <c r="S30" s="181">
        <f>IF(ROUND(SUM(S$5:S29),2)&gt;=ROUND(S$129,2),0,INDEX('draws%'!$D$8:$AH$128,$C30+1,MATCH(S$4,'draws%'!$D$7:$AH$7,FALSE))*S$129)</f>
        <v>2500</v>
      </c>
      <c r="T30" s="181">
        <f>IF(ROUND(SUM(T$5:T29),2)&gt;=ROUND(T$129,2),0,INDEX('draws%'!$D$8:$AH$128,$C30+1,MATCH(T$4,'draws%'!$D$7:$AH$7,FALSE))*T$129)</f>
        <v>0</v>
      </c>
      <c r="U30" s="181">
        <f>IF(ROUND(SUM(U$5:U29),2)&gt;=ROUND(U$129,2),0,INDEX('draws%'!$D$8:$AH$128,$C30+1,MATCH(U$4,'draws%'!$D$7:$AH$7,FALSE))*U$129)</f>
        <v>0</v>
      </c>
      <c r="V30" s="181">
        <f>IF(ROUND(SUM(V$5:V29),2)&gt;=ROUND(V$129,2),0,INDEX('draws%'!$D$8:$AH$128,$C30+1,MATCH(V$4,'draws%'!$D$7:$AH$7,FALSE))*V$129)</f>
        <v>0</v>
      </c>
      <c r="W30" s="181">
        <f>IF(ROUND(SUM(W$5:W29),2)&gt;=ROUND(W$129,2),0,INDEX('draws%'!$D$8:$AH$128,$C30+1,MATCH(W$4,'draws%'!$D$7:$AH$7,FALSE))*W$129)</f>
        <v>0</v>
      </c>
      <c r="X30" s="181">
        <f>IF(ROUND(SUM(X$5:X29),2)&gt;=ROUND(X$129,2),0,INDEX('draws%'!$D$8:$AH$128,$C30+1,MATCH(X$4,'draws%'!$D$7:$AH$7,FALSE))*X$129)</f>
        <v>0</v>
      </c>
      <c r="Y30" s="181">
        <f>IF(ROUND(SUM(Y$5:Y29),2)&gt;=ROUND(Y$129,2),0,INDEX('draws%'!$D$8:$AH$128,$C30+1,MATCH(Y$4,'draws%'!$D$7:$AH$7,FALSE))*Y$129)</f>
        <v>0</v>
      </c>
      <c r="Z30" s="181">
        <f>IF(ROUND(SUM(Z$5:Z29),2)&gt;=ROUND(Z$129,2),0,INDEX('draws%'!$D$8:$AH$128,$C30+1,MATCH(Z$4,'draws%'!$D$7:$AH$7,FALSE))*Z$129)</f>
        <v>2725.336956521739</v>
      </c>
      <c r="AA30" s="181">
        <f>IF(ROUND(SUM(AA$5:AA29),2)&gt;=ROUND(AA$129,2),0,INDEX('draws%'!$D$8:$AH$128,$C30+1,MATCH(AA$4,'draws%'!$D$7:$AH$7,FALSE))*AA$129)</f>
        <v>0</v>
      </c>
      <c r="AB30" s="181">
        <f>IF(ROUND(SUM(AB$5:AB29),2)&gt;=ROUND(AB$129,2),0,INDEX('draws%'!$D$8:$AH$128,$C30+1,MATCH(AB$4,'draws%'!$D$7:$AH$7,FALSE))*AB$129)</f>
        <v>4354.2602271320138</v>
      </c>
      <c r="AC30" s="181">
        <f>($C30&gt;=sales!$D$32)*($C30&lt;=sales!$F$32)*sales!$J$41/(sales!$E$32+1)+($C30&gt;=sales!$D$33)*($C30&lt;=sales!$F$33)*sales!$J$42/(sales!$E$33+1)+($C30&gt;=sales!$D$34)*($C30&lt;=sales!$F$34)*sales!$J$43/(sales!$E$34+1)+($C30&gt;=sales!$D$35)*($C30&lt;=sales!$F$35)*sales!$J$44/(sales!$E$35+1)+($C30&gt;=sales!$D$36)*($C30&lt;=sales!$F$36)*sales!$J$45/(sales!$E$36+1)</f>
        <v>0</v>
      </c>
      <c r="AD30" s="181">
        <f>IF(ROUND(SUM(AD$5:AD29),2)&gt;=ROUND(AD$129,2),0,INDEX('draws%'!$D$8:$AH$128,$C30+1,MATCH(AD$4,'draws%'!$D$7:$AH$7,FALSE))*AD$129)</f>
        <v>6927.5548896384962</v>
      </c>
      <c r="AE30" s="181">
        <f>IF(ROUND(SUM(AE$5:AE29),2)&gt;=ROUND(AE$129,2),0,INDEX('draws%'!$D$8:$AH$128,$C30+1,MATCH(AE$4,'draws%'!$D$7:$AH$7,FALSE))*AE$129)</f>
        <v>0</v>
      </c>
      <c r="AF30" s="188">
        <f>($C30&gt;=sales!$D$32)*($C30&lt;=sales!$F$32)*sales!$D$41/(sales!$E$32+1)+($C30&gt;=sales!$D$33)*($C30&lt;=sales!$F$33)*sales!$D$42/(sales!$E$33+1)+($C30&gt;=sales!$D$34)*($C30&lt;=sales!$F$34)*sales!$D$43/(sales!$E$34+1)+($C30&gt;=sales!$D$35)*($C30&lt;=sales!$F$35)*sales!$D$44/(sales!$E$35+1)+($C30&gt;=sales!$D$36)*($C30&lt;=sales!$F$36)*sales!$D$45/(sales!$E$36+1)</f>
        <v>0</v>
      </c>
      <c r="AG30" s="188">
        <f>($C30&gt;=sales!$D$32)*($C30&lt;=sales!$F$32)*sales!$F$41/(sales!$E$32+1)+($C30&gt;=sales!$D$33)*($C30&lt;=sales!$F$33)*sales!$F$42/(sales!$E$33+1)+($C30&gt;=sales!$D$34)*($C30&lt;=sales!$F$34)*sales!$F$43/(sales!$E$34+1)+($C30&gt;=sales!$D$35)*($C30&lt;=sales!$F$35)*sales!$F$44/(sales!$E$35+1)+($C30&gt;=sales!$D$36)*($C30&lt;=sales!$F$36)*sales!$F$45/(sales!$E$36+1)</f>
        <v>0</v>
      </c>
      <c r="AH30" s="181">
        <f>IF(ROUND(SUM(AH$5:AH29),2)&gt;=ROUND(AH$129,2),0,INDEX('draws%'!$D$8:$AH$128,$C30+1,MATCH(AH$4,'draws%'!$D$7:$AH$7,FALSE))*AH$129)</f>
        <v>0</v>
      </c>
      <c r="AI30" s="181">
        <f>IF(ROUND(SUM(AI$5:AI29),2)&gt;=ROUND(AI$129,2),0,INDEX('draws%'!$D$8:$AH$128,$C30+1,MATCH(AI$4,'draws%'!$D$7:$AH$7,FALSE))*AI$129)</f>
        <v>22766.333333333332</v>
      </c>
      <c r="AJ30" s="181">
        <f>IF(ROUND(SUM(AJ$5:AJ29),2)&gt;=ROUND(AJ$129,2),0,INDEX('draws%'!$D$8:$AH$128,$C30+1,MATCH(AJ$4,'draws%'!$D$7:$AH$7,FALSE))*AJ$129)</f>
        <v>0</v>
      </c>
      <c r="AK30" s="181">
        <f>IF(ROUND(SUM(AK$5:AK29),2)&gt;=ROUND(AK$129,2),0,INDEX('draws%'!$D$8:$AH$128,$C30+1,MATCH(AK$4,'draws%'!$D$7:$AH$7,FALSE))*AK$129)</f>
        <v>0</v>
      </c>
      <c r="AL30" s="189">
        <f t="shared" si="1"/>
        <v>485014.25999938865</v>
      </c>
      <c r="AM30" s="191"/>
      <c r="AN30" s="184" t="str">
        <v>Architecture</v>
      </c>
    </row>
    <row r="31" spans="1:42" ht="16">
      <c r="A31" s="1416" t="str">
        <f>IF(MAX(C$5:C30)&gt;=general!$C$27,"post dev",IF(C31&lt;general!$C$23, "Pred", "Dev"))</f>
        <v>Dev</v>
      </c>
      <c r="B31" s="1398"/>
      <c r="C31" s="1388">
        <f>IF('Development Cash Flow'!D30&lt;general!$D$28,'Development Cash Flow'!C30+1,0)</f>
        <v>25</v>
      </c>
      <c r="D31" s="185">
        <f t="shared" si="0"/>
        <v>47026</v>
      </c>
      <c r="E31" s="186">
        <f>($C31&gt;=sales!$D$32)*($C31&lt;=sales!$F$32)*ResUnits/(sales!$E$32+1)</f>
        <v>0</v>
      </c>
      <c r="F31" s="181">
        <f>($C31&gt;=sales!$D$32)*($C31&lt;=sales!$F$32)*sales!$I$18/(sales!$E$32+1)</f>
        <v>0</v>
      </c>
      <c r="G31" s="181">
        <f>($C31&gt;=sales!$D$32)*($C31&lt;=sales!$F$32)*sales!$K$32/(sales!$E$32+1)</f>
        <v>0</v>
      </c>
      <c r="H31" s="187">
        <f>($C31&gt;=sales!$D$33)*($C31&lt;=sales!$F$33)*sales!$K$33/(sales!$E$33+1)</f>
        <v>0</v>
      </c>
      <c r="I31" s="181">
        <f>($C31&gt;=sales!$D$34)*($C31&lt;=sales!$F$34)*sales!$K$34/(sales!$E$34+1)</f>
        <v>273196</v>
      </c>
      <c r="J31" s="181">
        <f>($C31&gt;=sales!$D$35)*($C31&lt;=sales!$F$35)*sales!$K$35/(sales!$E$35+1)</f>
        <v>0</v>
      </c>
      <c r="K31" s="189">
        <f>($C31&gt;=sales!$D$36)*($C31&lt;=sales!$F$36)*sales!$K$36*IFERROR(VLOOKUP(C31,sales!$C$50:$D$54,2,FALSE),0)</f>
        <v>0</v>
      </c>
      <c r="L31" s="1398"/>
      <c r="M31" s="1403">
        <f>+G31/$G$4*$M$4*sales!$J$32</f>
        <v>0</v>
      </c>
      <c r="N31" s="1398"/>
      <c r="O31" s="1464">
        <f>IF(ROUND(SUM(O$5:O30),2)&gt;=ROUND(O$129,2),0,INDEX('draws%'!$D$8:$AH$128,$C31+1,MATCH(O$4,'draws%'!$D$7:$AH$7,FALSE))*O$129)</f>
        <v>0</v>
      </c>
      <c r="P31" s="181">
        <f>IF(ROUND(SUM(P$5:P30),2)&gt;=ROUND(P$129,2),0,INDEX('draws%'!$D$8:$AH$128,$C31+1,MATCH(P$4,'draws%'!$D$7:$AH$7,FALSE))*P$129)</f>
        <v>440220.33775190671</v>
      </c>
      <c r="Q31" s="181">
        <f>IF(ROUND(SUM(Q$5:Q30),2)&gt;=ROUND(Q$129,2),0,INDEX('draws%'!$D$8:$AH$128,$C31+1,MATCH(Q$4,'draws%'!$D$7:$AH$7,FALSE))*Q$129)</f>
        <v>9572.2083333333321</v>
      </c>
      <c r="R31" s="181">
        <f>IF(ROUND(SUM(R$5:R30),2)&gt;=ROUND(R$129,2),0,INDEX('draws%'!$D$8:$AH$128,$C31+1,MATCH(R$4,'draws%'!$D$7:$AH$7,FALSE))*R$129)</f>
        <v>6630.2237748043062</v>
      </c>
      <c r="S31" s="181">
        <f>IF(ROUND(SUM(S$5:S30),2)&gt;=ROUND(S$129,2),0,INDEX('draws%'!$D$8:$AH$128,$C31+1,MATCH(S$4,'draws%'!$D$7:$AH$7,FALSE))*S$129)</f>
        <v>2500</v>
      </c>
      <c r="T31" s="181">
        <f>IF(ROUND(SUM(T$5:T30),2)&gt;=ROUND(T$129,2),0,INDEX('draws%'!$D$8:$AH$128,$C31+1,MATCH(T$4,'draws%'!$D$7:$AH$7,FALSE))*T$129)</f>
        <v>0</v>
      </c>
      <c r="U31" s="181">
        <f>IF(ROUND(SUM(U$5:U30),2)&gt;=ROUND(U$129,2),0,INDEX('draws%'!$D$8:$AH$128,$C31+1,MATCH(U$4,'draws%'!$D$7:$AH$7,FALSE))*U$129)</f>
        <v>0</v>
      </c>
      <c r="V31" s="181">
        <f>IF(ROUND(SUM(V$5:V30),2)&gt;=ROUND(V$129,2),0,INDEX('draws%'!$D$8:$AH$128,$C31+1,MATCH(V$4,'draws%'!$D$7:$AH$7,FALSE))*V$129)</f>
        <v>0</v>
      </c>
      <c r="W31" s="181">
        <f>IF(ROUND(SUM(W$5:W30),2)&gt;=ROUND(W$129,2),0,INDEX('draws%'!$D$8:$AH$128,$C31+1,MATCH(W$4,'draws%'!$D$7:$AH$7,FALSE))*W$129)</f>
        <v>0</v>
      </c>
      <c r="X31" s="181">
        <f>IF(ROUND(SUM(X$5:X30),2)&gt;=ROUND(X$129,2),0,INDEX('draws%'!$D$8:$AH$128,$C31+1,MATCH(X$4,'draws%'!$D$7:$AH$7,FALSE))*X$129)</f>
        <v>0</v>
      </c>
      <c r="Y31" s="181">
        <f>IF(ROUND(SUM(Y$5:Y30),2)&gt;=ROUND(Y$129,2),0,INDEX('draws%'!$D$8:$AH$128,$C31+1,MATCH(Y$4,'draws%'!$D$7:$AH$7,FALSE))*Y$129)</f>
        <v>0</v>
      </c>
      <c r="Z31" s="181">
        <f>IF(ROUND(SUM(Z$5:Z30),2)&gt;=ROUND(Z$129,2),0,INDEX('draws%'!$D$8:$AH$128,$C31+1,MATCH(Z$4,'draws%'!$D$7:$AH$7,FALSE))*Z$129)</f>
        <v>2725.336956521739</v>
      </c>
      <c r="AA31" s="181">
        <f>IF(ROUND(SUM(AA$5:AA30),2)&gt;=ROUND(AA$129,2),0,INDEX('draws%'!$D$8:$AH$128,$C31+1,MATCH(AA$4,'draws%'!$D$7:$AH$7,FALSE))*AA$129)</f>
        <v>0</v>
      </c>
      <c r="AB31" s="181">
        <f>IF(ROUND(SUM(AB$5:AB30),2)&gt;=ROUND(AB$129,2),0,INDEX('draws%'!$D$8:$AH$128,$C31+1,MATCH(AB$4,'draws%'!$D$7:$AH$7,FALSE))*AB$129)</f>
        <v>4354.2602271320138</v>
      </c>
      <c r="AC31" s="181">
        <f>($C31&gt;=sales!$D$32)*($C31&lt;=sales!$F$32)*sales!$J$41/(sales!$E$32+1)+($C31&gt;=sales!$D$33)*($C31&lt;=sales!$F$33)*sales!$J$42/(sales!$E$33+1)+($C31&gt;=sales!$D$34)*($C31&lt;=sales!$F$34)*sales!$J$43/(sales!$E$34+1)+($C31&gt;=sales!$D$35)*($C31&lt;=sales!$F$35)*sales!$J$44/(sales!$E$35+1)+($C31&gt;=sales!$D$36)*($C31&lt;=sales!$F$36)*sales!$J$45/(sales!$E$36+1)</f>
        <v>0</v>
      </c>
      <c r="AD31" s="181">
        <f>IF(ROUND(SUM(AD$5:AD30),2)&gt;=ROUND(AD$129,2),0,INDEX('draws%'!$D$8:$AH$128,$C31+1,MATCH(AD$4,'draws%'!$D$7:$AH$7,FALSE))*AD$129)</f>
        <v>6927.5548896384962</v>
      </c>
      <c r="AE31" s="181">
        <f>IF(ROUND(SUM(AE$5:AE30),2)&gt;=ROUND(AE$129,2),0,INDEX('draws%'!$D$8:$AH$128,$C31+1,MATCH(AE$4,'draws%'!$D$7:$AH$7,FALSE))*AE$129)</f>
        <v>0</v>
      </c>
      <c r="AF31" s="188">
        <f>($C31&gt;=sales!$D$32)*($C31&lt;=sales!$F$32)*sales!$D$41/(sales!$E$32+1)+($C31&gt;=sales!$D$33)*($C31&lt;=sales!$F$33)*sales!$D$42/(sales!$E$33+1)+($C31&gt;=sales!$D$34)*($C31&lt;=sales!$F$34)*sales!$D$43/(sales!$E$34+1)+($C31&gt;=sales!$D$35)*($C31&lt;=sales!$F$35)*sales!$D$44/(sales!$E$35+1)+($C31&gt;=sales!$D$36)*($C31&lt;=sales!$F$36)*sales!$D$45/(sales!$E$36+1)</f>
        <v>0</v>
      </c>
      <c r="AG31" s="188">
        <f>($C31&gt;=sales!$D$32)*($C31&lt;=sales!$F$32)*sales!$F$41/(sales!$E$32+1)+($C31&gt;=sales!$D$33)*($C31&lt;=sales!$F$33)*sales!$F$42/(sales!$E$33+1)+($C31&gt;=sales!$D$34)*($C31&lt;=sales!$F$34)*sales!$F$43/(sales!$E$34+1)+($C31&gt;=sales!$D$35)*($C31&lt;=sales!$F$35)*sales!$F$44/(sales!$E$35+1)+($C31&gt;=sales!$D$36)*($C31&lt;=sales!$F$36)*sales!$F$45/(sales!$E$36+1)</f>
        <v>0</v>
      </c>
      <c r="AH31" s="181">
        <f>IF(ROUND(SUM(AH$5:AH30),2)&gt;=ROUND(AH$129,2),0,INDEX('draws%'!$D$8:$AH$128,$C31+1,MATCH(AH$4,'draws%'!$D$7:$AH$7,FALSE))*AH$129)</f>
        <v>0</v>
      </c>
      <c r="AI31" s="181">
        <f>IF(ROUND(SUM(AI$5:AI30),2)&gt;=ROUND(AI$129,2),0,INDEX('draws%'!$D$8:$AH$128,$C31+1,MATCH(AI$4,'draws%'!$D$7:$AH$7,FALSE))*AI$129)</f>
        <v>22766.333333333332</v>
      </c>
      <c r="AJ31" s="181">
        <f>IF(ROUND(SUM(AJ$5:AJ30),2)&gt;=ROUND(AJ$129,2),0,INDEX('draws%'!$D$8:$AH$128,$C31+1,MATCH(AJ$4,'draws%'!$D$7:$AH$7,FALSE))*AJ$129)</f>
        <v>0</v>
      </c>
      <c r="AK31" s="181">
        <f>IF(ROUND(SUM(AK$5:AK30),2)&gt;=ROUND(AK$129,2),0,INDEX('draws%'!$D$8:$AH$128,$C31+1,MATCH(AK$4,'draws%'!$D$7:$AH$7,FALSE))*AK$129)</f>
        <v>0</v>
      </c>
      <c r="AL31" s="189">
        <f t="shared" si="1"/>
        <v>495696.2552666699</v>
      </c>
      <c r="AM31" s="191"/>
      <c r="AN31" s="184" t="str">
        <v>Interior</v>
      </c>
    </row>
    <row r="32" spans="1:42" ht="16">
      <c r="A32" s="1416" t="str">
        <f>IF(MAX(C$5:C31)&gt;=general!$C$27,"post dev",IF(C32&lt;general!$C$23, "Pred", "Dev"))</f>
        <v>Dev</v>
      </c>
      <c r="B32" s="1398"/>
      <c r="C32" s="1388">
        <f>IF('Development Cash Flow'!D31&lt;general!$D$28,'Development Cash Flow'!C31+1,0)</f>
        <v>26</v>
      </c>
      <c r="D32" s="185">
        <f t="shared" si="0"/>
        <v>47057</v>
      </c>
      <c r="E32" s="186">
        <f>($C32&gt;=sales!$D$32)*($C32&lt;=sales!$F$32)*ResUnits/(sales!$E$32+1)</f>
        <v>0</v>
      </c>
      <c r="F32" s="181">
        <f>($C32&gt;=sales!$D$32)*($C32&lt;=sales!$F$32)*sales!$I$18/(sales!$E$32+1)</f>
        <v>0</v>
      </c>
      <c r="G32" s="181">
        <f>($C32&gt;=sales!$D$32)*($C32&lt;=sales!$F$32)*sales!$K$32/(sales!$E$32+1)</f>
        <v>0</v>
      </c>
      <c r="H32" s="187">
        <f>($C32&gt;=sales!$D$33)*($C32&lt;=sales!$F$33)*sales!$K$33/(sales!$E$33+1)</f>
        <v>0</v>
      </c>
      <c r="I32" s="181">
        <f>($C32&gt;=sales!$D$34)*($C32&lt;=sales!$F$34)*sales!$K$34/(sales!$E$34+1)</f>
        <v>273196</v>
      </c>
      <c r="J32" s="181">
        <f>($C32&gt;=sales!$D$35)*($C32&lt;=sales!$F$35)*sales!$K$35/(sales!$E$35+1)</f>
        <v>0</v>
      </c>
      <c r="K32" s="189">
        <f>($C32&gt;=sales!$D$36)*($C32&lt;=sales!$F$36)*sales!$K$36*IFERROR(VLOOKUP(C32,sales!$C$50:$D$54,2,FALSE),0)</f>
        <v>0</v>
      </c>
      <c r="L32" s="1398"/>
      <c r="M32" s="1403">
        <f>+G32/$G$4*$M$4*sales!$J$32</f>
        <v>0</v>
      </c>
      <c r="N32" s="1398"/>
      <c r="O32" s="1464">
        <f>IF(ROUND(SUM(O$5:O31),2)&gt;=ROUND(O$129,2),0,INDEX('draws%'!$D$8:$AH$128,$C32+1,MATCH(O$4,'draws%'!$D$7:$AH$7,FALSE))*O$129)</f>
        <v>0</v>
      </c>
      <c r="P32" s="181">
        <f>IF(ROUND(SUM(P$5:P31),2)&gt;=ROUND(P$129,2),0,INDEX('draws%'!$D$8:$AH$128,$C32+1,MATCH(P$4,'draws%'!$D$7:$AH$7,FALSE))*P$129)</f>
        <v>448906.0645876457</v>
      </c>
      <c r="Q32" s="181">
        <f>IF(ROUND(SUM(Q$5:Q31),2)&gt;=ROUND(Q$129,2),0,INDEX('draws%'!$D$8:$AH$128,$C32+1,MATCH(Q$4,'draws%'!$D$7:$AH$7,FALSE))*Q$129)</f>
        <v>9572.2083333333321</v>
      </c>
      <c r="R32" s="181">
        <f>IF(ROUND(SUM(R$5:R31),2)&gt;=ROUND(R$129,2),0,INDEX('draws%'!$D$8:$AH$128,$C32+1,MATCH(R$4,'draws%'!$D$7:$AH$7,FALSE))*R$129)</f>
        <v>6761.0407944401122</v>
      </c>
      <c r="S32" s="181">
        <f>IF(ROUND(SUM(S$5:S31),2)&gt;=ROUND(S$129,2),0,INDEX('draws%'!$D$8:$AH$128,$C32+1,MATCH(S$4,'draws%'!$D$7:$AH$7,FALSE))*S$129)</f>
        <v>2500</v>
      </c>
      <c r="T32" s="181">
        <f>IF(ROUND(SUM(T$5:T31),2)&gt;=ROUND(T$129,2),0,INDEX('draws%'!$D$8:$AH$128,$C32+1,MATCH(T$4,'draws%'!$D$7:$AH$7,FALSE))*T$129)</f>
        <v>0</v>
      </c>
      <c r="U32" s="181">
        <f>IF(ROUND(SUM(U$5:U31),2)&gt;=ROUND(U$129,2),0,INDEX('draws%'!$D$8:$AH$128,$C32+1,MATCH(U$4,'draws%'!$D$7:$AH$7,FALSE))*U$129)</f>
        <v>0</v>
      </c>
      <c r="V32" s="181">
        <f>IF(ROUND(SUM(V$5:V31),2)&gt;=ROUND(V$129,2),0,INDEX('draws%'!$D$8:$AH$128,$C32+1,MATCH(V$4,'draws%'!$D$7:$AH$7,FALSE))*V$129)</f>
        <v>0</v>
      </c>
      <c r="W32" s="181">
        <f>IF(ROUND(SUM(W$5:W31),2)&gt;=ROUND(W$129,2),0,INDEX('draws%'!$D$8:$AH$128,$C32+1,MATCH(W$4,'draws%'!$D$7:$AH$7,FALSE))*W$129)</f>
        <v>0</v>
      </c>
      <c r="X32" s="181">
        <f>IF(ROUND(SUM(X$5:X31),2)&gt;=ROUND(X$129,2),0,INDEX('draws%'!$D$8:$AH$128,$C32+1,MATCH(X$4,'draws%'!$D$7:$AH$7,FALSE))*X$129)</f>
        <v>0</v>
      </c>
      <c r="Y32" s="181">
        <f>IF(ROUND(SUM(Y$5:Y31),2)&gt;=ROUND(Y$129,2),0,INDEX('draws%'!$D$8:$AH$128,$C32+1,MATCH(Y$4,'draws%'!$D$7:$AH$7,FALSE))*Y$129)</f>
        <v>0</v>
      </c>
      <c r="Z32" s="181">
        <f>IF(ROUND(SUM(Z$5:Z31),2)&gt;=ROUND(Z$129,2),0,INDEX('draws%'!$D$8:$AH$128,$C32+1,MATCH(Z$4,'draws%'!$D$7:$AH$7,FALSE))*Z$129)</f>
        <v>2725.336956521739</v>
      </c>
      <c r="AA32" s="181">
        <f>IF(ROUND(SUM(AA$5:AA31),2)&gt;=ROUND(AA$129,2),0,INDEX('draws%'!$D$8:$AH$128,$C32+1,MATCH(AA$4,'draws%'!$D$7:$AH$7,FALSE))*AA$129)</f>
        <v>0</v>
      </c>
      <c r="AB32" s="181">
        <f>IF(ROUND(SUM(AB$5:AB31),2)&gt;=ROUND(AB$129,2),0,INDEX('draws%'!$D$8:$AH$128,$C32+1,MATCH(AB$4,'draws%'!$D$7:$AH$7,FALSE))*AB$129)</f>
        <v>4354.2602271320138</v>
      </c>
      <c r="AC32" s="181">
        <f>($C32&gt;=sales!$D$32)*($C32&lt;=sales!$F$32)*sales!$J$41/(sales!$E$32+1)+($C32&gt;=sales!$D$33)*($C32&lt;=sales!$F$33)*sales!$J$42/(sales!$E$33+1)+($C32&gt;=sales!$D$34)*($C32&lt;=sales!$F$34)*sales!$J$43/(sales!$E$34+1)+($C32&gt;=sales!$D$35)*($C32&lt;=sales!$F$35)*sales!$J$44/(sales!$E$35+1)+($C32&gt;=sales!$D$36)*($C32&lt;=sales!$F$36)*sales!$J$45/(sales!$E$36+1)</f>
        <v>0</v>
      </c>
      <c r="AD32" s="181">
        <f>IF(ROUND(SUM(AD$5:AD31),2)&gt;=ROUND(AD$129,2),0,INDEX('draws%'!$D$8:$AH$128,$C32+1,MATCH(AD$4,'draws%'!$D$7:$AH$7,FALSE))*AD$129)</f>
        <v>6927.5548896384962</v>
      </c>
      <c r="AE32" s="181">
        <f>IF(ROUND(SUM(AE$5:AE31),2)&gt;=ROUND(AE$129,2),0,INDEX('draws%'!$D$8:$AH$128,$C32+1,MATCH(AE$4,'draws%'!$D$7:$AH$7,FALSE))*AE$129)</f>
        <v>0</v>
      </c>
      <c r="AF32" s="188">
        <f>($C32&gt;=sales!$D$32)*($C32&lt;=sales!$F$32)*sales!$D$41/(sales!$E$32+1)+($C32&gt;=sales!$D$33)*($C32&lt;=sales!$F$33)*sales!$D$42/(sales!$E$33+1)+($C32&gt;=sales!$D$34)*($C32&lt;=sales!$F$34)*sales!$D$43/(sales!$E$34+1)+($C32&gt;=sales!$D$35)*($C32&lt;=sales!$F$35)*sales!$D$44/(sales!$E$35+1)+($C32&gt;=sales!$D$36)*($C32&lt;=sales!$F$36)*sales!$D$45/(sales!$E$36+1)</f>
        <v>0</v>
      </c>
      <c r="AG32" s="188">
        <f>($C32&gt;=sales!$D$32)*($C32&lt;=sales!$F$32)*sales!$F$41/(sales!$E$32+1)+($C32&gt;=sales!$D$33)*($C32&lt;=sales!$F$33)*sales!$F$42/(sales!$E$33+1)+($C32&gt;=sales!$D$34)*($C32&lt;=sales!$F$34)*sales!$F$43/(sales!$E$34+1)+($C32&gt;=sales!$D$35)*($C32&lt;=sales!$F$35)*sales!$F$44/(sales!$E$35+1)+($C32&gt;=sales!$D$36)*($C32&lt;=sales!$F$36)*sales!$F$45/(sales!$E$36+1)</f>
        <v>0</v>
      </c>
      <c r="AH32" s="181">
        <f>IF(ROUND(SUM(AH$5:AH31),2)&gt;=ROUND(AH$129,2),0,INDEX('draws%'!$D$8:$AH$128,$C32+1,MATCH(AH$4,'draws%'!$D$7:$AH$7,FALSE))*AH$129)</f>
        <v>0</v>
      </c>
      <c r="AI32" s="181">
        <f>IF(ROUND(SUM(AI$5:AI31),2)&gt;=ROUND(AI$129,2),0,INDEX('draws%'!$D$8:$AH$128,$C32+1,MATCH(AI$4,'draws%'!$D$7:$AH$7,FALSE))*AI$129)</f>
        <v>22766.333333333332</v>
      </c>
      <c r="AJ32" s="181">
        <f>IF(ROUND(SUM(AJ$5:AJ31),2)&gt;=ROUND(AJ$129,2),0,INDEX('draws%'!$D$8:$AH$128,$C32+1,MATCH(AJ$4,'draws%'!$D$7:$AH$7,FALSE))*AJ$129)</f>
        <v>0</v>
      </c>
      <c r="AK32" s="181">
        <f>IF(ROUND(SUM(AK$5:AK31),2)&gt;=ROUND(AK$129,2),0,INDEX('draws%'!$D$8:$AH$128,$C32+1,MATCH(AK$4,'draws%'!$D$7:$AH$7,FALSE))*AK$129)</f>
        <v>0</v>
      </c>
      <c r="AL32" s="189">
        <f t="shared" si="1"/>
        <v>504512.7991220447</v>
      </c>
      <c r="AM32" s="191"/>
      <c r="AN32" s="184" t="str">
        <v>Engineer</v>
      </c>
      <c r="AO32" s="173"/>
    </row>
    <row r="33" spans="1:41" ht="16">
      <c r="A33" s="1416" t="str">
        <f>IF(MAX(C$5:C32)&gt;=general!$C$27,"post dev",IF(C33&lt;general!$C$23, "Pred", "Dev"))</f>
        <v>Dev</v>
      </c>
      <c r="B33" s="1398"/>
      <c r="C33" s="1388">
        <f>IF('Development Cash Flow'!D32&lt;general!$D$28,'Development Cash Flow'!C32+1,0)</f>
        <v>27</v>
      </c>
      <c r="D33" s="185">
        <f t="shared" si="0"/>
        <v>47087</v>
      </c>
      <c r="E33" s="186">
        <f>($C33&gt;=sales!$D$32)*($C33&lt;=sales!$F$32)*ResUnits/(sales!$E$32+1)</f>
        <v>0</v>
      </c>
      <c r="F33" s="181">
        <f>($C33&gt;=sales!$D$32)*($C33&lt;=sales!$F$32)*sales!$I$18/(sales!$E$32+1)</f>
        <v>0</v>
      </c>
      <c r="G33" s="181">
        <f>($C33&gt;=sales!$D$32)*($C33&lt;=sales!$F$32)*sales!$K$32/(sales!$E$32+1)</f>
        <v>0</v>
      </c>
      <c r="H33" s="187">
        <f>($C33&gt;=sales!$D$33)*($C33&lt;=sales!$F$33)*sales!$K$33/(sales!$E$33+1)</f>
        <v>0</v>
      </c>
      <c r="I33" s="181">
        <f>($C33&gt;=sales!$D$34)*($C33&lt;=sales!$F$34)*sales!$K$34/(sales!$E$34+1)</f>
        <v>273196</v>
      </c>
      <c r="J33" s="181">
        <f>($C33&gt;=sales!$D$35)*($C33&lt;=sales!$F$35)*sales!$K$35/(sales!$E$35+1)</f>
        <v>0</v>
      </c>
      <c r="K33" s="189">
        <f>($C33&gt;=sales!$D$36)*($C33&lt;=sales!$F$36)*sales!$K$36*IFERROR(VLOOKUP(C33,sales!$C$50:$D$54,2,FALSE),0)</f>
        <v>0</v>
      </c>
      <c r="L33" s="1398"/>
      <c r="M33" s="1403">
        <f>+G33/$G$4*$M$4*sales!$J$32</f>
        <v>0</v>
      </c>
      <c r="N33" s="1398"/>
      <c r="O33" s="1464">
        <f>IF(ROUND(SUM(O$5:O32),2)&gt;=ROUND(O$129,2),0,INDEX('draws%'!$D$8:$AH$128,$C33+1,MATCH(O$4,'draws%'!$D$7:$AH$7,FALSE))*O$129)</f>
        <v>0</v>
      </c>
      <c r="P33" s="181">
        <f>IF(ROUND(SUM(P$5:P32),2)&gt;=ROUND(P$129,2),0,INDEX('draws%'!$D$8:$AH$128,$C33+1,MATCH(P$4,'draws%'!$D$7:$AH$7,FALSE))*P$129)</f>
        <v>455580.44550188893</v>
      </c>
      <c r="Q33" s="181">
        <f>IF(ROUND(SUM(Q$5:Q32),2)&gt;=ROUND(Q$129,2),0,INDEX('draws%'!$D$8:$AH$128,$C33+1,MATCH(Q$4,'draws%'!$D$7:$AH$7,FALSE))*Q$129)</f>
        <v>9572.2083333333321</v>
      </c>
      <c r="R33" s="181">
        <f>IF(ROUND(SUM(R$5:R32),2)&gt;=ROUND(R$129,2),0,INDEX('draws%'!$D$8:$AH$128,$C33+1,MATCH(R$4,'draws%'!$D$7:$AH$7,FALSE))*R$129)</f>
        <v>6861.5646349462158</v>
      </c>
      <c r="S33" s="181">
        <f>IF(ROUND(SUM(S$5:S32),2)&gt;=ROUND(S$129,2),0,INDEX('draws%'!$D$8:$AH$128,$C33+1,MATCH(S$4,'draws%'!$D$7:$AH$7,FALSE))*S$129)</f>
        <v>2500</v>
      </c>
      <c r="T33" s="181">
        <f>IF(ROUND(SUM(T$5:T32),2)&gt;=ROUND(T$129,2),0,INDEX('draws%'!$D$8:$AH$128,$C33+1,MATCH(T$4,'draws%'!$D$7:$AH$7,FALSE))*T$129)</f>
        <v>0</v>
      </c>
      <c r="U33" s="181">
        <f>IF(ROUND(SUM(U$5:U32),2)&gt;=ROUND(U$129,2),0,INDEX('draws%'!$D$8:$AH$128,$C33+1,MATCH(U$4,'draws%'!$D$7:$AH$7,FALSE))*U$129)</f>
        <v>0</v>
      </c>
      <c r="V33" s="181">
        <f>IF(ROUND(SUM(V$5:V32),2)&gt;=ROUND(V$129,2),0,INDEX('draws%'!$D$8:$AH$128,$C33+1,MATCH(V$4,'draws%'!$D$7:$AH$7,FALSE))*V$129)</f>
        <v>0</v>
      </c>
      <c r="W33" s="181">
        <f>IF(ROUND(SUM(W$5:W32),2)&gt;=ROUND(W$129,2),0,INDEX('draws%'!$D$8:$AH$128,$C33+1,MATCH(W$4,'draws%'!$D$7:$AH$7,FALSE))*W$129)</f>
        <v>81714.28571428571</v>
      </c>
      <c r="X33" s="181">
        <f>IF(ROUND(SUM(X$5:X32),2)&gt;=ROUND(X$129,2),0,INDEX('draws%'!$D$8:$AH$128,$C33+1,MATCH(X$4,'draws%'!$D$7:$AH$7,FALSE))*X$129)</f>
        <v>0</v>
      </c>
      <c r="Y33" s="181">
        <f>IF(ROUND(SUM(Y$5:Y32),2)&gt;=ROUND(Y$129,2),0,INDEX('draws%'!$D$8:$AH$128,$C33+1,MATCH(Y$4,'draws%'!$D$7:$AH$7,FALSE))*Y$129)</f>
        <v>0</v>
      </c>
      <c r="Z33" s="181">
        <f>IF(ROUND(SUM(Z$5:Z32),2)&gt;=ROUND(Z$129,2),0,INDEX('draws%'!$D$8:$AH$128,$C33+1,MATCH(Z$4,'draws%'!$D$7:$AH$7,FALSE))*Z$129)</f>
        <v>2725.336956521739</v>
      </c>
      <c r="AA33" s="181">
        <f>IF(ROUND(SUM(AA$5:AA32),2)&gt;=ROUND(AA$129,2),0,INDEX('draws%'!$D$8:$AH$128,$C33+1,MATCH(AA$4,'draws%'!$D$7:$AH$7,FALSE))*AA$129)</f>
        <v>0</v>
      </c>
      <c r="AB33" s="181">
        <f>IF(ROUND(SUM(AB$5:AB32),2)&gt;=ROUND(AB$129,2),0,INDEX('draws%'!$D$8:$AH$128,$C33+1,MATCH(AB$4,'draws%'!$D$7:$AH$7,FALSE))*AB$129)</f>
        <v>4354.2602271320138</v>
      </c>
      <c r="AC33" s="181">
        <f>($C33&gt;=sales!$D$32)*($C33&lt;=sales!$F$32)*sales!$J$41/(sales!$E$32+1)+($C33&gt;=sales!$D$33)*($C33&lt;=sales!$F$33)*sales!$J$42/(sales!$E$33+1)+($C33&gt;=sales!$D$34)*($C33&lt;=sales!$F$34)*sales!$J$43/(sales!$E$34+1)+($C33&gt;=sales!$D$35)*($C33&lt;=sales!$F$35)*sales!$J$44/(sales!$E$35+1)+($C33&gt;=sales!$D$36)*($C33&lt;=sales!$F$36)*sales!$J$45/(sales!$E$36+1)</f>
        <v>0</v>
      </c>
      <c r="AD33" s="181">
        <f>IF(ROUND(SUM(AD$5:AD32),2)&gt;=ROUND(AD$129,2),0,INDEX('draws%'!$D$8:$AH$128,$C33+1,MATCH(AD$4,'draws%'!$D$7:$AH$7,FALSE))*AD$129)</f>
        <v>6927.5548896384962</v>
      </c>
      <c r="AE33" s="181">
        <f>IF(ROUND(SUM(AE$5:AE32),2)&gt;=ROUND(AE$129,2),0,INDEX('draws%'!$D$8:$AH$128,$C33+1,MATCH(AE$4,'draws%'!$D$7:$AH$7,FALSE))*AE$129)</f>
        <v>0</v>
      </c>
      <c r="AF33" s="188">
        <f>($C33&gt;=sales!$D$32)*($C33&lt;=sales!$F$32)*sales!$D$41/(sales!$E$32+1)+($C33&gt;=sales!$D$33)*($C33&lt;=sales!$F$33)*sales!$D$42/(sales!$E$33+1)+($C33&gt;=sales!$D$34)*($C33&lt;=sales!$F$34)*sales!$D$43/(sales!$E$34+1)+($C33&gt;=sales!$D$35)*($C33&lt;=sales!$F$35)*sales!$D$44/(sales!$E$35+1)+($C33&gt;=sales!$D$36)*($C33&lt;=sales!$F$36)*sales!$D$45/(sales!$E$36+1)</f>
        <v>0</v>
      </c>
      <c r="AG33" s="188">
        <f>($C33&gt;=sales!$D$32)*($C33&lt;=sales!$F$32)*sales!$F$41/(sales!$E$32+1)+($C33&gt;=sales!$D$33)*($C33&lt;=sales!$F$33)*sales!$F$42/(sales!$E$33+1)+($C33&gt;=sales!$D$34)*($C33&lt;=sales!$F$34)*sales!$F$43/(sales!$E$34+1)+($C33&gt;=sales!$D$35)*($C33&lt;=sales!$F$35)*sales!$F$44/(sales!$E$35+1)+($C33&gt;=sales!$D$36)*($C33&lt;=sales!$F$36)*sales!$F$45/(sales!$E$36+1)</f>
        <v>0</v>
      </c>
      <c r="AH33" s="181">
        <f>IF(ROUND(SUM(AH$5:AH32),2)&gt;=ROUND(AH$129,2),0,INDEX('draws%'!$D$8:$AH$128,$C33+1,MATCH(AH$4,'draws%'!$D$7:$AH$7,FALSE))*AH$129)</f>
        <v>0</v>
      </c>
      <c r="AI33" s="181">
        <f>IF(ROUND(SUM(AI$5:AI32),2)&gt;=ROUND(AI$129,2),0,INDEX('draws%'!$D$8:$AH$128,$C33+1,MATCH(AI$4,'draws%'!$D$7:$AH$7,FALSE))*AI$129)</f>
        <v>22766.333333333332</v>
      </c>
      <c r="AJ33" s="181">
        <f>IF(ROUND(SUM(AJ$5:AJ32),2)&gt;=ROUND(AJ$129,2),0,INDEX('draws%'!$D$8:$AH$128,$C33+1,MATCH(AJ$4,'draws%'!$D$7:$AH$7,FALSE))*AJ$129)</f>
        <v>0</v>
      </c>
      <c r="AK33" s="181">
        <f>IF(ROUND(SUM(AK$5:AK32),2)&gt;=ROUND(AK$129,2),0,INDEX('draws%'!$D$8:$AH$128,$C33+1,MATCH(AK$4,'draws%'!$D$7:$AH$7,FALSE))*AK$129)</f>
        <v>0</v>
      </c>
      <c r="AL33" s="189">
        <f t="shared" si="1"/>
        <v>593001.98959107976</v>
      </c>
      <c r="AM33" s="191"/>
      <c r="AN33" s="184" t="str">
        <v>RE Taxes</v>
      </c>
      <c r="AO33" s="173"/>
    </row>
    <row r="34" spans="1:41" ht="16">
      <c r="A34" s="1416" t="str">
        <f>IF(MAX(C$5:C33)&gt;=general!$C$27,"post dev",IF(C34&lt;general!$C$23, "Pred", "Dev"))</f>
        <v>Dev</v>
      </c>
      <c r="B34" s="1398"/>
      <c r="C34" s="1388">
        <f>IF('Development Cash Flow'!D33&lt;general!$D$28,'Development Cash Flow'!C33+1,0)</f>
        <v>28</v>
      </c>
      <c r="D34" s="185">
        <f t="shared" si="0"/>
        <v>47118</v>
      </c>
      <c r="E34" s="186">
        <f>($C34&gt;=sales!$D$32)*($C34&lt;=sales!$F$32)*ResUnits/(sales!$E$32+1)</f>
        <v>0</v>
      </c>
      <c r="F34" s="181">
        <f>($C34&gt;=sales!$D$32)*($C34&lt;=sales!$F$32)*sales!$I$18/(sales!$E$32+1)</f>
        <v>0</v>
      </c>
      <c r="G34" s="181">
        <f>($C34&gt;=sales!$D$32)*($C34&lt;=sales!$F$32)*sales!$K$32/(sales!$E$32+1)</f>
        <v>0</v>
      </c>
      <c r="H34" s="187">
        <f>($C34&gt;=sales!$D$33)*($C34&lt;=sales!$F$33)*sales!$K$33/(sales!$E$33+1)</f>
        <v>0</v>
      </c>
      <c r="I34" s="181">
        <f>($C34&gt;=sales!$D$34)*($C34&lt;=sales!$F$34)*sales!$K$34/(sales!$E$34+1)</f>
        <v>0</v>
      </c>
      <c r="J34" s="181">
        <f>($C34&gt;=sales!$D$35)*($C34&lt;=sales!$F$35)*sales!$K$35/(sales!$E$35+1)</f>
        <v>0</v>
      </c>
      <c r="K34" s="189">
        <f>($C34&gt;=sales!$D$36)*($C34&lt;=sales!$F$36)*sales!$K$36*IFERROR(VLOOKUP(C34,sales!$C$50:$D$54,2,FALSE),0)</f>
        <v>0</v>
      </c>
      <c r="L34" s="1398"/>
      <c r="M34" s="1403">
        <f>+G34/$G$4*$M$4*sales!$J$32</f>
        <v>0</v>
      </c>
      <c r="N34" s="1398"/>
      <c r="O34" s="1464">
        <f>IF(ROUND(SUM(O$5:O33),2)&gt;=ROUND(O$129,2),0,INDEX('draws%'!$D$8:$AH$128,$C34+1,MATCH(O$4,'draws%'!$D$7:$AH$7,FALSE))*O$129)</f>
        <v>0</v>
      </c>
      <c r="P34" s="181">
        <f>IF(ROUND(SUM(P$5:P33),2)&gt;=ROUND(P$129,2),0,INDEX('draws%'!$D$8:$AH$128,$C34+1,MATCH(P$4,'draws%'!$D$7:$AH$7,FALSE))*P$129)</f>
        <v>460107.86610444007</v>
      </c>
      <c r="Q34" s="181">
        <f>IF(ROUND(SUM(Q$5:Q33),2)&gt;=ROUND(Q$129,2),0,INDEX('draws%'!$D$8:$AH$128,$C34+1,MATCH(Q$4,'draws%'!$D$7:$AH$7,FALSE))*Q$129)</f>
        <v>9572.2083333333321</v>
      </c>
      <c r="R34" s="181">
        <f>IF(ROUND(SUM(R$5:R33),2)&gt;=ROUND(R$129,2),0,INDEX('draws%'!$D$8:$AH$128,$C34+1,MATCH(R$4,'draws%'!$D$7:$AH$7,FALSE))*R$129)</f>
        <v>6929.7527878854153</v>
      </c>
      <c r="S34" s="181">
        <f>IF(ROUND(SUM(S$5:S33),2)&gt;=ROUND(S$129,2),0,INDEX('draws%'!$D$8:$AH$128,$C34+1,MATCH(S$4,'draws%'!$D$7:$AH$7,FALSE))*S$129)</f>
        <v>2500</v>
      </c>
      <c r="T34" s="181">
        <f>IF(ROUND(SUM(T$5:T33),2)&gt;=ROUND(T$129,2),0,INDEX('draws%'!$D$8:$AH$128,$C34+1,MATCH(T$4,'draws%'!$D$7:$AH$7,FALSE))*T$129)</f>
        <v>0</v>
      </c>
      <c r="U34" s="181">
        <f>IF(ROUND(SUM(U$5:U33),2)&gt;=ROUND(U$129,2),0,INDEX('draws%'!$D$8:$AH$128,$C34+1,MATCH(U$4,'draws%'!$D$7:$AH$7,FALSE))*U$129)</f>
        <v>0</v>
      </c>
      <c r="V34" s="181">
        <f>IF(ROUND(SUM(V$5:V33),2)&gt;=ROUND(V$129,2),0,INDEX('draws%'!$D$8:$AH$128,$C34+1,MATCH(V$4,'draws%'!$D$7:$AH$7,FALSE))*V$129)</f>
        <v>0</v>
      </c>
      <c r="W34" s="181">
        <f>IF(ROUND(SUM(W$5:W33),2)&gt;=ROUND(W$129,2),0,INDEX('draws%'!$D$8:$AH$128,$C34+1,MATCH(W$4,'draws%'!$D$7:$AH$7,FALSE))*W$129)</f>
        <v>0</v>
      </c>
      <c r="X34" s="181">
        <f>IF(ROUND(SUM(X$5:X33),2)&gt;=ROUND(X$129,2),0,INDEX('draws%'!$D$8:$AH$128,$C34+1,MATCH(X$4,'draws%'!$D$7:$AH$7,FALSE))*X$129)</f>
        <v>0</v>
      </c>
      <c r="Y34" s="181">
        <f>IF(ROUND(SUM(Y$5:Y33),2)&gt;=ROUND(Y$129,2),0,INDEX('draws%'!$D$8:$AH$128,$C34+1,MATCH(Y$4,'draws%'!$D$7:$AH$7,FALSE))*Y$129)</f>
        <v>0</v>
      </c>
      <c r="Z34" s="181">
        <f>IF(ROUND(SUM(Z$5:Z33),2)&gt;=ROUND(Z$129,2),0,INDEX('draws%'!$D$8:$AH$128,$C34+1,MATCH(Z$4,'draws%'!$D$7:$AH$7,FALSE))*Z$129)</f>
        <v>2725.336956521739</v>
      </c>
      <c r="AA34" s="181">
        <f>IF(ROUND(SUM(AA$5:AA33),2)&gt;=ROUND(AA$129,2),0,INDEX('draws%'!$D$8:$AH$128,$C34+1,MATCH(AA$4,'draws%'!$D$7:$AH$7,FALSE))*AA$129)</f>
        <v>0</v>
      </c>
      <c r="AB34" s="181">
        <f>IF(ROUND(SUM(AB$5:AB33),2)&gt;=ROUND(AB$129,2),0,INDEX('draws%'!$D$8:$AH$128,$C34+1,MATCH(AB$4,'draws%'!$D$7:$AH$7,FALSE))*AB$129)</f>
        <v>4354.2602271320138</v>
      </c>
      <c r="AC34" s="181">
        <f>($C34&gt;=sales!$D$32)*($C34&lt;=sales!$F$32)*sales!$J$41/(sales!$E$32+1)+($C34&gt;=sales!$D$33)*($C34&lt;=sales!$F$33)*sales!$J$42/(sales!$E$33+1)+($C34&gt;=sales!$D$34)*($C34&lt;=sales!$F$34)*sales!$J$43/(sales!$E$34+1)+($C34&gt;=sales!$D$35)*($C34&lt;=sales!$F$35)*sales!$J$44/(sales!$E$35+1)+($C34&gt;=sales!$D$36)*($C34&lt;=sales!$F$36)*sales!$J$45/(sales!$E$36+1)</f>
        <v>0</v>
      </c>
      <c r="AD34" s="181">
        <f>IF(ROUND(SUM(AD$5:AD33),2)&gt;=ROUND(AD$129,2),0,INDEX('draws%'!$D$8:$AH$128,$C34+1,MATCH(AD$4,'draws%'!$D$7:$AH$7,FALSE))*AD$129)</f>
        <v>6927.5548896384962</v>
      </c>
      <c r="AE34" s="181">
        <f>IF(ROUND(SUM(AE$5:AE33),2)&gt;=ROUND(AE$129,2),0,INDEX('draws%'!$D$8:$AH$128,$C34+1,MATCH(AE$4,'draws%'!$D$7:$AH$7,FALSE))*AE$129)</f>
        <v>0</v>
      </c>
      <c r="AF34" s="188">
        <f>($C34&gt;=sales!$D$32)*($C34&lt;=sales!$F$32)*sales!$D$41/(sales!$E$32+1)+($C34&gt;=sales!$D$33)*($C34&lt;=sales!$F$33)*sales!$D$42/(sales!$E$33+1)+($C34&gt;=sales!$D$34)*($C34&lt;=sales!$F$34)*sales!$D$43/(sales!$E$34+1)+($C34&gt;=sales!$D$35)*($C34&lt;=sales!$F$35)*sales!$D$44/(sales!$E$35+1)+($C34&gt;=sales!$D$36)*($C34&lt;=sales!$F$36)*sales!$D$45/(sales!$E$36+1)</f>
        <v>0</v>
      </c>
      <c r="AG34" s="188">
        <f>($C34&gt;=sales!$D$32)*($C34&lt;=sales!$F$32)*sales!$F$41/(sales!$E$32+1)+($C34&gt;=sales!$D$33)*($C34&lt;=sales!$F$33)*sales!$F$42/(sales!$E$33+1)+($C34&gt;=sales!$D$34)*($C34&lt;=sales!$F$34)*sales!$F$43/(sales!$E$34+1)+($C34&gt;=sales!$D$35)*($C34&lt;=sales!$F$35)*sales!$F$44/(sales!$E$35+1)+($C34&gt;=sales!$D$36)*($C34&lt;=sales!$F$36)*sales!$F$45/(sales!$E$36+1)</f>
        <v>0</v>
      </c>
      <c r="AH34" s="181">
        <f>IF(ROUND(SUM(AH$5:AH33),2)&gt;=ROUND(AH$129,2),0,INDEX('draws%'!$D$8:$AH$128,$C34+1,MATCH(AH$4,'draws%'!$D$7:$AH$7,FALSE))*AH$129)</f>
        <v>0</v>
      </c>
      <c r="AI34" s="181">
        <f>IF(ROUND(SUM(AI$5:AI33),2)&gt;=ROUND(AI$129,2),0,INDEX('draws%'!$D$8:$AH$128,$C34+1,MATCH(AI$4,'draws%'!$D$7:$AH$7,FALSE))*AI$129)</f>
        <v>22766.333333333332</v>
      </c>
      <c r="AJ34" s="181">
        <f>IF(ROUND(SUM(AJ$5:AJ33),2)&gt;=ROUND(AJ$129,2),0,INDEX('draws%'!$D$8:$AH$128,$C34+1,MATCH(AJ$4,'draws%'!$D$7:$AH$7,FALSE))*AJ$129)</f>
        <v>0</v>
      </c>
      <c r="AK34" s="181">
        <f>IF(ROUND(SUM(AK$5:AK33),2)&gt;=ROUND(AK$129,2),0,INDEX('draws%'!$D$8:$AH$128,$C34+1,MATCH(AK$4,'draws%'!$D$7:$AH$7,FALSE))*AK$129)</f>
        <v>0</v>
      </c>
      <c r="AL34" s="189">
        <f t="shared" si="1"/>
        <v>515883.31263228436</v>
      </c>
      <c r="AM34" s="191"/>
      <c r="AN34" s="184" t="str">
        <v>Pro Rata Closings</v>
      </c>
      <c r="AO34" s="173"/>
    </row>
    <row r="35" spans="1:41" ht="16">
      <c r="A35" s="1416" t="str">
        <f>IF(MAX(C$5:C34)&gt;=general!$C$27,"post dev",IF(C35&lt;general!$C$23, "Pred", "Dev"))</f>
        <v>Dev</v>
      </c>
      <c r="B35" s="1398"/>
      <c r="C35" s="1388">
        <f>IF('Development Cash Flow'!D34&lt;general!$D$28,'Development Cash Flow'!C34+1,0)</f>
        <v>29</v>
      </c>
      <c r="D35" s="185">
        <f t="shared" si="0"/>
        <v>47149</v>
      </c>
      <c r="E35" s="186">
        <f>($C35&gt;=sales!$D$32)*($C35&lt;=sales!$F$32)*ResUnits/(sales!$E$32+1)</f>
        <v>0</v>
      </c>
      <c r="F35" s="181">
        <f>($C35&gt;=sales!$D$32)*($C35&lt;=sales!$F$32)*sales!$I$18/(sales!$E$32+1)</f>
        <v>0</v>
      </c>
      <c r="G35" s="181">
        <f>($C35&gt;=sales!$D$32)*($C35&lt;=sales!$F$32)*sales!$K$32/(sales!$E$32+1)</f>
        <v>0</v>
      </c>
      <c r="H35" s="187">
        <f>($C35&gt;=sales!$D$33)*($C35&lt;=sales!$F$33)*sales!$K$33/(sales!$E$33+1)</f>
        <v>0</v>
      </c>
      <c r="I35" s="181">
        <f>($C35&gt;=sales!$D$34)*($C35&lt;=sales!$F$34)*sales!$K$34/(sales!$E$34+1)</f>
        <v>0</v>
      </c>
      <c r="J35" s="181">
        <f>($C35&gt;=sales!$D$35)*($C35&lt;=sales!$F$35)*sales!$K$35/(sales!$E$35+1)</f>
        <v>0</v>
      </c>
      <c r="K35" s="189">
        <f>($C35&gt;=sales!$D$36)*($C35&lt;=sales!$F$36)*sales!$K$36*IFERROR(VLOOKUP(C35,sales!$C$50:$D$54,2,FALSE),0)</f>
        <v>0</v>
      </c>
      <c r="L35" s="1398"/>
      <c r="M35" s="1403">
        <f>+G35/$G$4*$M$4*sales!$J$32</f>
        <v>0</v>
      </c>
      <c r="N35" s="1398"/>
      <c r="O35" s="1464">
        <f>IF(ROUND(SUM(O$5:O34),2)&gt;=ROUND(O$129,2),0,INDEX('draws%'!$D$8:$AH$128,$C35+1,MATCH(O$4,'draws%'!$D$7:$AH$7,FALSE))*O$129)</f>
        <v>0</v>
      </c>
      <c r="P35" s="181">
        <f>IF(ROUND(SUM(P$5:P34),2)&gt;=ROUND(P$129,2),0,INDEX('draws%'!$D$8:$AH$128,$C35+1,MATCH(P$4,'draws%'!$D$7:$AH$7,FALSE))*P$129)</f>
        <v>462395.25240141893</v>
      </c>
      <c r="Q35" s="181">
        <f>IF(ROUND(SUM(Q$5:Q34),2)&gt;=ROUND(Q$129,2),0,INDEX('draws%'!$D$8:$AH$128,$C35+1,MATCH(Q$4,'draws%'!$D$7:$AH$7,FALSE))*Q$129)</f>
        <v>9572.2083333333321</v>
      </c>
      <c r="R35" s="181">
        <f>IF(ROUND(SUM(R$5:R34),2)&gt;=ROUND(R$129,2),0,INDEX('draws%'!$D$8:$AH$128,$C35+1,MATCH(R$4,'draws%'!$D$7:$AH$7,FALSE))*R$129)</f>
        <v>6964.2034520365523</v>
      </c>
      <c r="S35" s="181">
        <f>IF(ROUND(SUM(S$5:S34),2)&gt;=ROUND(S$129,2),0,INDEX('draws%'!$D$8:$AH$128,$C35+1,MATCH(S$4,'draws%'!$D$7:$AH$7,FALSE))*S$129)</f>
        <v>2500</v>
      </c>
      <c r="T35" s="181">
        <f>IF(ROUND(SUM(T$5:T34),2)&gt;=ROUND(T$129,2),0,INDEX('draws%'!$D$8:$AH$128,$C35+1,MATCH(T$4,'draws%'!$D$7:$AH$7,FALSE))*T$129)</f>
        <v>0</v>
      </c>
      <c r="U35" s="181">
        <f>IF(ROUND(SUM(U$5:U34),2)&gt;=ROUND(U$129,2),0,INDEX('draws%'!$D$8:$AH$128,$C35+1,MATCH(U$4,'draws%'!$D$7:$AH$7,FALSE))*U$129)</f>
        <v>0</v>
      </c>
      <c r="V35" s="181">
        <f>IF(ROUND(SUM(V$5:V34),2)&gt;=ROUND(V$129,2),0,INDEX('draws%'!$D$8:$AH$128,$C35+1,MATCH(V$4,'draws%'!$D$7:$AH$7,FALSE))*V$129)</f>
        <v>0</v>
      </c>
      <c r="W35" s="181">
        <f>IF(ROUND(SUM(W$5:W34),2)&gt;=ROUND(W$129,2),0,INDEX('draws%'!$D$8:$AH$128,$C35+1,MATCH(W$4,'draws%'!$D$7:$AH$7,FALSE))*W$129)</f>
        <v>0</v>
      </c>
      <c r="X35" s="181">
        <f>IF(ROUND(SUM(X$5:X34),2)&gt;=ROUND(X$129,2),0,INDEX('draws%'!$D$8:$AH$128,$C35+1,MATCH(X$4,'draws%'!$D$7:$AH$7,FALSE))*X$129)</f>
        <v>0</v>
      </c>
      <c r="Y35" s="181">
        <f>IF(ROUND(SUM(Y$5:Y34),2)&gt;=ROUND(Y$129,2),0,INDEX('draws%'!$D$8:$AH$128,$C35+1,MATCH(Y$4,'draws%'!$D$7:$AH$7,FALSE))*Y$129)</f>
        <v>0</v>
      </c>
      <c r="Z35" s="181">
        <f>IF(ROUND(SUM(Z$5:Z34),2)&gt;=ROUND(Z$129,2),0,INDEX('draws%'!$D$8:$AH$128,$C35+1,MATCH(Z$4,'draws%'!$D$7:$AH$7,FALSE))*Z$129)</f>
        <v>2725.336956521739</v>
      </c>
      <c r="AA35" s="181">
        <f>IF(ROUND(SUM(AA$5:AA34),2)&gt;=ROUND(AA$129,2),0,INDEX('draws%'!$D$8:$AH$128,$C35+1,MATCH(AA$4,'draws%'!$D$7:$AH$7,FALSE))*AA$129)</f>
        <v>0</v>
      </c>
      <c r="AB35" s="181">
        <f>IF(ROUND(SUM(AB$5:AB34),2)&gt;=ROUND(AB$129,2),0,INDEX('draws%'!$D$8:$AH$128,$C35+1,MATCH(AB$4,'draws%'!$D$7:$AH$7,FALSE))*AB$129)</f>
        <v>4354.2602271320138</v>
      </c>
      <c r="AC35" s="181">
        <f>($C35&gt;=sales!$D$32)*($C35&lt;=sales!$F$32)*sales!$J$41/(sales!$E$32+1)+($C35&gt;=sales!$D$33)*($C35&lt;=sales!$F$33)*sales!$J$42/(sales!$E$33+1)+($C35&gt;=sales!$D$34)*($C35&lt;=sales!$F$34)*sales!$J$43/(sales!$E$34+1)+($C35&gt;=sales!$D$35)*($C35&lt;=sales!$F$35)*sales!$J$44/(sales!$E$35+1)+($C35&gt;=sales!$D$36)*($C35&lt;=sales!$F$36)*sales!$J$45/(sales!$E$36+1)</f>
        <v>0</v>
      </c>
      <c r="AD35" s="181">
        <f>IF(ROUND(SUM(AD$5:AD34),2)&gt;=ROUND(AD$129,2),0,INDEX('draws%'!$D$8:$AH$128,$C35+1,MATCH(AD$4,'draws%'!$D$7:$AH$7,FALSE))*AD$129)</f>
        <v>6927.5548896384962</v>
      </c>
      <c r="AE35" s="181">
        <f>IF(ROUND(SUM(AE$5:AE34),2)&gt;=ROUND(AE$129,2),0,INDEX('draws%'!$D$8:$AH$128,$C35+1,MATCH(AE$4,'draws%'!$D$7:$AH$7,FALSE))*AE$129)</f>
        <v>0</v>
      </c>
      <c r="AF35" s="188">
        <f>($C35&gt;=sales!$D$32)*($C35&lt;=sales!$F$32)*sales!$D$41/(sales!$E$32+1)+($C35&gt;=sales!$D$33)*($C35&lt;=sales!$F$33)*sales!$D$42/(sales!$E$33+1)+($C35&gt;=sales!$D$34)*($C35&lt;=sales!$F$34)*sales!$D$43/(sales!$E$34+1)+($C35&gt;=sales!$D$35)*($C35&lt;=sales!$F$35)*sales!$D$44/(sales!$E$35+1)+($C35&gt;=sales!$D$36)*($C35&lt;=sales!$F$36)*sales!$D$45/(sales!$E$36+1)</f>
        <v>0</v>
      </c>
      <c r="AG35" s="188">
        <f>($C35&gt;=sales!$D$32)*($C35&lt;=sales!$F$32)*sales!$F$41/(sales!$E$32+1)+($C35&gt;=sales!$D$33)*($C35&lt;=sales!$F$33)*sales!$F$42/(sales!$E$33+1)+($C35&gt;=sales!$D$34)*($C35&lt;=sales!$F$34)*sales!$F$43/(sales!$E$34+1)+($C35&gt;=sales!$D$35)*($C35&lt;=sales!$F$35)*sales!$F$44/(sales!$E$35+1)+($C35&gt;=sales!$D$36)*($C35&lt;=sales!$F$36)*sales!$F$45/(sales!$E$36+1)</f>
        <v>0</v>
      </c>
      <c r="AH35" s="181">
        <f>IF(ROUND(SUM(AH$5:AH34),2)&gt;=ROUND(AH$129,2),0,INDEX('draws%'!$D$8:$AH$128,$C35+1,MATCH(AH$4,'draws%'!$D$7:$AH$7,FALSE))*AH$129)</f>
        <v>0</v>
      </c>
      <c r="AI35" s="181">
        <f>IF(ROUND(SUM(AI$5:AI34),2)&gt;=ROUND(AI$129,2),0,INDEX('draws%'!$D$8:$AH$128,$C35+1,MATCH(AI$4,'draws%'!$D$7:$AH$7,FALSE))*AI$129)</f>
        <v>22766.333333333332</v>
      </c>
      <c r="AJ35" s="181">
        <f>IF(ROUND(SUM(AJ$5:AJ34),2)&gt;=ROUND(AJ$129,2),0,INDEX('draws%'!$D$8:$AH$128,$C35+1,MATCH(AJ$4,'draws%'!$D$7:$AH$7,FALSE))*AJ$129)</f>
        <v>0</v>
      </c>
      <c r="AK35" s="181">
        <f>IF(ROUND(SUM(AK$5:AK34),2)&gt;=ROUND(AK$129,2),0,INDEX('draws%'!$D$8:$AH$128,$C35+1,MATCH(AK$4,'draws%'!$D$7:$AH$7,FALSE))*AK$129)</f>
        <v>0</v>
      </c>
      <c r="AL35" s="189">
        <f t="shared" si="1"/>
        <v>518205.14959341433</v>
      </c>
      <c r="AM35" s="191"/>
      <c r="AN35" s="184" t="str">
        <v>NEW ADMIN</v>
      </c>
      <c r="AO35" s="173"/>
    </row>
    <row r="36" spans="1:41" ht="16">
      <c r="A36" s="1416" t="str">
        <f>IF(MAX(C$5:C35)&gt;=general!$C$27,"post dev",IF(C36&lt;general!$C$23, "Pred", "Dev"))</f>
        <v>Dev</v>
      </c>
      <c r="B36" s="1398"/>
      <c r="C36" s="1388">
        <f>IF('Development Cash Flow'!D35&lt;general!$D$28,'Development Cash Flow'!C35+1,0)</f>
        <v>30</v>
      </c>
      <c r="D36" s="185">
        <f t="shared" si="0"/>
        <v>47177</v>
      </c>
      <c r="E36" s="186">
        <f>($C36&gt;=sales!$D$32)*($C36&lt;=sales!$F$32)*ResUnits/(sales!$E$32+1)</f>
        <v>0</v>
      </c>
      <c r="F36" s="181">
        <f>($C36&gt;=sales!$D$32)*($C36&lt;=sales!$F$32)*sales!$I$18/(sales!$E$32+1)</f>
        <v>0</v>
      </c>
      <c r="G36" s="181">
        <f>($C36&gt;=sales!$D$32)*($C36&lt;=sales!$F$32)*sales!$K$32/(sales!$E$32+1)</f>
        <v>0</v>
      </c>
      <c r="H36" s="187">
        <f>($C36&gt;=sales!$D$33)*($C36&lt;=sales!$F$33)*sales!$K$33/(sales!$E$33+1)</f>
        <v>0</v>
      </c>
      <c r="I36" s="181">
        <f>($C36&gt;=sales!$D$34)*($C36&lt;=sales!$F$34)*sales!$K$34/(sales!$E$34+1)</f>
        <v>0</v>
      </c>
      <c r="J36" s="181">
        <f>($C36&gt;=sales!$D$35)*($C36&lt;=sales!$F$35)*sales!$K$35/(sales!$E$35+1)</f>
        <v>0</v>
      </c>
      <c r="K36" s="189">
        <f>($C36&gt;=sales!$D$36)*($C36&lt;=sales!$F$36)*sales!$K$36*IFERROR(VLOOKUP(C36,sales!$C$50:$D$54,2,FALSE),0)</f>
        <v>0</v>
      </c>
      <c r="L36" s="1398"/>
      <c r="M36" s="1403">
        <f>+G36/$G$4*$M$4*sales!$J$32</f>
        <v>0</v>
      </c>
      <c r="N36" s="1398"/>
      <c r="O36" s="1464">
        <f>IF(ROUND(SUM(O$5:O35),2)&gt;=ROUND(O$129,2),0,INDEX('draws%'!$D$8:$AH$128,$C36+1,MATCH(O$4,'draws%'!$D$7:$AH$7,FALSE))*O$129)</f>
        <v>0</v>
      </c>
      <c r="P36" s="181">
        <f>IF(ROUND(SUM(P$5:P35),2)&gt;=ROUND(P$129,2),0,INDEX('draws%'!$D$8:$AH$128,$C36+1,MATCH(P$4,'draws%'!$D$7:$AH$7,FALSE))*P$129)</f>
        <v>462395.25240141834</v>
      </c>
      <c r="Q36" s="181">
        <f>IF(ROUND(SUM(Q$5:Q35),2)&gt;=ROUND(Q$129,2),0,INDEX('draws%'!$D$8:$AH$128,$C36+1,MATCH(Q$4,'draws%'!$D$7:$AH$7,FALSE))*Q$129)</f>
        <v>9572.2083333333321</v>
      </c>
      <c r="R36" s="181">
        <f>IF(ROUND(SUM(R$5:R35),2)&gt;=ROUND(R$129,2),0,INDEX('draws%'!$D$8:$AH$128,$C36+1,MATCH(R$4,'draws%'!$D$7:$AH$7,FALSE))*R$129)</f>
        <v>6964.2034520365432</v>
      </c>
      <c r="S36" s="181">
        <f>IF(ROUND(SUM(S$5:S35),2)&gt;=ROUND(S$129,2),0,INDEX('draws%'!$D$8:$AH$128,$C36+1,MATCH(S$4,'draws%'!$D$7:$AH$7,FALSE))*S$129)</f>
        <v>2500</v>
      </c>
      <c r="T36" s="181">
        <f>IF(ROUND(SUM(T$5:T35),2)&gt;=ROUND(T$129,2),0,INDEX('draws%'!$D$8:$AH$128,$C36+1,MATCH(T$4,'draws%'!$D$7:$AH$7,FALSE))*T$129)</f>
        <v>0</v>
      </c>
      <c r="U36" s="181">
        <f>IF(ROUND(SUM(U$5:U35),2)&gt;=ROUND(U$129,2),0,INDEX('draws%'!$D$8:$AH$128,$C36+1,MATCH(U$4,'draws%'!$D$7:$AH$7,FALSE))*U$129)</f>
        <v>0</v>
      </c>
      <c r="V36" s="181">
        <f>IF(ROUND(SUM(V$5:V35),2)&gt;=ROUND(V$129,2),0,INDEX('draws%'!$D$8:$AH$128,$C36+1,MATCH(V$4,'draws%'!$D$7:$AH$7,FALSE))*V$129)</f>
        <v>0</v>
      </c>
      <c r="W36" s="181">
        <f>IF(ROUND(SUM(W$5:W35),2)&gt;=ROUND(W$129,2),0,INDEX('draws%'!$D$8:$AH$128,$C36+1,MATCH(W$4,'draws%'!$D$7:$AH$7,FALSE))*W$129)</f>
        <v>0</v>
      </c>
      <c r="X36" s="181">
        <f>IF(ROUND(SUM(X$5:X35),2)&gt;=ROUND(X$129,2),0,INDEX('draws%'!$D$8:$AH$128,$C36+1,MATCH(X$4,'draws%'!$D$7:$AH$7,FALSE))*X$129)</f>
        <v>0</v>
      </c>
      <c r="Y36" s="181">
        <f>IF(ROUND(SUM(Y$5:Y35),2)&gt;=ROUND(Y$129,2),0,INDEX('draws%'!$D$8:$AH$128,$C36+1,MATCH(Y$4,'draws%'!$D$7:$AH$7,FALSE))*Y$129)</f>
        <v>0</v>
      </c>
      <c r="Z36" s="181">
        <f>IF(ROUND(SUM(Z$5:Z35),2)&gt;=ROUND(Z$129,2),0,INDEX('draws%'!$D$8:$AH$128,$C36+1,MATCH(Z$4,'draws%'!$D$7:$AH$7,FALSE))*Z$129)</f>
        <v>2725.336956521739</v>
      </c>
      <c r="AA36" s="181">
        <f>IF(ROUND(SUM(AA$5:AA35),2)&gt;=ROUND(AA$129,2),0,INDEX('draws%'!$D$8:$AH$128,$C36+1,MATCH(AA$4,'draws%'!$D$7:$AH$7,FALSE))*AA$129)</f>
        <v>0</v>
      </c>
      <c r="AB36" s="181">
        <f>IF(ROUND(SUM(AB$5:AB35),2)&gt;=ROUND(AB$129,2),0,INDEX('draws%'!$D$8:$AH$128,$C36+1,MATCH(AB$4,'draws%'!$D$7:$AH$7,FALSE))*AB$129)</f>
        <v>4354.2602271320138</v>
      </c>
      <c r="AC36" s="181">
        <f>($C36&gt;=sales!$D$32)*($C36&lt;=sales!$F$32)*sales!$J$41/(sales!$E$32+1)+($C36&gt;=sales!$D$33)*($C36&lt;=sales!$F$33)*sales!$J$42/(sales!$E$33+1)+($C36&gt;=sales!$D$34)*($C36&lt;=sales!$F$34)*sales!$J$43/(sales!$E$34+1)+($C36&gt;=sales!$D$35)*($C36&lt;=sales!$F$35)*sales!$J$44/(sales!$E$35+1)+($C36&gt;=sales!$D$36)*($C36&lt;=sales!$F$36)*sales!$J$45/(sales!$E$36+1)</f>
        <v>0</v>
      </c>
      <c r="AD36" s="181">
        <f>IF(ROUND(SUM(AD$5:AD35),2)&gt;=ROUND(AD$129,2),0,INDEX('draws%'!$D$8:$AH$128,$C36+1,MATCH(AD$4,'draws%'!$D$7:$AH$7,FALSE))*AD$129)</f>
        <v>6927.5548896384962</v>
      </c>
      <c r="AE36" s="181">
        <f>IF(ROUND(SUM(AE$5:AE35),2)&gt;=ROUND(AE$129,2),0,INDEX('draws%'!$D$8:$AH$128,$C36+1,MATCH(AE$4,'draws%'!$D$7:$AH$7,FALSE))*AE$129)</f>
        <v>0</v>
      </c>
      <c r="AF36" s="188">
        <f>($C36&gt;=sales!$D$32)*($C36&lt;=sales!$F$32)*sales!$D$41/(sales!$E$32+1)+($C36&gt;=sales!$D$33)*($C36&lt;=sales!$F$33)*sales!$D$42/(sales!$E$33+1)+($C36&gt;=sales!$D$34)*($C36&lt;=sales!$F$34)*sales!$D$43/(sales!$E$34+1)+($C36&gt;=sales!$D$35)*($C36&lt;=sales!$F$35)*sales!$D$44/(sales!$E$35+1)+($C36&gt;=sales!$D$36)*($C36&lt;=sales!$F$36)*sales!$D$45/(sales!$E$36+1)</f>
        <v>0</v>
      </c>
      <c r="AG36" s="188">
        <f>($C36&gt;=sales!$D$32)*($C36&lt;=sales!$F$32)*sales!$F$41/(sales!$E$32+1)+($C36&gt;=sales!$D$33)*($C36&lt;=sales!$F$33)*sales!$F$42/(sales!$E$33+1)+($C36&gt;=sales!$D$34)*($C36&lt;=sales!$F$34)*sales!$F$43/(sales!$E$34+1)+($C36&gt;=sales!$D$35)*($C36&lt;=sales!$F$35)*sales!$F$44/(sales!$E$35+1)+($C36&gt;=sales!$D$36)*($C36&lt;=sales!$F$36)*sales!$F$45/(sales!$E$36+1)</f>
        <v>0</v>
      </c>
      <c r="AH36" s="181">
        <f>IF(ROUND(SUM(AH$5:AH35),2)&gt;=ROUND(AH$129,2),0,INDEX('draws%'!$D$8:$AH$128,$C36+1,MATCH(AH$4,'draws%'!$D$7:$AH$7,FALSE))*AH$129)</f>
        <v>0</v>
      </c>
      <c r="AI36" s="181">
        <f>IF(ROUND(SUM(AI$5:AI35),2)&gt;=ROUND(AI$129,2),0,INDEX('draws%'!$D$8:$AH$128,$C36+1,MATCH(AI$4,'draws%'!$D$7:$AH$7,FALSE))*AI$129)</f>
        <v>22766.333333333332</v>
      </c>
      <c r="AJ36" s="181">
        <f>IF(ROUND(SUM(AJ$5:AJ35),2)&gt;=ROUND(AJ$129,2),0,INDEX('draws%'!$D$8:$AH$128,$C36+1,MATCH(AJ$4,'draws%'!$D$7:$AH$7,FALSE))*AJ$129)</f>
        <v>0</v>
      </c>
      <c r="AK36" s="181">
        <f>IF(ROUND(SUM(AK$5:AK35),2)&gt;=ROUND(AK$129,2),0,INDEX('draws%'!$D$8:$AH$128,$C36+1,MATCH(AK$4,'draws%'!$D$7:$AH$7,FALSE))*AK$129)</f>
        <v>0</v>
      </c>
      <c r="AL36" s="189">
        <f t="shared" si="1"/>
        <v>518205.14959341375</v>
      </c>
      <c r="AM36" s="191"/>
      <c r="AN36" s="184" t="str">
        <v>land</v>
      </c>
      <c r="AO36" s="173"/>
    </row>
    <row r="37" spans="1:41" ht="16">
      <c r="A37" s="1416" t="str">
        <f>IF(MAX(C$5:C36)&gt;=general!$C$27,"post dev",IF(C37&lt;general!$C$23, "Pred", "Dev"))</f>
        <v>Dev</v>
      </c>
      <c r="B37" s="1398"/>
      <c r="C37" s="1388">
        <f>IF('Development Cash Flow'!D36&lt;general!$D$28,'Development Cash Flow'!C36+1,0)</f>
        <v>31</v>
      </c>
      <c r="D37" s="185">
        <f t="shared" si="0"/>
        <v>47208</v>
      </c>
      <c r="E37" s="186">
        <f>($C37&gt;=sales!$D$32)*($C37&lt;=sales!$F$32)*ResUnits/(sales!$E$32+1)</f>
        <v>0</v>
      </c>
      <c r="F37" s="181">
        <f>($C37&gt;=sales!$D$32)*($C37&lt;=sales!$F$32)*sales!$I$18/(sales!$E$32+1)</f>
        <v>0</v>
      </c>
      <c r="G37" s="181">
        <f>($C37&gt;=sales!$D$32)*($C37&lt;=sales!$F$32)*sales!$K$32/(sales!$E$32+1)</f>
        <v>0</v>
      </c>
      <c r="H37" s="187">
        <f>($C37&gt;=sales!$D$33)*($C37&lt;=sales!$F$33)*sales!$K$33/(sales!$E$33+1)</f>
        <v>0</v>
      </c>
      <c r="I37" s="181">
        <f>($C37&gt;=sales!$D$34)*($C37&lt;=sales!$F$34)*sales!$K$34/(sales!$E$34+1)</f>
        <v>0</v>
      </c>
      <c r="J37" s="181">
        <f>($C37&gt;=sales!$D$35)*($C37&lt;=sales!$F$35)*sales!$K$35/(sales!$E$35+1)</f>
        <v>0</v>
      </c>
      <c r="K37" s="189">
        <f>($C37&gt;=sales!$D$36)*($C37&lt;=sales!$F$36)*sales!$K$36*IFERROR(VLOOKUP(C37,sales!$C$50:$D$54,2,FALSE),0)</f>
        <v>0</v>
      </c>
      <c r="L37" s="1398"/>
      <c r="M37" s="1403">
        <f>+G37/$G$4*$M$4*sales!$J$32</f>
        <v>0</v>
      </c>
      <c r="N37" s="1398"/>
      <c r="O37" s="1464">
        <f>IF(ROUND(SUM(O$5:O36),2)&gt;=ROUND(O$129,2),0,INDEX('draws%'!$D$8:$AH$128,$C37+1,MATCH(O$4,'draws%'!$D$7:$AH$7,FALSE))*O$129)</f>
        <v>0</v>
      </c>
      <c r="P37" s="181">
        <f>IF(ROUND(SUM(P$5:P36),2)&gt;=ROUND(P$129,2),0,INDEX('draws%'!$D$8:$AH$128,$C37+1,MATCH(P$4,'draws%'!$D$7:$AH$7,FALSE))*P$129)</f>
        <v>460107.86610444059</v>
      </c>
      <c r="Q37" s="181">
        <f>IF(ROUND(SUM(Q$5:Q36),2)&gt;=ROUND(Q$129,2),0,INDEX('draws%'!$D$8:$AH$128,$C37+1,MATCH(Q$4,'draws%'!$D$7:$AH$7,FALSE))*Q$129)</f>
        <v>9572.2083333333321</v>
      </c>
      <c r="R37" s="181">
        <f>IF(ROUND(SUM(R$5:R36),2)&gt;=ROUND(R$129,2),0,INDEX('draws%'!$D$8:$AH$128,$C37+1,MATCH(R$4,'draws%'!$D$7:$AH$7,FALSE))*R$129)</f>
        <v>6929.7527878854235</v>
      </c>
      <c r="S37" s="181">
        <f>IF(ROUND(SUM(S$5:S36),2)&gt;=ROUND(S$129,2),0,INDEX('draws%'!$D$8:$AH$128,$C37+1,MATCH(S$4,'draws%'!$D$7:$AH$7,FALSE))*S$129)</f>
        <v>2500</v>
      </c>
      <c r="T37" s="181">
        <f>IF(ROUND(SUM(T$5:T36),2)&gt;=ROUND(T$129,2),0,INDEX('draws%'!$D$8:$AH$128,$C37+1,MATCH(T$4,'draws%'!$D$7:$AH$7,FALSE))*T$129)</f>
        <v>0</v>
      </c>
      <c r="U37" s="181">
        <f>IF(ROUND(SUM(U$5:U36),2)&gt;=ROUND(U$129,2),0,INDEX('draws%'!$D$8:$AH$128,$C37+1,MATCH(U$4,'draws%'!$D$7:$AH$7,FALSE))*U$129)</f>
        <v>0</v>
      </c>
      <c r="V37" s="181">
        <f>IF(ROUND(SUM(V$5:V36),2)&gt;=ROUND(V$129,2),0,INDEX('draws%'!$D$8:$AH$128,$C37+1,MATCH(V$4,'draws%'!$D$7:$AH$7,FALSE))*V$129)</f>
        <v>0</v>
      </c>
      <c r="W37" s="181">
        <f>IF(ROUND(SUM(W$5:W36),2)&gt;=ROUND(W$129,2),0,INDEX('draws%'!$D$8:$AH$128,$C37+1,MATCH(W$4,'draws%'!$D$7:$AH$7,FALSE))*W$129)</f>
        <v>0</v>
      </c>
      <c r="X37" s="181">
        <f>IF(ROUND(SUM(X$5:X36),2)&gt;=ROUND(X$129,2),0,INDEX('draws%'!$D$8:$AH$128,$C37+1,MATCH(X$4,'draws%'!$D$7:$AH$7,FALSE))*X$129)</f>
        <v>0</v>
      </c>
      <c r="Y37" s="181">
        <f>IF(ROUND(SUM(Y$5:Y36),2)&gt;=ROUND(Y$129,2),0,INDEX('draws%'!$D$8:$AH$128,$C37+1,MATCH(Y$4,'draws%'!$D$7:$AH$7,FALSE))*Y$129)</f>
        <v>0</v>
      </c>
      <c r="Z37" s="181">
        <f>IF(ROUND(SUM(Z$5:Z36),2)&gt;=ROUND(Z$129,2),0,INDEX('draws%'!$D$8:$AH$128,$C37+1,MATCH(Z$4,'draws%'!$D$7:$AH$7,FALSE))*Z$129)</f>
        <v>2725.336956521739</v>
      </c>
      <c r="AA37" s="181">
        <f>IF(ROUND(SUM(AA$5:AA36),2)&gt;=ROUND(AA$129,2),0,INDEX('draws%'!$D$8:$AH$128,$C37+1,MATCH(AA$4,'draws%'!$D$7:$AH$7,FALSE))*AA$129)</f>
        <v>0</v>
      </c>
      <c r="AB37" s="181">
        <f>IF(ROUND(SUM(AB$5:AB36),2)&gt;=ROUND(AB$129,2),0,INDEX('draws%'!$D$8:$AH$128,$C37+1,MATCH(AB$4,'draws%'!$D$7:$AH$7,FALSE))*AB$129)</f>
        <v>4354.2602271320138</v>
      </c>
      <c r="AC37" s="181">
        <f>($C37&gt;=sales!$D$32)*($C37&lt;=sales!$F$32)*sales!$J$41/(sales!$E$32+1)+($C37&gt;=sales!$D$33)*($C37&lt;=sales!$F$33)*sales!$J$42/(sales!$E$33+1)+($C37&gt;=sales!$D$34)*($C37&lt;=sales!$F$34)*sales!$J$43/(sales!$E$34+1)+($C37&gt;=sales!$D$35)*($C37&lt;=sales!$F$35)*sales!$J$44/(sales!$E$35+1)+($C37&gt;=sales!$D$36)*($C37&lt;=sales!$F$36)*sales!$J$45/(sales!$E$36+1)</f>
        <v>0</v>
      </c>
      <c r="AD37" s="181">
        <f>IF(ROUND(SUM(AD$5:AD36),2)&gt;=ROUND(AD$129,2),0,INDEX('draws%'!$D$8:$AH$128,$C37+1,MATCH(AD$4,'draws%'!$D$7:$AH$7,FALSE))*AD$129)</f>
        <v>6927.5548896384962</v>
      </c>
      <c r="AE37" s="181">
        <f>IF(ROUND(SUM(AE$5:AE36),2)&gt;=ROUND(AE$129,2),0,INDEX('draws%'!$D$8:$AH$128,$C37+1,MATCH(AE$4,'draws%'!$D$7:$AH$7,FALSE))*AE$129)</f>
        <v>0</v>
      </c>
      <c r="AF37" s="188">
        <f>($C37&gt;=sales!$D$32)*($C37&lt;=sales!$F$32)*sales!$D$41/(sales!$E$32+1)+($C37&gt;=sales!$D$33)*($C37&lt;=sales!$F$33)*sales!$D$42/(sales!$E$33+1)+($C37&gt;=sales!$D$34)*($C37&lt;=sales!$F$34)*sales!$D$43/(sales!$E$34+1)+($C37&gt;=sales!$D$35)*($C37&lt;=sales!$F$35)*sales!$D$44/(sales!$E$35+1)+($C37&gt;=sales!$D$36)*($C37&lt;=sales!$F$36)*sales!$D$45/(sales!$E$36+1)</f>
        <v>0</v>
      </c>
      <c r="AG37" s="188">
        <f>($C37&gt;=sales!$D$32)*($C37&lt;=sales!$F$32)*sales!$F$41/(sales!$E$32+1)+($C37&gt;=sales!$D$33)*($C37&lt;=sales!$F$33)*sales!$F$42/(sales!$E$33+1)+($C37&gt;=sales!$D$34)*($C37&lt;=sales!$F$34)*sales!$F$43/(sales!$E$34+1)+($C37&gt;=sales!$D$35)*($C37&lt;=sales!$F$35)*sales!$F$44/(sales!$E$35+1)+($C37&gt;=sales!$D$36)*($C37&lt;=sales!$F$36)*sales!$F$45/(sales!$E$36+1)</f>
        <v>0</v>
      </c>
      <c r="AH37" s="181">
        <f>IF(ROUND(SUM(AH$5:AH36),2)&gt;=ROUND(AH$129,2),0,INDEX('draws%'!$D$8:$AH$128,$C37+1,MATCH(AH$4,'draws%'!$D$7:$AH$7,FALSE))*AH$129)</f>
        <v>0</v>
      </c>
      <c r="AI37" s="181">
        <f>IF(ROUND(SUM(AI$5:AI36),2)&gt;=ROUND(AI$129,2),0,INDEX('draws%'!$D$8:$AH$128,$C37+1,MATCH(AI$4,'draws%'!$D$7:$AH$7,FALSE))*AI$129)</f>
        <v>22766.333333333332</v>
      </c>
      <c r="AJ37" s="181">
        <f>IF(ROUND(SUM(AJ$5:AJ36),2)&gt;=ROUND(AJ$129,2),0,INDEX('draws%'!$D$8:$AH$128,$C37+1,MATCH(AJ$4,'draws%'!$D$7:$AH$7,FALSE))*AJ$129)</f>
        <v>0</v>
      </c>
      <c r="AK37" s="181">
        <f>IF(ROUND(SUM(AK$5:AK36),2)&gt;=ROUND(AK$129,2),0,INDEX('draws%'!$D$8:$AH$128,$C37+1,MATCH(AK$4,'draws%'!$D$7:$AH$7,FALSE))*AK$129)</f>
        <v>0</v>
      </c>
      <c r="AL37" s="189">
        <f t="shared" si="1"/>
        <v>515883.31263228488</v>
      </c>
      <c r="AM37" s="191"/>
      <c r="AN37" s="184" t="str">
        <v>RE Tax Payment Counter</v>
      </c>
      <c r="AO37" s="173"/>
    </row>
    <row r="38" spans="1:41" ht="16">
      <c r="A38" s="1416" t="str">
        <f>IF(MAX(C$5:C37)&gt;=general!$C$27,"post dev",IF(C38&lt;general!$C$23, "Pred", "Dev"))</f>
        <v>Dev</v>
      </c>
      <c r="B38" s="1398"/>
      <c r="C38" s="1388">
        <f>IF('Development Cash Flow'!D37&lt;general!$D$28,'Development Cash Flow'!C37+1,0)</f>
        <v>32</v>
      </c>
      <c r="D38" s="185">
        <f t="shared" si="0"/>
        <v>47238</v>
      </c>
      <c r="E38" s="186">
        <f>($C38&gt;=sales!$D$32)*($C38&lt;=sales!$F$32)*ResUnits/(sales!$E$32+1)</f>
        <v>0</v>
      </c>
      <c r="F38" s="181">
        <f>($C38&gt;=sales!$D$32)*($C38&lt;=sales!$F$32)*sales!$I$18/(sales!$E$32+1)</f>
        <v>0</v>
      </c>
      <c r="G38" s="181">
        <f>($C38&gt;=sales!$D$32)*($C38&lt;=sales!$F$32)*sales!$K$32/(sales!$E$32+1)</f>
        <v>0</v>
      </c>
      <c r="H38" s="187">
        <f>($C38&gt;=sales!$D$33)*($C38&lt;=sales!$F$33)*sales!$K$33/(sales!$E$33+1)</f>
        <v>0</v>
      </c>
      <c r="I38" s="181">
        <f>($C38&gt;=sales!$D$34)*($C38&lt;=sales!$F$34)*sales!$K$34/(sales!$E$34+1)</f>
        <v>0</v>
      </c>
      <c r="J38" s="181">
        <f>($C38&gt;=sales!$D$35)*($C38&lt;=sales!$F$35)*sales!$K$35/(sales!$E$35+1)</f>
        <v>0</v>
      </c>
      <c r="K38" s="189">
        <f>($C38&gt;=sales!$D$36)*($C38&lt;=sales!$F$36)*sales!$K$36*IFERROR(VLOOKUP(C38,sales!$C$50:$D$54,2,FALSE),0)</f>
        <v>0</v>
      </c>
      <c r="L38" s="1398"/>
      <c r="M38" s="1403">
        <f>+G38/$G$4*$M$4*sales!$J$32</f>
        <v>0</v>
      </c>
      <c r="N38" s="1398"/>
      <c r="O38" s="1464">
        <f>IF(ROUND(SUM(O$5:O37),2)&gt;=ROUND(O$129,2),0,INDEX('draws%'!$D$8:$AH$128,$C38+1,MATCH(O$4,'draws%'!$D$7:$AH$7,FALSE))*O$129)</f>
        <v>0</v>
      </c>
      <c r="P38" s="181">
        <f>IF(ROUND(SUM(P$5:P37),2)&gt;=ROUND(P$129,2),0,INDEX('draws%'!$D$8:$AH$128,$C38+1,MATCH(P$4,'draws%'!$D$7:$AH$7,FALSE))*P$129)</f>
        <v>455580.44550188893</v>
      </c>
      <c r="Q38" s="181">
        <f>IF(ROUND(SUM(Q$5:Q37),2)&gt;=ROUND(Q$129,2),0,INDEX('draws%'!$D$8:$AH$128,$C38+1,MATCH(Q$4,'draws%'!$D$7:$AH$7,FALSE))*Q$129)</f>
        <v>9572.2083333333321</v>
      </c>
      <c r="R38" s="181">
        <f>IF(ROUND(SUM(R$5:R37),2)&gt;=ROUND(R$129,2),0,INDEX('draws%'!$D$8:$AH$128,$C38+1,MATCH(R$4,'draws%'!$D$7:$AH$7,FALSE))*R$129)</f>
        <v>6861.5646349462158</v>
      </c>
      <c r="S38" s="181">
        <f>IF(ROUND(SUM(S$5:S37),2)&gt;=ROUND(S$129,2),0,INDEX('draws%'!$D$8:$AH$128,$C38+1,MATCH(S$4,'draws%'!$D$7:$AH$7,FALSE))*S$129)</f>
        <v>2500</v>
      </c>
      <c r="T38" s="181">
        <f>IF(ROUND(SUM(T$5:T37),2)&gt;=ROUND(T$129,2),0,INDEX('draws%'!$D$8:$AH$128,$C38+1,MATCH(T$4,'draws%'!$D$7:$AH$7,FALSE))*T$129)</f>
        <v>0</v>
      </c>
      <c r="U38" s="181">
        <f>IF(ROUND(SUM(U$5:U37),2)&gt;=ROUND(U$129,2),0,INDEX('draws%'!$D$8:$AH$128,$C38+1,MATCH(U$4,'draws%'!$D$7:$AH$7,FALSE))*U$129)</f>
        <v>0</v>
      </c>
      <c r="V38" s="181">
        <f>IF(ROUND(SUM(V$5:V37),2)&gt;=ROUND(V$129,2),0,INDEX('draws%'!$D$8:$AH$128,$C38+1,MATCH(V$4,'draws%'!$D$7:$AH$7,FALSE))*V$129)</f>
        <v>0</v>
      </c>
      <c r="W38" s="181">
        <f>IF(ROUND(SUM(W$5:W37),2)&gt;=ROUND(W$129,2),0,INDEX('draws%'!$D$8:$AH$128,$C38+1,MATCH(W$4,'draws%'!$D$7:$AH$7,FALSE))*W$129)</f>
        <v>0</v>
      </c>
      <c r="X38" s="181">
        <f>IF(ROUND(SUM(X$5:X37),2)&gt;=ROUND(X$129,2),0,INDEX('draws%'!$D$8:$AH$128,$C38+1,MATCH(X$4,'draws%'!$D$7:$AH$7,FALSE))*X$129)</f>
        <v>0</v>
      </c>
      <c r="Y38" s="181">
        <f>IF(ROUND(SUM(Y$5:Y37),2)&gt;=ROUND(Y$129,2),0,INDEX('draws%'!$D$8:$AH$128,$C38+1,MATCH(Y$4,'draws%'!$D$7:$AH$7,FALSE))*Y$129)</f>
        <v>0</v>
      </c>
      <c r="Z38" s="181">
        <f>IF(ROUND(SUM(Z$5:Z37),2)&gt;=ROUND(Z$129,2),0,INDEX('draws%'!$D$8:$AH$128,$C38+1,MATCH(Z$4,'draws%'!$D$7:$AH$7,FALSE))*Z$129)</f>
        <v>2725.336956521739</v>
      </c>
      <c r="AA38" s="181">
        <f>IF(ROUND(SUM(AA$5:AA37),2)&gt;=ROUND(AA$129,2),0,INDEX('draws%'!$D$8:$AH$128,$C38+1,MATCH(AA$4,'draws%'!$D$7:$AH$7,FALSE))*AA$129)</f>
        <v>0</v>
      </c>
      <c r="AB38" s="181">
        <f>IF(ROUND(SUM(AB$5:AB37),2)&gt;=ROUND(AB$129,2),0,INDEX('draws%'!$D$8:$AH$128,$C38+1,MATCH(AB$4,'draws%'!$D$7:$AH$7,FALSE))*AB$129)</f>
        <v>4354.2602271320138</v>
      </c>
      <c r="AC38" s="181">
        <f>($C38&gt;=sales!$D$32)*($C38&lt;=sales!$F$32)*sales!$J$41/(sales!$E$32+1)+($C38&gt;=sales!$D$33)*($C38&lt;=sales!$F$33)*sales!$J$42/(sales!$E$33+1)+($C38&gt;=sales!$D$34)*($C38&lt;=sales!$F$34)*sales!$J$43/(sales!$E$34+1)+($C38&gt;=sales!$D$35)*($C38&lt;=sales!$F$35)*sales!$J$44/(sales!$E$35+1)+($C38&gt;=sales!$D$36)*($C38&lt;=sales!$F$36)*sales!$J$45/(sales!$E$36+1)</f>
        <v>0</v>
      </c>
      <c r="AD38" s="181">
        <f>IF(ROUND(SUM(AD$5:AD37),2)&gt;=ROUND(AD$129,2),0,INDEX('draws%'!$D$8:$AH$128,$C38+1,MATCH(AD$4,'draws%'!$D$7:$AH$7,FALSE))*AD$129)</f>
        <v>6927.5548896384962</v>
      </c>
      <c r="AE38" s="181">
        <f>IF(ROUND(SUM(AE$5:AE37),2)&gt;=ROUND(AE$129,2),0,INDEX('draws%'!$D$8:$AH$128,$C38+1,MATCH(AE$4,'draws%'!$D$7:$AH$7,FALSE))*AE$129)</f>
        <v>0</v>
      </c>
      <c r="AF38" s="188">
        <f>($C38&gt;=sales!$D$32)*($C38&lt;=sales!$F$32)*sales!$D$41/(sales!$E$32+1)+($C38&gt;=sales!$D$33)*($C38&lt;=sales!$F$33)*sales!$D$42/(sales!$E$33+1)+($C38&gt;=sales!$D$34)*($C38&lt;=sales!$F$34)*sales!$D$43/(sales!$E$34+1)+($C38&gt;=sales!$D$35)*($C38&lt;=sales!$F$35)*sales!$D$44/(sales!$E$35+1)+($C38&gt;=sales!$D$36)*($C38&lt;=sales!$F$36)*sales!$D$45/(sales!$E$36+1)</f>
        <v>0</v>
      </c>
      <c r="AG38" s="188">
        <f>($C38&gt;=sales!$D$32)*($C38&lt;=sales!$F$32)*sales!$F$41/(sales!$E$32+1)+($C38&gt;=sales!$D$33)*($C38&lt;=sales!$F$33)*sales!$F$42/(sales!$E$33+1)+($C38&gt;=sales!$D$34)*($C38&lt;=sales!$F$34)*sales!$F$43/(sales!$E$34+1)+($C38&gt;=sales!$D$35)*($C38&lt;=sales!$F$35)*sales!$F$44/(sales!$E$35+1)+($C38&gt;=sales!$D$36)*($C38&lt;=sales!$F$36)*sales!$F$45/(sales!$E$36+1)</f>
        <v>0</v>
      </c>
      <c r="AH38" s="181">
        <f>IF(ROUND(SUM(AH$5:AH37),2)&gt;=ROUND(AH$129,2),0,INDEX('draws%'!$D$8:$AH$128,$C38+1,MATCH(AH$4,'draws%'!$D$7:$AH$7,FALSE))*AH$129)</f>
        <v>0</v>
      </c>
      <c r="AI38" s="181">
        <f>IF(ROUND(SUM(AI$5:AI37),2)&gt;=ROUND(AI$129,2),0,INDEX('draws%'!$D$8:$AH$128,$C38+1,MATCH(AI$4,'draws%'!$D$7:$AH$7,FALSE))*AI$129)</f>
        <v>22766.333333333332</v>
      </c>
      <c r="AJ38" s="181">
        <f>IF(ROUND(SUM(AJ$5:AJ37),2)&gt;=ROUND(AJ$129,2),0,INDEX('draws%'!$D$8:$AH$128,$C38+1,MATCH(AJ$4,'draws%'!$D$7:$AH$7,FALSE))*AJ$129)</f>
        <v>0</v>
      </c>
      <c r="AK38" s="181">
        <f>IF(ROUND(SUM(AK$5:AK37),2)&gt;=ROUND(AK$129,2),0,INDEX('draws%'!$D$8:$AH$128,$C38+1,MATCH(AK$4,'draws%'!$D$7:$AH$7,FALSE))*AK$129)</f>
        <v>0</v>
      </c>
      <c r="AL38" s="189">
        <f t="shared" si="1"/>
        <v>511287.70387679402</v>
      </c>
      <c r="AM38" s="191"/>
      <c r="AN38" s="184">
        <v>0</v>
      </c>
      <c r="AO38" s="173"/>
    </row>
    <row r="39" spans="1:41" ht="16">
      <c r="A39" s="1416" t="str">
        <f>IF(MAX(C$5:C38)&gt;=general!$C$27,"post dev",IF(C39&lt;general!$C$23, "Pred", "Dev"))</f>
        <v>Dev</v>
      </c>
      <c r="B39" s="1398"/>
      <c r="C39" s="1388">
        <f>IF('Development Cash Flow'!D38&lt;general!$D$28,'Development Cash Flow'!C38+1,0)</f>
        <v>33</v>
      </c>
      <c r="D39" s="185">
        <f t="shared" si="0"/>
        <v>47269</v>
      </c>
      <c r="E39" s="186">
        <f>($C39&gt;=sales!$D$32)*($C39&lt;=sales!$F$32)*ResUnits/(sales!$E$32+1)</f>
        <v>0</v>
      </c>
      <c r="F39" s="181">
        <f>($C39&gt;=sales!$D$32)*($C39&lt;=sales!$F$32)*sales!$I$18/(sales!$E$32+1)</f>
        <v>0</v>
      </c>
      <c r="G39" s="181">
        <f>($C39&gt;=sales!$D$32)*($C39&lt;=sales!$F$32)*sales!$K$32/(sales!$E$32+1)</f>
        <v>0</v>
      </c>
      <c r="H39" s="187">
        <f>($C39&gt;=sales!$D$33)*($C39&lt;=sales!$F$33)*sales!$K$33/(sales!$E$33+1)</f>
        <v>0</v>
      </c>
      <c r="I39" s="181">
        <f>($C39&gt;=sales!$D$34)*($C39&lt;=sales!$F$34)*sales!$K$34/(sales!$E$34+1)</f>
        <v>0</v>
      </c>
      <c r="J39" s="181">
        <f>($C39&gt;=sales!$D$35)*($C39&lt;=sales!$F$35)*sales!$K$35/(sales!$E$35+1)</f>
        <v>0</v>
      </c>
      <c r="K39" s="189">
        <f>($C39&gt;=sales!$D$36)*($C39&lt;=sales!$F$36)*sales!$K$36*IFERROR(VLOOKUP(C39,sales!$C$50:$D$54,2,FALSE),0)</f>
        <v>0</v>
      </c>
      <c r="L39" s="1398"/>
      <c r="M39" s="1403">
        <f>+G39/$G$4*$M$4*sales!$J$32</f>
        <v>0</v>
      </c>
      <c r="N39" s="1398"/>
      <c r="O39" s="1464">
        <f>IF(ROUND(SUM(O$5:O38),2)&gt;=ROUND(O$129,2),0,INDEX('draws%'!$D$8:$AH$128,$C39+1,MATCH(O$4,'draws%'!$D$7:$AH$7,FALSE))*O$129)</f>
        <v>0</v>
      </c>
      <c r="P39" s="181">
        <f>IF(ROUND(SUM(P$5:P38),2)&gt;=ROUND(P$129,2),0,INDEX('draws%'!$D$8:$AH$128,$C39+1,MATCH(P$4,'draws%'!$D$7:$AH$7,FALSE))*P$129)</f>
        <v>448906.06458764628</v>
      </c>
      <c r="Q39" s="181">
        <f>IF(ROUND(SUM(Q$5:Q38),2)&gt;=ROUND(Q$129,2),0,INDEX('draws%'!$D$8:$AH$128,$C39+1,MATCH(Q$4,'draws%'!$D$7:$AH$7,FALSE))*Q$129)</f>
        <v>9572.2083333333321</v>
      </c>
      <c r="R39" s="181">
        <f>IF(ROUND(SUM(R$5:R38),2)&gt;=ROUND(R$129,2),0,INDEX('draws%'!$D$8:$AH$128,$C39+1,MATCH(R$4,'draws%'!$D$7:$AH$7,FALSE))*R$129)</f>
        <v>6761.0407944401204</v>
      </c>
      <c r="S39" s="181">
        <f>IF(ROUND(SUM(S$5:S38),2)&gt;=ROUND(S$129,2),0,INDEX('draws%'!$D$8:$AH$128,$C39+1,MATCH(S$4,'draws%'!$D$7:$AH$7,FALSE))*S$129)</f>
        <v>2500</v>
      </c>
      <c r="T39" s="181">
        <f>IF(ROUND(SUM(T$5:T38),2)&gt;=ROUND(T$129,2),0,INDEX('draws%'!$D$8:$AH$128,$C39+1,MATCH(T$4,'draws%'!$D$7:$AH$7,FALSE))*T$129)</f>
        <v>0</v>
      </c>
      <c r="U39" s="181">
        <f>IF(ROUND(SUM(U$5:U38),2)&gt;=ROUND(U$129,2),0,INDEX('draws%'!$D$8:$AH$128,$C39+1,MATCH(U$4,'draws%'!$D$7:$AH$7,FALSE))*U$129)</f>
        <v>0</v>
      </c>
      <c r="V39" s="181">
        <f>IF(ROUND(SUM(V$5:V38),2)&gt;=ROUND(V$129,2),0,INDEX('draws%'!$D$8:$AH$128,$C39+1,MATCH(V$4,'draws%'!$D$7:$AH$7,FALSE))*V$129)</f>
        <v>0</v>
      </c>
      <c r="W39" s="181">
        <f>IF(ROUND(SUM(W$5:W38),2)&gt;=ROUND(W$129,2),0,INDEX('draws%'!$D$8:$AH$128,$C39+1,MATCH(W$4,'draws%'!$D$7:$AH$7,FALSE))*W$129)</f>
        <v>0</v>
      </c>
      <c r="X39" s="181">
        <f>IF(ROUND(SUM(X$5:X38),2)&gt;=ROUND(X$129,2),0,INDEX('draws%'!$D$8:$AH$128,$C39+1,MATCH(X$4,'draws%'!$D$7:$AH$7,FALSE))*X$129)</f>
        <v>0</v>
      </c>
      <c r="Y39" s="181">
        <f>IF(ROUND(SUM(Y$5:Y38),2)&gt;=ROUND(Y$129,2),0,INDEX('draws%'!$D$8:$AH$128,$C39+1,MATCH(Y$4,'draws%'!$D$7:$AH$7,FALSE))*Y$129)</f>
        <v>0</v>
      </c>
      <c r="Z39" s="181">
        <f>IF(ROUND(SUM(Z$5:Z38),2)&gt;=ROUND(Z$129,2),0,INDEX('draws%'!$D$8:$AH$128,$C39+1,MATCH(Z$4,'draws%'!$D$7:$AH$7,FALSE))*Z$129)</f>
        <v>2725.336956521739</v>
      </c>
      <c r="AA39" s="181">
        <f>IF(ROUND(SUM(AA$5:AA38),2)&gt;=ROUND(AA$129,2),0,INDEX('draws%'!$D$8:$AH$128,$C39+1,MATCH(AA$4,'draws%'!$D$7:$AH$7,FALSE))*AA$129)</f>
        <v>0</v>
      </c>
      <c r="AB39" s="181">
        <f>IF(ROUND(SUM(AB$5:AB38),2)&gt;=ROUND(AB$129,2),0,INDEX('draws%'!$D$8:$AH$128,$C39+1,MATCH(AB$4,'draws%'!$D$7:$AH$7,FALSE))*AB$129)</f>
        <v>4354.2602271320138</v>
      </c>
      <c r="AC39" s="181">
        <f>($C39&gt;=sales!$D$32)*($C39&lt;=sales!$F$32)*sales!$J$41/(sales!$E$32+1)+($C39&gt;=sales!$D$33)*($C39&lt;=sales!$F$33)*sales!$J$42/(sales!$E$33+1)+($C39&gt;=sales!$D$34)*($C39&lt;=sales!$F$34)*sales!$J$43/(sales!$E$34+1)+($C39&gt;=sales!$D$35)*($C39&lt;=sales!$F$35)*sales!$J$44/(sales!$E$35+1)+($C39&gt;=sales!$D$36)*($C39&lt;=sales!$F$36)*sales!$J$45/(sales!$E$36+1)</f>
        <v>0</v>
      </c>
      <c r="AD39" s="181">
        <f>IF(ROUND(SUM(AD$5:AD38),2)&gt;=ROUND(AD$129,2),0,INDEX('draws%'!$D$8:$AH$128,$C39+1,MATCH(AD$4,'draws%'!$D$7:$AH$7,FALSE))*AD$129)</f>
        <v>6927.5548896384962</v>
      </c>
      <c r="AE39" s="181">
        <f>IF(ROUND(SUM(AE$5:AE38),2)&gt;=ROUND(AE$129,2),0,INDEX('draws%'!$D$8:$AH$128,$C39+1,MATCH(AE$4,'draws%'!$D$7:$AH$7,FALSE))*AE$129)</f>
        <v>0</v>
      </c>
      <c r="AF39" s="188">
        <f>($C39&gt;=sales!$D$32)*($C39&lt;=sales!$F$32)*sales!$D$41/(sales!$E$32+1)+($C39&gt;=sales!$D$33)*($C39&lt;=sales!$F$33)*sales!$D$42/(sales!$E$33+1)+($C39&gt;=sales!$D$34)*($C39&lt;=sales!$F$34)*sales!$D$43/(sales!$E$34+1)+($C39&gt;=sales!$D$35)*($C39&lt;=sales!$F$35)*sales!$D$44/(sales!$E$35+1)+($C39&gt;=sales!$D$36)*($C39&lt;=sales!$F$36)*sales!$D$45/(sales!$E$36+1)</f>
        <v>0</v>
      </c>
      <c r="AG39" s="188">
        <f>($C39&gt;=sales!$D$32)*($C39&lt;=sales!$F$32)*sales!$F$41/(sales!$E$32+1)+($C39&gt;=sales!$D$33)*($C39&lt;=sales!$F$33)*sales!$F$42/(sales!$E$33+1)+($C39&gt;=sales!$D$34)*($C39&lt;=sales!$F$34)*sales!$F$43/(sales!$E$34+1)+($C39&gt;=sales!$D$35)*($C39&lt;=sales!$F$35)*sales!$F$44/(sales!$E$35+1)+($C39&gt;=sales!$D$36)*($C39&lt;=sales!$F$36)*sales!$F$45/(sales!$E$36+1)</f>
        <v>0</v>
      </c>
      <c r="AH39" s="181">
        <f>IF(ROUND(SUM(AH$5:AH38),2)&gt;=ROUND(AH$129,2),0,INDEX('draws%'!$D$8:$AH$128,$C39+1,MATCH(AH$4,'draws%'!$D$7:$AH$7,FALSE))*AH$129)</f>
        <v>0</v>
      </c>
      <c r="AI39" s="181">
        <f>IF(ROUND(SUM(AI$5:AI38),2)&gt;=ROUND(AI$129,2),0,INDEX('draws%'!$D$8:$AH$128,$C39+1,MATCH(AI$4,'draws%'!$D$7:$AH$7,FALSE))*AI$129)</f>
        <v>22766.333333333332</v>
      </c>
      <c r="AJ39" s="181">
        <f>IF(ROUND(SUM(AJ$5:AJ38),2)&gt;=ROUND(AJ$129,2),0,INDEX('draws%'!$D$8:$AH$128,$C39+1,MATCH(AJ$4,'draws%'!$D$7:$AH$7,FALSE))*AJ$129)</f>
        <v>0</v>
      </c>
      <c r="AK39" s="181">
        <f>IF(ROUND(SUM(AK$5:AK38),2)&gt;=ROUND(AK$129,2),0,INDEX('draws%'!$D$8:$AH$128,$C39+1,MATCH(AK$4,'draws%'!$D$7:$AH$7,FALSE))*AK$129)</f>
        <v>0</v>
      </c>
      <c r="AL39" s="189">
        <f t="shared" si="1"/>
        <v>504512.79912204528</v>
      </c>
      <c r="AM39" s="191"/>
      <c r="AN39" s="193"/>
      <c r="AO39" s="173"/>
    </row>
    <row r="40" spans="1:41" ht="16">
      <c r="A40" s="1416" t="str">
        <f>IF(MAX(C$5:C39)&gt;=general!$C$27,"post dev",IF(C40&lt;general!$C$23, "Pred", "Dev"))</f>
        <v>Dev</v>
      </c>
      <c r="B40" s="1398"/>
      <c r="C40" s="1388">
        <f>IF('Development Cash Flow'!D39&lt;general!$D$28,'Development Cash Flow'!C39+1,0)</f>
        <v>34</v>
      </c>
      <c r="D40" s="185">
        <f t="shared" si="0"/>
        <v>47299</v>
      </c>
      <c r="E40" s="186">
        <f>($C40&gt;=sales!$D$32)*($C40&lt;=sales!$F$32)*ResUnits/(sales!$E$32+1)</f>
        <v>0</v>
      </c>
      <c r="F40" s="181">
        <f>($C40&gt;=sales!$D$32)*($C40&lt;=sales!$F$32)*sales!$I$18/(sales!$E$32+1)</f>
        <v>0</v>
      </c>
      <c r="G40" s="181">
        <f>($C40&gt;=sales!$D$32)*($C40&lt;=sales!$F$32)*sales!$K$32/(sales!$E$32+1)</f>
        <v>0</v>
      </c>
      <c r="H40" s="187">
        <f>($C40&gt;=sales!$D$33)*($C40&lt;=sales!$F$33)*sales!$K$33/(sales!$E$33+1)</f>
        <v>0</v>
      </c>
      <c r="I40" s="181">
        <f>($C40&gt;=sales!$D$34)*($C40&lt;=sales!$F$34)*sales!$K$34/(sales!$E$34+1)</f>
        <v>0</v>
      </c>
      <c r="J40" s="181">
        <f>($C40&gt;=sales!$D$35)*($C40&lt;=sales!$F$35)*sales!$K$35/(sales!$E$35+1)</f>
        <v>0</v>
      </c>
      <c r="K40" s="189">
        <f>($C40&gt;=sales!$D$36)*($C40&lt;=sales!$F$36)*sales!$K$36*IFERROR(VLOOKUP(C40,sales!$C$50:$D$54,2,FALSE),0)</f>
        <v>0</v>
      </c>
      <c r="L40" s="1398"/>
      <c r="M40" s="1403">
        <f>+G40/$G$4*$M$4*sales!$J$32</f>
        <v>0</v>
      </c>
      <c r="N40" s="1398"/>
      <c r="O40" s="1464">
        <f>IF(ROUND(SUM(O$5:O39),2)&gt;=ROUND(O$129,2),0,INDEX('draws%'!$D$8:$AH$128,$C40+1,MATCH(O$4,'draws%'!$D$7:$AH$7,FALSE))*O$129)</f>
        <v>0</v>
      </c>
      <c r="P40" s="181">
        <f>IF(ROUND(SUM(P$5:P39),2)&gt;=ROUND(P$129,2),0,INDEX('draws%'!$D$8:$AH$128,$C40+1,MATCH(P$4,'draws%'!$D$7:$AH$7,FALSE))*P$129)</f>
        <v>440220.33775190561</v>
      </c>
      <c r="Q40" s="181">
        <f>IF(ROUND(SUM(Q$5:Q39),2)&gt;=ROUND(Q$129,2),0,INDEX('draws%'!$D$8:$AH$128,$C40+1,MATCH(Q$4,'draws%'!$D$7:$AH$7,FALSE))*Q$129)</f>
        <v>9572.2083333333321</v>
      </c>
      <c r="R40" s="181">
        <f>IF(ROUND(SUM(R$5:R39),2)&gt;=ROUND(R$129,2),0,INDEX('draws%'!$D$8:$AH$128,$C40+1,MATCH(R$4,'draws%'!$D$7:$AH$7,FALSE))*R$129)</f>
        <v>6630.223774804289</v>
      </c>
      <c r="S40" s="181">
        <f>IF(ROUND(SUM(S$5:S39),2)&gt;=ROUND(S$129,2),0,INDEX('draws%'!$D$8:$AH$128,$C40+1,MATCH(S$4,'draws%'!$D$7:$AH$7,FALSE))*S$129)</f>
        <v>2500</v>
      </c>
      <c r="T40" s="181">
        <f>IF(ROUND(SUM(T$5:T39),2)&gt;=ROUND(T$129,2),0,INDEX('draws%'!$D$8:$AH$128,$C40+1,MATCH(T$4,'draws%'!$D$7:$AH$7,FALSE))*T$129)</f>
        <v>0</v>
      </c>
      <c r="U40" s="181">
        <f>IF(ROUND(SUM(U$5:U39),2)&gt;=ROUND(U$129,2),0,INDEX('draws%'!$D$8:$AH$128,$C40+1,MATCH(U$4,'draws%'!$D$7:$AH$7,FALSE))*U$129)</f>
        <v>0</v>
      </c>
      <c r="V40" s="181">
        <f>IF(ROUND(SUM(V$5:V39),2)&gt;=ROUND(V$129,2),0,INDEX('draws%'!$D$8:$AH$128,$C40+1,MATCH(V$4,'draws%'!$D$7:$AH$7,FALSE))*V$129)</f>
        <v>0</v>
      </c>
      <c r="W40" s="181">
        <f>IF(ROUND(SUM(W$5:W39),2)&gt;=ROUND(W$129,2),0,INDEX('draws%'!$D$8:$AH$128,$C40+1,MATCH(W$4,'draws%'!$D$7:$AH$7,FALSE))*W$129)</f>
        <v>0</v>
      </c>
      <c r="X40" s="181">
        <f>IF(ROUND(SUM(X$5:X39),2)&gt;=ROUND(X$129,2),0,INDEX('draws%'!$D$8:$AH$128,$C40+1,MATCH(X$4,'draws%'!$D$7:$AH$7,FALSE))*X$129)</f>
        <v>0</v>
      </c>
      <c r="Y40" s="181">
        <f>IF(ROUND(SUM(Y$5:Y39),2)&gt;=ROUND(Y$129,2),0,INDEX('draws%'!$D$8:$AH$128,$C40+1,MATCH(Y$4,'draws%'!$D$7:$AH$7,FALSE))*Y$129)</f>
        <v>0</v>
      </c>
      <c r="Z40" s="181">
        <f>IF(ROUND(SUM(Z$5:Z39),2)&gt;=ROUND(Z$129,2),0,INDEX('draws%'!$D$8:$AH$128,$C40+1,MATCH(Z$4,'draws%'!$D$7:$AH$7,FALSE))*Z$129)</f>
        <v>2725.336956521739</v>
      </c>
      <c r="AA40" s="181">
        <f>IF(ROUND(SUM(AA$5:AA39),2)&gt;=ROUND(AA$129,2),0,INDEX('draws%'!$D$8:$AH$128,$C40+1,MATCH(AA$4,'draws%'!$D$7:$AH$7,FALSE))*AA$129)</f>
        <v>0</v>
      </c>
      <c r="AB40" s="181">
        <f>IF(ROUND(SUM(AB$5:AB39),2)&gt;=ROUND(AB$129,2),0,INDEX('draws%'!$D$8:$AH$128,$C40+1,MATCH(AB$4,'draws%'!$D$7:$AH$7,FALSE))*AB$129)</f>
        <v>4354.2602271320138</v>
      </c>
      <c r="AC40" s="181">
        <f>($C40&gt;=sales!$D$32)*($C40&lt;=sales!$F$32)*sales!$J$41/(sales!$E$32+1)+($C40&gt;=sales!$D$33)*($C40&lt;=sales!$F$33)*sales!$J$42/(sales!$E$33+1)+($C40&gt;=sales!$D$34)*($C40&lt;=sales!$F$34)*sales!$J$43/(sales!$E$34+1)+($C40&gt;=sales!$D$35)*($C40&lt;=sales!$F$35)*sales!$J$44/(sales!$E$35+1)+($C40&gt;=sales!$D$36)*($C40&lt;=sales!$F$36)*sales!$J$45/(sales!$E$36+1)</f>
        <v>0</v>
      </c>
      <c r="AD40" s="181">
        <f>IF(ROUND(SUM(AD$5:AD39),2)&gt;=ROUND(AD$129,2),0,INDEX('draws%'!$D$8:$AH$128,$C40+1,MATCH(AD$4,'draws%'!$D$7:$AH$7,FALSE))*AD$129)</f>
        <v>6927.5548896384962</v>
      </c>
      <c r="AE40" s="181">
        <f>IF(ROUND(SUM(AE$5:AE39),2)&gt;=ROUND(AE$129,2),0,INDEX('draws%'!$D$8:$AH$128,$C40+1,MATCH(AE$4,'draws%'!$D$7:$AH$7,FALSE))*AE$129)</f>
        <v>0</v>
      </c>
      <c r="AF40" s="188">
        <f>($C40&gt;=sales!$D$32)*($C40&lt;=sales!$F$32)*sales!$D$41/(sales!$E$32+1)+($C40&gt;=sales!$D$33)*($C40&lt;=sales!$F$33)*sales!$D$42/(sales!$E$33+1)+($C40&gt;=sales!$D$34)*($C40&lt;=sales!$F$34)*sales!$D$43/(sales!$E$34+1)+($C40&gt;=sales!$D$35)*($C40&lt;=sales!$F$35)*sales!$D$44/(sales!$E$35+1)+($C40&gt;=sales!$D$36)*($C40&lt;=sales!$F$36)*sales!$D$45/(sales!$E$36+1)</f>
        <v>0</v>
      </c>
      <c r="AG40" s="188">
        <f>($C40&gt;=sales!$D$32)*($C40&lt;=sales!$F$32)*sales!$F$41/(sales!$E$32+1)+($C40&gt;=sales!$D$33)*($C40&lt;=sales!$F$33)*sales!$F$42/(sales!$E$33+1)+($C40&gt;=sales!$D$34)*($C40&lt;=sales!$F$34)*sales!$F$43/(sales!$E$34+1)+($C40&gt;=sales!$D$35)*($C40&lt;=sales!$F$35)*sales!$F$44/(sales!$E$35+1)+($C40&gt;=sales!$D$36)*($C40&lt;=sales!$F$36)*sales!$F$45/(sales!$E$36+1)</f>
        <v>0</v>
      </c>
      <c r="AH40" s="181">
        <f>IF(ROUND(SUM(AH$5:AH39),2)&gt;=ROUND(AH$129,2),0,INDEX('draws%'!$D$8:$AH$128,$C40+1,MATCH(AH$4,'draws%'!$D$7:$AH$7,FALSE))*AH$129)</f>
        <v>0</v>
      </c>
      <c r="AI40" s="181">
        <f>IF(ROUND(SUM(AI$5:AI39),2)&gt;=ROUND(AI$129,2),0,INDEX('draws%'!$D$8:$AH$128,$C40+1,MATCH(AI$4,'draws%'!$D$7:$AH$7,FALSE))*AI$129)</f>
        <v>22766.333333333332</v>
      </c>
      <c r="AJ40" s="181">
        <f>IF(ROUND(SUM(AJ$5:AJ39),2)&gt;=ROUND(AJ$129,2),0,INDEX('draws%'!$D$8:$AH$128,$C40+1,MATCH(AJ$4,'draws%'!$D$7:$AH$7,FALSE))*AJ$129)</f>
        <v>0</v>
      </c>
      <c r="AK40" s="181">
        <f>IF(ROUND(SUM(AK$5:AK39),2)&gt;=ROUND(AK$129,2),0,INDEX('draws%'!$D$8:$AH$128,$C40+1,MATCH(AK$4,'draws%'!$D$7:$AH$7,FALSE))*AK$129)</f>
        <v>0</v>
      </c>
      <c r="AL40" s="189">
        <f t="shared" si="1"/>
        <v>495696.25526666874</v>
      </c>
      <c r="AM40" s="191"/>
      <c r="AO40" s="173"/>
    </row>
    <row r="41" spans="1:41" ht="16">
      <c r="A41" s="1416" t="str">
        <f>IF(MAX(C$5:C40)&gt;=general!$C$27,"post dev",IF(C41&lt;general!$C$23, "Pred", "Dev"))</f>
        <v>Dev</v>
      </c>
      <c r="B41" s="1398"/>
      <c r="C41" s="1388">
        <f>IF('Development Cash Flow'!D40&lt;general!$D$28,'Development Cash Flow'!C40+1,0)</f>
        <v>35</v>
      </c>
      <c r="D41" s="185">
        <f t="shared" si="0"/>
        <v>47330</v>
      </c>
      <c r="E41" s="186">
        <f>($C41&gt;=sales!$D$32)*($C41&lt;=sales!$F$32)*ResUnits/(sales!$E$32+1)</f>
        <v>0</v>
      </c>
      <c r="F41" s="181">
        <f>($C41&gt;=sales!$D$32)*($C41&lt;=sales!$F$32)*sales!$I$18/(sales!$E$32+1)</f>
        <v>0</v>
      </c>
      <c r="G41" s="181">
        <f>($C41&gt;=sales!$D$32)*($C41&lt;=sales!$F$32)*sales!$K$32/(sales!$E$32+1)</f>
        <v>0</v>
      </c>
      <c r="H41" s="187">
        <f>($C41&gt;=sales!$D$33)*($C41&lt;=sales!$F$33)*sales!$K$33/(sales!$E$33+1)</f>
        <v>0</v>
      </c>
      <c r="I41" s="181">
        <f>($C41&gt;=sales!$D$34)*($C41&lt;=sales!$F$34)*sales!$K$34/(sales!$E$34+1)</f>
        <v>0</v>
      </c>
      <c r="J41" s="181">
        <f>($C41&gt;=sales!$D$35)*($C41&lt;=sales!$F$35)*sales!$K$35/(sales!$E$35+1)</f>
        <v>0</v>
      </c>
      <c r="K41" s="189">
        <f>($C41&gt;=sales!$D$36)*($C41&lt;=sales!$F$36)*sales!$K$36*IFERROR(VLOOKUP(C41,sales!$C$50:$D$54,2,FALSE),0)</f>
        <v>0</v>
      </c>
      <c r="L41" s="1398"/>
      <c r="M41" s="1403">
        <f>+G41/$G$4*$M$4*sales!$J$32</f>
        <v>0</v>
      </c>
      <c r="N41" s="1398"/>
      <c r="O41" s="1464">
        <f>IF(ROUND(SUM(O$5:O40),2)&gt;=ROUND(O$129,2),0,INDEX('draws%'!$D$8:$AH$128,$C41+1,MATCH(O$4,'draws%'!$D$7:$AH$7,FALSE))*O$129)</f>
        <v>0</v>
      </c>
      <c r="P41" s="181">
        <f>IF(ROUND(SUM(P$5:P40),2)&gt;=ROUND(P$129,2),0,INDEX('draws%'!$D$8:$AH$128,$C41+1,MATCH(P$4,'draws%'!$D$7:$AH$7,FALSE))*P$129)</f>
        <v>429696.83846758166</v>
      </c>
      <c r="Q41" s="181">
        <f>IF(ROUND(SUM(Q$5:Q40),2)&gt;=ROUND(Q$129,2),0,INDEX('draws%'!$D$8:$AH$128,$C41+1,MATCH(Q$4,'draws%'!$D$7:$AH$7,FALSE))*Q$129)</f>
        <v>9572.2083333333321</v>
      </c>
      <c r="R41" s="181">
        <f>IF(ROUND(SUM(R$5:R40),2)&gt;=ROUND(R$129,2),0,INDEX('draws%'!$D$8:$AH$128,$C41+1,MATCH(R$4,'draws%'!$D$7:$AH$7,FALSE))*R$129)</f>
        <v>6471.7277918486307</v>
      </c>
      <c r="S41" s="181">
        <f>IF(ROUND(SUM(S$5:S40),2)&gt;=ROUND(S$129,2),0,INDEX('draws%'!$D$8:$AH$128,$C41+1,MATCH(S$4,'draws%'!$D$7:$AH$7,FALSE))*S$129)</f>
        <v>2500</v>
      </c>
      <c r="T41" s="181">
        <f>IF(ROUND(SUM(T$5:T40),2)&gt;=ROUND(T$129,2),0,INDEX('draws%'!$D$8:$AH$128,$C41+1,MATCH(T$4,'draws%'!$D$7:$AH$7,FALSE))*T$129)</f>
        <v>0</v>
      </c>
      <c r="U41" s="181">
        <f>IF(ROUND(SUM(U$5:U40),2)&gt;=ROUND(U$129,2),0,INDEX('draws%'!$D$8:$AH$128,$C41+1,MATCH(U$4,'draws%'!$D$7:$AH$7,FALSE))*U$129)</f>
        <v>0</v>
      </c>
      <c r="V41" s="181">
        <f>IF(ROUND(SUM(V$5:V40),2)&gt;=ROUND(V$129,2),0,INDEX('draws%'!$D$8:$AH$128,$C41+1,MATCH(V$4,'draws%'!$D$7:$AH$7,FALSE))*V$129)</f>
        <v>0</v>
      </c>
      <c r="W41" s="181">
        <f>IF(ROUND(SUM(W$5:W40),2)&gt;=ROUND(W$129,2),0,INDEX('draws%'!$D$8:$AH$128,$C41+1,MATCH(W$4,'draws%'!$D$7:$AH$7,FALSE))*W$129)</f>
        <v>0</v>
      </c>
      <c r="X41" s="181">
        <f>IF(ROUND(SUM(X$5:X40),2)&gt;=ROUND(X$129,2),0,INDEX('draws%'!$D$8:$AH$128,$C41+1,MATCH(X$4,'draws%'!$D$7:$AH$7,FALSE))*X$129)</f>
        <v>0</v>
      </c>
      <c r="Y41" s="181">
        <f>IF(ROUND(SUM(Y$5:Y40),2)&gt;=ROUND(Y$129,2),0,INDEX('draws%'!$D$8:$AH$128,$C41+1,MATCH(Y$4,'draws%'!$D$7:$AH$7,FALSE))*Y$129)</f>
        <v>0</v>
      </c>
      <c r="Z41" s="181">
        <f>IF(ROUND(SUM(Z$5:Z40),2)&gt;=ROUND(Z$129,2),0,INDEX('draws%'!$D$8:$AH$128,$C41+1,MATCH(Z$4,'draws%'!$D$7:$AH$7,FALSE))*Z$129)</f>
        <v>2725.336956521739</v>
      </c>
      <c r="AA41" s="181">
        <f>IF(ROUND(SUM(AA$5:AA40),2)&gt;=ROUND(AA$129,2),0,INDEX('draws%'!$D$8:$AH$128,$C41+1,MATCH(AA$4,'draws%'!$D$7:$AH$7,FALSE))*AA$129)</f>
        <v>0</v>
      </c>
      <c r="AB41" s="181">
        <f>IF(ROUND(SUM(AB$5:AB40),2)&gt;=ROUND(AB$129,2),0,INDEX('draws%'!$D$8:$AH$128,$C41+1,MATCH(AB$4,'draws%'!$D$7:$AH$7,FALSE))*AB$129)</f>
        <v>4354.2602271320138</v>
      </c>
      <c r="AC41" s="181">
        <f>($C41&gt;=sales!$D$32)*($C41&lt;=sales!$F$32)*sales!$J$41/(sales!$E$32+1)+($C41&gt;=sales!$D$33)*($C41&lt;=sales!$F$33)*sales!$J$42/(sales!$E$33+1)+($C41&gt;=sales!$D$34)*($C41&lt;=sales!$F$34)*sales!$J$43/(sales!$E$34+1)+($C41&gt;=sales!$D$35)*($C41&lt;=sales!$F$35)*sales!$J$44/(sales!$E$35+1)+($C41&gt;=sales!$D$36)*($C41&lt;=sales!$F$36)*sales!$J$45/(sales!$E$36+1)</f>
        <v>0</v>
      </c>
      <c r="AD41" s="181">
        <f>IF(ROUND(SUM(AD$5:AD40),2)&gt;=ROUND(AD$129,2),0,INDEX('draws%'!$D$8:$AH$128,$C41+1,MATCH(AD$4,'draws%'!$D$7:$AH$7,FALSE))*AD$129)</f>
        <v>6927.5548896384962</v>
      </c>
      <c r="AE41" s="181">
        <f>IF(ROUND(SUM(AE$5:AE40),2)&gt;=ROUND(AE$129,2),0,INDEX('draws%'!$D$8:$AH$128,$C41+1,MATCH(AE$4,'draws%'!$D$7:$AH$7,FALSE))*AE$129)</f>
        <v>0</v>
      </c>
      <c r="AF41" s="188">
        <f>($C41&gt;=sales!$D$32)*($C41&lt;=sales!$F$32)*sales!$D$41/(sales!$E$32+1)+($C41&gt;=sales!$D$33)*($C41&lt;=sales!$F$33)*sales!$D$42/(sales!$E$33+1)+($C41&gt;=sales!$D$34)*($C41&lt;=sales!$F$34)*sales!$D$43/(sales!$E$34+1)+($C41&gt;=sales!$D$35)*($C41&lt;=sales!$F$35)*sales!$D$44/(sales!$E$35+1)+($C41&gt;=sales!$D$36)*($C41&lt;=sales!$F$36)*sales!$D$45/(sales!$E$36+1)</f>
        <v>0</v>
      </c>
      <c r="AG41" s="188">
        <f>($C41&gt;=sales!$D$32)*($C41&lt;=sales!$F$32)*sales!$F$41/(sales!$E$32+1)+($C41&gt;=sales!$D$33)*($C41&lt;=sales!$F$33)*sales!$F$42/(sales!$E$33+1)+($C41&gt;=sales!$D$34)*($C41&lt;=sales!$F$34)*sales!$F$43/(sales!$E$34+1)+($C41&gt;=sales!$D$35)*($C41&lt;=sales!$F$35)*sales!$F$44/(sales!$E$35+1)+($C41&gt;=sales!$D$36)*($C41&lt;=sales!$F$36)*sales!$F$45/(sales!$E$36+1)</f>
        <v>0</v>
      </c>
      <c r="AH41" s="181">
        <f>IF(ROUND(SUM(AH$5:AH40),2)&gt;=ROUND(AH$129,2),0,INDEX('draws%'!$D$8:$AH$128,$C41+1,MATCH(AH$4,'draws%'!$D$7:$AH$7,FALSE))*AH$129)</f>
        <v>0</v>
      </c>
      <c r="AI41" s="181">
        <f>IF(ROUND(SUM(AI$5:AI40),2)&gt;=ROUND(AI$129,2),0,INDEX('draws%'!$D$8:$AH$128,$C41+1,MATCH(AI$4,'draws%'!$D$7:$AH$7,FALSE))*AI$129)</f>
        <v>22766.333333333332</v>
      </c>
      <c r="AJ41" s="181">
        <f>IF(ROUND(SUM(AJ$5:AJ40),2)&gt;=ROUND(AJ$129,2),0,INDEX('draws%'!$D$8:$AH$128,$C41+1,MATCH(AJ$4,'draws%'!$D$7:$AH$7,FALSE))*AJ$129)</f>
        <v>0</v>
      </c>
      <c r="AK41" s="181">
        <f>IF(ROUND(SUM(AK$5:AK40),2)&gt;=ROUND(AK$129,2),0,INDEX('draws%'!$D$8:$AH$128,$C41+1,MATCH(AK$4,'draws%'!$D$7:$AH$7,FALSE))*AK$129)</f>
        <v>0</v>
      </c>
      <c r="AL41" s="189">
        <f t="shared" si="1"/>
        <v>485014.25999938918</v>
      </c>
      <c r="AM41" s="191"/>
      <c r="AO41" s="173"/>
    </row>
    <row r="42" spans="1:41" ht="16">
      <c r="A42" s="1416" t="str">
        <f>IF(MAX(C$5:C41)&gt;=general!$C$27,"post dev",IF(C42&lt;general!$C$23, "Pred", "Dev"))</f>
        <v>Dev</v>
      </c>
      <c r="B42" s="1398"/>
      <c r="C42" s="1388">
        <f>IF('Development Cash Flow'!D41&lt;general!$D$28,'Development Cash Flow'!C41+1,0)</f>
        <v>36</v>
      </c>
      <c r="D42" s="185">
        <f t="shared" si="0"/>
        <v>47361</v>
      </c>
      <c r="E42" s="186">
        <f>($C42&gt;=sales!$D$32)*($C42&lt;=sales!$F$32)*ResUnits/(sales!$E$32+1)</f>
        <v>0</v>
      </c>
      <c r="F42" s="181">
        <f>($C42&gt;=sales!$D$32)*($C42&lt;=sales!$F$32)*sales!$I$18/(sales!$E$32+1)</f>
        <v>0</v>
      </c>
      <c r="G42" s="181">
        <f>($C42&gt;=sales!$D$32)*($C42&lt;=sales!$F$32)*sales!$K$32/(sales!$E$32+1)</f>
        <v>0</v>
      </c>
      <c r="H42" s="187">
        <f>($C42&gt;=sales!$D$33)*($C42&lt;=sales!$F$33)*sales!$K$33/(sales!$E$33+1)</f>
        <v>0</v>
      </c>
      <c r="I42" s="181">
        <f>($C42&gt;=sales!$D$34)*($C42&lt;=sales!$F$34)*sales!$K$34/(sales!$E$34+1)</f>
        <v>0</v>
      </c>
      <c r="J42" s="181">
        <f>($C42&gt;=sales!$D$35)*($C42&lt;=sales!$F$35)*sales!$K$35/(sales!$E$35+1)</f>
        <v>273196</v>
      </c>
      <c r="K42" s="189">
        <f>($C42&gt;=sales!$D$36)*($C42&lt;=sales!$F$36)*sales!$K$36*IFERROR(VLOOKUP(C42,sales!$C$50:$D$54,2,FALSE),0)</f>
        <v>0</v>
      </c>
      <c r="L42" s="1398"/>
      <c r="M42" s="1403">
        <f>+G42/$G$4*$M$4*sales!$J$32</f>
        <v>0</v>
      </c>
      <c r="N42" s="1398"/>
      <c r="O42" s="1464">
        <f>IF(ROUND(SUM(O$5:O41),2)&gt;=ROUND(O$129,2),0,INDEX('draws%'!$D$8:$AH$128,$C42+1,MATCH(O$4,'draws%'!$D$7:$AH$7,FALSE))*O$129)</f>
        <v>0</v>
      </c>
      <c r="P42" s="181">
        <f>IF(ROUND(SUM(P$5:P41),2)&gt;=ROUND(P$129,2),0,INDEX('draws%'!$D$8:$AH$128,$C42+1,MATCH(P$4,'draws%'!$D$7:$AH$7,FALSE))*P$129)</f>
        <v>417541.33441309782</v>
      </c>
      <c r="Q42" s="181">
        <f>IF(ROUND(SUM(Q$5:Q41),2)&gt;=ROUND(Q$129,2),0,INDEX('draws%'!$D$8:$AH$128,$C42+1,MATCH(Q$4,'draws%'!$D$7:$AH$7,FALSE))*Q$129)</f>
        <v>9572.2083333333321</v>
      </c>
      <c r="R42" s="181">
        <f>IF(ROUND(SUM(R$5:R41),2)&gt;=ROUND(R$129,2),0,INDEX('draws%'!$D$8:$AH$128,$C42+1,MATCH(R$4,'draws%'!$D$7:$AH$7,FALSE))*R$129)</f>
        <v>6288.6519430853941</v>
      </c>
      <c r="S42" s="181">
        <f>IF(ROUND(SUM(S$5:S41),2)&gt;=ROUND(S$129,2),0,INDEX('draws%'!$D$8:$AH$128,$C42+1,MATCH(S$4,'draws%'!$D$7:$AH$7,FALSE))*S$129)</f>
        <v>2500</v>
      </c>
      <c r="T42" s="181">
        <f>IF(ROUND(SUM(T$5:T41),2)&gt;=ROUND(T$129,2),0,INDEX('draws%'!$D$8:$AH$128,$C42+1,MATCH(T$4,'draws%'!$D$7:$AH$7,FALSE))*T$129)</f>
        <v>0</v>
      </c>
      <c r="U42" s="181">
        <f>IF(ROUND(SUM(U$5:U41),2)&gt;=ROUND(U$129,2),0,INDEX('draws%'!$D$8:$AH$128,$C42+1,MATCH(U$4,'draws%'!$D$7:$AH$7,FALSE))*U$129)</f>
        <v>0</v>
      </c>
      <c r="V42" s="181">
        <f>IF(ROUND(SUM(V$5:V41),2)&gt;=ROUND(V$129,2),0,INDEX('draws%'!$D$8:$AH$128,$C42+1,MATCH(V$4,'draws%'!$D$7:$AH$7,FALSE))*V$129)</f>
        <v>0</v>
      </c>
      <c r="W42" s="181">
        <f>IF(ROUND(SUM(W$5:W41),2)&gt;=ROUND(W$129,2),0,INDEX('draws%'!$D$8:$AH$128,$C42+1,MATCH(W$4,'draws%'!$D$7:$AH$7,FALSE))*W$129)</f>
        <v>0</v>
      </c>
      <c r="X42" s="181">
        <f>IF(ROUND(SUM(X$5:X41),2)&gt;=ROUND(X$129,2),0,INDEX('draws%'!$D$8:$AH$128,$C42+1,MATCH(X$4,'draws%'!$D$7:$AH$7,FALSE))*X$129)</f>
        <v>0</v>
      </c>
      <c r="Y42" s="181">
        <f>IF(ROUND(SUM(Y$5:Y41),2)&gt;=ROUND(Y$129,2),0,INDEX('draws%'!$D$8:$AH$128,$C42+1,MATCH(Y$4,'draws%'!$D$7:$AH$7,FALSE))*Y$129)</f>
        <v>0</v>
      </c>
      <c r="Z42" s="181">
        <f>IF(ROUND(SUM(Z$5:Z41),2)&gt;=ROUND(Z$129,2),0,INDEX('draws%'!$D$8:$AH$128,$C42+1,MATCH(Z$4,'draws%'!$D$7:$AH$7,FALSE))*Z$129)</f>
        <v>2725.336956521739</v>
      </c>
      <c r="AA42" s="181">
        <f>IF(ROUND(SUM(AA$5:AA41),2)&gt;=ROUND(AA$129,2),0,INDEX('draws%'!$D$8:$AH$128,$C42+1,MATCH(AA$4,'draws%'!$D$7:$AH$7,FALSE))*AA$129)</f>
        <v>0</v>
      </c>
      <c r="AB42" s="181">
        <f>IF(ROUND(SUM(AB$5:AB41),2)&gt;=ROUND(AB$129,2),0,INDEX('draws%'!$D$8:$AH$128,$C42+1,MATCH(AB$4,'draws%'!$D$7:$AH$7,FALSE))*AB$129)</f>
        <v>4354.2602271320138</v>
      </c>
      <c r="AC42" s="181">
        <f>($C42&gt;=sales!$D$32)*($C42&lt;=sales!$F$32)*sales!$J$41/(sales!$E$32+1)+($C42&gt;=sales!$D$33)*($C42&lt;=sales!$F$33)*sales!$J$42/(sales!$E$33+1)+($C42&gt;=sales!$D$34)*($C42&lt;=sales!$F$34)*sales!$J$43/(sales!$E$34+1)+($C42&gt;=sales!$D$35)*($C42&lt;=sales!$F$35)*sales!$J$44/(sales!$E$35+1)+($C42&gt;=sales!$D$36)*($C42&lt;=sales!$F$36)*sales!$J$45/(sales!$E$36+1)</f>
        <v>0</v>
      </c>
      <c r="AD42" s="181">
        <f>IF(ROUND(SUM(AD$5:AD41),2)&gt;=ROUND(AD$129,2),0,INDEX('draws%'!$D$8:$AH$128,$C42+1,MATCH(AD$4,'draws%'!$D$7:$AH$7,FALSE))*AD$129)</f>
        <v>6927.5548896384962</v>
      </c>
      <c r="AE42" s="181">
        <f>IF(ROUND(SUM(AE$5:AE41),2)&gt;=ROUND(AE$129,2),0,INDEX('draws%'!$D$8:$AH$128,$C42+1,MATCH(AE$4,'draws%'!$D$7:$AH$7,FALSE))*AE$129)</f>
        <v>0</v>
      </c>
      <c r="AF42" s="188">
        <f>($C42&gt;=sales!$D$32)*($C42&lt;=sales!$F$32)*sales!$D$41/(sales!$E$32+1)+($C42&gt;=sales!$D$33)*($C42&lt;=sales!$F$33)*sales!$D$42/(sales!$E$33+1)+($C42&gt;=sales!$D$34)*($C42&lt;=sales!$F$34)*sales!$D$43/(sales!$E$34+1)+($C42&gt;=sales!$D$35)*($C42&lt;=sales!$F$35)*sales!$D$44/(sales!$E$35+1)+($C42&gt;=sales!$D$36)*($C42&lt;=sales!$F$36)*sales!$D$45/(sales!$E$36+1)</f>
        <v>0</v>
      </c>
      <c r="AG42" s="188">
        <f>($C42&gt;=sales!$D$32)*($C42&lt;=sales!$F$32)*sales!$F$41/(sales!$E$32+1)+($C42&gt;=sales!$D$33)*($C42&lt;=sales!$F$33)*sales!$F$42/(sales!$E$33+1)+($C42&gt;=sales!$D$34)*($C42&lt;=sales!$F$34)*sales!$F$43/(sales!$E$34+1)+($C42&gt;=sales!$D$35)*($C42&lt;=sales!$F$35)*sales!$F$44/(sales!$E$35+1)+($C42&gt;=sales!$D$36)*($C42&lt;=sales!$F$36)*sales!$F$45/(sales!$E$36+1)</f>
        <v>0</v>
      </c>
      <c r="AH42" s="181">
        <f>IF(ROUND(SUM(AH$5:AH41),2)&gt;=ROUND(AH$129,2),0,INDEX('draws%'!$D$8:$AH$128,$C42+1,MATCH(AH$4,'draws%'!$D$7:$AH$7,FALSE))*AH$129)</f>
        <v>0</v>
      </c>
      <c r="AI42" s="181">
        <f>IF(ROUND(SUM(AI$5:AI41),2)&gt;=ROUND(AI$129,2),0,INDEX('draws%'!$D$8:$AH$128,$C42+1,MATCH(AI$4,'draws%'!$D$7:$AH$7,FALSE))*AI$129)</f>
        <v>22766.333333333332</v>
      </c>
      <c r="AJ42" s="181">
        <f>IF(ROUND(SUM(AJ$5:AJ41),2)&gt;=ROUND(AJ$129,2),0,INDEX('draws%'!$D$8:$AH$128,$C42+1,MATCH(AJ$4,'draws%'!$D$7:$AH$7,FALSE))*AJ$129)</f>
        <v>45166.666666666664</v>
      </c>
      <c r="AK42" s="181">
        <f>IF(ROUND(SUM(AK$5:AK41),2)&gt;=ROUND(AK$129,2),0,INDEX('draws%'!$D$8:$AH$128,$C42+1,MATCH(AK$4,'draws%'!$D$7:$AH$7,FALSE))*AK$129)</f>
        <v>67833.333333333328</v>
      </c>
      <c r="AL42" s="189">
        <f t="shared" si="1"/>
        <v>585675.68009614211</v>
      </c>
      <c r="AM42" s="191"/>
      <c r="AO42" s="173"/>
    </row>
    <row r="43" spans="1:41" ht="16">
      <c r="A43" s="1416" t="str">
        <f>IF(MAX(C$5:C42)&gt;=general!$C$27,"post dev",IF(C43&lt;general!$C$23, "Pred", "Dev"))</f>
        <v>Dev</v>
      </c>
      <c r="B43" s="1398"/>
      <c r="C43" s="1388">
        <f>IF('Development Cash Flow'!D42&lt;general!$D$28,'Development Cash Flow'!C42+1,0)</f>
        <v>37</v>
      </c>
      <c r="D43" s="185">
        <f t="shared" si="0"/>
        <v>47391</v>
      </c>
      <c r="E43" s="186">
        <f>($C43&gt;=sales!$D$32)*($C43&lt;=sales!$F$32)*ResUnits/(sales!$E$32+1)</f>
        <v>0</v>
      </c>
      <c r="F43" s="181">
        <f>($C43&gt;=sales!$D$32)*($C43&lt;=sales!$F$32)*sales!$I$18/(sales!$E$32+1)</f>
        <v>0</v>
      </c>
      <c r="G43" s="181">
        <f>($C43&gt;=sales!$D$32)*($C43&lt;=sales!$F$32)*sales!$K$32/(sales!$E$32+1)</f>
        <v>0</v>
      </c>
      <c r="H43" s="187">
        <f>($C43&gt;=sales!$D$33)*($C43&lt;=sales!$F$33)*sales!$K$33/(sales!$E$33+1)</f>
        <v>0</v>
      </c>
      <c r="I43" s="181">
        <f>($C43&gt;=sales!$D$34)*($C43&lt;=sales!$F$34)*sales!$K$34/(sales!$E$34+1)</f>
        <v>0</v>
      </c>
      <c r="J43" s="181">
        <f>($C43&gt;=sales!$D$35)*($C43&lt;=sales!$F$35)*sales!$K$35/(sales!$E$35+1)</f>
        <v>273196</v>
      </c>
      <c r="K43" s="189">
        <f>($C43&gt;=sales!$D$36)*($C43&lt;=sales!$F$36)*sales!$K$36*IFERROR(VLOOKUP(C43,sales!$C$50:$D$54,2,FALSE),0)</f>
        <v>0</v>
      </c>
      <c r="L43" s="1398"/>
      <c r="M43" s="1403">
        <f>+G43/$G$4*$M$4*sales!$J$32</f>
        <v>0</v>
      </c>
      <c r="N43" s="1398"/>
      <c r="O43" s="1464">
        <f>IF(ROUND(SUM(O$5:O42),2)&gt;=ROUND(O$129,2),0,INDEX('draws%'!$D$8:$AH$128,$C43+1,MATCH(O$4,'draws%'!$D$7:$AH$7,FALSE))*O$129)</f>
        <v>0</v>
      </c>
      <c r="P43" s="181">
        <f>IF(ROUND(SUM(P$5:P42),2)&gt;=ROUND(P$129,2),0,INDEX('draws%'!$D$8:$AH$128,$C43+1,MATCH(P$4,'draws%'!$D$7:$AH$7,FALSE))*P$129)</f>
        <v>403985.10633049696</v>
      </c>
      <c r="Q43" s="181">
        <f>IF(ROUND(SUM(Q$5:Q42),2)&gt;=ROUND(Q$129,2),0,INDEX('draws%'!$D$8:$AH$128,$C43+1,MATCH(Q$4,'draws%'!$D$7:$AH$7,FALSE))*Q$129)</f>
        <v>9572.2083333333321</v>
      </c>
      <c r="R43" s="181">
        <f>IF(ROUND(SUM(R$5:R42),2)&gt;=ROUND(R$129,2),0,INDEX('draws%'!$D$8:$AH$128,$C43+1,MATCH(R$4,'draws%'!$D$7:$AH$7,FALSE))*R$129)</f>
        <v>6084.4795820606205</v>
      </c>
      <c r="S43" s="181">
        <f>IF(ROUND(SUM(S$5:S42),2)&gt;=ROUND(S$129,2),0,INDEX('draws%'!$D$8:$AH$128,$C43+1,MATCH(S$4,'draws%'!$D$7:$AH$7,FALSE))*S$129)</f>
        <v>2500</v>
      </c>
      <c r="T43" s="181">
        <f>IF(ROUND(SUM(T$5:T42),2)&gt;=ROUND(T$129,2),0,INDEX('draws%'!$D$8:$AH$128,$C43+1,MATCH(T$4,'draws%'!$D$7:$AH$7,FALSE))*T$129)</f>
        <v>0</v>
      </c>
      <c r="U43" s="181">
        <f>IF(ROUND(SUM(U$5:U42),2)&gt;=ROUND(U$129,2),0,INDEX('draws%'!$D$8:$AH$128,$C43+1,MATCH(U$4,'draws%'!$D$7:$AH$7,FALSE))*U$129)</f>
        <v>0</v>
      </c>
      <c r="V43" s="181">
        <f>IF(ROUND(SUM(V$5:V42),2)&gt;=ROUND(V$129,2),0,INDEX('draws%'!$D$8:$AH$128,$C43+1,MATCH(V$4,'draws%'!$D$7:$AH$7,FALSE))*V$129)</f>
        <v>0</v>
      </c>
      <c r="W43" s="181">
        <f>IF(ROUND(SUM(W$5:W42),2)&gt;=ROUND(W$129,2),0,INDEX('draws%'!$D$8:$AH$128,$C43+1,MATCH(W$4,'draws%'!$D$7:$AH$7,FALSE))*W$129)</f>
        <v>0</v>
      </c>
      <c r="X43" s="181">
        <f>IF(ROUND(SUM(X$5:X42),2)&gt;=ROUND(X$129,2),0,INDEX('draws%'!$D$8:$AH$128,$C43+1,MATCH(X$4,'draws%'!$D$7:$AH$7,FALSE))*X$129)</f>
        <v>0</v>
      </c>
      <c r="Y43" s="181">
        <f>IF(ROUND(SUM(Y$5:Y42),2)&gt;=ROUND(Y$129,2),0,INDEX('draws%'!$D$8:$AH$128,$C43+1,MATCH(Y$4,'draws%'!$D$7:$AH$7,FALSE))*Y$129)</f>
        <v>0</v>
      </c>
      <c r="Z43" s="181">
        <f>IF(ROUND(SUM(Z$5:Z42),2)&gt;=ROUND(Z$129,2),0,INDEX('draws%'!$D$8:$AH$128,$C43+1,MATCH(Z$4,'draws%'!$D$7:$AH$7,FALSE))*Z$129)</f>
        <v>2725.336956521739</v>
      </c>
      <c r="AA43" s="181">
        <f>IF(ROUND(SUM(AA$5:AA42),2)&gt;=ROUND(AA$129,2),0,INDEX('draws%'!$D$8:$AH$128,$C43+1,MATCH(AA$4,'draws%'!$D$7:$AH$7,FALSE))*AA$129)</f>
        <v>0</v>
      </c>
      <c r="AB43" s="181">
        <f>IF(ROUND(SUM(AB$5:AB42),2)&gt;=ROUND(AB$129,2),0,INDEX('draws%'!$D$8:$AH$128,$C43+1,MATCH(AB$4,'draws%'!$D$7:$AH$7,FALSE))*AB$129)</f>
        <v>4354.2602271320138</v>
      </c>
      <c r="AC43" s="181">
        <f>($C43&gt;=sales!$D$32)*($C43&lt;=sales!$F$32)*sales!$J$41/(sales!$E$32+1)+($C43&gt;=sales!$D$33)*($C43&lt;=sales!$F$33)*sales!$J$42/(sales!$E$33+1)+($C43&gt;=sales!$D$34)*($C43&lt;=sales!$F$34)*sales!$J$43/(sales!$E$34+1)+($C43&gt;=sales!$D$35)*($C43&lt;=sales!$F$35)*sales!$J$44/(sales!$E$35+1)+($C43&gt;=sales!$D$36)*($C43&lt;=sales!$F$36)*sales!$J$45/(sales!$E$36+1)</f>
        <v>0</v>
      </c>
      <c r="AD43" s="181">
        <f>IF(ROUND(SUM(AD$5:AD42),2)&gt;=ROUND(AD$129,2),0,INDEX('draws%'!$D$8:$AH$128,$C43+1,MATCH(AD$4,'draws%'!$D$7:$AH$7,FALSE))*AD$129)</f>
        <v>6927.5548896384962</v>
      </c>
      <c r="AE43" s="181">
        <f>IF(ROUND(SUM(AE$5:AE42),2)&gt;=ROUND(AE$129,2),0,INDEX('draws%'!$D$8:$AH$128,$C43+1,MATCH(AE$4,'draws%'!$D$7:$AH$7,FALSE))*AE$129)</f>
        <v>0</v>
      </c>
      <c r="AF43" s="188">
        <f>($C43&gt;=sales!$D$32)*($C43&lt;=sales!$F$32)*sales!$D$41/(sales!$E$32+1)+($C43&gt;=sales!$D$33)*($C43&lt;=sales!$F$33)*sales!$D$42/(sales!$E$33+1)+($C43&gt;=sales!$D$34)*($C43&lt;=sales!$F$34)*sales!$D$43/(sales!$E$34+1)+($C43&gt;=sales!$D$35)*($C43&lt;=sales!$F$35)*sales!$D$44/(sales!$E$35+1)+($C43&gt;=sales!$D$36)*($C43&lt;=sales!$F$36)*sales!$D$45/(sales!$E$36+1)</f>
        <v>0</v>
      </c>
      <c r="AG43" s="188">
        <f>($C43&gt;=sales!$D$32)*($C43&lt;=sales!$F$32)*sales!$F$41/(sales!$E$32+1)+($C43&gt;=sales!$D$33)*($C43&lt;=sales!$F$33)*sales!$F$42/(sales!$E$33+1)+($C43&gt;=sales!$D$34)*($C43&lt;=sales!$F$34)*sales!$F$43/(sales!$E$34+1)+($C43&gt;=sales!$D$35)*($C43&lt;=sales!$F$35)*sales!$F$44/(sales!$E$35+1)+($C43&gt;=sales!$D$36)*($C43&lt;=sales!$F$36)*sales!$F$45/(sales!$E$36+1)</f>
        <v>0</v>
      </c>
      <c r="AH43" s="181">
        <f>IF(ROUND(SUM(AH$5:AH42),2)&gt;=ROUND(AH$129,2),0,INDEX('draws%'!$D$8:$AH$128,$C43+1,MATCH(AH$4,'draws%'!$D$7:$AH$7,FALSE))*AH$129)</f>
        <v>0</v>
      </c>
      <c r="AI43" s="181">
        <f>IF(ROUND(SUM(AI$5:AI42),2)&gt;=ROUND(AI$129,2),0,INDEX('draws%'!$D$8:$AH$128,$C43+1,MATCH(AI$4,'draws%'!$D$7:$AH$7,FALSE))*AI$129)</f>
        <v>22766.333333333332</v>
      </c>
      <c r="AJ43" s="181">
        <f>IF(ROUND(SUM(AJ$5:AJ42),2)&gt;=ROUND(AJ$129,2),0,INDEX('draws%'!$D$8:$AH$128,$C43+1,MATCH(AJ$4,'draws%'!$D$7:$AH$7,FALSE))*AJ$129)</f>
        <v>45166.666666666664</v>
      </c>
      <c r="AK43" s="181">
        <f>IF(ROUND(SUM(AK$5:AK42),2)&gt;=ROUND(AK$129,2),0,INDEX('draws%'!$D$8:$AH$128,$C43+1,MATCH(AK$4,'draws%'!$D$7:$AH$7,FALSE))*AK$129)</f>
        <v>67833.333333333328</v>
      </c>
      <c r="AL43" s="189">
        <f t="shared" si="1"/>
        <v>571915.27965251647</v>
      </c>
      <c r="AM43" s="191"/>
      <c r="AO43" s="173"/>
    </row>
    <row r="44" spans="1:41" ht="16">
      <c r="A44" s="1416" t="str">
        <f>IF(MAX(C$5:C43)&gt;=general!$C$27,"post dev",IF(C44&lt;general!$C$23, "Pred", "Dev"))</f>
        <v>Dev</v>
      </c>
      <c r="B44" s="1398"/>
      <c r="C44" s="1388">
        <f>IF('Development Cash Flow'!D43&lt;general!$D$28,'Development Cash Flow'!C43+1,0)</f>
        <v>38</v>
      </c>
      <c r="D44" s="185">
        <f t="shared" si="0"/>
        <v>47422</v>
      </c>
      <c r="E44" s="186">
        <f>($C44&gt;=sales!$D$32)*($C44&lt;=sales!$F$32)*ResUnits/(sales!$E$32+1)</f>
        <v>0</v>
      </c>
      <c r="F44" s="181">
        <f>($C44&gt;=sales!$D$32)*($C44&lt;=sales!$F$32)*sales!$I$18/(sales!$E$32+1)</f>
        <v>0</v>
      </c>
      <c r="G44" s="181">
        <f>($C44&gt;=sales!$D$32)*($C44&lt;=sales!$F$32)*sales!$K$32/(sales!$E$32+1)</f>
        <v>0</v>
      </c>
      <c r="H44" s="187">
        <f>($C44&gt;=sales!$D$33)*($C44&lt;=sales!$F$33)*sales!$K$33/(sales!$E$33+1)</f>
        <v>0</v>
      </c>
      <c r="I44" s="181">
        <f>($C44&gt;=sales!$D$34)*($C44&lt;=sales!$F$34)*sales!$K$34/(sales!$E$34+1)</f>
        <v>0</v>
      </c>
      <c r="J44" s="181">
        <f>($C44&gt;=sales!$D$35)*($C44&lt;=sales!$F$35)*sales!$K$35/(sales!$E$35+1)</f>
        <v>273196</v>
      </c>
      <c r="K44" s="189">
        <f>($C44&gt;=sales!$D$36)*($C44&lt;=sales!$F$36)*sales!$K$36*IFERROR(VLOOKUP(C44,sales!$C$50:$D$54,2,FALSE),0)</f>
        <v>0</v>
      </c>
      <c r="L44" s="1398"/>
      <c r="M44" s="1403">
        <f>+G44/$G$4*$M$4*sales!$J$32</f>
        <v>0</v>
      </c>
      <c r="N44" s="1398"/>
      <c r="O44" s="1464">
        <f>IF(ROUND(SUM(O$5:O43),2)&gt;=ROUND(O$129,2),0,INDEX('draws%'!$D$8:$AH$128,$C44+1,MATCH(O$4,'draws%'!$D$7:$AH$7,FALSE))*O$129)</f>
        <v>0</v>
      </c>
      <c r="P44" s="181">
        <f>IF(ROUND(SUM(P$5:P43),2)&gt;=ROUND(P$129,2),0,INDEX('draws%'!$D$8:$AH$128,$C44+1,MATCH(P$4,'draws%'!$D$7:$AH$7,FALSE))*P$129)</f>
        <v>389277.65318305482</v>
      </c>
      <c r="Q44" s="181">
        <f>IF(ROUND(SUM(Q$5:Q43),2)&gt;=ROUND(Q$129,2),0,INDEX('draws%'!$D$8:$AH$128,$C44+1,MATCH(Q$4,'draws%'!$D$7:$AH$7,FALSE))*Q$129)</f>
        <v>9572.2083333333321</v>
      </c>
      <c r="R44" s="181">
        <f>IF(ROUND(SUM(R$5:R43),2)&gt;=ROUND(R$129,2),0,INDEX('draws%'!$D$8:$AH$128,$C44+1,MATCH(R$4,'draws%'!$D$7:$AH$7,FALSE))*R$129)</f>
        <v>5862.9684496514064</v>
      </c>
      <c r="S44" s="181">
        <f>IF(ROUND(SUM(S$5:S43),2)&gt;=ROUND(S$129,2),0,INDEX('draws%'!$D$8:$AH$128,$C44+1,MATCH(S$4,'draws%'!$D$7:$AH$7,FALSE))*S$129)</f>
        <v>2500</v>
      </c>
      <c r="T44" s="181">
        <f>IF(ROUND(SUM(T$5:T43),2)&gt;=ROUND(T$129,2),0,INDEX('draws%'!$D$8:$AH$128,$C44+1,MATCH(T$4,'draws%'!$D$7:$AH$7,FALSE))*T$129)</f>
        <v>0</v>
      </c>
      <c r="U44" s="181">
        <f>IF(ROUND(SUM(U$5:U43),2)&gt;=ROUND(U$129,2),0,INDEX('draws%'!$D$8:$AH$128,$C44+1,MATCH(U$4,'draws%'!$D$7:$AH$7,FALSE))*U$129)</f>
        <v>0</v>
      </c>
      <c r="V44" s="181">
        <f>IF(ROUND(SUM(V$5:V43),2)&gt;=ROUND(V$129,2),0,INDEX('draws%'!$D$8:$AH$128,$C44+1,MATCH(V$4,'draws%'!$D$7:$AH$7,FALSE))*V$129)</f>
        <v>0</v>
      </c>
      <c r="W44" s="181">
        <f>IF(ROUND(SUM(W$5:W43),2)&gt;=ROUND(W$129,2),0,INDEX('draws%'!$D$8:$AH$128,$C44+1,MATCH(W$4,'draws%'!$D$7:$AH$7,FALSE))*W$129)</f>
        <v>0</v>
      </c>
      <c r="X44" s="181">
        <f>IF(ROUND(SUM(X$5:X43),2)&gt;=ROUND(X$129,2),0,INDEX('draws%'!$D$8:$AH$128,$C44+1,MATCH(X$4,'draws%'!$D$7:$AH$7,FALSE))*X$129)</f>
        <v>0</v>
      </c>
      <c r="Y44" s="181">
        <f>IF(ROUND(SUM(Y$5:Y43),2)&gt;=ROUND(Y$129,2),0,INDEX('draws%'!$D$8:$AH$128,$C44+1,MATCH(Y$4,'draws%'!$D$7:$AH$7,FALSE))*Y$129)</f>
        <v>0</v>
      </c>
      <c r="Z44" s="181">
        <f>IF(ROUND(SUM(Z$5:Z43),2)&gt;=ROUND(Z$129,2),0,INDEX('draws%'!$D$8:$AH$128,$C44+1,MATCH(Z$4,'draws%'!$D$7:$AH$7,FALSE))*Z$129)</f>
        <v>2725.336956521739</v>
      </c>
      <c r="AA44" s="181">
        <f>IF(ROUND(SUM(AA$5:AA43),2)&gt;=ROUND(AA$129,2),0,INDEX('draws%'!$D$8:$AH$128,$C44+1,MATCH(AA$4,'draws%'!$D$7:$AH$7,FALSE))*AA$129)</f>
        <v>0</v>
      </c>
      <c r="AB44" s="181">
        <f>IF(ROUND(SUM(AB$5:AB43),2)&gt;=ROUND(AB$129,2),0,INDEX('draws%'!$D$8:$AH$128,$C44+1,MATCH(AB$4,'draws%'!$D$7:$AH$7,FALSE))*AB$129)</f>
        <v>4354.2602271320138</v>
      </c>
      <c r="AC44" s="181">
        <f>($C44&gt;=sales!$D$32)*($C44&lt;=sales!$F$32)*sales!$J$41/(sales!$E$32+1)+($C44&gt;=sales!$D$33)*($C44&lt;=sales!$F$33)*sales!$J$42/(sales!$E$33+1)+($C44&gt;=sales!$D$34)*($C44&lt;=sales!$F$34)*sales!$J$43/(sales!$E$34+1)+($C44&gt;=sales!$D$35)*($C44&lt;=sales!$F$35)*sales!$J$44/(sales!$E$35+1)+($C44&gt;=sales!$D$36)*($C44&lt;=sales!$F$36)*sales!$J$45/(sales!$E$36+1)</f>
        <v>0</v>
      </c>
      <c r="AD44" s="181">
        <f>IF(ROUND(SUM(AD$5:AD43),2)&gt;=ROUND(AD$129,2),0,INDEX('draws%'!$D$8:$AH$128,$C44+1,MATCH(AD$4,'draws%'!$D$7:$AH$7,FALSE))*AD$129)</f>
        <v>6927.5548896384962</v>
      </c>
      <c r="AE44" s="181">
        <f>IF(ROUND(SUM(AE$5:AE43),2)&gt;=ROUND(AE$129,2),0,INDEX('draws%'!$D$8:$AH$128,$C44+1,MATCH(AE$4,'draws%'!$D$7:$AH$7,FALSE))*AE$129)</f>
        <v>0</v>
      </c>
      <c r="AF44" s="188">
        <f>($C44&gt;=sales!$D$32)*($C44&lt;=sales!$F$32)*sales!$D$41/(sales!$E$32+1)+($C44&gt;=sales!$D$33)*($C44&lt;=sales!$F$33)*sales!$D$42/(sales!$E$33+1)+($C44&gt;=sales!$D$34)*($C44&lt;=sales!$F$34)*sales!$D$43/(sales!$E$34+1)+($C44&gt;=sales!$D$35)*($C44&lt;=sales!$F$35)*sales!$D$44/(sales!$E$35+1)+($C44&gt;=sales!$D$36)*($C44&lt;=sales!$F$36)*sales!$D$45/(sales!$E$36+1)</f>
        <v>0</v>
      </c>
      <c r="AG44" s="188">
        <f>($C44&gt;=sales!$D$32)*($C44&lt;=sales!$F$32)*sales!$F$41/(sales!$E$32+1)+($C44&gt;=sales!$D$33)*($C44&lt;=sales!$F$33)*sales!$F$42/(sales!$E$33+1)+($C44&gt;=sales!$D$34)*($C44&lt;=sales!$F$34)*sales!$F$43/(sales!$E$34+1)+($C44&gt;=sales!$D$35)*($C44&lt;=sales!$F$35)*sales!$F$44/(sales!$E$35+1)+($C44&gt;=sales!$D$36)*($C44&lt;=sales!$F$36)*sales!$F$45/(sales!$E$36+1)</f>
        <v>0</v>
      </c>
      <c r="AH44" s="181">
        <f>IF(ROUND(SUM(AH$5:AH43),2)&gt;=ROUND(AH$129,2),0,INDEX('draws%'!$D$8:$AH$128,$C44+1,MATCH(AH$4,'draws%'!$D$7:$AH$7,FALSE))*AH$129)</f>
        <v>0</v>
      </c>
      <c r="AI44" s="181">
        <f>IF(ROUND(SUM(AI$5:AI43),2)&gt;=ROUND(AI$129,2),0,INDEX('draws%'!$D$8:$AH$128,$C44+1,MATCH(AI$4,'draws%'!$D$7:$AH$7,FALSE))*AI$129)</f>
        <v>22766.333333333332</v>
      </c>
      <c r="AJ44" s="181">
        <f>IF(ROUND(SUM(AJ$5:AJ43),2)&gt;=ROUND(AJ$129,2),0,INDEX('draws%'!$D$8:$AH$128,$C44+1,MATCH(AJ$4,'draws%'!$D$7:$AH$7,FALSE))*AJ$129)</f>
        <v>45166.666666666664</v>
      </c>
      <c r="AK44" s="181">
        <f>IF(ROUND(SUM(AK$5:AK43),2)&gt;=ROUND(AK$129,2),0,INDEX('draws%'!$D$8:$AH$128,$C44+1,MATCH(AK$4,'draws%'!$D$7:$AH$7,FALSE))*AK$129)</f>
        <v>67833.333333333328</v>
      </c>
      <c r="AL44" s="189">
        <f t="shared" si="1"/>
        <v>556986.31537266506</v>
      </c>
      <c r="AO44" s="173"/>
    </row>
    <row r="45" spans="1:41" ht="16">
      <c r="A45" s="1416" t="str">
        <f>IF(MAX(C$5:C44)&gt;=general!$C$27,"post dev",IF(C45&lt;general!$C$23, "Pred", "Dev"))</f>
        <v>Dev</v>
      </c>
      <c r="B45" s="1398"/>
      <c r="C45" s="1388">
        <f>IF('Development Cash Flow'!D44&lt;general!$D$28,'Development Cash Flow'!C44+1,0)</f>
        <v>39</v>
      </c>
      <c r="D45" s="185">
        <f t="shared" si="0"/>
        <v>47452</v>
      </c>
      <c r="E45" s="186">
        <f>($C45&gt;=sales!$D$32)*($C45&lt;=sales!$F$32)*ResUnits/(sales!$E$32+1)</f>
        <v>0</v>
      </c>
      <c r="F45" s="181">
        <f>($C45&gt;=sales!$D$32)*($C45&lt;=sales!$F$32)*sales!$I$18/(sales!$E$32+1)</f>
        <v>0</v>
      </c>
      <c r="G45" s="181">
        <f>($C45&gt;=sales!$D$32)*($C45&lt;=sales!$F$32)*sales!$K$32/(sales!$E$32+1)</f>
        <v>0</v>
      </c>
      <c r="H45" s="187">
        <f>($C45&gt;=sales!$D$33)*($C45&lt;=sales!$F$33)*sales!$K$33/(sales!$E$33+1)</f>
        <v>0</v>
      </c>
      <c r="I45" s="181">
        <f>($C45&gt;=sales!$D$34)*($C45&lt;=sales!$F$34)*sales!$K$34/(sales!$E$34+1)</f>
        <v>0</v>
      </c>
      <c r="J45" s="181">
        <f>($C45&gt;=sales!$D$35)*($C45&lt;=sales!$F$35)*sales!$K$35/(sales!$E$35+1)</f>
        <v>0</v>
      </c>
      <c r="K45" s="189">
        <f>($C45&gt;=sales!$D$36)*($C45&lt;=sales!$F$36)*sales!$K$36*IFERROR(VLOOKUP(C45,sales!$C$50:$D$54,2,FALSE),0)</f>
        <v>0</v>
      </c>
      <c r="L45" s="1398"/>
      <c r="M45" s="1403">
        <f>+G45/$G$4*$M$4*sales!$J$32</f>
        <v>0</v>
      </c>
      <c r="N45" s="1398"/>
      <c r="O45" s="1464">
        <f>IF(ROUND(SUM(O$5:O44),2)&gt;=ROUND(O$129,2),0,INDEX('draws%'!$D$8:$AH$128,$C45+1,MATCH(O$4,'draws%'!$D$7:$AH$7,FALSE))*O$129)</f>
        <v>0</v>
      </c>
      <c r="P45" s="181">
        <f>IF(ROUND(SUM(P$5:P44),2)&gt;=ROUND(P$129,2),0,INDEX('draws%'!$D$8:$AH$128,$C45+1,MATCH(P$4,'draws%'!$D$7:$AH$7,FALSE))*P$129)</f>
        <v>373679.10389328795</v>
      </c>
      <c r="Q45" s="181">
        <f>IF(ROUND(SUM(Q$5:Q44),2)&gt;=ROUND(Q$129,2),0,INDEX('draws%'!$D$8:$AH$128,$C45+1,MATCH(Q$4,'draws%'!$D$7:$AH$7,FALSE))*Q$129)</f>
        <v>9572.2083333333321</v>
      </c>
      <c r="R45" s="181">
        <f>IF(ROUND(SUM(R$5:R44),2)&gt;=ROUND(R$129,2),0,INDEX('draws%'!$D$8:$AH$128,$C45+1,MATCH(R$4,'draws%'!$D$7:$AH$7,FALSE))*R$129)</f>
        <v>5628.0363861269943</v>
      </c>
      <c r="S45" s="181">
        <f>IF(ROUND(SUM(S$5:S44),2)&gt;=ROUND(S$129,2),0,INDEX('draws%'!$D$8:$AH$128,$C45+1,MATCH(S$4,'draws%'!$D$7:$AH$7,FALSE))*S$129)</f>
        <v>2500</v>
      </c>
      <c r="T45" s="181">
        <f>IF(ROUND(SUM(T$5:T44),2)&gt;=ROUND(T$129,2),0,INDEX('draws%'!$D$8:$AH$128,$C45+1,MATCH(T$4,'draws%'!$D$7:$AH$7,FALSE))*T$129)</f>
        <v>0</v>
      </c>
      <c r="U45" s="181">
        <f>IF(ROUND(SUM(U$5:U44),2)&gt;=ROUND(U$129,2),0,INDEX('draws%'!$D$8:$AH$128,$C45+1,MATCH(U$4,'draws%'!$D$7:$AH$7,FALSE))*U$129)</f>
        <v>0</v>
      </c>
      <c r="V45" s="181">
        <f>IF(ROUND(SUM(V$5:V44),2)&gt;=ROUND(V$129,2),0,INDEX('draws%'!$D$8:$AH$128,$C45+1,MATCH(V$4,'draws%'!$D$7:$AH$7,FALSE))*V$129)</f>
        <v>0</v>
      </c>
      <c r="W45" s="181">
        <f>IF(ROUND(SUM(W$5:W44),2)&gt;=ROUND(W$129,2),0,INDEX('draws%'!$D$8:$AH$128,$C45+1,MATCH(W$4,'draws%'!$D$7:$AH$7,FALSE))*W$129)</f>
        <v>81714.28571428571</v>
      </c>
      <c r="X45" s="181">
        <f>IF(ROUND(SUM(X$5:X44),2)&gt;=ROUND(X$129,2),0,INDEX('draws%'!$D$8:$AH$128,$C45+1,MATCH(X$4,'draws%'!$D$7:$AH$7,FALSE))*X$129)</f>
        <v>0</v>
      </c>
      <c r="Y45" s="181">
        <f>IF(ROUND(SUM(Y$5:Y44),2)&gt;=ROUND(Y$129,2),0,INDEX('draws%'!$D$8:$AH$128,$C45+1,MATCH(Y$4,'draws%'!$D$7:$AH$7,FALSE))*Y$129)</f>
        <v>0</v>
      </c>
      <c r="Z45" s="181">
        <f>IF(ROUND(SUM(Z$5:Z44),2)&gt;=ROUND(Z$129,2),0,INDEX('draws%'!$D$8:$AH$128,$C45+1,MATCH(Z$4,'draws%'!$D$7:$AH$7,FALSE))*Z$129)</f>
        <v>2725.336956521739</v>
      </c>
      <c r="AA45" s="181">
        <f>IF(ROUND(SUM(AA$5:AA44),2)&gt;=ROUND(AA$129,2),0,INDEX('draws%'!$D$8:$AH$128,$C45+1,MATCH(AA$4,'draws%'!$D$7:$AH$7,FALSE))*AA$129)</f>
        <v>0</v>
      </c>
      <c r="AB45" s="181">
        <f>IF(ROUND(SUM(AB$5:AB44),2)&gt;=ROUND(AB$129,2),0,INDEX('draws%'!$D$8:$AH$128,$C45+1,MATCH(AB$4,'draws%'!$D$7:$AH$7,FALSE))*AB$129)</f>
        <v>4354.2602271320138</v>
      </c>
      <c r="AC45" s="181">
        <f>($C45&gt;=sales!$D$32)*($C45&lt;=sales!$F$32)*sales!$J$41/(sales!$E$32+1)+($C45&gt;=sales!$D$33)*($C45&lt;=sales!$F$33)*sales!$J$42/(sales!$E$33+1)+($C45&gt;=sales!$D$34)*($C45&lt;=sales!$F$34)*sales!$J$43/(sales!$E$34+1)+($C45&gt;=sales!$D$35)*($C45&lt;=sales!$F$35)*sales!$J$44/(sales!$E$35+1)+($C45&gt;=sales!$D$36)*($C45&lt;=sales!$F$36)*sales!$J$45/(sales!$E$36+1)</f>
        <v>0</v>
      </c>
      <c r="AD45" s="181">
        <f>IF(ROUND(SUM(AD$5:AD44),2)&gt;=ROUND(AD$129,2),0,INDEX('draws%'!$D$8:$AH$128,$C45+1,MATCH(AD$4,'draws%'!$D$7:$AH$7,FALSE))*AD$129)</f>
        <v>6927.5548896384962</v>
      </c>
      <c r="AE45" s="181">
        <f>IF(ROUND(SUM(AE$5:AE44),2)&gt;=ROUND(AE$129,2),0,INDEX('draws%'!$D$8:$AH$128,$C45+1,MATCH(AE$4,'draws%'!$D$7:$AH$7,FALSE))*AE$129)</f>
        <v>0</v>
      </c>
      <c r="AF45" s="188">
        <f>($C45&gt;=sales!$D$32)*($C45&lt;=sales!$F$32)*sales!$D$41/(sales!$E$32+1)+($C45&gt;=sales!$D$33)*($C45&lt;=sales!$F$33)*sales!$D$42/(sales!$E$33+1)+($C45&gt;=sales!$D$34)*($C45&lt;=sales!$F$34)*sales!$D$43/(sales!$E$34+1)+($C45&gt;=sales!$D$35)*($C45&lt;=sales!$F$35)*sales!$D$44/(sales!$E$35+1)+($C45&gt;=sales!$D$36)*($C45&lt;=sales!$F$36)*sales!$D$45/(sales!$E$36+1)</f>
        <v>0</v>
      </c>
      <c r="AG45" s="188">
        <f>($C45&gt;=sales!$D$32)*($C45&lt;=sales!$F$32)*sales!$F$41/(sales!$E$32+1)+($C45&gt;=sales!$D$33)*($C45&lt;=sales!$F$33)*sales!$F$42/(sales!$E$33+1)+($C45&gt;=sales!$D$34)*($C45&lt;=sales!$F$34)*sales!$F$43/(sales!$E$34+1)+($C45&gt;=sales!$D$35)*($C45&lt;=sales!$F$35)*sales!$F$44/(sales!$E$35+1)+($C45&gt;=sales!$D$36)*($C45&lt;=sales!$F$36)*sales!$F$45/(sales!$E$36+1)</f>
        <v>0</v>
      </c>
      <c r="AH45" s="181">
        <f>IF(ROUND(SUM(AH$5:AH44),2)&gt;=ROUND(AH$129,2),0,INDEX('draws%'!$D$8:$AH$128,$C45+1,MATCH(AH$4,'draws%'!$D$7:$AH$7,FALSE))*AH$129)</f>
        <v>0</v>
      </c>
      <c r="AI45" s="181">
        <f>IF(ROUND(SUM(AI$5:AI44),2)&gt;=ROUND(AI$129,2),0,INDEX('draws%'!$D$8:$AH$128,$C45+1,MATCH(AI$4,'draws%'!$D$7:$AH$7,FALSE))*AI$129)</f>
        <v>22766.333333333332</v>
      </c>
      <c r="AJ45" s="181">
        <f>IF(ROUND(SUM(AJ$5:AJ44),2)&gt;=ROUND(AJ$129,2),0,INDEX('draws%'!$D$8:$AH$128,$C45+1,MATCH(AJ$4,'draws%'!$D$7:$AH$7,FALSE))*AJ$129)</f>
        <v>45166.666666666664</v>
      </c>
      <c r="AK45" s="181">
        <f>IF(ROUND(SUM(AK$5:AK44),2)&gt;=ROUND(AK$129,2),0,INDEX('draws%'!$D$8:$AH$128,$C45+1,MATCH(AK$4,'draws%'!$D$7:$AH$7,FALSE))*AK$129)</f>
        <v>67833.333333333328</v>
      </c>
      <c r="AL45" s="189">
        <f t="shared" ref="AL45:AL108" si="2">SUM(N45:AK45)</f>
        <v>622867.11973365955</v>
      </c>
      <c r="AO45" s="173"/>
    </row>
    <row r="46" spans="1:41" ht="16">
      <c r="A46" s="1416" t="str">
        <f>IF(MAX(C$5:C45)&gt;=general!$C$27,"post dev",IF(C46&lt;general!$C$23, "Pred", "Dev"))</f>
        <v>Dev</v>
      </c>
      <c r="B46" s="1398"/>
      <c r="C46" s="1388">
        <f>IF('Development Cash Flow'!D45&lt;general!$D$28,'Development Cash Flow'!C45+1,0)</f>
        <v>40</v>
      </c>
      <c r="D46" s="185">
        <f t="shared" si="0"/>
        <v>47483</v>
      </c>
      <c r="E46" s="186">
        <f>($C46&gt;=sales!$D$32)*($C46&lt;=sales!$F$32)*ResUnits/(sales!$E$32+1)</f>
        <v>0</v>
      </c>
      <c r="F46" s="181">
        <f>($C46&gt;=sales!$D$32)*($C46&lt;=sales!$F$32)*sales!$I$18/(sales!$E$32+1)</f>
        <v>0</v>
      </c>
      <c r="G46" s="181">
        <f>($C46&gt;=sales!$D$32)*($C46&lt;=sales!$F$32)*sales!$K$32/(sales!$E$32+1)</f>
        <v>0</v>
      </c>
      <c r="H46" s="187">
        <f>($C46&gt;=sales!$D$33)*($C46&lt;=sales!$F$33)*sales!$K$33/(sales!$E$33+1)</f>
        <v>0</v>
      </c>
      <c r="I46" s="181">
        <f>($C46&gt;=sales!$D$34)*($C46&lt;=sales!$F$34)*sales!$K$34/(sales!$E$34+1)</f>
        <v>0</v>
      </c>
      <c r="J46" s="181">
        <f>($C46&gt;=sales!$D$35)*($C46&lt;=sales!$F$35)*sales!$K$35/(sales!$E$35+1)</f>
        <v>0</v>
      </c>
      <c r="K46" s="189">
        <f>($C46&gt;=sales!$D$36)*($C46&lt;=sales!$F$36)*sales!$K$36*IFERROR(VLOOKUP(C46,sales!$C$50:$D$54,2,FALSE),0)</f>
        <v>0</v>
      </c>
      <c r="L46" s="1398"/>
      <c r="M46" s="1403">
        <f>+G46/$G$4*$M$4*sales!$J$32</f>
        <v>0</v>
      </c>
      <c r="N46" s="1398"/>
      <c r="O46" s="1464">
        <f>IF(ROUND(SUM(O$5:O45),2)&gt;=ROUND(O$129,2),0,INDEX('draws%'!$D$8:$AH$128,$C46+1,MATCH(O$4,'draws%'!$D$7:$AH$7,FALSE))*O$129)</f>
        <v>0</v>
      </c>
      <c r="P46" s="181">
        <f>IF(ROUND(SUM(P$5:P45),2)&gt;=ROUND(P$129,2),0,INDEX('draws%'!$D$8:$AH$128,$C46+1,MATCH(P$4,'draws%'!$D$7:$AH$7,FALSE))*P$129)</f>
        <v>357452.65568995464</v>
      </c>
      <c r="Q46" s="181">
        <f>IF(ROUND(SUM(Q$5:Q45),2)&gt;=ROUND(Q$129,2),0,INDEX('draws%'!$D$8:$AH$128,$C46+1,MATCH(Q$4,'draws%'!$D$7:$AH$7,FALSE))*Q$129)</f>
        <v>9572.2083333333321</v>
      </c>
      <c r="R46" s="181">
        <f>IF(ROUND(SUM(R$5:R45),2)&gt;=ROUND(R$129,2),0,INDEX('draws%'!$D$8:$AH$128,$C46+1,MATCH(R$4,'draws%'!$D$7:$AH$7,FALSE))*R$129)</f>
        <v>5383.647443971845</v>
      </c>
      <c r="S46" s="181">
        <f>IF(ROUND(SUM(S$5:S45),2)&gt;=ROUND(S$129,2),0,INDEX('draws%'!$D$8:$AH$128,$C46+1,MATCH(S$4,'draws%'!$D$7:$AH$7,FALSE))*S$129)</f>
        <v>2500</v>
      </c>
      <c r="T46" s="181">
        <f>IF(ROUND(SUM(T$5:T45),2)&gt;=ROUND(T$129,2),0,INDEX('draws%'!$D$8:$AH$128,$C46+1,MATCH(T$4,'draws%'!$D$7:$AH$7,FALSE))*T$129)</f>
        <v>0</v>
      </c>
      <c r="U46" s="181">
        <f>IF(ROUND(SUM(U$5:U45),2)&gt;=ROUND(U$129,2),0,INDEX('draws%'!$D$8:$AH$128,$C46+1,MATCH(U$4,'draws%'!$D$7:$AH$7,FALSE))*U$129)</f>
        <v>69415.13</v>
      </c>
      <c r="V46" s="181">
        <f>IF(ROUND(SUM(V$5:V45),2)&gt;=ROUND(V$129,2),0,INDEX('draws%'!$D$8:$AH$128,$C46+1,MATCH(V$4,'draws%'!$D$7:$AH$7,FALSE))*V$129)</f>
        <v>0</v>
      </c>
      <c r="W46" s="181">
        <f>IF(ROUND(SUM(W$5:W45),2)&gt;=ROUND(W$129,2),0,INDEX('draws%'!$D$8:$AH$128,$C46+1,MATCH(W$4,'draws%'!$D$7:$AH$7,FALSE))*W$129)</f>
        <v>0</v>
      </c>
      <c r="X46" s="181">
        <f>IF(ROUND(SUM(X$5:X45),2)&gt;=ROUND(X$129,2),0,INDEX('draws%'!$D$8:$AH$128,$C46+1,MATCH(X$4,'draws%'!$D$7:$AH$7,FALSE))*X$129)</f>
        <v>0</v>
      </c>
      <c r="Y46" s="181">
        <f>IF(ROUND(SUM(Y$5:Y45),2)&gt;=ROUND(Y$129,2),0,INDEX('draws%'!$D$8:$AH$128,$C46+1,MATCH(Y$4,'draws%'!$D$7:$AH$7,FALSE))*Y$129)</f>
        <v>0</v>
      </c>
      <c r="Z46" s="181">
        <f>IF(ROUND(SUM(Z$5:Z45),2)&gt;=ROUND(Z$129,2),0,INDEX('draws%'!$D$8:$AH$128,$C46+1,MATCH(Z$4,'draws%'!$D$7:$AH$7,FALSE))*Z$129)</f>
        <v>2725.336956521739</v>
      </c>
      <c r="AA46" s="181">
        <f>IF(ROUND(SUM(AA$5:AA45),2)&gt;=ROUND(AA$129,2),0,INDEX('draws%'!$D$8:$AH$128,$C46+1,MATCH(AA$4,'draws%'!$D$7:$AH$7,FALSE))*AA$129)</f>
        <v>0</v>
      </c>
      <c r="AB46" s="181">
        <f>IF(ROUND(SUM(AB$5:AB45),2)&gt;=ROUND(AB$129,2),0,INDEX('draws%'!$D$8:$AH$128,$C46+1,MATCH(AB$4,'draws%'!$D$7:$AH$7,FALSE))*AB$129)</f>
        <v>4354.2602271320138</v>
      </c>
      <c r="AC46" s="181">
        <f>($C46&gt;=sales!$D$32)*($C46&lt;=sales!$F$32)*sales!$J$41/(sales!$E$32+1)+($C46&gt;=sales!$D$33)*($C46&lt;=sales!$F$33)*sales!$J$42/(sales!$E$33+1)+($C46&gt;=sales!$D$34)*($C46&lt;=sales!$F$34)*sales!$J$43/(sales!$E$34+1)+($C46&gt;=sales!$D$35)*($C46&lt;=sales!$F$35)*sales!$J$44/(sales!$E$35+1)+($C46&gt;=sales!$D$36)*($C46&lt;=sales!$F$36)*sales!$J$45/(sales!$E$36+1)</f>
        <v>0</v>
      </c>
      <c r="AD46" s="181">
        <f>IF(ROUND(SUM(AD$5:AD45),2)&gt;=ROUND(AD$129,2),0,INDEX('draws%'!$D$8:$AH$128,$C46+1,MATCH(AD$4,'draws%'!$D$7:$AH$7,FALSE))*AD$129)</f>
        <v>6927.5548896384962</v>
      </c>
      <c r="AE46" s="181">
        <f>IF(ROUND(SUM(AE$5:AE45),2)&gt;=ROUND(AE$129,2),0,INDEX('draws%'!$D$8:$AH$128,$C46+1,MATCH(AE$4,'draws%'!$D$7:$AH$7,FALSE))*AE$129)</f>
        <v>0</v>
      </c>
      <c r="AF46" s="188">
        <f>($C46&gt;=sales!$D$32)*($C46&lt;=sales!$F$32)*sales!$D$41/(sales!$E$32+1)+($C46&gt;=sales!$D$33)*($C46&lt;=sales!$F$33)*sales!$D$42/(sales!$E$33+1)+($C46&gt;=sales!$D$34)*($C46&lt;=sales!$F$34)*sales!$D$43/(sales!$E$34+1)+($C46&gt;=sales!$D$35)*($C46&lt;=sales!$F$35)*sales!$D$44/(sales!$E$35+1)+($C46&gt;=sales!$D$36)*($C46&lt;=sales!$F$36)*sales!$D$45/(sales!$E$36+1)</f>
        <v>0</v>
      </c>
      <c r="AG46" s="188">
        <f>($C46&gt;=sales!$D$32)*($C46&lt;=sales!$F$32)*sales!$F$41/(sales!$E$32+1)+($C46&gt;=sales!$D$33)*($C46&lt;=sales!$F$33)*sales!$F$42/(sales!$E$33+1)+($C46&gt;=sales!$D$34)*($C46&lt;=sales!$F$34)*sales!$F$43/(sales!$E$34+1)+($C46&gt;=sales!$D$35)*($C46&lt;=sales!$F$35)*sales!$F$44/(sales!$E$35+1)+($C46&gt;=sales!$D$36)*($C46&lt;=sales!$F$36)*sales!$F$45/(sales!$E$36+1)</f>
        <v>0</v>
      </c>
      <c r="AH46" s="181">
        <f>IF(ROUND(SUM(AH$5:AH45),2)&gt;=ROUND(AH$129,2),0,INDEX('draws%'!$D$8:$AH$128,$C46+1,MATCH(AH$4,'draws%'!$D$7:$AH$7,FALSE))*AH$129)</f>
        <v>0</v>
      </c>
      <c r="AI46" s="181">
        <f>IF(ROUND(SUM(AI$5:AI45),2)&gt;=ROUND(AI$129,2),0,INDEX('draws%'!$D$8:$AH$128,$C46+1,MATCH(AI$4,'draws%'!$D$7:$AH$7,FALSE))*AI$129)</f>
        <v>22766.333333333332</v>
      </c>
      <c r="AJ46" s="181">
        <f>IF(ROUND(SUM(AJ$5:AJ45),2)&gt;=ROUND(AJ$129,2),0,INDEX('draws%'!$D$8:$AH$128,$C46+1,MATCH(AJ$4,'draws%'!$D$7:$AH$7,FALSE))*AJ$129)</f>
        <v>45166.666666666664</v>
      </c>
      <c r="AK46" s="181">
        <f>IF(ROUND(SUM(AK$5:AK45),2)&gt;=ROUND(AK$129,2),0,INDEX('draws%'!$D$8:$AH$128,$C46+1,MATCH(AK$4,'draws%'!$D$7:$AH$7,FALSE))*AK$129)</f>
        <v>67833.333333333328</v>
      </c>
      <c r="AL46" s="189">
        <f t="shared" si="2"/>
        <v>594097.1268738854</v>
      </c>
      <c r="AO46" s="173"/>
    </row>
    <row r="47" spans="1:41" s="192" customFormat="1" ht="16">
      <c r="A47" s="1416" t="str">
        <f>IF(MAX(C$5:C46)&gt;=general!$C$27,"post dev",IF(C47&lt;general!$C$23, "Pred", "Dev"))</f>
        <v>Dev</v>
      </c>
      <c r="B47" s="1398"/>
      <c r="C47" s="1388">
        <f>IF('Development Cash Flow'!D46&lt;general!$D$28,'Development Cash Flow'!C46+1,0)</f>
        <v>41</v>
      </c>
      <c r="D47" s="185">
        <f t="shared" si="0"/>
        <v>47514</v>
      </c>
      <c r="E47" s="186">
        <f>($C47&gt;=sales!$D$32)*($C47&lt;=sales!$F$32)*ResUnits/(sales!$E$32+1)</f>
        <v>0</v>
      </c>
      <c r="F47" s="181">
        <f>($C47&gt;=sales!$D$32)*($C47&lt;=sales!$F$32)*sales!$I$18/(sales!$E$32+1)</f>
        <v>0</v>
      </c>
      <c r="G47" s="181">
        <f>($C47&gt;=sales!$D$32)*($C47&lt;=sales!$F$32)*sales!$K$32/(sales!$E$32+1)</f>
        <v>0</v>
      </c>
      <c r="H47" s="187">
        <f>($C47&gt;=sales!$D$33)*($C47&lt;=sales!$F$33)*sales!$K$33/(sales!$E$33+1)</f>
        <v>0</v>
      </c>
      <c r="I47" s="181">
        <f>($C47&gt;=sales!$D$34)*($C47&lt;=sales!$F$34)*sales!$K$34/(sales!$E$34+1)</f>
        <v>0</v>
      </c>
      <c r="J47" s="181">
        <f>($C47&gt;=sales!$D$35)*($C47&lt;=sales!$F$35)*sales!$K$35/(sales!$E$35+1)</f>
        <v>0</v>
      </c>
      <c r="K47" s="189">
        <f>($C47&gt;=sales!$D$36)*($C47&lt;=sales!$F$36)*sales!$K$36*IFERROR(VLOOKUP(C47,sales!$C$50:$D$54,2,FALSE),0)</f>
        <v>0</v>
      </c>
      <c r="L47" s="1398"/>
      <c r="M47" s="1403">
        <f>+G47/$G$4*$M$4*sales!$J$32</f>
        <v>0</v>
      </c>
      <c r="N47" s="1398"/>
      <c r="O47" s="1464">
        <f>IF(ROUND(SUM(O$5:O46),2)&gt;=ROUND(O$129,2),0,INDEX('draws%'!$D$8:$AH$128,$C47+1,MATCH(O$4,'draws%'!$D$7:$AH$7,FALSE))*O$129)</f>
        <v>0</v>
      </c>
      <c r="P47" s="181">
        <f>IF(ROUND(SUM(P$5:P46),2)&gt;=ROUND(P$129,2),0,INDEX('draws%'!$D$8:$AH$128,$C47+1,MATCH(P$4,'draws%'!$D$7:$AH$7,FALSE))*P$129)</f>
        <v>340857.34167522873</v>
      </c>
      <c r="Q47" s="181">
        <f>IF(ROUND(SUM(Q$5:Q46),2)&gt;=ROUND(Q$129,2),0,INDEX('draws%'!$D$8:$AH$128,$C47+1,MATCH(Q$4,'draws%'!$D$7:$AH$7,FALSE))*Q$129)</f>
        <v>9572.2083333333321</v>
      </c>
      <c r="R47" s="181">
        <f>IF(ROUND(SUM(R$5:R46),2)&gt;=ROUND(R$129,2),0,INDEX('draws%'!$D$8:$AH$128,$C47+1,MATCH(R$4,'draws%'!$D$7:$AH$7,FALSE))*R$129)</f>
        <v>5133.7029591425498</v>
      </c>
      <c r="S47" s="181">
        <f>IF(ROUND(SUM(S$5:S46),2)&gt;=ROUND(S$129,2),0,INDEX('draws%'!$D$8:$AH$128,$C47+1,MATCH(S$4,'draws%'!$D$7:$AH$7,FALSE))*S$129)</f>
        <v>2500</v>
      </c>
      <c r="T47" s="181">
        <f>IF(ROUND(SUM(T$5:T46),2)&gt;=ROUND(T$129,2),0,INDEX('draws%'!$D$8:$AH$128,$C47+1,MATCH(T$4,'draws%'!$D$7:$AH$7,FALSE))*T$129)</f>
        <v>0</v>
      </c>
      <c r="U47" s="181">
        <f>IF(ROUND(SUM(U$5:U46),2)&gt;=ROUND(U$129,2),0,INDEX('draws%'!$D$8:$AH$128,$C47+1,MATCH(U$4,'draws%'!$D$7:$AH$7,FALSE))*U$129)</f>
        <v>69415.13</v>
      </c>
      <c r="V47" s="181">
        <f>IF(ROUND(SUM(V$5:V46),2)&gt;=ROUND(V$129,2),0,INDEX('draws%'!$D$8:$AH$128,$C47+1,MATCH(V$4,'draws%'!$D$7:$AH$7,FALSE))*V$129)</f>
        <v>0</v>
      </c>
      <c r="W47" s="181">
        <f>IF(ROUND(SUM(W$5:W46),2)&gt;=ROUND(W$129,2),0,INDEX('draws%'!$D$8:$AH$128,$C47+1,MATCH(W$4,'draws%'!$D$7:$AH$7,FALSE))*W$129)</f>
        <v>6809.5238095238092</v>
      </c>
      <c r="X47" s="181">
        <f>IF(ROUND(SUM(X$5:X46),2)&gt;=ROUND(X$129,2),0,INDEX('draws%'!$D$8:$AH$128,$C47+1,MATCH(X$4,'draws%'!$D$7:$AH$7,FALSE))*X$129)</f>
        <v>0</v>
      </c>
      <c r="Y47" s="181">
        <f>IF(ROUND(SUM(Y$5:Y46),2)&gt;=ROUND(Y$129,2),0,INDEX('draws%'!$D$8:$AH$128,$C47+1,MATCH(Y$4,'draws%'!$D$7:$AH$7,FALSE))*Y$129)</f>
        <v>0</v>
      </c>
      <c r="Z47" s="181">
        <f>IF(ROUND(SUM(Z$5:Z46),2)&gt;=ROUND(Z$129,2),0,INDEX('draws%'!$D$8:$AH$128,$C47+1,MATCH(Z$4,'draws%'!$D$7:$AH$7,FALSE))*Z$129)</f>
        <v>0</v>
      </c>
      <c r="AA47" s="181">
        <f>IF(ROUND(SUM(AA$5:AA46),2)&gt;=ROUND(AA$129,2),0,INDEX('draws%'!$D$8:$AH$128,$C47+1,MATCH(AA$4,'draws%'!$D$7:$AH$7,FALSE))*AA$129)</f>
        <v>0</v>
      </c>
      <c r="AB47" s="181">
        <f>IF(ROUND(SUM(AB$5:AB46),2)&gt;=ROUND(AB$129,2),0,INDEX('draws%'!$D$8:$AH$128,$C47+1,MATCH(AB$4,'draws%'!$D$7:$AH$7,FALSE))*AB$129)</f>
        <v>0</v>
      </c>
      <c r="AC47" s="181">
        <f>($C47&gt;=sales!$D$32)*($C47&lt;=sales!$F$32)*sales!$J$41/(sales!$E$32+1)+($C47&gt;=sales!$D$33)*($C47&lt;=sales!$F$33)*sales!$J$42/(sales!$E$33+1)+($C47&gt;=sales!$D$34)*($C47&lt;=sales!$F$34)*sales!$J$43/(sales!$E$34+1)+($C47&gt;=sales!$D$35)*($C47&lt;=sales!$F$35)*sales!$J$44/(sales!$E$35+1)+($C47&gt;=sales!$D$36)*($C47&lt;=sales!$F$36)*sales!$J$45/(sales!$E$36+1)</f>
        <v>0</v>
      </c>
      <c r="AD47" s="181">
        <f>IF(ROUND(SUM(AD$5:AD46),2)&gt;=ROUND(AD$129,2),0,INDEX('draws%'!$D$8:$AH$128,$C47+1,MATCH(AD$4,'draws%'!$D$7:$AH$7,FALSE))*AD$129)</f>
        <v>6927.5548896384962</v>
      </c>
      <c r="AE47" s="181">
        <f>IF(ROUND(SUM(AE$5:AE46),2)&gt;=ROUND(AE$129,2),0,INDEX('draws%'!$D$8:$AH$128,$C47+1,MATCH(AE$4,'draws%'!$D$7:$AH$7,FALSE))*AE$129)</f>
        <v>0</v>
      </c>
      <c r="AF47" s="188">
        <f>($C47&gt;=sales!$D$32)*($C47&lt;=sales!$F$32)*sales!$D$41/(sales!$E$32+1)+($C47&gt;=sales!$D$33)*($C47&lt;=sales!$F$33)*sales!$D$42/(sales!$E$33+1)+($C47&gt;=sales!$D$34)*($C47&lt;=sales!$F$34)*sales!$D$43/(sales!$E$34+1)+($C47&gt;=sales!$D$35)*($C47&lt;=sales!$F$35)*sales!$D$44/(sales!$E$35+1)+($C47&gt;=sales!$D$36)*($C47&lt;=sales!$F$36)*sales!$D$45/(sales!$E$36+1)</f>
        <v>0</v>
      </c>
      <c r="AG47" s="188">
        <f>($C47&gt;=sales!$D$32)*($C47&lt;=sales!$F$32)*sales!$F$41/(sales!$E$32+1)+($C47&gt;=sales!$D$33)*($C47&lt;=sales!$F$33)*sales!$F$42/(sales!$E$33+1)+($C47&gt;=sales!$D$34)*($C47&lt;=sales!$F$34)*sales!$F$43/(sales!$E$34+1)+($C47&gt;=sales!$D$35)*($C47&lt;=sales!$F$35)*sales!$F$44/(sales!$E$35+1)+($C47&gt;=sales!$D$36)*($C47&lt;=sales!$F$36)*sales!$F$45/(sales!$E$36+1)</f>
        <v>0</v>
      </c>
      <c r="AH47" s="181">
        <f>IF(ROUND(SUM(AH$5:AH46),2)&gt;=ROUND(AH$129,2),0,INDEX('draws%'!$D$8:$AH$128,$C47+1,MATCH(AH$4,'draws%'!$D$7:$AH$7,FALSE))*AH$129)</f>
        <v>0</v>
      </c>
      <c r="AI47" s="181">
        <f>IF(ROUND(SUM(AI$5:AI46),2)&gt;=ROUND(AI$129,2),0,INDEX('draws%'!$D$8:$AH$128,$C47+1,MATCH(AI$4,'draws%'!$D$7:$AH$7,FALSE))*AI$129)</f>
        <v>22766.333333333332</v>
      </c>
      <c r="AJ47" s="181">
        <f>IF(ROUND(SUM(AJ$5:AJ46),2)&gt;=ROUND(AJ$129,2),0,INDEX('draws%'!$D$8:$AH$128,$C47+1,MATCH(AJ$4,'draws%'!$D$7:$AH$7,FALSE))*AJ$129)</f>
        <v>45166.666666666664</v>
      </c>
      <c r="AK47" s="181">
        <f>IF(ROUND(SUM(AK$5:AK46),2)&gt;=ROUND(AK$129,2),0,INDEX('draws%'!$D$8:$AH$128,$C47+1,MATCH(AK$4,'draws%'!$D$7:$AH$7,FALSE))*AK$129)</f>
        <v>67833.333333333328</v>
      </c>
      <c r="AL47" s="189">
        <f t="shared" si="2"/>
        <v>576981.79500020028</v>
      </c>
      <c r="AM47" s="194"/>
      <c r="AO47" s="171"/>
    </row>
    <row r="48" spans="1:41" s="192" customFormat="1" ht="16">
      <c r="A48" s="1416" t="str">
        <f>IF(MAX(C$5:C47)&gt;=general!$C$27,"post dev",IF(C48&lt;general!$C$23, "Pred", "Dev"))</f>
        <v>post dev</v>
      </c>
      <c r="B48" s="1398"/>
      <c r="C48" s="1388">
        <f>IF('Development Cash Flow'!D47&lt;general!$D$28,'Development Cash Flow'!C47+1,0)</f>
        <v>42</v>
      </c>
      <c r="D48" s="185">
        <f>EOMONTH(D47,1)</f>
        <v>47542</v>
      </c>
      <c r="E48" s="186">
        <f>($C48&gt;=sales!$D$32)*($C48&lt;=sales!$F$32)*ResUnits/(sales!$E$32+1)</f>
        <v>0</v>
      </c>
      <c r="F48" s="181">
        <f>($C48&gt;=sales!$D$32)*($C48&lt;=sales!$F$32)*sales!$I$18/(sales!$E$32+1)</f>
        <v>0</v>
      </c>
      <c r="G48" s="181">
        <f>($C48&gt;=sales!$D$32)*($C48&lt;=sales!$F$32)*sales!$K$32/(sales!$E$32+1)</f>
        <v>0</v>
      </c>
      <c r="H48" s="187">
        <f>($C48&gt;=sales!$D$33)*($C48&lt;=sales!$F$33)*sales!$K$33/(sales!$E$33+1)</f>
        <v>0</v>
      </c>
      <c r="I48" s="181">
        <f>($C48&gt;=sales!$D$34)*($C48&lt;=sales!$F$34)*sales!$K$34/(sales!$E$34+1)</f>
        <v>0</v>
      </c>
      <c r="J48" s="181">
        <f>($C48&gt;=sales!$D$35)*($C48&lt;=sales!$F$35)*sales!$K$35/(sales!$E$35+1)</f>
        <v>0</v>
      </c>
      <c r="K48" s="189">
        <f>($C48&gt;=sales!$D$36)*($C48&lt;=sales!$F$36)*sales!$K$36*IFERROR(VLOOKUP(C48,sales!$C$50:$D$54,2,FALSE),0)</f>
        <v>12020624</v>
      </c>
      <c r="L48" s="1398"/>
      <c r="M48" s="1403">
        <f>+G48/$G$4*$M$4*sales!$J$32</f>
        <v>0</v>
      </c>
      <c r="N48" s="1398"/>
      <c r="O48" s="1464">
        <f>IF(ROUND(SUM(O$5:O47),2)&gt;=ROUND(O$129,2),0,INDEX('draws%'!$D$8:$AH$128,$C48+1,MATCH(O$4,'draws%'!$D$7:$AH$7,FALSE))*O$129)</f>
        <v>0</v>
      </c>
      <c r="P48" s="181">
        <f>IF(ROUND(SUM(P$5:P47),2)&gt;=ROUND(P$129,2),0,INDEX('draws%'!$D$8:$AH$128,$C48+1,MATCH(P$4,'draws%'!$D$7:$AH$7,FALSE))*P$129)</f>
        <v>0</v>
      </c>
      <c r="Q48" s="181">
        <f>IF(ROUND(SUM(Q$5:Q47),2)&gt;=ROUND(Q$129,2),0,INDEX('draws%'!$D$8:$AH$128,$C48+1,MATCH(Q$4,'draws%'!$D$7:$AH$7,FALSE))*Q$129)</f>
        <v>0</v>
      </c>
      <c r="R48" s="181">
        <f>IF(ROUND(SUM(R$5:R47),2)&gt;=ROUND(R$129,2),0,INDEX('draws%'!$D$8:$AH$128,$C48+1,MATCH(R$4,'draws%'!$D$7:$AH$7,FALSE))*R$129)</f>
        <v>0</v>
      </c>
      <c r="S48" s="181">
        <f>IF(ROUND(SUM(S$5:S47),2)&gt;=ROUND(S$129,2),0,INDEX('draws%'!$D$8:$AH$128,$C48+1,MATCH(S$4,'draws%'!$D$7:$AH$7,FALSE))*S$129)</f>
        <v>0</v>
      </c>
      <c r="T48" s="181">
        <f>IF(ROUND(SUM(T$5:T47),2)&gt;=ROUND(T$129,2),0,INDEX('draws%'!$D$8:$AH$128,$C48+1,MATCH(T$4,'draws%'!$D$7:$AH$7,FALSE))*T$129)</f>
        <v>0</v>
      </c>
      <c r="U48" s="181">
        <f>IF(ROUND(SUM(U$5:U47),2)&gt;=ROUND(U$129,2),0,INDEX('draws%'!$D$8:$AH$128,$C48+1,MATCH(U$4,'draws%'!$D$7:$AH$7,FALSE))*U$129)</f>
        <v>0</v>
      </c>
      <c r="V48" s="181">
        <f>IF(ROUND(SUM(V$5:V47),2)&gt;=ROUND(V$129,2),0,INDEX('draws%'!$D$8:$AH$128,$C48+1,MATCH(V$4,'draws%'!$D$7:$AH$7,FALSE))*V$129)</f>
        <v>0</v>
      </c>
      <c r="W48" s="181">
        <f>IF(ROUND(SUM(W$5:W47),2)&gt;=ROUND(W$129,2),0,INDEX('draws%'!$D$8:$AH$128,$C48+1,MATCH(W$4,'draws%'!$D$7:$AH$7,FALSE))*W$129)</f>
        <v>0</v>
      </c>
      <c r="X48" s="181">
        <f>IF(ROUND(SUM(X$5:X47),2)&gt;=ROUND(X$129,2),0,INDEX('draws%'!$D$8:$AH$128,$C48+1,MATCH(X$4,'draws%'!$D$7:$AH$7,FALSE))*X$129)</f>
        <v>0</v>
      </c>
      <c r="Y48" s="181">
        <f>IF(ROUND(SUM(Y$5:Y47),2)&gt;=ROUND(Y$129,2),0,INDEX('draws%'!$D$8:$AH$128,$C48+1,MATCH(Y$4,'draws%'!$D$7:$AH$7,FALSE))*Y$129)</f>
        <v>0</v>
      </c>
      <c r="Z48" s="181">
        <f>IF(ROUND(SUM(Z$5:Z47),2)&gt;=ROUND(Z$129,2),0,INDEX('draws%'!$D$8:$AH$128,$C48+1,MATCH(Z$4,'draws%'!$D$7:$AH$7,FALSE))*Z$129)</f>
        <v>0</v>
      </c>
      <c r="AA48" s="181">
        <f>IF(ROUND(SUM(AA$5:AA47),2)&gt;=ROUND(AA$129,2),0,INDEX('draws%'!$D$8:$AH$128,$C48+1,MATCH(AA$4,'draws%'!$D$7:$AH$7,FALSE))*AA$129)</f>
        <v>0</v>
      </c>
      <c r="AB48" s="181">
        <f>IF(ROUND(SUM(AB$5:AB47),2)&gt;=ROUND(AB$129,2),0,INDEX('draws%'!$D$8:$AH$128,$C48+1,MATCH(AB$4,'draws%'!$D$7:$AH$7,FALSE))*AB$129)</f>
        <v>0</v>
      </c>
      <c r="AC48" s="181">
        <f>($C48&gt;=sales!$D$32)*($C48&lt;=sales!$F$32)*sales!$J$41/(sales!$E$32+1)+($C48&gt;=sales!$D$33)*($C48&lt;=sales!$F$33)*sales!$J$42/(sales!$E$33+1)+($C48&gt;=sales!$D$34)*($C48&lt;=sales!$F$34)*sales!$J$43/(sales!$E$34+1)+($C48&gt;=sales!$D$35)*($C48&lt;=sales!$F$35)*sales!$J$44/(sales!$E$35+1)+($C48&gt;=sales!$D$36)*($C48&lt;=sales!$F$36)*sales!$J$45/(sales!$E$36+1)</f>
        <v>0</v>
      </c>
      <c r="AD48" s="181">
        <f>IF(ROUND(SUM(AD$5:AD47),2)&gt;=ROUND(AD$129,2),0,INDEX('draws%'!$D$8:$AH$128,$C48+1,MATCH(AD$4,'draws%'!$D$7:$AH$7,FALSE))*AD$129)</f>
        <v>0</v>
      </c>
      <c r="AE48" s="181">
        <f>IF(ROUND(SUM(AE$5:AE47),2)&gt;=ROUND(AE$129,2),0,INDEX('draws%'!$D$8:$AH$128,$C48+1,MATCH(AE$4,'draws%'!$D$7:$AH$7,FALSE))*AE$129)</f>
        <v>0</v>
      </c>
      <c r="AF48" s="188">
        <f>($C48&gt;=sales!$D$32)*($C48&lt;=sales!$F$32)*sales!$D$41/(sales!$E$32+1)+($C48&gt;=sales!$D$33)*($C48&lt;=sales!$F$33)*sales!$D$42/(sales!$E$33+1)+($C48&gt;=sales!$D$34)*($C48&lt;=sales!$F$34)*sales!$D$43/(sales!$E$34+1)+($C48&gt;=sales!$D$35)*($C48&lt;=sales!$F$35)*sales!$D$44/(sales!$E$35+1)+($C48&gt;=sales!$D$36)*($C48&lt;=sales!$F$36)*sales!$D$45/(sales!$E$36+1)</f>
        <v>232353.93333333335</v>
      </c>
      <c r="AG48" s="188">
        <f>($C48&gt;=sales!$D$32)*($C48&lt;=sales!$F$32)*sales!$F$41/(sales!$E$32+1)+($C48&gt;=sales!$D$33)*($C48&lt;=sales!$F$33)*sales!$F$42/(sales!$E$33+1)+($C48&gt;=sales!$D$34)*($C48&lt;=sales!$F$34)*sales!$F$43/(sales!$E$34+1)+($C48&gt;=sales!$D$35)*($C48&lt;=sales!$F$35)*sales!$F$44/(sales!$E$35+1)+($C48&gt;=sales!$D$36)*($C48&lt;=sales!$F$36)*sales!$F$45/(sales!$E$36+1)</f>
        <v>346054.93333333335</v>
      </c>
      <c r="AH48" s="181">
        <f>IF(ROUND(SUM(AH$5:AH47),2)&gt;=ROUND(AH$129,2),0,INDEX('draws%'!$D$8:$AH$128,$C48+1,MATCH(AH$4,'draws%'!$D$7:$AH$7,FALSE))*AH$129)</f>
        <v>0</v>
      </c>
      <c r="AI48" s="181">
        <f>IF(ROUND(SUM(AI$5:AI47),2)&gt;=ROUND(AI$129,2),0,INDEX('draws%'!$D$8:$AH$128,$C48+1,MATCH(AI$4,'draws%'!$D$7:$AH$7,FALSE))*AI$129)</f>
        <v>0</v>
      </c>
      <c r="AJ48" s="181">
        <f>IF(ROUND(SUM(AJ$5:AJ47),2)&gt;=ROUND(AJ$129,2),0,INDEX('draws%'!$D$8:$AH$128,$C48+1,MATCH(AJ$4,'draws%'!$D$7:$AH$7,FALSE))*AJ$129)</f>
        <v>0</v>
      </c>
      <c r="AK48" s="181">
        <f>IF(ROUND(SUM(AK$5:AK47),2)&gt;=ROUND(AK$129,2),0,INDEX('draws%'!$D$8:$AH$128,$C48+1,MATCH(AK$4,'draws%'!$D$7:$AH$7,FALSE))*AK$129)</f>
        <v>0</v>
      </c>
      <c r="AL48" s="189">
        <f t="shared" si="2"/>
        <v>578408.8666666667</v>
      </c>
      <c r="AM48" s="194"/>
      <c r="AO48" s="171"/>
    </row>
    <row r="49" spans="1:41" s="192" customFormat="1" ht="16">
      <c r="A49" s="1416" t="str">
        <f>IF(MAX(C$5:C48)&gt;=general!$C$27,"post dev",IF(C49&lt;general!$C$23, "Pred", "Dev"))</f>
        <v>post dev</v>
      </c>
      <c r="B49" s="1398"/>
      <c r="C49" s="1388">
        <f>IF('Development Cash Flow'!D48&lt;general!$D$28,'Development Cash Flow'!C48+1,0)</f>
        <v>43</v>
      </c>
      <c r="D49" s="185">
        <f t="shared" si="0"/>
        <v>47573</v>
      </c>
      <c r="E49" s="186">
        <f>($C49&gt;=sales!$D$32)*($C49&lt;=sales!$F$32)*ResUnits/(sales!$E$32+1)</f>
        <v>0</v>
      </c>
      <c r="F49" s="181">
        <f>($C49&gt;=sales!$D$32)*($C49&lt;=sales!$F$32)*sales!$I$18/(sales!$E$32+1)</f>
        <v>0</v>
      </c>
      <c r="G49" s="181">
        <f>($C49&gt;=sales!$D$32)*($C49&lt;=sales!$F$32)*sales!$K$32/(sales!$E$32+1)</f>
        <v>0</v>
      </c>
      <c r="H49" s="187">
        <f>($C49&gt;=sales!$D$33)*($C49&lt;=sales!$F$33)*sales!$K$33/(sales!$E$33+1)</f>
        <v>0</v>
      </c>
      <c r="I49" s="181">
        <f>($C49&gt;=sales!$D$34)*($C49&lt;=sales!$F$34)*sales!$K$34/(sales!$E$34+1)</f>
        <v>0</v>
      </c>
      <c r="J49" s="181">
        <f>($C49&gt;=sales!$D$35)*($C49&lt;=sales!$F$35)*sales!$K$35/(sales!$E$35+1)</f>
        <v>0</v>
      </c>
      <c r="K49" s="189">
        <f>($C49&gt;=sales!$D$36)*($C49&lt;=sales!$F$36)*sales!$K$36*IFERROR(VLOOKUP(C49,sales!$C$50:$D$54,2,FALSE),0)</f>
        <v>7212374.3999999994</v>
      </c>
      <c r="L49" s="1398"/>
      <c r="M49" s="1403">
        <f>+G49/$G$4*$M$4*sales!$J$32</f>
        <v>0</v>
      </c>
      <c r="N49" s="1398"/>
      <c r="O49" s="1464">
        <f>IF(ROUND(SUM(O$5:O48),2)&gt;=ROUND(O$129,2),0,INDEX('draws%'!$D$8:$AH$128,$C49+1,MATCH(O$4,'draws%'!$D$7:$AH$7,FALSE))*O$129)</f>
        <v>0</v>
      </c>
      <c r="P49" s="181">
        <f>IF(ROUND(SUM(P$5:P48),2)&gt;=ROUND(P$129,2),0,INDEX('draws%'!$D$8:$AH$128,$C49+1,MATCH(P$4,'draws%'!$D$7:$AH$7,FALSE))*P$129)</f>
        <v>0</v>
      </c>
      <c r="Q49" s="181">
        <f>IF(ROUND(SUM(Q$5:Q48),2)&gt;=ROUND(Q$129,2),0,INDEX('draws%'!$D$8:$AH$128,$C49+1,MATCH(Q$4,'draws%'!$D$7:$AH$7,FALSE))*Q$129)</f>
        <v>0</v>
      </c>
      <c r="R49" s="181">
        <f>IF(ROUND(SUM(R$5:R48),2)&gt;=ROUND(R$129,2),0,INDEX('draws%'!$D$8:$AH$128,$C49+1,MATCH(R$4,'draws%'!$D$7:$AH$7,FALSE))*R$129)</f>
        <v>0</v>
      </c>
      <c r="S49" s="181">
        <f>IF(ROUND(SUM(S$5:S48),2)&gt;=ROUND(S$129,2),0,INDEX('draws%'!$D$8:$AH$128,$C49+1,MATCH(S$4,'draws%'!$D$7:$AH$7,FALSE))*S$129)</f>
        <v>0</v>
      </c>
      <c r="T49" s="181">
        <f>IF(ROUND(SUM(T$5:T48),2)&gt;=ROUND(T$129,2),0,INDEX('draws%'!$D$8:$AH$128,$C49+1,MATCH(T$4,'draws%'!$D$7:$AH$7,FALSE))*T$129)</f>
        <v>0</v>
      </c>
      <c r="U49" s="181">
        <f>IF(ROUND(SUM(U$5:U48),2)&gt;=ROUND(U$129,2),0,INDEX('draws%'!$D$8:$AH$128,$C49+1,MATCH(U$4,'draws%'!$D$7:$AH$7,FALSE))*U$129)</f>
        <v>0</v>
      </c>
      <c r="V49" s="181">
        <f>IF(ROUND(SUM(V$5:V48),2)&gt;=ROUND(V$129,2),0,INDEX('draws%'!$D$8:$AH$128,$C49+1,MATCH(V$4,'draws%'!$D$7:$AH$7,FALSE))*V$129)</f>
        <v>0</v>
      </c>
      <c r="W49" s="181">
        <f>IF(ROUND(SUM(W$5:W48),2)&gt;=ROUND(W$129,2),0,INDEX('draws%'!$D$8:$AH$128,$C49+1,MATCH(W$4,'draws%'!$D$7:$AH$7,FALSE))*W$129)</f>
        <v>0</v>
      </c>
      <c r="X49" s="181">
        <f>IF(ROUND(SUM(X$5:X48),2)&gt;=ROUND(X$129,2),0,INDEX('draws%'!$D$8:$AH$128,$C49+1,MATCH(X$4,'draws%'!$D$7:$AH$7,FALSE))*X$129)</f>
        <v>0</v>
      </c>
      <c r="Y49" s="181">
        <f>IF(ROUND(SUM(Y$5:Y48),2)&gt;=ROUND(Y$129,2),0,INDEX('draws%'!$D$8:$AH$128,$C49+1,MATCH(Y$4,'draws%'!$D$7:$AH$7,FALSE))*Y$129)</f>
        <v>0</v>
      </c>
      <c r="Z49" s="181">
        <f>IF(ROUND(SUM(Z$5:Z48),2)&gt;=ROUND(Z$129,2),0,INDEX('draws%'!$D$8:$AH$128,$C49+1,MATCH(Z$4,'draws%'!$D$7:$AH$7,FALSE))*Z$129)</f>
        <v>0</v>
      </c>
      <c r="AA49" s="181">
        <f>IF(ROUND(SUM(AA$5:AA48),2)&gt;=ROUND(AA$129,2),0,INDEX('draws%'!$D$8:$AH$128,$C49+1,MATCH(AA$4,'draws%'!$D$7:$AH$7,FALSE))*AA$129)</f>
        <v>0</v>
      </c>
      <c r="AB49" s="181">
        <f>IF(ROUND(SUM(AB$5:AB48),2)&gt;=ROUND(AB$129,2),0,INDEX('draws%'!$D$8:$AH$128,$C49+1,MATCH(AB$4,'draws%'!$D$7:$AH$7,FALSE))*AB$129)</f>
        <v>0</v>
      </c>
      <c r="AC49" s="181">
        <f>($C49&gt;=sales!$D$32)*($C49&lt;=sales!$F$32)*sales!$J$41/(sales!$E$32+1)+($C49&gt;=sales!$D$33)*($C49&lt;=sales!$F$33)*sales!$J$42/(sales!$E$33+1)+($C49&gt;=sales!$D$34)*($C49&lt;=sales!$F$34)*sales!$J$43/(sales!$E$34+1)+($C49&gt;=sales!$D$35)*($C49&lt;=sales!$F$35)*sales!$J$44/(sales!$E$35+1)+($C49&gt;=sales!$D$36)*($C49&lt;=sales!$F$36)*sales!$J$45/(sales!$E$36+1)</f>
        <v>0</v>
      </c>
      <c r="AD49" s="181">
        <f>IF(ROUND(SUM(AD$5:AD48),2)&gt;=ROUND(AD$129,2),0,INDEX('draws%'!$D$8:$AH$128,$C49+1,MATCH(AD$4,'draws%'!$D$7:$AH$7,FALSE))*AD$129)</f>
        <v>0</v>
      </c>
      <c r="AE49" s="181">
        <f>IF(ROUND(SUM(AE$5:AE48),2)&gt;=ROUND(AE$129,2),0,INDEX('draws%'!$D$8:$AH$128,$C49+1,MATCH(AE$4,'draws%'!$D$7:$AH$7,FALSE))*AE$129)</f>
        <v>0</v>
      </c>
      <c r="AF49" s="188">
        <f>($C49&gt;=sales!$D$32)*($C49&lt;=sales!$F$32)*sales!$D$41/(sales!$E$32+1)+($C49&gt;=sales!$D$33)*($C49&lt;=sales!$F$33)*sales!$D$42/(sales!$E$33+1)+($C49&gt;=sales!$D$34)*($C49&lt;=sales!$F$34)*sales!$D$43/(sales!$E$34+1)+($C49&gt;=sales!$D$35)*($C49&lt;=sales!$F$35)*sales!$D$44/(sales!$E$35+1)+($C49&gt;=sales!$D$36)*($C49&lt;=sales!$F$36)*sales!$D$45/(sales!$E$36+1)</f>
        <v>232353.93333333335</v>
      </c>
      <c r="AG49" s="188">
        <f>($C49&gt;=sales!$D$32)*($C49&lt;=sales!$F$32)*sales!$F$41/(sales!$E$32+1)+($C49&gt;=sales!$D$33)*($C49&lt;=sales!$F$33)*sales!$F$42/(sales!$E$33+1)+($C49&gt;=sales!$D$34)*($C49&lt;=sales!$F$34)*sales!$F$43/(sales!$E$34+1)+($C49&gt;=sales!$D$35)*($C49&lt;=sales!$F$35)*sales!$F$44/(sales!$E$35+1)+($C49&gt;=sales!$D$36)*($C49&lt;=sales!$F$36)*sales!$F$45/(sales!$E$36+1)</f>
        <v>346054.93333333335</v>
      </c>
      <c r="AH49" s="181">
        <f>IF(ROUND(SUM(AH$5:AH48),2)&gt;=ROUND(AH$129,2),0,INDEX('draws%'!$D$8:$AH$128,$C49+1,MATCH(AH$4,'draws%'!$D$7:$AH$7,FALSE))*AH$129)</f>
        <v>0</v>
      </c>
      <c r="AI49" s="181">
        <f>IF(ROUND(SUM(AI$5:AI48),2)&gt;=ROUND(AI$129,2),0,INDEX('draws%'!$D$8:$AH$128,$C49+1,MATCH(AI$4,'draws%'!$D$7:$AH$7,FALSE))*AI$129)</f>
        <v>0</v>
      </c>
      <c r="AJ49" s="181">
        <f>IF(ROUND(SUM(AJ$5:AJ48),2)&gt;=ROUND(AJ$129,2),0,INDEX('draws%'!$D$8:$AH$128,$C49+1,MATCH(AJ$4,'draws%'!$D$7:$AH$7,FALSE))*AJ$129)</f>
        <v>0</v>
      </c>
      <c r="AK49" s="181">
        <f>IF(ROUND(SUM(AK$5:AK48),2)&gt;=ROUND(AK$129,2),0,INDEX('draws%'!$D$8:$AH$128,$C49+1,MATCH(AK$4,'draws%'!$D$7:$AH$7,FALSE))*AK$129)</f>
        <v>0</v>
      </c>
      <c r="AL49" s="189">
        <f t="shared" si="2"/>
        <v>578408.8666666667</v>
      </c>
      <c r="AM49" s="194"/>
      <c r="AO49" s="171"/>
    </row>
    <row r="50" spans="1:41" s="192" customFormat="1" ht="16">
      <c r="A50" s="1416" t="str">
        <f>IF(MAX(C$5:C49)&gt;=general!$C$27,"post dev",IF(C50&lt;general!$C$23, "Pred", "Dev"))</f>
        <v>post dev</v>
      </c>
      <c r="B50" s="1398"/>
      <c r="C50" s="1388">
        <f>IF('Development Cash Flow'!D49&lt;general!$D$28,'Development Cash Flow'!C49+1,0)</f>
        <v>44</v>
      </c>
      <c r="D50" s="185">
        <f t="shared" si="0"/>
        <v>47603</v>
      </c>
      <c r="E50" s="186">
        <f>($C50&gt;=sales!$D$32)*($C50&lt;=sales!$F$32)*ResUnits/(sales!$E$32+1)</f>
        <v>0</v>
      </c>
      <c r="F50" s="181">
        <f>($C50&gt;=sales!$D$32)*($C50&lt;=sales!$F$32)*sales!$I$18/(sales!$E$32+1)</f>
        <v>0</v>
      </c>
      <c r="G50" s="181">
        <f>($C50&gt;=sales!$D$32)*($C50&lt;=sales!$F$32)*sales!$K$32/(sales!$E$32+1)</f>
        <v>0</v>
      </c>
      <c r="H50" s="187">
        <f>($C50&gt;=sales!$D$33)*($C50&lt;=sales!$F$33)*sales!$K$33/(sales!$E$33+1)</f>
        <v>0</v>
      </c>
      <c r="I50" s="181">
        <f>($C50&gt;=sales!$D$34)*($C50&lt;=sales!$F$34)*sales!$K$34/(sales!$E$34+1)</f>
        <v>0</v>
      </c>
      <c r="J50" s="181">
        <f>($C50&gt;=sales!$D$35)*($C50&lt;=sales!$F$35)*sales!$K$35/(sales!$E$35+1)</f>
        <v>0</v>
      </c>
      <c r="K50" s="189">
        <f>($C50&gt;=sales!$D$36)*($C50&lt;=sales!$F$36)*sales!$K$36*IFERROR(VLOOKUP(C50,sales!$C$50:$D$54,2,FALSE),0)</f>
        <v>4808249.6000000006</v>
      </c>
      <c r="L50" s="1398"/>
      <c r="M50" s="1403">
        <f>+G50/$G$4*$M$4*sales!$J$32</f>
        <v>0</v>
      </c>
      <c r="N50" s="1398"/>
      <c r="O50" s="1464">
        <f>IF(ROUND(SUM(O$5:O49),2)&gt;=ROUND(O$129,2),0,INDEX('draws%'!$D$8:$AH$128,$C50+1,MATCH(O$4,'draws%'!$D$7:$AH$7,FALSE))*O$129)</f>
        <v>0</v>
      </c>
      <c r="P50" s="181">
        <f>IF(ROUND(SUM(P$5:P49),2)&gt;=ROUND(P$129,2),0,INDEX('draws%'!$D$8:$AH$128,$C50+1,MATCH(P$4,'draws%'!$D$7:$AH$7,FALSE))*P$129)</f>
        <v>0</v>
      </c>
      <c r="Q50" s="181">
        <f>IF(ROUND(SUM(Q$5:Q49),2)&gt;=ROUND(Q$129,2),0,INDEX('draws%'!$D$8:$AH$128,$C50+1,MATCH(Q$4,'draws%'!$D$7:$AH$7,FALSE))*Q$129)</f>
        <v>0</v>
      </c>
      <c r="R50" s="181">
        <f>IF(ROUND(SUM(R$5:R49),2)&gt;=ROUND(R$129,2),0,INDEX('draws%'!$D$8:$AH$128,$C50+1,MATCH(R$4,'draws%'!$D$7:$AH$7,FALSE))*R$129)</f>
        <v>0</v>
      </c>
      <c r="S50" s="181">
        <f>IF(ROUND(SUM(S$5:S49),2)&gt;=ROUND(S$129,2),0,INDEX('draws%'!$D$8:$AH$128,$C50+1,MATCH(S$4,'draws%'!$D$7:$AH$7,FALSE))*S$129)</f>
        <v>0</v>
      </c>
      <c r="T50" s="181">
        <f>IF(ROUND(SUM(T$5:T49),2)&gt;=ROUND(T$129,2),0,INDEX('draws%'!$D$8:$AH$128,$C50+1,MATCH(T$4,'draws%'!$D$7:$AH$7,FALSE))*T$129)</f>
        <v>0</v>
      </c>
      <c r="U50" s="181">
        <f>IF(ROUND(SUM(U$5:U49),2)&gt;=ROUND(U$129,2),0,INDEX('draws%'!$D$8:$AH$128,$C50+1,MATCH(U$4,'draws%'!$D$7:$AH$7,FALSE))*U$129)</f>
        <v>0</v>
      </c>
      <c r="V50" s="181">
        <f>IF(ROUND(SUM(V$5:V49),2)&gt;=ROUND(V$129,2),0,INDEX('draws%'!$D$8:$AH$128,$C50+1,MATCH(V$4,'draws%'!$D$7:$AH$7,FALSE))*V$129)</f>
        <v>50000</v>
      </c>
      <c r="W50" s="181">
        <f>IF(ROUND(SUM(W$5:W49),2)&gt;=ROUND(W$129,2),0,INDEX('draws%'!$D$8:$AH$128,$C50+1,MATCH(W$4,'draws%'!$D$7:$AH$7,FALSE))*W$129)</f>
        <v>0</v>
      </c>
      <c r="X50" s="181">
        <f>IF(ROUND(SUM(X$5:X49),2)&gt;=ROUND(X$129,2),0,INDEX('draws%'!$D$8:$AH$128,$C50+1,MATCH(X$4,'draws%'!$D$7:$AH$7,FALSE))*X$129)</f>
        <v>0</v>
      </c>
      <c r="Y50" s="181">
        <f>IF(ROUND(SUM(Y$5:Y49),2)&gt;=ROUND(Y$129,2),0,INDEX('draws%'!$D$8:$AH$128,$C50+1,MATCH(Y$4,'draws%'!$D$7:$AH$7,FALSE))*Y$129)</f>
        <v>0</v>
      </c>
      <c r="Z50" s="181">
        <f>IF(ROUND(SUM(Z$5:Z49),2)&gt;=ROUND(Z$129,2),0,INDEX('draws%'!$D$8:$AH$128,$C50+1,MATCH(Z$4,'draws%'!$D$7:$AH$7,FALSE))*Z$129)</f>
        <v>0</v>
      </c>
      <c r="AA50" s="181">
        <f>IF(ROUND(SUM(AA$5:AA49),2)&gt;=ROUND(AA$129,2),0,INDEX('draws%'!$D$8:$AH$128,$C50+1,MATCH(AA$4,'draws%'!$D$7:$AH$7,FALSE))*AA$129)</f>
        <v>0</v>
      </c>
      <c r="AB50" s="181">
        <f>IF(ROUND(SUM(AB$5:AB49),2)&gt;=ROUND(AB$129,2),0,INDEX('draws%'!$D$8:$AH$128,$C50+1,MATCH(AB$4,'draws%'!$D$7:$AH$7,FALSE))*AB$129)</f>
        <v>0</v>
      </c>
      <c r="AC50" s="181">
        <f>($C50&gt;=sales!$D$32)*($C50&lt;=sales!$F$32)*sales!$J$41/(sales!$E$32+1)+($C50&gt;=sales!$D$33)*($C50&lt;=sales!$F$33)*sales!$J$42/(sales!$E$33+1)+($C50&gt;=sales!$D$34)*($C50&lt;=sales!$F$34)*sales!$J$43/(sales!$E$34+1)+($C50&gt;=sales!$D$35)*($C50&lt;=sales!$F$35)*sales!$J$44/(sales!$E$35+1)+($C50&gt;=sales!$D$36)*($C50&lt;=sales!$F$36)*sales!$J$45/(sales!$E$36+1)</f>
        <v>0</v>
      </c>
      <c r="AD50" s="181">
        <f>IF(ROUND(SUM(AD$5:AD49),2)&gt;=ROUND(AD$129,2),0,INDEX('draws%'!$D$8:$AH$128,$C50+1,MATCH(AD$4,'draws%'!$D$7:$AH$7,FALSE))*AD$129)</f>
        <v>0</v>
      </c>
      <c r="AE50" s="181">
        <f>IF(ROUND(SUM(AE$5:AE49),2)&gt;=ROUND(AE$129,2),0,INDEX('draws%'!$D$8:$AH$128,$C50+1,MATCH(AE$4,'draws%'!$D$7:$AH$7,FALSE))*AE$129)</f>
        <v>0</v>
      </c>
      <c r="AF50" s="188">
        <f>($C50&gt;=sales!$D$32)*($C50&lt;=sales!$F$32)*sales!$D$41/(sales!$E$32+1)+($C50&gt;=sales!$D$33)*($C50&lt;=sales!$F$33)*sales!$D$42/(sales!$E$33+1)+($C50&gt;=sales!$D$34)*($C50&lt;=sales!$F$34)*sales!$D$43/(sales!$E$34+1)+($C50&gt;=sales!$D$35)*($C50&lt;=sales!$F$35)*sales!$D$44/(sales!$E$35+1)+($C50&gt;=sales!$D$36)*($C50&lt;=sales!$F$36)*sales!$D$45/(sales!$E$36+1)</f>
        <v>232353.93333333335</v>
      </c>
      <c r="AG50" s="188">
        <f>($C50&gt;=sales!$D$32)*($C50&lt;=sales!$F$32)*sales!$F$41/(sales!$E$32+1)+($C50&gt;=sales!$D$33)*($C50&lt;=sales!$F$33)*sales!$F$42/(sales!$E$33+1)+($C50&gt;=sales!$D$34)*($C50&lt;=sales!$F$34)*sales!$F$43/(sales!$E$34+1)+($C50&gt;=sales!$D$35)*($C50&lt;=sales!$F$35)*sales!$F$44/(sales!$E$35+1)+($C50&gt;=sales!$D$36)*($C50&lt;=sales!$F$36)*sales!$F$45/(sales!$E$36+1)</f>
        <v>346054.93333333335</v>
      </c>
      <c r="AH50" s="181">
        <f>IF(ROUND(SUM(AH$5:AH49),2)&gt;=ROUND(AH$129,2),0,INDEX('draws%'!$D$8:$AH$128,$C50+1,MATCH(AH$4,'draws%'!$D$7:$AH$7,FALSE))*AH$129)</f>
        <v>0</v>
      </c>
      <c r="AI50" s="181">
        <f>IF(ROUND(SUM(AI$5:AI49),2)&gt;=ROUND(AI$129,2),0,INDEX('draws%'!$D$8:$AH$128,$C50+1,MATCH(AI$4,'draws%'!$D$7:$AH$7,FALSE))*AI$129)</f>
        <v>0</v>
      </c>
      <c r="AJ50" s="181">
        <f>IF(ROUND(SUM(AJ$5:AJ49),2)&gt;=ROUND(AJ$129,2),0,INDEX('draws%'!$D$8:$AH$128,$C50+1,MATCH(AJ$4,'draws%'!$D$7:$AH$7,FALSE))*AJ$129)</f>
        <v>0</v>
      </c>
      <c r="AK50" s="181">
        <f>IF(ROUND(SUM(AK$5:AK49),2)&gt;=ROUND(AK$129,2),0,INDEX('draws%'!$D$8:$AH$128,$C50+1,MATCH(AK$4,'draws%'!$D$7:$AH$7,FALSE))*AK$129)</f>
        <v>0</v>
      </c>
      <c r="AL50" s="189">
        <f t="shared" si="2"/>
        <v>628408.8666666667</v>
      </c>
      <c r="AM50" s="194"/>
      <c r="AO50" s="171"/>
    </row>
    <row r="51" spans="1:41" s="192" customFormat="1" ht="16">
      <c r="A51" s="1416" t="str">
        <f>IF(MAX(C$5:C50)&gt;=general!$C$27,"post dev",IF(C51&lt;general!$C$23, "Pred", "Dev"))</f>
        <v>post dev</v>
      </c>
      <c r="B51" s="1398"/>
      <c r="C51" s="1388">
        <f>IF('Development Cash Flow'!D50&lt;general!$D$28,'Development Cash Flow'!C50+1,0)</f>
        <v>0</v>
      </c>
      <c r="D51" s="185">
        <f t="shared" si="0"/>
        <v>47634</v>
      </c>
      <c r="E51" s="186">
        <f>($C51&gt;=sales!$D$32)*($C51&lt;=sales!$F$32)*ResUnits/(sales!$E$32+1)</f>
        <v>0</v>
      </c>
      <c r="F51" s="181">
        <f>($C51&gt;=sales!$D$32)*($C51&lt;=sales!$F$32)*sales!$I$18/(sales!$E$32+1)</f>
        <v>0</v>
      </c>
      <c r="G51" s="181">
        <f>($C51&gt;=sales!$D$32)*($C51&lt;=sales!$F$32)*sales!$K$32/(sales!$E$32+1)</f>
        <v>0</v>
      </c>
      <c r="H51" s="187">
        <f>($C51&gt;=sales!$D$33)*($C51&lt;=sales!$F$33)*sales!$K$33/(sales!$E$33+1)</f>
        <v>0</v>
      </c>
      <c r="I51" s="181">
        <f>($C51&gt;=sales!$D$34)*($C51&lt;=sales!$F$34)*sales!$K$34/(sales!$E$34+1)</f>
        <v>0</v>
      </c>
      <c r="J51" s="181">
        <f>($C51&gt;=sales!$D$35)*($C51&lt;=sales!$F$35)*sales!$K$35/(sales!$E$35+1)</f>
        <v>0</v>
      </c>
      <c r="K51" s="189">
        <f>($C51&gt;=sales!$D$36)*($C51&lt;=sales!$F$36)*sales!$K$36*IFERROR(VLOOKUP(C51,sales!$C$50:$D$54,2,FALSE),0)</f>
        <v>0</v>
      </c>
      <c r="L51" s="1398"/>
      <c r="M51" s="1403">
        <f>+G51/$G$4*$M$4*sales!$J$32</f>
        <v>0</v>
      </c>
      <c r="N51" s="1398"/>
      <c r="O51" s="1464">
        <f>IF(ROUND(SUM(O$5:O50),2)&gt;=ROUND(O$129,2),0,INDEX('draws%'!$D$8:$AH$128,$C51+1,MATCH(O$4,'draws%'!$D$7:$AH$7,FALSE))*O$129)</f>
        <v>0</v>
      </c>
      <c r="P51" s="181">
        <f>IF(ROUND(SUM(P$5:P50),2)&gt;=ROUND(P$129,2),0,INDEX('draws%'!$D$8:$AH$128,$C51+1,MATCH(P$4,'draws%'!$D$7:$AH$7,FALSE))*P$129)</f>
        <v>0</v>
      </c>
      <c r="Q51" s="181">
        <f>IF(ROUND(SUM(Q$5:Q50),2)&gt;=ROUND(Q$129,2),0,INDEX('draws%'!$D$8:$AH$128,$C51+1,MATCH(Q$4,'draws%'!$D$7:$AH$7,FALSE))*Q$129)</f>
        <v>0</v>
      </c>
      <c r="R51" s="181">
        <f>IF(ROUND(SUM(R$5:R50),2)&gt;=ROUND(R$129,2),0,INDEX('draws%'!$D$8:$AH$128,$C51+1,MATCH(R$4,'draws%'!$D$7:$AH$7,FALSE))*R$129)</f>
        <v>0</v>
      </c>
      <c r="S51" s="181">
        <f>IF(ROUND(SUM(S$5:S50),2)&gt;=ROUND(S$129,2),0,INDEX('draws%'!$D$8:$AH$128,$C51+1,MATCH(S$4,'draws%'!$D$7:$AH$7,FALSE))*S$129)</f>
        <v>0</v>
      </c>
      <c r="T51" s="181">
        <f>IF(ROUND(SUM(T$5:T50),2)&gt;=ROUND(T$129,2),0,INDEX('draws%'!$D$8:$AH$128,$C51+1,MATCH(T$4,'draws%'!$D$7:$AH$7,FALSE))*T$129)</f>
        <v>0</v>
      </c>
      <c r="U51" s="181">
        <f>IF(ROUND(SUM(U$5:U50),2)&gt;=ROUND(U$129,2),0,INDEX('draws%'!$D$8:$AH$128,$C51+1,MATCH(U$4,'draws%'!$D$7:$AH$7,FALSE))*U$129)</f>
        <v>0</v>
      </c>
      <c r="V51" s="181">
        <f>IF(ROUND(SUM(V$5:V50),2)&gt;=ROUND(V$129,2),0,INDEX('draws%'!$D$8:$AH$128,$C51+1,MATCH(V$4,'draws%'!$D$7:$AH$7,FALSE))*V$129)</f>
        <v>0</v>
      </c>
      <c r="W51" s="181">
        <f>IF(ROUND(SUM(W$5:W50),2)&gt;=ROUND(W$129,2),0,INDEX('draws%'!$D$8:$AH$128,$C51+1,MATCH(W$4,'draws%'!$D$7:$AH$7,FALSE))*W$129)</f>
        <v>0</v>
      </c>
      <c r="X51" s="181">
        <f>IF(ROUND(SUM(X$5:X50),2)&gt;=ROUND(X$129,2),0,INDEX('draws%'!$D$8:$AH$128,$C51+1,MATCH(X$4,'draws%'!$D$7:$AH$7,FALSE))*X$129)</f>
        <v>0</v>
      </c>
      <c r="Y51" s="181">
        <f>IF(ROUND(SUM(Y$5:Y50),2)&gt;=ROUND(Y$129,2),0,INDEX('draws%'!$D$8:$AH$128,$C51+1,MATCH(Y$4,'draws%'!$D$7:$AH$7,FALSE))*Y$129)</f>
        <v>0</v>
      </c>
      <c r="Z51" s="181">
        <f>IF(ROUND(SUM(Z$5:Z50),2)&gt;=ROUND(Z$129,2),0,INDEX('draws%'!$D$8:$AH$128,$C51+1,MATCH(Z$4,'draws%'!$D$7:$AH$7,FALSE))*Z$129)</f>
        <v>0</v>
      </c>
      <c r="AA51" s="181">
        <f>IF(ROUND(SUM(AA$5:AA50),2)&gt;=ROUND(AA$129,2),0,INDEX('draws%'!$D$8:$AH$128,$C51+1,MATCH(AA$4,'draws%'!$D$7:$AH$7,FALSE))*AA$129)</f>
        <v>0</v>
      </c>
      <c r="AB51" s="181">
        <f>IF(ROUND(SUM(AB$5:AB50),2)&gt;=ROUND(AB$129,2),0,INDEX('draws%'!$D$8:$AH$128,$C51+1,MATCH(AB$4,'draws%'!$D$7:$AH$7,FALSE))*AB$129)</f>
        <v>0</v>
      </c>
      <c r="AC51" s="181">
        <f>($C51&gt;=sales!$D$32)*($C51&lt;=sales!$F$32)*sales!$J$41/(sales!$E$32+1)+($C51&gt;=sales!$D$33)*($C51&lt;=sales!$F$33)*sales!$J$42/(sales!$E$33+1)+($C51&gt;=sales!$D$34)*($C51&lt;=sales!$F$34)*sales!$J$43/(sales!$E$34+1)+($C51&gt;=sales!$D$35)*($C51&lt;=sales!$F$35)*sales!$J$44/(sales!$E$35+1)+($C51&gt;=sales!$D$36)*($C51&lt;=sales!$F$36)*sales!$J$45/(sales!$E$36+1)</f>
        <v>0</v>
      </c>
      <c r="AD51" s="181">
        <f>IF(ROUND(SUM(AD$5:AD50),2)&gt;=ROUND(AD$129,2),0,INDEX('draws%'!$D$8:$AH$128,$C51+1,MATCH(AD$4,'draws%'!$D$7:$AH$7,FALSE))*AD$129)</f>
        <v>0</v>
      </c>
      <c r="AE51" s="181">
        <f>IF(ROUND(SUM(AE$5:AE50),2)&gt;=ROUND(AE$129,2),0,INDEX('draws%'!$D$8:$AH$128,$C51+1,MATCH(AE$4,'draws%'!$D$7:$AH$7,FALSE))*AE$129)</f>
        <v>0</v>
      </c>
      <c r="AF51" s="188">
        <f>($C51&gt;=sales!$D$32)*($C51&lt;=sales!$F$32)*sales!$D$41/(sales!$E$32+1)+($C51&gt;=sales!$D$33)*($C51&lt;=sales!$F$33)*sales!$D$42/(sales!$E$33+1)+($C51&gt;=sales!$D$34)*($C51&lt;=sales!$F$34)*sales!$D$43/(sales!$E$34+1)+($C51&gt;=sales!$D$35)*($C51&lt;=sales!$F$35)*sales!$D$44/(sales!$E$35+1)+($C51&gt;=sales!$D$36)*($C51&lt;=sales!$F$36)*sales!$D$45/(sales!$E$36+1)</f>
        <v>0</v>
      </c>
      <c r="AG51" s="188">
        <f>($C51&gt;=sales!$D$32)*($C51&lt;=sales!$F$32)*sales!$F$41/(sales!$E$32+1)+($C51&gt;=sales!$D$33)*($C51&lt;=sales!$F$33)*sales!$F$42/(sales!$E$33+1)+($C51&gt;=sales!$D$34)*($C51&lt;=sales!$F$34)*sales!$F$43/(sales!$E$34+1)+($C51&gt;=sales!$D$35)*($C51&lt;=sales!$F$35)*sales!$F$44/(sales!$E$35+1)+($C51&gt;=sales!$D$36)*($C51&lt;=sales!$F$36)*sales!$F$45/(sales!$E$36+1)</f>
        <v>0</v>
      </c>
      <c r="AH51" s="181">
        <f>IF(ROUND(SUM(AH$5:AH50),2)&gt;=ROUND(AH$129,2),0,INDEX('draws%'!$D$8:$AH$128,$C51+1,MATCH(AH$4,'draws%'!$D$7:$AH$7,FALSE))*AH$129)</f>
        <v>0</v>
      </c>
      <c r="AI51" s="181">
        <f>IF(ROUND(SUM(AI$5:AI50),2)&gt;=ROUND(AI$129,2),0,INDEX('draws%'!$D$8:$AH$128,$C51+1,MATCH(AI$4,'draws%'!$D$7:$AH$7,FALSE))*AI$129)</f>
        <v>0</v>
      </c>
      <c r="AJ51" s="181">
        <f>IF(ROUND(SUM(AJ$5:AJ50),2)&gt;=ROUND(AJ$129,2),0,INDEX('draws%'!$D$8:$AH$128,$C51+1,MATCH(AJ$4,'draws%'!$D$7:$AH$7,FALSE))*AJ$129)</f>
        <v>0</v>
      </c>
      <c r="AK51" s="181">
        <f>IF(ROUND(SUM(AK$5:AK50),2)&gt;=ROUND(AK$129,2),0,INDEX('draws%'!$D$8:$AH$128,$C51+1,MATCH(AK$4,'draws%'!$D$7:$AH$7,FALSE))*AK$129)</f>
        <v>0</v>
      </c>
      <c r="AL51" s="189">
        <f t="shared" si="2"/>
        <v>0</v>
      </c>
      <c r="AM51" s="194"/>
      <c r="AO51" s="171"/>
    </row>
    <row r="52" spans="1:41" s="168" customFormat="1" ht="16">
      <c r="A52" s="1416" t="str">
        <f>IF(MAX(C$5:C51)&gt;=general!$C$27,"post dev",IF(C52&lt;general!$C$23, "Pred", "Dev"))</f>
        <v>post dev</v>
      </c>
      <c r="B52" s="1398"/>
      <c r="C52" s="1388">
        <f>IF('Development Cash Flow'!D51&lt;general!$D$28,'Development Cash Flow'!C51+1,0)</f>
        <v>0</v>
      </c>
      <c r="D52" s="185">
        <f t="shared" si="0"/>
        <v>47664</v>
      </c>
      <c r="E52" s="186">
        <f>($C52&gt;=sales!$D$32)*($C52&lt;=sales!$F$32)*ResUnits/(sales!$E$32+1)</f>
        <v>0</v>
      </c>
      <c r="F52" s="181">
        <f>($C52&gt;=sales!$D$32)*($C52&lt;=sales!$F$32)*sales!$I$18/(sales!$E$32+1)</f>
        <v>0</v>
      </c>
      <c r="G52" s="181">
        <f>($C52&gt;=sales!$D$32)*($C52&lt;=sales!$F$32)*sales!$K$32/(sales!$E$32+1)</f>
        <v>0</v>
      </c>
      <c r="H52" s="187">
        <f>($C52&gt;=sales!$D$33)*($C52&lt;=sales!$F$33)*sales!$K$33/(sales!$E$33+1)</f>
        <v>0</v>
      </c>
      <c r="I52" s="181">
        <f>($C52&gt;=sales!$D$34)*($C52&lt;=sales!$F$34)*sales!$K$34/(sales!$E$34+1)</f>
        <v>0</v>
      </c>
      <c r="J52" s="181">
        <f>($C52&gt;=sales!$D$35)*($C52&lt;=sales!$F$35)*sales!$K$35/(sales!$E$35+1)</f>
        <v>0</v>
      </c>
      <c r="K52" s="189">
        <f>($C52&gt;=sales!$D$36)*($C52&lt;=sales!$F$36)*sales!$K$36*IFERROR(VLOOKUP(C52,sales!$C$50:$D$54,2,FALSE),0)</f>
        <v>0</v>
      </c>
      <c r="L52" s="1398"/>
      <c r="M52" s="1403">
        <f>+G52/$G$4*$M$4*sales!$J$32</f>
        <v>0</v>
      </c>
      <c r="N52" s="1398"/>
      <c r="O52" s="1464">
        <f>IF(ROUND(SUM(O$5:O51),2)&gt;=ROUND(O$129,2),0,INDEX('draws%'!$D$8:$AH$128,$C52+1,MATCH(O$4,'draws%'!$D$7:$AH$7,FALSE))*O$129)</f>
        <v>0</v>
      </c>
      <c r="P52" s="181">
        <f>IF(ROUND(SUM(P$5:P51),2)&gt;=ROUND(P$129,2),0,INDEX('draws%'!$D$8:$AH$128,$C52+1,MATCH(P$4,'draws%'!$D$7:$AH$7,FALSE))*P$129)</f>
        <v>0</v>
      </c>
      <c r="Q52" s="181">
        <f>IF(ROUND(SUM(Q$5:Q51),2)&gt;=ROUND(Q$129,2),0,INDEX('draws%'!$D$8:$AH$128,$C52+1,MATCH(Q$4,'draws%'!$D$7:$AH$7,FALSE))*Q$129)</f>
        <v>0</v>
      </c>
      <c r="R52" s="181">
        <f>IF(ROUND(SUM(R$5:R51),2)&gt;=ROUND(R$129,2),0,INDEX('draws%'!$D$8:$AH$128,$C52+1,MATCH(R$4,'draws%'!$D$7:$AH$7,FALSE))*R$129)</f>
        <v>0</v>
      </c>
      <c r="S52" s="181">
        <f>IF(ROUND(SUM(S$5:S51),2)&gt;=ROUND(S$129,2),0,INDEX('draws%'!$D$8:$AH$128,$C52+1,MATCH(S$4,'draws%'!$D$7:$AH$7,FALSE))*S$129)</f>
        <v>0</v>
      </c>
      <c r="T52" s="181">
        <f>IF(ROUND(SUM(T$5:T51),2)&gt;=ROUND(T$129,2),0,INDEX('draws%'!$D$8:$AH$128,$C52+1,MATCH(T$4,'draws%'!$D$7:$AH$7,FALSE))*T$129)</f>
        <v>0</v>
      </c>
      <c r="U52" s="181">
        <f>IF(ROUND(SUM(U$5:U51),2)&gt;=ROUND(U$129,2),0,INDEX('draws%'!$D$8:$AH$128,$C52+1,MATCH(U$4,'draws%'!$D$7:$AH$7,FALSE))*U$129)</f>
        <v>0</v>
      </c>
      <c r="V52" s="181">
        <f>IF(ROUND(SUM(V$5:V51),2)&gt;=ROUND(V$129,2),0,INDEX('draws%'!$D$8:$AH$128,$C52+1,MATCH(V$4,'draws%'!$D$7:$AH$7,FALSE))*V$129)</f>
        <v>0</v>
      </c>
      <c r="W52" s="181">
        <f>IF(ROUND(SUM(W$5:W51),2)&gt;=ROUND(W$129,2),0,INDEX('draws%'!$D$8:$AH$128,$C52+1,MATCH(W$4,'draws%'!$D$7:$AH$7,FALSE))*W$129)</f>
        <v>0</v>
      </c>
      <c r="X52" s="181">
        <f>IF(ROUND(SUM(X$5:X51),2)&gt;=ROUND(X$129,2),0,INDEX('draws%'!$D$8:$AH$128,$C52+1,MATCH(X$4,'draws%'!$D$7:$AH$7,FALSE))*X$129)</f>
        <v>0</v>
      </c>
      <c r="Y52" s="181">
        <f>IF(ROUND(SUM(Y$5:Y51),2)&gt;=ROUND(Y$129,2),0,INDEX('draws%'!$D$8:$AH$128,$C52+1,MATCH(Y$4,'draws%'!$D$7:$AH$7,FALSE))*Y$129)</f>
        <v>0</v>
      </c>
      <c r="Z52" s="181">
        <f>IF(ROUND(SUM(Z$5:Z51),2)&gt;=ROUND(Z$129,2),0,INDEX('draws%'!$D$8:$AH$128,$C52+1,MATCH(Z$4,'draws%'!$D$7:$AH$7,FALSE))*Z$129)</f>
        <v>0</v>
      </c>
      <c r="AA52" s="181">
        <f>IF(ROUND(SUM(AA$5:AA51),2)&gt;=ROUND(AA$129,2),0,INDEX('draws%'!$D$8:$AH$128,$C52+1,MATCH(AA$4,'draws%'!$D$7:$AH$7,FALSE))*AA$129)</f>
        <v>0</v>
      </c>
      <c r="AB52" s="181">
        <f>IF(ROUND(SUM(AB$5:AB51),2)&gt;=ROUND(AB$129,2),0,INDEX('draws%'!$D$8:$AH$128,$C52+1,MATCH(AB$4,'draws%'!$D$7:$AH$7,FALSE))*AB$129)</f>
        <v>0</v>
      </c>
      <c r="AC52" s="181">
        <f>($C52&gt;=sales!$D$32)*($C52&lt;=sales!$F$32)*sales!$J$41/(sales!$E$32+1)+($C52&gt;=sales!$D$33)*($C52&lt;=sales!$F$33)*sales!$J$42/(sales!$E$33+1)+($C52&gt;=sales!$D$34)*($C52&lt;=sales!$F$34)*sales!$J$43/(sales!$E$34+1)+($C52&gt;=sales!$D$35)*($C52&lt;=sales!$F$35)*sales!$J$44/(sales!$E$35+1)+($C52&gt;=sales!$D$36)*($C52&lt;=sales!$F$36)*sales!$J$45/(sales!$E$36+1)</f>
        <v>0</v>
      </c>
      <c r="AD52" s="181">
        <f>IF(ROUND(SUM(AD$5:AD51),2)&gt;=ROUND(AD$129,2),0,INDEX('draws%'!$D$8:$AH$128,$C52+1,MATCH(AD$4,'draws%'!$D$7:$AH$7,FALSE))*AD$129)</f>
        <v>0</v>
      </c>
      <c r="AE52" s="181">
        <f>IF(ROUND(SUM(AE$5:AE51),2)&gt;=ROUND(AE$129,2),0,INDEX('draws%'!$D$8:$AH$128,$C52+1,MATCH(AE$4,'draws%'!$D$7:$AH$7,FALSE))*AE$129)</f>
        <v>0</v>
      </c>
      <c r="AF52" s="188">
        <f>($C52&gt;=sales!$D$32)*($C52&lt;=sales!$F$32)*sales!$D$41/(sales!$E$32+1)+($C52&gt;=sales!$D$33)*($C52&lt;=sales!$F$33)*sales!$D$42/(sales!$E$33+1)+($C52&gt;=sales!$D$34)*($C52&lt;=sales!$F$34)*sales!$D$43/(sales!$E$34+1)+($C52&gt;=sales!$D$35)*($C52&lt;=sales!$F$35)*sales!$D$44/(sales!$E$35+1)+($C52&gt;=sales!$D$36)*($C52&lt;=sales!$F$36)*sales!$D$45/(sales!$E$36+1)</f>
        <v>0</v>
      </c>
      <c r="AG52" s="188">
        <f>($C52&gt;=sales!$D$32)*($C52&lt;=sales!$F$32)*sales!$F$41/(sales!$E$32+1)+($C52&gt;=sales!$D$33)*($C52&lt;=sales!$F$33)*sales!$F$42/(sales!$E$33+1)+($C52&gt;=sales!$D$34)*($C52&lt;=sales!$F$34)*sales!$F$43/(sales!$E$34+1)+($C52&gt;=sales!$D$35)*($C52&lt;=sales!$F$35)*sales!$F$44/(sales!$E$35+1)+($C52&gt;=sales!$D$36)*($C52&lt;=sales!$F$36)*sales!$F$45/(sales!$E$36+1)</f>
        <v>0</v>
      </c>
      <c r="AH52" s="181">
        <f>IF(ROUND(SUM(AH$5:AH51),2)&gt;=ROUND(AH$129,2),0,INDEX('draws%'!$D$8:$AH$128,$C52+1,MATCH(AH$4,'draws%'!$D$7:$AH$7,FALSE))*AH$129)</f>
        <v>0</v>
      </c>
      <c r="AI52" s="181">
        <f>IF(ROUND(SUM(AI$5:AI51),2)&gt;=ROUND(AI$129,2),0,INDEX('draws%'!$D$8:$AH$128,$C52+1,MATCH(AI$4,'draws%'!$D$7:$AH$7,FALSE))*AI$129)</f>
        <v>0</v>
      </c>
      <c r="AJ52" s="181">
        <f>IF(ROUND(SUM(AJ$5:AJ51),2)&gt;=ROUND(AJ$129,2),0,INDEX('draws%'!$D$8:$AH$128,$C52+1,MATCH(AJ$4,'draws%'!$D$7:$AH$7,FALSE))*AJ$129)</f>
        <v>0</v>
      </c>
      <c r="AK52" s="181">
        <f>IF(ROUND(SUM(AK$5:AK51),2)&gt;=ROUND(AK$129,2),0,INDEX('draws%'!$D$8:$AH$128,$C52+1,MATCH(AK$4,'draws%'!$D$7:$AH$7,FALSE))*AK$129)</f>
        <v>0</v>
      </c>
      <c r="AL52" s="189">
        <f t="shared" si="2"/>
        <v>0</v>
      </c>
      <c r="AM52" s="195"/>
      <c r="AO52" s="171"/>
    </row>
    <row r="53" spans="1:41" ht="16">
      <c r="A53" s="1416" t="str">
        <f>IF(MAX(C$5:C52)&gt;=general!$C$27,"post dev",IF(C53&lt;general!$C$23, "Pred", "Dev"))</f>
        <v>post dev</v>
      </c>
      <c r="B53" s="1398"/>
      <c r="C53" s="1388">
        <f>IF('Development Cash Flow'!D52&lt;general!$D$28,'Development Cash Flow'!C52+1,0)</f>
        <v>0</v>
      </c>
      <c r="D53" s="185">
        <f t="shared" si="0"/>
        <v>47695</v>
      </c>
      <c r="E53" s="186">
        <f>($C53&gt;=sales!$D$32)*($C53&lt;=sales!$F$32)*ResUnits/(sales!$E$32+1)</f>
        <v>0</v>
      </c>
      <c r="F53" s="181">
        <f>($C53&gt;=sales!$D$32)*($C53&lt;=sales!$F$32)*sales!$I$18/(sales!$E$32+1)</f>
        <v>0</v>
      </c>
      <c r="G53" s="181">
        <f>($C53&gt;=sales!$D$32)*($C53&lt;=sales!$F$32)*sales!$K$32/(sales!$E$32+1)</f>
        <v>0</v>
      </c>
      <c r="H53" s="187">
        <f>($C53&gt;=sales!$D$33)*($C53&lt;=sales!$F$33)*sales!$K$33/(sales!$E$33+1)</f>
        <v>0</v>
      </c>
      <c r="I53" s="181">
        <f>($C53&gt;=sales!$D$34)*($C53&lt;=sales!$F$34)*sales!$K$34/(sales!$E$34+1)</f>
        <v>0</v>
      </c>
      <c r="J53" s="181">
        <f>($C53&gt;=sales!$D$35)*($C53&lt;=sales!$F$35)*sales!$K$35/(sales!$E$35+1)</f>
        <v>0</v>
      </c>
      <c r="K53" s="189">
        <f>($C53&gt;=sales!$D$36)*($C53&lt;=sales!$F$36)*sales!$K$36*IFERROR(VLOOKUP(C53,sales!$C$50:$D$54,2,FALSE),0)</f>
        <v>0</v>
      </c>
      <c r="L53" s="1398"/>
      <c r="M53" s="1403">
        <f>+G53/$G$4*$M$4*sales!$J$32</f>
        <v>0</v>
      </c>
      <c r="N53" s="1398"/>
      <c r="O53" s="1464">
        <f>IF(ROUND(SUM(O$5:O52),2)&gt;=ROUND(O$129,2),0,INDEX('draws%'!$D$8:$AH$128,$C53+1,MATCH(O$4,'draws%'!$D$7:$AH$7,FALSE))*O$129)</f>
        <v>0</v>
      </c>
      <c r="P53" s="181">
        <f>IF(ROUND(SUM(P$5:P52),2)&gt;=ROUND(P$129,2),0,INDEX('draws%'!$D$8:$AH$128,$C53+1,MATCH(P$4,'draws%'!$D$7:$AH$7,FALSE))*P$129)</f>
        <v>0</v>
      </c>
      <c r="Q53" s="181">
        <f>IF(ROUND(SUM(Q$5:Q52),2)&gt;=ROUND(Q$129,2),0,INDEX('draws%'!$D$8:$AH$128,$C53+1,MATCH(Q$4,'draws%'!$D$7:$AH$7,FALSE))*Q$129)</f>
        <v>0</v>
      </c>
      <c r="R53" s="181">
        <f>IF(ROUND(SUM(R$5:R52),2)&gt;=ROUND(R$129,2),0,INDEX('draws%'!$D$8:$AH$128,$C53+1,MATCH(R$4,'draws%'!$D$7:$AH$7,FALSE))*R$129)</f>
        <v>0</v>
      </c>
      <c r="S53" s="181">
        <f>IF(ROUND(SUM(S$5:S52),2)&gt;=ROUND(S$129,2),0,INDEX('draws%'!$D$8:$AH$128,$C53+1,MATCH(S$4,'draws%'!$D$7:$AH$7,FALSE))*S$129)</f>
        <v>0</v>
      </c>
      <c r="T53" s="181">
        <f>IF(ROUND(SUM(T$5:T52),2)&gt;=ROUND(T$129,2),0,INDEX('draws%'!$D$8:$AH$128,$C53+1,MATCH(T$4,'draws%'!$D$7:$AH$7,FALSE))*T$129)</f>
        <v>0</v>
      </c>
      <c r="U53" s="181">
        <f>IF(ROUND(SUM(U$5:U52),2)&gt;=ROUND(U$129,2),0,INDEX('draws%'!$D$8:$AH$128,$C53+1,MATCH(U$4,'draws%'!$D$7:$AH$7,FALSE))*U$129)</f>
        <v>0</v>
      </c>
      <c r="V53" s="181">
        <f>IF(ROUND(SUM(V$5:V52),2)&gt;=ROUND(V$129,2),0,INDEX('draws%'!$D$8:$AH$128,$C53+1,MATCH(V$4,'draws%'!$D$7:$AH$7,FALSE))*V$129)</f>
        <v>0</v>
      </c>
      <c r="W53" s="181">
        <f>IF(ROUND(SUM(W$5:W52),2)&gt;=ROUND(W$129,2),0,INDEX('draws%'!$D$8:$AH$128,$C53+1,MATCH(W$4,'draws%'!$D$7:$AH$7,FALSE))*W$129)</f>
        <v>0</v>
      </c>
      <c r="X53" s="181">
        <f>IF(ROUND(SUM(X$5:X52),2)&gt;=ROUND(X$129,2),0,INDEX('draws%'!$D$8:$AH$128,$C53+1,MATCH(X$4,'draws%'!$D$7:$AH$7,FALSE))*X$129)</f>
        <v>0</v>
      </c>
      <c r="Y53" s="181">
        <f>IF(ROUND(SUM(Y$5:Y52),2)&gt;=ROUND(Y$129,2),0,INDEX('draws%'!$D$8:$AH$128,$C53+1,MATCH(Y$4,'draws%'!$D$7:$AH$7,FALSE))*Y$129)</f>
        <v>0</v>
      </c>
      <c r="Z53" s="181">
        <f>IF(ROUND(SUM(Z$5:Z52),2)&gt;=ROUND(Z$129,2),0,INDEX('draws%'!$D$8:$AH$128,$C53+1,MATCH(Z$4,'draws%'!$D$7:$AH$7,FALSE))*Z$129)</f>
        <v>0</v>
      </c>
      <c r="AA53" s="181">
        <f>IF(ROUND(SUM(AA$5:AA52),2)&gt;=ROUND(AA$129,2),0,INDEX('draws%'!$D$8:$AH$128,$C53+1,MATCH(AA$4,'draws%'!$D$7:$AH$7,FALSE))*AA$129)</f>
        <v>0</v>
      </c>
      <c r="AB53" s="181">
        <f>IF(ROUND(SUM(AB$5:AB52),2)&gt;=ROUND(AB$129,2),0,INDEX('draws%'!$D$8:$AH$128,$C53+1,MATCH(AB$4,'draws%'!$D$7:$AH$7,FALSE))*AB$129)</f>
        <v>0</v>
      </c>
      <c r="AC53" s="181">
        <f>($C53&gt;=sales!$D$32)*($C53&lt;=sales!$F$32)*sales!$J$41/(sales!$E$32+1)+($C53&gt;=sales!$D$33)*($C53&lt;=sales!$F$33)*sales!$J$42/(sales!$E$33+1)+($C53&gt;=sales!$D$34)*($C53&lt;=sales!$F$34)*sales!$J$43/(sales!$E$34+1)+($C53&gt;=sales!$D$35)*($C53&lt;=sales!$F$35)*sales!$J$44/(sales!$E$35+1)+($C53&gt;=sales!$D$36)*($C53&lt;=sales!$F$36)*sales!$J$45/(sales!$E$36+1)</f>
        <v>0</v>
      </c>
      <c r="AD53" s="181">
        <f>IF(ROUND(SUM(AD$5:AD52),2)&gt;=ROUND(AD$129,2),0,INDEX('draws%'!$D$8:$AH$128,$C53+1,MATCH(AD$4,'draws%'!$D$7:$AH$7,FALSE))*AD$129)</f>
        <v>0</v>
      </c>
      <c r="AE53" s="181">
        <f>IF(ROUND(SUM(AE$5:AE52),2)&gt;=ROUND(AE$129,2),0,INDEX('draws%'!$D$8:$AH$128,$C53+1,MATCH(AE$4,'draws%'!$D$7:$AH$7,FALSE))*AE$129)</f>
        <v>0</v>
      </c>
      <c r="AF53" s="188">
        <f>($C53&gt;=sales!$D$32)*($C53&lt;=sales!$F$32)*sales!$D$41/(sales!$E$32+1)+($C53&gt;=sales!$D$33)*($C53&lt;=sales!$F$33)*sales!$D$42/(sales!$E$33+1)+($C53&gt;=sales!$D$34)*($C53&lt;=sales!$F$34)*sales!$D$43/(sales!$E$34+1)+($C53&gt;=sales!$D$35)*($C53&lt;=sales!$F$35)*sales!$D$44/(sales!$E$35+1)+($C53&gt;=sales!$D$36)*($C53&lt;=sales!$F$36)*sales!$D$45/(sales!$E$36+1)</f>
        <v>0</v>
      </c>
      <c r="AG53" s="188">
        <f>($C53&gt;=sales!$D$32)*($C53&lt;=sales!$F$32)*sales!$F$41/(sales!$E$32+1)+($C53&gt;=sales!$D$33)*($C53&lt;=sales!$F$33)*sales!$F$42/(sales!$E$33+1)+($C53&gt;=sales!$D$34)*($C53&lt;=sales!$F$34)*sales!$F$43/(sales!$E$34+1)+($C53&gt;=sales!$D$35)*($C53&lt;=sales!$F$35)*sales!$F$44/(sales!$E$35+1)+($C53&gt;=sales!$D$36)*($C53&lt;=sales!$F$36)*sales!$F$45/(sales!$E$36+1)</f>
        <v>0</v>
      </c>
      <c r="AH53" s="181">
        <f>IF(ROUND(SUM(AH$5:AH52),2)&gt;=ROUND(AH$129,2),0,INDEX('draws%'!$D$8:$AH$128,$C53+1,MATCH(AH$4,'draws%'!$D$7:$AH$7,FALSE))*AH$129)</f>
        <v>0</v>
      </c>
      <c r="AI53" s="181">
        <f>IF(ROUND(SUM(AI$5:AI52),2)&gt;=ROUND(AI$129,2),0,INDEX('draws%'!$D$8:$AH$128,$C53+1,MATCH(AI$4,'draws%'!$D$7:$AH$7,FALSE))*AI$129)</f>
        <v>0</v>
      </c>
      <c r="AJ53" s="181">
        <f>IF(ROUND(SUM(AJ$5:AJ52),2)&gt;=ROUND(AJ$129,2),0,INDEX('draws%'!$D$8:$AH$128,$C53+1,MATCH(AJ$4,'draws%'!$D$7:$AH$7,FALSE))*AJ$129)</f>
        <v>0</v>
      </c>
      <c r="AK53" s="181">
        <f>IF(ROUND(SUM(AK$5:AK52),2)&gt;=ROUND(AK$129,2),0,INDEX('draws%'!$D$8:$AH$128,$C53+1,MATCH(AK$4,'draws%'!$D$7:$AH$7,FALSE))*AK$129)</f>
        <v>0</v>
      </c>
      <c r="AL53" s="189">
        <f t="shared" si="2"/>
        <v>0</v>
      </c>
      <c r="AO53" s="173"/>
    </row>
    <row r="54" spans="1:41" ht="16">
      <c r="A54" s="1416" t="str">
        <f>IF(MAX(C$5:C53)&gt;=general!$C$27,"post dev",IF(C54&lt;general!$C$23, "Pred", "Dev"))</f>
        <v>post dev</v>
      </c>
      <c r="B54" s="1398"/>
      <c r="C54" s="1388">
        <f>IF('Development Cash Flow'!D53&lt;general!$D$28,'Development Cash Flow'!C53+1,0)</f>
        <v>0</v>
      </c>
      <c r="D54" s="185">
        <f t="shared" si="0"/>
        <v>47726</v>
      </c>
      <c r="E54" s="186">
        <f>($C54&gt;=sales!$D$32)*($C54&lt;=sales!$F$32)*ResUnits/(sales!$E$32+1)</f>
        <v>0</v>
      </c>
      <c r="F54" s="181">
        <f>($C54&gt;=sales!$D$32)*($C54&lt;=sales!$F$32)*sales!$I$18/(sales!$E$32+1)</f>
        <v>0</v>
      </c>
      <c r="G54" s="181">
        <f>($C54&gt;=sales!$D$32)*($C54&lt;=sales!$F$32)*sales!$K$32/(sales!$E$32+1)</f>
        <v>0</v>
      </c>
      <c r="H54" s="187">
        <f>($C54&gt;=sales!$D$33)*($C54&lt;=sales!$F$33)*sales!$K$33/(sales!$E$33+1)</f>
        <v>0</v>
      </c>
      <c r="I54" s="181">
        <f>($C54&gt;=sales!$D$34)*($C54&lt;=sales!$F$34)*sales!$K$34/(sales!$E$34+1)</f>
        <v>0</v>
      </c>
      <c r="J54" s="181">
        <f>($C54&gt;=sales!$D$35)*($C54&lt;=sales!$F$35)*sales!$K$35/(sales!$E$35+1)</f>
        <v>0</v>
      </c>
      <c r="K54" s="189">
        <f>($C54&gt;=sales!$D$36)*($C54&lt;=sales!$F$36)*sales!$K$36*IFERROR(VLOOKUP(C54,sales!$C$50:$D$54,2,FALSE),0)</f>
        <v>0</v>
      </c>
      <c r="L54" s="1398"/>
      <c r="M54" s="1403">
        <f>+G54/$G$4*$M$4*sales!$J$32</f>
        <v>0</v>
      </c>
      <c r="N54" s="1398"/>
      <c r="O54" s="1464">
        <f>IF(ROUND(SUM(O$5:O53),2)&gt;=ROUND(O$129,2),0,INDEX('draws%'!$D$8:$AH$128,$C54+1,MATCH(O$4,'draws%'!$D$7:$AH$7,FALSE))*O$129)</f>
        <v>0</v>
      </c>
      <c r="P54" s="181">
        <f>IF(ROUND(SUM(P$5:P53),2)&gt;=ROUND(P$129,2),0,INDEX('draws%'!$D$8:$AH$128,$C54+1,MATCH(P$4,'draws%'!$D$7:$AH$7,FALSE))*P$129)</f>
        <v>0</v>
      </c>
      <c r="Q54" s="181">
        <f>IF(ROUND(SUM(Q$5:Q53),2)&gt;=ROUND(Q$129,2),0,INDEX('draws%'!$D$8:$AH$128,$C54+1,MATCH(Q$4,'draws%'!$D$7:$AH$7,FALSE))*Q$129)</f>
        <v>0</v>
      </c>
      <c r="R54" s="181">
        <f>IF(ROUND(SUM(R$5:R53),2)&gt;=ROUND(R$129,2),0,INDEX('draws%'!$D$8:$AH$128,$C54+1,MATCH(R$4,'draws%'!$D$7:$AH$7,FALSE))*R$129)</f>
        <v>0</v>
      </c>
      <c r="S54" s="181">
        <f>IF(ROUND(SUM(S$5:S53),2)&gt;=ROUND(S$129,2),0,INDEX('draws%'!$D$8:$AH$128,$C54+1,MATCH(S$4,'draws%'!$D$7:$AH$7,FALSE))*S$129)</f>
        <v>0</v>
      </c>
      <c r="T54" s="181">
        <f>IF(ROUND(SUM(T$5:T53),2)&gt;=ROUND(T$129,2),0,INDEX('draws%'!$D$8:$AH$128,$C54+1,MATCH(T$4,'draws%'!$D$7:$AH$7,FALSE))*T$129)</f>
        <v>0</v>
      </c>
      <c r="U54" s="181">
        <f>IF(ROUND(SUM(U$5:U53),2)&gt;=ROUND(U$129,2),0,INDEX('draws%'!$D$8:$AH$128,$C54+1,MATCH(U$4,'draws%'!$D$7:$AH$7,FALSE))*U$129)</f>
        <v>0</v>
      </c>
      <c r="V54" s="181">
        <f>IF(ROUND(SUM(V$5:V53),2)&gt;=ROUND(V$129,2),0,INDEX('draws%'!$D$8:$AH$128,$C54+1,MATCH(V$4,'draws%'!$D$7:$AH$7,FALSE))*V$129)</f>
        <v>0</v>
      </c>
      <c r="W54" s="181">
        <f>IF(ROUND(SUM(W$5:W53),2)&gt;=ROUND(W$129,2),0,INDEX('draws%'!$D$8:$AH$128,$C54+1,MATCH(W$4,'draws%'!$D$7:$AH$7,FALSE))*W$129)</f>
        <v>0</v>
      </c>
      <c r="X54" s="181">
        <f>IF(ROUND(SUM(X$5:X53),2)&gt;=ROUND(X$129,2),0,INDEX('draws%'!$D$8:$AH$128,$C54+1,MATCH(X$4,'draws%'!$D$7:$AH$7,FALSE))*X$129)</f>
        <v>0</v>
      </c>
      <c r="Y54" s="181">
        <f>IF(ROUND(SUM(Y$5:Y53),2)&gt;=ROUND(Y$129,2),0,INDEX('draws%'!$D$8:$AH$128,$C54+1,MATCH(Y$4,'draws%'!$D$7:$AH$7,FALSE))*Y$129)</f>
        <v>0</v>
      </c>
      <c r="Z54" s="181">
        <f>IF(ROUND(SUM(Z$5:Z53),2)&gt;=ROUND(Z$129,2),0,INDEX('draws%'!$D$8:$AH$128,$C54+1,MATCH(Z$4,'draws%'!$D$7:$AH$7,FALSE))*Z$129)</f>
        <v>0</v>
      </c>
      <c r="AA54" s="181">
        <f>IF(ROUND(SUM(AA$5:AA53),2)&gt;=ROUND(AA$129,2),0,INDEX('draws%'!$D$8:$AH$128,$C54+1,MATCH(AA$4,'draws%'!$D$7:$AH$7,FALSE))*AA$129)</f>
        <v>0</v>
      </c>
      <c r="AB54" s="181">
        <f>IF(ROUND(SUM(AB$5:AB53),2)&gt;=ROUND(AB$129,2),0,INDEX('draws%'!$D$8:$AH$128,$C54+1,MATCH(AB$4,'draws%'!$D$7:$AH$7,FALSE))*AB$129)</f>
        <v>0</v>
      </c>
      <c r="AC54" s="181">
        <f>($C54&gt;=sales!$D$32)*($C54&lt;=sales!$F$32)*sales!$J$41/(sales!$E$32+1)+($C54&gt;=sales!$D$33)*($C54&lt;=sales!$F$33)*sales!$J$42/(sales!$E$33+1)+($C54&gt;=sales!$D$34)*($C54&lt;=sales!$F$34)*sales!$J$43/(sales!$E$34+1)+($C54&gt;=sales!$D$35)*($C54&lt;=sales!$F$35)*sales!$J$44/(sales!$E$35+1)+($C54&gt;=sales!$D$36)*($C54&lt;=sales!$F$36)*sales!$J$45/(sales!$E$36+1)</f>
        <v>0</v>
      </c>
      <c r="AD54" s="181">
        <f>IF(ROUND(SUM(AD$5:AD53),2)&gt;=ROUND(AD$129,2),0,INDEX('draws%'!$D$8:$AH$128,$C54+1,MATCH(AD$4,'draws%'!$D$7:$AH$7,FALSE))*AD$129)</f>
        <v>0</v>
      </c>
      <c r="AE54" s="181">
        <f>IF(ROUND(SUM(AE$5:AE53),2)&gt;=ROUND(AE$129,2),0,INDEX('draws%'!$D$8:$AH$128,$C54+1,MATCH(AE$4,'draws%'!$D$7:$AH$7,FALSE))*AE$129)</f>
        <v>0</v>
      </c>
      <c r="AF54" s="188">
        <f>($C54&gt;=sales!$D$32)*($C54&lt;=sales!$F$32)*sales!$D$41/(sales!$E$32+1)+($C54&gt;=sales!$D$33)*($C54&lt;=sales!$F$33)*sales!$D$42/(sales!$E$33+1)+($C54&gt;=sales!$D$34)*($C54&lt;=sales!$F$34)*sales!$D$43/(sales!$E$34+1)+($C54&gt;=sales!$D$35)*($C54&lt;=sales!$F$35)*sales!$D$44/(sales!$E$35+1)+($C54&gt;=sales!$D$36)*($C54&lt;=sales!$F$36)*sales!$D$45/(sales!$E$36+1)</f>
        <v>0</v>
      </c>
      <c r="AG54" s="188">
        <f>($C54&gt;=sales!$D$32)*($C54&lt;=sales!$F$32)*sales!$F$41/(sales!$E$32+1)+($C54&gt;=sales!$D$33)*($C54&lt;=sales!$F$33)*sales!$F$42/(sales!$E$33+1)+($C54&gt;=sales!$D$34)*($C54&lt;=sales!$F$34)*sales!$F$43/(sales!$E$34+1)+($C54&gt;=sales!$D$35)*($C54&lt;=sales!$F$35)*sales!$F$44/(sales!$E$35+1)+($C54&gt;=sales!$D$36)*($C54&lt;=sales!$F$36)*sales!$F$45/(sales!$E$36+1)</f>
        <v>0</v>
      </c>
      <c r="AH54" s="181">
        <f>IF(ROUND(SUM(AH$5:AH53),2)&gt;=ROUND(AH$129,2),0,INDEX('draws%'!$D$8:$AH$128,$C54+1,MATCH(AH$4,'draws%'!$D$7:$AH$7,FALSE))*AH$129)</f>
        <v>0</v>
      </c>
      <c r="AI54" s="181">
        <f>IF(ROUND(SUM(AI$5:AI53),2)&gt;=ROUND(AI$129,2),0,INDEX('draws%'!$D$8:$AH$128,$C54+1,MATCH(AI$4,'draws%'!$D$7:$AH$7,FALSE))*AI$129)</f>
        <v>0</v>
      </c>
      <c r="AJ54" s="181">
        <f>IF(ROUND(SUM(AJ$5:AJ53),2)&gt;=ROUND(AJ$129,2),0,INDEX('draws%'!$D$8:$AH$128,$C54+1,MATCH(AJ$4,'draws%'!$D$7:$AH$7,FALSE))*AJ$129)</f>
        <v>0</v>
      </c>
      <c r="AK54" s="181">
        <f>IF(ROUND(SUM(AK$5:AK53),2)&gt;=ROUND(AK$129,2),0,INDEX('draws%'!$D$8:$AH$128,$C54+1,MATCH(AK$4,'draws%'!$D$7:$AH$7,FALSE))*AK$129)</f>
        <v>0</v>
      </c>
      <c r="AL54" s="189">
        <f t="shared" si="2"/>
        <v>0</v>
      </c>
      <c r="AO54" s="173"/>
    </row>
    <row r="55" spans="1:41" ht="16">
      <c r="A55" s="1416" t="str">
        <f>IF(MAX(C$5:C54)&gt;=general!$C$27,"post dev",IF(C55&lt;general!$C$23, "Pred", "Dev"))</f>
        <v>post dev</v>
      </c>
      <c r="B55" s="1398"/>
      <c r="C55" s="1388">
        <f>IF('Development Cash Flow'!D54&lt;general!$D$28,'Development Cash Flow'!C54+1,0)</f>
        <v>0</v>
      </c>
      <c r="D55" s="185">
        <f t="shared" si="0"/>
        <v>47756</v>
      </c>
      <c r="E55" s="186">
        <f>($C55&gt;=sales!$D$32)*($C55&lt;=sales!$F$32)*ResUnits/(sales!$E$32+1)</f>
        <v>0</v>
      </c>
      <c r="F55" s="181">
        <f>($C55&gt;=sales!$D$32)*($C55&lt;=sales!$F$32)*sales!$I$18/(sales!$E$32+1)</f>
        <v>0</v>
      </c>
      <c r="G55" s="181">
        <f>($C55&gt;=sales!$D$32)*($C55&lt;=sales!$F$32)*sales!$K$32/(sales!$E$32+1)</f>
        <v>0</v>
      </c>
      <c r="H55" s="187">
        <f>($C55&gt;=sales!$D$33)*($C55&lt;=sales!$F$33)*sales!$K$33/(sales!$E$33+1)</f>
        <v>0</v>
      </c>
      <c r="I55" s="181">
        <f>($C55&gt;=sales!$D$34)*($C55&lt;=sales!$F$34)*sales!$K$34/(sales!$E$34+1)</f>
        <v>0</v>
      </c>
      <c r="J55" s="181">
        <f>($C55&gt;=sales!$D$35)*($C55&lt;=sales!$F$35)*sales!$K$35/(sales!$E$35+1)</f>
        <v>0</v>
      </c>
      <c r="K55" s="189">
        <f>($C55&gt;=sales!$D$36)*($C55&lt;=sales!$F$36)*sales!$K$36*IFERROR(VLOOKUP(C55,sales!$C$50:$D$54,2,FALSE),0)</f>
        <v>0</v>
      </c>
      <c r="L55" s="1398"/>
      <c r="M55" s="1403">
        <f>+G55/$G$4*$M$4*sales!$J$32</f>
        <v>0</v>
      </c>
      <c r="N55" s="1398"/>
      <c r="O55" s="1464">
        <f>IF(ROUND(SUM(O$5:O54),2)&gt;=ROUND(O$129,2),0,INDEX('draws%'!$D$8:$AH$128,$C55+1,MATCH(O$4,'draws%'!$D$7:$AH$7,FALSE))*O$129)</f>
        <v>0</v>
      </c>
      <c r="P55" s="181">
        <f>IF(ROUND(SUM(P$5:P54),2)&gt;=ROUND(P$129,2),0,INDEX('draws%'!$D$8:$AH$128,$C55+1,MATCH(P$4,'draws%'!$D$7:$AH$7,FALSE))*P$129)</f>
        <v>0</v>
      </c>
      <c r="Q55" s="181">
        <f>IF(ROUND(SUM(Q$5:Q54),2)&gt;=ROUND(Q$129,2),0,INDEX('draws%'!$D$8:$AH$128,$C55+1,MATCH(Q$4,'draws%'!$D$7:$AH$7,FALSE))*Q$129)</f>
        <v>0</v>
      </c>
      <c r="R55" s="181">
        <f>IF(ROUND(SUM(R$5:R54),2)&gt;=ROUND(R$129,2),0,INDEX('draws%'!$D$8:$AH$128,$C55+1,MATCH(R$4,'draws%'!$D$7:$AH$7,FALSE))*R$129)</f>
        <v>0</v>
      </c>
      <c r="S55" s="181">
        <f>IF(ROUND(SUM(S$5:S54),2)&gt;=ROUND(S$129,2),0,INDEX('draws%'!$D$8:$AH$128,$C55+1,MATCH(S$4,'draws%'!$D$7:$AH$7,FALSE))*S$129)</f>
        <v>0</v>
      </c>
      <c r="T55" s="181">
        <f>IF(ROUND(SUM(T$5:T54),2)&gt;=ROUND(T$129,2),0,INDEX('draws%'!$D$8:$AH$128,$C55+1,MATCH(T$4,'draws%'!$D$7:$AH$7,FALSE))*T$129)</f>
        <v>0</v>
      </c>
      <c r="U55" s="181">
        <f>IF(ROUND(SUM(U$5:U54),2)&gt;=ROUND(U$129,2),0,INDEX('draws%'!$D$8:$AH$128,$C55+1,MATCH(U$4,'draws%'!$D$7:$AH$7,FALSE))*U$129)</f>
        <v>0</v>
      </c>
      <c r="V55" s="181">
        <f>IF(ROUND(SUM(V$5:V54),2)&gt;=ROUND(V$129,2),0,INDEX('draws%'!$D$8:$AH$128,$C55+1,MATCH(V$4,'draws%'!$D$7:$AH$7,FALSE))*V$129)</f>
        <v>0</v>
      </c>
      <c r="W55" s="181">
        <f>IF(ROUND(SUM(W$5:W54),2)&gt;=ROUND(W$129,2),0,INDEX('draws%'!$D$8:$AH$128,$C55+1,MATCH(W$4,'draws%'!$D$7:$AH$7,FALSE))*W$129)</f>
        <v>0</v>
      </c>
      <c r="X55" s="181">
        <f>IF(ROUND(SUM(X$5:X54),2)&gt;=ROUND(X$129,2),0,INDEX('draws%'!$D$8:$AH$128,$C55+1,MATCH(X$4,'draws%'!$D$7:$AH$7,FALSE))*X$129)</f>
        <v>0</v>
      </c>
      <c r="Y55" s="181">
        <f>IF(ROUND(SUM(Y$5:Y54),2)&gt;=ROUND(Y$129,2),0,INDEX('draws%'!$D$8:$AH$128,$C55+1,MATCH(Y$4,'draws%'!$D$7:$AH$7,FALSE))*Y$129)</f>
        <v>0</v>
      </c>
      <c r="Z55" s="181">
        <f>IF(ROUND(SUM(Z$5:Z54),2)&gt;=ROUND(Z$129,2),0,INDEX('draws%'!$D$8:$AH$128,$C55+1,MATCH(Z$4,'draws%'!$D$7:$AH$7,FALSE))*Z$129)</f>
        <v>0</v>
      </c>
      <c r="AA55" s="181">
        <f>IF(ROUND(SUM(AA$5:AA54),2)&gt;=ROUND(AA$129,2),0,INDEX('draws%'!$D$8:$AH$128,$C55+1,MATCH(AA$4,'draws%'!$D$7:$AH$7,FALSE))*AA$129)</f>
        <v>0</v>
      </c>
      <c r="AB55" s="181">
        <f>IF(ROUND(SUM(AB$5:AB54),2)&gt;=ROUND(AB$129,2),0,INDEX('draws%'!$D$8:$AH$128,$C55+1,MATCH(AB$4,'draws%'!$D$7:$AH$7,FALSE))*AB$129)</f>
        <v>0</v>
      </c>
      <c r="AC55" s="181">
        <f>($C55&gt;=sales!$D$32)*($C55&lt;=sales!$F$32)*sales!$J$41/(sales!$E$32+1)+($C55&gt;=sales!$D$33)*($C55&lt;=sales!$F$33)*sales!$J$42/(sales!$E$33+1)+($C55&gt;=sales!$D$34)*($C55&lt;=sales!$F$34)*sales!$J$43/(sales!$E$34+1)+($C55&gt;=sales!$D$35)*($C55&lt;=sales!$F$35)*sales!$J$44/(sales!$E$35+1)+($C55&gt;=sales!$D$36)*($C55&lt;=sales!$F$36)*sales!$J$45/(sales!$E$36+1)</f>
        <v>0</v>
      </c>
      <c r="AD55" s="181">
        <f>IF(ROUND(SUM(AD$5:AD54),2)&gt;=ROUND(AD$129,2),0,INDEX('draws%'!$D$8:$AH$128,$C55+1,MATCH(AD$4,'draws%'!$D$7:$AH$7,FALSE))*AD$129)</f>
        <v>0</v>
      </c>
      <c r="AE55" s="181">
        <f>IF(ROUND(SUM(AE$5:AE54),2)&gt;=ROUND(AE$129,2),0,INDEX('draws%'!$D$8:$AH$128,$C55+1,MATCH(AE$4,'draws%'!$D$7:$AH$7,FALSE))*AE$129)</f>
        <v>0</v>
      </c>
      <c r="AF55" s="188">
        <f>($C55&gt;=sales!$D$32)*($C55&lt;=sales!$F$32)*sales!$D$41/(sales!$E$32+1)+($C55&gt;=sales!$D$33)*($C55&lt;=sales!$F$33)*sales!$D$42/(sales!$E$33+1)+($C55&gt;=sales!$D$34)*($C55&lt;=sales!$F$34)*sales!$D$43/(sales!$E$34+1)+($C55&gt;=sales!$D$35)*($C55&lt;=sales!$F$35)*sales!$D$44/(sales!$E$35+1)+($C55&gt;=sales!$D$36)*($C55&lt;=sales!$F$36)*sales!$D$45/(sales!$E$36+1)</f>
        <v>0</v>
      </c>
      <c r="AG55" s="188">
        <f>($C55&gt;=sales!$D$32)*($C55&lt;=sales!$F$32)*sales!$F$41/(sales!$E$32+1)+($C55&gt;=sales!$D$33)*($C55&lt;=sales!$F$33)*sales!$F$42/(sales!$E$33+1)+($C55&gt;=sales!$D$34)*($C55&lt;=sales!$F$34)*sales!$F$43/(sales!$E$34+1)+($C55&gt;=sales!$D$35)*($C55&lt;=sales!$F$35)*sales!$F$44/(sales!$E$35+1)+($C55&gt;=sales!$D$36)*($C55&lt;=sales!$F$36)*sales!$F$45/(sales!$E$36+1)</f>
        <v>0</v>
      </c>
      <c r="AH55" s="181">
        <f>IF(ROUND(SUM(AH$5:AH54),2)&gt;=ROUND(AH$129,2),0,INDEX('draws%'!$D$8:$AH$128,$C55+1,MATCH(AH$4,'draws%'!$D$7:$AH$7,FALSE))*AH$129)</f>
        <v>0</v>
      </c>
      <c r="AI55" s="181">
        <f>IF(ROUND(SUM(AI$5:AI54),2)&gt;=ROUND(AI$129,2),0,INDEX('draws%'!$D$8:$AH$128,$C55+1,MATCH(AI$4,'draws%'!$D$7:$AH$7,FALSE))*AI$129)</f>
        <v>0</v>
      </c>
      <c r="AJ55" s="181">
        <f>IF(ROUND(SUM(AJ$5:AJ54),2)&gt;=ROUND(AJ$129,2),0,INDEX('draws%'!$D$8:$AH$128,$C55+1,MATCH(AJ$4,'draws%'!$D$7:$AH$7,FALSE))*AJ$129)</f>
        <v>0</v>
      </c>
      <c r="AK55" s="181">
        <f>IF(ROUND(SUM(AK$5:AK54),2)&gt;=ROUND(AK$129,2),0,INDEX('draws%'!$D$8:$AH$128,$C55+1,MATCH(AK$4,'draws%'!$D$7:$AH$7,FALSE))*AK$129)</f>
        <v>0</v>
      </c>
      <c r="AL55" s="189">
        <f t="shared" si="2"/>
        <v>0</v>
      </c>
      <c r="AO55" s="173"/>
    </row>
    <row r="56" spans="1:41" s="192" customFormat="1" ht="16">
      <c r="A56" s="1416" t="str">
        <f>IF(MAX(C$5:C55)&gt;=general!$C$27,"post dev",IF(C56&lt;general!$C$23, "Pred", "Dev"))</f>
        <v>post dev</v>
      </c>
      <c r="B56" s="1398"/>
      <c r="C56" s="1388">
        <f>IF('Development Cash Flow'!D55&lt;general!$D$28,'Development Cash Flow'!C55+1,0)</f>
        <v>0</v>
      </c>
      <c r="D56" s="185">
        <f t="shared" si="0"/>
        <v>47787</v>
      </c>
      <c r="E56" s="186">
        <f>($C56&gt;=sales!$D$32)*($C56&lt;=sales!$F$32)*ResUnits/(sales!$E$32+1)</f>
        <v>0</v>
      </c>
      <c r="F56" s="181">
        <f>($C56&gt;=sales!$D$32)*($C56&lt;=sales!$F$32)*sales!$I$18/(sales!$E$32+1)</f>
        <v>0</v>
      </c>
      <c r="G56" s="181">
        <f>($C56&gt;=sales!$D$32)*($C56&lt;=sales!$F$32)*sales!$K$32/(sales!$E$32+1)</f>
        <v>0</v>
      </c>
      <c r="H56" s="187">
        <f>($C56&gt;=sales!$D$33)*($C56&lt;=sales!$F$33)*sales!$K$33/(sales!$E$33+1)</f>
        <v>0</v>
      </c>
      <c r="I56" s="181">
        <f>($C56&gt;=sales!$D$34)*($C56&lt;=sales!$F$34)*sales!$K$34/(sales!$E$34+1)</f>
        <v>0</v>
      </c>
      <c r="J56" s="181">
        <f>($C56&gt;=sales!$D$35)*($C56&lt;=sales!$F$35)*sales!$K$35/(sales!$E$35+1)</f>
        <v>0</v>
      </c>
      <c r="K56" s="189">
        <f>($C56&gt;=sales!$D$36)*($C56&lt;=sales!$F$36)*sales!$K$36*IFERROR(VLOOKUP(C56,sales!$C$50:$D$54,2,FALSE),0)</f>
        <v>0</v>
      </c>
      <c r="L56" s="1398"/>
      <c r="M56" s="1403">
        <f>+G56/$G$4*$M$4*sales!$J$32</f>
        <v>0</v>
      </c>
      <c r="N56" s="1398"/>
      <c r="O56" s="1464">
        <f>IF(ROUND(SUM(O$5:O55),2)&gt;=ROUND(O$129,2),0,INDEX('draws%'!$D$8:$AH$128,$C56+1,MATCH(O$4,'draws%'!$D$7:$AH$7,FALSE))*O$129)</f>
        <v>0</v>
      </c>
      <c r="P56" s="181">
        <f>IF(ROUND(SUM(P$5:P55),2)&gt;=ROUND(P$129,2),0,INDEX('draws%'!$D$8:$AH$128,$C56+1,MATCH(P$4,'draws%'!$D$7:$AH$7,FALSE))*P$129)</f>
        <v>0</v>
      </c>
      <c r="Q56" s="181">
        <f>IF(ROUND(SUM(Q$5:Q55),2)&gt;=ROUND(Q$129,2),0,INDEX('draws%'!$D$8:$AH$128,$C56+1,MATCH(Q$4,'draws%'!$D$7:$AH$7,FALSE))*Q$129)</f>
        <v>0</v>
      </c>
      <c r="R56" s="181">
        <f>IF(ROUND(SUM(R$5:R55),2)&gt;=ROUND(R$129,2),0,INDEX('draws%'!$D$8:$AH$128,$C56+1,MATCH(R$4,'draws%'!$D$7:$AH$7,FALSE))*R$129)</f>
        <v>0</v>
      </c>
      <c r="S56" s="181">
        <f>IF(ROUND(SUM(S$5:S55),2)&gt;=ROUND(S$129,2),0,INDEX('draws%'!$D$8:$AH$128,$C56+1,MATCH(S$4,'draws%'!$D$7:$AH$7,FALSE))*S$129)</f>
        <v>0</v>
      </c>
      <c r="T56" s="181">
        <f>IF(ROUND(SUM(T$5:T55),2)&gt;=ROUND(T$129,2),0,INDEX('draws%'!$D$8:$AH$128,$C56+1,MATCH(T$4,'draws%'!$D$7:$AH$7,FALSE))*T$129)</f>
        <v>0</v>
      </c>
      <c r="U56" s="181">
        <f>IF(ROUND(SUM(U$5:U55),2)&gt;=ROUND(U$129,2),0,INDEX('draws%'!$D$8:$AH$128,$C56+1,MATCH(U$4,'draws%'!$D$7:$AH$7,FALSE))*U$129)</f>
        <v>0</v>
      </c>
      <c r="V56" s="181">
        <f>IF(ROUND(SUM(V$5:V55),2)&gt;=ROUND(V$129,2),0,INDEX('draws%'!$D$8:$AH$128,$C56+1,MATCH(V$4,'draws%'!$D$7:$AH$7,FALSE))*V$129)</f>
        <v>0</v>
      </c>
      <c r="W56" s="181">
        <f>IF(ROUND(SUM(W$5:W55),2)&gt;=ROUND(W$129,2),0,INDEX('draws%'!$D$8:$AH$128,$C56+1,MATCH(W$4,'draws%'!$D$7:$AH$7,FALSE))*W$129)</f>
        <v>0</v>
      </c>
      <c r="X56" s="181">
        <f>IF(ROUND(SUM(X$5:X55),2)&gt;=ROUND(X$129,2),0,INDEX('draws%'!$D$8:$AH$128,$C56+1,MATCH(X$4,'draws%'!$D$7:$AH$7,FALSE))*X$129)</f>
        <v>0</v>
      </c>
      <c r="Y56" s="181">
        <f>IF(ROUND(SUM(Y$5:Y55),2)&gt;=ROUND(Y$129,2),0,INDEX('draws%'!$D$8:$AH$128,$C56+1,MATCH(Y$4,'draws%'!$D$7:$AH$7,FALSE))*Y$129)</f>
        <v>0</v>
      </c>
      <c r="Z56" s="181">
        <f>IF(ROUND(SUM(Z$5:Z55),2)&gt;=ROUND(Z$129,2),0,INDEX('draws%'!$D$8:$AH$128,$C56+1,MATCH(Z$4,'draws%'!$D$7:$AH$7,FALSE))*Z$129)</f>
        <v>0</v>
      </c>
      <c r="AA56" s="181">
        <f>IF(ROUND(SUM(AA$5:AA55),2)&gt;=ROUND(AA$129,2),0,INDEX('draws%'!$D$8:$AH$128,$C56+1,MATCH(AA$4,'draws%'!$D$7:$AH$7,FALSE))*AA$129)</f>
        <v>0</v>
      </c>
      <c r="AB56" s="181">
        <f>IF(ROUND(SUM(AB$5:AB55),2)&gt;=ROUND(AB$129,2),0,INDEX('draws%'!$D$8:$AH$128,$C56+1,MATCH(AB$4,'draws%'!$D$7:$AH$7,FALSE))*AB$129)</f>
        <v>0</v>
      </c>
      <c r="AC56" s="181">
        <f>($C56&gt;=sales!$D$32)*($C56&lt;=sales!$F$32)*sales!$J$41/(sales!$E$32+1)+($C56&gt;=sales!$D$33)*($C56&lt;=sales!$F$33)*sales!$J$42/(sales!$E$33+1)+($C56&gt;=sales!$D$34)*($C56&lt;=sales!$F$34)*sales!$J$43/(sales!$E$34+1)+($C56&gt;=sales!$D$35)*($C56&lt;=sales!$F$35)*sales!$J$44/(sales!$E$35+1)+($C56&gt;=sales!$D$36)*($C56&lt;=sales!$F$36)*sales!$J$45/(sales!$E$36+1)</f>
        <v>0</v>
      </c>
      <c r="AD56" s="181">
        <f>IF(ROUND(SUM(AD$5:AD55),2)&gt;=ROUND(AD$129,2),0,INDEX('draws%'!$D$8:$AH$128,$C56+1,MATCH(AD$4,'draws%'!$D$7:$AH$7,FALSE))*AD$129)</f>
        <v>0</v>
      </c>
      <c r="AE56" s="181">
        <f>IF(ROUND(SUM(AE$5:AE55),2)&gt;=ROUND(AE$129,2),0,INDEX('draws%'!$D$8:$AH$128,$C56+1,MATCH(AE$4,'draws%'!$D$7:$AH$7,FALSE))*AE$129)</f>
        <v>0</v>
      </c>
      <c r="AF56" s="188">
        <f>($C56&gt;=sales!$D$32)*($C56&lt;=sales!$F$32)*sales!$D$41/(sales!$E$32+1)+($C56&gt;=sales!$D$33)*($C56&lt;=sales!$F$33)*sales!$D$42/(sales!$E$33+1)+($C56&gt;=sales!$D$34)*($C56&lt;=sales!$F$34)*sales!$D$43/(sales!$E$34+1)+($C56&gt;=sales!$D$35)*($C56&lt;=sales!$F$35)*sales!$D$44/(sales!$E$35+1)+($C56&gt;=sales!$D$36)*($C56&lt;=sales!$F$36)*sales!$D$45/(sales!$E$36+1)</f>
        <v>0</v>
      </c>
      <c r="AG56" s="188">
        <f>($C56&gt;=sales!$D$32)*($C56&lt;=sales!$F$32)*sales!$F$41/(sales!$E$32+1)+($C56&gt;=sales!$D$33)*($C56&lt;=sales!$F$33)*sales!$F$42/(sales!$E$33+1)+($C56&gt;=sales!$D$34)*($C56&lt;=sales!$F$34)*sales!$F$43/(sales!$E$34+1)+($C56&gt;=sales!$D$35)*($C56&lt;=sales!$F$35)*sales!$F$44/(sales!$E$35+1)+($C56&gt;=sales!$D$36)*($C56&lt;=sales!$F$36)*sales!$F$45/(sales!$E$36+1)</f>
        <v>0</v>
      </c>
      <c r="AH56" s="181">
        <f>IF(ROUND(SUM(AH$5:AH55),2)&gt;=ROUND(AH$129,2),0,INDEX('draws%'!$D$8:$AH$128,$C56+1,MATCH(AH$4,'draws%'!$D$7:$AH$7,FALSE))*AH$129)</f>
        <v>0</v>
      </c>
      <c r="AI56" s="181">
        <f>IF(ROUND(SUM(AI$5:AI55),2)&gt;=ROUND(AI$129,2),0,INDEX('draws%'!$D$8:$AH$128,$C56+1,MATCH(AI$4,'draws%'!$D$7:$AH$7,FALSE))*AI$129)</f>
        <v>0</v>
      </c>
      <c r="AJ56" s="181">
        <f>IF(ROUND(SUM(AJ$5:AJ55),2)&gt;=ROUND(AJ$129,2),0,INDEX('draws%'!$D$8:$AH$128,$C56+1,MATCH(AJ$4,'draws%'!$D$7:$AH$7,FALSE))*AJ$129)</f>
        <v>0</v>
      </c>
      <c r="AK56" s="181">
        <f>IF(ROUND(SUM(AK$5:AK55),2)&gt;=ROUND(AK$129,2),0,INDEX('draws%'!$D$8:$AH$128,$C56+1,MATCH(AK$4,'draws%'!$D$7:$AH$7,FALSE))*AK$129)</f>
        <v>0</v>
      </c>
      <c r="AL56" s="189">
        <f t="shared" si="2"/>
        <v>0</v>
      </c>
      <c r="AM56" s="194"/>
      <c r="AO56" s="171"/>
    </row>
    <row r="57" spans="1:41" s="192" customFormat="1" ht="16">
      <c r="A57" s="1416" t="str">
        <f>IF(MAX(C$5:C56)&gt;=general!$C$27,"post dev",IF(C57&lt;general!$C$23, "Pred", "Dev"))</f>
        <v>post dev</v>
      </c>
      <c r="B57" s="1398"/>
      <c r="C57" s="1388">
        <f>IF('Development Cash Flow'!D56&lt;general!$D$28,'Development Cash Flow'!C56+1,0)</f>
        <v>0</v>
      </c>
      <c r="D57" s="185">
        <f t="shared" si="0"/>
        <v>47817</v>
      </c>
      <c r="E57" s="186">
        <f>($C57&gt;=sales!$D$32)*($C57&lt;=sales!$F$32)*ResUnits/(sales!$E$32+1)</f>
        <v>0</v>
      </c>
      <c r="F57" s="181">
        <f>($C57&gt;=sales!$D$32)*($C57&lt;=sales!$F$32)*sales!$I$18/(sales!$E$32+1)</f>
        <v>0</v>
      </c>
      <c r="G57" s="181">
        <f>($C57&gt;=sales!$D$32)*($C57&lt;=sales!$F$32)*sales!$K$32/(sales!$E$32+1)</f>
        <v>0</v>
      </c>
      <c r="H57" s="187">
        <f>($C57&gt;=sales!$D$33)*($C57&lt;=sales!$F$33)*sales!$K$33/(sales!$E$33+1)</f>
        <v>0</v>
      </c>
      <c r="I57" s="181">
        <f>($C57&gt;=sales!$D$34)*($C57&lt;=sales!$F$34)*sales!$K$34/(sales!$E$34+1)</f>
        <v>0</v>
      </c>
      <c r="J57" s="181">
        <f>($C57&gt;=sales!$D$35)*($C57&lt;=sales!$F$35)*sales!$K$35/(sales!$E$35+1)</f>
        <v>0</v>
      </c>
      <c r="K57" s="189">
        <f>($C57&gt;=sales!$D$36)*($C57&lt;=sales!$F$36)*sales!$K$36*IFERROR(VLOOKUP(C57,sales!$C$50:$D$54,2,FALSE),0)</f>
        <v>0</v>
      </c>
      <c r="L57" s="1398"/>
      <c r="M57" s="1403">
        <f>+G57/$G$4*$M$4*sales!$J$32</f>
        <v>0</v>
      </c>
      <c r="N57" s="1398"/>
      <c r="O57" s="1464">
        <f>IF(ROUND(SUM(O$5:O56),2)&gt;=ROUND(O$129,2),0,INDEX('draws%'!$D$8:$AH$128,$C57+1,MATCH(O$4,'draws%'!$D$7:$AH$7,FALSE))*O$129)</f>
        <v>0</v>
      </c>
      <c r="P57" s="181">
        <f>IF(ROUND(SUM(P$5:P56),2)&gt;=ROUND(P$129,2),0,INDEX('draws%'!$D$8:$AH$128,$C57+1,MATCH(P$4,'draws%'!$D$7:$AH$7,FALSE))*P$129)</f>
        <v>0</v>
      </c>
      <c r="Q57" s="181">
        <f>IF(ROUND(SUM(Q$5:Q56),2)&gt;=ROUND(Q$129,2),0,INDEX('draws%'!$D$8:$AH$128,$C57+1,MATCH(Q$4,'draws%'!$D$7:$AH$7,FALSE))*Q$129)</f>
        <v>0</v>
      </c>
      <c r="R57" s="181">
        <f>IF(ROUND(SUM(R$5:R56),2)&gt;=ROUND(R$129,2),0,INDEX('draws%'!$D$8:$AH$128,$C57+1,MATCH(R$4,'draws%'!$D$7:$AH$7,FALSE))*R$129)</f>
        <v>0</v>
      </c>
      <c r="S57" s="181">
        <f>IF(ROUND(SUM(S$5:S56),2)&gt;=ROUND(S$129,2),0,INDEX('draws%'!$D$8:$AH$128,$C57+1,MATCH(S$4,'draws%'!$D$7:$AH$7,FALSE))*S$129)</f>
        <v>0</v>
      </c>
      <c r="T57" s="181">
        <f>IF(ROUND(SUM(T$5:T56),2)&gt;=ROUND(T$129,2),0,INDEX('draws%'!$D$8:$AH$128,$C57+1,MATCH(T$4,'draws%'!$D$7:$AH$7,FALSE))*T$129)</f>
        <v>0</v>
      </c>
      <c r="U57" s="181">
        <f>IF(ROUND(SUM(U$5:U56),2)&gt;=ROUND(U$129,2),0,INDEX('draws%'!$D$8:$AH$128,$C57+1,MATCH(U$4,'draws%'!$D$7:$AH$7,FALSE))*U$129)</f>
        <v>0</v>
      </c>
      <c r="V57" s="181">
        <f>IF(ROUND(SUM(V$5:V56),2)&gt;=ROUND(V$129,2),0,INDEX('draws%'!$D$8:$AH$128,$C57+1,MATCH(V$4,'draws%'!$D$7:$AH$7,FALSE))*V$129)</f>
        <v>0</v>
      </c>
      <c r="W57" s="181">
        <f>IF(ROUND(SUM(W$5:W56),2)&gt;=ROUND(W$129,2),0,INDEX('draws%'!$D$8:$AH$128,$C57+1,MATCH(W$4,'draws%'!$D$7:$AH$7,FALSE))*W$129)</f>
        <v>0</v>
      </c>
      <c r="X57" s="181">
        <f>IF(ROUND(SUM(X$5:X56),2)&gt;=ROUND(X$129,2),0,INDEX('draws%'!$D$8:$AH$128,$C57+1,MATCH(X$4,'draws%'!$D$7:$AH$7,FALSE))*X$129)</f>
        <v>0</v>
      </c>
      <c r="Y57" s="181">
        <f>IF(ROUND(SUM(Y$5:Y56),2)&gt;=ROUND(Y$129,2),0,INDEX('draws%'!$D$8:$AH$128,$C57+1,MATCH(Y$4,'draws%'!$D$7:$AH$7,FALSE))*Y$129)</f>
        <v>0</v>
      </c>
      <c r="Z57" s="181">
        <f>IF(ROUND(SUM(Z$5:Z56),2)&gt;=ROUND(Z$129,2),0,INDEX('draws%'!$D$8:$AH$128,$C57+1,MATCH(Z$4,'draws%'!$D$7:$AH$7,FALSE))*Z$129)</f>
        <v>0</v>
      </c>
      <c r="AA57" s="181">
        <f>IF(ROUND(SUM(AA$5:AA56),2)&gt;=ROUND(AA$129,2),0,INDEX('draws%'!$D$8:$AH$128,$C57+1,MATCH(AA$4,'draws%'!$D$7:$AH$7,FALSE))*AA$129)</f>
        <v>0</v>
      </c>
      <c r="AB57" s="181">
        <f>IF(ROUND(SUM(AB$5:AB56),2)&gt;=ROUND(AB$129,2),0,INDEX('draws%'!$D$8:$AH$128,$C57+1,MATCH(AB$4,'draws%'!$D$7:$AH$7,FALSE))*AB$129)</f>
        <v>0</v>
      </c>
      <c r="AC57" s="181">
        <f>($C57&gt;=sales!$D$32)*($C57&lt;=sales!$F$32)*sales!$J$41/(sales!$E$32+1)+($C57&gt;=sales!$D$33)*($C57&lt;=sales!$F$33)*sales!$J$42/(sales!$E$33+1)+($C57&gt;=sales!$D$34)*($C57&lt;=sales!$F$34)*sales!$J$43/(sales!$E$34+1)+($C57&gt;=sales!$D$35)*($C57&lt;=sales!$F$35)*sales!$J$44/(sales!$E$35+1)+($C57&gt;=sales!$D$36)*($C57&lt;=sales!$F$36)*sales!$J$45/(sales!$E$36+1)</f>
        <v>0</v>
      </c>
      <c r="AD57" s="181">
        <f>IF(ROUND(SUM(AD$5:AD56),2)&gt;=ROUND(AD$129,2),0,INDEX('draws%'!$D$8:$AH$128,$C57+1,MATCH(AD$4,'draws%'!$D$7:$AH$7,FALSE))*AD$129)</f>
        <v>0</v>
      </c>
      <c r="AE57" s="181">
        <f>IF(ROUND(SUM(AE$5:AE56),2)&gt;=ROUND(AE$129,2),0,INDEX('draws%'!$D$8:$AH$128,$C57+1,MATCH(AE$4,'draws%'!$D$7:$AH$7,FALSE))*AE$129)</f>
        <v>0</v>
      </c>
      <c r="AF57" s="188">
        <f>($C57&gt;=sales!$D$32)*($C57&lt;=sales!$F$32)*sales!$D$41/(sales!$E$32+1)+($C57&gt;=sales!$D$33)*($C57&lt;=sales!$F$33)*sales!$D$42/(sales!$E$33+1)+($C57&gt;=sales!$D$34)*($C57&lt;=sales!$F$34)*sales!$D$43/(sales!$E$34+1)+($C57&gt;=sales!$D$35)*($C57&lt;=sales!$F$35)*sales!$D$44/(sales!$E$35+1)+($C57&gt;=sales!$D$36)*($C57&lt;=sales!$F$36)*sales!$D$45/(sales!$E$36+1)</f>
        <v>0</v>
      </c>
      <c r="AG57" s="188">
        <f>($C57&gt;=sales!$D$32)*($C57&lt;=sales!$F$32)*sales!$F$41/(sales!$E$32+1)+($C57&gt;=sales!$D$33)*($C57&lt;=sales!$F$33)*sales!$F$42/(sales!$E$33+1)+($C57&gt;=sales!$D$34)*($C57&lt;=sales!$F$34)*sales!$F$43/(sales!$E$34+1)+($C57&gt;=sales!$D$35)*($C57&lt;=sales!$F$35)*sales!$F$44/(sales!$E$35+1)+($C57&gt;=sales!$D$36)*($C57&lt;=sales!$F$36)*sales!$F$45/(sales!$E$36+1)</f>
        <v>0</v>
      </c>
      <c r="AH57" s="181">
        <f>IF(ROUND(SUM(AH$5:AH56),2)&gt;=ROUND(AH$129,2),0,INDEX('draws%'!$D$8:$AH$128,$C57+1,MATCH(AH$4,'draws%'!$D$7:$AH$7,FALSE))*AH$129)</f>
        <v>0</v>
      </c>
      <c r="AI57" s="181">
        <f>IF(ROUND(SUM(AI$5:AI56),2)&gt;=ROUND(AI$129,2),0,INDEX('draws%'!$D$8:$AH$128,$C57+1,MATCH(AI$4,'draws%'!$D$7:$AH$7,FALSE))*AI$129)</f>
        <v>0</v>
      </c>
      <c r="AJ57" s="181">
        <f>IF(ROUND(SUM(AJ$5:AJ56),2)&gt;=ROUND(AJ$129,2),0,INDEX('draws%'!$D$8:$AH$128,$C57+1,MATCH(AJ$4,'draws%'!$D$7:$AH$7,FALSE))*AJ$129)</f>
        <v>0</v>
      </c>
      <c r="AK57" s="181">
        <f>IF(ROUND(SUM(AK$5:AK56),2)&gt;=ROUND(AK$129,2),0,INDEX('draws%'!$D$8:$AH$128,$C57+1,MATCH(AK$4,'draws%'!$D$7:$AH$7,FALSE))*AK$129)</f>
        <v>0</v>
      </c>
      <c r="AL57" s="189">
        <f t="shared" si="2"/>
        <v>0</v>
      </c>
      <c r="AM57" s="194"/>
      <c r="AO57" s="171"/>
    </row>
    <row r="58" spans="1:41" s="192" customFormat="1" ht="16">
      <c r="A58" s="1416" t="str">
        <f>IF(MAX(C$5:C57)&gt;=general!$C$27,"post dev",IF(C58&lt;general!$C$23, "Pred", "Dev"))</f>
        <v>post dev</v>
      </c>
      <c r="B58" s="1398"/>
      <c r="C58" s="1388">
        <f>IF('Development Cash Flow'!D57&lt;general!$D$28,'Development Cash Flow'!C57+1,0)</f>
        <v>0</v>
      </c>
      <c r="D58" s="185">
        <f t="shared" si="0"/>
        <v>47848</v>
      </c>
      <c r="E58" s="186">
        <f>($C58&gt;=sales!$D$32)*($C58&lt;=sales!$F$32)*ResUnits/(sales!$E$32+1)</f>
        <v>0</v>
      </c>
      <c r="F58" s="181">
        <f>($C58&gt;=sales!$D$32)*($C58&lt;=sales!$F$32)*sales!$I$18/(sales!$E$32+1)</f>
        <v>0</v>
      </c>
      <c r="G58" s="181">
        <f>($C58&gt;=sales!$D$32)*($C58&lt;=sales!$F$32)*sales!$K$32/(sales!$E$32+1)</f>
        <v>0</v>
      </c>
      <c r="H58" s="187">
        <f>($C58&gt;=sales!$D$33)*($C58&lt;=sales!$F$33)*sales!$K$33/(sales!$E$33+1)</f>
        <v>0</v>
      </c>
      <c r="I58" s="181">
        <f>($C58&gt;=sales!$D$34)*($C58&lt;=sales!$F$34)*sales!$K$34/(sales!$E$34+1)</f>
        <v>0</v>
      </c>
      <c r="J58" s="181">
        <f>($C58&gt;=sales!$D$35)*($C58&lt;=sales!$F$35)*sales!$K$35/(sales!$E$35+1)</f>
        <v>0</v>
      </c>
      <c r="K58" s="189">
        <f>($C58&gt;=sales!$D$36)*($C58&lt;=sales!$F$36)*sales!$K$36*IFERROR(VLOOKUP(C58,sales!$C$50:$D$54,2,FALSE),0)</f>
        <v>0</v>
      </c>
      <c r="L58" s="1398"/>
      <c r="M58" s="1403">
        <f>+G58/$G$4*$M$4*sales!$J$32</f>
        <v>0</v>
      </c>
      <c r="N58" s="1398"/>
      <c r="O58" s="1464">
        <f>IF(ROUND(SUM(O$5:O57),2)&gt;=ROUND(O$129,2),0,INDEX('draws%'!$D$8:$AH$128,$C58+1,MATCH(O$4,'draws%'!$D$7:$AH$7,FALSE))*O$129)</f>
        <v>0</v>
      </c>
      <c r="P58" s="181">
        <f>IF(ROUND(SUM(P$5:P57),2)&gt;=ROUND(P$129,2),0,INDEX('draws%'!$D$8:$AH$128,$C58+1,MATCH(P$4,'draws%'!$D$7:$AH$7,FALSE))*P$129)</f>
        <v>0</v>
      </c>
      <c r="Q58" s="181">
        <f>IF(ROUND(SUM(Q$5:Q57),2)&gt;=ROUND(Q$129,2),0,INDEX('draws%'!$D$8:$AH$128,$C58+1,MATCH(Q$4,'draws%'!$D$7:$AH$7,FALSE))*Q$129)</f>
        <v>0</v>
      </c>
      <c r="R58" s="181">
        <f>IF(ROUND(SUM(R$5:R57),2)&gt;=ROUND(R$129,2),0,INDEX('draws%'!$D$8:$AH$128,$C58+1,MATCH(R$4,'draws%'!$D$7:$AH$7,FALSE))*R$129)</f>
        <v>0</v>
      </c>
      <c r="S58" s="181">
        <f>IF(ROUND(SUM(S$5:S57),2)&gt;=ROUND(S$129,2),0,INDEX('draws%'!$D$8:$AH$128,$C58+1,MATCH(S$4,'draws%'!$D$7:$AH$7,FALSE))*S$129)</f>
        <v>0</v>
      </c>
      <c r="T58" s="181">
        <f>IF(ROUND(SUM(T$5:T57),2)&gt;=ROUND(T$129,2),0,INDEX('draws%'!$D$8:$AH$128,$C58+1,MATCH(T$4,'draws%'!$D$7:$AH$7,FALSE))*T$129)</f>
        <v>0</v>
      </c>
      <c r="U58" s="181">
        <f>IF(ROUND(SUM(U$5:U57),2)&gt;=ROUND(U$129,2),0,INDEX('draws%'!$D$8:$AH$128,$C58+1,MATCH(U$4,'draws%'!$D$7:$AH$7,FALSE))*U$129)</f>
        <v>0</v>
      </c>
      <c r="V58" s="181">
        <f>IF(ROUND(SUM(V$5:V57),2)&gt;=ROUND(V$129,2),0,INDEX('draws%'!$D$8:$AH$128,$C58+1,MATCH(V$4,'draws%'!$D$7:$AH$7,FALSE))*V$129)</f>
        <v>0</v>
      </c>
      <c r="W58" s="181">
        <f>IF(ROUND(SUM(W$5:W57),2)&gt;=ROUND(W$129,2),0,INDEX('draws%'!$D$8:$AH$128,$C58+1,MATCH(W$4,'draws%'!$D$7:$AH$7,FALSE))*W$129)</f>
        <v>0</v>
      </c>
      <c r="X58" s="181">
        <f>IF(ROUND(SUM(X$5:X57),2)&gt;=ROUND(X$129,2),0,INDEX('draws%'!$D$8:$AH$128,$C58+1,MATCH(X$4,'draws%'!$D$7:$AH$7,FALSE))*X$129)</f>
        <v>0</v>
      </c>
      <c r="Y58" s="181">
        <f>IF(ROUND(SUM(Y$5:Y57),2)&gt;=ROUND(Y$129,2),0,INDEX('draws%'!$D$8:$AH$128,$C58+1,MATCH(Y$4,'draws%'!$D$7:$AH$7,FALSE))*Y$129)</f>
        <v>0</v>
      </c>
      <c r="Z58" s="181">
        <f>IF(ROUND(SUM(Z$5:Z57),2)&gt;=ROUND(Z$129,2),0,INDEX('draws%'!$D$8:$AH$128,$C58+1,MATCH(Z$4,'draws%'!$D$7:$AH$7,FALSE))*Z$129)</f>
        <v>0</v>
      </c>
      <c r="AA58" s="181">
        <f>IF(ROUND(SUM(AA$5:AA57),2)&gt;=ROUND(AA$129,2),0,INDEX('draws%'!$D$8:$AH$128,$C58+1,MATCH(AA$4,'draws%'!$D$7:$AH$7,FALSE))*AA$129)</f>
        <v>0</v>
      </c>
      <c r="AB58" s="181">
        <f>IF(ROUND(SUM(AB$5:AB57),2)&gt;=ROUND(AB$129,2),0,INDEX('draws%'!$D$8:$AH$128,$C58+1,MATCH(AB$4,'draws%'!$D$7:$AH$7,FALSE))*AB$129)</f>
        <v>0</v>
      </c>
      <c r="AC58" s="181">
        <f>($C58&gt;=sales!$D$32)*($C58&lt;=sales!$F$32)*sales!$J$41/(sales!$E$32+1)+($C58&gt;=sales!$D$33)*($C58&lt;=sales!$F$33)*sales!$J$42/(sales!$E$33+1)+($C58&gt;=sales!$D$34)*($C58&lt;=sales!$F$34)*sales!$J$43/(sales!$E$34+1)+($C58&gt;=sales!$D$35)*($C58&lt;=sales!$F$35)*sales!$J$44/(sales!$E$35+1)+($C58&gt;=sales!$D$36)*($C58&lt;=sales!$F$36)*sales!$J$45/(sales!$E$36+1)</f>
        <v>0</v>
      </c>
      <c r="AD58" s="181">
        <f>IF(ROUND(SUM(AD$5:AD57),2)&gt;=ROUND(AD$129,2),0,INDEX('draws%'!$D$8:$AH$128,$C58+1,MATCH(AD$4,'draws%'!$D$7:$AH$7,FALSE))*AD$129)</f>
        <v>0</v>
      </c>
      <c r="AE58" s="181">
        <f>IF(ROUND(SUM(AE$5:AE57),2)&gt;=ROUND(AE$129,2),0,INDEX('draws%'!$D$8:$AH$128,$C58+1,MATCH(AE$4,'draws%'!$D$7:$AH$7,FALSE))*AE$129)</f>
        <v>0</v>
      </c>
      <c r="AF58" s="188">
        <f>($C58&gt;=sales!$D$32)*($C58&lt;=sales!$F$32)*sales!$D$41/(sales!$E$32+1)+($C58&gt;=sales!$D$33)*($C58&lt;=sales!$F$33)*sales!$D$42/(sales!$E$33+1)+($C58&gt;=sales!$D$34)*($C58&lt;=sales!$F$34)*sales!$D$43/(sales!$E$34+1)+($C58&gt;=sales!$D$35)*($C58&lt;=sales!$F$35)*sales!$D$44/(sales!$E$35+1)+($C58&gt;=sales!$D$36)*($C58&lt;=sales!$F$36)*sales!$D$45/(sales!$E$36+1)</f>
        <v>0</v>
      </c>
      <c r="AG58" s="188">
        <f>($C58&gt;=sales!$D$32)*($C58&lt;=sales!$F$32)*sales!$F$41/(sales!$E$32+1)+($C58&gt;=sales!$D$33)*($C58&lt;=sales!$F$33)*sales!$F$42/(sales!$E$33+1)+($C58&gt;=sales!$D$34)*($C58&lt;=sales!$F$34)*sales!$F$43/(sales!$E$34+1)+($C58&gt;=sales!$D$35)*($C58&lt;=sales!$F$35)*sales!$F$44/(sales!$E$35+1)+($C58&gt;=sales!$D$36)*($C58&lt;=sales!$F$36)*sales!$F$45/(sales!$E$36+1)</f>
        <v>0</v>
      </c>
      <c r="AH58" s="181">
        <f>IF(ROUND(SUM(AH$5:AH57),2)&gt;=ROUND(AH$129,2),0,INDEX('draws%'!$D$8:$AH$128,$C58+1,MATCH(AH$4,'draws%'!$D$7:$AH$7,FALSE))*AH$129)</f>
        <v>0</v>
      </c>
      <c r="AI58" s="181">
        <f>IF(ROUND(SUM(AI$5:AI57),2)&gt;=ROUND(AI$129,2),0,INDEX('draws%'!$D$8:$AH$128,$C58+1,MATCH(AI$4,'draws%'!$D$7:$AH$7,FALSE))*AI$129)</f>
        <v>0</v>
      </c>
      <c r="AJ58" s="181">
        <f>IF(ROUND(SUM(AJ$5:AJ57),2)&gt;=ROUND(AJ$129,2),0,INDEX('draws%'!$D$8:$AH$128,$C58+1,MATCH(AJ$4,'draws%'!$D$7:$AH$7,FALSE))*AJ$129)</f>
        <v>0</v>
      </c>
      <c r="AK58" s="181">
        <f>IF(ROUND(SUM(AK$5:AK57),2)&gt;=ROUND(AK$129,2),0,INDEX('draws%'!$D$8:$AH$128,$C58+1,MATCH(AK$4,'draws%'!$D$7:$AH$7,FALSE))*AK$129)</f>
        <v>0</v>
      </c>
      <c r="AL58" s="189">
        <f t="shared" si="2"/>
        <v>0</v>
      </c>
      <c r="AM58" s="194"/>
      <c r="AO58" s="171"/>
    </row>
    <row r="59" spans="1:41" s="192" customFormat="1" ht="16">
      <c r="A59" s="1416" t="str">
        <f>IF(MAX(C$5:C58)&gt;=general!$C$27,"post dev",IF(C59&lt;general!$C$23, "Pred", "Dev"))</f>
        <v>post dev</v>
      </c>
      <c r="B59" s="1398"/>
      <c r="C59" s="1388">
        <f>IF('Development Cash Flow'!D58&lt;general!$D$28,'Development Cash Flow'!C58+1,0)</f>
        <v>0</v>
      </c>
      <c r="D59" s="185">
        <f t="shared" si="0"/>
        <v>47879</v>
      </c>
      <c r="E59" s="186">
        <f>($C59&gt;=sales!$D$32)*($C59&lt;=sales!$F$32)*ResUnits/(sales!$E$32+1)</f>
        <v>0</v>
      </c>
      <c r="F59" s="181">
        <f>($C59&gt;=sales!$D$32)*($C59&lt;=sales!$F$32)*sales!$I$18/(sales!$E$32+1)</f>
        <v>0</v>
      </c>
      <c r="G59" s="181">
        <f>($C59&gt;=sales!$D$32)*($C59&lt;=sales!$F$32)*sales!$K$32/(sales!$E$32+1)</f>
        <v>0</v>
      </c>
      <c r="H59" s="187">
        <f>($C59&gt;=sales!$D$33)*($C59&lt;=sales!$F$33)*sales!$K$33/(sales!$E$33+1)</f>
        <v>0</v>
      </c>
      <c r="I59" s="181">
        <f>($C59&gt;=sales!$D$34)*($C59&lt;=sales!$F$34)*sales!$K$34/(sales!$E$34+1)</f>
        <v>0</v>
      </c>
      <c r="J59" s="181">
        <f>($C59&gt;=sales!$D$35)*($C59&lt;=sales!$F$35)*sales!$K$35/(sales!$E$35+1)</f>
        <v>0</v>
      </c>
      <c r="K59" s="189">
        <f>($C59&gt;=sales!$D$36)*($C59&lt;=sales!$F$36)*sales!$K$36*IFERROR(VLOOKUP(C59,sales!$C$50:$D$54,2,FALSE),0)</f>
        <v>0</v>
      </c>
      <c r="L59" s="1398"/>
      <c r="M59" s="1403">
        <f>+G59/$G$4*$M$4*sales!$J$32</f>
        <v>0</v>
      </c>
      <c r="N59" s="1398"/>
      <c r="O59" s="1464">
        <f>IF(ROUND(SUM(O$5:O58),2)&gt;=ROUND(O$129,2),0,INDEX('draws%'!$D$8:$AH$128,$C59+1,MATCH(O$4,'draws%'!$D$7:$AH$7,FALSE))*O$129)</f>
        <v>0</v>
      </c>
      <c r="P59" s="181">
        <f>IF(ROUND(SUM(P$5:P58),2)&gt;=ROUND(P$129,2),0,INDEX('draws%'!$D$8:$AH$128,$C59+1,MATCH(P$4,'draws%'!$D$7:$AH$7,FALSE))*P$129)</f>
        <v>0</v>
      </c>
      <c r="Q59" s="181">
        <f>IF(ROUND(SUM(Q$5:Q58),2)&gt;=ROUND(Q$129,2),0,INDEX('draws%'!$D$8:$AH$128,$C59+1,MATCH(Q$4,'draws%'!$D$7:$AH$7,FALSE))*Q$129)</f>
        <v>0</v>
      </c>
      <c r="R59" s="181">
        <f>IF(ROUND(SUM(R$5:R58),2)&gt;=ROUND(R$129,2),0,INDEX('draws%'!$D$8:$AH$128,$C59+1,MATCH(R$4,'draws%'!$D$7:$AH$7,FALSE))*R$129)</f>
        <v>0</v>
      </c>
      <c r="S59" s="181">
        <f>IF(ROUND(SUM(S$5:S58),2)&gt;=ROUND(S$129,2),0,INDEX('draws%'!$D$8:$AH$128,$C59+1,MATCH(S$4,'draws%'!$D$7:$AH$7,FALSE))*S$129)</f>
        <v>0</v>
      </c>
      <c r="T59" s="181">
        <f>IF(ROUND(SUM(T$5:T58),2)&gt;=ROUND(T$129,2),0,INDEX('draws%'!$D$8:$AH$128,$C59+1,MATCH(T$4,'draws%'!$D$7:$AH$7,FALSE))*T$129)</f>
        <v>0</v>
      </c>
      <c r="U59" s="181">
        <f>IF(ROUND(SUM(U$5:U58),2)&gt;=ROUND(U$129,2),0,INDEX('draws%'!$D$8:$AH$128,$C59+1,MATCH(U$4,'draws%'!$D$7:$AH$7,FALSE))*U$129)</f>
        <v>0</v>
      </c>
      <c r="V59" s="181">
        <f>IF(ROUND(SUM(V$5:V58),2)&gt;=ROUND(V$129,2),0,INDEX('draws%'!$D$8:$AH$128,$C59+1,MATCH(V$4,'draws%'!$D$7:$AH$7,FALSE))*V$129)</f>
        <v>0</v>
      </c>
      <c r="W59" s="181">
        <f>IF(ROUND(SUM(W$5:W58),2)&gt;=ROUND(W$129,2),0,INDEX('draws%'!$D$8:$AH$128,$C59+1,MATCH(W$4,'draws%'!$D$7:$AH$7,FALSE))*W$129)</f>
        <v>0</v>
      </c>
      <c r="X59" s="181">
        <f>IF(ROUND(SUM(X$5:X58),2)&gt;=ROUND(X$129,2),0,INDEX('draws%'!$D$8:$AH$128,$C59+1,MATCH(X$4,'draws%'!$D$7:$AH$7,FALSE))*X$129)</f>
        <v>0</v>
      </c>
      <c r="Y59" s="181">
        <f>IF(ROUND(SUM(Y$5:Y58),2)&gt;=ROUND(Y$129,2),0,INDEX('draws%'!$D$8:$AH$128,$C59+1,MATCH(Y$4,'draws%'!$D$7:$AH$7,FALSE))*Y$129)</f>
        <v>0</v>
      </c>
      <c r="Z59" s="181">
        <f>IF(ROUND(SUM(Z$5:Z58),2)&gt;=ROUND(Z$129,2),0,INDEX('draws%'!$D$8:$AH$128,$C59+1,MATCH(Z$4,'draws%'!$D$7:$AH$7,FALSE))*Z$129)</f>
        <v>0</v>
      </c>
      <c r="AA59" s="181">
        <f>IF(ROUND(SUM(AA$5:AA58),2)&gt;=ROUND(AA$129,2),0,INDEX('draws%'!$D$8:$AH$128,$C59+1,MATCH(AA$4,'draws%'!$D$7:$AH$7,FALSE))*AA$129)</f>
        <v>0</v>
      </c>
      <c r="AB59" s="181">
        <f>IF(ROUND(SUM(AB$5:AB58),2)&gt;=ROUND(AB$129,2),0,INDEX('draws%'!$D$8:$AH$128,$C59+1,MATCH(AB$4,'draws%'!$D$7:$AH$7,FALSE))*AB$129)</f>
        <v>0</v>
      </c>
      <c r="AC59" s="181">
        <f>($C59&gt;=sales!$D$32)*($C59&lt;=sales!$F$32)*sales!$J$41/(sales!$E$32+1)+($C59&gt;=sales!$D$33)*($C59&lt;=sales!$F$33)*sales!$J$42/(sales!$E$33+1)+($C59&gt;=sales!$D$34)*($C59&lt;=sales!$F$34)*sales!$J$43/(sales!$E$34+1)+($C59&gt;=sales!$D$35)*($C59&lt;=sales!$F$35)*sales!$J$44/(sales!$E$35+1)+($C59&gt;=sales!$D$36)*($C59&lt;=sales!$F$36)*sales!$J$45/(sales!$E$36+1)</f>
        <v>0</v>
      </c>
      <c r="AD59" s="181">
        <f>IF(ROUND(SUM(AD$5:AD58),2)&gt;=ROUND(AD$129,2),0,INDEX('draws%'!$D$8:$AH$128,$C59+1,MATCH(AD$4,'draws%'!$D$7:$AH$7,FALSE))*AD$129)</f>
        <v>0</v>
      </c>
      <c r="AE59" s="181">
        <f>IF(ROUND(SUM(AE$5:AE58),2)&gt;=ROUND(AE$129,2),0,INDEX('draws%'!$D$8:$AH$128,$C59+1,MATCH(AE$4,'draws%'!$D$7:$AH$7,FALSE))*AE$129)</f>
        <v>0</v>
      </c>
      <c r="AF59" s="188">
        <f>($C59&gt;=sales!$D$32)*($C59&lt;=sales!$F$32)*sales!$D$41/(sales!$E$32+1)+($C59&gt;=sales!$D$33)*($C59&lt;=sales!$F$33)*sales!$D$42/(sales!$E$33+1)+($C59&gt;=sales!$D$34)*($C59&lt;=sales!$F$34)*sales!$D$43/(sales!$E$34+1)+($C59&gt;=sales!$D$35)*($C59&lt;=sales!$F$35)*sales!$D$44/(sales!$E$35+1)+($C59&gt;=sales!$D$36)*($C59&lt;=sales!$F$36)*sales!$D$45/(sales!$E$36+1)</f>
        <v>0</v>
      </c>
      <c r="AG59" s="188">
        <f>($C59&gt;=sales!$D$32)*($C59&lt;=sales!$F$32)*sales!$F$41/(sales!$E$32+1)+($C59&gt;=sales!$D$33)*($C59&lt;=sales!$F$33)*sales!$F$42/(sales!$E$33+1)+($C59&gt;=sales!$D$34)*($C59&lt;=sales!$F$34)*sales!$F$43/(sales!$E$34+1)+($C59&gt;=sales!$D$35)*($C59&lt;=sales!$F$35)*sales!$F$44/(sales!$E$35+1)+($C59&gt;=sales!$D$36)*($C59&lt;=sales!$F$36)*sales!$F$45/(sales!$E$36+1)</f>
        <v>0</v>
      </c>
      <c r="AH59" s="181">
        <f>IF(ROUND(SUM(AH$5:AH58),2)&gt;=ROUND(AH$129,2),0,INDEX('draws%'!$D$8:$AH$128,$C59+1,MATCH(AH$4,'draws%'!$D$7:$AH$7,FALSE))*AH$129)</f>
        <v>0</v>
      </c>
      <c r="AI59" s="181">
        <f>IF(ROUND(SUM(AI$5:AI58),2)&gt;=ROUND(AI$129,2),0,INDEX('draws%'!$D$8:$AH$128,$C59+1,MATCH(AI$4,'draws%'!$D$7:$AH$7,FALSE))*AI$129)</f>
        <v>0</v>
      </c>
      <c r="AJ59" s="181">
        <f>IF(ROUND(SUM(AJ$5:AJ58),2)&gt;=ROUND(AJ$129,2),0,INDEX('draws%'!$D$8:$AH$128,$C59+1,MATCH(AJ$4,'draws%'!$D$7:$AH$7,FALSE))*AJ$129)</f>
        <v>0</v>
      </c>
      <c r="AK59" s="181">
        <f>IF(ROUND(SUM(AK$5:AK58),2)&gt;=ROUND(AK$129,2),0,INDEX('draws%'!$D$8:$AH$128,$C59+1,MATCH(AK$4,'draws%'!$D$7:$AH$7,FALSE))*AK$129)</f>
        <v>0</v>
      </c>
      <c r="AL59" s="189">
        <f t="shared" si="2"/>
        <v>0</v>
      </c>
      <c r="AM59" s="194"/>
      <c r="AO59" s="171"/>
    </row>
    <row r="60" spans="1:41" s="192" customFormat="1" ht="16">
      <c r="A60" s="1416" t="str">
        <f>IF(MAX(C$5:C59)&gt;=general!$C$27,"post dev",IF(C60&lt;general!$C$23, "Pred", "Dev"))</f>
        <v>post dev</v>
      </c>
      <c r="B60" s="1398"/>
      <c r="C60" s="1388">
        <f>IF('Development Cash Flow'!D59&lt;general!$D$28,'Development Cash Flow'!C59+1,0)</f>
        <v>0</v>
      </c>
      <c r="D60" s="185">
        <f t="shared" si="0"/>
        <v>47907</v>
      </c>
      <c r="E60" s="186">
        <f>($C60&gt;=sales!$D$32)*($C60&lt;=sales!$F$32)*ResUnits/(sales!$E$32+1)</f>
        <v>0</v>
      </c>
      <c r="F60" s="181">
        <f>($C60&gt;=sales!$D$32)*($C60&lt;=sales!$F$32)*sales!$I$18/(sales!$E$32+1)</f>
        <v>0</v>
      </c>
      <c r="G60" s="181">
        <f>($C60&gt;=sales!$D$32)*($C60&lt;=sales!$F$32)*sales!$K$32/(sales!$E$32+1)</f>
        <v>0</v>
      </c>
      <c r="H60" s="187">
        <f>($C60&gt;=sales!$D$33)*($C60&lt;=sales!$F$33)*sales!$K$33/(sales!$E$33+1)</f>
        <v>0</v>
      </c>
      <c r="I60" s="181">
        <f>($C60&gt;=sales!$D$34)*($C60&lt;=sales!$F$34)*sales!$K$34/(sales!$E$34+1)</f>
        <v>0</v>
      </c>
      <c r="J60" s="181">
        <f>($C60&gt;=sales!$D$35)*($C60&lt;=sales!$F$35)*sales!$K$35/(sales!$E$35+1)</f>
        <v>0</v>
      </c>
      <c r="K60" s="189">
        <f>($C60&gt;=sales!$D$36)*($C60&lt;=sales!$F$36)*sales!$K$36*IFERROR(VLOOKUP(C60,sales!$C$50:$D$54,2,FALSE),0)</f>
        <v>0</v>
      </c>
      <c r="L60" s="1398"/>
      <c r="M60" s="1403">
        <f>+G60/$G$4*$M$4*sales!$J$32</f>
        <v>0</v>
      </c>
      <c r="N60" s="1398"/>
      <c r="O60" s="1464">
        <f>IF(ROUND(SUM(O$5:O59),2)&gt;=ROUND(O$129,2),0,INDEX('draws%'!$D$8:$AH$128,$C60+1,MATCH(O$4,'draws%'!$D$7:$AH$7,FALSE))*O$129)</f>
        <v>0</v>
      </c>
      <c r="P60" s="181">
        <f>IF(ROUND(SUM(P$5:P59),2)&gt;=ROUND(P$129,2),0,INDEX('draws%'!$D$8:$AH$128,$C60+1,MATCH(P$4,'draws%'!$D$7:$AH$7,FALSE))*P$129)</f>
        <v>0</v>
      </c>
      <c r="Q60" s="181">
        <f>IF(ROUND(SUM(Q$5:Q59),2)&gt;=ROUND(Q$129,2),0,INDEX('draws%'!$D$8:$AH$128,$C60+1,MATCH(Q$4,'draws%'!$D$7:$AH$7,FALSE))*Q$129)</f>
        <v>0</v>
      </c>
      <c r="R60" s="181">
        <f>IF(ROUND(SUM(R$5:R59),2)&gt;=ROUND(R$129,2),0,INDEX('draws%'!$D$8:$AH$128,$C60+1,MATCH(R$4,'draws%'!$D$7:$AH$7,FALSE))*R$129)</f>
        <v>0</v>
      </c>
      <c r="S60" s="181">
        <f>IF(ROUND(SUM(S$5:S59),2)&gt;=ROUND(S$129,2),0,INDEX('draws%'!$D$8:$AH$128,$C60+1,MATCH(S$4,'draws%'!$D$7:$AH$7,FALSE))*S$129)</f>
        <v>0</v>
      </c>
      <c r="T60" s="181">
        <f>IF(ROUND(SUM(T$5:T59),2)&gt;=ROUND(T$129,2),0,INDEX('draws%'!$D$8:$AH$128,$C60+1,MATCH(T$4,'draws%'!$D$7:$AH$7,FALSE))*T$129)</f>
        <v>0</v>
      </c>
      <c r="U60" s="181">
        <f>IF(ROUND(SUM(U$5:U59),2)&gt;=ROUND(U$129,2),0,INDEX('draws%'!$D$8:$AH$128,$C60+1,MATCH(U$4,'draws%'!$D$7:$AH$7,FALSE))*U$129)</f>
        <v>0</v>
      </c>
      <c r="V60" s="181">
        <f>IF(ROUND(SUM(V$5:V59),2)&gt;=ROUND(V$129,2),0,INDEX('draws%'!$D$8:$AH$128,$C60+1,MATCH(V$4,'draws%'!$D$7:$AH$7,FALSE))*V$129)</f>
        <v>0</v>
      </c>
      <c r="W60" s="181">
        <f>IF(ROUND(SUM(W$5:W59),2)&gt;=ROUND(W$129,2),0,INDEX('draws%'!$D$8:$AH$128,$C60+1,MATCH(W$4,'draws%'!$D$7:$AH$7,FALSE))*W$129)</f>
        <v>0</v>
      </c>
      <c r="X60" s="181">
        <f>IF(ROUND(SUM(X$5:X59),2)&gt;=ROUND(X$129,2),0,INDEX('draws%'!$D$8:$AH$128,$C60+1,MATCH(X$4,'draws%'!$D$7:$AH$7,FALSE))*X$129)</f>
        <v>0</v>
      </c>
      <c r="Y60" s="181">
        <f>IF(ROUND(SUM(Y$5:Y59),2)&gt;=ROUND(Y$129,2),0,INDEX('draws%'!$D$8:$AH$128,$C60+1,MATCH(Y$4,'draws%'!$D$7:$AH$7,FALSE))*Y$129)</f>
        <v>0</v>
      </c>
      <c r="Z60" s="181">
        <f>IF(ROUND(SUM(Z$5:Z59),2)&gt;=ROUND(Z$129,2),0,INDEX('draws%'!$D$8:$AH$128,$C60+1,MATCH(Z$4,'draws%'!$D$7:$AH$7,FALSE))*Z$129)</f>
        <v>0</v>
      </c>
      <c r="AA60" s="181">
        <f>IF(ROUND(SUM(AA$5:AA59),2)&gt;=ROUND(AA$129,2),0,INDEX('draws%'!$D$8:$AH$128,$C60+1,MATCH(AA$4,'draws%'!$D$7:$AH$7,FALSE))*AA$129)</f>
        <v>0</v>
      </c>
      <c r="AB60" s="181">
        <f>IF(ROUND(SUM(AB$5:AB59),2)&gt;=ROUND(AB$129,2),0,INDEX('draws%'!$D$8:$AH$128,$C60+1,MATCH(AB$4,'draws%'!$D$7:$AH$7,FALSE))*AB$129)</f>
        <v>0</v>
      </c>
      <c r="AC60" s="181">
        <f>($C60&gt;=sales!$D$32)*($C60&lt;=sales!$F$32)*sales!$J$41/(sales!$E$32+1)+($C60&gt;=sales!$D$33)*($C60&lt;=sales!$F$33)*sales!$J$42/(sales!$E$33+1)+($C60&gt;=sales!$D$34)*($C60&lt;=sales!$F$34)*sales!$J$43/(sales!$E$34+1)+($C60&gt;=sales!$D$35)*($C60&lt;=sales!$F$35)*sales!$J$44/(sales!$E$35+1)+($C60&gt;=sales!$D$36)*($C60&lt;=sales!$F$36)*sales!$J$45/(sales!$E$36+1)</f>
        <v>0</v>
      </c>
      <c r="AD60" s="181">
        <f>IF(ROUND(SUM(AD$5:AD59),2)&gt;=ROUND(AD$129,2),0,INDEX('draws%'!$D$8:$AH$128,$C60+1,MATCH(AD$4,'draws%'!$D$7:$AH$7,FALSE))*AD$129)</f>
        <v>0</v>
      </c>
      <c r="AE60" s="181">
        <f>IF(ROUND(SUM(AE$5:AE59),2)&gt;=ROUND(AE$129,2),0,INDEX('draws%'!$D$8:$AH$128,$C60+1,MATCH(AE$4,'draws%'!$D$7:$AH$7,FALSE))*AE$129)</f>
        <v>0</v>
      </c>
      <c r="AF60" s="188">
        <f>($C60&gt;=sales!$D$32)*($C60&lt;=sales!$F$32)*sales!$D$41/(sales!$E$32+1)+($C60&gt;=sales!$D$33)*($C60&lt;=sales!$F$33)*sales!$D$42/(sales!$E$33+1)+($C60&gt;=sales!$D$34)*($C60&lt;=sales!$F$34)*sales!$D$43/(sales!$E$34+1)+($C60&gt;=sales!$D$35)*($C60&lt;=sales!$F$35)*sales!$D$44/(sales!$E$35+1)+($C60&gt;=sales!$D$36)*($C60&lt;=sales!$F$36)*sales!$D$45/(sales!$E$36+1)</f>
        <v>0</v>
      </c>
      <c r="AG60" s="188">
        <f>($C60&gt;=sales!$D$32)*($C60&lt;=sales!$F$32)*sales!$F$41/(sales!$E$32+1)+($C60&gt;=sales!$D$33)*($C60&lt;=sales!$F$33)*sales!$F$42/(sales!$E$33+1)+($C60&gt;=sales!$D$34)*($C60&lt;=sales!$F$34)*sales!$F$43/(sales!$E$34+1)+($C60&gt;=sales!$D$35)*($C60&lt;=sales!$F$35)*sales!$F$44/(sales!$E$35+1)+($C60&gt;=sales!$D$36)*($C60&lt;=sales!$F$36)*sales!$F$45/(sales!$E$36+1)</f>
        <v>0</v>
      </c>
      <c r="AH60" s="181">
        <f>IF(ROUND(SUM(AH$5:AH59),2)&gt;=ROUND(AH$129,2),0,INDEX('draws%'!$D$8:$AH$128,$C60+1,MATCH(AH$4,'draws%'!$D$7:$AH$7,FALSE))*AH$129)</f>
        <v>0</v>
      </c>
      <c r="AI60" s="181">
        <f>IF(ROUND(SUM(AI$5:AI59),2)&gt;=ROUND(AI$129,2),0,INDEX('draws%'!$D$8:$AH$128,$C60+1,MATCH(AI$4,'draws%'!$D$7:$AH$7,FALSE))*AI$129)</f>
        <v>0</v>
      </c>
      <c r="AJ60" s="181">
        <f>IF(ROUND(SUM(AJ$5:AJ59),2)&gt;=ROUND(AJ$129,2),0,INDEX('draws%'!$D$8:$AH$128,$C60+1,MATCH(AJ$4,'draws%'!$D$7:$AH$7,FALSE))*AJ$129)</f>
        <v>0</v>
      </c>
      <c r="AK60" s="181">
        <f>IF(ROUND(SUM(AK$5:AK59),2)&gt;=ROUND(AK$129,2),0,INDEX('draws%'!$D$8:$AH$128,$C60+1,MATCH(AK$4,'draws%'!$D$7:$AH$7,FALSE))*AK$129)</f>
        <v>0</v>
      </c>
      <c r="AL60" s="189">
        <f t="shared" si="2"/>
        <v>0</v>
      </c>
      <c r="AM60" s="194"/>
      <c r="AO60" s="171"/>
    </row>
    <row r="61" spans="1:41" s="168" customFormat="1" ht="16">
      <c r="A61" s="1416" t="str">
        <f>IF(MAX(C$5:C60)&gt;=general!$C$27,"post dev",IF(C61&lt;general!$C$23, "Pred", "Dev"))</f>
        <v>post dev</v>
      </c>
      <c r="B61" s="1398"/>
      <c r="C61" s="1388">
        <f>IF('Development Cash Flow'!D60&lt;general!$D$28,'Development Cash Flow'!C60+1,0)</f>
        <v>0</v>
      </c>
      <c r="D61" s="185">
        <f t="shared" si="0"/>
        <v>47938</v>
      </c>
      <c r="E61" s="186">
        <f>($C61&gt;=sales!$D$32)*($C61&lt;=sales!$F$32)*ResUnits/(sales!$E$32+1)</f>
        <v>0</v>
      </c>
      <c r="F61" s="181">
        <f>($C61&gt;=sales!$D$32)*($C61&lt;=sales!$F$32)*sales!$I$18/(sales!$E$32+1)</f>
        <v>0</v>
      </c>
      <c r="G61" s="181">
        <f>($C61&gt;=sales!$D$32)*($C61&lt;=sales!$F$32)*sales!$K$32/(sales!$E$32+1)</f>
        <v>0</v>
      </c>
      <c r="H61" s="187">
        <f>($C61&gt;=sales!$D$33)*($C61&lt;=sales!$F$33)*sales!$K$33/(sales!$E$33+1)</f>
        <v>0</v>
      </c>
      <c r="I61" s="181">
        <f>($C61&gt;=sales!$D$34)*($C61&lt;=sales!$F$34)*sales!$K$34/(sales!$E$34+1)</f>
        <v>0</v>
      </c>
      <c r="J61" s="181">
        <f>($C61&gt;=sales!$D$35)*($C61&lt;=sales!$F$35)*sales!$K$35/(sales!$E$35+1)</f>
        <v>0</v>
      </c>
      <c r="K61" s="189">
        <f>($C61&gt;=sales!$D$36)*($C61&lt;=sales!$F$36)*sales!$K$36*IFERROR(VLOOKUP(C61,sales!$C$50:$D$54,2,FALSE),0)</f>
        <v>0</v>
      </c>
      <c r="L61" s="1398"/>
      <c r="M61" s="1403">
        <f>+G61/$G$4*$M$4*sales!$J$32</f>
        <v>0</v>
      </c>
      <c r="N61" s="1398"/>
      <c r="O61" s="1464">
        <f>IF(ROUND(SUM(O$5:O60),2)&gt;=ROUND(O$129,2),0,INDEX('draws%'!$D$8:$AH$128,$C61+1,MATCH(O$4,'draws%'!$D$7:$AH$7,FALSE))*O$129)</f>
        <v>0</v>
      </c>
      <c r="P61" s="181">
        <f>IF(ROUND(SUM(P$5:P60),2)&gt;=ROUND(P$129,2),0,INDEX('draws%'!$D$8:$AH$128,$C61+1,MATCH(P$4,'draws%'!$D$7:$AH$7,FALSE))*P$129)</f>
        <v>0</v>
      </c>
      <c r="Q61" s="181">
        <f>IF(ROUND(SUM(Q$5:Q60),2)&gt;=ROUND(Q$129,2),0,INDEX('draws%'!$D$8:$AH$128,$C61+1,MATCH(Q$4,'draws%'!$D$7:$AH$7,FALSE))*Q$129)</f>
        <v>0</v>
      </c>
      <c r="R61" s="181">
        <f>IF(ROUND(SUM(R$5:R60),2)&gt;=ROUND(R$129,2),0,INDEX('draws%'!$D$8:$AH$128,$C61+1,MATCH(R$4,'draws%'!$D$7:$AH$7,FALSE))*R$129)</f>
        <v>0</v>
      </c>
      <c r="S61" s="181">
        <f>IF(ROUND(SUM(S$5:S60),2)&gt;=ROUND(S$129,2),0,INDEX('draws%'!$D$8:$AH$128,$C61+1,MATCH(S$4,'draws%'!$D$7:$AH$7,FALSE))*S$129)</f>
        <v>0</v>
      </c>
      <c r="T61" s="181">
        <f>IF(ROUND(SUM(T$5:T60),2)&gt;=ROUND(T$129,2),0,INDEX('draws%'!$D$8:$AH$128,$C61+1,MATCH(T$4,'draws%'!$D$7:$AH$7,FALSE))*T$129)</f>
        <v>0</v>
      </c>
      <c r="U61" s="181">
        <f>IF(ROUND(SUM(U$5:U60),2)&gt;=ROUND(U$129,2),0,INDEX('draws%'!$D$8:$AH$128,$C61+1,MATCH(U$4,'draws%'!$D$7:$AH$7,FALSE))*U$129)</f>
        <v>0</v>
      </c>
      <c r="V61" s="181">
        <f>IF(ROUND(SUM(V$5:V60),2)&gt;=ROUND(V$129,2),0,INDEX('draws%'!$D$8:$AH$128,$C61+1,MATCH(V$4,'draws%'!$D$7:$AH$7,FALSE))*V$129)</f>
        <v>0</v>
      </c>
      <c r="W61" s="181">
        <f>IF(ROUND(SUM(W$5:W60),2)&gt;=ROUND(W$129,2),0,INDEX('draws%'!$D$8:$AH$128,$C61+1,MATCH(W$4,'draws%'!$D$7:$AH$7,FALSE))*W$129)</f>
        <v>0</v>
      </c>
      <c r="X61" s="181">
        <f>IF(ROUND(SUM(X$5:X60),2)&gt;=ROUND(X$129,2),0,INDEX('draws%'!$D$8:$AH$128,$C61+1,MATCH(X$4,'draws%'!$D$7:$AH$7,FALSE))*X$129)</f>
        <v>0</v>
      </c>
      <c r="Y61" s="181">
        <f>IF(ROUND(SUM(Y$5:Y60),2)&gt;=ROUND(Y$129,2),0,INDEX('draws%'!$D$8:$AH$128,$C61+1,MATCH(Y$4,'draws%'!$D$7:$AH$7,FALSE))*Y$129)</f>
        <v>0</v>
      </c>
      <c r="Z61" s="181">
        <f>IF(ROUND(SUM(Z$5:Z60),2)&gt;=ROUND(Z$129,2),0,INDEX('draws%'!$D$8:$AH$128,$C61+1,MATCH(Z$4,'draws%'!$D$7:$AH$7,FALSE))*Z$129)</f>
        <v>0</v>
      </c>
      <c r="AA61" s="181">
        <f>IF(ROUND(SUM(AA$5:AA60),2)&gt;=ROUND(AA$129,2),0,INDEX('draws%'!$D$8:$AH$128,$C61+1,MATCH(AA$4,'draws%'!$D$7:$AH$7,FALSE))*AA$129)</f>
        <v>0</v>
      </c>
      <c r="AB61" s="181">
        <f>IF(ROUND(SUM(AB$5:AB60),2)&gt;=ROUND(AB$129,2),0,INDEX('draws%'!$D$8:$AH$128,$C61+1,MATCH(AB$4,'draws%'!$D$7:$AH$7,FALSE))*AB$129)</f>
        <v>0</v>
      </c>
      <c r="AC61" s="181">
        <f>($C61&gt;=sales!$D$32)*($C61&lt;=sales!$F$32)*sales!$J$41/(sales!$E$32+1)+($C61&gt;=sales!$D$33)*($C61&lt;=sales!$F$33)*sales!$J$42/(sales!$E$33+1)+($C61&gt;=sales!$D$34)*($C61&lt;=sales!$F$34)*sales!$J$43/(sales!$E$34+1)+($C61&gt;=sales!$D$35)*($C61&lt;=sales!$F$35)*sales!$J$44/(sales!$E$35+1)+($C61&gt;=sales!$D$36)*($C61&lt;=sales!$F$36)*sales!$J$45/(sales!$E$36+1)</f>
        <v>0</v>
      </c>
      <c r="AD61" s="181">
        <f>IF(ROUND(SUM(AD$5:AD60),2)&gt;=ROUND(AD$129,2),0,INDEX('draws%'!$D$8:$AH$128,$C61+1,MATCH(AD$4,'draws%'!$D$7:$AH$7,FALSE))*AD$129)</f>
        <v>0</v>
      </c>
      <c r="AE61" s="181">
        <f>IF(ROUND(SUM(AE$5:AE60),2)&gt;=ROUND(AE$129,2),0,INDEX('draws%'!$D$8:$AH$128,$C61+1,MATCH(AE$4,'draws%'!$D$7:$AH$7,FALSE))*AE$129)</f>
        <v>0</v>
      </c>
      <c r="AF61" s="188">
        <f>($C61&gt;=sales!$D$32)*($C61&lt;=sales!$F$32)*sales!$D$41/(sales!$E$32+1)+($C61&gt;=sales!$D$33)*($C61&lt;=sales!$F$33)*sales!$D$42/(sales!$E$33+1)+($C61&gt;=sales!$D$34)*($C61&lt;=sales!$F$34)*sales!$D$43/(sales!$E$34+1)+($C61&gt;=sales!$D$35)*($C61&lt;=sales!$F$35)*sales!$D$44/(sales!$E$35+1)+($C61&gt;=sales!$D$36)*($C61&lt;=sales!$F$36)*sales!$D$45/(sales!$E$36+1)</f>
        <v>0</v>
      </c>
      <c r="AG61" s="188">
        <f>($C61&gt;=sales!$D$32)*($C61&lt;=sales!$F$32)*sales!$F$41/(sales!$E$32+1)+($C61&gt;=sales!$D$33)*($C61&lt;=sales!$F$33)*sales!$F$42/(sales!$E$33+1)+($C61&gt;=sales!$D$34)*($C61&lt;=sales!$F$34)*sales!$F$43/(sales!$E$34+1)+($C61&gt;=sales!$D$35)*($C61&lt;=sales!$F$35)*sales!$F$44/(sales!$E$35+1)+($C61&gt;=sales!$D$36)*($C61&lt;=sales!$F$36)*sales!$F$45/(sales!$E$36+1)</f>
        <v>0</v>
      </c>
      <c r="AH61" s="181">
        <f>IF(ROUND(SUM(AH$5:AH60),2)&gt;=ROUND(AH$129,2),0,INDEX('draws%'!$D$8:$AH$128,$C61+1,MATCH(AH$4,'draws%'!$D$7:$AH$7,FALSE))*AH$129)</f>
        <v>0</v>
      </c>
      <c r="AI61" s="181">
        <f>IF(ROUND(SUM(AI$5:AI60),2)&gt;=ROUND(AI$129,2),0,INDEX('draws%'!$D$8:$AH$128,$C61+1,MATCH(AI$4,'draws%'!$D$7:$AH$7,FALSE))*AI$129)</f>
        <v>0</v>
      </c>
      <c r="AJ61" s="181">
        <f>IF(ROUND(SUM(AJ$5:AJ60),2)&gt;=ROUND(AJ$129,2),0,INDEX('draws%'!$D$8:$AH$128,$C61+1,MATCH(AJ$4,'draws%'!$D$7:$AH$7,FALSE))*AJ$129)</f>
        <v>0</v>
      </c>
      <c r="AK61" s="181">
        <f>IF(ROUND(SUM(AK$5:AK60),2)&gt;=ROUND(AK$129,2),0,INDEX('draws%'!$D$8:$AH$128,$C61+1,MATCH(AK$4,'draws%'!$D$7:$AH$7,FALSE))*AK$129)</f>
        <v>0</v>
      </c>
      <c r="AL61" s="189">
        <f t="shared" si="2"/>
        <v>0</v>
      </c>
      <c r="AM61" s="195"/>
      <c r="AO61" s="171"/>
    </row>
    <row r="62" spans="1:41" ht="16">
      <c r="A62" s="1416" t="str">
        <f>IF(MAX(C$5:C61)&gt;=general!$C$27,"post dev",IF(C62&lt;general!$C$23, "Pred", "Dev"))</f>
        <v>post dev</v>
      </c>
      <c r="B62" s="1398"/>
      <c r="C62" s="1388">
        <f>IF('Development Cash Flow'!D61&lt;general!$D$28,'Development Cash Flow'!C61+1,0)</f>
        <v>0</v>
      </c>
      <c r="D62" s="185">
        <f t="shared" si="0"/>
        <v>47968</v>
      </c>
      <c r="E62" s="186">
        <f>($C62&gt;=sales!$D$32)*($C62&lt;=sales!$F$32)*ResUnits/(sales!$E$32+1)</f>
        <v>0</v>
      </c>
      <c r="F62" s="181">
        <f>($C62&gt;=sales!$D$32)*($C62&lt;=sales!$F$32)*sales!$I$18/(sales!$E$32+1)</f>
        <v>0</v>
      </c>
      <c r="G62" s="181">
        <f>($C62&gt;=sales!$D$32)*($C62&lt;=sales!$F$32)*sales!$K$32/(sales!$E$32+1)</f>
        <v>0</v>
      </c>
      <c r="H62" s="187">
        <f>($C62&gt;=sales!$D$33)*($C62&lt;=sales!$F$33)*sales!$K$33/(sales!$E$33+1)</f>
        <v>0</v>
      </c>
      <c r="I62" s="181">
        <f>($C62&gt;=sales!$D$34)*($C62&lt;=sales!$F$34)*sales!$K$34/(sales!$E$34+1)</f>
        <v>0</v>
      </c>
      <c r="J62" s="181">
        <f>($C62&gt;=sales!$D$35)*($C62&lt;=sales!$F$35)*sales!$K$35/(sales!$E$35+1)</f>
        <v>0</v>
      </c>
      <c r="K62" s="189">
        <f>($C62&gt;=sales!$D$36)*($C62&lt;=sales!$F$36)*sales!$K$36*IFERROR(VLOOKUP(C62,sales!$C$50:$D$54,2,FALSE),0)</f>
        <v>0</v>
      </c>
      <c r="L62" s="1398"/>
      <c r="M62" s="1403">
        <f>+G62/$G$4*$M$4*sales!$J$32</f>
        <v>0</v>
      </c>
      <c r="N62" s="1398"/>
      <c r="O62" s="1464">
        <f>IF(ROUND(SUM(O$5:O61),2)&gt;=ROUND(O$129,2),0,INDEX('draws%'!$D$8:$AH$128,$C62+1,MATCH(O$4,'draws%'!$D$7:$AH$7,FALSE))*O$129)</f>
        <v>0</v>
      </c>
      <c r="P62" s="181">
        <f>IF(ROUND(SUM(P$5:P61),2)&gt;=ROUND(P$129,2),0,INDEX('draws%'!$D$8:$AH$128,$C62+1,MATCH(P$4,'draws%'!$D$7:$AH$7,FALSE))*P$129)</f>
        <v>0</v>
      </c>
      <c r="Q62" s="181">
        <f>IF(ROUND(SUM(Q$5:Q61),2)&gt;=ROUND(Q$129,2),0,INDEX('draws%'!$D$8:$AH$128,$C62+1,MATCH(Q$4,'draws%'!$D$7:$AH$7,FALSE))*Q$129)</f>
        <v>0</v>
      </c>
      <c r="R62" s="181">
        <f>IF(ROUND(SUM(R$5:R61),2)&gt;=ROUND(R$129,2),0,INDEX('draws%'!$D$8:$AH$128,$C62+1,MATCH(R$4,'draws%'!$D$7:$AH$7,FALSE))*R$129)</f>
        <v>0</v>
      </c>
      <c r="S62" s="181">
        <f>IF(ROUND(SUM(S$5:S61),2)&gt;=ROUND(S$129,2),0,INDEX('draws%'!$D$8:$AH$128,$C62+1,MATCH(S$4,'draws%'!$D$7:$AH$7,FALSE))*S$129)</f>
        <v>0</v>
      </c>
      <c r="T62" s="181">
        <f>IF(ROUND(SUM(T$5:T61),2)&gt;=ROUND(T$129,2),0,INDEX('draws%'!$D$8:$AH$128,$C62+1,MATCH(T$4,'draws%'!$D$7:$AH$7,FALSE))*T$129)</f>
        <v>0</v>
      </c>
      <c r="U62" s="181">
        <f>IF(ROUND(SUM(U$5:U61),2)&gt;=ROUND(U$129,2),0,INDEX('draws%'!$D$8:$AH$128,$C62+1,MATCH(U$4,'draws%'!$D$7:$AH$7,FALSE))*U$129)</f>
        <v>0</v>
      </c>
      <c r="V62" s="181">
        <f>IF(ROUND(SUM(V$5:V61),2)&gt;=ROUND(V$129,2),0,INDEX('draws%'!$D$8:$AH$128,$C62+1,MATCH(V$4,'draws%'!$D$7:$AH$7,FALSE))*V$129)</f>
        <v>0</v>
      </c>
      <c r="W62" s="181">
        <f>IF(ROUND(SUM(W$5:W61),2)&gt;=ROUND(W$129,2),0,INDEX('draws%'!$D$8:$AH$128,$C62+1,MATCH(W$4,'draws%'!$D$7:$AH$7,FALSE))*W$129)</f>
        <v>0</v>
      </c>
      <c r="X62" s="181">
        <f>IF(ROUND(SUM(X$5:X61),2)&gt;=ROUND(X$129,2),0,INDEX('draws%'!$D$8:$AH$128,$C62+1,MATCH(X$4,'draws%'!$D$7:$AH$7,FALSE))*X$129)</f>
        <v>0</v>
      </c>
      <c r="Y62" s="181">
        <f>IF(ROUND(SUM(Y$5:Y61),2)&gt;=ROUND(Y$129,2),0,INDEX('draws%'!$D$8:$AH$128,$C62+1,MATCH(Y$4,'draws%'!$D$7:$AH$7,FALSE))*Y$129)</f>
        <v>0</v>
      </c>
      <c r="Z62" s="181">
        <f>IF(ROUND(SUM(Z$5:Z61),2)&gt;=ROUND(Z$129,2),0,INDEX('draws%'!$D$8:$AH$128,$C62+1,MATCH(Z$4,'draws%'!$D$7:$AH$7,FALSE))*Z$129)</f>
        <v>0</v>
      </c>
      <c r="AA62" s="181">
        <f>IF(ROUND(SUM(AA$5:AA61),2)&gt;=ROUND(AA$129,2),0,INDEX('draws%'!$D$8:$AH$128,$C62+1,MATCH(AA$4,'draws%'!$D$7:$AH$7,FALSE))*AA$129)</f>
        <v>0</v>
      </c>
      <c r="AB62" s="181">
        <f>IF(ROUND(SUM(AB$5:AB61),2)&gt;=ROUND(AB$129,2),0,INDEX('draws%'!$D$8:$AH$128,$C62+1,MATCH(AB$4,'draws%'!$D$7:$AH$7,FALSE))*AB$129)</f>
        <v>0</v>
      </c>
      <c r="AC62" s="181">
        <f>($C62&gt;=sales!$D$32)*($C62&lt;=sales!$F$32)*sales!$J$41/(sales!$E$32+1)+($C62&gt;=sales!$D$33)*($C62&lt;=sales!$F$33)*sales!$J$42/(sales!$E$33+1)+($C62&gt;=sales!$D$34)*($C62&lt;=sales!$F$34)*sales!$J$43/(sales!$E$34+1)+($C62&gt;=sales!$D$35)*($C62&lt;=sales!$F$35)*sales!$J$44/(sales!$E$35+1)+($C62&gt;=sales!$D$36)*($C62&lt;=sales!$F$36)*sales!$J$45/(sales!$E$36+1)</f>
        <v>0</v>
      </c>
      <c r="AD62" s="181">
        <f>IF(ROUND(SUM(AD$5:AD61),2)&gt;=ROUND(AD$129,2),0,INDEX('draws%'!$D$8:$AH$128,$C62+1,MATCH(AD$4,'draws%'!$D$7:$AH$7,FALSE))*AD$129)</f>
        <v>0</v>
      </c>
      <c r="AE62" s="181">
        <f>IF(ROUND(SUM(AE$5:AE61),2)&gt;=ROUND(AE$129,2),0,INDEX('draws%'!$D$8:$AH$128,$C62+1,MATCH(AE$4,'draws%'!$D$7:$AH$7,FALSE))*AE$129)</f>
        <v>0</v>
      </c>
      <c r="AF62" s="188">
        <f>($C62&gt;=sales!$D$32)*($C62&lt;=sales!$F$32)*sales!$D$41/(sales!$E$32+1)+($C62&gt;=sales!$D$33)*($C62&lt;=sales!$F$33)*sales!$D$42/(sales!$E$33+1)+($C62&gt;=sales!$D$34)*($C62&lt;=sales!$F$34)*sales!$D$43/(sales!$E$34+1)+($C62&gt;=sales!$D$35)*($C62&lt;=sales!$F$35)*sales!$D$44/(sales!$E$35+1)+($C62&gt;=sales!$D$36)*($C62&lt;=sales!$F$36)*sales!$D$45/(sales!$E$36+1)</f>
        <v>0</v>
      </c>
      <c r="AG62" s="188">
        <f>($C62&gt;=sales!$D$32)*($C62&lt;=sales!$F$32)*sales!$F$41/(sales!$E$32+1)+($C62&gt;=sales!$D$33)*($C62&lt;=sales!$F$33)*sales!$F$42/(sales!$E$33+1)+($C62&gt;=sales!$D$34)*($C62&lt;=sales!$F$34)*sales!$F$43/(sales!$E$34+1)+($C62&gt;=sales!$D$35)*($C62&lt;=sales!$F$35)*sales!$F$44/(sales!$E$35+1)+($C62&gt;=sales!$D$36)*($C62&lt;=sales!$F$36)*sales!$F$45/(sales!$E$36+1)</f>
        <v>0</v>
      </c>
      <c r="AH62" s="181">
        <f>IF(ROUND(SUM(AH$5:AH61),2)&gt;=ROUND(AH$129,2),0,INDEX('draws%'!$D$8:$AH$128,$C62+1,MATCH(AH$4,'draws%'!$D$7:$AH$7,FALSE))*AH$129)</f>
        <v>0</v>
      </c>
      <c r="AI62" s="181">
        <f>IF(ROUND(SUM(AI$5:AI61),2)&gt;=ROUND(AI$129,2),0,INDEX('draws%'!$D$8:$AH$128,$C62+1,MATCH(AI$4,'draws%'!$D$7:$AH$7,FALSE))*AI$129)</f>
        <v>0</v>
      </c>
      <c r="AJ62" s="181">
        <f>IF(ROUND(SUM(AJ$5:AJ61),2)&gt;=ROUND(AJ$129,2),0,INDEX('draws%'!$D$8:$AH$128,$C62+1,MATCH(AJ$4,'draws%'!$D$7:$AH$7,FALSE))*AJ$129)</f>
        <v>0</v>
      </c>
      <c r="AK62" s="181">
        <f>IF(ROUND(SUM(AK$5:AK61),2)&gt;=ROUND(AK$129,2),0,INDEX('draws%'!$D$8:$AH$128,$C62+1,MATCH(AK$4,'draws%'!$D$7:$AH$7,FALSE))*AK$129)</f>
        <v>0</v>
      </c>
      <c r="AL62" s="189">
        <f t="shared" si="2"/>
        <v>0</v>
      </c>
      <c r="AO62" s="173"/>
    </row>
    <row r="63" spans="1:41" s="192" customFormat="1" ht="16">
      <c r="A63" s="1416" t="str">
        <f>IF(MAX(C$5:C62)&gt;=general!$C$27,"post dev",IF(C63&lt;general!$C$23, "Pred", "Dev"))</f>
        <v>post dev</v>
      </c>
      <c r="B63" s="1398"/>
      <c r="C63" s="1388">
        <f>IF('Development Cash Flow'!D62&lt;general!$D$28,'Development Cash Flow'!C62+1,0)</f>
        <v>0</v>
      </c>
      <c r="D63" s="185">
        <f t="shared" si="0"/>
        <v>47999</v>
      </c>
      <c r="E63" s="186">
        <f>($C63&gt;=sales!$D$32)*($C63&lt;=sales!$F$32)*ResUnits/(sales!$E$32+1)</f>
        <v>0</v>
      </c>
      <c r="F63" s="181">
        <f>($C63&gt;=sales!$D$32)*($C63&lt;=sales!$F$32)*sales!$I$18/(sales!$E$32+1)</f>
        <v>0</v>
      </c>
      <c r="G63" s="181">
        <f>($C63&gt;=sales!$D$32)*($C63&lt;=sales!$F$32)*sales!$K$32/(sales!$E$32+1)</f>
        <v>0</v>
      </c>
      <c r="H63" s="187">
        <f>($C63&gt;=sales!$D$33)*($C63&lt;=sales!$F$33)*sales!$K$33/(sales!$E$33+1)</f>
        <v>0</v>
      </c>
      <c r="I63" s="181">
        <f>($C63&gt;=sales!$D$34)*($C63&lt;=sales!$F$34)*sales!$K$34/(sales!$E$34+1)</f>
        <v>0</v>
      </c>
      <c r="J63" s="181">
        <f>($C63&gt;=sales!$D$35)*($C63&lt;=sales!$F$35)*sales!$K$35/(sales!$E$35+1)</f>
        <v>0</v>
      </c>
      <c r="K63" s="189">
        <f>($C63&gt;=sales!$D$36)*($C63&lt;=sales!$F$36)*sales!$K$36*IFERROR(VLOOKUP(C63,sales!$C$50:$D$54,2,FALSE),0)</f>
        <v>0</v>
      </c>
      <c r="L63" s="1398"/>
      <c r="M63" s="1403">
        <f>+G63/$G$4*$M$4*sales!$J$32</f>
        <v>0</v>
      </c>
      <c r="N63" s="1398"/>
      <c r="O63" s="1464">
        <f>IF(ROUND(SUM(O$5:O62),2)&gt;=ROUND(O$129,2),0,INDEX('draws%'!$D$8:$AH$128,$C63+1,MATCH(O$4,'draws%'!$D$7:$AH$7,FALSE))*O$129)</f>
        <v>0</v>
      </c>
      <c r="P63" s="181">
        <f>IF(ROUND(SUM(P$5:P62),2)&gt;=ROUND(P$129,2),0,INDEX('draws%'!$D$8:$AH$128,$C63+1,MATCH(P$4,'draws%'!$D$7:$AH$7,FALSE))*P$129)</f>
        <v>0</v>
      </c>
      <c r="Q63" s="181">
        <f>IF(ROUND(SUM(Q$5:Q62),2)&gt;=ROUND(Q$129,2),0,INDEX('draws%'!$D$8:$AH$128,$C63+1,MATCH(Q$4,'draws%'!$D$7:$AH$7,FALSE))*Q$129)</f>
        <v>0</v>
      </c>
      <c r="R63" s="181">
        <f>IF(ROUND(SUM(R$5:R62),2)&gt;=ROUND(R$129,2),0,INDEX('draws%'!$D$8:$AH$128,$C63+1,MATCH(R$4,'draws%'!$D$7:$AH$7,FALSE))*R$129)</f>
        <v>0</v>
      </c>
      <c r="S63" s="181">
        <f>IF(ROUND(SUM(S$5:S62),2)&gt;=ROUND(S$129,2),0,INDEX('draws%'!$D$8:$AH$128,$C63+1,MATCH(S$4,'draws%'!$D$7:$AH$7,FALSE))*S$129)</f>
        <v>0</v>
      </c>
      <c r="T63" s="181">
        <f>IF(ROUND(SUM(T$5:T62),2)&gt;=ROUND(T$129,2),0,INDEX('draws%'!$D$8:$AH$128,$C63+1,MATCH(T$4,'draws%'!$D$7:$AH$7,FALSE))*T$129)</f>
        <v>0</v>
      </c>
      <c r="U63" s="181">
        <f>IF(ROUND(SUM(U$5:U62),2)&gt;=ROUND(U$129,2),0,INDEX('draws%'!$D$8:$AH$128,$C63+1,MATCH(U$4,'draws%'!$D$7:$AH$7,FALSE))*U$129)</f>
        <v>0</v>
      </c>
      <c r="V63" s="181">
        <f>IF(ROUND(SUM(V$5:V62),2)&gt;=ROUND(V$129,2),0,INDEX('draws%'!$D$8:$AH$128,$C63+1,MATCH(V$4,'draws%'!$D$7:$AH$7,FALSE))*V$129)</f>
        <v>0</v>
      </c>
      <c r="W63" s="181">
        <f>IF(ROUND(SUM(W$5:W62),2)&gt;=ROUND(W$129,2),0,INDEX('draws%'!$D$8:$AH$128,$C63+1,MATCH(W$4,'draws%'!$D$7:$AH$7,FALSE))*W$129)</f>
        <v>0</v>
      </c>
      <c r="X63" s="181">
        <f>IF(ROUND(SUM(X$5:X62),2)&gt;=ROUND(X$129,2),0,INDEX('draws%'!$D$8:$AH$128,$C63+1,MATCH(X$4,'draws%'!$D$7:$AH$7,FALSE))*X$129)</f>
        <v>0</v>
      </c>
      <c r="Y63" s="181">
        <f>IF(ROUND(SUM(Y$5:Y62),2)&gt;=ROUND(Y$129,2),0,INDEX('draws%'!$D$8:$AH$128,$C63+1,MATCH(Y$4,'draws%'!$D$7:$AH$7,FALSE))*Y$129)</f>
        <v>0</v>
      </c>
      <c r="Z63" s="181">
        <f>IF(ROUND(SUM(Z$5:Z62),2)&gt;=ROUND(Z$129,2),0,INDEX('draws%'!$D$8:$AH$128,$C63+1,MATCH(Z$4,'draws%'!$D$7:$AH$7,FALSE))*Z$129)</f>
        <v>0</v>
      </c>
      <c r="AA63" s="181">
        <f>IF(ROUND(SUM(AA$5:AA62),2)&gt;=ROUND(AA$129,2),0,INDEX('draws%'!$D$8:$AH$128,$C63+1,MATCH(AA$4,'draws%'!$D$7:$AH$7,FALSE))*AA$129)</f>
        <v>0</v>
      </c>
      <c r="AB63" s="181">
        <f>IF(ROUND(SUM(AB$5:AB62),2)&gt;=ROUND(AB$129,2),0,INDEX('draws%'!$D$8:$AH$128,$C63+1,MATCH(AB$4,'draws%'!$D$7:$AH$7,FALSE))*AB$129)</f>
        <v>0</v>
      </c>
      <c r="AC63" s="181">
        <f>($C63&gt;=sales!$D$32)*($C63&lt;=sales!$F$32)*sales!$J$41/(sales!$E$32+1)+($C63&gt;=sales!$D$33)*($C63&lt;=sales!$F$33)*sales!$J$42/(sales!$E$33+1)+($C63&gt;=sales!$D$34)*($C63&lt;=sales!$F$34)*sales!$J$43/(sales!$E$34+1)+($C63&gt;=sales!$D$35)*($C63&lt;=sales!$F$35)*sales!$J$44/(sales!$E$35+1)+($C63&gt;=sales!$D$36)*($C63&lt;=sales!$F$36)*sales!$J$45/(sales!$E$36+1)</f>
        <v>0</v>
      </c>
      <c r="AD63" s="181">
        <f>IF(ROUND(SUM(AD$5:AD62),2)&gt;=ROUND(AD$129,2),0,INDEX('draws%'!$D$8:$AH$128,$C63+1,MATCH(AD$4,'draws%'!$D$7:$AH$7,FALSE))*AD$129)</f>
        <v>0</v>
      </c>
      <c r="AE63" s="181">
        <f>IF(ROUND(SUM(AE$5:AE62),2)&gt;=ROUND(AE$129,2),0,INDEX('draws%'!$D$8:$AH$128,$C63+1,MATCH(AE$4,'draws%'!$D$7:$AH$7,FALSE))*AE$129)</f>
        <v>0</v>
      </c>
      <c r="AF63" s="188">
        <f>($C63&gt;=sales!$D$32)*($C63&lt;=sales!$F$32)*sales!$D$41/(sales!$E$32+1)+($C63&gt;=sales!$D$33)*($C63&lt;=sales!$F$33)*sales!$D$42/(sales!$E$33+1)+($C63&gt;=sales!$D$34)*($C63&lt;=sales!$F$34)*sales!$D$43/(sales!$E$34+1)+($C63&gt;=sales!$D$35)*($C63&lt;=sales!$F$35)*sales!$D$44/(sales!$E$35+1)+($C63&gt;=sales!$D$36)*($C63&lt;=sales!$F$36)*sales!$D$45/(sales!$E$36+1)</f>
        <v>0</v>
      </c>
      <c r="AG63" s="188">
        <f>($C63&gt;=sales!$D$32)*($C63&lt;=sales!$F$32)*sales!$F$41/(sales!$E$32+1)+($C63&gt;=sales!$D$33)*($C63&lt;=sales!$F$33)*sales!$F$42/(sales!$E$33+1)+($C63&gt;=sales!$D$34)*($C63&lt;=sales!$F$34)*sales!$F$43/(sales!$E$34+1)+($C63&gt;=sales!$D$35)*($C63&lt;=sales!$F$35)*sales!$F$44/(sales!$E$35+1)+($C63&gt;=sales!$D$36)*($C63&lt;=sales!$F$36)*sales!$F$45/(sales!$E$36+1)</f>
        <v>0</v>
      </c>
      <c r="AH63" s="181">
        <f>IF(ROUND(SUM(AH$5:AH62),2)&gt;=ROUND(AH$129,2),0,INDEX('draws%'!$D$8:$AH$128,$C63+1,MATCH(AH$4,'draws%'!$D$7:$AH$7,FALSE))*AH$129)</f>
        <v>0</v>
      </c>
      <c r="AI63" s="181">
        <f>IF(ROUND(SUM(AI$5:AI62),2)&gt;=ROUND(AI$129,2),0,INDEX('draws%'!$D$8:$AH$128,$C63+1,MATCH(AI$4,'draws%'!$D$7:$AH$7,FALSE))*AI$129)</f>
        <v>0</v>
      </c>
      <c r="AJ63" s="181">
        <f>IF(ROUND(SUM(AJ$5:AJ62),2)&gt;=ROUND(AJ$129,2),0,INDEX('draws%'!$D$8:$AH$128,$C63+1,MATCH(AJ$4,'draws%'!$D$7:$AH$7,FALSE))*AJ$129)</f>
        <v>0</v>
      </c>
      <c r="AK63" s="181">
        <f>IF(ROUND(SUM(AK$5:AK62),2)&gt;=ROUND(AK$129,2),0,INDEX('draws%'!$D$8:$AH$128,$C63+1,MATCH(AK$4,'draws%'!$D$7:$AH$7,FALSE))*AK$129)</f>
        <v>0</v>
      </c>
      <c r="AL63" s="189">
        <f t="shared" si="2"/>
        <v>0</v>
      </c>
      <c r="AM63" s="194"/>
      <c r="AO63" s="171"/>
    </row>
    <row r="64" spans="1:41" s="192" customFormat="1" ht="16">
      <c r="A64" s="1416" t="str">
        <f>IF(MAX(C$5:C63)&gt;=general!$C$27,"post dev",IF(C64&lt;general!$C$23, "Pred", "Dev"))</f>
        <v>post dev</v>
      </c>
      <c r="B64" s="1398"/>
      <c r="C64" s="1388">
        <f>IF('Development Cash Flow'!D63&lt;general!$D$28,'Development Cash Flow'!C63+1,0)</f>
        <v>0</v>
      </c>
      <c r="D64" s="185">
        <f t="shared" si="0"/>
        <v>48029</v>
      </c>
      <c r="E64" s="186">
        <f>($C64&gt;=sales!$D$32)*($C64&lt;=sales!$F$32)*ResUnits/(sales!$E$32+1)</f>
        <v>0</v>
      </c>
      <c r="F64" s="181">
        <f>($C64&gt;=sales!$D$32)*($C64&lt;=sales!$F$32)*sales!$I$18/(sales!$E$32+1)</f>
        <v>0</v>
      </c>
      <c r="G64" s="181">
        <f>($C64&gt;=sales!$D$32)*($C64&lt;=sales!$F$32)*sales!$K$32/(sales!$E$32+1)</f>
        <v>0</v>
      </c>
      <c r="H64" s="187">
        <f>($C64&gt;=sales!$D$33)*($C64&lt;=sales!$F$33)*sales!$K$33/(sales!$E$33+1)</f>
        <v>0</v>
      </c>
      <c r="I64" s="181">
        <f>($C64&gt;=sales!$D$34)*($C64&lt;=sales!$F$34)*sales!$K$34/(sales!$E$34+1)</f>
        <v>0</v>
      </c>
      <c r="J64" s="181">
        <f>($C64&gt;=sales!$D$35)*($C64&lt;=sales!$F$35)*sales!$K$35/(sales!$E$35+1)</f>
        <v>0</v>
      </c>
      <c r="K64" s="189">
        <f>($C64&gt;=sales!$D$36)*($C64&lt;=sales!$F$36)*sales!$K$36*IFERROR(VLOOKUP(C64,sales!$C$50:$D$54,2,FALSE),0)</f>
        <v>0</v>
      </c>
      <c r="L64" s="1398"/>
      <c r="M64" s="1403">
        <f>+G64/$G$4*$M$4*sales!$J$32</f>
        <v>0</v>
      </c>
      <c r="N64" s="1398"/>
      <c r="O64" s="1464">
        <f>IF(ROUND(SUM(O$5:O63),2)&gt;=ROUND(O$129,2),0,INDEX('draws%'!$D$8:$AH$128,$C64+1,MATCH(O$4,'draws%'!$D$7:$AH$7,FALSE))*O$129)</f>
        <v>0</v>
      </c>
      <c r="P64" s="181">
        <f>IF(ROUND(SUM(P$5:P63),2)&gt;=ROUND(P$129,2),0,INDEX('draws%'!$D$8:$AH$128,$C64+1,MATCH(P$4,'draws%'!$D$7:$AH$7,FALSE))*P$129)</f>
        <v>0</v>
      </c>
      <c r="Q64" s="181">
        <f>IF(ROUND(SUM(Q$5:Q63),2)&gt;=ROUND(Q$129,2),0,INDEX('draws%'!$D$8:$AH$128,$C64+1,MATCH(Q$4,'draws%'!$D$7:$AH$7,FALSE))*Q$129)</f>
        <v>0</v>
      </c>
      <c r="R64" s="181">
        <f>IF(ROUND(SUM(R$5:R63),2)&gt;=ROUND(R$129,2),0,INDEX('draws%'!$D$8:$AH$128,$C64+1,MATCH(R$4,'draws%'!$D$7:$AH$7,FALSE))*R$129)</f>
        <v>0</v>
      </c>
      <c r="S64" s="181">
        <f>IF(ROUND(SUM(S$5:S63),2)&gt;=ROUND(S$129,2),0,INDEX('draws%'!$D$8:$AH$128,$C64+1,MATCH(S$4,'draws%'!$D$7:$AH$7,FALSE))*S$129)</f>
        <v>0</v>
      </c>
      <c r="T64" s="181">
        <f>IF(ROUND(SUM(T$5:T63),2)&gt;=ROUND(T$129,2),0,INDEX('draws%'!$D$8:$AH$128,$C64+1,MATCH(T$4,'draws%'!$D$7:$AH$7,FALSE))*T$129)</f>
        <v>0</v>
      </c>
      <c r="U64" s="181">
        <f>IF(ROUND(SUM(U$5:U63),2)&gt;=ROUND(U$129,2),0,INDEX('draws%'!$D$8:$AH$128,$C64+1,MATCH(U$4,'draws%'!$D$7:$AH$7,FALSE))*U$129)</f>
        <v>0</v>
      </c>
      <c r="V64" s="181">
        <f>IF(ROUND(SUM(V$5:V63),2)&gt;=ROUND(V$129,2),0,INDEX('draws%'!$D$8:$AH$128,$C64+1,MATCH(V$4,'draws%'!$D$7:$AH$7,FALSE))*V$129)</f>
        <v>0</v>
      </c>
      <c r="W64" s="181">
        <f>IF(ROUND(SUM(W$5:W63),2)&gt;=ROUND(W$129,2),0,INDEX('draws%'!$D$8:$AH$128,$C64+1,MATCH(W$4,'draws%'!$D$7:$AH$7,FALSE))*W$129)</f>
        <v>0</v>
      </c>
      <c r="X64" s="181">
        <f>IF(ROUND(SUM(X$5:X63),2)&gt;=ROUND(X$129,2),0,INDEX('draws%'!$D$8:$AH$128,$C64+1,MATCH(X$4,'draws%'!$D$7:$AH$7,FALSE))*X$129)</f>
        <v>0</v>
      </c>
      <c r="Y64" s="181">
        <f>IF(ROUND(SUM(Y$5:Y63),2)&gt;=ROUND(Y$129,2),0,INDEX('draws%'!$D$8:$AH$128,$C64+1,MATCH(Y$4,'draws%'!$D$7:$AH$7,FALSE))*Y$129)</f>
        <v>0</v>
      </c>
      <c r="Z64" s="181">
        <f>IF(ROUND(SUM(Z$5:Z63),2)&gt;=ROUND(Z$129,2),0,INDEX('draws%'!$D$8:$AH$128,$C64+1,MATCH(Z$4,'draws%'!$D$7:$AH$7,FALSE))*Z$129)</f>
        <v>0</v>
      </c>
      <c r="AA64" s="181">
        <f>IF(ROUND(SUM(AA$5:AA63),2)&gt;=ROUND(AA$129,2),0,INDEX('draws%'!$D$8:$AH$128,$C64+1,MATCH(AA$4,'draws%'!$D$7:$AH$7,FALSE))*AA$129)</f>
        <v>0</v>
      </c>
      <c r="AB64" s="181">
        <f>IF(ROUND(SUM(AB$5:AB63),2)&gt;=ROUND(AB$129,2),0,INDEX('draws%'!$D$8:$AH$128,$C64+1,MATCH(AB$4,'draws%'!$D$7:$AH$7,FALSE))*AB$129)</f>
        <v>0</v>
      </c>
      <c r="AC64" s="181">
        <f>($C64&gt;=sales!$D$32)*($C64&lt;=sales!$F$32)*sales!$J$41/(sales!$E$32+1)+($C64&gt;=sales!$D$33)*($C64&lt;=sales!$F$33)*sales!$J$42/(sales!$E$33+1)+($C64&gt;=sales!$D$34)*($C64&lt;=sales!$F$34)*sales!$J$43/(sales!$E$34+1)+($C64&gt;=sales!$D$35)*($C64&lt;=sales!$F$35)*sales!$J$44/(sales!$E$35+1)+($C64&gt;=sales!$D$36)*($C64&lt;=sales!$F$36)*sales!$J$45/(sales!$E$36+1)</f>
        <v>0</v>
      </c>
      <c r="AD64" s="181">
        <f>IF(ROUND(SUM(AD$5:AD63),2)&gt;=ROUND(AD$129,2),0,INDEX('draws%'!$D$8:$AH$128,$C64+1,MATCH(AD$4,'draws%'!$D$7:$AH$7,FALSE))*AD$129)</f>
        <v>0</v>
      </c>
      <c r="AE64" s="181">
        <f>IF(ROUND(SUM(AE$5:AE63),2)&gt;=ROUND(AE$129,2),0,INDEX('draws%'!$D$8:$AH$128,$C64+1,MATCH(AE$4,'draws%'!$D$7:$AH$7,FALSE))*AE$129)</f>
        <v>0</v>
      </c>
      <c r="AF64" s="188">
        <f>($C64&gt;=sales!$D$32)*($C64&lt;=sales!$F$32)*sales!$D$41/(sales!$E$32+1)+($C64&gt;=sales!$D$33)*($C64&lt;=sales!$F$33)*sales!$D$42/(sales!$E$33+1)+($C64&gt;=sales!$D$34)*($C64&lt;=sales!$F$34)*sales!$D$43/(sales!$E$34+1)+($C64&gt;=sales!$D$35)*($C64&lt;=sales!$F$35)*sales!$D$44/(sales!$E$35+1)+($C64&gt;=sales!$D$36)*($C64&lt;=sales!$F$36)*sales!$D$45/(sales!$E$36+1)</f>
        <v>0</v>
      </c>
      <c r="AG64" s="188">
        <f>($C64&gt;=sales!$D$32)*($C64&lt;=sales!$F$32)*sales!$F$41/(sales!$E$32+1)+($C64&gt;=sales!$D$33)*($C64&lt;=sales!$F$33)*sales!$F$42/(sales!$E$33+1)+($C64&gt;=sales!$D$34)*($C64&lt;=sales!$F$34)*sales!$F$43/(sales!$E$34+1)+($C64&gt;=sales!$D$35)*($C64&lt;=sales!$F$35)*sales!$F$44/(sales!$E$35+1)+($C64&gt;=sales!$D$36)*($C64&lt;=sales!$F$36)*sales!$F$45/(sales!$E$36+1)</f>
        <v>0</v>
      </c>
      <c r="AH64" s="181">
        <f>IF(ROUND(SUM(AH$5:AH63),2)&gt;=ROUND(AH$129,2),0,INDEX('draws%'!$D$8:$AH$128,$C64+1,MATCH(AH$4,'draws%'!$D$7:$AH$7,FALSE))*AH$129)</f>
        <v>0</v>
      </c>
      <c r="AI64" s="181">
        <f>IF(ROUND(SUM(AI$5:AI63),2)&gt;=ROUND(AI$129,2),0,INDEX('draws%'!$D$8:$AH$128,$C64+1,MATCH(AI$4,'draws%'!$D$7:$AH$7,FALSE))*AI$129)</f>
        <v>0</v>
      </c>
      <c r="AJ64" s="181">
        <f>IF(ROUND(SUM(AJ$5:AJ63),2)&gt;=ROUND(AJ$129,2),0,INDEX('draws%'!$D$8:$AH$128,$C64+1,MATCH(AJ$4,'draws%'!$D$7:$AH$7,FALSE))*AJ$129)</f>
        <v>0</v>
      </c>
      <c r="AK64" s="181">
        <f>IF(ROUND(SUM(AK$5:AK63),2)&gt;=ROUND(AK$129,2),0,INDEX('draws%'!$D$8:$AH$128,$C64+1,MATCH(AK$4,'draws%'!$D$7:$AH$7,FALSE))*AK$129)</f>
        <v>0</v>
      </c>
      <c r="AL64" s="189">
        <f t="shared" si="2"/>
        <v>0</v>
      </c>
      <c r="AM64" s="194"/>
      <c r="AO64" s="171"/>
    </row>
    <row r="65" spans="1:41" s="192" customFormat="1" ht="16">
      <c r="A65" s="1416" t="str">
        <f>IF(MAX(C$5:C64)&gt;=general!$C$27,"post dev",IF(C65&lt;general!$C$23, "Pred", "Dev"))</f>
        <v>post dev</v>
      </c>
      <c r="B65" s="1398"/>
      <c r="C65" s="1388">
        <f>IF('Development Cash Flow'!D64&lt;general!$D$28,'Development Cash Flow'!C64+1,0)</f>
        <v>0</v>
      </c>
      <c r="D65" s="185">
        <f t="shared" si="0"/>
        <v>48060</v>
      </c>
      <c r="E65" s="186">
        <f>($C65&gt;=sales!$D$32)*($C65&lt;=sales!$F$32)*ResUnits/(sales!$E$32+1)</f>
        <v>0</v>
      </c>
      <c r="F65" s="181">
        <f>($C65&gt;=sales!$D$32)*($C65&lt;=sales!$F$32)*sales!$I$18/(sales!$E$32+1)</f>
        <v>0</v>
      </c>
      <c r="G65" s="181">
        <f>($C65&gt;=sales!$D$32)*($C65&lt;=sales!$F$32)*sales!$K$32/(sales!$E$32+1)</f>
        <v>0</v>
      </c>
      <c r="H65" s="187">
        <f>($C65&gt;=sales!$D$33)*($C65&lt;=sales!$F$33)*sales!$K$33/(sales!$E$33+1)</f>
        <v>0</v>
      </c>
      <c r="I65" s="181">
        <f>($C65&gt;=sales!$D$34)*($C65&lt;=sales!$F$34)*sales!$K$34/(sales!$E$34+1)</f>
        <v>0</v>
      </c>
      <c r="J65" s="181">
        <f>($C65&gt;=sales!$D$35)*($C65&lt;=sales!$F$35)*sales!$K$35/(sales!$E$35+1)</f>
        <v>0</v>
      </c>
      <c r="K65" s="189">
        <f>($C65&gt;=sales!$D$36)*($C65&lt;=sales!$F$36)*sales!$K$36*IFERROR(VLOOKUP(C65,sales!$C$50:$D$54,2,FALSE),0)</f>
        <v>0</v>
      </c>
      <c r="L65" s="1398"/>
      <c r="M65" s="1403">
        <f>+G65/$G$4*$M$4*sales!$J$32</f>
        <v>0</v>
      </c>
      <c r="N65" s="1398"/>
      <c r="O65" s="1464">
        <f>IF(ROUND(SUM(O$5:O64),2)&gt;=ROUND(O$129,2),0,INDEX('draws%'!$D$8:$AH$128,$C65+1,MATCH(O$4,'draws%'!$D$7:$AH$7,FALSE))*O$129)</f>
        <v>0</v>
      </c>
      <c r="P65" s="181">
        <f>IF(ROUND(SUM(P$5:P64),2)&gt;=ROUND(P$129,2),0,INDEX('draws%'!$D$8:$AH$128,$C65+1,MATCH(P$4,'draws%'!$D$7:$AH$7,FALSE))*P$129)</f>
        <v>0</v>
      </c>
      <c r="Q65" s="181">
        <f>IF(ROUND(SUM(Q$5:Q64),2)&gt;=ROUND(Q$129,2),0,INDEX('draws%'!$D$8:$AH$128,$C65+1,MATCH(Q$4,'draws%'!$D$7:$AH$7,FALSE))*Q$129)</f>
        <v>0</v>
      </c>
      <c r="R65" s="181">
        <f>IF(ROUND(SUM(R$5:R64),2)&gt;=ROUND(R$129,2),0,INDEX('draws%'!$D$8:$AH$128,$C65+1,MATCH(R$4,'draws%'!$D$7:$AH$7,FALSE))*R$129)</f>
        <v>0</v>
      </c>
      <c r="S65" s="181">
        <f>IF(ROUND(SUM(S$5:S64),2)&gt;=ROUND(S$129,2),0,INDEX('draws%'!$D$8:$AH$128,$C65+1,MATCH(S$4,'draws%'!$D$7:$AH$7,FALSE))*S$129)</f>
        <v>0</v>
      </c>
      <c r="T65" s="181">
        <f>IF(ROUND(SUM(T$5:T64),2)&gt;=ROUND(T$129,2),0,INDEX('draws%'!$D$8:$AH$128,$C65+1,MATCH(T$4,'draws%'!$D$7:$AH$7,FALSE))*T$129)</f>
        <v>0</v>
      </c>
      <c r="U65" s="181">
        <f>IF(ROUND(SUM(U$5:U64),2)&gt;=ROUND(U$129,2),0,INDEX('draws%'!$D$8:$AH$128,$C65+1,MATCH(U$4,'draws%'!$D$7:$AH$7,FALSE))*U$129)</f>
        <v>0</v>
      </c>
      <c r="V65" s="181">
        <f>IF(ROUND(SUM(V$5:V64),2)&gt;=ROUND(V$129,2),0,INDEX('draws%'!$D$8:$AH$128,$C65+1,MATCH(V$4,'draws%'!$D$7:$AH$7,FALSE))*V$129)</f>
        <v>0</v>
      </c>
      <c r="W65" s="181">
        <f>IF(ROUND(SUM(W$5:W64),2)&gt;=ROUND(W$129,2),0,INDEX('draws%'!$D$8:$AH$128,$C65+1,MATCH(W$4,'draws%'!$D$7:$AH$7,FALSE))*W$129)</f>
        <v>0</v>
      </c>
      <c r="X65" s="181">
        <f>IF(ROUND(SUM(X$5:X64),2)&gt;=ROUND(X$129,2),0,INDEX('draws%'!$D$8:$AH$128,$C65+1,MATCH(X$4,'draws%'!$D$7:$AH$7,FALSE))*X$129)</f>
        <v>0</v>
      </c>
      <c r="Y65" s="181">
        <f>IF(ROUND(SUM(Y$5:Y64),2)&gt;=ROUND(Y$129,2),0,INDEX('draws%'!$D$8:$AH$128,$C65+1,MATCH(Y$4,'draws%'!$D$7:$AH$7,FALSE))*Y$129)</f>
        <v>0</v>
      </c>
      <c r="Z65" s="181">
        <f>IF(ROUND(SUM(Z$5:Z64),2)&gt;=ROUND(Z$129,2),0,INDEX('draws%'!$D$8:$AH$128,$C65+1,MATCH(Z$4,'draws%'!$D$7:$AH$7,FALSE))*Z$129)</f>
        <v>0</v>
      </c>
      <c r="AA65" s="181">
        <f>IF(ROUND(SUM(AA$5:AA64),2)&gt;=ROUND(AA$129,2),0,INDEX('draws%'!$D$8:$AH$128,$C65+1,MATCH(AA$4,'draws%'!$D$7:$AH$7,FALSE))*AA$129)</f>
        <v>0</v>
      </c>
      <c r="AB65" s="181">
        <f>IF(ROUND(SUM(AB$5:AB64),2)&gt;=ROUND(AB$129,2),0,INDEX('draws%'!$D$8:$AH$128,$C65+1,MATCH(AB$4,'draws%'!$D$7:$AH$7,FALSE))*AB$129)</f>
        <v>0</v>
      </c>
      <c r="AC65" s="181">
        <f>($C65&gt;=sales!$D$32)*($C65&lt;=sales!$F$32)*sales!$J$41/(sales!$E$32+1)+($C65&gt;=sales!$D$33)*($C65&lt;=sales!$F$33)*sales!$J$42/(sales!$E$33+1)+($C65&gt;=sales!$D$34)*($C65&lt;=sales!$F$34)*sales!$J$43/(sales!$E$34+1)+($C65&gt;=sales!$D$35)*($C65&lt;=sales!$F$35)*sales!$J$44/(sales!$E$35+1)+($C65&gt;=sales!$D$36)*($C65&lt;=sales!$F$36)*sales!$J$45/(sales!$E$36+1)</f>
        <v>0</v>
      </c>
      <c r="AD65" s="181">
        <f>IF(ROUND(SUM(AD$5:AD64),2)&gt;=ROUND(AD$129,2),0,INDEX('draws%'!$D$8:$AH$128,$C65+1,MATCH(AD$4,'draws%'!$D$7:$AH$7,FALSE))*AD$129)</f>
        <v>0</v>
      </c>
      <c r="AE65" s="181">
        <f>IF(ROUND(SUM(AE$5:AE64),2)&gt;=ROUND(AE$129,2),0,INDEX('draws%'!$D$8:$AH$128,$C65+1,MATCH(AE$4,'draws%'!$D$7:$AH$7,FALSE))*AE$129)</f>
        <v>0</v>
      </c>
      <c r="AF65" s="188">
        <f>($C65&gt;=sales!$D$32)*($C65&lt;=sales!$F$32)*sales!$D$41/(sales!$E$32+1)+($C65&gt;=sales!$D$33)*($C65&lt;=sales!$F$33)*sales!$D$42/(sales!$E$33+1)+($C65&gt;=sales!$D$34)*($C65&lt;=sales!$F$34)*sales!$D$43/(sales!$E$34+1)+($C65&gt;=sales!$D$35)*($C65&lt;=sales!$F$35)*sales!$D$44/(sales!$E$35+1)+($C65&gt;=sales!$D$36)*($C65&lt;=sales!$F$36)*sales!$D$45/(sales!$E$36+1)</f>
        <v>0</v>
      </c>
      <c r="AG65" s="188">
        <f>($C65&gt;=sales!$D$32)*($C65&lt;=sales!$F$32)*sales!$F$41/(sales!$E$32+1)+($C65&gt;=sales!$D$33)*($C65&lt;=sales!$F$33)*sales!$F$42/(sales!$E$33+1)+($C65&gt;=sales!$D$34)*($C65&lt;=sales!$F$34)*sales!$F$43/(sales!$E$34+1)+($C65&gt;=sales!$D$35)*($C65&lt;=sales!$F$35)*sales!$F$44/(sales!$E$35+1)+($C65&gt;=sales!$D$36)*($C65&lt;=sales!$F$36)*sales!$F$45/(sales!$E$36+1)</f>
        <v>0</v>
      </c>
      <c r="AH65" s="181">
        <f>IF(ROUND(SUM(AH$5:AH64),2)&gt;=ROUND(AH$129,2),0,INDEX('draws%'!$D$8:$AH$128,$C65+1,MATCH(AH$4,'draws%'!$D$7:$AH$7,FALSE))*AH$129)</f>
        <v>0</v>
      </c>
      <c r="AI65" s="181">
        <f>IF(ROUND(SUM(AI$5:AI64),2)&gt;=ROUND(AI$129,2),0,INDEX('draws%'!$D$8:$AH$128,$C65+1,MATCH(AI$4,'draws%'!$D$7:$AH$7,FALSE))*AI$129)</f>
        <v>0</v>
      </c>
      <c r="AJ65" s="181">
        <f>IF(ROUND(SUM(AJ$5:AJ64),2)&gt;=ROUND(AJ$129,2),0,INDEX('draws%'!$D$8:$AH$128,$C65+1,MATCH(AJ$4,'draws%'!$D$7:$AH$7,FALSE))*AJ$129)</f>
        <v>0</v>
      </c>
      <c r="AK65" s="181">
        <f>IF(ROUND(SUM(AK$5:AK64),2)&gt;=ROUND(AK$129,2),0,INDEX('draws%'!$D$8:$AH$128,$C65+1,MATCH(AK$4,'draws%'!$D$7:$AH$7,FALSE))*AK$129)</f>
        <v>0</v>
      </c>
      <c r="AL65" s="189">
        <f t="shared" si="2"/>
        <v>0</v>
      </c>
      <c r="AM65" s="194"/>
      <c r="AO65" s="171"/>
    </row>
    <row r="66" spans="1:41" s="192" customFormat="1" ht="16">
      <c r="A66" s="1417" t="str">
        <f>IF(MAX(C$5:C65)&gt;=general!$C$27,"post dev",IF(C66&lt;general!$C$23, "Pred", "Dev"))</f>
        <v>post dev</v>
      </c>
      <c r="B66" s="1398"/>
      <c r="C66" s="1388">
        <f>IF('Development Cash Flow'!D65&lt;general!$D$28,'Development Cash Flow'!C65+1,0)</f>
        <v>0</v>
      </c>
      <c r="D66" s="185">
        <f t="shared" si="0"/>
        <v>48091</v>
      </c>
      <c r="E66" s="186">
        <f>($C66&gt;=sales!$D$32)*($C66&lt;=sales!$F$32)*ResUnits/(sales!$E$32+1)</f>
        <v>0</v>
      </c>
      <c r="F66" s="181">
        <f>($C66&gt;=sales!$D$32)*($C66&lt;=sales!$F$32)*sales!$I$18/(sales!$E$32+1)</f>
        <v>0</v>
      </c>
      <c r="G66" s="181">
        <f>($C66&gt;=sales!$D$32)*($C66&lt;=sales!$F$32)*sales!$K$32/(sales!$E$32+1)</f>
        <v>0</v>
      </c>
      <c r="H66" s="187">
        <f>($C66&gt;=sales!$D$33)*($C66&lt;=sales!$F$33)*sales!$K$33/(sales!$E$33+1)</f>
        <v>0</v>
      </c>
      <c r="I66" s="181">
        <f>($C66&gt;=sales!$D$34)*($C66&lt;=sales!$F$34)*sales!$K$34/(sales!$E$34+1)</f>
        <v>0</v>
      </c>
      <c r="J66" s="181">
        <f>($C66&gt;=sales!$D$35)*($C66&lt;=sales!$F$35)*sales!$K$35/(sales!$E$35+1)</f>
        <v>0</v>
      </c>
      <c r="K66" s="189">
        <f>($C66&gt;=sales!$D$36)*($C66&lt;=sales!$F$36)*sales!$K$36*IFERROR(VLOOKUP(C66,sales!$C$50:$D$54,2,FALSE),0)</f>
        <v>0</v>
      </c>
      <c r="L66" s="1398"/>
      <c r="M66" s="1403">
        <f>+G66/$G$4*$M$4*sales!$J$32</f>
        <v>0</v>
      </c>
      <c r="N66" s="1398"/>
      <c r="O66" s="1464">
        <f>IF(ROUND(SUM(O$5:O65),2)&gt;=ROUND(O$129,2),0,INDEX('draws%'!$D$8:$AH$128,$C66+1,MATCH(O$4,'draws%'!$D$7:$AH$7,FALSE))*O$129)</f>
        <v>0</v>
      </c>
      <c r="P66" s="181">
        <f>IF(ROUND(SUM(P$5:P65),2)&gt;=ROUND(P$129,2),0,INDEX('draws%'!$D$8:$AH$128,$C66+1,MATCH(P$4,'draws%'!$D$7:$AH$7,FALSE))*P$129)</f>
        <v>0</v>
      </c>
      <c r="Q66" s="181">
        <f>IF(ROUND(SUM(Q$5:Q65),2)&gt;=ROUND(Q$129,2),0,INDEX('draws%'!$D$8:$AH$128,$C66+1,MATCH(Q$4,'draws%'!$D$7:$AH$7,FALSE))*Q$129)</f>
        <v>0</v>
      </c>
      <c r="R66" s="181">
        <f>IF(ROUND(SUM(R$5:R65),2)&gt;=ROUND(R$129,2),0,INDEX('draws%'!$D$8:$AH$128,$C66+1,MATCH(R$4,'draws%'!$D$7:$AH$7,FALSE))*R$129)</f>
        <v>0</v>
      </c>
      <c r="S66" s="181">
        <f>IF(ROUND(SUM(S$5:S65),2)&gt;=ROUND(S$129,2),0,INDEX('draws%'!$D$8:$AH$128,$C66+1,MATCH(S$4,'draws%'!$D$7:$AH$7,FALSE))*S$129)</f>
        <v>0</v>
      </c>
      <c r="T66" s="181">
        <f>IF(ROUND(SUM(T$5:T65),2)&gt;=ROUND(T$129,2),0,INDEX('draws%'!$D$8:$AH$128,$C66+1,MATCH(T$4,'draws%'!$D$7:$AH$7,FALSE))*T$129)</f>
        <v>0</v>
      </c>
      <c r="U66" s="181">
        <f>IF(ROUND(SUM(U$5:U65),2)&gt;=ROUND(U$129,2),0,INDEX('draws%'!$D$8:$AH$128,$C66+1,MATCH(U$4,'draws%'!$D$7:$AH$7,FALSE))*U$129)</f>
        <v>0</v>
      </c>
      <c r="V66" s="181">
        <f>IF(ROUND(SUM(V$5:V65),2)&gt;=ROUND(V$129,2),0,INDEX('draws%'!$D$8:$AH$128,$C66+1,MATCH(V$4,'draws%'!$D$7:$AH$7,FALSE))*V$129)</f>
        <v>0</v>
      </c>
      <c r="W66" s="181">
        <f>IF(ROUND(SUM(W$5:W65),2)&gt;=ROUND(W$129,2),0,INDEX('draws%'!$D$8:$AH$128,$C66+1,MATCH(W$4,'draws%'!$D$7:$AH$7,FALSE))*W$129)</f>
        <v>0</v>
      </c>
      <c r="X66" s="181">
        <f>IF(ROUND(SUM(X$5:X65),2)&gt;=ROUND(X$129,2),0,INDEX('draws%'!$D$8:$AH$128,$C66+1,MATCH(X$4,'draws%'!$D$7:$AH$7,FALSE))*X$129)</f>
        <v>0</v>
      </c>
      <c r="Y66" s="181">
        <f>IF(ROUND(SUM(Y$5:Y65),2)&gt;=ROUND(Y$129,2),0,INDEX('draws%'!$D$8:$AH$128,$C66+1,MATCH(Y$4,'draws%'!$D$7:$AH$7,FALSE))*Y$129)</f>
        <v>0</v>
      </c>
      <c r="Z66" s="181">
        <f>IF(ROUND(SUM(Z$5:Z65),2)&gt;=ROUND(Z$129,2),0,INDEX('draws%'!$D$8:$AH$128,$C66+1,MATCH(Z$4,'draws%'!$D$7:$AH$7,FALSE))*Z$129)</f>
        <v>0</v>
      </c>
      <c r="AA66" s="181">
        <f>IF(ROUND(SUM(AA$5:AA65),2)&gt;=ROUND(AA$129,2),0,INDEX('draws%'!$D$8:$AH$128,$C66+1,MATCH(AA$4,'draws%'!$D$7:$AH$7,FALSE))*AA$129)</f>
        <v>0</v>
      </c>
      <c r="AB66" s="181">
        <f>IF(ROUND(SUM(AB$5:AB65),2)&gt;=ROUND(AB$129,2),0,INDEX('draws%'!$D$8:$AH$128,$C66+1,MATCH(AB$4,'draws%'!$D$7:$AH$7,FALSE))*AB$129)</f>
        <v>0</v>
      </c>
      <c r="AC66" s="181">
        <f>($C66&gt;=sales!$D$32)*($C66&lt;=sales!$F$32)*sales!$J$41/(sales!$E$32+1)+($C66&gt;=sales!$D$33)*($C66&lt;=sales!$F$33)*sales!$J$42/(sales!$E$33+1)+($C66&gt;=sales!$D$34)*($C66&lt;=sales!$F$34)*sales!$J$43/(sales!$E$34+1)+($C66&gt;=sales!$D$35)*($C66&lt;=sales!$F$35)*sales!$J$44/(sales!$E$35+1)+($C66&gt;=sales!$D$36)*($C66&lt;=sales!$F$36)*sales!$J$45/(sales!$E$36+1)</f>
        <v>0</v>
      </c>
      <c r="AD66" s="181">
        <f>IF(ROUND(SUM(AD$5:AD65),2)&gt;=ROUND(AD$129,2),0,INDEX('draws%'!$D$8:$AH$128,$C66+1,MATCH(AD$4,'draws%'!$D$7:$AH$7,FALSE))*AD$129)</f>
        <v>0</v>
      </c>
      <c r="AE66" s="181">
        <f>IF(ROUND(SUM(AE$5:AE65),2)&gt;=ROUND(AE$129,2),0,INDEX('draws%'!$D$8:$AH$128,$C66+1,MATCH(AE$4,'draws%'!$D$7:$AH$7,FALSE))*AE$129)</f>
        <v>0</v>
      </c>
      <c r="AF66" s="188">
        <f>($C66&gt;=sales!$D$32)*($C66&lt;=sales!$F$32)*sales!$D$41/(sales!$E$32+1)+($C66&gt;=sales!$D$33)*($C66&lt;=sales!$F$33)*sales!$D$42/(sales!$E$33+1)+($C66&gt;=sales!$D$34)*($C66&lt;=sales!$F$34)*sales!$D$43/(sales!$E$34+1)+($C66&gt;=sales!$D$35)*($C66&lt;=sales!$F$35)*sales!$D$44/(sales!$E$35+1)+($C66&gt;=sales!$D$36)*($C66&lt;=sales!$F$36)*sales!$D$45/(sales!$E$36+1)</f>
        <v>0</v>
      </c>
      <c r="AG66" s="188">
        <f>($C66&gt;=sales!$D$32)*($C66&lt;=sales!$F$32)*sales!$F$41/(sales!$E$32+1)+($C66&gt;=sales!$D$33)*($C66&lt;=sales!$F$33)*sales!$F$42/(sales!$E$33+1)+($C66&gt;=sales!$D$34)*($C66&lt;=sales!$F$34)*sales!$F$43/(sales!$E$34+1)+($C66&gt;=sales!$D$35)*($C66&lt;=sales!$F$35)*sales!$F$44/(sales!$E$35+1)+($C66&gt;=sales!$D$36)*($C66&lt;=sales!$F$36)*sales!$F$45/(sales!$E$36+1)</f>
        <v>0</v>
      </c>
      <c r="AH66" s="181">
        <f>IF(ROUND(SUM(AH$5:AH65),2)&gt;=ROUND(AH$129,2),0,INDEX('draws%'!$D$8:$AH$128,$C66+1,MATCH(AH$4,'draws%'!$D$7:$AH$7,FALSE))*AH$129)</f>
        <v>0</v>
      </c>
      <c r="AI66" s="181">
        <f>IF(ROUND(SUM(AI$5:AI65),2)&gt;=ROUND(AI$129,2),0,INDEX('draws%'!$D$8:$AH$128,$C66+1,MATCH(AI$4,'draws%'!$D$7:$AH$7,FALSE))*AI$129)</f>
        <v>0</v>
      </c>
      <c r="AJ66" s="181">
        <f>IF(ROUND(SUM(AJ$5:AJ65),2)&gt;=ROUND(AJ$129,2),0,INDEX('draws%'!$D$8:$AH$128,$C66+1,MATCH(AJ$4,'draws%'!$D$7:$AH$7,FALSE))*AJ$129)</f>
        <v>0</v>
      </c>
      <c r="AK66" s="181">
        <f>IF(ROUND(SUM(AK$5:AK65),2)&gt;=ROUND(AK$129,2),0,INDEX('draws%'!$D$8:$AH$128,$C66+1,MATCH(AK$4,'draws%'!$D$7:$AH$7,FALSE))*AK$129)</f>
        <v>0</v>
      </c>
      <c r="AL66" s="189">
        <f t="shared" si="2"/>
        <v>0</v>
      </c>
      <c r="AM66" s="194"/>
      <c r="AO66" s="171"/>
    </row>
    <row r="67" spans="1:41" s="192" customFormat="1" ht="16" hidden="1" outlineLevel="1">
      <c r="A67" s="177" t="str">
        <f>IF(MAX(C$5:C66)&gt;=general!$C$27,"post dev",IF(C67&lt;general!$C$23, "Pred", "Dev"))</f>
        <v>post dev</v>
      </c>
      <c r="B67" s="1398"/>
      <c r="C67" s="1388">
        <f>IF('Development Cash Flow'!D66&lt;general!$D$28,'Development Cash Flow'!C66+1,0)</f>
        <v>0</v>
      </c>
      <c r="D67" s="185">
        <f t="shared" si="0"/>
        <v>48121</v>
      </c>
      <c r="E67" s="186">
        <f>($C67&gt;=sales!$D$32)*($C67&lt;=sales!$F$32)*ResUnits/(sales!$E$32+1)</f>
        <v>0</v>
      </c>
      <c r="F67" s="181">
        <f>($C67&gt;=sales!$D$32)*($C67&lt;=sales!$F$32)*sales!$I$18/(sales!$E$32+1)</f>
        <v>0</v>
      </c>
      <c r="G67" s="181">
        <f>($C67&gt;=sales!$D$32)*($C67&lt;=sales!$F$32)*sales!$K$32/(sales!$E$32+1)</f>
        <v>0</v>
      </c>
      <c r="H67" s="187">
        <f>($C67&gt;=sales!$D$33)*($C67&lt;=sales!$F$33)*sales!$K$33/(sales!$E$33+1)</f>
        <v>0</v>
      </c>
      <c r="I67" s="181">
        <f>($C67&gt;=sales!$D$34)*($C67&lt;=sales!$F$34)*sales!$K$34/(sales!$E$34+1)</f>
        <v>0</v>
      </c>
      <c r="J67" s="181">
        <f>($C67&gt;=sales!$D$35)*($C67&lt;=sales!$F$35)*sales!$K$35/(sales!$E$35+1)</f>
        <v>0</v>
      </c>
      <c r="K67" s="189">
        <f>($C67&gt;=sales!$D$36)*($C67&lt;=sales!$F$36)*sales!$K$36*IFERROR(VLOOKUP(C67,sales!$C$50:$D$54,2,FALSE),0)</f>
        <v>0</v>
      </c>
      <c r="L67" s="1398"/>
      <c r="M67" s="1403">
        <f>+G67/$G$4*$M$4*sales!$J$32</f>
        <v>0</v>
      </c>
      <c r="N67" s="1398"/>
      <c r="O67" s="1464">
        <f>IF(ROUND(SUM(O$5:O66),2)&gt;=ROUND(O$129,2),0,INDEX('draws%'!$D$8:$AG$128,$C67+1,MATCH(O$4,'draws%'!$D$7:$AG$7,FALSE))*O$129)</f>
        <v>0</v>
      </c>
      <c r="P67" s="181">
        <f>IF(ROUND(SUM(P$5:P66),2)&gt;=ROUND(P$129,2),0,INDEX('draws%'!$D$8:$AG$128,$C67+1,MATCH(P$4,'draws%'!$D$7:$AG$7,FALSE))*P$129)</f>
        <v>0</v>
      </c>
      <c r="Q67" s="181">
        <f>IF(ROUND(SUM(Q$5:Q66),2)&gt;=ROUND(Q$129,2),0,INDEX('draws%'!$D$8:$AG$128,$C67+1,MATCH(Q$4,'draws%'!$D$7:$AG$7,FALSE))*Q$129)</f>
        <v>0</v>
      </c>
      <c r="R67" s="181">
        <f>IF(ROUND(SUM(R$5:R66),2)&gt;=ROUND(R$129,2),0,INDEX('draws%'!$D$8:$AG$128,$C67+1,MATCH(R$4,'draws%'!$D$7:$AG$7,FALSE))*R$129)</f>
        <v>0</v>
      </c>
      <c r="S67" s="181">
        <f>IF(ROUND(SUM(S$5:S66),2)&gt;=ROUND(S$129,2),0,INDEX('draws%'!$D$8:$AG$128,$C67+1,MATCH(S$4,'draws%'!$D$7:$AG$7,FALSE))*S$129)</f>
        <v>0</v>
      </c>
      <c r="T67" s="181">
        <f>IF(ROUND(SUM(T$5:T66),2)&gt;=ROUND(T$129,2),0,INDEX('draws%'!$D$8:$AG$128,$C67+1,MATCH(T$4,'draws%'!$D$7:$AG$7,FALSE))*T$129)</f>
        <v>0</v>
      </c>
      <c r="U67" s="181">
        <f>IF(ROUND(SUM(U$5:U66),2)&gt;=ROUND(U$129,2),0,INDEX('draws%'!$D$8:$AG$128,$C67+1,MATCH(U$4,'draws%'!$D$7:$AG$7,FALSE))*U$129)</f>
        <v>0</v>
      </c>
      <c r="V67" s="181">
        <f>IF(ROUND(SUM(V$5:V66),2)&gt;=ROUND(V$129,2),0,INDEX('draws%'!$D$8:$AG$128,$C67+1,MATCH(V$4,'draws%'!$D$7:$AG$7,FALSE))*V$129)</f>
        <v>0</v>
      </c>
      <c r="W67" s="181">
        <f>IF(ROUND(SUM(W$5:W66),2)&gt;=ROUND(W$129,2),0,INDEX('draws%'!$D$8:$AG$128,$C67+1,MATCH(W$4,'draws%'!$D$7:$AG$7,FALSE))*W$129)</f>
        <v>0</v>
      </c>
      <c r="X67" s="181">
        <f>IF(ROUND(SUM(X$5:X66),2)&gt;=ROUND(X$129,2),0,INDEX('draws%'!$D$8:$AG$128,$C67+1,MATCH(X$4,'draws%'!$D$7:$AG$7,FALSE))*X$129)</f>
        <v>0</v>
      </c>
      <c r="Y67" s="181">
        <f>IF(ROUND(SUM(Y$5:Y66),2)&gt;=ROUND(Y$129,2),0,INDEX('draws%'!$D$8:$AG$128,$C67+1,MATCH(Y$4,'draws%'!$D$7:$AG$7,FALSE))*Y$129)</f>
        <v>0</v>
      </c>
      <c r="Z67" s="181">
        <f>IF(ROUND(SUM(Z$5:Z66),2)&gt;=ROUND(Z$129,2),0,INDEX('draws%'!$D$8:$AG$128,$C67+1,MATCH(Z$4,'draws%'!$D$7:$AG$7,FALSE))*Z$129)</f>
        <v>0</v>
      </c>
      <c r="AA67" s="181">
        <f>IF(ROUND(SUM(AA$5:AA66),2)&gt;=ROUND(AA$129,2),0,INDEX('draws%'!$D$8:$AG$128,$C67+1,MATCH(AA$4,'draws%'!$D$7:$AG$7,FALSE))*AA$129)</f>
        <v>0</v>
      </c>
      <c r="AB67" s="181">
        <f>IF(ROUND(SUM(AB$5:AB66),2)&gt;=ROUND(AB$129,2),0,INDEX('draws%'!$D$8:$AG$128,$C67+1,MATCH(AB$4,'draws%'!$D$7:$AG$7,FALSE))*AB$129)</f>
        <v>0</v>
      </c>
      <c r="AC67" s="181">
        <f>($C67&gt;=sales!$D$32)*($C67&lt;=sales!$F$32)*sales!$J$41/(sales!$E$32+1)+($C67&gt;=sales!$D$33)*($C67&lt;=sales!$F$33)*sales!$J$42/(sales!$E$33+1)+($C67&gt;=sales!$D$34)*($C67&lt;=sales!$F$34)*sales!$J$43/(sales!$E$34+1)+($C67&gt;=sales!$D$35)*($C67&lt;=sales!$F$35)*sales!$J$44/(sales!$E$35+1)+($C67&gt;=sales!$D$36)*($C67&lt;=sales!$F$36)*sales!$J$45/(sales!$E$36+1)</f>
        <v>0</v>
      </c>
      <c r="AD67" s="181">
        <f>IF(ROUND(SUM(AD$5:AD66),2)&gt;=ROUND(AD$129,2),0,INDEX('draws%'!$D$8:$AG$128,$C67+1,MATCH(AD$4,'draws%'!$D$7:$AG$7,FALSE))*AD$129)</f>
        <v>0</v>
      </c>
      <c r="AE67" s="181">
        <f>IF(ROUND(SUM(AE$5:AE66),2)&gt;=ROUND(AE$129,2),0,INDEX('draws%'!$D$8:$AG$128,$C67+1,MATCH(AE$4,'draws%'!$D$7:$AG$7,FALSE))*AE$129)</f>
        <v>0</v>
      </c>
      <c r="AF67" s="188">
        <f>($C67&gt;=sales!$D$32)*($C67&lt;=sales!$F$32)*sales!$D$41/(sales!$E$32+1)+($C67&gt;=sales!$D$33)*($C67&lt;=sales!$F$33)*sales!$D$42/(sales!$E$33+1)+($C67&gt;=sales!$D$34)*($C67&lt;=sales!$F$34)*sales!$D$43/(sales!$E$34+1)+($C67&gt;=sales!$D$35)*($C67&lt;=sales!$F$35)*sales!$D$44/(sales!$E$35+1)+($C67&gt;=sales!$D$36)*($C67&lt;=sales!$F$36)*sales!$D$45/(sales!$E$36+1)</f>
        <v>0</v>
      </c>
      <c r="AG67" s="188">
        <f>($C67&gt;=sales!$D$32)*($C67&lt;=sales!$F$32)*sales!$F$41/(sales!$E$32+1)+($C67&gt;=sales!$D$33)*($C67&lt;=sales!$F$33)*sales!$F$42/(sales!$E$33+1)+($C67&gt;=sales!$D$34)*($C67&lt;=sales!$F$34)*sales!$F$43/(sales!$E$34+1)+($C67&gt;=sales!$D$35)*($C67&lt;=sales!$F$35)*sales!$F$44/(sales!$E$35+1)+($C67&gt;=sales!$D$36)*($C67&lt;=sales!$F$36)*sales!$F$45/(sales!$E$36+1)</f>
        <v>0</v>
      </c>
      <c r="AH67" s="181">
        <f>IF(ROUND(SUM(AH$5:AH66),2)&gt;=ROUND(AH$129,2),0,INDEX('draws%'!$D$8:$AG$128,$C67+1,MATCH(AH$4,'draws%'!$D$7:$AG$7,FALSE))*AH$129)</f>
        <v>0</v>
      </c>
      <c r="AI67" s="181">
        <f>IF(ROUND(SUM(AI$5:AI66),2)&gt;=ROUND(AI$129,2),0,INDEX('draws%'!$D$8:$AG$128,$C67+1,MATCH(AI$4,'draws%'!$D$7:$AG$7,FALSE))*AI$129)</f>
        <v>0</v>
      </c>
      <c r="AJ67" s="181">
        <f>IF(ROUND(SUM(AJ$5:AJ66),2)&gt;=ROUND(AJ$129,2),0,INDEX('draws%'!$D$8:$AG$128,$C67+1,MATCH(AJ$4,'draws%'!$D$7:$AG$7,FALSE))*AJ$129)</f>
        <v>0</v>
      </c>
      <c r="AK67" s="181">
        <f>IF(ROUND(SUM(AK$5:AK66),2)&gt;=ROUND(AK$129,2),0,INDEX('draws%'!$D$8:$AG$128,$C67+1,MATCH(AK$4,'draws%'!$D$7:$AG$7,FALSE))*AK$129)</f>
        <v>0</v>
      </c>
      <c r="AL67" s="189">
        <f t="shared" si="2"/>
        <v>0</v>
      </c>
      <c r="AM67" s="194"/>
      <c r="AO67" s="171"/>
    </row>
    <row r="68" spans="1:41" s="168" customFormat="1" ht="16" hidden="1" outlineLevel="1">
      <c r="A68" s="185" t="str">
        <f>IF(MAX(C$5:C67)&gt;=general!$C$27,"post dev",IF(C68&lt;general!$C$23, "Pred", "Dev"))</f>
        <v>post dev</v>
      </c>
      <c r="B68" s="1398"/>
      <c r="C68" s="1388">
        <f>IF('Development Cash Flow'!D67&lt;general!$D$28,'Development Cash Flow'!C67+1,0)</f>
        <v>0</v>
      </c>
      <c r="D68" s="185">
        <f t="shared" si="0"/>
        <v>48152</v>
      </c>
      <c r="E68" s="186">
        <f>($C68&gt;=sales!$D$32)*($C68&lt;=sales!$F$32)*ResUnits/(sales!$E$32+1)</f>
        <v>0</v>
      </c>
      <c r="F68" s="181">
        <f>($C68&gt;=sales!$D$32)*($C68&lt;=sales!$F$32)*sales!$I$18/(sales!$E$32+1)</f>
        <v>0</v>
      </c>
      <c r="G68" s="181">
        <f>($C68&gt;=sales!$D$32)*($C68&lt;=sales!$F$32)*sales!$K$32/(sales!$E$32+1)</f>
        <v>0</v>
      </c>
      <c r="H68" s="187">
        <f>($C68&gt;=sales!$D$33)*($C68&lt;=sales!$F$33)*sales!$K$33/(sales!$E$33+1)</f>
        <v>0</v>
      </c>
      <c r="I68" s="181">
        <f>($C68&gt;=sales!$D$34)*($C68&lt;=sales!$F$34)*sales!$K$34/(sales!$E$34+1)</f>
        <v>0</v>
      </c>
      <c r="J68" s="181">
        <f>($C68&gt;=sales!$D$35)*($C68&lt;=sales!$F$35)*sales!$K$35/(sales!$E$35+1)</f>
        <v>0</v>
      </c>
      <c r="K68" s="189">
        <f>($C68&gt;=sales!$D$36)*($C68&lt;=sales!$F$36)*sales!$K$36*IFERROR(VLOOKUP(C68,sales!$C$50:$D$54,2,FALSE),0)</f>
        <v>0</v>
      </c>
      <c r="L68" s="1398"/>
      <c r="M68" s="1403">
        <f>+G68/$G$4*$M$4*sales!$J$32</f>
        <v>0</v>
      </c>
      <c r="N68" s="1398"/>
      <c r="O68" s="1464">
        <f>IF(ROUND(SUM(O$5:O67),2)&gt;=ROUND(O$129,2),0,INDEX('draws%'!$D$8:$AG$128,$C68+1,MATCH(O$4,'draws%'!$D$7:$AG$7,FALSE))*O$129)</f>
        <v>0</v>
      </c>
      <c r="P68" s="181">
        <f>IF(ROUND(SUM(P$5:P67),2)&gt;=ROUND(P$129,2),0,INDEX('draws%'!$D$8:$AG$128,$C68+1,MATCH(P$4,'draws%'!$D$7:$AG$7,FALSE))*P$129)</f>
        <v>0</v>
      </c>
      <c r="Q68" s="181">
        <f>IF(ROUND(SUM(Q$5:Q67),2)&gt;=ROUND(Q$129,2),0,INDEX('draws%'!$D$8:$AG$128,$C68+1,MATCH(Q$4,'draws%'!$D$7:$AG$7,FALSE))*Q$129)</f>
        <v>0</v>
      </c>
      <c r="R68" s="181">
        <f>IF(ROUND(SUM(R$5:R67),2)&gt;=ROUND(R$129,2),0,INDEX('draws%'!$D$8:$AG$128,$C68+1,MATCH(R$4,'draws%'!$D$7:$AG$7,FALSE))*R$129)</f>
        <v>0</v>
      </c>
      <c r="S68" s="181">
        <f>IF(ROUND(SUM(S$5:S67),2)&gt;=ROUND(S$129,2),0,INDEX('draws%'!$D$8:$AG$128,$C68+1,MATCH(S$4,'draws%'!$D$7:$AG$7,FALSE))*S$129)</f>
        <v>0</v>
      </c>
      <c r="T68" s="181">
        <f>IF(ROUND(SUM(T$5:T67),2)&gt;=ROUND(T$129,2),0,INDEX('draws%'!$D$8:$AG$128,$C68+1,MATCH(T$4,'draws%'!$D$7:$AG$7,FALSE))*T$129)</f>
        <v>0</v>
      </c>
      <c r="U68" s="181">
        <f>IF(ROUND(SUM(U$5:U67),2)&gt;=ROUND(U$129,2),0,INDEX('draws%'!$D$8:$AG$128,$C68+1,MATCH(U$4,'draws%'!$D$7:$AG$7,FALSE))*U$129)</f>
        <v>0</v>
      </c>
      <c r="V68" s="181">
        <f>IF(ROUND(SUM(V$5:V67),2)&gt;=ROUND(V$129,2),0,INDEX('draws%'!$D$8:$AG$128,$C68+1,MATCH(V$4,'draws%'!$D$7:$AG$7,FALSE))*V$129)</f>
        <v>0</v>
      </c>
      <c r="W68" s="181">
        <f>IF(ROUND(SUM(W$5:W67),2)&gt;=ROUND(W$129,2),0,INDEX('draws%'!$D$8:$AG$128,$C68+1,MATCH(W$4,'draws%'!$D$7:$AG$7,FALSE))*W$129)</f>
        <v>0</v>
      </c>
      <c r="X68" s="181">
        <f>IF(ROUND(SUM(X$5:X67),2)&gt;=ROUND(X$129,2),0,INDEX('draws%'!$D$8:$AG$128,$C68+1,MATCH(X$4,'draws%'!$D$7:$AG$7,FALSE))*X$129)</f>
        <v>0</v>
      </c>
      <c r="Y68" s="181">
        <f>IF(ROUND(SUM(Y$5:Y67),2)&gt;=ROUND(Y$129,2),0,INDEX('draws%'!$D$8:$AG$128,$C68+1,MATCH(Y$4,'draws%'!$D$7:$AG$7,FALSE))*Y$129)</f>
        <v>0</v>
      </c>
      <c r="Z68" s="181">
        <f>IF(ROUND(SUM(Z$5:Z67),2)&gt;=ROUND(Z$129,2),0,INDEX('draws%'!$D$8:$AG$128,$C68+1,MATCH(Z$4,'draws%'!$D$7:$AG$7,FALSE))*Z$129)</f>
        <v>0</v>
      </c>
      <c r="AA68" s="181">
        <f>IF(ROUND(SUM(AA$5:AA67),2)&gt;=ROUND(AA$129,2),0,INDEX('draws%'!$D$8:$AG$128,$C68+1,MATCH(AA$4,'draws%'!$D$7:$AG$7,FALSE))*AA$129)</f>
        <v>0</v>
      </c>
      <c r="AB68" s="181">
        <f>IF(ROUND(SUM(AB$5:AB67),2)&gt;=ROUND(AB$129,2),0,INDEX('draws%'!$D$8:$AG$128,$C68+1,MATCH(AB$4,'draws%'!$D$7:$AG$7,FALSE))*AB$129)</f>
        <v>0</v>
      </c>
      <c r="AC68" s="181">
        <f>($C68&gt;=sales!$D$32)*($C68&lt;=sales!$F$32)*sales!$J$41/(sales!$E$32+1)+($C68&gt;=sales!$D$33)*($C68&lt;=sales!$F$33)*sales!$J$42/(sales!$E$33+1)+($C68&gt;=sales!$D$34)*($C68&lt;=sales!$F$34)*sales!$J$43/(sales!$E$34+1)+($C68&gt;=sales!$D$35)*($C68&lt;=sales!$F$35)*sales!$J$44/(sales!$E$35+1)+($C68&gt;=sales!$D$36)*($C68&lt;=sales!$F$36)*sales!$J$45/(sales!$E$36+1)</f>
        <v>0</v>
      </c>
      <c r="AD68" s="181">
        <f>IF(ROUND(SUM(AD$5:AD67),2)&gt;=ROUND(AD$129,2),0,INDEX('draws%'!$D$8:$AG$128,$C68+1,MATCH(AD$4,'draws%'!$D$7:$AG$7,FALSE))*AD$129)</f>
        <v>0</v>
      </c>
      <c r="AE68" s="181">
        <f>IF(ROUND(SUM(AE$5:AE67),2)&gt;=ROUND(AE$129,2),0,INDEX('draws%'!$D$8:$AG$128,$C68+1,MATCH(AE$4,'draws%'!$D$7:$AG$7,FALSE))*AE$129)</f>
        <v>0</v>
      </c>
      <c r="AF68" s="188">
        <f>($C68&gt;=sales!$D$32)*($C68&lt;=sales!$F$32)*sales!$D$41/(sales!$E$32+1)+($C68&gt;=sales!$D$33)*($C68&lt;=sales!$F$33)*sales!$D$42/(sales!$E$33+1)+($C68&gt;=sales!$D$34)*($C68&lt;=sales!$F$34)*sales!$D$43/(sales!$E$34+1)+($C68&gt;=sales!$D$35)*($C68&lt;=sales!$F$35)*sales!$D$44/(sales!$E$35+1)+($C68&gt;=sales!$D$36)*($C68&lt;=sales!$F$36)*sales!$D$45/(sales!$E$36+1)</f>
        <v>0</v>
      </c>
      <c r="AG68" s="188">
        <f>($C68&gt;=sales!$D$32)*($C68&lt;=sales!$F$32)*sales!$F$41/(sales!$E$32+1)+($C68&gt;=sales!$D$33)*($C68&lt;=sales!$F$33)*sales!$F$42/(sales!$E$33+1)+($C68&gt;=sales!$D$34)*($C68&lt;=sales!$F$34)*sales!$F$43/(sales!$E$34+1)+($C68&gt;=sales!$D$35)*($C68&lt;=sales!$F$35)*sales!$F$44/(sales!$E$35+1)+($C68&gt;=sales!$D$36)*($C68&lt;=sales!$F$36)*sales!$F$45/(sales!$E$36+1)</f>
        <v>0</v>
      </c>
      <c r="AH68" s="181">
        <f>IF(ROUND(SUM(AH$5:AH67),2)&gt;=ROUND(AH$129,2),0,INDEX('draws%'!$D$8:$AG$128,$C68+1,MATCH(AH$4,'draws%'!$D$7:$AG$7,FALSE))*AH$129)</f>
        <v>0</v>
      </c>
      <c r="AI68" s="181">
        <f>IF(ROUND(SUM(AI$5:AI67),2)&gt;=ROUND(AI$129,2),0,INDEX('draws%'!$D$8:$AG$128,$C68+1,MATCH(AI$4,'draws%'!$D$7:$AG$7,FALSE))*AI$129)</f>
        <v>0</v>
      </c>
      <c r="AJ68" s="181">
        <f>IF(ROUND(SUM(AJ$5:AJ67),2)&gt;=ROUND(AJ$129,2),0,INDEX('draws%'!$D$8:$AG$128,$C68+1,MATCH(AJ$4,'draws%'!$D$7:$AG$7,FALSE))*AJ$129)</f>
        <v>0</v>
      </c>
      <c r="AK68" s="181">
        <f>IF(ROUND(SUM(AK$5:AK67),2)&gt;=ROUND(AK$129,2),0,INDEX('draws%'!$D$8:$AG$128,$C68+1,MATCH(AK$4,'draws%'!$D$7:$AG$7,FALSE))*AK$129)</f>
        <v>0</v>
      </c>
      <c r="AL68" s="189">
        <f t="shared" si="2"/>
        <v>0</v>
      </c>
      <c r="AM68" s="195"/>
      <c r="AO68" s="171"/>
    </row>
    <row r="69" spans="1:41" ht="16" hidden="1" outlineLevel="1">
      <c r="A69" s="185" t="str">
        <f>IF(MAX(C$5:C68)&gt;=general!$C$27,"post dev",IF(C69&lt;general!$C$23, "Pred", "Dev"))</f>
        <v>post dev</v>
      </c>
      <c r="B69" s="1398"/>
      <c r="C69" s="1388">
        <f>IF('Development Cash Flow'!D68&lt;general!$D$28,'Development Cash Flow'!C68+1,0)</f>
        <v>0</v>
      </c>
      <c r="D69" s="185">
        <f t="shared" si="0"/>
        <v>48182</v>
      </c>
      <c r="E69" s="186">
        <f>($C69&gt;=sales!$D$32)*($C69&lt;=sales!$F$32)*ResUnits/(sales!$E$32+1)</f>
        <v>0</v>
      </c>
      <c r="F69" s="181">
        <f>($C69&gt;=sales!$D$32)*($C69&lt;=sales!$F$32)*sales!$I$18/(sales!$E$32+1)</f>
        <v>0</v>
      </c>
      <c r="G69" s="181">
        <f>($C69&gt;=sales!$D$32)*($C69&lt;=sales!$F$32)*sales!$K$32/(sales!$E$32+1)</f>
        <v>0</v>
      </c>
      <c r="H69" s="187">
        <f>($C69&gt;=sales!$D$33)*($C69&lt;=sales!$F$33)*sales!$K$33/(sales!$E$33+1)</f>
        <v>0</v>
      </c>
      <c r="I69" s="181">
        <f>($C69&gt;=sales!$D$34)*($C69&lt;=sales!$F$34)*sales!$K$34/(sales!$E$34+1)</f>
        <v>0</v>
      </c>
      <c r="J69" s="181">
        <f>($C69&gt;=sales!$D$35)*($C69&lt;=sales!$F$35)*sales!$K$35/(sales!$E$35+1)</f>
        <v>0</v>
      </c>
      <c r="K69" s="189">
        <f>($C69&gt;=sales!$D$36)*($C69&lt;=sales!$F$36)*sales!$K$36*IFERROR(VLOOKUP(C69,sales!$C$50:$D$54,2,FALSE),0)</f>
        <v>0</v>
      </c>
      <c r="L69" s="1398"/>
      <c r="M69" s="1403">
        <f>+G69/$G$4*$M$4*sales!$J$32</f>
        <v>0</v>
      </c>
      <c r="N69" s="1398"/>
      <c r="O69" s="1464">
        <f>IF(ROUND(SUM(O$5:O68),2)&gt;=ROUND(O$129,2),0,INDEX('draws%'!$D$8:$AG$128,$C69+1,MATCH(O$4,'draws%'!$D$7:$AG$7,FALSE))*O$129)</f>
        <v>0</v>
      </c>
      <c r="P69" s="181">
        <f>IF(ROUND(SUM(P$5:P68),2)&gt;=ROUND(P$129,2),0,INDEX('draws%'!$D$8:$AG$128,$C69+1,MATCH(P$4,'draws%'!$D$7:$AG$7,FALSE))*P$129)</f>
        <v>0</v>
      </c>
      <c r="Q69" s="181">
        <f>IF(ROUND(SUM(Q$5:Q68),2)&gt;=ROUND(Q$129,2),0,INDEX('draws%'!$D$8:$AG$128,$C69+1,MATCH(Q$4,'draws%'!$D$7:$AG$7,FALSE))*Q$129)</f>
        <v>0</v>
      </c>
      <c r="R69" s="181">
        <f>IF(ROUND(SUM(R$5:R68),2)&gt;=ROUND(R$129,2),0,INDEX('draws%'!$D$8:$AG$128,$C69+1,MATCH(R$4,'draws%'!$D$7:$AG$7,FALSE))*R$129)</f>
        <v>0</v>
      </c>
      <c r="S69" s="181">
        <f>IF(ROUND(SUM(S$5:S68),2)&gt;=ROUND(S$129,2),0,INDEX('draws%'!$D$8:$AG$128,$C69+1,MATCH(S$4,'draws%'!$D$7:$AG$7,FALSE))*S$129)</f>
        <v>0</v>
      </c>
      <c r="T69" s="181">
        <f>IF(ROUND(SUM(T$5:T68),2)&gt;=ROUND(T$129,2),0,INDEX('draws%'!$D$8:$AG$128,$C69+1,MATCH(T$4,'draws%'!$D$7:$AG$7,FALSE))*T$129)</f>
        <v>0</v>
      </c>
      <c r="U69" s="181">
        <f>IF(ROUND(SUM(U$5:U68),2)&gt;=ROUND(U$129,2),0,INDEX('draws%'!$D$8:$AG$128,$C69+1,MATCH(U$4,'draws%'!$D$7:$AG$7,FALSE))*U$129)</f>
        <v>0</v>
      </c>
      <c r="V69" s="181">
        <f>IF(ROUND(SUM(V$5:V68),2)&gt;=ROUND(V$129,2),0,INDEX('draws%'!$D$8:$AG$128,$C69+1,MATCH(V$4,'draws%'!$D$7:$AG$7,FALSE))*V$129)</f>
        <v>0</v>
      </c>
      <c r="W69" s="181">
        <f>IF(ROUND(SUM(W$5:W68),2)&gt;=ROUND(W$129,2),0,INDEX('draws%'!$D$8:$AG$128,$C69+1,MATCH(W$4,'draws%'!$D$7:$AG$7,FALSE))*W$129)</f>
        <v>0</v>
      </c>
      <c r="X69" s="181">
        <f>IF(ROUND(SUM(X$5:X68),2)&gt;=ROUND(X$129,2),0,INDEX('draws%'!$D$8:$AG$128,$C69+1,MATCH(X$4,'draws%'!$D$7:$AG$7,FALSE))*X$129)</f>
        <v>0</v>
      </c>
      <c r="Y69" s="181">
        <f>IF(ROUND(SUM(Y$5:Y68),2)&gt;=ROUND(Y$129,2),0,INDEX('draws%'!$D$8:$AG$128,$C69+1,MATCH(Y$4,'draws%'!$D$7:$AG$7,FALSE))*Y$129)</f>
        <v>0</v>
      </c>
      <c r="Z69" s="181">
        <f>IF(ROUND(SUM(Z$5:Z68),2)&gt;=ROUND(Z$129,2),0,INDEX('draws%'!$D$8:$AG$128,$C69+1,MATCH(Z$4,'draws%'!$D$7:$AG$7,FALSE))*Z$129)</f>
        <v>0</v>
      </c>
      <c r="AA69" s="181">
        <f>IF(ROUND(SUM(AA$5:AA68),2)&gt;=ROUND(AA$129,2),0,INDEX('draws%'!$D$8:$AG$128,$C69+1,MATCH(AA$4,'draws%'!$D$7:$AG$7,FALSE))*AA$129)</f>
        <v>0</v>
      </c>
      <c r="AB69" s="181">
        <f>IF(ROUND(SUM(AB$5:AB68),2)&gt;=ROUND(AB$129,2),0,INDEX('draws%'!$D$8:$AG$128,$C69+1,MATCH(AB$4,'draws%'!$D$7:$AG$7,FALSE))*AB$129)</f>
        <v>0</v>
      </c>
      <c r="AC69" s="181">
        <f>($C69&gt;=sales!$D$32)*($C69&lt;=sales!$F$32)*sales!$J$41/(sales!$E$32+1)+($C69&gt;=sales!$D$33)*($C69&lt;=sales!$F$33)*sales!$J$42/(sales!$E$33+1)+($C69&gt;=sales!$D$34)*($C69&lt;=sales!$F$34)*sales!$J$43/(sales!$E$34+1)+($C69&gt;=sales!$D$35)*($C69&lt;=sales!$F$35)*sales!$J$44/(sales!$E$35+1)+($C69&gt;=sales!$D$36)*($C69&lt;=sales!$F$36)*sales!$J$45/(sales!$E$36+1)</f>
        <v>0</v>
      </c>
      <c r="AD69" s="181">
        <f>IF(ROUND(SUM(AD$5:AD68),2)&gt;=ROUND(AD$129,2),0,INDEX('draws%'!$D$8:$AG$128,$C69+1,MATCH(AD$4,'draws%'!$D$7:$AG$7,FALSE))*AD$129)</f>
        <v>0</v>
      </c>
      <c r="AE69" s="181">
        <f>IF(ROUND(SUM(AE$5:AE68),2)&gt;=ROUND(AE$129,2),0,INDEX('draws%'!$D$8:$AG$128,$C69+1,MATCH(AE$4,'draws%'!$D$7:$AG$7,FALSE))*AE$129)</f>
        <v>0</v>
      </c>
      <c r="AF69" s="188">
        <f>($C69&gt;=sales!$D$32)*($C69&lt;=sales!$F$32)*sales!$D$41/(sales!$E$32+1)+($C69&gt;=sales!$D$33)*($C69&lt;=sales!$F$33)*sales!$D$42/(sales!$E$33+1)+($C69&gt;=sales!$D$34)*($C69&lt;=sales!$F$34)*sales!$D$43/(sales!$E$34+1)+($C69&gt;=sales!$D$35)*($C69&lt;=sales!$F$35)*sales!$D$44/(sales!$E$35+1)+($C69&gt;=sales!$D$36)*($C69&lt;=sales!$F$36)*sales!$D$45/(sales!$E$36+1)</f>
        <v>0</v>
      </c>
      <c r="AG69" s="188">
        <f>($C69&gt;=sales!$D$32)*($C69&lt;=sales!$F$32)*sales!$F$41/(sales!$E$32+1)+($C69&gt;=sales!$D$33)*($C69&lt;=sales!$F$33)*sales!$F$42/(sales!$E$33+1)+($C69&gt;=sales!$D$34)*($C69&lt;=sales!$F$34)*sales!$F$43/(sales!$E$34+1)+($C69&gt;=sales!$D$35)*($C69&lt;=sales!$F$35)*sales!$F$44/(sales!$E$35+1)+($C69&gt;=sales!$D$36)*($C69&lt;=sales!$F$36)*sales!$F$45/(sales!$E$36+1)</f>
        <v>0</v>
      </c>
      <c r="AH69" s="181">
        <f>IF(ROUND(SUM(AH$5:AH68),2)&gt;=ROUND(AH$129,2),0,INDEX('draws%'!$D$8:$AG$128,$C69+1,MATCH(AH$4,'draws%'!$D$7:$AG$7,FALSE))*AH$129)</f>
        <v>0</v>
      </c>
      <c r="AI69" s="181">
        <f>IF(ROUND(SUM(AI$5:AI68),2)&gt;=ROUND(AI$129,2),0,INDEX('draws%'!$D$8:$AG$128,$C69+1,MATCH(AI$4,'draws%'!$D$7:$AG$7,FALSE))*AI$129)</f>
        <v>0</v>
      </c>
      <c r="AJ69" s="181">
        <f>IF(ROUND(SUM(AJ$5:AJ68),2)&gt;=ROUND(AJ$129,2),0,INDEX('draws%'!$D$8:$AG$128,$C69+1,MATCH(AJ$4,'draws%'!$D$7:$AG$7,FALSE))*AJ$129)</f>
        <v>0</v>
      </c>
      <c r="AK69" s="181">
        <f>IF(ROUND(SUM(AK$5:AK68),2)&gt;=ROUND(AK$129,2),0,INDEX('draws%'!$D$8:$AG$128,$C69+1,MATCH(AK$4,'draws%'!$D$7:$AG$7,FALSE))*AK$129)</f>
        <v>0</v>
      </c>
      <c r="AL69" s="189">
        <f t="shared" si="2"/>
        <v>0</v>
      </c>
      <c r="AO69" s="173"/>
    </row>
    <row r="70" spans="1:41" ht="16" hidden="1" outlineLevel="1">
      <c r="A70" s="185" t="str">
        <f>IF(MAX(C$5:C69)&gt;=general!$C$27,"post dev",IF(C70&lt;general!$C$23, "Pred", "Dev"))</f>
        <v>post dev</v>
      </c>
      <c r="B70" s="1398"/>
      <c r="C70" s="1388">
        <f>IF('Development Cash Flow'!D69&lt;general!$D$28,'Development Cash Flow'!C69+1,0)</f>
        <v>0</v>
      </c>
      <c r="D70" s="185">
        <f t="shared" si="0"/>
        <v>48213</v>
      </c>
      <c r="E70" s="186">
        <f>($C70&gt;=sales!$D$32)*($C70&lt;=sales!$F$32)*ResUnits/(sales!$E$32+1)</f>
        <v>0</v>
      </c>
      <c r="F70" s="181">
        <f>($C70&gt;=sales!$D$32)*($C70&lt;=sales!$F$32)*sales!$I$18/(sales!$E$32+1)</f>
        <v>0</v>
      </c>
      <c r="G70" s="181">
        <f>($C70&gt;=sales!$D$32)*($C70&lt;=sales!$F$32)*sales!$K$32/(sales!$E$32+1)</f>
        <v>0</v>
      </c>
      <c r="H70" s="187">
        <f>($C70&gt;=sales!$D$33)*($C70&lt;=sales!$F$33)*sales!$K$33/(sales!$E$33+1)</f>
        <v>0</v>
      </c>
      <c r="I70" s="181">
        <f>($C70&gt;=sales!$D$34)*($C70&lt;=sales!$F$34)*sales!$K$34/(sales!$E$34+1)</f>
        <v>0</v>
      </c>
      <c r="J70" s="181">
        <f>($C70&gt;=sales!$D$35)*($C70&lt;=sales!$F$35)*sales!$K$35/(sales!$E$35+1)</f>
        <v>0</v>
      </c>
      <c r="K70" s="189">
        <f>($C70&gt;=sales!$D$36)*($C70&lt;=sales!$F$36)*sales!$K$36*IFERROR(VLOOKUP(C70,sales!$C$50:$D$54,2,FALSE),0)</f>
        <v>0</v>
      </c>
      <c r="L70" s="1398"/>
      <c r="M70" s="1403">
        <f>+G70/$G$4*$M$4*sales!$J$32</f>
        <v>0</v>
      </c>
      <c r="N70" s="1398"/>
      <c r="O70" s="1464">
        <f>IF(ROUND(SUM(O$5:O69),2)&gt;=ROUND(O$129,2),0,INDEX('draws%'!$D$8:$AG$128,$C70+1,MATCH(O$4,'draws%'!$D$7:$AG$7,FALSE))*O$129)</f>
        <v>0</v>
      </c>
      <c r="P70" s="181">
        <f>IF(ROUND(SUM(P$5:P69),2)&gt;=ROUND(P$129,2),0,INDEX('draws%'!$D$8:$AG$128,$C70+1,MATCH(P$4,'draws%'!$D$7:$AG$7,FALSE))*P$129)</f>
        <v>0</v>
      </c>
      <c r="Q70" s="181">
        <f>IF(ROUND(SUM(Q$5:Q69),2)&gt;=ROUND(Q$129,2),0,INDEX('draws%'!$D$8:$AG$128,$C70+1,MATCH(Q$4,'draws%'!$D$7:$AG$7,FALSE))*Q$129)</f>
        <v>0</v>
      </c>
      <c r="R70" s="181">
        <f>IF(ROUND(SUM(R$5:R69),2)&gt;=ROUND(R$129,2),0,INDEX('draws%'!$D$8:$AG$128,$C70+1,MATCH(R$4,'draws%'!$D$7:$AG$7,FALSE))*R$129)</f>
        <v>0</v>
      </c>
      <c r="S70" s="181">
        <f>IF(ROUND(SUM(S$5:S69),2)&gt;=ROUND(S$129,2),0,INDEX('draws%'!$D$8:$AG$128,$C70+1,MATCH(S$4,'draws%'!$D$7:$AG$7,FALSE))*S$129)</f>
        <v>0</v>
      </c>
      <c r="T70" s="181">
        <f>IF(ROUND(SUM(T$5:T69),2)&gt;=ROUND(T$129,2),0,INDEX('draws%'!$D$8:$AG$128,$C70+1,MATCH(T$4,'draws%'!$D$7:$AG$7,FALSE))*T$129)</f>
        <v>0</v>
      </c>
      <c r="U70" s="181">
        <f>IF(ROUND(SUM(U$5:U69),2)&gt;=ROUND(U$129,2),0,INDEX('draws%'!$D$8:$AG$128,$C70+1,MATCH(U$4,'draws%'!$D$7:$AG$7,FALSE))*U$129)</f>
        <v>0</v>
      </c>
      <c r="V70" s="181">
        <f>IF(ROUND(SUM(V$5:V69),2)&gt;=ROUND(V$129,2),0,INDEX('draws%'!$D$8:$AG$128,$C70+1,MATCH(V$4,'draws%'!$D$7:$AG$7,FALSE))*V$129)</f>
        <v>0</v>
      </c>
      <c r="W70" s="181">
        <f>IF(ROUND(SUM(W$5:W69),2)&gt;=ROUND(W$129,2),0,INDEX('draws%'!$D$8:$AG$128,$C70+1,MATCH(W$4,'draws%'!$D$7:$AG$7,FALSE))*W$129)</f>
        <v>0</v>
      </c>
      <c r="X70" s="181">
        <f>IF(ROUND(SUM(X$5:X69),2)&gt;=ROUND(X$129,2),0,INDEX('draws%'!$D$8:$AG$128,$C70+1,MATCH(X$4,'draws%'!$D$7:$AG$7,FALSE))*X$129)</f>
        <v>0</v>
      </c>
      <c r="Y70" s="181">
        <f>IF(ROUND(SUM(Y$5:Y69),2)&gt;=ROUND(Y$129,2),0,INDEX('draws%'!$D$8:$AG$128,$C70+1,MATCH(Y$4,'draws%'!$D$7:$AG$7,FALSE))*Y$129)</f>
        <v>0</v>
      </c>
      <c r="Z70" s="181">
        <f>IF(ROUND(SUM(Z$5:Z69),2)&gt;=ROUND(Z$129,2),0,INDEX('draws%'!$D$8:$AG$128,$C70+1,MATCH(Z$4,'draws%'!$D$7:$AG$7,FALSE))*Z$129)</f>
        <v>0</v>
      </c>
      <c r="AA70" s="181">
        <f>IF(ROUND(SUM(AA$5:AA69),2)&gt;=ROUND(AA$129,2),0,INDEX('draws%'!$D$8:$AG$128,$C70+1,MATCH(AA$4,'draws%'!$D$7:$AG$7,FALSE))*AA$129)</f>
        <v>0</v>
      </c>
      <c r="AB70" s="181">
        <f>IF(ROUND(SUM(AB$5:AB69),2)&gt;=ROUND(AB$129,2),0,INDEX('draws%'!$D$8:$AG$128,$C70+1,MATCH(AB$4,'draws%'!$D$7:$AG$7,FALSE))*AB$129)</f>
        <v>0</v>
      </c>
      <c r="AC70" s="181">
        <f>($C70&gt;=sales!$D$32)*($C70&lt;=sales!$F$32)*sales!$J$41/(sales!$E$32+1)+($C70&gt;=sales!$D$33)*($C70&lt;=sales!$F$33)*sales!$J$42/(sales!$E$33+1)+($C70&gt;=sales!$D$34)*($C70&lt;=sales!$F$34)*sales!$J$43/(sales!$E$34+1)+($C70&gt;=sales!$D$35)*($C70&lt;=sales!$F$35)*sales!$J$44/(sales!$E$35+1)+($C70&gt;=sales!$D$36)*($C70&lt;=sales!$F$36)*sales!$J$45/(sales!$E$36+1)</f>
        <v>0</v>
      </c>
      <c r="AD70" s="181">
        <f>IF(ROUND(SUM(AD$5:AD69),2)&gt;=ROUND(AD$129,2),0,INDEX('draws%'!$D$8:$AG$128,$C70+1,MATCH(AD$4,'draws%'!$D$7:$AG$7,FALSE))*AD$129)</f>
        <v>0</v>
      </c>
      <c r="AE70" s="181">
        <f>IF(ROUND(SUM(AE$5:AE69),2)&gt;=ROUND(AE$129,2),0,INDEX('draws%'!$D$8:$AG$128,$C70+1,MATCH(AE$4,'draws%'!$D$7:$AG$7,FALSE))*AE$129)</f>
        <v>0</v>
      </c>
      <c r="AF70" s="188">
        <f>($C70&gt;=sales!$D$32)*($C70&lt;=sales!$F$32)*sales!$D$41/(sales!$E$32+1)+($C70&gt;=sales!$D$33)*($C70&lt;=sales!$F$33)*sales!$D$42/(sales!$E$33+1)+($C70&gt;=sales!$D$34)*($C70&lt;=sales!$F$34)*sales!$D$43/(sales!$E$34+1)+($C70&gt;=sales!$D$35)*($C70&lt;=sales!$F$35)*sales!$D$44/(sales!$E$35+1)+($C70&gt;=sales!$D$36)*($C70&lt;=sales!$F$36)*sales!$D$45/(sales!$E$36+1)</f>
        <v>0</v>
      </c>
      <c r="AG70" s="188">
        <f>($C70&gt;=sales!$D$32)*($C70&lt;=sales!$F$32)*sales!$F$41/(sales!$E$32+1)+($C70&gt;=sales!$D$33)*($C70&lt;=sales!$F$33)*sales!$F$42/(sales!$E$33+1)+($C70&gt;=sales!$D$34)*($C70&lt;=sales!$F$34)*sales!$F$43/(sales!$E$34+1)+($C70&gt;=sales!$D$35)*($C70&lt;=sales!$F$35)*sales!$F$44/(sales!$E$35+1)+($C70&gt;=sales!$D$36)*($C70&lt;=sales!$F$36)*sales!$F$45/(sales!$E$36+1)</f>
        <v>0</v>
      </c>
      <c r="AH70" s="181">
        <f>IF(ROUND(SUM(AH$5:AH69),2)&gt;=ROUND(AH$129,2),0,INDEX('draws%'!$D$8:$AG$128,$C70+1,MATCH(AH$4,'draws%'!$D$7:$AG$7,FALSE))*AH$129)</f>
        <v>0</v>
      </c>
      <c r="AI70" s="181">
        <f>IF(ROUND(SUM(AI$5:AI69),2)&gt;=ROUND(AI$129,2),0,INDEX('draws%'!$D$8:$AG$128,$C70+1,MATCH(AI$4,'draws%'!$D$7:$AG$7,FALSE))*AI$129)</f>
        <v>0</v>
      </c>
      <c r="AJ70" s="181">
        <f>IF(ROUND(SUM(AJ$5:AJ69),2)&gt;=ROUND(AJ$129,2),0,INDEX('draws%'!$D$8:$AG$128,$C70+1,MATCH(AJ$4,'draws%'!$D$7:$AG$7,FALSE))*AJ$129)</f>
        <v>0</v>
      </c>
      <c r="AK70" s="181">
        <f>IF(ROUND(SUM(AK$5:AK69),2)&gt;=ROUND(AK$129,2),0,INDEX('draws%'!$D$8:$AG$128,$C70+1,MATCH(AK$4,'draws%'!$D$7:$AG$7,FALSE))*AK$129)</f>
        <v>0</v>
      </c>
      <c r="AL70" s="189">
        <f t="shared" si="2"/>
        <v>0</v>
      </c>
      <c r="AO70" s="173"/>
    </row>
    <row r="71" spans="1:41" s="192" customFormat="1" ht="16" hidden="1" outlineLevel="1">
      <c r="A71" s="185" t="str">
        <f>IF(MAX(C$5:C70)&gt;=general!$C$27,"post dev",IF(C71&lt;general!$C$23, "Pred", "Dev"))</f>
        <v>post dev</v>
      </c>
      <c r="B71" s="1398"/>
      <c r="C71" s="1388">
        <f>IF('Development Cash Flow'!D70&lt;general!$D$28,'Development Cash Flow'!C70+1,0)</f>
        <v>0</v>
      </c>
      <c r="D71" s="185">
        <f t="shared" si="0"/>
        <v>48244</v>
      </c>
      <c r="E71" s="186">
        <f>($C71&gt;=sales!$D$32)*($C71&lt;=sales!$F$32)*ResUnits/(sales!$E$32+1)</f>
        <v>0</v>
      </c>
      <c r="F71" s="181">
        <f>($C71&gt;=sales!$D$32)*($C71&lt;=sales!$F$32)*sales!$I$18/(sales!$E$32+1)</f>
        <v>0</v>
      </c>
      <c r="G71" s="181">
        <f>($C71&gt;=sales!$D$32)*($C71&lt;=sales!$F$32)*sales!$K$32/(sales!$E$32+1)</f>
        <v>0</v>
      </c>
      <c r="H71" s="187">
        <f>($C71&gt;=sales!$D$33)*($C71&lt;=sales!$F$33)*sales!$K$33/(sales!$E$33+1)</f>
        <v>0</v>
      </c>
      <c r="I71" s="181">
        <f>($C71&gt;=sales!$D$34)*($C71&lt;=sales!$F$34)*sales!$K$34/(sales!$E$34+1)</f>
        <v>0</v>
      </c>
      <c r="J71" s="181">
        <f>($C71&gt;=sales!$D$35)*($C71&lt;=sales!$F$35)*sales!$K$35/(sales!$E$35+1)</f>
        <v>0</v>
      </c>
      <c r="K71" s="189">
        <f>($C71&gt;=sales!$D$36)*($C71&lt;=sales!$F$36)*sales!$K$36*IFERROR(VLOOKUP(C71,sales!$C$50:$D$54,2,FALSE),0)</f>
        <v>0</v>
      </c>
      <c r="L71" s="1398"/>
      <c r="M71" s="1403">
        <f>+G71/$G$4*$M$4*sales!$J$32</f>
        <v>0</v>
      </c>
      <c r="N71" s="1398"/>
      <c r="O71" s="1464">
        <f>IF(ROUND(SUM(O$5:O70),2)&gt;=ROUND(O$129,2),0,INDEX('draws%'!$D$8:$AG$128,$C71+1,MATCH(O$4,'draws%'!$D$7:$AG$7,FALSE))*O$129)</f>
        <v>0</v>
      </c>
      <c r="P71" s="181">
        <f>IF(ROUND(SUM(P$5:P70),2)&gt;=ROUND(P$129,2),0,INDEX('draws%'!$D$8:$AG$128,$C71+1,MATCH(P$4,'draws%'!$D$7:$AG$7,FALSE))*P$129)</f>
        <v>0</v>
      </c>
      <c r="Q71" s="181">
        <f>IF(ROUND(SUM(Q$5:Q70),2)&gt;=ROUND(Q$129,2),0,INDEX('draws%'!$D$8:$AG$128,$C71+1,MATCH(Q$4,'draws%'!$D$7:$AG$7,FALSE))*Q$129)</f>
        <v>0</v>
      </c>
      <c r="R71" s="181">
        <f>IF(ROUND(SUM(R$5:R70),2)&gt;=ROUND(R$129,2),0,INDEX('draws%'!$D$8:$AG$128,$C71+1,MATCH(R$4,'draws%'!$D$7:$AG$7,FALSE))*R$129)</f>
        <v>0</v>
      </c>
      <c r="S71" s="181">
        <f>IF(ROUND(SUM(S$5:S70),2)&gt;=ROUND(S$129,2),0,INDEX('draws%'!$D$8:$AG$128,$C71+1,MATCH(S$4,'draws%'!$D$7:$AG$7,FALSE))*S$129)</f>
        <v>0</v>
      </c>
      <c r="T71" s="181">
        <f>IF(ROUND(SUM(T$5:T70),2)&gt;=ROUND(T$129,2),0,INDEX('draws%'!$D$8:$AG$128,$C71+1,MATCH(T$4,'draws%'!$D$7:$AG$7,FALSE))*T$129)</f>
        <v>0</v>
      </c>
      <c r="U71" s="181">
        <f>IF(ROUND(SUM(U$5:U70),2)&gt;=ROUND(U$129,2),0,INDEX('draws%'!$D$8:$AG$128,$C71+1,MATCH(U$4,'draws%'!$D$7:$AG$7,FALSE))*U$129)</f>
        <v>0</v>
      </c>
      <c r="V71" s="181">
        <f>IF(ROUND(SUM(V$5:V70),2)&gt;=ROUND(V$129,2),0,INDEX('draws%'!$D$8:$AG$128,$C71+1,MATCH(V$4,'draws%'!$D$7:$AG$7,FALSE))*V$129)</f>
        <v>0</v>
      </c>
      <c r="W71" s="181">
        <f>IF(ROUND(SUM(W$5:W70),2)&gt;=ROUND(W$129,2),0,INDEX('draws%'!$D$8:$AG$128,$C71+1,MATCH(W$4,'draws%'!$D$7:$AG$7,FALSE))*W$129)</f>
        <v>0</v>
      </c>
      <c r="X71" s="181">
        <f>IF(ROUND(SUM(X$5:X70),2)&gt;=ROUND(X$129,2),0,INDEX('draws%'!$D$8:$AG$128,$C71+1,MATCH(X$4,'draws%'!$D$7:$AG$7,FALSE))*X$129)</f>
        <v>0</v>
      </c>
      <c r="Y71" s="181">
        <f>IF(ROUND(SUM(Y$5:Y70),2)&gt;=ROUND(Y$129,2),0,INDEX('draws%'!$D$8:$AG$128,$C71+1,MATCH(Y$4,'draws%'!$D$7:$AG$7,FALSE))*Y$129)</f>
        <v>0</v>
      </c>
      <c r="Z71" s="181">
        <f>IF(ROUND(SUM(Z$5:Z70),2)&gt;=ROUND(Z$129,2),0,INDEX('draws%'!$D$8:$AG$128,$C71+1,MATCH(Z$4,'draws%'!$D$7:$AG$7,FALSE))*Z$129)</f>
        <v>0</v>
      </c>
      <c r="AA71" s="181">
        <f>IF(ROUND(SUM(AA$5:AA70),2)&gt;=ROUND(AA$129,2),0,INDEX('draws%'!$D$8:$AG$128,$C71+1,MATCH(AA$4,'draws%'!$D$7:$AG$7,FALSE))*AA$129)</f>
        <v>0</v>
      </c>
      <c r="AB71" s="181">
        <f>IF(ROUND(SUM(AB$5:AB70),2)&gt;=ROUND(AB$129,2),0,INDEX('draws%'!$D$8:$AG$128,$C71+1,MATCH(AB$4,'draws%'!$D$7:$AG$7,FALSE))*AB$129)</f>
        <v>0</v>
      </c>
      <c r="AC71" s="181">
        <f>($C71&gt;=sales!$D$32)*($C71&lt;=sales!$F$32)*sales!$J$41/(sales!$E$32+1)+($C71&gt;=sales!$D$33)*($C71&lt;=sales!$F$33)*sales!$J$42/(sales!$E$33+1)+($C71&gt;=sales!$D$34)*($C71&lt;=sales!$F$34)*sales!$J$43/(sales!$E$34+1)+($C71&gt;=sales!$D$35)*($C71&lt;=sales!$F$35)*sales!$J$44/(sales!$E$35+1)+($C71&gt;=sales!$D$36)*($C71&lt;=sales!$F$36)*sales!$J$45/(sales!$E$36+1)</f>
        <v>0</v>
      </c>
      <c r="AD71" s="181">
        <f>IF(ROUND(SUM(AD$5:AD70),2)&gt;=ROUND(AD$129,2),0,INDEX('draws%'!$D$8:$AG$128,$C71+1,MATCH(AD$4,'draws%'!$D$7:$AG$7,FALSE))*AD$129)</f>
        <v>0</v>
      </c>
      <c r="AE71" s="181">
        <f>IF(ROUND(SUM(AE$5:AE70),2)&gt;=ROUND(AE$129,2),0,INDEX('draws%'!$D$8:$AG$128,$C71+1,MATCH(AE$4,'draws%'!$D$7:$AG$7,FALSE))*AE$129)</f>
        <v>0</v>
      </c>
      <c r="AF71" s="188">
        <f>($C71&gt;=sales!$D$32)*($C71&lt;=sales!$F$32)*sales!$D$41/(sales!$E$32+1)+($C71&gt;=sales!$D$33)*($C71&lt;=sales!$F$33)*sales!$D$42/(sales!$E$33+1)+($C71&gt;=sales!$D$34)*($C71&lt;=sales!$F$34)*sales!$D$43/(sales!$E$34+1)+($C71&gt;=sales!$D$35)*($C71&lt;=sales!$F$35)*sales!$D$44/(sales!$E$35+1)+($C71&gt;=sales!$D$36)*($C71&lt;=sales!$F$36)*sales!$D$45/(sales!$E$36+1)</f>
        <v>0</v>
      </c>
      <c r="AG71" s="188">
        <f>($C71&gt;=sales!$D$32)*($C71&lt;=sales!$F$32)*sales!$F$41/(sales!$E$32+1)+($C71&gt;=sales!$D$33)*($C71&lt;=sales!$F$33)*sales!$F$42/(sales!$E$33+1)+($C71&gt;=sales!$D$34)*($C71&lt;=sales!$F$34)*sales!$F$43/(sales!$E$34+1)+($C71&gt;=sales!$D$35)*($C71&lt;=sales!$F$35)*sales!$F$44/(sales!$E$35+1)+($C71&gt;=sales!$D$36)*($C71&lt;=sales!$F$36)*sales!$F$45/(sales!$E$36+1)</f>
        <v>0</v>
      </c>
      <c r="AH71" s="181">
        <f>IF(ROUND(SUM(AH$5:AH70),2)&gt;=ROUND(AH$129,2),0,INDEX('draws%'!$D$8:$AG$128,$C71+1,MATCH(AH$4,'draws%'!$D$7:$AG$7,FALSE))*AH$129)</f>
        <v>0</v>
      </c>
      <c r="AI71" s="181">
        <f>IF(ROUND(SUM(AI$5:AI70),2)&gt;=ROUND(AI$129,2),0,INDEX('draws%'!$D$8:$AG$128,$C71+1,MATCH(AI$4,'draws%'!$D$7:$AG$7,FALSE))*AI$129)</f>
        <v>0</v>
      </c>
      <c r="AJ71" s="181">
        <f>IF(ROUND(SUM(AJ$5:AJ70),2)&gt;=ROUND(AJ$129,2),0,INDEX('draws%'!$D$8:$AG$128,$C71+1,MATCH(AJ$4,'draws%'!$D$7:$AG$7,FALSE))*AJ$129)</f>
        <v>0</v>
      </c>
      <c r="AK71" s="181">
        <f>IF(ROUND(SUM(AK$5:AK70),2)&gt;=ROUND(AK$129,2),0,INDEX('draws%'!$D$8:$AG$128,$C71+1,MATCH(AK$4,'draws%'!$D$7:$AG$7,FALSE))*AK$129)</f>
        <v>0</v>
      </c>
      <c r="AL71" s="189">
        <f t="shared" si="2"/>
        <v>0</v>
      </c>
      <c r="AM71" s="194"/>
      <c r="AO71" s="171"/>
    </row>
    <row r="72" spans="1:41" s="192" customFormat="1" ht="16" hidden="1" outlineLevel="1">
      <c r="A72" s="185" t="str">
        <f>IF(MAX(C$5:C71)&gt;=general!$C$27,"post dev",IF(C72&lt;general!$C$23, "Pred", "Dev"))</f>
        <v>post dev</v>
      </c>
      <c r="B72" s="1398"/>
      <c r="C72" s="1388">
        <f>IF('Development Cash Flow'!D71&lt;general!$D$28,'Development Cash Flow'!C71+1,0)</f>
        <v>0</v>
      </c>
      <c r="D72" s="185">
        <f t="shared" si="0"/>
        <v>48273</v>
      </c>
      <c r="E72" s="186">
        <f>($C72&gt;=sales!$D$32)*($C72&lt;=sales!$F$32)*ResUnits/(sales!$E$32+1)</f>
        <v>0</v>
      </c>
      <c r="F72" s="181">
        <f>($C72&gt;=sales!$D$32)*($C72&lt;=sales!$F$32)*sales!$I$18/(sales!$E$32+1)</f>
        <v>0</v>
      </c>
      <c r="G72" s="181">
        <f>($C72&gt;=sales!$D$32)*($C72&lt;=sales!$F$32)*sales!$K$32/(sales!$E$32+1)</f>
        <v>0</v>
      </c>
      <c r="H72" s="187">
        <f>($C72&gt;=sales!$D$33)*($C72&lt;=sales!$F$33)*sales!$K$33/(sales!$E$33+1)</f>
        <v>0</v>
      </c>
      <c r="I72" s="181">
        <f>($C72&gt;=sales!$D$34)*($C72&lt;=sales!$F$34)*sales!$K$34/(sales!$E$34+1)</f>
        <v>0</v>
      </c>
      <c r="J72" s="181">
        <f>($C72&gt;=sales!$D$35)*($C72&lt;=sales!$F$35)*sales!$K$35/(sales!$E$35+1)</f>
        <v>0</v>
      </c>
      <c r="K72" s="189">
        <f>($C72&gt;=sales!$D$36)*($C72&lt;=sales!$F$36)*sales!$K$36*IFERROR(VLOOKUP(C72,sales!$C$50:$D$54,2,FALSE),0)</f>
        <v>0</v>
      </c>
      <c r="L72" s="1398"/>
      <c r="M72" s="1403">
        <f>+G72/$G$4*$M$4*sales!$J$32</f>
        <v>0</v>
      </c>
      <c r="N72" s="1398"/>
      <c r="O72" s="1464">
        <f>IF(ROUND(SUM(O$5:O71),2)&gt;=ROUND(O$129,2),0,INDEX('draws%'!$D$8:$AG$128,$C72+1,MATCH(O$4,'draws%'!$D$7:$AG$7,FALSE))*O$129)</f>
        <v>0</v>
      </c>
      <c r="P72" s="181">
        <f>IF(ROUND(SUM(P$5:P71),2)&gt;=ROUND(P$129,2),0,INDEX('draws%'!$D$8:$AG$128,$C72+1,MATCH(P$4,'draws%'!$D$7:$AG$7,FALSE))*P$129)</f>
        <v>0</v>
      </c>
      <c r="Q72" s="181">
        <f>IF(ROUND(SUM(Q$5:Q71),2)&gt;=ROUND(Q$129,2),0,INDEX('draws%'!$D$8:$AG$128,$C72+1,MATCH(Q$4,'draws%'!$D$7:$AG$7,FALSE))*Q$129)</f>
        <v>0</v>
      </c>
      <c r="R72" s="181">
        <f>IF(ROUND(SUM(R$5:R71),2)&gt;=ROUND(R$129,2),0,INDEX('draws%'!$D$8:$AG$128,$C72+1,MATCH(R$4,'draws%'!$D$7:$AG$7,FALSE))*R$129)</f>
        <v>0</v>
      </c>
      <c r="S72" s="181">
        <f>IF(ROUND(SUM(S$5:S71),2)&gt;=ROUND(S$129,2),0,INDEX('draws%'!$D$8:$AG$128,$C72+1,MATCH(S$4,'draws%'!$D$7:$AG$7,FALSE))*S$129)</f>
        <v>0</v>
      </c>
      <c r="T72" s="181">
        <f>IF(ROUND(SUM(T$5:T71),2)&gt;=ROUND(T$129,2),0,INDEX('draws%'!$D$8:$AG$128,$C72+1,MATCH(T$4,'draws%'!$D$7:$AG$7,FALSE))*T$129)</f>
        <v>0</v>
      </c>
      <c r="U72" s="181">
        <f>IF(ROUND(SUM(U$5:U71),2)&gt;=ROUND(U$129,2),0,INDEX('draws%'!$D$8:$AG$128,$C72+1,MATCH(U$4,'draws%'!$D$7:$AG$7,FALSE))*U$129)</f>
        <v>0</v>
      </c>
      <c r="V72" s="181">
        <f>IF(ROUND(SUM(V$5:V71),2)&gt;=ROUND(V$129,2),0,INDEX('draws%'!$D$8:$AG$128,$C72+1,MATCH(V$4,'draws%'!$D$7:$AG$7,FALSE))*V$129)</f>
        <v>0</v>
      </c>
      <c r="W72" s="181">
        <f>IF(ROUND(SUM(W$5:W71),2)&gt;=ROUND(W$129,2),0,INDEX('draws%'!$D$8:$AG$128,$C72+1,MATCH(W$4,'draws%'!$D$7:$AG$7,FALSE))*W$129)</f>
        <v>0</v>
      </c>
      <c r="X72" s="181">
        <f>IF(ROUND(SUM(X$5:X71),2)&gt;=ROUND(X$129,2),0,INDEX('draws%'!$D$8:$AG$128,$C72+1,MATCH(X$4,'draws%'!$D$7:$AG$7,FALSE))*X$129)</f>
        <v>0</v>
      </c>
      <c r="Y72" s="181">
        <f>IF(ROUND(SUM(Y$5:Y71),2)&gt;=ROUND(Y$129,2),0,INDEX('draws%'!$D$8:$AG$128,$C72+1,MATCH(Y$4,'draws%'!$D$7:$AG$7,FALSE))*Y$129)</f>
        <v>0</v>
      </c>
      <c r="Z72" s="181">
        <f>IF(ROUND(SUM(Z$5:Z71),2)&gt;=ROUND(Z$129,2),0,INDEX('draws%'!$D$8:$AG$128,$C72+1,MATCH(Z$4,'draws%'!$D$7:$AG$7,FALSE))*Z$129)</f>
        <v>0</v>
      </c>
      <c r="AA72" s="181">
        <f>IF(ROUND(SUM(AA$5:AA71),2)&gt;=ROUND(AA$129,2),0,INDEX('draws%'!$D$8:$AG$128,$C72+1,MATCH(AA$4,'draws%'!$D$7:$AG$7,FALSE))*AA$129)</f>
        <v>0</v>
      </c>
      <c r="AB72" s="181">
        <f>IF(ROUND(SUM(AB$5:AB71),2)&gt;=ROUND(AB$129,2),0,INDEX('draws%'!$D$8:$AG$128,$C72+1,MATCH(AB$4,'draws%'!$D$7:$AG$7,FALSE))*AB$129)</f>
        <v>0</v>
      </c>
      <c r="AC72" s="181">
        <f>($C72&gt;=sales!$D$32)*($C72&lt;=sales!$F$32)*sales!$J$41/(sales!$E$32+1)+($C72&gt;=sales!$D$33)*($C72&lt;=sales!$F$33)*sales!$J$42/(sales!$E$33+1)+($C72&gt;=sales!$D$34)*($C72&lt;=sales!$F$34)*sales!$J$43/(sales!$E$34+1)+($C72&gt;=sales!$D$35)*($C72&lt;=sales!$F$35)*sales!$J$44/(sales!$E$35+1)+($C72&gt;=sales!$D$36)*($C72&lt;=sales!$F$36)*sales!$J$45/(sales!$E$36+1)</f>
        <v>0</v>
      </c>
      <c r="AD72" s="181">
        <f>IF(ROUND(SUM(AD$5:AD71),2)&gt;=ROUND(AD$129,2),0,INDEX('draws%'!$D$8:$AG$128,$C72+1,MATCH(AD$4,'draws%'!$D$7:$AG$7,FALSE))*AD$129)</f>
        <v>0</v>
      </c>
      <c r="AE72" s="181">
        <f>IF(ROUND(SUM(AE$5:AE71),2)&gt;=ROUND(AE$129,2),0,INDEX('draws%'!$D$8:$AG$128,$C72+1,MATCH(AE$4,'draws%'!$D$7:$AG$7,FALSE))*AE$129)</f>
        <v>0</v>
      </c>
      <c r="AF72" s="188">
        <f>($C72&gt;=sales!$D$32)*($C72&lt;=sales!$F$32)*sales!$D$41/(sales!$E$32+1)+($C72&gt;=sales!$D$33)*($C72&lt;=sales!$F$33)*sales!$D$42/(sales!$E$33+1)+($C72&gt;=sales!$D$34)*($C72&lt;=sales!$F$34)*sales!$D$43/(sales!$E$34+1)+($C72&gt;=sales!$D$35)*($C72&lt;=sales!$F$35)*sales!$D$44/(sales!$E$35+1)+($C72&gt;=sales!$D$36)*($C72&lt;=sales!$F$36)*sales!$D$45/(sales!$E$36+1)</f>
        <v>0</v>
      </c>
      <c r="AG72" s="188">
        <f>($C72&gt;=sales!$D$32)*($C72&lt;=sales!$F$32)*sales!$F$41/(sales!$E$32+1)+($C72&gt;=sales!$D$33)*($C72&lt;=sales!$F$33)*sales!$F$42/(sales!$E$33+1)+($C72&gt;=sales!$D$34)*($C72&lt;=sales!$F$34)*sales!$F$43/(sales!$E$34+1)+($C72&gt;=sales!$D$35)*($C72&lt;=sales!$F$35)*sales!$F$44/(sales!$E$35+1)+($C72&gt;=sales!$D$36)*($C72&lt;=sales!$F$36)*sales!$F$45/(sales!$E$36+1)</f>
        <v>0</v>
      </c>
      <c r="AH72" s="181">
        <f>IF(ROUND(SUM(AH$5:AH71),2)&gt;=ROUND(AH$129,2),0,INDEX('draws%'!$D$8:$AG$128,$C72+1,MATCH(AH$4,'draws%'!$D$7:$AG$7,FALSE))*AH$129)</f>
        <v>0</v>
      </c>
      <c r="AI72" s="181">
        <f>IF(ROUND(SUM(AI$5:AI71),2)&gt;=ROUND(AI$129,2),0,INDEX('draws%'!$D$8:$AG$128,$C72+1,MATCH(AI$4,'draws%'!$D$7:$AG$7,FALSE))*AI$129)</f>
        <v>0</v>
      </c>
      <c r="AJ72" s="181">
        <f>IF(ROUND(SUM(AJ$5:AJ71),2)&gt;=ROUND(AJ$129,2),0,INDEX('draws%'!$D$8:$AG$128,$C72+1,MATCH(AJ$4,'draws%'!$D$7:$AG$7,FALSE))*AJ$129)</f>
        <v>0</v>
      </c>
      <c r="AK72" s="181">
        <f>IF(ROUND(SUM(AK$5:AK71),2)&gt;=ROUND(AK$129,2),0,INDEX('draws%'!$D$8:$AG$128,$C72+1,MATCH(AK$4,'draws%'!$D$7:$AG$7,FALSE))*AK$129)</f>
        <v>0</v>
      </c>
      <c r="AL72" s="189">
        <f t="shared" si="2"/>
        <v>0</v>
      </c>
      <c r="AM72" s="194"/>
      <c r="AO72" s="171"/>
    </row>
    <row r="73" spans="1:41" s="192" customFormat="1" ht="16" hidden="1" outlineLevel="1">
      <c r="A73" s="185" t="str">
        <f>IF(MAX(C$5:C72)&gt;=general!$C$27,"post dev",IF(C73&lt;general!$C$23, "Pred", "Dev"))</f>
        <v>post dev</v>
      </c>
      <c r="B73" s="1398"/>
      <c r="C73" s="1388">
        <f>IF('Development Cash Flow'!D72&lt;general!$D$28,'Development Cash Flow'!C72+1,0)</f>
        <v>0</v>
      </c>
      <c r="D73" s="185">
        <f t="shared" si="0"/>
        <v>48304</v>
      </c>
      <c r="E73" s="186">
        <f>($C73&gt;=sales!$D$32)*($C73&lt;=sales!$F$32)*ResUnits/(sales!$E$32+1)</f>
        <v>0</v>
      </c>
      <c r="F73" s="181">
        <f>($C73&gt;=sales!$D$32)*($C73&lt;=sales!$F$32)*sales!$I$18/(sales!$E$32+1)</f>
        <v>0</v>
      </c>
      <c r="G73" s="181">
        <f>($C73&gt;=sales!$D$32)*($C73&lt;=sales!$F$32)*sales!$K$32/(sales!$E$32+1)</f>
        <v>0</v>
      </c>
      <c r="H73" s="187">
        <f>($C73&gt;=sales!$D$33)*($C73&lt;=sales!$F$33)*sales!$K$33/(sales!$E$33+1)</f>
        <v>0</v>
      </c>
      <c r="I73" s="181">
        <f>($C73&gt;=sales!$D$34)*($C73&lt;=sales!$F$34)*sales!$K$34/(sales!$E$34+1)</f>
        <v>0</v>
      </c>
      <c r="J73" s="181">
        <f>($C73&gt;=sales!$D$35)*($C73&lt;=sales!$F$35)*sales!$K$35/(sales!$E$35+1)</f>
        <v>0</v>
      </c>
      <c r="K73" s="189">
        <f>($C73&gt;=sales!$D$36)*($C73&lt;=sales!$F$36)*sales!$K$36*IFERROR(VLOOKUP(C73,sales!$C$50:$D$54,2,FALSE),0)</f>
        <v>0</v>
      </c>
      <c r="L73" s="1398"/>
      <c r="M73" s="1403">
        <f>+G73/$G$4*$M$4*sales!$J$32</f>
        <v>0</v>
      </c>
      <c r="N73" s="1398"/>
      <c r="O73" s="1464">
        <f>IF(ROUND(SUM(O$5:O72),2)&gt;=ROUND(O$129,2),0,INDEX('draws%'!$D$8:$AG$128,$C73+1,MATCH(O$4,'draws%'!$D$7:$AG$7,FALSE))*O$129)</f>
        <v>0</v>
      </c>
      <c r="P73" s="181">
        <f>IF(ROUND(SUM(P$5:P72),2)&gt;=ROUND(P$129,2),0,INDEX('draws%'!$D$8:$AG$128,$C73+1,MATCH(P$4,'draws%'!$D$7:$AG$7,FALSE))*P$129)</f>
        <v>0</v>
      </c>
      <c r="Q73" s="181">
        <f>IF(ROUND(SUM(Q$5:Q72),2)&gt;=ROUND(Q$129,2),0,INDEX('draws%'!$D$8:$AG$128,$C73+1,MATCH(Q$4,'draws%'!$D$7:$AG$7,FALSE))*Q$129)</f>
        <v>0</v>
      </c>
      <c r="R73" s="181">
        <f>IF(ROUND(SUM(R$5:R72),2)&gt;=ROUND(R$129,2),0,INDEX('draws%'!$D$8:$AG$128,$C73+1,MATCH(R$4,'draws%'!$D$7:$AG$7,FALSE))*R$129)</f>
        <v>0</v>
      </c>
      <c r="S73" s="181">
        <f>IF(ROUND(SUM(S$5:S72),2)&gt;=ROUND(S$129,2),0,INDEX('draws%'!$D$8:$AG$128,$C73+1,MATCH(S$4,'draws%'!$D$7:$AG$7,FALSE))*S$129)</f>
        <v>0</v>
      </c>
      <c r="T73" s="181">
        <f>IF(ROUND(SUM(T$5:T72),2)&gt;=ROUND(T$129,2),0,INDEX('draws%'!$D$8:$AG$128,$C73+1,MATCH(T$4,'draws%'!$D$7:$AG$7,FALSE))*T$129)</f>
        <v>0</v>
      </c>
      <c r="U73" s="181">
        <f>IF(ROUND(SUM(U$5:U72),2)&gt;=ROUND(U$129,2),0,INDEX('draws%'!$D$8:$AG$128,$C73+1,MATCH(U$4,'draws%'!$D$7:$AG$7,FALSE))*U$129)</f>
        <v>0</v>
      </c>
      <c r="V73" s="181">
        <f>IF(ROUND(SUM(V$5:V72),2)&gt;=ROUND(V$129,2),0,INDEX('draws%'!$D$8:$AG$128,$C73+1,MATCH(V$4,'draws%'!$D$7:$AG$7,FALSE))*V$129)</f>
        <v>0</v>
      </c>
      <c r="W73" s="181">
        <f>IF(ROUND(SUM(W$5:W72),2)&gt;=ROUND(W$129,2),0,INDEX('draws%'!$D$8:$AG$128,$C73+1,MATCH(W$4,'draws%'!$D$7:$AG$7,FALSE))*W$129)</f>
        <v>0</v>
      </c>
      <c r="X73" s="181">
        <f>IF(ROUND(SUM(X$5:X72),2)&gt;=ROUND(X$129,2),0,INDEX('draws%'!$D$8:$AG$128,$C73+1,MATCH(X$4,'draws%'!$D$7:$AG$7,FALSE))*X$129)</f>
        <v>0</v>
      </c>
      <c r="Y73" s="181">
        <f>IF(ROUND(SUM(Y$5:Y72),2)&gt;=ROUND(Y$129,2),0,INDEX('draws%'!$D$8:$AG$128,$C73+1,MATCH(Y$4,'draws%'!$D$7:$AG$7,FALSE))*Y$129)</f>
        <v>0</v>
      </c>
      <c r="Z73" s="181">
        <f>IF(ROUND(SUM(Z$5:Z72),2)&gt;=ROUND(Z$129,2),0,INDEX('draws%'!$D$8:$AG$128,$C73+1,MATCH(Z$4,'draws%'!$D$7:$AG$7,FALSE))*Z$129)</f>
        <v>0</v>
      </c>
      <c r="AA73" s="181">
        <f>IF(ROUND(SUM(AA$5:AA72),2)&gt;=ROUND(AA$129,2),0,INDEX('draws%'!$D$8:$AG$128,$C73+1,MATCH(AA$4,'draws%'!$D$7:$AG$7,FALSE))*AA$129)</f>
        <v>0</v>
      </c>
      <c r="AB73" s="181">
        <f>IF(ROUND(SUM(AB$5:AB72),2)&gt;=ROUND(AB$129,2),0,INDEX('draws%'!$D$8:$AG$128,$C73+1,MATCH(AB$4,'draws%'!$D$7:$AG$7,FALSE))*AB$129)</f>
        <v>0</v>
      </c>
      <c r="AC73" s="181">
        <f>($C73&gt;=sales!$D$32)*($C73&lt;=sales!$F$32)*sales!$J$41/(sales!$E$32+1)+($C73&gt;=sales!$D$33)*($C73&lt;=sales!$F$33)*sales!$J$42/(sales!$E$33+1)+($C73&gt;=sales!$D$34)*($C73&lt;=sales!$F$34)*sales!$J$43/(sales!$E$34+1)+($C73&gt;=sales!$D$35)*($C73&lt;=sales!$F$35)*sales!$J$44/(sales!$E$35+1)+($C73&gt;=sales!$D$36)*($C73&lt;=sales!$F$36)*sales!$J$45/(sales!$E$36+1)</f>
        <v>0</v>
      </c>
      <c r="AD73" s="181">
        <f>IF(ROUND(SUM(AD$5:AD72),2)&gt;=ROUND(AD$129,2),0,INDEX('draws%'!$D$8:$AG$128,$C73+1,MATCH(AD$4,'draws%'!$D$7:$AG$7,FALSE))*AD$129)</f>
        <v>0</v>
      </c>
      <c r="AE73" s="181">
        <f>IF(ROUND(SUM(AE$5:AE72),2)&gt;=ROUND(AE$129,2),0,INDEX('draws%'!$D$8:$AG$128,$C73+1,MATCH(AE$4,'draws%'!$D$7:$AG$7,FALSE))*AE$129)</f>
        <v>0</v>
      </c>
      <c r="AF73" s="188">
        <f>($C73&gt;=sales!$D$32)*($C73&lt;=sales!$F$32)*sales!$D$41/(sales!$E$32+1)+($C73&gt;=sales!$D$33)*($C73&lt;=sales!$F$33)*sales!$D$42/(sales!$E$33+1)+($C73&gt;=sales!$D$34)*($C73&lt;=sales!$F$34)*sales!$D$43/(sales!$E$34+1)+($C73&gt;=sales!$D$35)*($C73&lt;=sales!$F$35)*sales!$D$44/(sales!$E$35+1)+($C73&gt;=sales!$D$36)*($C73&lt;=sales!$F$36)*sales!$D$45/(sales!$E$36+1)</f>
        <v>0</v>
      </c>
      <c r="AG73" s="188">
        <f>($C73&gt;=sales!$D$32)*($C73&lt;=sales!$F$32)*sales!$F$41/(sales!$E$32+1)+($C73&gt;=sales!$D$33)*($C73&lt;=sales!$F$33)*sales!$F$42/(sales!$E$33+1)+($C73&gt;=sales!$D$34)*($C73&lt;=sales!$F$34)*sales!$F$43/(sales!$E$34+1)+($C73&gt;=sales!$D$35)*($C73&lt;=sales!$F$35)*sales!$F$44/(sales!$E$35+1)+($C73&gt;=sales!$D$36)*($C73&lt;=sales!$F$36)*sales!$F$45/(sales!$E$36+1)</f>
        <v>0</v>
      </c>
      <c r="AH73" s="181">
        <f>IF(ROUND(SUM(AH$5:AH72),2)&gt;=ROUND(AH$129,2),0,INDEX('draws%'!$D$8:$AG$128,$C73+1,MATCH(AH$4,'draws%'!$D$7:$AG$7,FALSE))*AH$129)</f>
        <v>0</v>
      </c>
      <c r="AI73" s="181">
        <f>IF(ROUND(SUM(AI$5:AI72),2)&gt;=ROUND(AI$129,2),0,INDEX('draws%'!$D$8:$AG$128,$C73+1,MATCH(AI$4,'draws%'!$D$7:$AG$7,FALSE))*AI$129)</f>
        <v>0</v>
      </c>
      <c r="AJ73" s="181">
        <f>IF(ROUND(SUM(AJ$5:AJ72),2)&gt;=ROUND(AJ$129,2),0,INDEX('draws%'!$D$8:$AG$128,$C73+1,MATCH(AJ$4,'draws%'!$D$7:$AG$7,FALSE))*AJ$129)</f>
        <v>0</v>
      </c>
      <c r="AK73" s="181">
        <f>IF(ROUND(SUM(AK$5:AK72),2)&gt;=ROUND(AK$129,2),0,INDEX('draws%'!$D$8:$AG$128,$C73+1,MATCH(AK$4,'draws%'!$D$7:$AG$7,FALSE))*AK$129)</f>
        <v>0</v>
      </c>
      <c r="AL73" s="189">
        <f t="shared" si="2"/>
        <v>0</v>
      </c>
      <c r="AM73" s="194"/>
      <c r="AO73" s="171"/>
    </row>
    <row r="74" spans="1:41" s="192" customFormat="1" ht="16" hidden="1" outlineLevel="1">
      <c r="A74" s="185" t="str">
        <f>IF(MAX(C$5:C73)&gt;=general!$C$27,"post dev",IF(C74&lt;general!$C$23, "Pred", "Dev"))</f>
        <v>post dev</v>
      </c>
      <c r="B74" s="1398"/>
      <c r="C74" s="1388">
        <f>IF('Development Cash Flow'!D73&lt;general!$D$28,'Development Cash Flow'!C73+1,0)</f>
        <v>0</v>
      </c>
      <c r="D74" s="185">
        <f t="shared" si="0"/>
        <v>48334</v>
      </c>
      <c r="E74" s="186">
        <f>($C74&gt;=sales!$D$32)*($C74&lt;=sales!$F$32)*ResUnits/(sales!$E$32+1)</f>
        <v>0</v>
      </c>
      <c r="F74" s="181">
        <f>($C74&gt;=sales!$D$32)*($C74&lt;=sales!$F$32)*sales!$I$18/(sales!$E$32+1)</f>
        <v>0</v>
      </c>
      <c r="G74" s="181">
        <f>($C74&gt;=sales!$D$32)*($C74&lt;=sales!$F$32)*sales!$K$32/(sales!$E$32+1)</f>
        <v>0</v>
      </c>
      <c r="H74" s="187">
        <f>($C74&gt;=sales!$D$33)*($C74&lt;=sales!$F$33)*sales!$K$33/(sales!$E$33+1)</f>
        <v>0</v>
      </c>
      <c r="I74" s="181">
        <f>($C74&gt;=sales!$D$34)*($C74&lt;=sales!$F$34)*sales!$K$34/(sales!$E$34+1)</f>
        <v>0</v>
      </c>
      <c r="J74" s="181">
        <f>($C74&gt;=sales!$D$35)*($C74&lt;=sales!$F$35)*sales!$K$35/(sales!$E$35+1)</f>
        <v>0</v>
      </c>
      <c r="K74" s="189">
        <f>($C74&gt;=sales!$D$36)*($C74&lt;=sales!$F$36)*sales!$K$36*IFERROR(VLOOKUP(C74,sales!$C$50:$D$54,2,FALSE),0)</f>
        <v>0</v>
      </c>
      <c r="L74" s="1398"/>
      <c r="M74" s="1403">
        <f>+G74/$G$4*$M$4*sales!$J$32</f>
        <v>0</v>
      </c>
      <c r="N74" s="1398"/>
      <c r="O74" s="1464">
        <f>IF(ROUND(SUM(O$5:O73),2)&gt;=ROUND(O$129,2),0,INDEX('draws%'!$D$8:$AG$128,$C74+1,MATCH(O$4,'draws%'!$D$7:$AG$7,FALSE))*O$129)</f>
        <v>0</v>
      </c>
      <c r="P74" s="181">
        <f>IF(ROUND(SUM(P$5:P73),2)&gt;=ROUND(P$129,2),0,INDEX('draws%'!$D$8:$AG$128,$C74+1,MATCH(P$4,'draws%'!$D$7:$AG$7,FALSE))*P$129)</f>
        <v>0</v>
      </c>
      <c r="Q74" s="181">
        <f>IF(ROUND(SUM(Q$5:Q73),2)&gt;=ROUND(Q$129,2),0,INDEX('draws%'!$D$8:$AG$128,$C74+1,MATCH(Q$4,'draws%'!$D$7:$AG$7,FALSE))*Q$129)</f>
        <v>0</v>
      </c>
      <c r="R74" s="181">
        <f>IF(ROUND(SUM(R$5:R73),2)&gt;=ROUND(R$129,2),0,INDEX('draws%'!$D$8:$AG$128,$C74+1,MATCH(R$4,'draws%'!$D$7:$AG$7,FALSE))*R$129)</f>
        <v>0</v>
      </c>
      <c r="S74" s="181">
        <f>IF(ROUND(SUM(S$5:S73),2)&gt;=ROUND(S$129,2),0,INDEX('draws%'!$D$8:$AG$128,$C74+1,MATCH(S$4,'draws%'!$D$7:$AG$7,FALSE))*S$129)</f>
        <v>0</v>
      </c>
      <c r="T74" s="181">
        <f>IF(ROUND(SUM(T$5:T73),2)&gt;=ROUND(T$129,2),0,INDEX('draws%'!$D$8:$AG$128,$C74+1,MATCH(T$4,'draws%'!$D$7:$AG$7,FALSE))*T$129)</f>
        <v>0</v>
      </c>
      <c r="U74" s="181">
        <f>IF(ROUND(SUM(U$5:U73),2)&gt;=ROUND(U$129,2),0,INDEX('draws%'!$D$8:$AG$128,$C74+1,MATCH(U$4,'draws%'!$D$7:$AG$7,FALSE))*U$129)</f>
        <v>0</v>
      </c>
      <c r="V74" s="181">
        <f>IF(ROUND(SUM(V$5:V73),2)&gt;=ROUND(V$129,2),0,INDEX('draws%'!$D$8:$AG$128,$C74+1,MATCH(V$4,'draws%'!$D$7:$AG$7,FALSE))*V$129)</f>
        <v>0</v>
      </c>
      <c r="W74" s="181">
        <f>IF(ROUND(SUM(W$5:W73),2)&gt;=ROUND(W$129,2),0,INDEX('draws%'!$D$8:$AG$128,$C74+1,MATCH(W$4,'draws%'!$D$7:$AG$7,FALSE))*W$129)</f>
        <v>0</v>
      </c>
      <c r="X74" s="181">
        <f>IF(ROUND(SUM(X$5:X73),2)&gt;=ROUND(X$129,2),0,INDEX('draws%'!$D$8:$AG$128,$C74+1,MATCH(X$4,'draws%'!$D$7:$AG$7,FALSE))*X$129)</f>
        <v>0</v>
      </c>
      <c r="Y74" s="181">
        <f>IF(ROUND(SUM(Y$5:Y73),2)&gt;=ROUND(Y$129,2),0,INDEX('draws%'!$D$8:$AG$128,$C74+1,MATCH(Y$4,'draws%'!$D$7:$AG$7,FALSE))*Y$129)</f>
        <v>0</v>
      </c>
      <c r="Z74" s="181">
        <f>IF(ROUND(SUM(Z$5:Z73),2)&gt;=ROUND(Z$129,2),0,INDEX('draws%'!$D$8:$AG$128,$C74+1,MATCH(Z$4,'draws%'!$D$7:$AG$7,FALSE))*Z$129)</f>
        <v>0</v>
      </c>
      <c r="AA74" s="181">
        <f>IF(ROUND(SUM(AA$5:AA73),2)&gt;=ROUND(AA$129,2),0,INDEX('draws%'!$D$8:$AG$128,$C74+1,MATCH(AA$4,'draws%'!$D$7:$AG$7,FALSE))*AA$129)</f>
        <v>0</v>
      </c>
      <c r="AB74" s="181">
        <f>IF(ROUND(SUM(AB$5:AB73),2)&gt;=ROUND(AB$129,2),0,INDEX('draws%'!$D$8:$AG$128,$C74+1,MATCH(AB$4,'draws%'!$D$7:$AG$7,FALSE))*AB$129)</f>
        <v>0</v>
      </c>
      <c r="AC74" s="181">
        <f>($C74&gt;=sales!$D$32)*($C74&lt;=sales!$F$32)*sales!$J$41/(sales!$E$32+1)+($C74&gt;=sales!$D$33)*($C74&lt;=sales!$F$33)*sales!$J$42/(sales!$E$33+1)+($C74&gt;=sales!$D$34)*($C74&lt;=sales!$F$34)*sales!$J$43/(sales!$E$34+1)+($C74&gt;=sales!$D$35)*($C74&lt;=sales!$F$35)*sales!$J$44/(sales!$E$35+1)+($C74&gt;=sales!$D$36)*($C74&lt;=sales!$F$36)*sales!$J$45/(sales!$E$36+1)</f>
        <v>0</v>
      </c>
      <c r="AD74" s="181">
        <f>IF(ROUND(SUM(AD$5:AD73),2)&gt;=ROUND(AD$129,2),0,INDEX('draws%'!$D$8:$AG$128,$C74+1,MATCH(AD$4,'draws%'!$D$7:$AG$7,FALSE))*AD$129)</f>
        <v>0</v>
      </c>
      <c r="AE74" s="181">
        <f>IF(ROUND(SUM(AE$5:AE73),2)&gt;=ROUND(AE$129,2),0,INDEX('draws%'!$D$8:$AG$128,$C74+1,MATCH(AE$4,'draws%'!$D$7:$AG$7,FALSE))*AE$129)</f>
        <v>0</v>
      </c>
      <c r="AF74" s="188">
        <f>($C74&gt;=sales!$D$32)*($C74&lt;=sales!$F$32)*sales!$D$41/(sales!$E$32+1)+($C74&gt;=sales!$D$33)*($C74&lt;=sales!$F$33)*sales!$D$42/(sales!$E$33+1)+($C74&gt;=sales!$D$34)*($C74&lt;=sales!$F$34)*sales!$D$43/(sales!$E$34+1)+($C74&gt;=sales!$D$35)*($C74&lt;=sales!$F$35)*sales!$D$44/(sales!$E$35+1)+($C74&gt;=sales!$D$36)*($C74&lt;=sales!$F$36)*sales!$D$45/(sales!$E$36+1)</f>
        <v>0</v>
      </c>
      <c r="AG74" s="188">
        <f>($C74&gt;=sales!$D$32)*($C74&lt;=sales!$F$32)*sales!$F$41/(sales!$E$32+1)+($C74&gt;=sales!$D$33)*($C74&lt;=sales!$F$33)*sales!$F$42/(sales!$E$33+1)+($C74&gt;=sales!$D$34)*($C74&lt;=sales!$F$34)*sales!$F$43/(sales!$E$34+1)+($C74&gt;=sales!$D$35)*($C74&lt;=sales!$F$35)*sales!$F$44/(sales!$E$35+1)+($C74&gt;=sales!$D$36)*($C74&lt;=sales!$F$36)*sales!$F$45/(sales!$E$36+1)</f>
        <v>0</v>
      </c>
      <c r="AH74" s="181">
        <f>IF(ROUND(SUM(AH$5:AH73),2)&gt;=ROUND(AH$129,2),0,INDEX('draws%'!$D$8:$AG$128,$C74+1,MATCH(AH$4,'draws%'!$D$7:$AG$7,FALSE))*AH$129)</f>
        <v>0</v>
      </c>
      <c r="AI74" s="181">
        <f>IF(ROUND(SUM(AI$5:AI73),2)&gt;=ROUND(AI$129,2),0,INDEX('draws%'!$D$8:$AG$128,$C74+1,MATCH(AI$4,'draws%'!$D$7:$AG$7,FALSE))*AI$129)</f>
        <v>0</v>
      </c>
      <c r="AJ74" s="181">
        <f>IF(ROUND(SUM(AJ$5:AJ73),2)&gt;=ROUND(AJ$129,2),0,INDEX('draws%'!$D$8:$AG$128,$C74+1,MATCH(AJ$4,'draws%'!$D$7:$AG$7,FALSE))*AJ$129)</f>
        <v>0</v>
      </c>
      <c r="AK74" s="181">
        <f>IF(ROUND(SUM(AK$5:AK73),2)&gt;=ROUND(AK$129,2),0,INDEX('draws%'!$D$8:$AG$128,$C74+1,MATCH(AK$4,'draws%'!$D$7:$AG$7,FALSE))*AK$129)</f>
        <v>0</v>
      </c>
      <c r="AL74" s="189">
        <f t="shared" si="2"/>
        <v>0</v>
      </c>
      <c r="AM74" s="194"/>
      <c r="AO74" s="171"/>
    </row>
    <row r="75" spans="1:41" s="168" customFormat="1" ht="16" hidden="1" outlineLevel="1">
      <c r="A75" s="185" t="str">
        <f>IF(MAX(C$5:C74)&gt;=general!$C$27,"post dev",IF(C75&lt;general!$C$23, "Pred", "Dev"))</f>
        <v>post dev</v>
      </c>
      <c r="B75" s="1398"/>
      <c r="C75" s="1388">
        <f>IF('Development Cash Flow'!D74&lt;general!$D$28,'Development Cash Flow'!C74+1,0)</f>
        <v>0</v>
      </c>
      <c r="D75" s="185">
        <f t="shared" si="0"/>
        <v>48365</v>
      </c>
      <c r="E75" s="186">
        <f>($C75&gt;=sales!$D$32)*($C75&lt;=sales!$F$32)*ResUnits/(sales!$E$32+1)</f>
        <v>0</v>
      </c>
      <c r="F75" s="181">
        <f>($C75&gt;=sales!$D$32)*($C75&lt;=sales!$F$32)*sales!$I$18/(sales!$E$32+1)</f>
        <v>0</v>
      </c>
      <c r="G75" s="181">
        <f>($C75&gt;=sales!$D$32)*($C75&lt;=sales!$F$32)*sales!$K$32/(sales!$E$32+1)</f>
        <v>0</v>
      </c>
      <c r="H75" s="187">
        <f>($C75&gt;=sales!$D$33)*($C75&lt;=sales!$F$33)*sales!$K$33/(sales!$E$33+1)</f>
        <v>0</v>
      </c>
      <c r="I75" s="181">
        <f>($C75&gt;=sales!$D$34)*($C75&lt;=sales!$F$34)*sales!$K$34/(sales!$E$34+1)</f>
        <v>0</v>
      </c>
      <c r="J75" s="181">
        <f>($C75&gt;=sales!$D$35)*($C75&lt;=sales!$F$35)*sales!$K$35/(sales!$E$35+1)</f>
        <v>0</v>
      </c>
      <c r="K75" s="189">
        <f>($C75&gt;=sales!$D$36)*($C75&lt;=sales!$F$36)*sales!$K$36*IFERROR(VLOOKUP(C75,sales!$C$50:$D$54,2,FALSE),0)</f>
        <v>0</v>
      </c>
      <c r="L75" s="1398"/>
      <c r="M75" s="1403">
        <f>+G75/$G$4*$M$4*sales!$J$32</f>
        <v>0</v>
      </c>
      <c r="N75" s="1398"/>
      <c r="O75" s="1464">
        <f>IF(ROUND(SUM(O$5:O74),2)&gt;=ROUND(O$129,2),0,INDEX('draws%'!$D$8:$AG$128,$C75+1,MATCH(O$4,'draws%'!$D$7:$AG$7,FALSE))*O$129)</f>
        <v>0</v>
      </c>
      <c r="P75" s="181">
        <f>IF(ROUND(SUM(P$5:P74),2)&gt;=ROUND(P$129,2),0,INDEX('draws%'!$D$8:$AG$128,$C75+1,MATCH(P$4,'draws%'!$D$7:$AG$7,FALSE))*P$129)</f>
        <v>0</v>
      </c>
      <c r="Q75" s="181">
        <f>IF(ROUND(SUM(Q$5:Q74),2)&gt;=ROUND(Q$129,2),0,INDEX('draws%'!$D$8:$AG$128,$C75+1,MATCH(Q$4,'draws%'!$D$7:$AG$7,FALSE))*Q$129)</f>
        <v>0</v>
      </c>
      <c r="R75" s="181">
        <f>IF(ROUND(SUM(R$5:R74),2)&gt;=ROUND(R$129,2),0,INDEX('draws%'!$D$8:$AG$128,$C75+1,MATCH(R$4,'draws%'!$D$7:$AG$7,FALSE))*R$129)</f>
        <v>0</v>
      </c>
      <c r="S75" s="181">
        <f>IF(ROUND(SUM(S$5:S74),2)&gt;=ROUND(S$129,2),0,INDEX('draws%'!$D$8:$AG$128,$C75+1,MATCH(S$4,'draws%'!$D$7:$AG$7,FALSE))*S$129)</f>
        <v>0</v>
      </c>
      <c r="T75" s="181">
        <f>IF(ROUND(SUM(T$5:T74),2)&gt;=ROUND(T$129,2),0,INDEX('draws%'!$D$8:$AG$128,$C75+1,MATCH(T$4,'draws%'!$D$7:$AG$7,FALSE))*T$129)</f>
        <v>0</v>
      </c>
      <c r="U75" s="181">
        <f>IF(ROUND(SUM(U$5:U74),2)&gt;=ROUND(U$129,2),0,INDEX('draws%'!$D$8:$AG$128,$C75+1,MATCH(U$4,'draws%'!$D$7:$AG$7,FALSE))*U$129)</f>
        <v>0</v>
      </c>
      <c r="V75" s="181">
        <f>IF(ROUND(SUM(V$5:V74),2)&gt;=ROUND(V$129,2),0,INDEX('draws%'!$D$8:$AG$128,$C75+1,MATCH(V$4,'draws%'!$D$7:$AG$7,FALSE))*V$129)</f>
        <v>0</v>
      </c>
      <c r="W75" s="181">
        <f>IF(ROUND(SUM(W$5:W74),2)&gt;=ROUND(W$129,2),0,INDEX('draws%'!$D$8:$AG$128,$C75+1,MATCH(W$4,'draws%'!$D$7:$AG$7,FALSE))*W$129)</f>
        <v>0</v>
      </c>
      <c r="X75" s="181">
        <f>IF(ROUND(SUM(X$5:X74),2)&gt;=ROUND(X$129,2),0,INDEX('draws%'!$D$8:$AG$128,$C75+1,MATCH(X$4,'draws%'!$D$7:$AG$7,FALSE))*X$129)</f>
        <v>0</v>
      </c>
      <c r="Y75" s="181">
        <f>IF(ROUND(SUM(Y$5:Y74),2)&gt;=ROUND(Y$129,2),0,INDEX('draws%'!$D$8:$AG$128,$C75+1,MATCH(Y$4,'draws%'!$D$7:$AG$7,FALSE))*Y$129)</f>
        <v>0</v>
      </c>
      <c r="Z75" s="181">
        <f>IF(ROUND(SUM(Z$5:Z74),2)&gt;=ROUND(Z$129,2),0,INDEX('draws%'!$D$8:$AG$128,$C75+1,MATCH(Z$4,'draws%'!$D$7:$AG$7,FALSE))*Z$129)</f>
        <v>0</v>
      </c>
      <c r="AA75" s="181">
        <f>IF(ROUND(SUM(AA$5:AA74),2)&gt;=ROUND(AA$129,2),0,INDEX('draws%'!$D$8:$AG$128,$C75+1,MATCH(AA$4,'draws%'!$D$7:$AG$7,FALSE))*AA$129)</f>
        <v>0</v>
      </c>
      <c r="AB75" s="181">
        <f>IF(ROUND(SUM(AB$5:AB74),2)&gt;=ROUND(AB$129,2),0,INDEX('draws%'!$D$8:$AG$128,$C75+1,MATCH(AB$4,'draws%'!$D$7:$AG$7,FALSE))*AB$129)</f>
        <v>0</v>
      </c>
      <c r="AC75" s="181">
        <f>($C75&gt;=sales!$D$32)*($C75&lt;=sales!$F$32)*sales!$J$41/(sales!$E$32+1)+($C75&gt;=sales!$D$33)*($C75&lt;=sales!$F$33)*sales!$J$42/(sales!$E$33+1)+($C75&gt;=sales!$D$34)*($C75&lt;=sales!$F$34)*sales!$J$43/(sales!$E$34+1)+($C75&gt;=sales!$D$35)*($C75&lt;=sales!$F$35)*sales!$J$44/(sales!$E$35+1)+($C75&gt;=sales!$D$36)*($C75&lt;=sales!$F$36)*sales!$J$45/(sales!$E$36+1)</f>
        <v>0</v>
      </c>
      <c r="AD75" s="181">
        <f>IF(ROUND(SUM(AD$5:AD74),2)&gt;=ROUND(AD$129,2),0,INDEX('draws%'!$D$8:$AG$128,$C75+1,MATCH(AD$4,'draws%'!$D$7:$AG$7,FALSE))*AD$129)</f>
        <v>0</v>
      </c>
      <c r="AE75" s="181">
        <f>IF(ROUND(SUM(AE$5:AE74),2)&gt;=ROUND(AE$129,2),0,INDEX('draws%'!$D$8:$AG$128,$C75+1,MATCH(AE$4,'draws%'!$D$7:$AG$7,FALSE))*AE$129)</f>
        <v>0</v>
      </c>
      <c r="AF75" s="188">
        <f>($C75&gt;=sales!$D$32)*($C75&lt;=sales!$F$32)*sales!$D$41/(sales!$E$32+1)+($C75&gt;=sales!$D$33)*($C75&lt;=sales!$F$33)*sales!$D$42/(sales!$E$33+1)+($C75&gt;=sales!$D$34)*($C75&lt;=sales!$F$34)*sales!$D$43/(sales!$E$34+1)+($C75&gt;=sales!$D$35)*($C75&lt;=sales!$F$35)*sales!$D$44/(sales!$E$35+1)+($C75&gt;=sales!$D$36)*($C75&lt;=sales!$F$36)*sales!$D$45/(sales!$E$36+1)</f>
        <v>0</v>
      </c>
      <c r="AG75" s="188">
        <f>($C75&gt;=sales!$D$32)*($C75&lt;=sales!$F$32)*sales!$F$41/(sales!$E$32+1)+($C75&gt;=sales!$D$33)*($C75&lt;=sales!$F$33)*sales!$F$42/(sales!$E$33+1)+($C75&gt;=sales!$D$34)*($C75&lt;=sales!$F$34)*sales!$F$43/(sales!$E$34+1)+($C75&gt;=sales!$D$35)*($C75&lt;=sales!$F$35)*sales!$F$44/(sales!$E$35+1)+($C75&gt;=sales!$D$36)*($C75&lt;=sales!$F$36)*sales!$F$45/(sales!$E$36+1)</f>
        <v>0</v>
      </c>
      <c r="AH75" s="181">
        <f>IF(ROUND(SUM(AH$5:AH74),2)&gt;=ROUND(AH$129,2),0,INDEX('draws%'!$D$8:$AG$128,$C75+1,MATCH(AH$4,'draws%'!$D$7:$AG$7,FALSE))*AH$129)</f>
        <v>0</v>
      </c>
      <c r="AI75" s="181">
        <f>IF(ROUND(SUM(AI$5:AI74),2)&gt;=ROUND(AI$129,2),0,INDEX('draws%'!$D$8:$AG$128,$C75+1,MATCH(AI$4,'draws%'!$D$7:$AG$7,FALSE))*AI$129)</f>
        <v>0</v>
      </c>
      <c r="AJ75" s="181">
        <f>IF(ROUND(SUM(AJ$5:AJ74),2)&gt;=ROUND(AJ$129,2),0,INDEX('draws%'!$D$8:$AG$128,$C75+1,MATCH(AJ$4,'draws%'!$D$7:$AG$7,FALSE))*AJ$129)</f>
        <v>0</v>
      </c>
      <c r="AK75" s="181">
        <f>IF(ROUND(SUM(AK$5:AK74),2)&gt;=ROUND(AK$129,2),0,INDEX('draws%'!$D$8:$AG$128,$C75+1,MATCH(AK$4,'draws%'!$D$7:$AG$7,FALSE))*AK$129)</f>
        <v>0</v>
      </c>
      <c r="AL75" s="189">
        <f t="shared" si="2"/>
        <v>0</v>
      </c>
      <c r="AM75" s="195"/>
      <c r="AO75" s="171"/>
    </row>
    <row r="76" spans="1:41" ht="16" hidden="1" outlineLevel="1">
      <c r="A76" s="185" t="str">
        <f>IF(MAX(C$5:C75)&gt;=general!$C$27,"post dev",IF(C76&lt;general!$C$23, "Pred", "Dev"))</f>
        <v>post dev</v>
      </c>
      <c r="B76" s="1398"/>
      <c r="C76" s="1388">
        <f>IF('Development Cash Flow'!D75&lt;general!$D$28,'Development Cash Flow'!C75+1,0)</f>
        <v>0</v>
      </c>
      <c r="D76" s="185">
        <f t="shared" si="0"/>
        <v>48395</v>
      </c>
      <c r="E76" s="186">
        <f>($C76&gt;=sales!$D$32)*($C76&lt;=sales!$F$32)*ResUnits/(sales!$E$32+1)</f>
        <v>0</v>
      </c>
      <c r="F76" s="181">
        <f>($C76&gt;=sales!$D$32)*($C76&lt;=sales!$F$32)*sales!$I$18/(sales!$E$32+1)</f>
        <v>0</v>
      </c>
      <c r="G76" s="181">
        <f>($C76&gt;=sales!$D$32)*($C76&lt;=sales!$F$32)*sales!$K$32/(sales!$E$32+1)</f>
        <v>0</v>
      </c>
      <c r="H76" s="187">
        <f>($C76&gt;=sales!$D$33)*($C76&lt;=sales!$F$33)*sales!$K$33/(sales!$E$33+1)</f>
        <v>0</v>
      </c>
      <c r="I76" s="181">
        <f>($C76&gt;=sales!$D$34)*($C76&lt;=sales!$F$34)*sales!$K$34/(sales!$E$34+1)</f>
        <v>0</v>
      </c>
      <c r="J76" s="181">
        <f>($C76&gt;=sales!$D$35)*($C76&lt;=sales!$F$35)*sales!$K$35/(sales!$E$35+1)</f>
        <v>0</v>
      </c>
      <c r="K76" s="189">
        <f>($C76&gt;=sales!$D$36)*($C76&lt;=sales!$F$36)*sales!$K$36*IFERROR(VLOOKUP(C76,sales!$C$50:$D$54,2,FALSE),0)</f>
        <v>0</v>
      </c>
      <c r="L76" s="1398"/>
      <c r="M76" s="1403">
        <f>+G76/$G$4*$M$4*sales!$J$32</f>
        <v>0</v>
      </c>
      <c r="N76" s="1398"/>
      <c r="O76" s="1464">
        <f>IF(ROUND(SUM(O$5:O75),2)&gt;=ROUND(O$129,2),0,INDEX('draws%'!$D$8:$AG$128,$C76+1,MATCH(O$4,'draws%'!$D$7:$AG$7,FALSE))*O$129)</f>
        <v>0</v>
      </c>
      <c r="P76" s="181">
        <f>IF(ROUND(SUM(P$5:P75),2)&gt;=ROUND(P$129,2),0,INDEX('draws%'!$D$8:$AG$128,$C76+1,MATCH(P$4,'draws%'!$D$7:$AG$7,FALSE))*P$129)</f>
        <v>0</v>
      </c>
      <c r="Q76" s="181">
        <f>IF(ROUND(SUM(Q$5:Q75),2)&gt;=ROUND(Q$129,2),0,INDEX('draws%'!$D$8:$AG$128,$C76+1,MATCH(Q$4,'draws%'!$D$7:$AG$7,FALSE))*Q$129)</f>
        <v>0</v>
      </c>
      <c r="R76" s="181">
        <f>IF(ROUND(SUM(R$5:R75),2)&gt;=ROUND(R$129,2),0,INDEX('draws%'!$D$8:$AG$128,$C76+1,MATCH(R$4,'draws%'!$D$7:$AG$7,FALSE))*R$129)</f>
        <v>0</v>
      </c>
      <c r="S76" s="181">
        <f>IF(ROUND(SUM(S$5:S75),2)&gt;=ROUND(S$129,2),0,INDEX('draws%'!$D$8:$AG$128,$C76+1,MATCH(S$4,'draws%'!$D$7:$AG$7,FALSE))*S$129)</f>
        <v>0</v>
      </c>
      <c r="T76" s="181">
        <f>IF(ROUND(SUM(T$5:T75),2)&gt;=ROUND(T$129,2),0,INDEX('draws%'!$D$8:$AG$128,$C76+1,MATCH(T$4,'draws%'!$D$7:$AG$7,FALSE))*T$129)</f>
        <v>0</v>
      </c>
      <c r="U76" s="181">
        <f>IF(ROUND(SUM(U$5:U75),2)&gt;=ROUND(U$129,2),0,INDEX('draws%'!$D$8:$AG$128,$C76+1,MATCH(U$4,'draws%'!$D$7:$AG$7,FALSE))*U$129)</f>
        <v>0</v>
      </c>
      <c r="V76" s="181">
        <f>IF(ROUND(SUM(V$5:V75),2)&gt;=ROUND(V$129,2),0,INDEX('draws%'!$D$8:$AG$128,$C76+1,MATCH(V$4,'draws%'!$D$7:$AG$7,FALSE))*V$129)</f>
        <v>0</v>
      </c>
      <c r="W76" s="181">
        <f>IF(ROUND(SUM(W$5:W75),2)&gt;=ROUND(W$129,2),0,INDEX('draws%'!$D$8:$AG$128,$C76+1,MATCH(W$4,'draws%'!$D$7:$AG$7,FALSE))*W$129)</f>
        <v>0</v>
      </c>
      <c r="X76" s="181">
        <f>IF(ROUND(SUM(X$5:X75),2)&gt;=ROUND(X$129,2),0,INDEX('draws%'!$D$8:$AG$128,$C76+1,MATCH(X$4,'draws%'!$D$7:$AG$7,FALSE))*X$129)</f>
        <v>0</v>
      </c>
      <c r="Y76" s="181">
        <f>IF(ROUND(SUM(Y$5:Y75),2)&gt;=ROUND(Y$129,2),0,INDEX('draws%'!$D$8:$AG$128,$C76+1,MATCH(Y$4,'draws%'!$D$7:$AG$7,FALSE))*Y$129)</f>
        <v>0</v>
      </c>
      <c r="Z76" s="181">
        <f>IF(ROUND(SUM(Z$5:Z75),2)&gt;=ROUND(Z$129,2),0,INDEX('draws%'!$D$8:$AG$128,$C76+1,MATCH(Z$4,'draws%'!$D$7:$AG$7,FALSE))*Z$129)</f>
        <v>0</v>
      </c>
      <c r="AA76" s="181">
        <f>IF(ROUND(SUM(AA$5:AA75),2)&gt;=ROUND(AA$129,2),0,INDEX('draws%'!$D$8:$AG$128,$C76+1,MATCH(AA$4,'draws%'!$D$7:$AG$7,FALSE))*AA$129)</f>
        <v>0</v>
      </c>
      <c r="AB76" s="181">
        <f>IF(ROUND(SUM(AB$5:AB75),2)&gt;=ROUND(AB$129,2),0,INDEX('draws%'!$D$8:$AG$128,$C76+1,MATCH(AB$4,'draws%'!$D$7:$AG$7,FALSE))*AB$129)</f>
        <v>0</v>
      </c>
      <c r="AC76" s="181">
        <f>($C76&gt;=sales!$D$32)*($C76&lt;=sales!$F$32)*sales!$J$41/(sales!$E$32+1)+($C76&gt;=sales!$D$33)*($C76&lt;=sales!$F$33)*sales!$J$42/(sales!$E$33+1)+($C76&gt;=sales!$D$34)*($C76&lt;=sales!$F$34)*sales!$J$43/(sales!$E$34+1)+($C76&gt;=sales!$D$35)*($C76&lt;=sales!$F$35)*sales!$J$44/(sales!$E$35+1)+($C76&gt;=sales!$D$36)*($C76&lt;=sales!$F$36)*sales!$J$45/(sales!$E$36+1)</f>
        <v>0</v>
      </c>
      <c r="AD76" s="181">
        <f>IF(ROUND(SUM(AD$5:AD75),2)&gt;=ROUND(AD$129,2),0,INDEX('draws%'!$D$8:$AG$128,$C76+1,MATCH(AD$4,'draws%'!$D$7:$AG$7,FALSE))*AD$129)</f>
        <v>0</v>
      </c>
      <c r="AE76" s="181">
        <f>IF(ROUND(SUM(AE$5:AE75),2)&gt;=ROUND(AE$129,2),0,INDEX('draws%'!$D$8:$AG$128,$C76+1,MATCH(AE$4,'draws%'!$D$7:$AG$7,FALSE))*AE$129)</f>
        <v>0</v>
      </c>
      <c r="AF76" s="188">
        <f>($C76&gt;=sales!$D$32)*($C76&lt;=sales!$F$32)*sales!$D$41/(sales!$E$32+1)+($C76&gt;=sales!$D$33)*($C76&lt;=sales!$F$33)*sales!$D$42/(sales!$E$33+1)+($C76&gt;=sales!$D$34)*($C76&lt;=sales!$F$34)*sales!$D$43/(sales!$E$34+1)+($C76&gt;=sales!$D$35)*($C76&lt;=sales!$F$35)*sales!$D$44/(sales!$E$35+1)+($C76&gt;=sales!$D$36)*($C76&lt;=sales!$F$36)*sales!$D$45/(sales!$E$36+1)</f>
        <v>0</v>
      </c>
      <c r="AG76" s="188">
        <f>($C76&gt;=sales!$D$32)*($C76&lt;=sales!$F$32)*sales!$F$41/(sales!$E$32+1)+($C76&gt;=sales!$D$33)*($C76&lt;=sales!$F$33)*sales!$F$42/(sales!$E$33+1)+($C76&gt;=sales!$D$34)*($C76&lt;=sales!$F$34)*sales!$F$43/(sales!$E$34+1)+($C76&gt;=sales!$D$35)*($C76&lt;=sales!$F$35)*sales!$F$44/(sales!$E$35+1)+($C76&gt;=sales!$D$36)*($C76&lt;=sales!$F$36)*sales!$F$45/(sales!$E$36+1)</f>
        <v>0</v>
      </c>
      <c r="AH76" s="181">
        <f>IF(ROUND(SUM(AH$5:AH75),2)&gt;=ROUND(AH$129,2),0,INDEX('draws%'!$D$8:$AG$128,$C76+1,MATCH(AH$4,'draws%'!$D$7:$AG$7,FALSE))*AH$129)</f>
        <v>0</v>
      </c>
      <c r="AI76" s="181">
        <f>IF(ROUND(SUM(AI$5:AI75),2)&gt;=ROUND(AI$129,2),0,INDEX('draws%'!$D$8:$AG$128,$C76+1,MATCH(AI$4,'draws%'!$D$7:$AG$7,FALSE))*AI$129)</f>
        <v>0</v>
      </c>
      <c r="AJ76" s="181">
        <f>IF(ROUND(SUM(AJ$5:AJ75),2)&gt;=ROUND(AJ$129,2),0,INDEX('draws%'!$D$8:$AG$128,$C76+1,MATCH(AJ$4,'draws%'!$D$7:$AG$7,FALSE))*AJ$129)</f>
        <v>0</v>
      </c>
      <c r="AK76" s="181">
        <f>IF(ROUND(SUM(AK$5:AK75),2)&gt;=ROUND(AK$129,2),0,INDEX('draws%'!$D$8:$AG$128,$C76+1,MATCH(AK$4,'draws%'!$D$7:$AG$7,FALSE))*AK$129)</f>
        <v>0</v>
      </c>
      <c r="AL76" s="189">
        <f t="shared" si="2"/>
        <v>0</v>
      </c>
      <c r="AO76" s="173"/>
    </row>
    <row r="77" spans="1:41" ht="16" hidden="1" outlineLevel="1">
      <c r="A77" s="185" t="str">
        <f>IF(MAX(C$5:C76)&gt;=general!$C$27,"post dev",IF(C77&lt;general!$C$23, "Pred", "Dev"))</f>
        <v>post dev</v>
      </c>
      <c r="B77" s="1398"/>
      <c r="C77" s="1388">
        <f>IF('Development Cash Flow'!D76&lt;general!$D$28,'Development Cash Flow'!C76+1,0)</f>
        <v>0</v>
      </c>
      <c r="D77" s="185">
        <f t="shared" si="0"/>
        <v>48426</v>
      </c>
      <c r="E77" s="186">
        <f>($C77&gt;=sales!$D$32)*($C77&lt;=sales!$F$32)*ResUnits/(sales!$E$32+1)</f>
        <v>0</v>
      </c>
      <c r="F77" s="181">
        <f>($C77&gt;=sales!$D$32)*($C77&lt;=sales!$F$32)*sales!$I$18/(sales!$E$32+1)</f>
        <v>0</v>
      </c>
      <c r="G77" s="181">
        <f>($C77&gt;=sales!$D$32)*($C77&lt;=sales!$F$32)*sales!$K$32/(sales!$E$32+1)</f>
        <v>0</v>
      </c>
      <c r="H77" s="187">
        <f>($C77&gt;=sales!$D$33)*($C77&lt;=sales!$F$33)*sales!$K$33/(sales!$E$33+1)</f>
        <v>0</v>
      </c>
      <c r="I77" s="181">
        <f>($C77&gt;=sales!$D$34)*($C77&lt;=sales!$F$34)*sales!$K$34/(sales!$E$34+1)</f>
        <v>0</v>
      </c>
      <c r="J77" s="181">
        <f>($C77&gt;=sales!$D$35)*($C77&lt;=sales!$F$35)*sales!$K$35/(sales!$E$35+1)</f>
        <v>0</v>
      </c>
      <c r="K77" s="189">
        <f>($C77&gt;=sales!$D$36)*($C77&lt;=sales!$F$36)*sales!$K$36*IFERROR(VLOOKUP(C77,sales!$C$50:$D$54,2,FALSE),0)</f>
        <v>0</v>
      </c>
      <c r="L77" s="1398"/>
      <c r="M77" s="1403">
        <f>+G77/$G$4*$M$4*sales!$J$32</f>
        <v>0</v>
      </c>
      <c r="N77" s="1398"/>
      <c r="O77" s="1464">
        <f>IF(ROUND(SUM(O$5:O76),2)&gt;=ROUND(O$129,2),0,INDEX('draws%'!$D$8:$AG$128,$C77+1,MATCH(O$4,'draws%'!$D$7:$AG$7,FALSE))*O$129)</f>
        <v>0</v>
      </c>
      <c r="P77" s="181">
        <f>IF(ROUND(SUM(P$5:P76),2)&gt;=ROUND(P$129,2),0,INDEX('draws%'!$D$8:$AG$128,$C77+1,MATCH(P$4,'draws%'!$D$7:$AG$7,FALSE))*P$129)</f>
        <v>0</v>
      </c>
      <c r="Q77" s="181">
        <f>IF(ROUND(SUM(Q$5:Q76),2)&gt;=ROUND(Q$129,2),0,INDEX('draws%'!$D$8:$AG$128,$C77+1,MATCH(Q$4,'draws%'!$D$7:$AG$7,FALSE))*Q$129)</f>
        <v>0</v>
      </c>
      <c r="R77" s="181">
        <f>IF(ROUND(SUM(R$5:R76),2)&gt;=ROUND(R$129,2),0,INDEX('draws%'!$D$8:$AG$128,$C77+1,MATCH(R$4,'draws%'!$D$7:$AG$7,FALSE))*R$129)</f>
        <v>0</v>
      </c>
      <c r="S77" s="181">
        <f>IF(ROUND(SUM(S$5:S76),2)&gt;=ROUND(S$129,2),0,INDEX('draws%'!$D$8:$AG$128,$C77+1,MATCH(S$4,'draws%'!$D$7:$AG$7,FALSE))*S$129)</f>
        <v>0</v>
      </c>
      <c r="T77" s="181">
        <f>IF(ROUND(SUM(T$5:T76),2)&gt;=ROUND(T$129,2),0,INDEX('draws%'!$D$8:$AG$128,$C77+1,MATCH(T$4,'draws%'!$D$7:$AG$7,FALSE))*T$129)</f>
        <v>0</v>
      </c>
      <c r="U77" s="181">
        <f>IF(ROUND(SUM(U$5:U76),2)&gt;=ROUND(U$129,2),0,INDEX('draws%'!$D$8:$AG$128,$C77+1,MATCH(U$4,'draws%'!$D$7:$AG$7,FALSE))*U$129)</f>
        <v>0</v>
      </c>
      <c r="V77" s="181">
        <f>IF(ROUND(SUM(V$5:V76),2)&gt;=ROUND(V$129,2),0,INDEX('draws%'!$D$8:$AG$128,$C77+1,MATCH(V$4,'draws%'!$D$7:$AG$7,FALSE))*V$129)</f>
        <v>0</v>
      </c>
      <c r="W77" s="181">
        <f>IF(ROUND(SUM(W$5:W76),2)&gt;=ROUND(W$129,2),0,INDEX('draws%'!$D$8:$AG$128,$C77+1,MATCH(W$4,'draws%'!$D$7:$AG$7,FALSE))*W$129)</f>
        <v>0</v>
      </c>
      <c r="X77" s="181">
        <f>IF(ROUND(SUM(X$5:X76),2)&gt;=ROUND(X$129,2),0,INDEX('draws%'!$D$8:$AG$128,$C77+1,MATCH(X$4,'draws%'!$D$7:$AG$7,FALSE))*X$129)</f>
        <v>0</v>
      </c>
      <c r="Y77" s="181">
        <f>IF(ROUND(SUM(Y$5:Y76),2)&gt;=ROUND(Y$129,2),0,INDEX('draws%'!$D$8:$AG$128,$C77+1,MATCH(Y$4,'draws%'!$D$7:$AG$7,FALSE))*Y$129)</f>
        <v>0</v>
      </c>
      <c r="Z77" s="181">
        <f>IF(ROUND(SUM(Z$5:Z76),2)&gt;=ROUND(Z$129,2),0,INDEX('draws%'!$D$8:$AG$128,$C77+1,MATCH(Z$4,'draws%'!$D$7:$AG$7,FALSE))*Z$129)</f>
        <v>0</v>
      </c>
      <c r="AA77" s="181">
        <f>IF(ROUND(SUM(AA$5:AA76),2)&gt;=ROUND(AA$129,2),0,INDEX('draws%'!$D$8:$AG$128,$C77+1,MATCH(AA$4,'draws%'!$D$7:$AG$7,FALSE))*AA$129)</f>
        <v>0</v>
      </c>
      <c r="AB77" s="181">
        <f>IF(ROUND(SUM(AB$5:AB76),2)&gt;=ROUND(AB$129,2),0,INDEX('draws%'!$D$8:$AG$128,$C77+1,MATCH(AB$4,'draws%'!$D$7:$AG$7,FALSE))*AB$129)</f>
        <v>0</v>
      </c>
      <c r="AC77" s="181">
        <f>($C77&gt;=sales!$D$32)*($C77&lt;=sales!$F$32)*sales!$J$41/(sales!$E$32+1)+($C77&gt;=sales!$D$33)*($C77&lt;=sales!$F$33)*sales!$J$42/(sales!$E$33+1)+($C77&gt;=sales!$D$34)*($C77&lt;=sales!$F$34)*sales!$J$43/(sales!$E$34+1)+($C77&gt;=sales!$D$35)*($C77&lt;=sales!$F$35)*sales!$J$44/(sales!$E$35+1)+($C77&gt;=sales!$D$36)*($C77&lt;=sales!$F$36)*sales!$J$45/(sales!$E$36+1)</f>
        <v>0</v>
      </c>
      <c r="AD77" s="181">
        <f>IF(ROUND(SUM(AD$5:AD76),2)&gt;=ROUND(AD$129,2),0,INDEX('draws%'!$D$8:$AG$128,$C77+1,MATCH(AD$4,'draws%'!$D$7:$AG$7,FALSE))*AD$129)</f>
        <v>0</v>
      </c>
      <c r="AE77" s="181">
        <f>IF(ROUND(SUM(AE$5:AE76),2)&gt;=ROUND(AE$129,2),0,INDEX('draws%'!$D$8:$AG$128,$C77+1,MATCH(AE$4,'draws%'!$D$7:$AG$7,FALSE))*AE$129)</f>
        <v>0</v>
      </c>
      <c r="AF77" s="188">
        <f>($C77&gt;=sales!$D$32)*($C77&lt;=sales!$F$32)*sales!$D$41/(sales!$E$32+1)+($C77&gt;=sales!$D$33)*($C77&lt;=sales!$F$33)*sales!$D$42/(sales!$E$33+1)+($C77&gt;=sales!$D$34)*($C77&lt;=sales!$F$34)*sales!$D$43/(sales!$E$34+1)+($C77&gt;=sales!$D$35)*($C77&lt;=sales!$F$35)*sales!$D$44/(sales!$E$35+1)+($C77&gt;=sales!$D$36)*($C77&lt;=sales!$F$36)*sales!$D$45/(sales!$E$36+1)</f>
        <v>0</v>
      </c>
      <c r="AG77" s="188">
        <f>($C77&gt;=sales!$D$32)*($C77&lt;=sales!$F$32)*sales!$F$41/(sales!$E$32+1)+($C77&gt;=sales!$D$33)*($C77&lt;=sales!$F$33)*sales!$F$42/(sales!$E$33+1)+($C77&gt;=sales!$D$34)*($C77&lt;=sales!$F$34)*sales!$F$43/(sales!$E$34+1)+($C77&gt;=sales!$D$35)*($C77&lt;=sales!$F$35)*sales!$F$44/(sales!$E$35+1)+($C77&gt;=sales!$D$36)*($C77&lt;=sales!$F$36)*sales!$F$45/(sales!$E$36+1)</f>
        <v>0</v>
      </c>
      <c r="AH77" s="181">
        <f>IF(ROUND(SUM(AH$5:AH76),2)&gt;=ROUND(AH$129,2),0,INDEX('draws%'!$D$8:$AG$128,$C77+1,MATCH(AH$4,'draws%'!$D$7:$AG$7,FALSE))*AH$129)</f>
        <v>0</v>
      </c>
      <c r="AI77" s="181">
        <f>IF(ROUND(SUM(AI$5:AI76),2)&gt;=ROUND(AI$129,2),0,INDEX('draws%'!$D$8:$AG$128,$C77+1,MATCH(AI$4,'draws%'!$D$7:$AG$7,FALSE))*AI$129)</f>
        <v>0</v>
      </c>
      <c r="AJ77" s="181">
        <f>IF(ROUND(SUM(AJ$5:AJ76),2)&gt;=ROUND(AJ$129,2),0,INDEX('draws%'!$D$8:$AG$128,$C77+1,MATCH(AJ$4,'draws%'!$D$7:$AG$7,FALSE))*AJ$129)</f>
        <v>0</v>
      </c>
      <c r="AK77" s="181">
        <f>IF(ROUND(SUM(AK$5:AK76),2)&gt;=ROUND(AK$129,2),0,INDEX('draws%'!$D$8:$AG$128,$C77+1,MATCH(AK$4,'draws%'!$D$7:$AG$7,FALSE))*AK$129)</f>
        <v>0</v>
      </c>
      <c r="AL77" s="189">
        <f t="shared" si="2"/>
        <v>0</v>
      </c>
      <c r="AO77" s="173"/>
    </row>
    <row r="78" spans="1:41" ht="16" hidden="1" outlineLevel="1">
      <c r="A78" s="185" t="str">
        <f>IF(MAX(C$5:C77)&gt;=general!$C$27,"post dev",IF(C78&lt;general!$C$23, "Pred", "Dev"))</f>
        <v>post dev</v>
      </c>
      <c r="B78" s="1398"/>
      <c r="C78" s="1388">
        <f>IF('Development Cash Flow'!D77&lt;general!$D$28,'Development Cash Flow'!C77+1,0)</f>
        <v>0</v>
      </c>
      <c r="D78" s="185">
        <f t="shared" si="0"/>
        <v>48457</v>
      </c>
      <c r="E78" s="186">
        <f>($C78&gt;=sales!$D$32)*($C78&lt;=sales!$F$32)*ResUnits/(sales!$E$32+1)</f>
        <v>0</v>
      </c>
      <c r="F78" s="181">
        <f>($C78&gt;=sales!$D$32)*($C78&lt;=sales!$F$32)*sales!$I$18/(sales!$E$32+1)</f>
        <v>0</v>
      </c>
      <c r="G78" s="181">
        <f>($C78&gt;=sales!$D$32)*($C78&lt;=sales!$F$32)*sales!$K$32/(sales!$E$32+1)</f>
        <v>0</v>
      </c>
      <c r="H78" s="187">
        <f>($C78&gt;=sales!$D$33)*($C78&lt;=sales!$F$33)*sales!$K$33/(sales!$E$33+1)</f>
        <v>0</v>
      </c>
      <c r="I78" s="181">
        <f>($C78&gt;=sales!$D$34)*($C78&lt;=sales!$F$34)*sales!$K$34/(sales!$E$34+1)</f>
        <v>0</v>
      </c>
      <c r="J78" s="181">
        <f>($C78&gt;=sales!$D$35)*($C78&lt;=sales!$F$35)*sales!$K$35/(sales!$E$35+1)</f>
        <v>0</v>
      </c>
      <c r="K78" s="189">
        <f>($C78&gt;=sales!$D$36)*($C78&lt;=sales!$F$36)*sales!$K$36*IFERROR(VLOOKUP(C78,sales!$C$50:$D$54,2,FALSE),0)</f>
        <v>0</v>
      </c>
      <c r="L78" s="1398"/>
      <c r="M78" s="1403">
        <f>+G78/$G$4*$M$4*sales!$J$32</f>
        <v>0</v>
      </c>
      <c r="N78" s="1398"/>
      <c r="O78" s="1464">
        <f>IF(ROUND(SUM(O$5:O77),2)&gt;=ROUND(O$129,2),0,INDEX('draws%'!$D$8:$AG$128,$C78+1,MATCH(O$4,'draws%'!$D$7:$AG$7,FALSE))*O$129)</f>
        <v>0</v>
      </c>
      <c r="P78" s="181">
        <f>IF(ROUND(SUM(P$5:P77),2)&gt;=ROUND(P$129,2),0,INDEX('draws%'!$D$8:$AG$128,$C78+1,MATCH(P$4,'draws%'!$D$7:$AG$7,FALSE))*P$129)</f>
        <v>0</v>
      </c>
      <c r="Q78" s="181">
        <f>IF(ROUND(SUM(Q$5:Q77),2)&gt;=ROUND(Q$129,2),0,INDEX('draws%'!$D$8:$AG$128,$C78+1,MATCH(Q$4,'draws%'!$D$7:$AG$7,FALSE))*Q$129)</f>
        <v>0</v>
      </c>
      <c r="R78" s="181">
        <f>IF(ROUND(SUM(R$5:R77),2)&gt;=ROUND(R$129,2),0,INDEX('draws%'!$D$8:$AG$128,$C78+1,MATCH(R$4,'draws%'!$D$7:$AG$7,FALSE))*R$129)</f>
        <v>0</v>
      </c>
      <c r="S78" s="181">
        <f>IF(ROUND(SUM(S$5:S77),2)&gt;=ROUND(S$129,2),0,INDEX('draws%'!$D$8:$AG$128,$C78+1,MATCH(S$4,'draws%'!$D$7:$AG$7,FALSE))*S$129)</f>
        <v>0</v>
      </c>
      <c r="T78" s="181">
        <f>IF(ROUND(SUM(T$5:T77),2)&gt;=ROUND(T$129,2),0,INDEX('draws%'!$D$8:$AG$128,$C78+1,MATCH(T$4,'draws%'!$D$7:$AG$7,FALSE))*T$129)</f>
        <v>0</v>
      </c>
      <c r="U78" s="181">
        <f>IF(ROUND(SUM(U$5:U77),2)&gt;=ROUND(U$129,2),0,INDEX('draws%'!$D$8:$AG$128,$C78+1,MATCH(U$4,'draws%'!$D$7:$AG$7,FALSE))*U$129)</f>
        <v>0</v>
      </c>
      <c r="V78" s="181">
        <f>IF(ROUND(SUM(V$5:V77),2)&gt;=ROUND(V$129,2),0,INDEX('draws%'!$D$8:$AG$128,$C78+1,MATCH(V$4,'draws%'!$D$7:$AG$7,FALSE))*V$129)</f>
        <v>0</v>
      </c>
      <c r="W78" s="181">
        <f>IF(ROUND(SUM(W$5:W77),2)&gt;=ROUND(W$129,2),0,INDEX('draws%'!$D$8:$AG$128,$C78+1,MATCH(W$4,'draws%'!$D$7:$AG$7,FALSE))*W$129)</f>
        <v>0</v>
      </c>
      <c r="X78" s="181">
        <f>IF(ROUND(SUM(X$5:X77),2)&gt;=ROUND(X$129,2),0,INDEX('draws%'!$D$8:$AG$128,$C78+1,MATCH(X$4,'draws%'!$D$7:$AG$7,FALSE))*X$129)</f>
        <v>0</v>
      </c>
      <c r="Y78" s="181">
        <f>IF(ROUND(SUM(Y$5:Y77),2)&gt;=ROUND(Y$129,2),0,INDEX('draws%'!$D$8:$AG$128,$C78+1,MATCH(Y$4,'draws%'!$D$7:$AG$7,FALSE))*Y$129)</f>
        <v>0</v>
      </c>
      <c r="Z78" s="181">
        <f>IF(ROUND(SUM(Z$5:Z77),2)&gt;=ROUND(Z$129,2),0,INDEX('draws%'!$D$8:$AG$128,$C78+1,MATCH(Z$4,'draws%'!$D$7:$AG$7,FALSE))*Z$129)</f>
        <v>0</v>
      </c>
      <c r="AA78" s="181">
        <f>IF(ROUND(SUM(AA$5:AA77),2)&gt;=ROUND(AA$129,2),0,INDEX('draws%'!$D$8:$AG$128,$C78+1,MATCH(AA$4,'draws%'!$D$7:$AG$7,FALSE))*AA$129)</f>
        <v>0</v>
      </c>
      <c r="AB78" s="181">
        <f>IF(ROUND(SUM(AB$5:AB77),2)&gt;=ROUND(AB$129,2),0,INDEX('draws%'!$D$8:$AG$128,$C78+1,MATCH(AB$4,'draws%'!$D$7:$AG$7,FALSE))*AB$129)</f>
        <v>0</v>
      </c>
      <c r="AC78" s="181">
        <f>($C78&gt;=sales!$D$32)*($C78&lt;=sales!$F$32)*sales!$J$41/(sales!$E$32+1)+($C78&gt;=sales!$D$33)*($C78&lt;=sales!$F$33)*sales!$J$42/(sales!$E$33+1)+($C78&gt;=sales!$D$34)*($C78&lt;=sales!$F$34)*sales!$J$43/(sales!$E$34+1)+($C78&gt;=sales!$D$35)*($C78&lt;=sales!$F$35)*sales!$J$44/(sales!$E$35+1)+($C78&gt;=sales!$D$36)*($C78&lt;=sales!$F$36)*sales!$J$45/(sales!$E$36+1)</f>
        <v>0</v>
      </c>
      <c r="AD78" s="181">
        <f>IF(ROUND(SUM(AD$5:AD77),2)&gt;=ROUND(AD$129,2),0,INDEX('draws%'!$D$8:$AG$128,$C78+1,MATCH(AD$4,'draws%'!$D$7:$AG$7,FALSE))*AD$129)</f>
        <v>0</v>
      </c>
      <c r="AE78" s="181">
        <f>IF(ROUND(SUM(AE$5:AE77),2)&gt;=ROUND(AE$129,2),0,INDEX('draws%'!$D$8:$AG$128,$C78+1,MATCH(AE$4,'draws%'!$D$7:$AG$7,FALSE))*AE$129)</f>
        <v>0</v>
      </c>
      <c r="AF78" s="188">
        <f>($C78&gt;=sales!$D$32)*($C78&lt;=sales!$F$32)*sales!$D$41/(sales!$E$32+1)+($C78&gt;=sales!$D$33)*($C78&lt;=sales!$F$33)*sales!$D$42/(sales!$E$33+1)+($C78&gt;=sales!$D$34)*($C78&lt;=sales!$F$34)*sales!$D$43/(sales!$E$34+1)+($C78&gt;=sales!$D$35)*($C78&lt;=sales!$F$35)*sales!$D$44/(sales!$E$35+1)+($C78&gt;=sales!$D$36)*($C78&lt;=sales!$F$36)*sales!$D$45/(sales!$E$36+1)</f>
        <v>0</v>
      </c>
      <c r="AG78" s="188">
        <f>($C78&gt;=sales!$D$32)*($C78&lt;=sales!$F$32)*sales!$F$41/(sales!$E$32+1)+($C78&gt;=sales!$D$33)*($C78&lt;=sales!$F$33)*sales!$F$42/(sales!$E$33+1)+($C78&gt;=sales!$D$34)*($C78&lt;=sales!$F$34)*sales!$F$43/(sales!$E$34+1)+($C78&gt;=sales!$D$35)*($C78&lt;=sales!$F$35)*sales!$F$44/(sales!$E$35+1)+($C78&gt;=sales!$D$36)*($C78&lt;=sales!$F$36)*sales!$F$45/(sales!$E$36+1)</f>
        <v>0</v>
      </c>
      <c r="AH78" s="181">
        <f>IF(ROUND(SUM(AH$5:AH77),2)&gt;=ROUND(AH$129,2),0,INDEX('draws%'!$D$8:$AG$128,$C78+1,MATCH(AH$4,'draws%'!$D$7:$AG$7,FALSE))*AH$129)</f>
        <v>0</v>
      </c>
      <c r="AI78" s="181">
        <f>IF(ROUND(SUM(AI$5:AI77),2)&gt;=ROUND(AI$129,2),0,INDEX('draws%'!$D$8:$AG$128,$C78+1,MATCH(AI$4,'draws%'!$D$7:$AG$7,FALSE))*AI$129)</f>
        <v>0</v>
      </c>
      <c r="AJ78" s="181">
        <f>IF(ROUND(SUM(AJ$5:AJ77),2)&gt;=ROUND(AJ$129,2),0,INDEX('draws%'!$D$8:$AG$128,$C78+1,MATCH(AJ$4,'draws%'!$D$7:$AG$7,FALSE))*AJ$129)</f>
        <v>0</v>
      </c>
      <c r="AK78" s="181">
        <f>IF(ROUND(SUM(AK$5:AK77),2)&gt;=ROUND(AK$129,2),0,INDEX('draws%'!$D$8:$AG$128,$C78+1,MATCH(AK$4,'draws%'!$D$7:$AG$7,FALSE))*AK$129)</f>
        <v>0</v>
      </c>
      <c r="AL78" s="189">
        <f t="shared" si="2"/>
        <v>0</v>
      </c>
      <c r="AO78" s="173"/>
    </row>
    <row r="79" spans="1:41" s="192" customFormat="1" ht="16" hidden="1" outlineLevel="1">
      <c r="A79" s="185" t="str">
        <f>IF(MAX(C$5:C78)&gt;=general!$C$27,"post dev",IF(C79&lt;general!$C$23, "Pred", "Dev"))</f>
        <v>post dev</v>
      </c>
      <c r="B79" s="1398"/>
      <c r="C79" s="1388">
        <f>IF('Development Cash Flow'!D78&lt;general!$D$28,'Development Cash Flow'!C78+1,0)</f>
        <v>0</v>
      </c>
      <c r="D79" s="185">
        <f t="shared" si="0"/>
        <v>48487</v>
      </c>
      <c r="E79" s="186">
        <f>($C79&gt;=sales!$D$32)*($C79&lt;=sales!$F$32)*ResUnits/(sales!$E$32+1)</f>
        <v>0</v>
      </c>
      <c r="F79" s="181">
        <f>($C79&gt;=sales!$D$32)*($C79&lt;=sales!$F$32)*sales!$I$18/(sales!$E$32+1)</f>
        <v>0</v>
      </c>
      <c r="G79" s="181">
        <f>($C79&gt;=sales!$D$32)*($C79&lt;=sales!$F$32)*sales!$K$32/(sales!$E$32+1)</f>
        <v>0</v>
      </c>
      <c r="H79" s="187">
        <f>($C79&gt;=sales!$D$33)*($C79&lt;=sales!$F$33)*sales!$K$33/(sales!$E$33+1)</f>
        <v>0</v>
      </c>
      <c r="I79" s="181">
        <f>($C79&gt;=sales!$D$34)*($C79&lt;=sales!$F$34)*sales!$K$34/(sales!$E$34+1)</f>
        <v>0</v>
      </c>
      <c r="J79" s="181">
        <f>($C79&gt;=sales!$D$35)*($C79&lt;=sales!$F$35)*sales!$K$35/(sales!$E$35+1)</f>
        <v>0</v>
      </c>
      <c r="K79" s="189">
        <f>($C79&gt;=sales!$D$36)*($C79&lt;=sales!$F$36)*sales!$K$36*IFERROR(VLOOKUP(C79,sales!$C$50:$D$54,2,FALSE),0)</f>
        <v>0</v>
      </c>
      <c r="L79" s="1398"/>
      <c r="M79" s="1403">
        <f>+G79/$G$4*$M$4*sales!$J$32</f>
        <v>0</v>
      </c>
      <c r="N79" s="1398"/>
      <c r="O79" s="1464">
        <f>IF(ROUND(SUM(O$5:O78),2)&gt;=ROUND(O$129,2),0,INDEX('draws%'!$D$8:$AG$128,$C79+1,MATCH(O$4,'draws%'!$D$7:$AG$7,FALSE))*O$129)</f>
        <v>0</v>
      </c>
      <c r="P79" s="181">
        <f>IF(ROUND(SUM(P$5:P78),2)&gt;=ROUND(P$129,2),0,INDEX('draws%'!$D$8:$AG$128,$C79+1,MATCH(P$4,'draws%'!$D$7:$AG$7,FALSE))*P$129)</f>
        <v>0</v>
      </c>
      <c r="Q79" s="181">
        <f>IF(ROUND(SUM(Q$5:Q78),2)&gt;=ROUND(Q$129,2),0,INDEX('draws%'!$D$8:$AG$128,$C79+1,MATCH(Q$4,'draws%'!$D$7:$AG$7,FALSE))*Q$129)</f>
        <v>0</v>
      </c>
      <c r="R79" s="181">
        <f>IF(ROUND(SUM(R$5:R78),2)&gt;=ROUND(R$129,2),0,INDEX('draws%'!$D$8:$AG$128,$C79+1,MATCH(R$4,'draws%'!$D$7:$AG$7,FALSE))*R$129)</f>
        <v>0</v>
      </c>
      <c r="S79" s="181">
        <f>IF(ROUND(SUM(S$5:S78),2)&gt;=ROUND(S$129,2),0,INDEX('draws%'!$D$8:$AG$128,$C79+1,MATCH(S$4,'draws%'!$D$7:$AG$7,FALSE))*S$129)</f>
        <v>0</v>
      </c>
      <c r="T79" s="181">
        <f>IF(ROUND(SUM(T$5:T78),2)&gt;=ROUND(T$129,2),0,INDEX('draws%'!$D$8:$AG$128,$C79+1,MATCH(T$4,'draws%'!$D$7:$AG$7,FALSE))*T$129)</f>
        <v>0</v>
      </c>
      <c r="U79" s="181">
        <f>IF(ROUND(SUM(U$5:U78),2)&gt;=ROUND(U$129,2),0,INDEX('draws%'!$D$8:$AG$128,$C79+1,MATCH(U$4,'draws%'!$D$7:$AG$7,FALSE))*U$129)</f>
        <v>0</v>
      </c>
      <c r="V79" s="181">
        <f>IF(ROUND(SUM(V$5:V78),2)&gt;=ROUND(V$129,2),0,INDEX('draws%'!$D$8:$AG$128,$C79+1,MATCH(V$4,'draws%'!$D$7:$AG$7,FALSE))*V$129)</f>
        <v>0</v>
      </c>
      <c r="W79" s="181">
        <f>IF(ROUND(SUM(W$5:W78),2)&gt;=ROUND(W$129,2),0,INDEX('draws%'!$D$8:$AG$128,$C79+1,MATCH(W$4,'draws%'!$D$7:$AG$7,FALSE))*W$129)</f>
        <v>0</v>
      </c>
      <c r="X79" s="181">
        <f>IF(ROUND(SUM(X$5:X78),2)&gt;=ROUND(X$129,2),0,INDEX('draws%'!$D$8:$AG$128,$C79+1,MATCH(X$4,'draws%'!$D$7:$AG$7,FALSE))*X$129)</f>
        <v>0</v>
      </c>
      <c r="Y79" s="181">
        <f>IF(ROUND(SUM(Y$5:Y78),2)&gt;=ROUND(Y$129,2),0,INDEX('draws%'!$D$8:$AG$128,$C79+1,MATCH(Y$4,'draws%'!$D$7:$AG$7,FALSE))*Y$129)</f>
        <v>0</v>
      </c>
      <c r="Z79" s="181">
        <f>IF(ROUND(SUM(Z$5:Z78),2)&gt;=ROUND(Z$129,2),0,INDEX('draws%'!$D$8:$AG$128,$C79+1,MATCH(Z$4,'draws%'!$D$7:$AG$7,FALSE))*Z$129)</f>
        <v>0</v>
      </c>
      <c r="AA79" s="181">
        <f>IF(ROUND(SUM(AA$5:AA78),2)&gt;=ROUND(AA$129,2),0,INDEX('draws%'!$D$8:$AG$128,$C79+1,MATCH(AA$4,'draws%'!$D$7:$AG$7,FALSE))*AA$129)</f>
        <v>0</v>
      </c>
      <c r="AB79" s="181">
        <f>IF(ROUND(SUM(AB$5:AB78),2)&gt;=ROUND(AB$129,2),0,INDEX('draws%'!$D$8:$AG$128,$C79+1,MATCH(AB$4,'draws%'!$D$7:$AG$7,FALSE))*AB$129)</f>
        <v>0</v>
      </c>
      <c r="AC79" s="181">
        <f>($C79&gt;=sales!$D$32)*($C79&lt;=sales!$F$32)*sales!$J$41/(sales!$E$32+1)+($C79&gt;=sales!$D$33)*($C79&lt;=sales!$F$33)*sales!$J$42/(sales!$E$33+1)+($C79&gt;=sales!$D$34)*($C79&lt;=sales!$F$34)*sales!$J$43/(sales!$E$34+1)+($C79&gt;=sales!$D$35)*($C79&lt;=sales!$F$35)*sales!$J$44/(sales!$E$35+1)+($C79&gt;=sales!$D$36)*($C79&lt;=sales!$F$36)*sales!$J$45/(sales!$E$36+1)</f>
        <v>0</v>
      </c>
      <c r="AD79" s="181">
        <f>IF(ROUND(SUM(AD$5:AD78),2)&gt;=ROUND(AD$129,2),0,INDEX('draws%'!$D$8:$AG$128,$C79+1,MATCH(AD$4,'draws%'!$D$7:$AG$7,FALSE))*AD$129)</f>
        <v>0</v>
      </c>
      <c r="AE79" s="181">
        <f>IF(ROUND(SUM(AE$5:AE78),2)&gt;=ROUND(AE$129,2),0,INDEX('draws%'!$D$8:$AG$128,$C79+1,MATCH(AE$4,'draws%'!$D$7:$AG$7,FALSE))*AE$129)</f>
        <v>0</v>
      </c>
      <c r="AF79" s="188">
        <f>($C79&gt;=sales!$D$32)*($C79&lt;=sales!$F$32)*sales!$D$41/(sales!$E$32+1)+($C79&gt;=sales!$D$33)*($C79&lt;=sales!$F$33)*sales!$D$42/(sales!$E$33+1)+($C79&gt;=sales!$D$34)*($C79&lt;=sales!$F$34)*sales!$D$43/(sales!$E$34+1)+($C79&gt;=sales!$D$35)*($C79&lt;=sales!$F$35)*sales!$D$44/(sales!$E$35+1)+($C79&gt;=sales!$D$36)*($C79&lt;=sales!$F$36)*sales!$D$45/(sales!$E$36+1)</f>
        <v>0</v>
      </c>
      <c r="AG79" s="188">
        <f>($C79&gt;=sales!$D$32)*($C79&lt;=sales!$F$32)*sales!$F$41/(sales!$E$32+1)+($C79&gt;=sales!$D$33)*($C79&lt;=sales!$F$33)*sales!$F$42/(sales!$E$33+1)+($C79&gt;=sales!$D$34)*($C79&lt;=sales!$F$34)*sales!$F$43/(sales!$E$34+1)+($C79&gt;=sales!$D$35)*($C79&lt;=sales!$F$35)*sales!$F$44/(sales!$E$35+1)+($C79&gt;=sales!$D$36)*($C79&lt;=sales!$F$36)*sales!$F$45/(sales!$E$36+1)</f>
        <v>0</v>
      </c>
      <c r="AH79" s="181">
        <f>IF(ROUND(SUM(AH$5:AH78),2)&gt;=ROUND(AH$129,2),0,INDEX('draws%'!$D$8:$AG$128,$C79+1,MATCH(AH$4,'draws%'!$D$7:$AG$7,FALSE))*AH$129)</f>
        <v>0</v>
      </c>
      <c r="AI79" s="181">
        <f>IF(ROUND(SUM(AI$5:AI78),2)&gt;=ROUND(AI$129,2),0,INDEX('draws%'!$D$8:$AG$128,$C79+1,MATCH(AI$4,'draws%'!$D$7:$AG$7,FALSE))*AI$129)</f>
        <v>0</v>
      </c>
      <c r="AJ79" s="181">
        <f>IF(ROUND(SUM(AJ$5:AJ78),2)&gt;=ROUND(AJ$129,2),0,INDEX('draws%'!$D$8:$AG$128,$C79+1,MATCH(AJ$4,'draws%'!$D$7:$AG$7,FALSE))*AJ$129)</f>
        <v>0</v>
      </c>
      <c r="AK79" s="181">
        <f>IF(ROUND(SUM(AK$5:AK78),2)&gt;=ROUND(AK$129,2),0,INDEX('draws%'!$D$8:$AG$128,$C79+1,MATCH(AK$4,'draws%'!$D$7:$AG$7,FALSE))*AK$129)</f>
        <v>0</v>
      </c>
      <c r="AL79" s="189">
        <f t="shared" si="2"/>
        <v>0</v>
      </c>
      <c r="AM79" s="194"/>
      <c r="AO79" s="171"/>
    </row>
    <row r="80" spans="1:41" s="192" customFormat="1" ht="16" hidden="1" outlineLevel="1">
      <c r="A80" s="185" t="str">
        <f>IF(MAX(C$5:C79)&gt;=general!$C$27,"post dev",IF(C80&lt;general!$C$23, "Pred", "Dev"))</f>
        <v>post dev</v>
      </c>
      <c r="B80" s="1398"/>
      <c r="C80" s="1388">
        <f>IF('Development Cash Flow'!D79&lt;general!$D$28,'Development Cash Flow'!C79+1,0)</f>
        <v>0</v>
      </c>
      <c r="D80" s="185">
        <f t="shared" si="0"/>
        <v>48518</v>
      </c>
      <c r="E80" s="186">
        <f>($C80&gt;=sales!$D$32)*($C80&lt;=sales!$F$32)*ResUnits/(sales!$E$32+1)</f>
        <v>0</v>
      </c>
      <c r="F80" s="181">
        <f>($C80&gt;=sales!$D$32)*($C80&lt;=sales!$F$32)*sales!$I$18/(sales!$E$32+1)</f>
        <v>0</v>
      </c>
      <c r="G80" s="181">
        <f>($C80&gt;=sales!$D$32)*($C80&lt;=sales!$F$32)*sales!$K$32/(sales!$E$32+1)</f>
        <v>0</v>
      </c>
      <c r="H80" s="187">
        <f>($C80&gt;=sales!$D$33)*($C80&lt;=sales!$F$33)*sales!$K$33/(sales!$E$33+1)</f>
        <v>0</v>
      </c>
      <c r="I80" s="181">
        <f>($C80&gt;=sales!$D$34)*($C80&lt;=sales!$F$34)*sales!$K$34/(sales!$E$34+1)</f>
        <v>0</v>
      </c>
      <c r="J80" s="181">
        <f>($C80&gt;=sales!$D$35)*($C80&lt;=sales!$F$35)*sales!$K$35/(sales!$E$35+1)</f>
        <v>0</v>
      </c>
      <c r="K80" s="189">
        <f>($C80&gt;=sales!$D$36)*($C80&lt;=sales!$F$36)*sales!$K$36*IFERROR(VLOOKUP(C80,sales!$C$50:$D$54,2,FALSE),0)</f>
        <v>0</v>
      </c>
      <c r="L80" s="1398"/>
      <c r="M80" s="1403">
        <f>+G80/$G$4*$M$4*sales!$J$32</f>
        <v>0</v>
      </c>
      <c r="N80" s="1398"/>
      <c r="O80" s="1464">
        <f>IF(ROUND(SUM(O$5:O79),2)&gt;=ROUND(O$129,2),0,INDEX('draws%'!$D$8:$AG$128,$C80+1,MATCH(O$4,'draws%'!$D$7:$AG$7,FALSE))*O$129)</f>
        <v>0</v>
      </c>
      <c r="P80" s="181">
        <f>IF(ROUND(SUM(P$5:P79),2)&gt;=ROUND(P$129,2),0,INDEX('draws%'!$D$8:$AG$128,$C80+1,MATCH(P$4,'draws%'!$D$7:$AG$7,FALSE))*P$129)</f>
        <v>0</v>
      </c>
      <c r="Q80" s="181">
        <f>IF(ROUND(SUM(Q$5:Q79),2)&gt;=ROUND(Q$129,2),0,INDEX('draws%'!$D$8:$AG$128,$C80+1,MATCH(Q$4,'draws%'!$D$7:$AG$7,FALSE))*Q$129)</f>
        <v>0</v>
      </c>
      <c r="R80" s="181">
        <f>IF(ROUND(SUM(R$5:R79),2)&gt;=ROUND(R$129,2),0,INDEX('draws%'!$D$8:$AG$128,$C80+1,MATCH(R$4,'draws%'!$D$7:$AG$7,FALSE))*R$129)</f>
        <v>0</v>
      </c>
      <c r="S80" s="181">
        <f>IF(ROUND(SUM(S$5:S79),2)&gt;=ROUND(S$129,2),0,INDEX('draws%'!$D$8:$AG$128,$C80+1,MATCH(S$4,'draws%'!$D$7:$AG$7,FALSE))*S$129)</f>
        <v>0</v>
      </c>
      <c r="T80" s="181">
        <f>IF(ROUND(SUM(T$5:T79),2)&gt;=ROUND(T$129,2),0,INDEX('draws%'!$D$8:$AG$128,$C80+1,MATCH(T$4,'draws%'!$D$7:$AG$7,FALSE))*T$129)</f>
        <v>0</v>
      </c>
      <c r="U80" s="181">
        <f>IF(ROUND(SUM(U$5:U79),2)&gt;=ROUND(U$129,2),0,INDEX('draws%'!$D$8:$AG$128,$C80+1,MATCH(U$4,'draws%'!$D$7:$AG$7,FALSE))*U$129)</f>
        <v>0</v>
      </c>
      <c r="V80" s="181">
        <f>IF(ROUND(SUM(V$5:V79),2)&gt;=ROUND(V$129,2),0,INDEX('draws%'!$D$8:$AG$128,$C80+1,MATCH(V$4,'draws%'!$D$7:$AG$7,FALSE))*V$129)</f>
        <v>0</v>
      </c>
      <c r="W80" s="181">
        <f>IF(ROUND(SUM(W$5:W79),2)&gt;=ROUND(W$129,2),0,INDEX('draws%'!$D$8:$AG$128,$C80+1,MATCH(W$4,'draws%'!$D$7:$AG$7,FALSE))*W$129)</f>
        <v>0</v>
      </c>
      <c r="X80" s="181">
        <f>IF(ROUND(SUM(X$5:X79),2)&gt;=ROUND(X$129,2),0,INDEX('draws%'!$D$8:$AG$128,$C80+1,MATCH(X$4,'draws%'!$D$7:$AG$7,FALSE))*X$129)</f>
        <v>0</v>
      </c>
      <c r="Y80" s="181">
        <f>IF(ROUND(SUM(Y$5:Y79),2)&gt;=ROUND(Y$129,2),0,INDEX('draws%'!$D$8:$AG$128,$C80+1,MATCH(Y$4,'draws%'!$D$7:$AG$7,FALSE))*Y$129)</f>
        <v>0</v>
      </c>
      <c r="Z80" s="181">
        <f>IF(ROUND(SUM(Z$5:Z79),2)&gt;=ROUND(Z$129,2),0,INDEX('draws%'!$D$8:$AG$128,$C80+1,MATCH(Z$4,'draws%'!$D$7:$AG$7,FALSE))*Z$129)</f>
        <v>0</v>
      </c>
      <c r="AA80" s="181">
        <f>IF(ROUND(SUM(AA$5:AA79),2)&gt;=ROUND(AA$129,2),0,INDEX('draws%'!$D$8:$AG$128,$C80+1,MATCH(AA$4,'draws%'!$D$7:$AG$7,FALSE))*AA$129)</f>
        <v>0</v>
      </c>
      <c r="AB80" s="181">
        <f>IF(ROUND(SUM(AB$5:AB79),2)&gt;=ROUND(AB$129,2),0,INDEX('draws%'!$D$8:$AG$128,$C80+1,MATCH(AB$4,'draws%'!$D$7:$AG$7,FALSE))*AB$129)</f>
        <v>0</v>
      </c>
      <c r="AC80" s="181">
        <f>($C80&gt;=sales!$D$32)*($C80&lt;=sales!$F$32)*sales!$J$41/(sales!$E$32+1)+($C80&gt;=sales!$D$33)*($C80&lt;=sales!$F$33)*sales!$J$42/(sales!$E$33+1)+($C80&gt;=sales!$D$34)*($C80&lt;=sales!$F$34)*sales!$J$43/(sales!$E$34+1)+($C80&gt;=sales!$D$35)*($C80&lt;=sales!$F$35)*sales!$J$44/(sales!$E$35+1)+($C80&gt;=sales!$D$36)*($C80&lt;=sales!$F$36)*sales!$J$45/(sales!$E$36+1)</f>
        <v>0</v>
      </c>
      <c r="AD80" s="181">
        <f>IF(ROUND(SUM(AD$5:AD79),2)&gt;=ROUND(AD$129,2),0,INDEX('draws%'!$D$8:$AG$128,$C80+1,MATCH(AD$4,'draws%'!$D$7:$AG$7,FALSE))*AD$129)</f>
        <v>0</v>
      </c>
      <c r="AE80" s="181">
        <f>IF(ROUND(SUM(AE$5:AE79),2)&gt;=ROUND(AE$129,2),0,INDEX('draws%'!$D$8:$AG$128,$C80+1,MATCH(AE$4,'draws%'!$D$7:$AG$7,FALSE))*AE$129)</f>
        <v>0</v>
      </c>
      <c r="AF80" s="188">
        <f>($C80&gt;=sales!$D$32)*($C80&lt;=sales!$F$32)*sales!$D$41/(sales!$E$32+1)+($C80&gt;=sales!$D$33)*($C80&lt;=sales!$F$33)*sales!$D$42/(sales!$E$33+1)+($C80&gt;=sales!$D$34)*($C80&lt;=sales!$F$34)*sales!$D$43/(sales!$E$34+1)+($C80&gt;=sales!$D$35)*($C80&lt;=sales!$F$35)*sales!$D$44/(sales!$E$35+1)+($C80&gt;=sales!$D$36)*($C80&lt;=sales!$F$36)*sales!$D$45/(sales!$E$36+1)</f>
        <v>0</v>
      </c>
      <c r="AG80" s="188">
        <f>($C80&gt;=sales!$D$32)*($C80&lt;=sales!$F$32)*sales!$F$41/(sales!$E$32+1)+($C80&gt;=sales!$D$33)*($C80&lt;=sales!$F$33)*sales!$F$42/(sales!$E$33+1)+($C80&gt;=sales!$D$34)*($C80&lt;=sales!$F$34)*sales!$F$43/(sales!$E$34+1)+($C80&gt;=sales!$D$35)*($C80&lt;=sales!$F$35)*sales!$F$44/(sales!$E$35+1)+($C80&gt;=sales!$D$36)*($C80&lt;=sales!$F$36)*sales!$F$45/(sales!$E$36+1)</f>
        <v>0</v>
      </c>
      <c r="AH80" s="181">
        <f>IF(ROUND(SUM(AH$5:AH79),2)&gt;=ROUND(AH$129,2),0,INDEX('draws%'!$D$8:$AG$128,$C80+1,MATCH(AH$4,'draws%'!$D$7:$AG$7,FALSE))*AH$129)</f>
        <v>0</v>
      </c>
      <c r="AI80" s="181">
        <f>IF(ROUND(SUM(AI$5:AI79),2)&gt;=ROUND(AI$129,2),0,INDEX('draws%'!$D$8:$AG$128,$C80+1,MATCH(AI$4,'draws%'!$D$7:$AG$7,FALSE))*AI$129)</f>
        <v>0</v>
      </c>
      <c r="AJ80" s="181">
        <f>IF(ROUND(SUM(AJ$5:AJ79),2)&gt;=ROUND(AJ$129,2),0,INDEX('draws%'!$D$8:$AG$128,$C80+1,MATCH(AJ$4,'draws%'!$D$7:$AG$7,FALSE))*AJ$129)</f>
        <v>0</v>
      </c>
      <c r="AK80" s="181">
        <f>IF(ROUND(SUM(AK$5:AK79),2)&gt;=ROUND(AK$129,2),0,INDEX('draws%'!$D$8:$AG$128,$C80+1,MATCH(AK$4,'draws%'!$D$7:$AG$7,FALSE))*AK$129)</f>
        <v>0</v>
      </c>
      <c r="AL80" s="189">
        <f t="shared" si="2"/>
        <v>0</v>
      </c>
      <c r="AM80" s="194"/>
      <c r="AO80" s="171"/>
    </row>
    <row r="81" spans="1:41" s="192" customFormat="1" ht="16" hidden="1" outlineLevel="1">
      <c r="A81" s="185" t="str">
        <f>IF(MAX(C$5:C80)&gt;=general!$C$27,"post dev",IF(C81&lt;general!$C$23, "Pred", "Dev"))</f>
        <v>post dev</v>
      </c>
      <c r="B81" s="1398"/>
      <c r="C81" s="1388">
        <f>IF('Development Cash Flow'!D80&lt;general!$D$28,'Development Cash Flow'!C80+1,0)</f>
        <v>0</v>
      </c>
      <c r="D81" s="185">
        <f t="shared" si="0"/>
        <v>48548</v>
      </c>
      <c r="E81" s="186">
        <f>($C81&gt;=sales!$D$32)*($C81&lt;=sales!$F$32)*ResUnits/(sales!$E$32+1)</f>
        <v>0</v>
      </c>
      <c r="F81" s="181">
        <f>($C81&gt;=sales!$D$32)*($C81&lt;=sales!$F$32)*sales!$I$18/(sales!$E$32+1)</f>
        <v>0</v>
      </c>
      <c r="G81" s="181">
        <f>($C81&gt;=sales!$D$32)*($C81&lt;=sales!$F$32)*sales!$K$32/(sales!$E$32+1)</f>
        <v>0</v>
      </c>
      <c r="H81" s="187">
        <f>($C81&gt;=sales!$D$33)*($C81&lt;=sales!$F$33)*sales!$K$33/(sales!$E$33+1)</f>
        <v>0</v>
      </c>
      <c r="I81" s="181">
        <f>($C81&gt;=sales!$D$34)*($C81&lt;=sales!$F$34)*sales!$K$34/(sales!$E$34+1)</f>
        <v>0</v>
      </c>
      <c r="J81" s="181">
        <f>($C81&gt;=sales!$D$35)*($C81&lt;=sales!$F$35)*sales!$K$35/(sales!$E$35+1)</f>
        <v>0</v>
      </c>
      <c r="K81" s="189">
        <f>($C81&gt;=sales!$D$36)*($C81&lt;=sales!$F$36)*sales!$K$36*IFERROR(VLOOKUP(C81,sales!$C$50:$D$54,2,FALSE),0)</f>
        <v>0</v>
      </c>
      <c r="L81" s="1398"/>
      <c r="M81" s="1403">
        <f>+G81/$G$4*$M$4*sales!$J$32</f>
        <v>0</v>
      </c>
      <c r="N81" s="1398"/>
      <c r="O81" s="1464">
        <f>IF(ROUND(SUM(O$5:O80),2)&gt;=ROUND(O$129,2),0,INDEX('draws%'!$D$8:$AG$128,$C81+1,MATCH(O$4,'draws%'!$D$7:$AG$7,FALSE))*O$129)</f>
        <v>0</v>
      </c>
      <c r="P81" s="181">
        <f>IF(ROUND(SUM(P$5:P80),2)&gt;=ROUND(P$129,2),0,INDEX('draws%'!$D$8:$AG$128,$C81+1,MATCH(P$4,'draws%'!$D$7:$AG$7,FALSE))*P$129)</f>
        <v>0</v>
      </c>
      <c r="Q81" s="181">
        <f>IF(ROUND(SUM(Q$5:Q80),2)&gt;=ROUND(Q$129,2),0,INDEX('draws%'!$D$8:$AG$128,$C81+1,MATCH(Q$4,'draws%'!$D$7:$AG$7,FALSE))*Q$129)</f>
        <v>0</v>
      </c>
      <c r="R81" s="181">
        <f>IF(ROUND(SUM(R$5:R80),2)&gt;=ROUND(R$129,2),0,INDEX('draws%'!$D$8:$AG$128,$C81+1,MATCH(R$4,'draws%'!$D$7:$AG$7,FALSE))*R$129)</f>
        <v>0</v>
      </c>
      <c r="S81" s="181">
        <f>IF(ROUND(SUM(S$5:S80),2)&gt;=ROUND(S$129,2),0,INDEX('draws%'!$D$8:$AG$128,$C81+1,MATCH(S$4,'draws%'!$D$7:$AG$7,FALSE))*S$129)</f>
        <v>0</v>
      </c>
      <c r="T81" s="181">
        <f>IF(ROUND(SUM(T$5:T80),2)&gt;=ROUND(T$129,2),0,INDEX('draws%'!$D$8:$AG$128,$C81+1,MATCH(T$4,'draws%'!$D$7:$AG$7,FALSE))*T$129)</f>
        <v>0</v>
      </c>
      <c r="U81" s="181">
        <f>IF(ROUND(SUM(U$5:U80),2)&gt;=ROUND(U$129,2),0,INDEX('draws%'!$D$8:$AG$128,$C81+1,MATCH(U$4,'draws%'!$D$7:$AG$7,FALSE))*U$129)</f>
        <v>0</v>
      </c>
      <c r="V81" s="181">
        <f>IF(ROUND(SUM(V$5:V80),2)&gt;=ROUND(V$129,2),0,INDEX('draws%'!$D$8:$AG$128,$C81+1,MATCH(V$4,'draws%'!$D$7:$AG$7,FALSE))*V$129)</f>
        <v>0</v>
      </c>
      <c r="W81" s="181">
        <f>IF(ROUND(SUM(W$5:W80),2)&gt;=ROUND(W$129,2),0,INDEX('draws%'!$D$8:$AG$128,$C81+1,MATCH(W$4,'draws%'!$D$7:$AG$7,FALSE))*W$129)</f>
        <v>0</v>
      </c>
      <c r="X81" s="181">
        <f>IF(ROUND(SUM(X$5:X80),2)&gt;=ROUND(X$129,2),0,INDEX('draws%'!$D$8:$AG$128,$C81+1,MATCH(X$4,'draws%'!$D$7:$AG$7,FALSE))*X$129)</f>
        <v>0</v>
      </c>
      <c r="Y81" s="181">
        <f>IF(ROUND(SUM(Y$5:Y80),2)&gt;=ROUND(Y$129,2),0,INDEX('draws%'!$D$8:$AG$128,$C81+1,MATCH(Y$4,'draws%'!$D$7:$AG$7,FALSE))*Y$129)</f>
        <v>0</v>
      </c>
      <c r="Z81" s="181">
        <f>IF(ROUND(SUM(Z$5:Z80),2)&gt;=ROUND(Z$129,2),0,INDEX('draws%'!$D$8:$AG$128,$C81+1,MATCH(Z$4,'draws%'!$D$7:$AG$7,FALSE))*Z$129)</f>
        <v>0</v>
      </c>
      <c r="AA81" s="181">
        <f>IF(ROUND(SUM(AA$5:AA80),2)&gt;=ROUND(AA$129,2),0,INDEX('draws%'!$D$8:$AG$128,$C81+1,MATCH(AA$4,'draws%'!$D$7:$AG$7,FALSE))*AA$129)</f>
        <v>0</v>
      </c>
      <c r="AB81" s="181">
        <f>IF(ROUND(SUM(AB$5:AB80),2)&gt;=ROUND(AB$129,2),0,INDEX('draws%'!$D$8:$AG$128,$C81+1,MATCH(AB$4,'draws%'!$D$7:$AG$7,FALSE))*AB$129)</f>
        <v>0</v>
      </c>
      <c r="AC81" s="181">
        <f>($C81&gt;=sales!$D$32)*($C81&lt;=sales!$F$32)*sales!$J$41/(sales!$E$32+1)+($C81&gt;=sales!$D$33)*($C81&lt;=sales!$F$33)*sales!$J$42/(sales!$E$33+1)+($C81&gt;=sales!$D$34)*($C81&lt;=sales!$F$34)*sales!$J$43/(sales!$E$34+1)+($C81&gt;=sales!$D$35)*($C81&lt;=sales!$F$35)*sales!$J$44/(sales!$E$35+1)+($C81&gt;=sales!$D$36)*($C81&lt;=sales!$F$36)*sales!$J$45/(sales!$E$36+1)</f>
        <v>0</v>
      </c>
      <c r="AD81" s="181">
        <f>IF(ROUND(SUM(AD$5:AD80),2)&gt;=ROUND(AD$129,2),0,INDEX('draws%'!$D$8:$AG$128,$C81+1,MATCH(AD$4,'draws%'!$D$7:$AG$7,FALSE))*AD$129)</f>
        <v>0</v>
      </c>
      <c r="AE81" s="181">
        <f>IF(ROUND(SUM(AE$5:AE80),2)&gt;=ROUND(AE$129,2),0,INDEX('draws%'!$D$8:$AG$128,$C81+1,MATCH(AE$4,'draws%'!$D$7:$AG$7,FALSE))*AE$129)</f>
        <v>0</v>
      </c>
      <c r="AF81" s="188">
        <f>($C81&gt;=sales!$D$32)*($C81&lt;=sales!$F$32)*sales!$D$41/(sales!$E$32+1)+($C81&gt;=sales!$D$33)*($C81&lt;=sales!$F$33)*sales!$D$42/(sales!$E$33+1)+($C81&gt;=sales!$D$34)*($C81&lt;=sales!$F$34)*sales!$D$43/(sales!$E$34+1)+($C81&gt;=sales!$D$35)*($C81&lt;=sales!$F$35)*sales!$D$44/(sales!$E$35+1)+($C81&gt;=sales!$D$36)*($C81&lt;=sales!$F$36)*sales!$D$45/(sales!$E$36+1)</f>
        <v>0</v>
      </c>
      <c r="AG81" s="188">
        <f>($C81&gt;=sales!$D$32)*($C81&lt;=sales!$F$32)*sales!$F$41/(sales!$E$32+1)+($C81&gt;=sales!$D$33)*($C81&lt;=sales!$F$33)*sales!$F$42/(sales!$E$33+1)+($C81&gt;=sales!$D$34)*($C81&lt;=sales!$F$34)*sales!$F$43/(sales!$E$34+1)+($C81&gt;=sales!$D$35)*($C81&lt;=sales!$F$35)*sales!$F$44/(sales!$E$35+1)+($C81&gt;=sales!$D$36)*($C81&lt;=sales!$F$36)*sales!$F$45/(sales!$E$36+1)</f>
        <v>0</v>
      </c>
      <c r="AH81" s="181">
        <f>IF(ROUND(SUM(AH$5:AH80),2)&gt;=ROUND(AH$129,2),0,INDEX('draws%'!$D$8:$AG$128,$C81+1,MATCH(AH$4,'draws%'!$D$7:$AG$7,FALSE))*AH$129)</f>
        <v>0</v>
      </c>
      <c r="AI81" s="181">
        <f>IF(ROUND(SUM(AI$5:AI80),2)&gt;=ROUND(AI$129,2),0,INDEX('draws%'!$D$8:$AG$128,$C81+1,MATCH(AI$4,'draws%'!$D$7:$AG$7,FALSE))*AI$129)</f>
        <v>0</v>
      </c>
      <c r="AJ81" s="181">
        <f>IF(ROUND(SUM(AJ$5:AJ80),2)&gt;=ROUND(AJ$129,2),0,INDEX('draws%'!$D$8:$AG$128,$C81+1,MATCH(AJ$4,'draws%'!$D$7:$AG$7,FALSE))*AJ$129)</f>
        <v>0</v>
      </c>
      <c r="AK81" s="181">
        <f>IF(ROUND(SUM(AK$5:AK80),2)&gt;=ROUND(AK$129,2),0,INDEX('draws%'!$D$8:$AG$128,$C81+1,MATCH(AK$4,'draws%'!$D$7:$AG$7,FALSE))*AK$129)</f>
        <v>0</v>
      </c>
      <c r="AL81" s="189">
        <f t="shared" si="2"/>
        <v>0</v>
      </c>
      <c r="AM81" s="194"/>
      <c r="AO81" s="171"/>
    </row>
    <row r="82" spans="1:41" s="192" customFormat="1" ht="16" hidden="1" outlineLevel="1">
      <c r="A82" s="185" t="str">
        <f>IF(MAX(C$5:C81)&gt;=general!$C$27,"post dev",IF(C82&lt;general!$C$23, "Pred", "Dev"))</f>
        <v>post dev</v>
      </c>
      <c r="B82" s="1398"/>
      <c r="C82" s="1388">
        <f>IF('Development Cash Flow'!D81&lt;general!$D$28,'Development Cash Flow'!C81+1,0)</f>
        <v>0</v>
      </c>
      <c r="D82" s="185">
        <f t="shared" si="0"/>
        <v>48579</v>
      </c>
      <c r="E82" s="186">
        <f>($C82&gt;=sales!$D$32)*($C82&lt;=sales!$F$32)*ResUnits/(sales!$E$32+1)</f>
        <v>0</v>
      </c>
      <c r="F82" s="181">
        <f>($C82&gt;=sales!$D$32)*($C82&lt;=sales!$F$32)*sales!$I$18/(sales!$E$32+1)</f>
        <v>0</v>
      </c>
      <c r="G82" s="181">
        <f>($C82&gt;=sales!$D$32)*($C82&lt;=sales!$F$32)*sales!$K$32/(sales!$E$32+1)</f>
        <v>0</v>
      </c>
      <c r="H82" s="187">
        <f>($C82&gt;=sales!$D$33)*($C82&lt;=sales!$F$33)*sales!$K$33/(sales!$E$33+1)</f>
        <v>0</v>
      </c>
      <c r="I82" s="181">
        <f>($C82&gt;=sales!$D$34)*($C82&lt;=sales!$F$34)*sales!$K$34/(sales!$E$34+1)</f>
        <v>0</v>
      </c>
      <c r="J82" s="181">
        <f>($C82&gt;=sales!$D$35)*($C82&lt;=sales!$F$35)*sales!$K$35/(sales!$E$35+1)</f>
        <v>0</v>
      </c>
      <c r="K82" s="189">
        <f>($C82&gt;=sales!$D$36)*($C82&lt;=sales!$F$36)*sales!$K$36*IFERROR(VLOOKUP(C82,sales!$C$50:$D$54,2,FALSE),0)</f>
        <v>0</v>
      </c>
      <c r="L82" s="1398"/>
      <c r="M82" s="1403">
        <f>+G82/$G$4*$M$4*sales!$J$32</f>
        <v>0</v>
      </c>
      <c r="N82" s="1398"/>
      <c r="O82" s="1464">
        <f>IF(ROUND(SUM(O$5:O81),2)&gt;=ROUND(O$129,2),0,INDEX('draws%'!$D$8:$AG$128,$C82+1,MATCH(O$4,'draws%'!$D$7:$AG$7,FALSE))*O$129)</f>
        <v>0</v>
      </c>
      <c r="P82" s="181">
        <f>IF(ROUND(SUM(P$5:P81),2)&gt;=ROUND(P$129,2),0,INDEX('draws%'!$D$8:$AG$128,$C82+1,MATCH(P$4,'draws%'!$D$7:$AG$7,FALSE))*P$129)</f>
        <v>0</v>
      </c>
      <c r="Q82" s="181">
        <f>IF(ROUND(SUM(Q$5:Q81),2)&gt;=ROUND(Q$129,2),0,INDEX('draws%'!$D$8:$AG$128,$C82+1,MATCH(Q$4,'draws%'!$D$7:$AG$7,FALSE))*Q$129)</f>
        <v>0</v>
      </c>
      <c r="R82" s="181">
        <f>IF(ROUND(SUM(R$5:R81),2)&gt;=ROUND(R$129,2),0,INDEX('draws%'!$D$8:$AG$128,$C82+1,MATCH(R$4,'draws%'!$D$7:$AG$7,FALSE))*R$129)</f>
        <v>0</v>
      </c>
      <c r="S82" s="181">
        <f>IF(ROUND(SUM(S$5:S81),2)&gt;=ROUND(S$129,2),0,INDEX('draws%'!$D$8:$AG$128,$C82+1,MATCH(S$4,'draws%'!$D$7:$AG$7,FALSE))*S$129)</f>
        <v>0</v>
      </c>
      <c r="T82" s="181">
        <f>IF(ROUND(SUM(T$5:T81),2)&gt;=ROUND(T$129,2),0,INDEX('draws%'!$D$8:$AG$128,$C82+1,MATCH(T$4,'draws%'!$D$7:$AG$7,FALSE))*T$129)</f>
        <v>0</v>
      </c>
      <c r="U82" s="181">
        <f>IF(ROUND(SUM(U$5:U81),2)&gt;=ROUND(U$129,2),0,INDEX('draws%'!$D$8:$AG$128,$C82+1,MATCH(U$4,'draws%'!$D$7:$AG$7,FALSE))*U$129)</f>
        <v>0</v>
      </c>
      <c r="V82" s="181">
        <f>IF(ROUND(SUM(V$5:V81),2)&gt;=ROUND(V$129,2),0,INDEX('draws%'!$D$8:$AG$128,$C82+1,MATCH(V$4,'draws%'!$D$7:$AG$7,FALSE))*V$129)</f>
        <v>0</v>
      </c>
      <c r="W82" s="181">
        <f>IF(ROUND(SUM(W$5:W81),2)&gt;=ROUND(W$129,2),0,INDEX('draws%'!$D$8:$AG$128,$C82+1,MATCH(W$4,'draws%'!$D$7:$AG$7,FALSE))*W$129)</f>
        <v>0</v>
      </c>
      <c r="X82" s="181">
        <f>IF(ROUND(SUM(X$5:X81),2)&gt;=ROUND(X$129,2),0,INDEX('draws%'!$D$8:$AG$128,$C82+1,MATCH(X$4,'draws%'!$D$7:$AG$7,FALSE))*X$129)</f>
        <v>0</v>
      </c>
      <c r="Y82" s="181">
        <f>IF(ROUND(SUM(Y$5:Y81),2)&gt;=ROUND(Y$129,2),0,INDEX('draws%'!$D$8:$AG$128,$C82+1,MATCH(Y$4,'draws%'!$D$7:$AG$7,FALSE))*Y$129)</f>
        <v>0</v>
      </c>
      <c r="Z82" s="181">
        <f>IF(ROUND(SUM(Z$5:Z81),2)&gt;=ROUND(Z$129,2),0,INDEX('draws%'!$D$8:$AG$128,$C82+1,MATCH(Z$4,'draws%'!$D$7:$AG$7,FALSE))*Z$129)</f>
        <v>0</v>
      </c>
      <c r="AA82" s="181">
        <f>IF(ROUND(SUM(AA$5:AA81),2)&gt;=ROUND(AA$129,2),0,INDEX('draws%'!$D$8:$AG$128,$C82+1,MATCH(AA$4,'draws%'!$D$7:$AG$7,FALSE))*AA$129)</f>
        <v>0</v>
      </c>
      <c r="AB82" s="181">
        <f>IF(ROUND(SUM(AB$5:AB81),2)&gt;=ROUND(AB$129,2),0,INDEX('draws%'!$D$8:$AG$128,$C82+1,MATCH(AB$4,'draws%'!$D$7:$AG$7,FALSE))*AB$129)</f>
        <v>0</v>
      </c>
      <c r="AC82" s="181">
        <f>($C82&gt;=sales!$D$32)*($C82&lt;=sales!$F$32)*sales!$J$41/(sales!$E$32+1)+($C82&gt;=sales!$D$33)*($C82&lt;=sales!$F$33)*sales!$J$42/(sales!$E$33+1)+($C82&gt;=sales!$D$34)*($C82&lt;=sales!$F$34)*sales!$J$43/(sales!$E$34+1)+($C82&gt;=sales!$D$35)*($C82&lt;=sales!$F$35)*sales!$J$44/(sales!$E$35+1)+($C82&gt;=sales!$D$36)*($C82&lt;=sales!$F$36)*sales!$J$45/(sales!$E$36+1)</f>
        <v>0</v>
      </c>
      <c r="AD82" s="181">
        <f>IF(ROUND(SUM(AD$5:AD81),2)&gt;=ROUND(AD$129,2),0,INDEX('draws%'!$D$8:$AG$128,$C82+1,MATCH(AD$4,'draws%'!$D$7:$AG$7,FALSE))*AD$129)</f>
        <v>0</v>
      </c>
      <c r="AE82" s="181">
        <f>IF(ROUND(SUM(AE$5:AE81),2)&gt;=ROUND(AE$129,2),0,INDEX('draws%'!$D$8:$AG$128,$C82+1,MATCH(AE$4,'draws%'!$D$7:$AG$7,FALSE))*AE$129)</f>
        <v>0</v>
      </c>
      <c r="AF82" s="188">
        <f>($C82&gt;=sales!$D$32)*($C82&lt;=sales!$F$32)*sales!$D$41/(sales!$E$32+1)+($C82&gt;=sales!$D$33)*($C82&lt;=sales!$F$33)*sales!$D$42/(sales!$E$33+1)+($C82&gt;=sales!$D$34)*($C82&lt;=sales!$F$34)*sales!$D$43/(sales!$E$34+1)+($C82&gt;=sales!$D$35)*($C82&lt;=sales!$F$35)*sales!$D$44/(sales!$E$35+1)+($C82&gt;=sales!$D$36)*($C82&lt;=sales!$F$36)*sales!$D$45/(sales!$E$36+1)</f>
        <v>0</v>
      </c>
      <c r="AG82" s="188">
        <f>($C82&gt;=sales!$D$32)*($C82&lt;=sales!$F$32)*sales!$F$41/(sales!$E$32+1)+($C82&gt;=sales!$D$33)*($C82&lt;=sales!$F$33)*sales!$F$42/(sales!$E$33+1)+($C82&gt;=sales!$D$34)*($C82&lt;=sales!$F$34)*sales!$F$43/(sales!$E$34+1)+($C82&gt;=sales!$D$35)*($C82&lt;=sales!$F$35)*sales!$F$44/(sales!$E$35+1)+($C82&gt;=sales!$D$36)*($C82&lt;=sales!$F$36)*sales!$F$45/(sales!$E$36+1)</f>
        <v>0</v>
      </c>
      <c r="AH82" s="181">
        <f>IF(ROUND(SUM(AH$5:AH81),2)&gt;=ROUND(AH$129,2),0,INDEX('draws%'!$D$8:$AG$128,$C82+1,MATCH(AH$4,'draws%'!$D$7:$AG$7,FALSE))*AH$129)</f>
        <v>0</v>
      </c>
      <c r="AI82" s="181">
        <f>IF(ROUND(SUM(AI$5:AI81),2)&gt;=ROUND(AI$129,2),0,INDEX('draws%'!$D$8:$AG$128,$C82+1,MATCH(AI$4,'draws%'!$D$7:$AG$7,FALSE))*AI$129)</f>
        <v>0</v>
      </c>
      <c r="AJ82" s="181">
        <f>IF(ROUND(SUM(AJ$5:AJ81),2)&gt;=ROUND(AJ$129,2),0,INDEX('draws%'!$D$8:$AG$128,$C82+1,MATCH(AJ$4,'draws%'!$D$7:$AG$7,FALSE))*AJ$129)</f>
        <v>0</v>
      </c>
      <c r="AK82" s="181">
        <f>IF(ROUND(SUM(AK$5:AK81),2)&gt;=ROUND(AK$129,2),0,INDEX('draws%'!$D$8:$AG$128,$C82+1,MATCH(AK$4,'draws%'!$D$7:$AG$7,FALSE))*AK$129)</f>
        <v>0</v>
      </c>
      <c r="AL82" s="189">
        <f t="shared" si="2"/>
        <v>0</v>
      </c>
      <c r="AM82" s="194"/>
      <c r="AO82" s="171"/>
    </row>
    <row r="83" spans="1:41" s="192" customFormat="1" ht="16" hidden="1" outlineLevel="1">
      <c r="A83" s="185" t="str">
        <f>IF(MAX(C$5:C82)&gt;=general!$C$27,"post dev",IF(C83&lt;general!$C$23, "Pred", "Dev"))</f>
        <v>post dev</v>
      </c>
      <c r="B83" s="1398"/>
      <c r="C83" s="1388">
        <f>IF('Development Cash Flow'!D82&lt;general!$D$28,'Development Cash Flow'!C82+1,0)</f>
        <v>0</v>
      </c>
      <c r="D83" s="185">
        <f t="shared" si="0"/>
        <v>48610</v>
      </c>
      <c r="E83" s="186">
        <f>($C83&gt;=sales!$D$32)*($C83&lt;=sales!$F$32)*ResUnits/(sales!$E$32+1)</f>
        <v>0</v>
      </c>
      <c r="F83" s="181">
        <f>($C83&gt;=sales!$D$32)*($C83&lt;=sales!$F$32)*sales!$I$18/(sales!$E$32+1)</f>
        <v>0</v>
      </c>
      <c r="G83" s="181">
        <f>($C83&gt;=sales!$D$32)*($C83&lt;=sales!$F$32)*sales!$K$32/(sales!$E$32+1)</f>
        <v>0</v>
      </c>
      <c r="H83" s="187">
        <f>($C83&gt;=sales!$D$33)*($C83&lt;=sales!$F$33)*sales!$K$33/(sales!$E$33+1)</f>
        <v>0</v>
      </c>
      <c r="I83" s="181">
        <f>($C83&gt;=sales!$D$34)*($C83&lt;=sales!$F$34)*sales!$K$34/(sales!$E$34+1)</f>
        <v>0</v>
      </c>
      <c r="J83" s="181">
        <f>($C83&gt;=sales!$D$35)*($C83&lt;=sales!$F$35)*sales!$K$35/(sales!$E$35+1)</f>
        <v>0</v>
      </c>
      <c r="K83" s="189">
        <f>($C83&gt;=sales!$D$36)*($C83&lt;=sales!$F$36)*sales!$K$36*IFERROR(VLOOKUP(C83,sales!$C$50:$D$54,2,FALSE),0)</f>
        <v>0</v>
      </c>
      <c r="L83" s="1398"/>
      <c r="M83" s="1403">
        <f>+G83/$G$4*$M$4*sales!$J$32</f>
        <v>0</v>
      </c>
      <c r="N83" s="1398"/>
      <c r="O83" s="1464">
        <f>IF(ROUND(SUM(O$5:O82),2)&gt;=ROUND(O$129,2),0,INDEX('draws%'!$D$8:$AG$128,$C83+1,MATCH(O$4,'draws%'!$D$7:$AG$7,FALSE))*O$129)</f>
        <v>0</v>
      </c>
      <c r="P83" s="181">
        <f>IF(ROUND(SUM(P$5:P82),2)&gt;=ROUND(P$129,2),0,INDEX('draws%'!$D$8:$AG$128,$C83+1,MATCH(P$4,'draws%'!$D$7:$AG$7,FALSE))*P$129)</f>
        <v>0</v>
      </c>
      <c r="Q83" s="181">
        <f>IF(ROUND(SUM(Q$5:Q82),2)&gt;=ROUND(Q$129,2),0,INDEX('draws%'!$D$8:$AG$128,$C83+1,MATCH(Q$4,'draws%'!$D$7:$AG$7,FALSE))*Q$129)</f>
        <v>0</v>
      </c>
      <c r="R83" s="181">
        <f>IF(ROUND(SUM(R$5:R82),2)&gt;=ROUND(R$129,2),0,INDEX('draws%'!$D$8:$AG$128,$C83+1,MATCH(R$4,'draws%'!$D$7:$AG$7,FALSE))*R$129)</f>
        <v>0</v>
      </c>
      <c r="S83" s="181">
        <f>IF(ROUND(SUM(S$5:S82),2)&gt;=ROUND(S$129,2),0,INDEX('draws%'!$D$8:$AG$128,$C83+1,MATCH(S$4,'draws%'!$D$7:$AG$7,FALSE))*S$129)</f>
        <v>0</v>
      </c>
      <c r="T83" s="181">
        <f>IF(ROUND(SUM(T$5:T82),2)&gt;=ROUND(T$129,2),0,INDEX('draws%'!$D$8:$AG$128,$C83+1,MATCH(T$4,'draws%'!$D$7:$AG$7,FALSE))*T$129)</f>
        <v>0</v>
      </c>
      <c r="U83" s="181">
        <f>IF(ROUND(SUM(U$5:U82),2)&gt;=ROUND(U$129,2),0,INDEX('draws%'!$D$8:$AG$128,$C83+1,MATCH(U$4,'draws%'!$D$7:$AG$7,FALSE))*U$129)</f>
        <v>0</v>
      </c>
      <c r="V83" s="181">
        <f>IF(ROUND(SUM(V$5:V82),2)&gt;=ROUND(V$129,2),0,INDEX('draws%'!$D$8:$AG$128,$C83+1,MATCH(V$4,'draws%'!$D$7:$AG$7,FALSE))*V$129)</f>
        <v>0</v>
      </c>
      <c r="W83" s="181">
        <f>IF(ROUND(SUM(W$5:W82),2)&gt;=ROUND(W$129,2),0,INDEX('draws%'!$D$8:$AG$128,$C83+1,MATCH(W$4,'draws%'!$D$7:$AG$7,FALSE))*W$129)</f>
        <v>0</v>
      </c>
      <c r="X83" s="181">
        <f>IF(ROUND(SUM(X$5:X82),2)&gt;=ROUND(X$129,2),0,INDEX('draws%'!$D$8:$AG$128,$C83+1,MATCH(X$4,'draws%'!$D$7:$AG$7,FALSE))*X$129)</f>
        <v>0</v>
      </c>
      <c r="Y83" s="181">
        <f>IF(ROUND(SUM(Y$5:Y82),2)&gt;=ROUND(Y$129,2),0,INDEX('draws%'!$D$8:$AG$128,$C83+1,MATCH(Y$4,'draws%'!$D$7:$AG$7,FALSE))*Y$129)</f>
        <v>0</v>
      </c>
      <c r="Z83" s="181">
        <f>IF(ROUND(SUM(Z$5:Z82),2)&gt;=ROUND(Z$129,2),0,INDEX('draws%'!$D$8:$AG$128,$C83+1,MATCH(Z$4,'draws%'!$D$7:$AG$7,FALSE))*Z$129)</f>
        <v>0</v>
      </c>
      <c r="AA83" s="181">
        <f>IF(ROUND(SUM(AA$5:AA82),2)&gt;=ROUND(AA$129,2),0,INDEX('draws%'!$D$8:$AG$128,$C83+1,MATCH(AA$4,'draws%'!$D$7:$AG$7,FALSE))*AA$129)</f>
        <v>0</v>
      </c>
      <c r="AB83" s="181">
        <f>IF(ROUND(SUM(AB$5:AB82),2)&gt;=ROUND(AB$129,2),0,INDEX('draws%'!$D$8:$AG$128,$C83+1,MATCH(AB$4,'draws%'!$D$7:$AG$7,FALSE))*AB$129)</f>
        <v>0</v>
      </c>
      <c r="AC83" s="181">
        <f>($C83&gt;=sales!$D$32)*($C83&lt;=sales!$F$32)*sales!$J$41/(sales!$E$32+1)+($C83&gt;=sales!$D$33)*($C83&lt;=sales!$F$33)*sales!$J$42/(sales!$E$33+1)+($C83&gt;=sales!$D$34)*($C83&lt;=sales!$F$34)*sales!$J$43/(sales!$E$34+1)+($C83&gt;=sales!$D$35)*($C83&lt;=sales!$F$35)*sales!$J$44/(sales!$E$35+1)+($C83&gt;=sales!$D$36)*($C83&lt;=sales!$F$36)*sales!$J$45/(sales!$E$36+1)</f>
        <v>0</v>
      </c>
      <c r="AD83" s="181">
        <f>IF(ROUND(SUM(AD$5:AD82),2)&gt;=ROUND(AD$129,2),0,INDEX('draws%'!$D$8:$AG$128,$C83+1,MATCH(AD$4,'draws%'!$D$7:$AG$7,FALSE))*AD$129)</f>
        <v>0</v>
      </c>
      <c r="AE83" s="181">
        <f>IF(ROUND(SUM(AE$5:AE82),2)&gt;=ROUND(AE$129,2),0,INDEX('draws%'!$D$8:$AG$128,$C83+1,MATCH(AE$4,'draws%'!$D$7:$AG$7,FALSE))*AE$129)</f>
        <v>0</v>
      </c>
      <c r="AF83" s="188">
        <f>($C83&gt;=sales!$D$32)*($C83&lt;=sales!$F$32)*sales!$D$41/(sales!$E$32+1)+($C83&gt;=sales!$D$33)*($C83&lt;=sales!$F$33)*sales!$D$42/(sales!$E$33+1)+($C83&gt;=sales!$D$34)*($C83&lt;=sales!$F$34)*sales!$D$43/(sales!$E$34+1)+($C83&gt;=sales!$D$35)*($C83&lt;=sales!$F$35)*sales!$D$44/(sales!$E$35+1)+($C83&gt;=sales!$D$36)*($C83&lt;=sales!$F$36)*sales!$D$45/(sales!$E$36+1)</f>
        <v>0</v>
      </c>
      <c r="AG83" s="188">
        <f>($C83&gt;=sales!$D$32)*($C83&lt;=sales!$F$32)*sales!$F$41/(sales!$E$32+1)+($C83&gt;=sales!$D$33)*($C83&lt;=sales!$F$33)*sales!$F$42/(sales!$E$33+1)+($C83&gt;=sales!$D$34)*($C83&lt;=sales!$F$34)*sales!$F$43/(sales!$E$34+1)+($C83&gt;=sales!$D$35)*($C83&lt;=sales!$F$35)*sales!$F$44/(sales!$E$35+1)+($C83&gt;=sales!$D$36)*($C83&lt;=sales!$F$36)*sales!$F$45/(sales!$E$36+1)</f>
        <v>0</v>
      </c>
      <c r="AH83" s="181">
        <f>IF(ROUND(SUM(AH$5:AH82),2)&gt;=ROUND(AH$129,2),0,INDEX('draws%'!$D$8:$AG$128,$C83+1,MATCH(AH$4,'draws%'!$D$7:$AG$7,FALSE))*AH$129)</f>
        <v>0</v>
      </c>
      <c r="AI83" s="181">
        <f>IF(ROUND(SUM(AI$5:AI82),2)&gt;=ROUND(AI$129,2),0,INDEX('draws%'!$D$8:$AG$128,$C83+1,MATCH(AI$4,'draws%'!$D$7:$AG$7,FALSE))*AI$129)</f>
        <v>0</v>
      </c>
      <c r="AJ83" s="181">
        <f>IF(ROUND(SUM(AJ$5:AJ82),2)&gt;=ROUND(AJ$129,2),0,INDEX('draws%'!$D$8:$AG$128,$C83+1,MATCH(AJ$4,'draws%'!$D$7:$AG$7,FALSE))*AJ$129)</f>
        <v>0</v>
      </c>
      <c r="AK83" s="181">
        <f>IF(ROUND(SUM(AK$5:AK82),2)&gt;=ROUND(AK$129,2),0,INDEX('draws%'!$D$8:$AG$128,$C83+1,MATCH(AK$4,'draws%'!$D$7:$AG$7,FALSE))*AK$129)</f>
        <v>0</v>
      </c>
      <c r="AL83" s="189">
        <f t="shared" si="2"/>
        <v>0</v>
      </c>
      <c r="AM83" s="194"/>
      <c r="AO83" s="171"/>
    </row>
    <row r="84" spans="1:41" s="168" customFormat="1" ht="16" hidden="1" outlineLevel="1">
      <c r="A84" s="185" t="str">
        <f>IF(MAX(C$5:C83)&gt;=general!$C$27,"post dev",IF(C84&lt;general!$C$23, "Pred", "Dev"))</f>
        <v>post dev</v>
      </c>
      <c r="B84" s="1398"/>
      <c r="C84" s="1388">
        <f>IF('Development Cash Flow'!D83&lt;general!$D$28,'Development Cash Flow'!C83+1,0)</f>
        <v>0</v>
      </c>
      <c r="D84" s="185">
        <f t="shared" si="0"/>
        <v>48638</v>
      </c>
      <c r="E84" s="186">
        <f>($C84&gt;=sales!$D$32)*($C84&lt;=sales!$F$32)*ResUnits/(sales!$E$32+1)</f>
        <v>0</v>
      </c>
      <c r="F84" s="181">
        <f>($C84&gt;=sales!$D$32)*($C84&lt;=sales!$F$32)*sales!$I$18/(sales!$E$32+1)</f>
        <v>0</v>
      </c>
      <c r="G84" s="181">
        <f>($C84&gt;=sales!$D$32)*($C84&lt;=sales!$F$32)*sales!$K$32/(sales!$E$32+1)</f>
        <v>0</v>
      </c>
      <c r="H84" s="187">
        <f>($C84&gt;=sales!$D$33)*($C84&lt;=sales!$F$33)*sales!$K$33/(sales!$E$33+1)</f>
        <v>0</v>
      </c>
      <c r="I84" s="181">
        <f>($C84&gt;=sales!$D$34)*($C84&lt;=sales!$F$34)*sales!$K$34/(sales!$E$34+1)</f>
        <v>0</v>
      </c>
      <c r="J84" s="181">
        <f>($C84&gt;=sales!$D$35)*($C84&lt;=sales!$F$35)*sales!$K$35/(sales!$E$35+1)</f>
        <v>0</v>
      </c>
      <c r="K84" s="189">
        <f>($C84&gt;=sales!$D$36)*($C84&lt;=sales!$F$36)*sales!$K$36*IFERROR(VLOOKUP(C84,sales!$C$50:$D$54,2,FALSE),0)</f>
        <v>0</v>
      </c>
      <c r="L84" s="1398"/>
      <c r="M84" s="1403">
        <f>+G84/$G$4*$M$4*sales!$J$32</f>
        <v>0</v>
      </c>
      <c r="N84" s="1398"/>
      <c r="O84" s="1464">
        <f>IF(ROUND(SUM(O$5:O83),2)&gt;=ROUND(O$129,2),0,INDEX('draws%'!$D$8:$AG$128,$C84+1,MATCH(O$4,'draws%'!$D$7:$AG$7,FALSE))*O$129)</f>
        <v>0</v>
      </c>
      <c r="P84" s="181">
        <f>IF(ROUND(SUM(P$5:P83),2)&gt;=ROUND(P$129,2),0,INDEX('draws%'!$D$8:$AG$128,$C84+1,MATCH(P$4,'draws%'!$D$7:$AG$7,FALSE))*P$129)</f>
        <v>0</v>
      </c>
      <c r="Q84" s="181">
        <f>IF(ROUND(SUM(Q$5:Q83),2)&gt;=ROUND(Q$129,2),0,INDEX('draws%'!$D$8:$AG$128,$C84+1,MATCH(Q$4,'draws%'!$D$7:$AG$7,FALSE))*Q$129)</f>
        <v>0</v>
      </c>
      <c r="R84" s="181">
        <f>IF(ROUND(SUM(R$5:R83),2)&gt;=ROUND(R$129,2),0,INDEX('draws%'!$D$8:$AG$128,$C84+1,MATCH(R$4,'draws%'!$D$7:$AG$7,FALSE))*R$129)</f>
        <v>0</v>
      </c>
      <c r="S84" s="181">
        <f>IF(ROUND(SUM(S$5:S83),2)&gt;=ROUND(S$129,2),0,INDEX('draws%'!$D$8:$AG$128,$C84+1,MATCH(S$4,'draws%'!$D$7:$AG$7,FALSE))*S$129)</f>
        <v>0</v>
      </c>
      <c r="T84" s="181">
        <f>IF(ROUND(SUM(T$5:T83),2)&gt;=ROUND(T$129,2),0,INDEX('draws%'!$D$8:$AG$128,$C84+1,MATCH(T$4,'draws%'!$D$7:$AG$7,FALSE))*T$129)</f>
        <v>0</v>
      </c>
      <c r="U84" s="181">
        <f>IF(ROUND(SUM(U$5:U83),2)&gt;=ROUND(U$129,2),0,INDEX('draws%'!$D$8:$AG$128,$C84+1,MATCH(U$4,'draws%'!$D$7:$AG$7,FALSE))*U$129)</f>
        <v>0</v>
      </c>
      <c r="V84" s="181">
        <f>IF(ROUND(SUM(V$5:V83),2)&gt;=ROUND(V$129,2),0,INDEX('draws%'!$D$8:$AG$128,$C84+1,MATCH(V$4,'draws%'!$D$7:$AG$7,FALSE))*V$129)</f>
        <v>0</v>
      </c>
      <c r="W84" s="181">
        <f>IF(ROUND(SUM(W$5:W83),2)&gt;=ROUND(W$129,2),0,INDEX('draws%'!$D$8:$AG$128,$C84+1,MATCH(W$4,'draws%'!$D$7:$AG$7,FALSE))*W$129)</f>
        <v>0</v>
      </c>
      <c r="X84" s="181">
        <f>IF(ROUND(SUM(X$5:X83),2)&gt;=ROUND(X$129,2),0,INDEX('draws%'!$D$8:$AG$128,$C84+1,MATCH(X$4,'draws%'!$D$7:$AG$7,FALSE))*X$129)</f>
        <v>0</v>
      </c>
      <c r="Y84" s="181">
        <f>IF(ROUND(SUM(Y$5:Y83),2)&gt;=ROUND(Y$129,2),0,INDEX('draws%'!$D$8:$AG$128,$C84+1,MATCH(Y$4,'draws%'!$D$7:$AG$7,FALSE))*Y$129)</f>
        <v>0</v>
      </c>
      <c r="Z84" s="181">
        <f>IF(ROUND(SUM(Z$5:Z83),2)&gt;=ROUND(Z$129,2),0,INDEX('draws%'!$D$8:$AG$128,$C84+1,MATCH(Z$4,'draws%'!$D$7:$AG$7,FALSE))*Z$129)</f>
        <v>0</v>
      </c>
      <c r="AA84" s="181">
        <f>IF(ROUND(SUM(AA$5:AA83),2)&gt;=ROUND(AA$129,2),0,INDEX('draws%'!$D$8:$AG$128,$C84+1,MATCH(AA$4,'draws%'!$D$7:$AG$7,FALSE))*AA$129)</f>
        <v>0</v>
      </c>
      <c r="AB84" s="181">
        <f>IF(ROUND(SUM(AB$5:AB83),2)&gt;=ROUND(AB$129,2),0,INDEX('draws%'!$D$8:$AG$128,$C84+1,MATCH(AB$4,'draws%'!$D$7:$AG$7,FALSE))*AB$129)</f>
        <v>0</v>
      </c>
      <c r="AC84" s="181">
        <f>($C84&gt;=sales!$D$32)*($C84&lt;=sales!$F$32)*sales!$J$41/(sales!$E$32+1)+($C84&gt;=sales!$D$33)*($C84&lt;=sales!$F$33)*sales!$J$42/(sales!$E$33+1)+($C84&gt;=sales!$D$34)*($C84&lt;=sales!$F$34)*sales!$J$43/(sales!$E$34+1)+($C84&gt;=sales!$D$35)*($C84&lt;=sales!$F$35)*sales!$J$44/(sales!$E$35+1)+($C84&gt;=sales!$D$36)*($C84&lt;=sales!$F$36)*sales!$J$45/(sales!$E$36+1)</f>
        <v>0</v>
      </c>
      <c r="AD84" s="181">
        <f>IF(ROUND(SUM(AD$5:AD83),2)&gt;=ROUND(AD$129,2),0,INDEX('draws%'!$D$8:$AG$128,$C84+1,MATCH(AD$4,'draws%'!$D$7:$AG$7,FALSE))*AD$129)</f>
        <v>0</v>
      </c>
      <c r="AE84" s="181">
        <f>IF(ROUND(SUM(AE$5:AE83),2)&gt;=ROUND(AE$129,2),0,INDEX('draws%'!$D$8:$AG$128,$C84+1,MATCH(AE$4,'draws%'!$D$7:$AG$7,FALSE))*AE$129)</f>
        <v>0</v>
      </c>
      <c r="AF84" s="188">
        <f>($C84&gt;=sales!$D$32)*($C84&lt;=sales!$F$32)*sales!$D$41/(sales!$E$32+1)+($C84&gt;=sales!$D$33)*($C84&lt;=sales!$F$33)*sales!$D$42/(sales!$E$33+1)+($C84&gt;=sales!$D$34)*($C84&lt;=sales!$F$34)*sales!$D$43/(sales!$E$34+1)+($C84&gt;=sales!$D$35)*($C84&lt;=sales!$F$35)*sales!$D$44/(sales!$E$35+1)+($C84&gt;=sales!$D$36)*($C84&lt;=sales!$F$36)*sales!$D$45/(sales!$E$36+1)</f>
        <v>0</v>
      </c>
      <c r="AG84" s="188">
        <f>($C84&gt;=sales!$D$32)*($C84&lt;=sales!$F$32)*sales!$F$41/(sales!$E$32+1)+($C84&gt;=sales!$D$33)*($C84&lt;=sales!$F$33)*sales!$F$42/(sales!$E$33+1)+($C84&gt;=sales!$D$34)*($C84&lt;=sales!$F$34)*sales!$F$43/(sales!$E$34+1)+($C84&gt;=sales!$D$35)*($C84&lt;=sales!$F$35)*sales!$F$44/(sales!$E$35+1)+($C84&gt;=sales!$D$36)*($C84&lt;=sales!$F$36)*sales!$F$45/(sales!$E$36+1)</f>
        <v>0</v>
      </c>
      <c r="AH84" s="181">
        <f>IF(ROUND(SUM(AH$5:AH83),2)&gt;=ROUND(AH$129,2),0,INDEX('draws%'!$D$8:$AG$128,$C84+1,MATCH(AH$4,'draws%'!$D$7:$AG$7,FALSE))*AH$129)</f>
        <v>0</v>
      </c>
      <c r="AI84" s="181">
        <f>IF(ROUND(SUM(AI$5:AI83),2)&gt;=ROUND(AI$129,2),0,INDEX('draws%'!$D$8:$AG$128,$C84+1,MATCH(AI$4,'draws%'!$D$7:$AG$7,FALSE))*AI$129)</f>
        <v>0</v>
      </c>
      <c r="AJ84" s="181">
        <f>IF(ROUND(SUM(AJ$5:AJ83),2)&gt;=ROUND(AJ$129,2),0,INDEX('draws%'!$D$8:$AG$128,$C84+1,MATCH(AJ$4,'draws%'!$D$7:$AG$7,FALSE))*AJ$129)</f>
        <v>0</v>
      </c>
      <c r="AK84" s="181">
        <f>IF(ROUND(SUM(AK$5:AK83),2)&gt;=ROUND(AK$129,2),0,INDEX('draws%'!$D$8:$AG$128,$C84+1,MATCH(AK$4,'draws%'!$D$7:$AG$7,FALSE))*AK$129)</f>
        <v>0</v>
      </c>
      <c r="AL84" s="189">
        <f t="shared" si="2"/>
        <v>0</v>
      </c>
      <c r="AM84" s="195"/>
      <c r="AO84" s="171"/>
    </row>
    <row r="85" spans="1:41" ht="16" hidden="1" outlineLevel="1">
      <c r="A85" s="185" t="str">
        <f>IF(MAX(C$5:C84)&gt;=general!$C$27,"post dev",IF(C85&lt;general!$C$23, "Pred", "Dev"))</f>
        <v>post dev</v>
      </c>
      <c r="B85" s="1398"/>
      <c r="C85" s="1388">
        <f>IF('Development Cash Flow'!D84&lt;general!$D$28,'Development Cash Flow'!C84+1,0)</f>
        <v>0</v>
      </c>
      <c r="D85" s="185">
        <f t="shared" si="0"/>
        <v>48669</v>
      </c>
      <c r="E85" s="186">
        <f>($C85&gt;=sales!$D$32)*($C85&lt;=sales!$F$32)*ResUnits/(sales!$E$32+1)</f>
        <v>0</v>
      </c>
      <c r="F85" s="181">
        <f>($C85&gt;=sales!$D$32)*($C85&lt;=sales!$F$32)*sales!$I$18/(sales!$E$32+1)</f>
        <v>0</v>
      </c>
      <c r="G85" s="181">
        <f>($C85&gt;=sales!$D$32)*($C85&lt;=sales!$F$32)*sales!$K$32/(sales!$E$32+1)</f>
        <v>0</v>
      </c>
      <c r="H85" s="187">
        <f>($C85&gt;=sales!$D$33)*($C85&lt;=sales!$F$33)*sales!$K$33/(sales!$E$33+1)</f>
        <v>0</v>
      </c>
      <c r="I85" s="181">
        <f>($C85&gt;=sales!$D$34)*($C85&lt;=sales!$F$34)*sales!$K$34/(sales!$E$34+1)</f>
        <v>0</v>
      </c>
      <c r="J85" s="181">
        <f>($C85&gt;=sales!$D$35)*($C85&lt;=sales!$F$35)*sales!$K$35/(sales!$E$35+1)</f>
        <v>0</v>
      </c>
      <c r="K85" s="189">
        <f>($C85&gt;=sales!$D$36)*($C85&lt;=sales!$F$36)*sales!$K$36*IFERROR(VLOOKUP(C85,sales!$C$50:$D$54,2,FALSE),0)</f>
        <v>0</v>
      </c>
      <c r="L85" s="1398"/>
      <c r="M85" s="1403">
        <f>+G85/$G$4*$M$4*sales!$J$32</f>
        <v>0</v>
      </c>
      <c r="N85" s="1398"/>
      <c r="O85" s="1464">
        <f>IF(ROUND(SUM(O$5:O84),2)&gt;=ROUND(O$129,2),0,INDEX('draws%'!$D$8:$AG$128,$C85+1,MATCH(O$4,'draws%'!$D$7:$AG$7,FALSE))*O$129)</f>
        <v>0</v>
      </c>
      <c r="P85" s="181">
        <f>IF(ROUND(SUM(P$5:P84),2)&gt;=ROUND(P$129,2),0,INDEX('draws%'!$D$8:$AG$128,$C85+1,MATCH(P$4,'draws%'!$D$7:$AG$7,FALSE))*P$129)</f>
        <v>0</v>
      </c>
      <c r="Q85" s="181">
        <f>IF(ROUND(SUM(Q$5:Q84),2)&gt;=ROUND(Q$129,2),0,INDEX('draws%'!$D$8:$AG$128,$C85+1,MATCH(Q$4,'draws%'!$D$7:$AG$7,FALSE))*Q$129)</f>
        <v>0</v>
      </c>
      <c r="R85" s="181">
        <f>IF(ROUND(SUM(R$5:R84),2)&gt;=ROUND(R$129,2),0,INDEX('draws%'!$D$8:$AG$128,$C85+1,MATCH(R$4,'draws%'!$D$7:$AG$7,FALSE))*R$129)</f>
        <v>0</v>
      </c>
      <c r="S85" s="181">
        <f>IF(ROUND(SUM(S$5:S84),2)&gt;=ROUND(S$129,2),0,INDEX('draws%'!$D$8:$AG$128,$C85+1,MATCH(S$4,'draws%'!$D$7:$AG$7,FALSE))*S$129)</f>
        <v>0</v>
      </c>
      <c r="T85" s="181">
        <f>IF(ROUND(SUM(T$5:T84),2)&gt;=ROUND(T$129,2),0,INDEX('draws%'!$D$8:$AG$128,$C85+1,MATCH(T$4,'draws%'!$D$7:$AG$7,FALSE))*T$129)</f>
        <v>0</v>
      </c>
      <c r="U85" s="181">
        <f>IF(ROUND(SUM(U$5:U84),2)&gt;=ROUND(U$129,2),0,INDEX('draws%'!$D$8:$AG$128,$C85+1,MATCH(U$4,'draws%'!$D$7:$AG$7,FALSE))*U$129)</f>
        <v>0</v>
      </c>
      <c r="V85" s="181">
        <f>IF(ROUND(SUM(V$5:V84),2)&gt;=ROUND(V$129,2),0,INDEX('draws%'!$D$8:$AG$128,$C85+1,MATCH(V$4,'draws%'!$D$7:$AG$7,FALSE))*V$129)</f>
        <v>0</v>
      </c>
      <c r="W85" s="181">
        <f>IF(ROUND(SUM(W$5:W84),2)&gt;=ROUND(W$129,2),0,INDEX('draws%'!$D$8:$AG$128,$C85+1,MATCH(W$4,'draws%'!$D$7:$AG$7,FALSE))*W$129)</f>
        <v>0</v>
      </c>
      <c r="X85" s="181">
        <f>IF(ROUND(SUM(X$5:X84),2)&gt;=ROUND(X$129,2),0,INDEX('draws%'!$D$8:$AG$128,$C85+1,MATCH(X$4,'draws%'!$D$7:$AG$7,FALSE))*X$129)</f>
        <v>0</v>
      </c>
      <c r="Y85" s="181">
        <f>IF(ROUND(SUM(Y$5:Y84),2)&gt;=ROUND(Y$129,2),0,INDEX('draws%'!$D$8:$AG$128,$C85+1,MATCH(Y$4,'draws%'!$D$7:$AG$7,FALSE))*Y$129)</f>
        <v>0</v>
      </c>
      <c r="Z85" s="181">
        <f>IF(ROUND(SUM(Z$5:Z84),2)&gt;=ROUND(Z$129,2),0,INDEX('draws%'!$D$8:$AG$128,$C85+1,MATCH(Z$4,'draws%'!$D$7:$AG$7,FALSE))*Z$129)</f>
        <v>0</v>
      </c>
      <c r="AA85" s="181">
        <f>IF(ROUND(SUM(AA$5:AA84),2)&gt;=ROUND(AA$129,2),0,INDEX('draws%'!$D$8:$AG$128,$C85+1,MATCH(AA$4,'draws%'!$D$7:$AG$7,FALSE))*AA$129)</f>
        <v>0</v>
      </c>
      <c r="AB85" s="181">
        <f>IF(ROUND(SUM(AB$5:AB84),2)&gt;=ROUND(AB$129,2),0,INDEX('draws%'!$D$8:$AG$128,$C85+1,MATCH(AB$4,'draws%'!$D$7:$AG$7,FALSE))*AB$129)</f>
        <v>0</v>
      </c>
      <c r="AC85" s="181">
        <f>($C85&gt;=sales!$D$32)*($C85&lt;=sales!$F$32)*sales!$J$41/(sales!$E$32+1)+($C85&gt;=sales!$D$33)*($C85&lt;=sales!$F$33)*sales!$J$42/(sales!$E$33+1)+($C85&gt;=sales!$D$34)*($C85&lt;=sales!$F$34)*sales!$J$43/(sales!$E$34+1)+($C85&gt;=sales!$D$35)*($C85&lt;=sales!$F$35)*sales!$J$44/(sales!$E$35+1)+($C85&gt;=sales!$D$36)*($C85&lt;=sales!$F$36)*sales!$J$45/(sales!$E$36+1)</f>
        <v>0</v>
      </c>
      <c r="AD85" s="181">
        <f>IF(ROUND(SUM(AD$5:AD84),2)&gt;=ROUND(AD$129,2),0,INDEX('draws%'!$D$8:$AG$128,$C85+1,MATCH(AD$4,'draws%'!$D$7:$AG$7,FALSE))*AD$129)</f>
        <v>0</v>
      </c>
      <c r="AE85" s="181">
        <f>IF(ROUND(SUM(AE$5:AE84),2)&gt;=ROUND(AE$129,2),0,INDEX('draws%'!$D$8:$AG$128,$C85+1,MATCH(AE$4,'draws%'!$D$7:$AG$7,FALSE))*AE$129)</f>
        <v>0</v>
      </c>
      <c r="AF85" s="188">
        <f>($C85&gt;=sales!$D$32)*($C85&lt;=sales!$F$32)*sales!$D$41/(sales!$E$32+1)+($C85&gt;=sales!$D$33)*($C85&lt;=sales!$F$33)*sales!$D$42/(sales!$E$33+1)+($C85&gt;=sales!$D$34)*($C85&lt;=sales!$F$34)*sales!$D$43/(sales!$E$34+1)+($C85&gt;=sales!$D$35)*($C85&lt;=sales!$F$35)*sales!$D$44/(sales!$E$35+1)+($C85&gt;=sales!$D$36)*($C85&lt;=sales!$F$36)*sales!$D$45/(sales!$E$36+1)</f>
        <v>0</v>
      </c>
      <c r="AG85" s="188">
        <f>($C85&gt;=sales!$D$32)*($C85&lt;=sales!$F$32)*sales!$F$41/(sales!$E$32+1)+($C85&gt;=sales!$D$33)*($C85&lt;=sales!$F$33)*sales!$F$42/(sales!$E$33+1)+($C85&gt;=sales!$D$34)*($C85&lt;=sales!$F$34)*sales!$F$43/(sales!$E$34+1)+($C85&gt;=sales!$D$35)*($C85&lt;=sales!$F$35)*sales!$F$44/(sales!$E$35+1)+($C85&gt;=sales!$D$36)*($C85&lt;=sales!$F$36)*sales!$F$45/(sales!$E$36+1)</f>
        <v>0</v>
      </c>
      <c r="AH85" s="181">
        <f>IF(ROUND(SUM(AH$5:AH84),2)&gt;=ROUND(AH$129,2),0,INDEX('draws%'!$D$8:$AG$128,$C85+1,MATCH(AH$4,'draws%'!$D$7:$AG$7,FALSE))*AH$129)</f>
        <v>0</v>
      </c>
      <c r="AI85" s="181">
        <f>IF(ROUND(SUM(AI$5:AI84),2)&gt;=ROUND(AI$129,2),0,INDEX('draws%'!$D$8:$AG$128,$C85+1,MATCH(AI$4,'draws%'!$D$7:$AG$7,FALSE))*AI$129)</f>
        <v>0</v>
      </c>
      <c r="AJ85" s="181">
        <f>IF(ROUND(SUM(AJ$5:AJ84),2)&gt;=ROUND(AJ$129,2),0,INDEX('draws%'!$D$8:$AG$128,$C85+1,MATCH(AJ$4,'draws%'!$D$7:$AG$7,FALSE))*AJ$129)</f>
        <v>0</v>
      </c>
      <c r="AK85" s="181">
        <f>IF(ROUND(SUM(AK$5:AK84),2)&gt;=ROUND(AK$129,2),0,INDEX('draws%'!$D$8:$AG$128,$C85+1,MATCH(AK$4,'draws%'!$D$7:$AG$7,FALSE))*AK$129)</f>
        <v>0</v>
      </c>
      <c r="AL85" s="189">
        <f t="shared" si="2"/>
        <v>0</v>
      </c>
      <c r="AO85" s="173"/>
    </row>
    <row r="86" spans="1:41" s="192" customFormat="1" ht="16" hidden="1" outlineLevel="1">
      <c r="A86" s="185" t="str">
        <f>IF(MAX(C$5:C85)&gt;=general!$C$27,"post dev",IF(C86&lt;general!$C$23, "Pred", "Dev"))</f>
        <v>post dev</v>
      </c>
      <c r="B86" s="1398"/>
      <c r="C86" s="1388">
        <f>IF('Development Cash Flow'!D85&lt;general!$D$28,'Development Cash Flow'!C85+1,0)</f>
        <v>0</v>
      </c>
      <c r="D86" s="185">
        <f t="shared" si="0"/>
        <v>48699</v>
      </c>
      <c r="E86" s="186">
        <f>($C86&gt;=sales!$D$32)*($C86&lt;=sales!$F$32)*ResUnits/(sales!$E$32+1)</f>
        <v>0</v>
      </c>
      <c r="F86" s="181">
        <f>($C86&gt;=sales!$D$32)*($C86&lt;=sales!$F$32)*sales!$I$18/(sales!$E$32+1)</f>
        <v>0</v>
      </c>
      <c r="G86" s="181">
        <f>($C86&gt;=sales!$D$32)*($C86&lt;=sales!$F$32)*sales!$K$32/(sales!$E$32+1)</f>
        <v>0</v>
      </c>
      <c r="H86" s="187">
        <f>($C86&gt;=sales!$D$33)*($C86&lt;=sales!$F$33)*sales!$K$33/(sales!$E$33+1)</f>
        <v>0</v>
      </c>
      <c r="I86" s="181">
        <f>($C86&gt;=sales!$D$34)*($C86&lt;=sales!$F$34)*sales!$K$34/(sales!$E$34+1)</f>
        <v>0</v>
      </c>
      <c r="J86" s="181">
        <f>($C86&gt;=sales!$D$35)*($C86&lt;=sales!$F$35)*sales!$K$35/(sales!$E$35+1)</f>
        <v>0</v>
      </c>
      <c r="K86" s="189">
        <f>($C86&gt;=sales!$D$36)*($C86&lt;=sales!$F$36)*sales!$K$36*IFERROR(VLOOKUP(C86,sales!$C$50:$D$54,2,FALSE),0)</f>
        <v>0</v>
      </c>
      <c r="L86" s="1398"/>
      <c r="M86" s="1403">
        <f>+G86/$G$4*$M$4*sales!$J$32</f>
        <v>0</v>
      </c>
      <c r="N86" s="1398"/>
      <c r="O86" s="1464">
        <f>IF(ROUND(SUM(O$5:O85),2)&gt;=ROUND(O$129,2),0,INDEX('draws%'!$D$8:$AG$128,$C86+1,MATCH(O$4,'draws%'!$D$7:$AG$7,FALSE))*O$129)</f>
        <v>0</v>
      </c>
      <c r="P86" s="181">
        <f>IF(ROUND(SUM(P$5:P85),2)&gt;=ROUND(P$129,2),0,INDEX('draws%'!$D$8:$AG$128,$C86+1,MATCH(P$4,'draws%'!$D$7:$AG$7,FALSE))*P$129)</f>
        <v>0</v>
      </c>
      <c r="Q86" s="181">
        <f>IF(ROUND(SUM(Q$5:Q85),2)&gt;=ROUND(Q$129,2),0,INDEX('draws%'!$D$8:$AG$128,$C86+1,MATCH(Q$4,'draws%'!$D$7:$AG$7,FALSE))*Q$129)</f>
        <v>0</v>
      </c>
      <c r="R86" s="181">
        <f>IF(ROUND(SUM(R$5:R85),2)&gt;=ROUND(R$129,2),0,INDEX('draws%'!$D$8:$AG$128,$C86+1,MATCH(R$4,'draws%'!$D$7:$AG$7,FALSE))*R$129)</f>
        <v>0</v>
      </c>
      <c r="S86" s="181">
        <f>IF(ROUND(SUM(S$5:S85),2)&gt;=ROUND(S$129,2),0,INDEX('draws%'!$D$8:$AG$128,$C86+1,MATCH(S$4,'draws%'!$D$7:$AG$7,FALSE))*S$129)</f>
        <v>0</v>
      </c>
      <c r="T86" s="181">
        <f>IF(ROUND(SUM(T$5:T85),2)&gt;=ROUND(T$129,2),0,INDEX('draws%'!$D$8:$AG$128,$C86+1,MATCH(T$4,'draws%'!$D$7:$AG$7,FALSE))*T$129)</f>
        <v>0</v>
      </c>
      <c r="U86" s="181">
        <f>IF(ROUND(SUM(U$5:U85),2)&gt;=ROUND(U$129,2),0,INDEX('draws%'!$D$8:$AG$128,$C86+1,MATCH(U$4,'draws%'!$D$7:$AG$7,FALSE))*U$129)</f>
        <v>0</v>
      </c>
      <c r="V86" s="181">
        <f>IF(ROUND(SUM(V$5:V85),2)&gt;=ROUND(V$129,2),0,INDEX('draws%'!$D$8:$AG$128,$C86+1,MATCH(V$4,'draws%'!$D$7:$AG$7,FALSE))*V$129)</f>
        <v>0</v>
      </c>
      <c r="W86" s="181">
        <f>IF(ROUND(SUM(W$5:W85),2)&gt;=ROUND(W$129,2),0,INDEX('draws%'!$D$8:$AG$128,$C86+1,MATCH(W$4,'draws%'!$D$7:$AG$7,FALSE))*W$129)</f>
        <v>0</v>
      </c>
      <c r="X86" s="181">
        <f>IF(ROUND(SUM(X$5:X85),2)&gt;=ROUND(X$129,2),0,INDEX('draws%'!$D$8:$AG$128,$C86+1,MATCH(X$4,'draws%'!$D$7:$AG$7,FALSE))*X$129)</f>
        <v>0</v>
      </c>
      <c r="Y86" s="181">
        <f>IF(ROUND(SUM(Y$5:Y85),2)&gt;=ROUND(Y$129,2),0,INDEX('draws%'!$D$8:$AG$128,$C86+1,MATCH(Y$4,'draws%'!$D$7:$AG$7,FALSE))*Y$129)</f>
        <v>0</v>
      </c>
      <c r="Z86" s="181">
        <f>IF(ROUND(SUM(Z$5:Z85),2)&gt;=ROUND(Z$129,2),0,INDEX('draws%'!$D$8:$AG$128,$C86+1,MATCH(Z$4,'draws%'!$D$7:$AG$7,FALSE))*Z$129)</f>
        <v>0</v>
      </c>
      <c r="AA86" s="181">
        <f>IF(ROUND(SUM(AA$5:AA85),2)&gt;=ROUND(AA$129,2),0,INDEX('draws%'!$D$8:$AG$128,$C86+1,MATCH(AA$4,'draws%'!$D$7:$AG$7,FALSE))*AA$129)</f>
        <v>0</v>
      </c>
      <c r="AB86" s="181">
        <f>IF(ROUND(SUM(AB$5:AB85),2)&gt;=ROUND(AB$129,2),0,INDEX('draws%'!$D$8:$AG$128,$C86+1,MATCH(AB$4,'draws%'!$D$7:$AG$7,FALSE))*AB$129)</f>
        <v>0</v>
      </c>
      <c r="AC86" s="181">
        <f>($C86&gt;=sales!$D$32)*($C86&lt;=sales!$F$32)*sales!$J$41/(sales!$E$32+1)+($C86&gt;=sales!$D$33)*($C86&lt;=sales!$F$33)*sales!$J$42/(sales!$E$33+1)+($C86&gt;=sales!$D$34)*($C86&lt;=sales!$F$34)*sales!$J$43/(sales!$E$34+1)+($C86&gt;=sales!$D$35)*($C86&lt;=sales!$F$35)*sales!$J$44/(sales!$E$35+1)+($C86&gt;=sales!$D$36)*($C86&lt;=sales!$F$36)*sales!$J$45/(sales!$E$36+1)</f>
        <v>0</v>
      </c>
      <c r="AD86" s="181">
        <f>IF(ROUND(SUM(AD$5:AD85),2)&gt;=ROUND(AD$129,2),0,INDEX('draws%'!$D$8:$AG$128,$C86+1,MATCH(AD$4,'draws%'!$D$7:$AG$7,FALSE))*AD$129)</f>
        <v>0</v>
      </c>
      <c r="AE86" s="181">
        <f>IF(ROUND(SUM(AE$5:AE85),2)&gt;=ROUND(AE$129,2),0,INDEX('draws%'!$D$8:$AG$128,$C86+1,MATCH(AE$4,'draws%'!$D$7:$AG$7,FALSE))*AE$129)</f>
        <v>0</v>
      </c>
      <c r="AF86" s="188">
        <f>($C86&gt;=sales!$D$32)*($C86&lt;=sales!$F$32)*sales!$D$41/(sales!$E$32+1)+($C86&gt;=sales!$D$33)*($C86&lt;=sales!$F$33)*sales!$D$42/(sales!$E$33+1)+($C86&gt;=sales!$D$34)*($C86&lt;=sales!$F$34)*sales!$D$43/(sales!$E$34+1)+($C86&gt;=sales!$D$35)*($C86&lt;=sales!$F$35)*sales!$D$44/(sales!$E$35+1)+($C86&gt;=sales!$D$36)*($C86&lt;=sales!$F$36)*sales!$D$45/(sales!$E$36+1)</f>
        <v>0</v>
      </c>
      <c r="AG86" s="188">
        <f>($C86&gt;=sales!$D$32)*($C86&lt;=sales!$F$32)*sales!$F$41/(sales!$E$32+1)+($C86&gt;=sales!$D$33)*($C86&lt;=sales!$F$33)*sales!$F$42/(sales!$E$33+1)+($C86&gt;=sales!$D$34)*($C86&lt;=sales!$F$34)*sales!$F$43/(sales!$E$34+1)+($C86&gt;=sales!$D$35)*($C86&lt;=sales!$F$35)*sales!$F$44/(sales!$E$35+1)+($C86&gt;=sales!$D$36)*($C86&lt;=sales!$F$36)*sales!$F$45/(sales!$E$36+1)</f>
        <v>0</v>
      </c>
      <c r="AH86" s="181">
        <f>IF(ROUND(SUM(AH$5:AH85),2)&gt;=ROUND(AH$129,2),0,INDEX('draws%'!$D$8:$AG$128,$C86+1,MATCH(AH$4,'draws%'!$D$7:$AG$7,FALSE))*AH$129)</f>
        <v>0</v>
      </c>
      <c r="AI86" s="181">
        <f>IF(ROUND(SUM(AI$5:AI85),2)&gt;=ROUND(AI$129,2),0,INDEX('draws%'!$D$8:$AG$128,$C86+1,MATCH(AI$4,'draws%'!$D$7:$AG$7,FALSE))*AI$129)</f>
        <v>0</v>
      </c>
      <c r="AJ86" s="181">
        <f>IF(ROUND(SUM(AJ$5:AJ85),2)&gt;=ROUND(AJ$129,2),0,INDEX('draws%'!$D$8:$AG$128,$C86+1,MATCH(AJ$4,'draws%'!$D$7:$AG$7,FALSE))*AJ$129)</f>
        <v>0</v>
      </c>
      <c r="AK86" s="181">
        <f>IF(ROUND(SUM(AK$5:AK85),2)&gt;=ROUND(AK$129,2),0,INDEX('draws%'!$D$8:$AG$128,$C86+1,MATCH(AK$4,'draws%'!$D$7:$AG$7,FALSE))*AK$129)</f>
        <v>0</v>
      </c>
      <c r="AL86" s="189">
        <f t="shared" si="2"/>
        <v>0</v>
      </c>
      <c r="AM86" s="194"/>
      <c r="AO86" s="171"/>
    </row>
    <row r="87" spans="1:41" s="192" customFormat="1" ht="16" hidden="1" outlineLevel="1">
      <c r="A87" s="185" t="str">
        <f>IF(MAX(C$5:C86)&gt;=general!$C$27,"post dev",IF(C87&lt;general!$C$23, "Pred", "Dev"))</f>
        <v>post dev</v>
      </c>
      <c r="B87" s="1398"/>
      <c r="C87" s="1388">
        <f>IF('Development Cash Flow'!D86&lt;general!$D$28,'Development Cash Flow'!C86+1,0)</f>
        <v>0</v>
      </c>
      <c r="D87" s="185">
        <f t="shared" si="0"/>
        <v>48730</v>
      </c>
      <c r="E87" s="186">
        <f>($C87&gt;=sales!$D$32)*($C87&lt;=sales!$F$32)*ResUnits/(sales!$E$32+1)</f>
        <v>0</v>
      </c>
      <c r="F87" s="181">
        <f>($C87&gt;=sales!$D$32)*($C87&lt;=sales!$F$32)*sales!$I$18/(sales!$E$32+1)</f>
        <v>0</v>
      </c>
      <c r="G87" s="181">
        <f>($C87&gt;=sales!$D$32)*($C87&lt;=sales!$F$32)*sales!$K$32/(sales!$E$32+1)</f>
        <v>0</v>
      </c>
      <c r="H87" s="187">
        <f>($C87&gt;=sales!$D$33)*($C87&lt;=sales!$F$33)*sales!$K$33/(sales!$E$33+1)</f>
        <v>0</v>
      </c>
      <c r="I87" s="181">
        <f>($C87&gt;=sales!$D$34)*($C87&lt;=sales!$F$34)*sales!$K$34/(sales!$E$34+1)</f>
        <v>0</v>
      </c>
      <c r="J87" s="181">
        <f>($C87&gt;=sales!$D$35)*($C87&lt;=sales!$F$35)*sales!$K$35/(sales!$E$35+1)</f>
        <v>0</v>
      </c>
      <c r="K87" s="189">
        <f>($C87&gt;=sales!$D$36)*($C87&lt;=sales!$F$36)*sales!$K$36*IFERROR(VLOOKUP(C87,sales!$C$50:$D$54,2,FALSE),0)</f>
        <v>0</v>
      </c>
      <c r="L87" s="1398"/>
      <c r="M87" s="1403">
        <f>+G87/$G$4*$M$4*sales!$J$32</f>
        <v>0</v>
      </c>
      <c r="N87" s="1398"/>
      <c r="O87" s="1464">
        <f>IF(ROUND(SUM(O$5:O86),2)&gt;=ROUND(O$129,2),0,INDEX('draws%'!$D$8:$AG$128,$C87+1,MATCH(O$4,'draws%'!$D$7:$AG$7,FALSE))*O$129)</f>
        <v>0</v>
      </c>
      <c r="P87" s="181">
        <f>IF(ROUND(SUM(P$5:P86),2)&gt;=ROUND(P$129,2),0,INDEX('draws%'!$D$8:$AG$128,$C87+1,MATCH(P$4,'draws%'!$D$7:$AG$7,FALSE))*P$129)</f>
        <v>0</v>
      </c>
      <c r="Q87" s="181">
        <f>IF(ROUND(SUM(Q$5:Q86),2)&gt;=ROUND(Q$129,2),0,INDEX('draws%'!$D$8:$AG$128,$C87+1,MATCH(Q$4,'draws%'!$D$7:$AG$7,FALSE))*Q$129)</f>
        <v>0</v>
      </c>
      <c r="R87" s="181">
        <f>IF(ROUND(SUM(R$5:R86),2)&gt;=ROUND(R$129,2),0,INDEX('draws%'!$D$8:$AG$128,$C87+1,MATCH(R$4,'draws%'!$D$7:$AG$7,FALSE))*R$129)</f>
        <v>0</v>
      </c>
      <c r="S87" s="181">
        <f>IF(ROUND(SUM(S$5:S86),2)&gt;=ROUND(S$129,2),0,INDEX('draws%'!$D$8:$AG$128,$C87+1,MATCH(S$4,'draws%'!$D$7:$AG$7,FALSE))*S$129)</f>
        <v>0</v>
      </c>
      <c r="T87" s="181">
        <f>IF(ROUND(SUM(T$5:T86),2)&gt;=ROUND(T$129,2),0,INDEX('draws%'!$D$8:$AG$128,$C87+1,MATCH(T$4,'draws%'!$D$7:$AG$7,FALSE))*T$129)</f>
        <v>0</v>
      </c>
      <c r="U87" s="181">
        <f>IF(ROUND(SUM(U$5:U86),2)&gt;=ROUND(U$129,2),0,INDEX('draws%'!$D$8:$AG$128,$C87+1,MATCH(U$4,'draws%'!$D$7:$AG$7,FALSE))*U$129)</f>
        <v>0</v>
      </c>
      <c r="V87" s="181">
        <f>IF(ROUND(SUM(V$5:V86),2)&gt;=ROUND(V$129,2),0,INDEX('draws%'!$D$8:$AG$128,$C87+1,MATCH(V$4,'draws%'!$D$7:$AG$7,FALSE))*V$129)</f>
        <v>0</v>
      </c>
      <c r="W87" s="181">
        <f>IF(ROUND(SUM(W$5:W86),2)&gt;=ROUND(W$129,2),0,INDEX('draws%'!$D$8:$AG$128,$C87+1,MATCH(W$4,'draws%'!$D$7:$AG$7,FALSE))*W$129)</f>
        <v>0</v>
      </c>
      <c r="X87" s="181">
        <f>IF(ROUND(SUM(X$5:X86),2)&gt;=ROUND(X$129,2),0,INDEX('draws%'!$D$8:$AG$128,$C87+1,MATCH(X$4,'draws%'!$D$7:$AG$7,FALSE))*X$129)</f>
        <v>0</v>
      </c>
      <c r="Y87" s="181">
        <f>IF(ROUND(SUM(Y$5:Y86),2)&gt;=ROUND(Y$129,2),0,INDEX('draws%'!$D$8:$AG$128,$C87+1,MATCH(Y$4,'draws%'!$D$7:$AG$7,FALSE))*Y$129)</f>
        <v>0</v>
      </c>
      <c r="Z87" s="181">
        <f>IF(ROUND(SUM(Z$5:Z86),2)&gt;=ROUND(Z$129,2),0,INDEX('draws%'!$D$8:$AG$128,$C87+1,MATCH(Z$4,'draws%'!$D$7:$AG$7,FALSE))*Z$129)</f>
        <v>0</v>
      </c>
      <c r="AA87" s="181">
        <f>IF(ROUND(SUM(AA$5:AA86),2)&gt;=ROUND(AA$129,2),0,INDEX('draws%'!$D$8:$AG$128,$C87+1,MATCH(AA$4,'draws%'!$D$7:$AG$7,FALSE))*AA$129)</f>
        <v>0</v>
      </c>
      <c r="AB87" s="181">
        <f>IF(ROUND(SUM(AB$5:AB86),2)&gt;=ROUND(AB$129,2),0,INDEX('draws%'!$D$8:$AG$128,$C87+1,MATCH(AB$4,'draws%'!$D$7:$AG$7,FALSE))*AB$129)</f>
        <v>0</v>
      </c>
      <c r="AC87" s="181">
        <f>($C87&gt;=sales!$D$32)*($C87&lt;=sales!$F$32)*sales!$J$41/(sales!$E$32+1)+($C87&gt;=sales!$D$33)*($C87&lt;=sales!$F$33)*sales!$J$42/(sales!$E$33+1)+($C87&gt;=sales!$D$34)*($C87&lt;=sales!$F$34)*sales!$J$43/(sales!$E$34+1)+($C87&gt;=sales!$D$35)*($C87&lt;=sales!$F$35)*sales!$J$44/(sales!$E$35+1)+($C87&gt;=sales!$D$36)*($C87&lt;=sales!$F$36)*sales!$J$45/(sales!$E$36+1)</f>
        <v>0</v>
      </c>
      <c r="AD87" s="181">
        <f>IF(ROUND(SUM(AD$5:AD86),2)&gt;=ROUND(AD$129,2),0,INDEX('draws%'!$D$8:$AG$128,$C87+1,MATCH(AD$4,'draws%'!$D$7:$AG$7,FALSE))*AD$129)</f>
        <v>0</v>
      </c>
      <c r="AE87" s="181">
        <f>IF(ROUND(SUM(AE$5:AE86),2)&gt;=ROUND(AE$129,2),0,INDEX('draws%'!$D$8:$AG$128,$C87+1,MATCH(AE$4,'draws%'!$D$7:$AG$7,FALSE))*AE$129)</f>
        <v>0</v>
      </c>
      <c r="AF87" s="188">
        <f>($C87&gt;=sales!$D$32)*($C87&lt;=sales!$F$32)*sales!$D$41/(sales!$E$32+1)+($C87&gt;=sales!$D$33)*($C87&lt;=sales!$F$33)*sales!$D$42/(sales!$E$33+1)+($C87&gt;=sales!$D$34)*($C87&lt;=sales!$F$34)*sales!$D$43/(sales!$E$34+1)+($C87&gt;=sales!$D$35)*($C87&lt;=sales!$F$35)*sales!$D$44/(sales!$E$35+1)+($C87&gt;=sales!$D$36)*($C87&lt;=sales!$F$36)*sales!$D$45/(sales!$E$36+1)</f>
        <v>0</v>
      </c>
      <c r="AG87" s="188">
        <f>($C87&gt;=sales!$D$32)*($C87&lt;=sales!$F$32)*sales!$F$41/(sales!$E$32+1)+($C87&gt;=sales!$D$33)*($C87&lt;=sales!$F$33)*sales!$F$42/(sales!$E$33+1)+($C87&gt;=sales!$D$34)*($C87&lt;=sales!$F$34)*sales!$F$43/(sales!$E$34+1)+($C87&gt;=sales!$D$35)*($C87&lt;=sales!$F$35)*sales!$F$44/(sales!$E$35+1)+($C87&gt;=sales!$D$36)*($C87&lt;=sales!$F$36)*sales!$F$45/(sales!$E$36+1)</f>
        <v>0</v>
      </c>
      <c r="AH87" s="181">
        <f>IF(ROUND(SUM(AH$5:AH86),2)&gt;=ROUND(AH$129,2),0,INDEX('draws%'!$D$8:$AG$128,$C87+1,MATCH(AH$4,'draws%'!$D$7:$AG$7,FALSE))*AH$129)</f>
        <v>0</v>
      </c>
      <c r="AI87" s="181">
        <f>IF(ROUND(SUM(AI$5:AI86),2)&gt;=ROUND(AI$129,2),0,INDEX('draws%'!$D$8:$AG$128,$C87+1,MATCH(AI$4,'draws%'!$D$7:$AG$7,FALSE))*AI$129)</f>
        <v>0</v>
      </c>
      <c r="AJ87" s="181">
        <f>IF(ROUND(SUM(AJ$5:AJ86),2)&gt;=ROUND(AJ$129,2),0,INDEX('draws%'!$D$8:$AG$128,$C87+1,MATCH(AJ$4,'draws%'!$D$7:$AG$7,FALSE))*AJ$129)</f>
        <v>0</v>
      </c>
      <c r="AK87" s="181">
        <f>IF(ROUND(SUM(AK$5:AK86),2)&gt;=ROUND(AK$129,2),0,INDEX('draws%'!$D$8:$AG$128,$C87+1,MATCH(AK$4,'draws%'!$D$7:$AG$7,FALSE))*AK$129)</f>
        <v>0</v>
      </c>
      <c r="AL87" s="189">
        <f t="shared" si="2"/>
        <v>0</v>
      </c>
      <c r="AM87" s="194"/>
      <c r="AO87" s="171"/>
    </row>
    <row r="88" spans="1:41" s="192" customFormat="1" ht="16" hidden="1" outlineLevel="1">
      <c r="A88" s="185" t="str">
        <f>IF(MAX(C$5:C87)&gt;=general!$C$27,"post dev",IF(C88&lt;general!$C$23, "Pred", "Dev"))</f>
        <v>post dev</v>
      </c>
      <c r="B88" s="1398"/>
      <c r="C88" s="1388">
        <f>IF('Development Cash Flow'!D87&lt;general!$D$28,'Development Cash Flow'!C87+1,0)</f>
        <v>0</v>
      </c>
      <c r="D88" s="185">
        <f t="shared" si="0"/>
        <v>48760</v>
      </c>
      <c r="E88" s="186">
        <f>($C88&gt;=sales!$D$32)*($C88&lt;=sales!$F$32)*ResUnits/(sales!$E$32+1)</f>
        <v>0</v>
      </c>
      <c r="F88" s="181">
        <f>($C88&gt;=sales!$D$32)*($C88&lt;=sales!$F$32)*sales!$I$18/(sales!$E$32+1)</f>
        <v>0</v>
      </c>
      <c r="G88" s="181">
        <f>($C88&gt;=sales!$D$32)*($C88&lt;=sales!$F$32)*sales!$K$32/(sales!$E$32+1)</f>
        <v>0</v>
      </c>
      <c r="H88" s="187">
        <f>($C88&gt;=sales!$D$33)*($C88&lt;=sales!$F$33)*sales!$K$33/(sales!$E$33+1)</f>
        <v>0</v>
      </c>
      <c r="I88" s="181">
        <f>($C88&gt;=sales!$D$34)*($C88&lt;=sales!$F$34)*sales!$K$34/(sales!$E$34+1)</f>
        <v>0</v>
      </c>
      <c r="J88" s="181">
        <f>($C88&gt;=sales!$D$35)*($C88&lt;=sales!$F$35)*sales!$K$35/(sales!$E$35+1)</f>
        <v>0</v>
      </c>
      <c r="K88" s="189">
        <f>($C88&gt;=sales!$D$36)*($C88&lt;=sales!$F$36)*sales!$K$36*IFERROR(VLOOKUP(C88,sales!$C$50:$D$54,2,FALSE),0)</f>
        <v>0</v>
      </c>
      <c r="L88" s="1398"/>
      <c r="M88" s="1403">
        <f>+G88/$G$4*$M$4*sales!$J$32</f>
        <v>0</v>
      </c>
      <c r="N88" s="1398"/>
      <c r="O88" s="1464">
        <f>IF(ROUND(SUM(O$5:O87),2)&gt;=ROUND(O$129,2),0,INDEX('draws%'!$D$8:$AG$128,$C88+1,MATCH(O$4,'draws%'!$D$7:$AG$7,FALSE))*O$129)</f>
        <v>0</v>
      </c>
      <c r="P88" s="181">
        <f>IF(ROUND(SUM(P$5:P87),2)&gt;=ROUND(P$129,2),0,INDEX('draws%'!$D$8:$AG$128,$C88+1,MATCH(P$4,'draws%'!$D$7:$AG$7,FALSE))*P$129)</f>
        <v>0</v>
      </c>
      <c r="Q88" s="181">
        <f>IF(ROUND(SUM(Q$5:Q87),2)&gt;=ROUND(Q$129,2),0,INDEX('draws%'!$D$8:$AG$128,$C88+1,MATCH(Q$4,'draws%'!$D$7:$AG$7,FALSE))*Q$129)</f>
        <v>0</v>
      </c>
      <c r="R88" s="181">
        <f>IF(ROUND(SUM(R$5:R87),2)&gt;=ROUND(R$129,2),0,INDEX('draws%'!$D$8:$AG$128,$C88+1,MATCH(R$4,'draws%'!$D$7:$AG$7,FALSE))*R$129)</f>
        <v>0</v>
      </c>
      <c r="S88" s="181">
        <f>IF(ROUND(SUM(S$5:S87),2)&gt;=ROUND(S$129,2),0,INDEX('draws%'!$D$8:$AG$128,$C88+1,MATCH(S$4,'draws%'!$D$7:$AG$7,FALSE))*S$129)</f>
        <v>0</v>
      </c>
      <c r="T88" s="181">
        <f>IF(ROUND(SUM(T$5:T87),2)&gt;=ROUND(T$129,2),0,INDEX('draws%'!$D$8:$AG$128,$C88+1,MATCH(T$4,'draws%'!$D$7:$AG$7,FALSE))*T$129)</f>
        <v>0</v>
      </c>
      <c r="U88" s="181">
        <f>IF(ROUND(SUM(U$5:U87),2)&gt;=ROUND(U$129,2),0,INDEX('draws%'!$D$8:$AG$128,$C88+1,MATCH(U$4,'draws%'!$D$7:$AG$7,FALSE))*U$129)</f>
        <v>0</v>
      </c>
      <c r="V88" s="181">
        <f>IF(ROUND(SUM(V$5:V87),2)&gt;=ROUND(V$129,2),0,INDEX('draws%'!$D$8:$AG$128,$C88+1,MATCH(V$4,'draws%'!$D$7:$AG$7,FALSE))*V$129)</f>
        <v>0</v>
      </c>
      <c r="W88" s="181">
        <f>IF(ROUND(SUM(W$5:W87),2)&gt;=ROUND(W$129,2),0,INDEX('draws%'!$D$8:$AG$128,$C88+1,MATCH(W$4,'draws%'!$D$7:$AG$7,FALSE))*W$129)</f>
        <v>0</v>
      </c>
      <c r="X88" s="181">
        <f>IF(ROUND(SUM(X$5:X87),2)&gt;=ROUND(X$129,2),0,INDEX('draws%'!$D$8:$AG$128,$C88+1,MATCH(X$4,'draws%'!$D$7:$AG$7,FALSE))*X$129)</f>
        <v>0</v>
      </c>
      <c r="Y88" s="181">
        <f>IF(ROUND(SUM(Y$5:Y87),2)&gt;=ROUND(Y$129,2),0,INDEX('draws%'!$D$8:$AG$128,$C88+1,MATCH(Y$4,'draws%'!$D$7:$AG$7,FALSE))*Y$129)</f>
        <v>0</v>
      </c>
      <c r="Z88" s="181">
        <f>IF(ROUND(SUM(Z$5:Z87),2)&gt;=ROUND(Z$129,2),0,INDEX('draws%'!$D$8:$AG$128,$C88+1,MATCH(Z$4,'draws%'!$D$7:$AG$7,FALSE))*Z$129)</f>
        <v>0</v>
      </c>
      <c r="AA88" s="181">
        <f>IF(ROUND(SUM(AA$5:AA87),2)&gt;=ROUND(AA$129,2),0,INDEX('draws%'!$D$8:$AG$128,$C88+1,MATCH(AA$4,'draws%'!$D$7:$AG$7,FALSE))*AA$129)</f>
        <v>0</v>
      </c>
      <c r="AB88" s="181">
        <f>IF(ROUND(SUM(AB$5:AB87),2)&gt;=ROUND(AB$129,2),0,INDEX('draws%'!$D$8:$AG$128,$C88+1,MATCH(AB$4,'draws%'!$D$7:$AG$7,FALSE))*AB$129)</f>
        <v>0</v>
      </c>
      <c r="AC88" s="181">
        <f>($C88&gt;=sales!$D$32)*($C88&lt;=sales!$F$32)*sales!$J$41/(sales!$E$32+1)+($C88&gt;=sales!$D$33)*($C88&lt;=sales!$F$33)*sales!$J$42/(sales!$E$33+1)+($C88&gt;=sales!$D$34)*($C88&lt;=sales!$F$34)*sales!$J$43/(sales!$E$34+1)+($C88&gt;=sales!$D$35)*($C88&lt;=sales!$F$35)*sales!$J$44/(sales!$E$35+1)+($C88&gt;=sales!$D$36)*($C88&lt;=sales!$F$36)*sales!$J$45/(sales!$E$36+1)</f>
        <v>0</v>
      </c>
      <c r="AD88" s="181">
        <f>IF(ROUND(SUM(AD$5:AD87),2)&gt;=ROUND(AD$129,2),0,INDEX('draws%'!$D$8:$AG$128,$C88+1,MATCH(AD$4,'draws%'!$D$7:$AG$7,FALSE))*AD$129)</f>
        <v>0</v>
      </c>
      <c r="AE88" s="181">
        <f>IF(ROUND(SUM(AE$5:AE87),2)&gt;=ROUND(AE$129,2),0,INDEX('draws%'!$D$8:$AG$128,$C88+1,MATCH(AE$4,'draws%'!$D$7:$AG$7,FALSE))*AE$129)</f>
        <v>0</v>
      </c>
      <c r="AF88" s="188">
        <f>($C88&gt;=sales!$D$32)*($C88&lt;=sales!$F$32)*sales!$D$41/(sales!$E$32+1)+($C88&gt;=sales!$D$33)*($C88&lt;=sales!$F$33)*sales!$D$42/(sales!$E$33+1)+($C88&gt;=sales!$D$34)*($C88&lt;=sales!$F$34)*sales!$D$43/(sales!$E$34+1)+($C88&gt;=sales!$D$35)*($C88&lt;=sales!$F$35)*sales!$D$44/(sales!$E$35+1)+($C88&gt;=sales!$D$36)*($C88&lt;=sales!$F$36)*sales!$D$45/(sales!$E$36+1)</f>
        <v>0</v>
      </c>
      <c r="AG88" s="188">
        <f>($C88&gt;=sales!$D$32)*($C88&lt;=sales!$F$32)*sales!$F$41/(sales!$E$32+1)+($C88&gt;=sales!$D$33)*($C88&lt;=sales!$F$33)*sales!$F$42/(sales!$E$33+1)+($C88&gt;=sales!$D$34)*($C88&lt;=sales!$F$34)*sales!$F$43/(sales!$E$34+1)+($C88&gt;=sales!$D$35)*($C88&lt;=sales!$F$35)*sales!$F$44/(sales!$E$35+1)+($C88&gt;=sales!$D$36)*($C88&lt;=sales!$F$36)*sales!$F$45/(sales!$E$36+1)</f>
        <v>0</v>
      </c>
      <c r="AH88" s="181">
        <f>IF(ROUND(SUM(AH$5:AH87),2)&gt;=ROUND(AH$129,2),0,INDEX('draws%'!$D$8:$AG$128,$C88+1,MATCH(AH$4,'draws%'!$D$7:$AG$7,FALSE))*AH$129)</f>
        <v>0</v>
      </c>
      <c r="AI88" s="181">
        <f>IF(ROUND(SUM(AI$5:AI87),2)&gt;=ROUND(AI$129,2),0,INDEX('draws%'!$D$8:$AG$128,$C88+1,MATCH(AI$4,'draws%'!$D$7:$AG$7,FALSE))*AI$129)</f>
        <v>0</v>
      </c>
      <c r="AJ88" s="181">
        <f>IF(ROUND(SUM(AJ$5:AJ87),2)&gt;=ROUND(AJ$129,2),0,INDEX('draws%'!$D$8:$AG$128,$C88+1,MATCH(AJ$4,'draws%'!$D$7:$AG$7,FALSE))*AJ$129)</f>
        <v>0</v>
      </c>
      <c r="AK88" s="181">
        <f>IF(ROUND(SUM(AK$5:AK87),2)&gt;=ROUND(AK$129,2),0,INDEX('draws%'!$D$8:$AG$128,$C88+1,MATCH(AK$4,'draws%'!$D$7:$AG$7,FALSE))*AK$129)</f>
        <v>0</v>
      </c>
      <c r="AL88" s="189">
        <f t="shared" si="2"/>
        <v>0</v>
      </c>
      <c r="AM88" s="194"/>
      <c r="AO88" s="171"/>
    </row>
    <row r="89" spans="1:41" s="192" customFormat="1" ht="16" hidden="1" outlineLevel="1">
      <c r="A89" s="185" t="str">
        <f>IF(MAX(C$5:C88)&gt;=general!$C$27,"post dev",IF(C89&lt;general!$C$23, "Pred", "Dev"))</f>
        <v>post dev</v>
      </c>
      <c r="B89" s="1398"/>
      <c r="C89" s="1388">
        <f>IF('Development Cash Flow'!D88&lt;general!$D$28,'Development Cash Flow'!C88+1,0)</f>
        <v>0</v>
      </c>
      <c r="D89" s="185">
        <f t="shared" si="0"/>
        <v>48791</v>
      </c>
      <c r="E89" s="186">
        <f>($C89&gt;=sales!$D$32)*($C89&lt;=sales!$F$32)*ResUnits/(sales!$E$32+1)</f>
        <v>0</v>
      </c>
      <c r="F89" s="181">
        <f>($C89&gt;=sales!$D$32)*($C89&lt;=sales!$F$32)*sales!$I$18/(sales!$E$32+1)</f>
        <v>0</v>
      </c>
      <c r="G89" s="181">
        <f>($C89&gt;=sales!$D$32)*($C89&lt;=sales!$F$32)*sales!$K$32/(sales!$E$32+1)</f>
        <v>0</v>
      </c>
      <c r="H89" s="187">
        <f>($C89&gt;=sales!$D$33)*($C89&lt;=sales!$F$33)*sales!$K$33/(sales!$E$33+1)</f>
        <v>0</v>
      </c>
      <c r="I89" s="181">
        <f>($C89&gt;=sales!$D$34)*($C89&lt;=sales!$F$34)*sales!$K$34/(sales!$E$34+1)</f>
        <v>0</v>
      </c>
      <c r="J89" s="181">
        <f>($C89&gt;=sales!$D$35)*($C89&lt;=sales!$F$35)*sales!$K$35/(sales!$E$35+1)</f>
        <v>0</v>
      </c>
      <c r="K89" s="189">
        <f>($C89&gt;=sales!$D$36)*($C89&lt;=sales!$F$36)*sales!$K$36*IFERROR(VLOOKUP(C89,sales!$C$50:$D$54,2,FALSE),0)</f>
        <v>0</v>
      </c>
      <c r="L89" s="1398"/>
      <c r="M89" s="1403">
        <f>+G89/$G$4*$M$4*sales!$J$32</f>
        <v>0</v>
      </c>
      <c r="N89" s="1398"/>
      <c r="O89" s="1464">
        <f>IF(ROUND(SUM(O$5:O88),2)&gt;=ROUND(O$129,2),0,INDEX('draws%'!$D$8:$AG$128,$C89+1,MATCH(O$4,'draws%'!$D$7:$AG$7,FALSE))*O$129)</f>
        <v>0</v>
      </c>
      <c r="P89" s="181">
        <f>IF(ROUND(SUM(P$5:P88),2)&gt;=ROUND(P$129,2),0,INDEX('draws%'!$D$8:$AG$128,$C89+1,MATCH(P$4,'draws%'!$D$7:$AG$7,FALSE))*P$129)</f>
        <v>0</v>
      </c>
      <c r="Q89" s="181">
        <f>IF(ROUND(SUM(Q$5:Q88),2)&gt;=ROUND(Q$129,2),0,INDEX('draws%'!$D$8:$AG$128,$C89+1,MATCH(Q$4,'draws%'!$D$7:$AG$7,FALSE))*Q$129)</f>
        <v>0</v>
      </c>
      <c r="R89" s="181">
        <f>IF(ROUND(SUM(R$5:R88),2)&gt;=ROUND(R$129,2),0,INDEX('draws%'!$D$8:$AG$128,$C89+1,MATCH(R$4,'draws%'!$D$7:$AG$7,FALSE))*R$129)</f>
        <v>0</v>
      </c>
      <c r="S89" s="181">
        <f>IF(ROUND(SUM(S$5:S88),2)&gt;=ROUND(S$129,2),0,INDEX('draws%'!$D$8:$AG$128,$C89+1,MATCH(S$4,'draws%'!$D$7:$AG$7,FALSE))*S$129)</f>
        <v>0</v>
      </c>
      <c r="T89" s="181">
        <f>IF(ROUND(SUM(T$5:T88),2)&gt;=ROUND(T$129,2),0,INDEX('draws%'!$D$8:$AG$128,$C89+1,MATCH(T$4,'draws%'!$D$7:$AG$7,FALSE))*T$129)</f>
        <v>0</v>
      </c>
      <c r="U89" s="181">
        <f>IF(ROUND(SUM(U$5:U88),2)&gt;=ROUND(U$129,2),0,INDEX('draws%'!$D$8:$AG$128,$C89+1,MATCH(U$4,'draws%'!$D$7:$AG$7,FALSE))*U$129)</f>
        <v>0</v>
      </c>
      <c r="V89" s="181">
        <f>IF(ROUND(SUM(V$5:V88),2)&gt;=ROUND(V$129,2),0,INDEX('draws%'!$D$8:$AG$128,$C89+1,MATCH(V$4,'draws%'!$D$7:$AG$7,FALSE))*V$129)</f>
        <v>0</v>
      </c>
      <c r="W89" s="181">
        <f>IF(ROUND(SUM(W$5:W88),2)&gt;=ROUND(W$129,2),0,INDEX('draws%'!$D$8:$AG$128,$C89+1,MATCH(W$4,'draws%'!$D$7:$AG$7,FALSE))*W$129)</f>
        <v>0</v>
      </c>
      <c r="X89" s="181">
        <f>IF(ROUND(SUM(X$5:X88),2)&gt;=ROUND(X$129,2),0,INDEX('draws%'!$D$8:$AG$128,$C89+1,MATCH(X$4,'draws%'!$D$7:$AG$7,FALSE))*X$129)</f>
        <v>0</v>
      </c>
      <c r="Y89" s="181">
        <f>IF(ROUND(SUM(Y$5:Y88),2)&gt;=ROUND(Y$129,2),0,INDEX('draws%'!$D$8:$AG$128,$C89+1,MATCH(Y$4,'draws%'!$D$7:$AG$7,FALSE))*Y$129)</f>
        <v>0</v>
      </c>
      <c r="Z89" s="181">
        <f>IF(ROUND(SUM(Z$5:Z88),2)&gt;=ROUND(Z$129,2),0,INDEX('draws%'!$D$8:$AG$128,$C89+1,MATCH(Z$4,'draws%'!$D$7:$AG$7,FALSE))*Z$129)</f>
        <v>0</v>
      </c>
      <c r="AA89" s="181">
        <f>IF(ROUND(SUM(AA$5:AA88),2)&gt;=ROUND(AA$129,2),0,INDEX('draws%'!$D$8:$AG$128,$C89+1,MATCH(AA$4,'draws%'!$D$7:$AG$7,FALSE))*AA$129)</f>
        <v>0</v>
      </c>
      <c r="AB89" s="181">
        <f>IF(ROUND(SUM(AB$5:AB88),2)&gt;=ROUND(AB$129,2),0,INDEX('draws%'!$D$8:$AG$128,$C89+1,MATCH(AB$4,'draws%'!$D$7:$AG$7,FALSE))*AB$129)</f>
        <v>0</v>
      </c>
      <c r="AC89" s="181">
        <f>($C89&gt;=sales!$D$32)*($C89&lt;=sales!$F$32)*sales!$J$41/(sales!$E$32+1)+($C89&gt;=sales!$D$33)*($C89&lt;=sales!$F$33)*sales!$J$42/(sales!$E$33+1)+($C89&gt;=sales!$D$34)*($C89&lt;=sales!$F$34)*sales!$J$43/(sales!$E$34+1)+($C89&gt;=sales!$D$35)*($C89&lt;=sales!$F$35)*sales!$J$44/(sales!$E$35+1)+($C89&gt;=sales!$D$36)*($C89&lt;=sales!$F$36)*sales!$J$45/(sales!$E$36+1)</f>
        <v>0</v>
      </c>
      <c r="AD89" s="181">
        <f>IF(ROUND(SUM(AD$5:AD88),2)&gt;=ROUND(AD$129,2),0,INDEX('draws%'!$D$8:$AG$128,$C89+1,MATCH(AD$4,'draws%'!$D$7:$AG$7,FALSE))*AD$129)</f>
        <v>0</v>
      </c>
      <c r="AE89" s="181">
        <f>IF(ROUND(SUM(AE$5:AE88),2)&gt;=ROUND(AE$129,2),0,INDEX('draws%'!$D$8:$AG$128,$C89+1,MATCH(AE$4,'draws%'!$D$7:$AG$7,FALSE))*AE$129)</f>
        <v>0</v>
      </c>
      <c r="AF89" s="188">
        <f>($C89&gt;=sales!$D$32)*($C89&lt;=sales!$F$32)*sales!$D$41/(sales!$E$32+1)+($C89&gt;=sales!$D$33)*($C89&lt;=sales!$F$33)*sales!$D$42/(sales!$E$33+1)+($C89&gt;=sales!$D$34)*($C89&lt;=sales!$F$34)*sales!$D$43/(sales!$E$34+1)+($C89&gt;=sales!$D$35)*($C89&lt;=sales!$F$35)*sales!$D$44/(sales!$E$35+1)+($C89&gt;=sales!$D$36)*($C89&lt;=sales!$F$36)*sales!$D$45/(sales!$E$36+1)</f>
        <v>0</v>
      </c>
      <c r="AG89" s="188">
        <f>($C89&gt;=sales!$D$32)*($C89&lt;=sales!$F$32)*sales!$F$41/(sales!$E$32+1)+($C89&gt;=sales!$D$33)*($C89&lt;=sales!$F$33)*sales!$F$42/(sales!$E$33+1)+($C89&gt;=sales!$D$34)*($C89&lt;=sales!$F$34)*sales!$F$43/(sales!$E$34+1)+($C89&gt;=sales!$D$35)*($C89&lt;=sales!$F$35)*sales!$F$44/(sales!$E$35+1)+($C89&gt;=sales!$D$36)*($C89&lt;=sales!$F$36)*sales!$F$45/(sales!$E$36+1)</f>
        <v>0</v>
      </c>
      <c r="AH89" s="181">
        <f>IF(ROUND(SUM(AH$5:AH88),2)&gt;=ROUND(AH$129,2),0,INDEX('draws%'!$D$8:$AG$128,$C89+1,MATCH(AH$4,'draws%'!$D$7:$AG$7,FALSE))*AH$129)</f>
        <v>0</v>
      </c>
      <c r="AI89" s="181">
        <f>IF(ROUND(SUM(AI$5:AI88),2)&gt;=ROUND(AI$129,2),0,INDEX('draws%'!$D$8:$AG$128,$C89+1,MATCH(AI$4,'draws%'!$D$7:$AG$7,FALSE))*AI$129)</f>
        <v>0</v>
      </c>
      <c r="AJ89" s="181">
        <f>IF(ROUND(SUM(AJ$5:AJ88),2)&gt;=ROUND(AJ$129,2),0,INDEX('draws%'!$D$8:$AG$128,$C89+1,MATCH(AJ$4,'draws%'!$D$7:$AG$7,FALSE))*AJ$129)</f>
        <v>0</v>
      </c>
      <c r="AK89" s="181">
        <f>IF(ROUND(SUM(AK$5:AK88),2)&gt;=ROUND(AK$129,2),0,INDEX('draws%'!$D$8:$AG$128,$C89+1,MATCH(AK$4,'draws%'!$D$7:$AG$7,FALSE))*AK$129)</f>
        <v>0</v>
      </c>
      <c r="AL89" s="189">
        <f t="shared" si="2"/>
        <v>0</v>
      </c>
      <c r="AM89" s="194"/>
      <c r="AO89" s="171"/>
    </row>
    <row r="90" spans="1:41" s="192" customFormat="1" ht="16" hidden="1" outlineLevel="1">
      <c r="A90" s="185" t="str">
        <f>IF(MAX(C$5:C89)&gt;=general!$C$27,"post dev",IF(C90&lt;general!$C$23, "Pred", "Dev"))</f>
        <v>post dev</v>
      </c>
      <c r="B90" s="1398"/>
      <c r="C90" s="1388">
        <f>IF('Development Cash Flow'!D89&lt;general!$D$28,'Development Cash Flow'!C89+1,0)</f>
        <v>0</v>
      </c>
      <c r="D90" s="185">
        <f t="shared" si="0"/>
        <v>48822</v>
      </c>
      <c r="E90" s="186">
        <f>($C90&gt;=sales!$D$32)*($C90&lt;=sales!$F$32)*ResUnits/(sales!$E$32+1)</f>
        <v>0</v>
      </c>
      <c r="F90" s="181">
        <f>($C90&gt;=sales!$D$32)*($C90&lt;=sales!$F$32)*sales!$I$18/(sales!$E$32+1)</f>
        <v>0</v>
      </c>
      <c r="G90" s="181">
        <f>($C90&gt;=sales!$D$32)*($C90&lt;=sales!$F$32)*sales!$K$32/(sales!$E$32+1)</f>
        <v>0</v>
      </c>
      <c r="H90" s="187">
        <f>($C90&gt;=sales!$D$33)*($C90&lt;=sales!$F$33)*sales!$K$33/(sales!$E$33+1)</f>
        <v>0</v>
      </c>
      <c r="I90" s="181">
        <f>($C90&gt;=sales!$D$34)*($C90&lt;=sales!$F$34)*sales!$K$34/(sales!$E$34+1)</f>
        <v>0</v>
      </c>
      <c r="J90" s="181">
        <f>($C90&gt;=sales!$D$35)*($C90&lt;=sales!$F$35)*sales!$K$35/(sales!$E$35+1)</f>
        <v>0</v>
      </c>
      <c r="K90" s="189">
        <f>($C90&gt;=sales!$D$36)*($C90&lt;=sales!$F$36)*sales!$K$36*IFERROR(VLOOKUP(C90,sales!$C$50:$D$54,2,FALSE),0)</f>
        <v>0</v>
      </c>
      <c r="L90" s="1398"/>
      <c r="M90" s="1403">
        <f>+G90/$G$4*$M$4*sales!$J$32</f>
        <v>0</v>
      </c>
      <c r="N90" s="1398"/>
      <c r="O90" s="1464">
        <f>IF(ROUND(SUM(O$5:O89),2)&gt;=ROUND(O$129,2),0,INDEX('draws%'!$D$8:$AG$128,$C90+1,MATCH(O$4,'draws%'!$D$7:$AG$7,FALSE))*O$129)</f>
        <v>0</v>
      </c>
      <c r="P90" s="181">
        <f>IF(ROUND(SUM(P$5:P89),2)&gt;=ROUND(P$129,2),0,INDEX('draws%'!$D$8:$AG$128,$C90+1,MATCH(P$4,'draws%'!$D$7:$AG$7,FALSE))*P$129)</f>
        <v>0</v>
      </c>
      <c r="Q90" s="181">
        <f>IF(ROUND(SUM(Q$5:Q89),2)&gt;=ROUND(Q$129,2),0,INDEX('draws%'!$D$8:$AG$128,$C90+1,MATCH(Q$4,'draws%'!$D$7:$AG$7,FALSE))*Q$129)</f>
        <v>0</v>
      </c>
      <c r="R90" s="181">
        <f>IF(ROUND(SUM(R$5:R89),2)&gt;=ROUND(R$129,2),0,INDEX('draws%'!$D$8:$AG$128,$C90+1,MATCH(R$4,'draws%'!$D$7:$AG$7,FALSE))*R$129)</f>
        <v>0</v>
      </c>
      <c r="S90" s="181">
        <f>IF(ROUND(SUM(S$5:S89),2)&gt;=ROUND(S$129,2),0,INDEX('draws%'!$D$8:$AG$128,$C90+1,MATCH(S$4,'draws%'!$D$7:$AG$7,FALSE))*S$129)</f>
        <v>0</v>
      </c>
      <c r="T90" s="181">
        <f>IF(ROUND(SUM(T$5:T89),2)&gt;=ROUND(T$129,2),0,INDEX('draws%'!$D$8:$AG$128,$C90+1,MATCH(T$4,'draws%'!$D$7:$AG$7,FALSE))*T$129)</f>
        <v>0</v>
      </c>
      <c r="U90" s="181">
        <f>IF(ROUND(SUM(U$5:U89),2)&gt;=ROUND(U$129,2),0,INDEX('draws%'!$D$8:$AG$128,$C90+1,MATCH(U$4,'draws%'!$D$7:$AG$7,FALSE))*U$129)</f>
        <v>0</v>
      </c>
      <c r="V90" s="181">
        <f>IF(ROUND(SUM(V$5:V89),2)&gt;=ROUND(V$129,2),0,INDEX('draws%'!$D$8:$AG$128,$C90+1,MATCH(V$4,'draws%'!$D$7:$AG$7,FALSE))*V$129)</f>
        <v>0</v>
      </c>
      <c r="W90" s="181">
        <f>IF(ROUND(SUM(W$5:W89),2)&gt;=ROUND(W$129,2),0,INDEX('draws%'!$D$8:$AG$128,$C90+1,MATCH(W$4,'draws%'!$D$7:$AG$7,FALSE))*W$129)</f>
        <v>0</v>
      </c>
      <c r="X90" s="181">
        <f>IF(ROUND(SUM(X$5:X89),2)&gt;=ROUND(X$129,2),0,INDEX('draws%'!$D$8:$AG$128,$C90+1,MATCH(X$4,'draws%'!$D$7:$AG$7,FALSE))*X$129)</f>
        <v>0</v>
      </c>
      <c r="Y90" s="181">
        <f>IF(ROUND(SUM(Y$5:Y89),2)&gt;=ROUND(Y$129,2),0,INDEX('draws%'!$D$8:$AG$128,$C90+1,MATCH(Y$4,'draws%'!$D$7:$AG$7,FALSE))*Y$129)</f>
        <v>0</v>
      </c>
      <c r="Z90" s="181">
        <f>IF(ROUND(SUM(Z$5:Z89),2)&gt;=ROUND(Z$129,2),0,INDEX('draws%'!$D$8:$AG$128,$C90+1,MATCH(Z$4,'draws%'!$D$7:$AG$7,FALSE))*Z$129)</f>
        <v>0</v>
      </c>
      <c r="AA90" s="181">
        <f>IF(ROUND(SUM(AA$5:AA89),2)&gt;=ROUND(AA$129,2),0,INDEX('draws%'!$D$8:$AG$128,$C90+1,MATCH(AA$4,'draws%'!$D$7:$AG$7,FALSE))*AA$129)</f>
        <v>0</v>
      </c>
      <c r="AB90" s="181">
        <f>IF(ROUND(SUM(AB$5:AB89),2)&gt;=ROUND(AB$129,2),0,INDEX('draws%'!$D$8:$AG$128,$C90+1,MATCH(AB$4,'draws%'!$D$7:$AG$7,FALSE))*AB$129)</f>
        <v>0</v>
      </c>
      <c r="AC90" s="181">
        <f>($C90&gt;=sales!$D$32)*($C90&lt;=sales!$F$32)*sales!$J$41/(sales!$E$32+1)+($C90&gt;=sales!$D$33)*($C90&lt;=sales!$F$33)*sales!$J$42/(sales!$E$33+1)+($C90&gt;=sales!$D$34)*($C90&lt;=sales!$F$34)*sales!$J$43/(sales!$E$34+1)+($C90&gt;=sales!$D$35)*($C90&lt;=sales!$F$35)*sales!$J$44/(sales!$E$35+1)+($C90&gt;=sales!$D$36)*($C90&lt;=sales!$F$36)*sales!$J$45/(sales!$E$36+1)</f>
        <v>0</v>
      </c>
      <c r="AD90" s="181">
        <f>IF(ROUND(SUM(AD$5:AD89),2)&gt;=ROUND(AD$129,2),0,INDEX('draws%'!$D$8:$AG$128,$C90+1,MATCH(AD$4,'draws%'!$D$7:$AG$7,FALSE))*AD$129)</f>
        <v>0</v>
      </c>
      <c r="AE90" s="181">
        <f>IF(ROUND(SUM(AE$5:AE89),2)&gt;=ROUND(AE$129,2),0,INDEX('draws%'!$D$8:$AG$128,$C90+1,MATCH(AE$4,'draws%'!$D$7:$AG$7,FALSE))*AE$129)</f>
        <v>0</v>
      </c>
      <c r="AF90" s="188">
        <f>($C90&gt;=sales!$D$32)*($C90&lt;=sales!$F$32)*sales!$D$41/(sales!$E$32+1)+($C90&gt;=sales!$D$33)*($C90&lt;=sales!$F$33)*sales!$D$42/(sales!$E$33+1)+($C90&gt;=sales!$D$34)*($C90&lt;=sales!$F$34)*sales!$D$43/(sales!$E$34+1)+($C90&gt;=sales!$D$35)*($C90&lt;=sales!$F$35)*sales!$D$44/(sales!$E$35+1)+($C90&gt;=sales!$D$36)*($C90&lt;=sales!$F$36)*sales!$D$45/(sales!$E$36+1)</f>
        <v>0</v>
      </c>
      <c r="AG90" s="188">
        <f>($C90&gt;=sales!$D$32)*($C90&lt;=sales!$F$32)*sales!$F$41/(sales!$E$32+1)+($C90&gt;=sales!$D$33)*($C90&lt;=sales!$F$33)*sales!$F$42/(sales!$E$33+1)+($C90&gt;=sales!$D$34)*($C90&lt;=sales!$F$34)*sales!$F$43/(sales!$E$34+1)+($C90&gt;=sales!$D$35)*($C90&lt;=sales!$F$35)*sales!$F$44/(sales!$E$35+1)+($C90&gt;=sales!$D$36)*($C90&lt;=sales!$F$36)*sales!$F$45/(sales!$E$36+1)</f>
        <v>0</v>
      </c>
      <c r="AH90" s="181">
        <f>IF(ROUND(SUM(AH$5:AH89),2)&gt;=ROUND(AH$129,2),0,INDEX('draws%'!$D$8:$AG$128,$C90+1,MATCH(AH$4,'draws%'!$D$7:$AG$7,FALSE))*AH$129)</f>
        <v>0</v>
      </c>
      <c r="AI90" s="181">
        <f>IF(ROUND(SUM(AI$5:AI89),2)&gt;=ROUND(AI$129,2),0,INDEX('draws%'!$D$8:$AG$128,$C90+1,MATCH(AI$4,'draws%'!$D$7:$AG$7,FALSE))*AI$129)</f>
        <v>0</v>
      </c>
      <c r="AJ90" s="181">
        <f>IF(ROUND(SUM(AJ$5:AJ89),2)&gt;=ROUND(AJ$129,2),0,INDEX('draws%'!$D$8:$AG$128,$C90+1,MATCH(AJ$4,'draws%'!$D$7:$AG$7,FALSE))*AJ$129)</f>
        <v>0</v>
      </c>
      <c r="AK90" s="181">
        <f>IF(ROUND(SUM(AK$5:AK89),2)&gt;=ROUND(AK$129,2),0,INDEX('draws%'!$D$8:$AG$128,$C90+1,MATCH(AK$4,'draws%'!$D$7:$AG$7,FALSE))*AK$129)</f>
        <v>0</v>
      </c>
      <c r="AL90" s="189">
        <f t="shared" si="2"/>
        <v>0</v>
      </c>
      <c r="AM90" s="194"/>
      <c r="AO90" s="171"/>
    </row>
    <row r="91" spans="1:41" ht="16" hidden="1" outlineLevel="1">
      <c r="A91" s="185" t="str">
        <f>IF(MAX(C$5:C90)&gt;=general!$C$27,"post dev",IF(C91&lt;general!$C$23, "Pred", "Dev"))</f>
        <v>post dev</v>
      </c>
      <c r="B91" s="1398"/>
      <c r="C91" s="1388">
        <f>IF('Development Cash Flow'!D90&lt;general!$D$28,'Development Cash Flow'!C90+1,0)</f>
        <v>0</v>
      </c>
      <c r="D91" s="185">
        <f t="shared" si="0"/>
        <v>48852</v>
      </c>
      <c r="E91" s="186">
        <f>($C91&gt;=sales!$D$32)*($C91&lt;=sales!$F$32)*ResUnits/(sales!$E$32+1)</f>
        <v>0</v>
      </c>
      <c r="F91" s="181">
        <f>($C91&gt;=sales!$D$32)*($C91&lt;=sales!$F$32)*sales!$I$18/(sales!$E$32+1)</f>
        <v>0</v>
      </c>
      <c r="G91" s="181">
        <f>($C91&gt;=sales!$D$32)*($C91&lt;=sales!$F$32)*sales!$K$32/(sales!$E$32+1)</f>
        <v>0</v>
      </c>
      <c r="H91" s="187">
        <f>($C91&gt;=sales!$D$33)*($C91&lt;=sales!$F$33)*sales!$K$33/(sales!$E$33+1)</f>
        <v>0</v>
      </c>
      <c r="I91" s="181">
        <f>($C91&gt;=sales!$D$34)*($C91&lt;=sales!$F$34)*sales!$K$34/(sales!$E$34+1)</f>
        <v>0</v>
      </c>
      <c r="J91" s="181">
        <f>($C91&gt;=sales!$D$35)*($C91&lt;=sales!$F$35)*sales!$K$35/(sales!$E$35+1)</f>
        <v>0</v>
      </c>
      <c r="K91" s="189">
        <f>($C91&gt;=sales!$D$36)*($C91&lt;=sales!$F$36)*sales!$K$36*IFERROR(VLOOKUP(C91,sales!$C$50:$D$54,2,FALSE),0)</f>
        <v>0</v>
      </c>
      <c r="L91" s="1398"/>
      <c r="M91" s="1403">
        <f>+G91/$G$4*$M$4*sales!$J$32</f>
        <v>0</v>
      </c>
      <c r="N91" s="1398"/>
      <c r="O91" s="1464">
        <f>IF(ROUND(SUM(O$5:O90),2)&gt;=ROUND(O$129,2),0,INDEX('draws%'!$D$8:$AG$128,$C91+1,MATCH(O$4,'draws%'!$D$7:$AG$7,FALSE))*O$129)</f>
        <v>0</v>
      </c>
      <c r="P91" s="181">
        <f>IF(ROUND(SUM(P$5:P90),2)&gt;=ROUND(P$129,2),0,INDEX('draws%'!$D$8:$AG$128,$C91+1,MATCH(P$4,'draws%'!$D$7:$AG$7,FALSE))*P$129)</f>
        <v>0</v>
      </c>
      <c r="Q91" s="181">
        <f>IF(ROUND(SUM(Q$5:Q90),2)&gt;=ROUND(Q$129,2),0,INDEX('draws%'!$D$8:$AG$128,$C91+1,MATCH(Q$4,'draws%'!$D$7:$AG$7,FALSE))*Q$129)</f>
        <v>0</v>
      </c>
      <c r="R91" s="181">
        <f>IF(ROUND(SUM(R$5:R90),2)&gt;=ROUND(R$129,2),0,INDEX('draws%'!$D$8:$AG$128,$C91+1,MATCH(R$4,'draws%'!$D$7:$AG$7,FALSE))*R$129)</f>
        <v>0</v>
      </c>
      <c r="S91" s="181">
        <f>IF(ROUND(SUM(S$5:S90),2)&gt;=ROUND(S$129,2),0,INDEX('draws%'!$D$8:$AG$128,$C91+1,MATCH(S$4,'draws%'!$D$7:$AG$7,FALSE))*S$129)</f>
        <v>0</v>
      </c>
      <c r="T91" s="181">
        <f>IF(ROUND(SUM(T$5:T90),2)&gt;=ROUND(T$129,2),0,INDEX('draws%'!$D$8:$AG$128,$C91+1,MATCH(T$4,'draws%'!$D$7:$AG$7,FALSE))*T$129)</f>
        <v>0</v>
      </c>
      <c r="U91" s="181">
        <f>IF(ROUND(SUM(U$5:U90),2)&gt;=ROUND(U$129,2),0,INDEX('draws%'!$D$8:$AG$128,$C91+1,MATCH(U$4,'draws%'!$D$7:$AG$7,FALSE))*U$129)</f>
        <v>0</v>
      </c>
      <c r="V91" s="181">
        <f>IF(ROUND(SUM(V$5:V90),2)&gt;=ROUND(V$129,2),0,INDEX('draws%'!$D$8:$AG$128,$C91+1,MATCH(V$4,'draws%'!$D$7:$AG$7,FALSE))*V$129)</f>
        <v>0</v>
      </c>
      <c r="W91" s="181">
        <f>IF(ROUND(SUM(W$5:W90),2)&gt;=ROUND(W$129,2),0,INDEX('draws%'!$D$8:$AG$128,$C91+1,MATCH(W$4,'draws%'!$D$7:$AG$7,FALSE))*W$129)</f>
        <v>0</v>
      </c>
      <c r="X91" s="181">
        <f>IF(ROUND(SUM(X$5:X90),2)&gt;=ROUND(X$129,2),0,INDEX('draws%'!$D$8:$AG$128,$C91+1,MATCH(X$4,'draws%'!$D$7:$AG$7,FALSE))*X$129)</f>
        <v>0</v>
      </c>
      <c r="Y91" s="181">
        <f>IF(ROUND(SUM(Y$5:Y90),2)&gt;=ROUND(Y$129,2),0,INDEX('draws%'!$D$8:$AG$128,$C91+1,MATCH(Y$4,'draws%'!$D$7:$AG$7,FALSE))*Y$129)</f>
        <v>0</v>
      </c>
      <c r="Z91" s="181">
        <f>IF(ROUND(SUM(Z$5:Z90),2)&gt;=ROUND(Z$129,2),0,INDEX('draws%'!$D$8:$AG$128,$C91+1,MATCH(Z$4,'draws%'!$D$7:$AG$7,FALSE))*Z$129)</f>
        <v>0</v>
      </c>
      <c r="AA91" s="181">
        <f>IF(ROUND(SUM(AA$5:AA90),2)&gt;=ROUND(AA$129,2),0,INDEX('draws%'!$D$8:$AG$128,$C91+1,MATCH(AA$4,'draws%'!$D$7:$AG$7,FALSE))*AA$129)</f>
        <v>0</v>
      </c>
      <c r="AB91" s="181">
        <f>IF(ROUND(SUM(AB$5:AB90),2)&gt;=ROUND(AB$129,2),0,INDEX('draws%'!$D$8:$AG$128,$C91+1,MATCH(AB$4,'draws%'!$D$7:$AG$7,FALSE))*AB$129)</f>
        <v>0</v>
      </c>
      <c r="AC91" s="181">
        <f>($C91&gt;=sales!$D$32)*($C91&lt;=sales!$F$32)*sales!$J$41/(sales!$E$32+1)+($C91&gt;=sales!$D$33)*($C91&lt;=sales!$F$33)*sales!$J$42/(sales!$E$33+1)+($C91&gt;=sales!$D$34)*($C91&lt;=sales!$F$34)*sales!$J$43/(sales!$E$34+1)+($C91&gt;=sales!$D$35)*($C91&lt;=sales!$F$35)*sales!$J$44/(sales!$E$35+1)+($C91&gt;=sales!$D$36)*($C91&lt;=sales!$F$36)*sales!$J$45/(sales!$E$36+1)</f>
        <v>0</v>
      </c>
      <c r="AD91" s="181">
        <f>IF(ROUND(SUM(AD$5:AD90),2)&gt;=ROUND(AD$129,2),0,INDEX('draws%'!$D$8:$AG$128,$C91+1,MATCH(AD$4,'draws%'!$D$7:$AG$7,FALSE))*AD$129)</f>
        <v>0</v>
      </c>
      <c r="AE91" s="181">
        <f>IF(ROUND(SUM(AE$5:AE90),2)&gt;=ROUND(AE$129,2),0,INDEX('draws%'!$D$8:$AG$128,$C91+1,MATCH(AE$4,'draws%'!$D$7:$AG$7,FALSE))*AE$129)</f>
        <v>0</v>
      </c>
      <c r="AF91" s="188">
        <f>($C91&gt;=sales!$D$32)*($C91&lt;=sales!$F$32)*sales!$D$41/(sales!$E$32+1)+($C91&gt;=sales!$D$33)*($C91&lt;=sales!$F$33)*sales!$D$42/(sales!$E$33+1)+($C91&gt;=sales!$D$34)*($C91&lt;=sales!$F$34)*sales!$D$43/(sales!$E$34+1)+($C91&gt;=sales!$D$35)*($C91&lt;=sales!$F$35)*sales!$D$44/(sales!$E$35+1)+($C91&gt;=sales!$D$36)*($C91&lt;=sales!$F$36)*sales!$D$45/(sales!$E$36+1)</f>
        <v>0</v>
      </c>
      <c r="AG91" s="188">
        <f>($C91&gt;=sales!$D$32)*($C91&lt;=sales!$F$32)*sales!$F$41/(sales!$E$32+1)+($C91&gt;=sales!$D$33)*($C91&lt;=sales!$F$33)*sales!$F$42/(sales!$E$33+1)+($C91&gt;=sales!$D$34)*($C91&lt;=sales!$F$34)*sales!$F$43/(sales!$E$34+1)+($C91&gt;=sales!$D$35)*($C91&lt;=sales!$F$35)*sales!$F$44/(sales!$E$35+1)+($C91&gt;=sales!$D$36)*($C91&lt;=sales!$F$36)*sales!$F$45/(sales!$E$36+1)</f>
        <v>0</v>
      </c>
      <c r="AH91" s="181">
        <f>IF(ROUND(SUM(AH$5:AH90),2)&gt;=ROUND(AH$129,2),0,INDEX('draws%'!$D$8:$AG$128,$C91+1,MATCH(AH$4,'draws%'!$D$7:$AG$7,FALSE))*AH$129)</f>
        <v>0</v>
      </c>
      <c r="AI91" s="181">
        <f>IF(ROUND(SUM(AI$5:AI90),2)&gt;=ROUND(AI$129,2),0,INDEX('draws%'!$D$8:$AG$128,$C91+1,MATCH(AI$4,'draws%'!$D$7:$AG$7,FALSE))*AI$129)</f>
        <v>0</v>
      </c>
      <c r="AJ91" s="181">
        <f>IF(ROUND(SUM(AJ$5:AJ90),2)&gt;=ROUND(AJ$129,2),0,INDEX('draws%'!$D$8:$AG$128,$C91+1,MATCH(AJ$4,'draws%'!$D$7:$AG$7,FALSE))*AJ$129)</f>
        <v>0</v>
      </c>
      <c r="AK91" s="181">
        <f>IF(ROUND(SUM(AK$5:AK90),2)&gt;=ROUND(AK$129,2),0,INDEX('draws%'!$D$8:$AG$128,$C91+1,MATCH(AK$4,'draws%'!$D$7:$AG$7,FALSE))*AK$129)</f>
        <v>0</v>
      </c>
      <c r="AL91" s="189">
        <f t="shared" si="2"/>
        <v>0</v>
      </c>
      <c r="AO91" s="173"/>
    </row>
    <row r="92" spans="1:41" s="192" customFormat="1" ht="16" hidden="1" outlineLevel="1">
      <c r="A92" s="185" t="str">
        <f>IF(MAX(C$5:C91)&gt;=general!$C$27,"post dev",IF(C92&lt;general!$C$23, "Pred", "Dev"))</f>
        <v>post dev</v>
      </c>
      <c r="B92" s="1398"/>
      <c r="C92" s="1388">
        <f>IF('Development Cash Flow'!D91&lt;general!$D$28,'Development Cash Flow'!C91+1,0)</f>
        <v>0</v>
      </c>
      <c r="D92" s="185">
        <f t="shared" si="0"/>
        <v>48883</v>
      </c>
      <c r="E92" s="186">
        <f>($C92&gt;=sales!$D$32)*($C92&lt;=sales!$F$32)*ResUnits/(sales!$E$32+1)</f>
        <v>0</v>
      </c>
      <c r="F92" s="181">
        <f>($C92&gt;=sales!$D$32)*($C92&lt;=sales!$F$32)*sales!$I$18/(sales!$E$32+1)</f>
        <v>0</v>
      </c>
      <c r="G92" s="181">
        <f>($C92&gt;=sales!$D$32)*($C92&lt;=sales!$F$32)*sales!$K$32/(sales!$E$32+1)</f>
        <v>0</v>
      </c>
      <c r="H92" s="187">
        <f>($C92&gt;=sales!$D$33)*($C92&lt;=sales!$F$33)*sales!$K$33/(sales!$E$33+1)</f>
        <v>0</v>
      </c>
      <c r="I92" s="181">
        <f>($C92&gt;=sales!$D$34)*($C92&lt;=sales!$F$34)*sales!$K$34/(sales!$E$34+1)</f>
        <v>0</v>
      </c>
      <c r="J92" s="181">
        <f>($C92&gt;=sales!$D$35)*($C92&lt;=sales!$F$35)*sales!$K$35/(sales!$E$35+1)</f>
        <v>0</v>
      </c>
      <c r="K92" s="189">
        <f>($C92&gt;=sales!$D$36)*($C92&lt;=sales!$F$36)*sales!$K$36*IFERROR(VLOOKUP(C92,sales!$C$50:$D$54,2,FALSE),0)</f>
        <v>0</v>
      </c>
      <c r="L92" s="1398"/>
      <c r="M92" s="1403">
        <f>+G92/$G$4*$M$4*sales!$J$32</f>
        <v>0</v>
      </c>
      <c r="N92" s="1398"/>
      <c r="O92" s="1464">
        <f>IF(ROUND(SUM(O$5:O91),2)&gt;=ROUND(O$129,2),0,INDEX('draws%'!$D$8:$AG$128,$C92+1,MATCH(O$4,'draws%'!$D$7:$AG$7,FALSE))*O$129)</f>
        <v>0</v>
      </c>
      <c r="P92" s="181">
        <f>IF(ROUND(SUM(P$5:P91),2)&gt;=ROUND(P$129,2),0,INDEX('draws%'!$D$8:$AG$128,$C92+1,MATCH(P$4,'draws%'!$D$7:$AG$7,FALSE))*P$129)</f>
        <v>0</v>
      </c>
      <c r="Q92" s="181">
        <f>IF(ROUND(SUM(Q$5:Q91),2)&gt;=ROUND(Q$129,2),0,INDEX('draws%'!$D$8:$AG$128,$C92+1,MATCH(Q$4,'draws%'!$D$7:$AG$7,FALSE))*Q$129)</f>
        <v>0</v>
      </c>
      <c r="R92" s="181">
        <f>IF(ROUND(SUM(R$5:R91),2)&gt;=ROUND(R$129,2),0,INDEX('draws%'!$D$8:$AG$128,$C92+1,MATCH(R$4,'draws%'!$D$7:$AG$7,FALSE))*R$129)</f>
        <v>0</v>
      </c>
      <c r="S92" s="181">
        <f>IF(ROUND(SUM(S$5:S91),2)&gt;=ROUND(S$129,2),0,INDEX('draws%'!$D$8:$AG$128,$C92+1,MATCH(S$4,'draws%'!$D$7:$AG$7,FALSE))*S$129)</f>
        <v>0</v>
      </c>
      <c r="T92" s="181">
        <f>IF(ROUND(SUM(T$5:T91),2)&gt;=ROUND(T$129,2),0,INDEX('draws%'!$D$8:$AG$128,$C92+1,MATCH(T$4,'draws%'!$D$7:$AG$7,FALSE))*T$129)</f>
        <v>0</v>
      </c>
      <c r="U92" s="181">
        <f>IF(ROUND(SUM(U$5:U91),2)&gt;=ROUND(U$129,2),0,INDEX('draws%'!$D$8:$AG$128,$C92+1,MATCH(U$4,'draws%'!$D$7:$AG$7,FALSE))*U$129)</f>
        <v>0</v>
      </c>
      <c r="V92" s="181">
        <f>IF(ROUND(SUM(V$5:V91),2)&gt;=ROUND(V$129,2),0,INDEX('draws%'!$D$8:$AG$128,$C92+1,MATCH(V$4,'draws%'!$D$7:$AG$7,FALSE))*V$129)</f>
        <v>0</v>
      </c>
      <c r="W92" s="181">
        <f>IF(ROUND(SUM(W$5:W91),2)&gt;=ROUND(W$129,2),0,INDEX('draws%'!$D$8:$AG$128,$C92+1,MATCH(W$4,'draws%'!$D$7:$AG$7,FALSE))*W$129)</f>
        <v>0</v>
      </c>
      <c r="X92" s="181">
        <f>IF(ROUND(SUM(X$5:X91),2)&gt;=ROUND(X$129,2),0,INDEX('draws%'!$D$8:$AG$128,$C92+1,MATCH(X$4,'draws%'!$D$7:$AG$7,FALSE))*X$129)</f>
        <v>0</v>
      </c>
      <c r="Y92" s="181">
        <f>IF(ROUND(SUM(Y$5:Y91),2)&gt;=ROUND(Y$129,2),0,INDEX('draws%'!$D$8:$AG$128,$C92+1,MATCH(Y$4,'draws%'!$D$7:$AG$7,FALSE))*Y$129)</f>
        <v>0</v>
      </c>
      <c r="Z92" s="181">
        <f>IF(ROUND(SUM(Z$5:Z91),2)&gt;=ROUND(Z$129,2),0,INDEX('draws%'!$D$8:$AG$128,$C92+1,MATCH(Z$4,'draws%'!$D$7:$AG$7,FALSE))*Z$129)</f>
        <v>0</v>
      </c>
      <c r="AA92" s="181">
        <f>IF(ROUND(SUM(AA$5:AA91),2)&gt;=ROUND(AA$129,2),0,INDEX('draws%'!$D$8:$AG$128,$C92+1,MATCH(AA$4,'draws%'!$D$7:$AG$7,FALSE))*AA$129)</f>
        <v>0</v>
      </c>
      <c r="AB92" s="181">
        <f>IF(ROUND(SUM(AB$5:AB91),2)&gt;=ROUND(AB$129,2),0,INDEX('draws%'!$D$8:$AG$128,$C92+1,MATCH(AB$4,'draws%'!$D$7:$AG$7,FALSE))*AB$129)</f>
        <v>0</v>
      </c>
      <c r="AC92" s="181">
        <f>($C92&gt;=sales!$D$32)*($C92&lt;=sales!$F$32)*sales!$J$41/(sales!$E$32+1)+($C92&gt;=sales!$D$33)*($C92&lt;=sales!$F$33)*sales!$J$42/(sales!$E$33+1)+($C92&gt;=sales!$D$34)*($C92&lt;=sales!$F$34)*sales!$J$43/(sales!$E$34+1)+($C92&gt;=sales!$D$35)*($C92&lt;=sales!$F$35)*sales!$J$44/(sales!$E$35+1)+($C92&gt;=sales!$D$36)*($C92&lt;=sales!$F$36)*sales!$J$45/(sales!$E$36+1)</f>
        <v>0</v>
      </c>
      <c r="AD92" s="181">
        <f>IF(ROUND(SUM(AD$5:AD91),2)&gt;=ROUND(AD$129,2),0,INDEX('draws%'!$D$8:$AG$128,$C92+1,MATCH(AD$4,'draws%'!$D$7:$AG$7,FALSE))*AD$129)</f>
        <v>0</v>
      </c>
      <c r="AE92" s="181">
        <f>IF(ROUND(SUM(AE$5:AE91),2)&gt;=ROUND(AE$129,2),0,INDEX('draws%'!$D$8:$AG$128,$C92+1,MATCH(AE$4,'draws%'!$D$7:$AG$7,FALSE))*AE$129)</f>
        <v>0</v>
      </c>
      <c r="AF92" s="188">
        <f>($C92&gt;=sales!$D$32)*($C92&lt;=sales!$F$32)*sales!$D$41/(sales!$E$32+1)+($C92&gt;=sales!$D$33)*($C92&lt;=sales!$F$33)*sales!$D$42/(sales!$E$33+1)+($C92&gt;=sales!$D$34)*($C92&lt;=sales!$F$34)*sales!$D$43/(sales!$E$34+1)+($C92&gt;=sales!$D$35)*($C92&lt;=sales!$F$35)*sales!$D$44/(sales!$E$35+1)+($C92&gt;=sales!$D$36)*($C92&lt;=sales!$F$36)*sales!$D$45/(sales!$E$36+1)</f>
        <v>0</v>
      </c>
      <c r="AG92" s="188">
        <f>($C92&gt;=sales!$D$32)*($C92&lt;=sales!$F$32)*sales!$F$41/(sales!$E$32+1)+($C92&gt;=sales!$D$33)*($C92&lt;=sales!$F$33)*sales!$F$42/(sales!$E$33+1)+($C92&gt;=sales!$D$34)*($C92&lt;=sales!$F$34)*sales!$F$43/(sales!$E$34+1)+($C92&gt;=sales!$D$35)*($C92&lt;=sales!$F$35)*sales!$F$44/(sales!$E$35+1)+($C92&gt;=sales!$D$36)*($C92&lt;=sales!$F$36)*sales!$F$45/(sales!$E$36+1)</f>
        <v>0</v>
      </c>
      <c r="AH92" s="181">
        <f>IF(ROUND(SUM(AH$5:AH91),2)&gt;=ROUND(AH$129,2),0,INDEX('draws%'!$D$8:$AG$128,$C92+1,MATCH(AH$4,'draws%'!$D$7:$AG$7,FALSE))*AH$129)</f>
        <v>0</v>
      </c>
      <c r="AI92" s="181">
        <f>IF(ROUND(SUM(AI$5:AI91),2)&gt;=ROUND(AI$129,2),0,INDEX('draws%'!$D$8:$AG$128,$C92+1,MATCH(AI$4,'draws%'!$D$7:$AG$7,FALSE))*AI$129)</f>
        <v>0</v>
      </c>
      <c r="AJ92" s="181">
        <f>IF(ROUND(SUM(AJ$5:AJ91),2)&gt;=ROUND(AJ$129,2),0,INDEX('draws%'!$D$8:$AG$128,$C92+1,MATCH(AJ$4,'draws%'!$D$7:$AG$7,FALSE))*AJ$129)</f>
        <v>0</v>
      </c>
      <c r="AK92" s="181">
        <f>IF(ROUND(SUM(AK$5:AK91),2)&gt;=ROUND(AK$129,2),0,INDEX('draws%'!$D$8:$AG$128,$C92+1,MATCH(AK$4,'draws%'!$D$7:$AG$7,FALSE))*AK$129)</f>
        <v>0</v>
      </c>
      <c r="AL92" s="189">
        <f t="shared" si="2"/>
        <v>0</v>
      </c>
      <c r="AM92" s="194"/>
      <c r="AO92" s="171"/>
    </row>
    <row r="93" spans="1:41" s="192" customFormat="1" ht="16" hidden="1" outlineLevel="1">
      <c r="A93" s="185" t="str">
        <f>IF(MAX(C$5:C92)&gt;=general!$C$27,"post dev",IF(C93&lt;general!$C$23, "Pred", "Dev"))</f>
        <v>post dev</v>
      </c>
      <c r="B93" s="1398"/>
      <c r="C93" s="1388">
        <f>IF('Development Cash Flow'!D92&lt;general!$D$28,'Development Cash Flow'!C92+1,0)</f>
        <v>0</v>
      </c>
      <c r="D93" s="185">
        <f t="shared" si="0"/>
        <v>48913</v>
      </c>
      <c r="E93" s="186">
        <f>($C93&gt;=sales!$D$32)*($C93&lt;=sales!$F$32)*ResUnits/(sales!$E$32+1)</f>
        <v>0</v>
      </c>
      <c r="F93" s="181">
        <f>($C93&gt;=sales!$D$32)*($C93&lt;=sales!$F$32)*sales!$I$18/(sales!$E$32+1)</f>
        <v>0</v>
      </c>
      <c r="G93" s="181">
        <f>($C93&gt;=sales!$D$32)*($C93&lt;=sales!$F$32)*sales!$K$32/(sales!$E$32+1)</f>
        <v>0</v>
      </c>
      <c r="H93" s="187">
        <f>($C93&gt;=sales!$D$33)*($C93&lt;=sales!$F$33)*sales!$K$33/(sales!$E$33+1)</f>
        <v>0</v>
      </c>
      <c r="I93" s="181">
        <f>($C93&gt;=sales!$D$34)*($C93&lt;=sales!$F$34)*sales!$K$34/(sales!$E$34+1)</f>
        <v>0</v>
      </c>
      <c r="J93" s="181">
        <f>($C93&gt;=sales!$D$35)*($C93&lt;=sales!$F$35)*sales!$K$35/(sales!$E$35+1)</f>
        <v>0</v>
      </c>
      <c r="K93" s="189">
        <f>($C93&gt;=sales!$D$36)*($C93&lt;=sales!$F$36)*sales!$K$36*IFERROR(VLOOKUP(C93,sales!$C$50:$D$54,2,FALSE),0)</f>
        <v>0</v>
      </c>
      <c r="L93" s="1398"/>
      <c r="M93" s="1403">
        <f>+G93/$G$4*$M$4*sales!$J$32</f>
        <v>0</v>
      </c>
      <c r="N93" s="1398"/>
      <c r="O93" s="1464">
        <f>IF(ROUND(SUM(O$5:O92),2)&gt;=ROUND(O$129,2),0,INDEX('draws%'!$D$8:$AG$128,$C93+1,MATCH(O$4,'draws%'!$D$7:$AG$7,FALSE))*O$129)</f>
        <v>0</v>
      </c>
      <c r="P93" s="181">
        <f>IF(ROUND(SUM(P$5:P92),2)&gt;=ROUND(P$129,2),0,INDEX('draws%'!$D$8:$AG$128,$C93+1,MATCH(P$4,'draws%'!$D$7:$AG$7,FALSE))*P$129)</f>
        <v>0</v>
      </c>
      <c r="Q93" s="181">
        <f>IF(ROUND(SUM(Q$5:Q92),2)&gt;=ROUND(Q$129,2),0,INDEX('draws%'!$D$8:$AG$128,$C93+1,MATCH(Q$4,'draws%'!$D$7:$AG$7,FALSE))*Q$129)</f>
        <v>0</v>
      </c>
      <c r="R93" s="181">
        <f>IF(ROUND(SUM(R$5:R92),2)&gt;=ROUND(R$129,2),0,INDEX('draws%'!$D$8:$AG$128,$C93+1,MATCH(R$4,'draws%'!$D$7:$AG$7,FALSE))*R$129)</f>
        <v>0</v>
      </c>
      <c r="S93" s="181">
        <f>IF(ROUND(SUM(S$5:S92),2)&gt;=ROUND(S$129,2),0,INDEX('draws%'!$D$8:$AG$128,$C93+1,MATCH(S$4,'draws%'!$D$7:$AG$7,FALSE))*S$129)</f>
        <v>0</v>
      </c>
      <c r="T93" s="181">
        <f>IF(ROUND(SUM(T$5:T92),2)&gt;=ROUND(T$129,2),0,INDEX('draws%'!$D$8:$AG$128,$C93+1,MATCH(T$4,'draws%'!$D$7:$AG$7,FALSE))*T$129)</f>
        <v>0</v>
      </c>
      <c r="U93" s="181">
        <f>IF(ROUND(SUM(U$5:U92),2)&gt;=ROUND(U$129,2),0,INDEX('draws%'!$D$8:$AG$128,$C93+1,MATCH(U$4,'draws%'!$D$7:$AG$7,FALSE))*U$129)</f>
        <v>0</v>
      </c>
      <c r="V93" s="181">
        <f>IF(ROUND(SUM(V$5:V92),2)&gt;=ROUND(V$129,2),0,INDEX('draws%'!$D$8:$AG$128,$C93+1,MATCH(V$4,'draws%'!$D$7:$AG$7,FALSE))*V$129)</f>
        <v>0</v>
      </c>
      <c r="W93" s="181">
        <f>IF(ROUND(SUM(W$5:W92),2)&gt;=ROUND(W$129,2),0,INDEX('draws%'!$D$8:$AG$128,$C93+1,MATCH(W$4,'draws%'!$D$7:$AG$7,FALSE))*W$129)</f>
        <v>0</v>
      </c>
      <c r="X93" s="181">
        <f>IF(ROUND(SUM(X$5:X92),2)&gt;=ROUND(X$129,2),0,INDEX('draws%'!$D$8:$AG$128,$C93+1,MATCH(X$4,'draws%'!$D$7:$AG$7,FALSE))*X$129)</f>
        <v>0</v>
      </c>
      <c r="Y93" s="181">
        <f>IF(ROUND(SUM(Y$5:Y92),2)&gt;=ROUND(Y$129,2),0,INDEX('draws%'!$D$8:$AG$128,$C93+1,MATCH(Y$4,'draws%'!$D$7:$AG$7,FALSE))*Y$129)</f>
        <v>0</v>
      </c>
      <c r="Z93" s="181">
        <f>IF(ROUND(SUM(Z$5:Z92),2)&gt;=ROUND(Z$129,2),0,INDEX('draws%'!$D$8:$AG$128,$C93+1,MATCH(Z$4,'draws%'!$D$7:$AG$7,FALSE))*Z$129)</f>
        <v>0</v>
      </c>
      <c r="AA93" s="181">
        <f>IF(ROUND(SUM(AA$5:AA92),2)&gt;=ROUND(AA$129,2),0,INDEX('draws%'!$D$8:$AG$128,$C93+1,MATCH(AA$4,'draws%'!$D$7:$AG$7,FALSE))*AA$129)</f>
        <v>0</v>
      </c>
      <c r="AB93" s="181">
        <f>IF(ROUND(SUM(AB$5:AB92),2)&gt;=ROUND(AB$129,2),0,INDEX('draws%'!$D$8:$AG$128,$C93+1,MATCH(AB$4,'draws%'!$D$7:$AG$7,FALSE))*AB$129)</f>
        <v>0</v>
      </c>
      <c r="AC93" s="181">
        <f>($C93&gt;=sales!$D$32)*($C93&lt;=sales!$F$32)*sales!$J$41/(sales!$E$32+1)+($C93&gt;=sales!$D$33)*($C93&lt;=sales!$F$33)*sales!$J$42/(sales!$E$33+1)+($C93&gt;=sales!$D$34)*($C93&lt;=sales!$F$34)*sales!$J$43/(sales!$E$34+1)+($C93&gt;=sales!$D$35)*($C93&lt;=sales!$F$35)*sales!$J$44/(sales!$E$35+1)+($C93&gt;=sales!$D$36)*($C93&lt;=sales!$F$36)*sales!$J$45/(sales!$E$36+1)</f>
        <v>0</v>
      </c>
      <c r="AD93" s="181">
        <f>IF(ROUND(SUM(AD$5:AD92),2)&gt;=ROUND(AD$129,2),0,INDEX('draws%'!$D$8:$AG$128,$C93+1,MATCH(AD$4,'draws%'!$D$7:$AG$7,FALSE))*AD$129)</f>
        <v>0</v>
      </c>
      <c r="AE93" s="181">
        <f>IF(ROUND(SUM(AE$5:AE92),2)&gt;=ROUND(AE$129,2),0,INDEX('draws%'!$D$8:$AG$128,$C93+1,MATCH(AE$4,'draws%'!$D$7:$AG$7,FALSE))*AE$129)</f>
        <v>0</v>
      </c>
      <c r="AF93" s="188">
        <f>($C93&gt;=sales!$D$32)*($C93&lt;=sales!$F$32)*sales!$D$41/(sales!$E$32+1)+($C93&gt;=sales!$D$33)*($C93&lt;=sales!$F$33)*sales!$D$42/(sales!$E$33+1)+($C93&gt;=sales!$D$34)*($C93&lt;=sales!$F$34)*sales!$D$43/(sales!$E$34+1)+($C93&gt;=sales!$D$35)*($C93&lt;=sales!$F$35)*sales!$D$44/(sales!$E$35+1)+($C93&gt;=sales!$D$36)*($C93&lt;=sales!$F$36)*sales!$D$45/(sales!$E$36+1)</f>
        <v>0</v>
      </c>
      <c r="AG93" s="188">
        <f>($C93&gt;=sales!$D$32)*($C93&lt;=sales!$F$32)*sales!$F$41/(sales!$E$32+1)+($C93&gt;=sales!$D$33)*($C93&lt;=sales!$F$33)*sales!$F$42/(sales!$E$33+1)+($C93&gt;=sales!$D$34)*($C93&lt;=sales!$F$34)*sales!$F$43/(sales!$E$34+1)+($C93&gt;=sales!$D$35)*($C93&lt;=sales!$F$35)*sales!$F$44/(sales!$E$35+1)+($C93&gt;=sales!$D$36)*($C93&lt;=sales!$F$36)*sales!$F$45/(sales!$E$36+1)</f>
        <v>0</v>
      </c>
      <c r="AH93" s="181">
        <f>IF(ROUND(SUM(AH$5:AH92),2)&gt;=ROUND(AH$129,2),0,INDEX('draws%'!$D$8:$AG$128,$C93+1,MATCH(AH$4,'draws%'!$D$7:$AG$7,FALSE))*AH$129)</f>
        <v>0</v>
      </c>
      <c r="AI93" s="181">
        <f>IF(ROUND(SUM(AI$5:AI92),2)&gt;=ROUND(AI$129,2),0,INDEX('draws%'!$D$8:$AG$128,$C93+1,MATCH(AI$4,'draws%'!$D$7:$AG$7,FALSE))*AI$129)</f>
        <v>0</v>
      </c>
      <c r="AJ93" s="181">
        <f>IF(ROUND(SUM(AJ$5:AJ92),2)&gt;=ROUND(AJ$129,2),0,INDEX('draws%'!$D$8:$AG$128,$C93+1,MATCH(AJ$4,'draws%'!$D$7:$AG$7,FALSE))*AJ$129)</f>
        <v>0</v>
      </c>
      <c r="AK93" s="181">
        <f>IF(ROUND(SUM(AK$5:AK92),2)&gt;=ROUND(AK$129,2),0,INDEX('draws%'!$D$8:$AG$128,$C93+1,MATCH(AK$4,'draws%'!$D$7:$AG$7,FALSE))*AK$129)</f>
        <v>0</v>
      </c>
      <c r="AL93" s="189">
        <f t="shared" si="2"/>
        <v>0</v>
      </c>
      <c r="AM93" s="194"/>
      <c r="AO93" s="171"/>
    </row>
    <row r="94" spans="1:41" s="192" customFormat="1" ht="16" hidden="1" outlineLevel="1">
      <c r="A94" s="185" t="str">
        <f>IF(MAX(C$5:C93)&gt;=general!$C$27,"post dev",IF(C94&lt;general!$C$23, "Pred", "Dev"))</f>
        <v>post dev</v>
      </c>
      <c r="B94" s="1398"/>
      <c r="C94" s="1388">
        <f>IF('Development Cash Flow'!D93&lt;general!$D$28,'Development Cash Flow'!C93+1,0)</f>
        <v>0</v>
      </c>
      <c r="D94" s="185">
        <f t="shared" si="0"/>
        <v>48944</v>
      </c>
      <c r="E94" s="186">
        <f>($C94&gt;=sales!$D$32)*($C94&lt;=sales!$F$32)*ResUnits/(sales!$E$32+1)</f>
        <v>0</v>
      </c>
      <c r="F94" s="181">
        <f>($C94&gt;=sales!$D$32)*($C94&lt;=sales!$F$32)*sales!$I$18/(sales!$E$32+1)</f>
        <v>0</v>
      </c>
      <c r="G94" s="181">
        <f>($C94&gt;=sales!$D$32)*($C94&lt;=sales!$F$32)*sales!$K$32/(sales!$E$32+1)</f>
        <v>0</v>
      </c>
      <c r="H94" s="187">
        <f>($C94&gt;=sales!$D$33)*($C94&lt;=sales!$F$33)*sales!$K$33/(sales!$E$33+1)</f>
        <v>0</v>
      </c>
      <c r="I94" s="181">
        <f>($C94&gt;=sales!$D$34)*($C94&lt;=sales!$F$34)*sales!$K$34/(sales!$E$34+1)</f>
        <v>0</v>
      </c>
      <c r="J94" s="181">
        <f>($C94&gt;=sales!$D$35)*($C94&lt;=sales!$F$35)*sales!$K$35/(sales!$E$35+1)</f>
        <v>0</v>
      </c>
      <c r="K94" s="189">
        <f>($C94&gt;=sales!$D$36)*($C94&lt;=sales!$F$36)*sales!$K$36*IFERROR(VLOOKUP(C94,sales!$C$50:$D$54,2,FALSE),0)</f>
        <v>0</v>
      </c>
      <c r="L94" s="1398"/>
      <c r="M94" s="1403">
        <f>+G94/$G$4*$M$4*sales!$J$32</f>
        <v>0</v>
      </c>
      <c r="N94" s="1398"/>
      <c r="O94" s="1464">
        <f>IF(ROUND(SUM(O$5:O93),2)&gt;=ROUND(O$129,2),0,INDEX('draws%'!$D$8:$AG$128,$C94+1,MATCH(O$4,'draws%'!$D$7:$AG$7,FALSE))*O$129)</f>
        <v>0</v>
      </c>
      <c r="P94" s="181">
        <f>IF(ROUND(SUM(P$5:P93),2)&gt;=ROUND(P$129,2),0,INDEX('draws%'!$D$8:$AG$128,$C94+1,MATCH(P$4,'draws%'!$D$7:$AG$7,FALSE))*P$129)</f>
        <v>0</v>
      </c>
      <c r="Q94" s="181">
        <f>IF(ROUND(SUM(Q$5:Q93),2)&gt;=ROUND(Q$129,2),0,INDEX('draws%'!$D$8:$AG$128,$C94+1,MATCH(Q$4,'draws%'!$D$7:$AG$7,FALSE))*Q$129)</f>
        <v>0</v>
      </c>
      <c r="R94" s="181">
        <f>IF(ROUND(SUM(R$5:R93),2)&gt;=ROUND(R$129,2),0,INDEX('draws%'!$D$8:$AG$128,$C94+1,MATCH(R$4,'draws%'!$D$7:$AG$7,FALSE))*R$129)</f>
        <v>0</v>
      </c>
      <c r="S94" s="181">
        <f>IF(ROUND(SUM(S$5:S93),2)&gt;=ROUND(S$129,2),0,INDEX('draws%'!$D$8:$AG$128,$C94+1,MATCH(S$4,'draws%'!$D$7:$AG$7,FALSE))*S$129)</f>
        <v>0</v>
      </c>
      <c r="T94" s="181">
        <f>IF(ROUND(SUM(T$5:T93),2)&gt;=ROUND(T$129,2),0,INDEX('draws%'!$D$8:$AG$128,$C94+1,MATCH(T$4,'draws%'!$D$7:$AG$7,FALSE))*T$129)</f>
        <v>0</v>
      </c>
      <c r="U94" s="181">
        <f>IF(ROUND(SUM(U$5:U93),2)&gt;=ROUND(U$129,2),0,INDEX('draws%'!$D$8:$AG$128,$C94+1,MATCH(U$4,'draws%'!$D$7:$AG$7,FALSE))*U$129)</f>
        <v>0</v>
      </c>
      <c r="V94" s="181">
        <f>IF(ROUND(SUM(V$5:V93),2)&gt;=ROUND(V$129,2),0,INDEX('draws%'!$D$8:$AG$128,$C94+1,MATCH(V$4,'draws%'!$D$7:$AG$7,FALSE))*V$129)</f>
        <v>0</v>
      </c>
      <c r="W94" s="181">
        <f>IF(ROUND(SUM(W$5:W93),2)&gt;=ROUND(W$129,2),0,INDEX('draws%'!$D$8:$AG$128,$C94+1,MATCH(W$4,'draws%'!$D$7:$AG$7,FALSE))*W$129)</f>
        <v>0</v>
      </c>
      <c r="X94" s="181">
        <f>IF(ROUND(SUM(X$5:X93),2)&gt;=ROUND(X$129,2),0,INDEX('draws%'!$D$8:$AG$128,$C94+1,MATCH(X$4,'draws%'!$D$7:$AG$7,FALSE))*X$129)</f>
        <v>0</v>
      </c>
      <c r="Y94" s="181">
        <f>IF(ROUND(SUM(Y$5:Y93),2)&gt;=ROUND(Y$129,2),0,INDEX('draws%'!$D$8:$AG$128,$C94+1,MATCH(Y$4,'draws%'!$D$7:$AG$7,FALSE))*Y$129)</f>
        <v>0</v>
      </c>
      <c r="Z94" s="181">
        <f>IF(ROUND(SUM(Z$5:Z93),2)&gt;=ROUND(Z$129,2),0,INDEX('draws%'!$D$8:$AG$128,$C94+1,MATCH(Z$4,'draws%'!$D$7:$AG$7,FALSE))*Z$129)</f>
        <v>0</v>
      </c>
      <c r="AA94" s="181">
        <f>IF(ROUND(SUM(AA$5:AA93),2)&gt;=ROUND(AA$129,2),0,INDEX('draws%'!$D$8:$AG$128,$C94+1,MATCH(AA$4,'draws%'!$D$7:$AG$7,FALSE))*AA$129)</f>
        <v>0</v>
      </c>
      <c r="AB94" s="181">
        <f>IF(ROUND(SUM(AB$5:AB93),2)&gt;=ROUND(AB$129,2),0,INDEX('draws%'!$D$8:$AG$128,$C94+1,MATCH(AB$4,'draws%'!$D$7:$AG$7,FALSE))*AB$129)</f>
        <v>0</v>
      </c>
      <c r="AC94" s="181">
        <f>($C94&gt;=sales!$D$32)*($C94&lt;=sales!$F$32)*sales!$J$41/(sales!$E$32+1)+($C94&gt;=sales!$D$33)*($C94&lt;=sales!$F$33)*sales!$J$42/(sales!$E$33+1)+($C94&gt;=sales!$D$34)*($C94&lt;=sales!$F$34)*sales!$J$43/(sales!$E$34+1)+($C94&gt;=sales!$D$35)*($C94&lt;=sales!$F$35)*sales!$J$44/(sales!$E$35+1)+($C94&gt;=sales!$D$36)*($C94&lt;=sales!$F$36)*sales!$J$45/(sales!$E$36+1)</f>
        <v>0</v>
      </c>
      <c r="AD94" s="181">
        <f>IF(ROUND(SUM(AD$5:AD93),2)&gt;=ROUND(AD$129,2),0,INDEX('draws%'!$D$8:$AG$128,$C94+1,MATCH(AD$4,'draws%'!$D$7:$AG$7,FALSE))*AD$129)</f>
        <v>0</v>
      </c>
      <c r="AE94" s="181">
        <f>IF(ROUND(SUM(AE$5:AE93),2)&gt;=ROUND(AE$129,2),0,INDEX('draws%'!$D$8:$AG$128,$C94+1,MATCH(AE$4,'draws%'!$D$7:$AG$7,FALSE))*AE$129)</f>
        <v>0</v>
      </c>
      <c r="AF94" s="188">
        <f>($C94&gt;=sales!$D$32)*($C94&lt;=sales!$F$32)*sales!$D$41/(sales!$E$32+1)+($C94&gt;=sales!$D$33)*($C94&lt;=sales!$F$33)*sales!$D$42/(sales!$E$33+1)+($C94&gt;=sales!$D$34)*($C94&lt;=sales!$F$34)*sales!$D$43/(sales!$E$34+1)+($C94&gt;=sales!$D$35)*($C94&lt;=sales!$F$35)*sales!$D$44/(sales!$E$35+1)+($C94&gt;=sales!$D$36)*($C94&lt;=sales!$F$36)*sales!$D$45/(sales!$E$36+1)</f>
        <v>0</v>
      </c>
      <c r="AG94" s="188">
        <f>($C94&gt;=sales!$D$32)*($C94&lt;=sales!$F$32)*sales!$F$41/(sales!$E$32+1)+($C94&gt;=sales!$D$33)*($C94&lt;=sales!$F$33)*sales!$F$42/(sales!$E$33+1)+($C94&gt;=sales!$D$34)*($C94&lt;=sales!$F$34)*sales!$F$43/(sales!$E$34+1)+($C94&gt;=sales!$D$35)*($C94&lt;=sales!$F$35)*sales!$F$44/(sales!$E$35+1)+($C94&gt;=sales!$D$36)*($C94&lt;=sales!$F$36)*sales!$F$45/(sales!$E$36+1)</f>
        <v>0</v>
      </c>
      <c r="AH94" s="181">
        <f>IF(ROUND(SUM(AH$5:AH93),2)&gt;=ROUND(AH$129,2),0,INDEX('draws%'!$D$8:$AG$128,$C94+1,MATCH(AH$4,'draws%'!$D$7:$AG$7,FALSE))*AH$129)</f>
        <v>0</v>
      </c>
      <c r="AI94" s="181">
        <f>IF(ROUND(SUM(AI$5:AI93),2)&gt;=ROUND(AI$129,2),0,INDEX('draws%'!$D$8:$AG$128,$C94+1,MATCH(AI$4,'draws%'!$D$7:$AG$7,FALSE))*AI$129)</f>
        <v>0</v>
      </c>
      <c r="AJ94" s="181">
        <f>IF(ROUND(SUM(AJ$5:AJ93),2)&gt;=ROUND(AJ$129,2),0,INDEX('draws%'!$D$8:$AG$128,$C94+1,MATCH(AJ$4,'draws%'!$D$7:$AG$7,FALSE))*AJ$129)</f>
        <v>0</v>
      </c>
      <c r="AK94" s="181">
        <f>IF(ROUND(SUM(AK$5:AK93),2)&gt;=ROUND(AK$129,2),0,INDEX('draws%'!$D$8:$AG$128,$C94+1,MATCH(AK$4,'draws%'!$D$7:$AG$7,FALSE))*AK$129)</f>
        <v>0</v>
      </c>
      <c r="AL94" s="189">
        <f t="shared" si="2"/>
        <v>0</v>
      </c>
      <c r="AM94" s="194"/>
      <c r="AO94" s="171"/>
    </row>
    <row r="95" spans="1:41" s="192" customFormat="1" ht="16" hidden="1" outlineLevel="1">
      <c r="A95" s="185" t="str">
        <f>IF(MAX(C$5:C94)&gt;=general!$C$27,"post dev",IF(C95&lt;general!$C$23, "Pred", "Dev"))</f>
        <v>post dev</v>
      </c>
      <c r="B95" s="1398"/>
      <c r="C95" s="1388">
        <f>IF('Development Cash Flow'!D94&lt;general!$D$28,'Development Cash Flow'!C94+1,0)</f>
        <v>0</v>
      </c>
      <c r="D95" s="185">
        <f t="shared" si="0"/>
        <v>48975</v>
      </c>
      <c r="E95" s="186">
        <f>($C95&gt;=sales!$D$32)*($C95&lt;=sales!$F$32)*ResUnits/(sales!$E$32+1)</f>
        <v>0</v>
      </c>
      <c r="F95" s="181">
        <f>($C95&gt;=sales!$D$32)*($C95&lt;=sales!$F$32)*sales!$I$18/(sales!$E$32+1)</f>
        <v>0</v>
      </c>
      <c r="G95" s="181">
        <f>($C95&gt;=sales!$D$32)*($C95&lt;=sales!$F$32)*sales!$K$32/(sales!$E$32+1)</f>
        <v>0</v>
      </c>
      <c r="H95" s="187">
        <f>($C95&gt;=sales!$D$33)*($C95&lt;=sales!$F$33)*sales!$K$33/(sales!$E$33+1)</f>
        <v>0</v>
      </c>
      <c r="I95" s="181">
        <f>($C95&gt;=sales!$D$34)*($C95&lt;=sales!$F$34)*sales!$K$34/(sales!$E$34+1)</f>
        <v>0</v>
      </c>
      <c r="J95" s="181">
        <f>($C95&gt;=sales!$D$35)*($C95&lt;=sales!$F$35)*sales!$K$35/(sales!$E$35+1)</f>
        <v>0</v>
      </c>
      <c r="K95" s="189">
        <f>($C95&gt;=sales!$D$36)*($C95&lt;=sales!$F$36)*sales!$K$36*IFERROR(VLOOKUP(C95,sales!$C$50:$D$54,2,FALSE),0)</f>
        <v>0</v>
      </c>
      <c r="L95" s="1398"/>
      <c r="M95" s="1403">
        <f>+G95/$G$4*$M$4*sales!$J$32</f>
        <v>0</v>
      </c>
      <c r="N95" s="1398"/>
      <c r="O95" s="1464">
        <f>IF(ROUND(SUM(O$5:O94),2)&gt;=ROUND(O$129,2),0,INDEX('draws%'!$D$8:$AG$128,$C95+1,MATCH(O$4,'draws%'!$D$7:$AG$7,FALSE))*O$129)</f>
        <v>0</v>
      </c>
      <c r="P95" s="181">
        <f>IF(ROUND(SUM(P$5:P94),2)&gt;=ROUND(P$129,2),0,INDEX('draws%'!$D$8:$AG$128,$C95+1,MATCH(P$4,'draws%'!$D$7:$AG$7,FALSE))*P$129)</f>
        <v>0</v>
      </c>
      <c r="Q95" s="181">
        <f>IF(ROUND(SUM(Q$5:Q94),2)&gt;=ROUND(Q$129,2),0,INDEX('draws%'!$D$8:$AG$128,$C95+1,MATCH(Q$4,'draws%'!$D$7:$AG$7,FALSE))*Q$129)</f>
        <v>0</v>
      </c>
      <c r="R95" s="181">
        <f>IF(ROUND(SUM(R$5:R94),2)&gt;=ROUND(R$129,2),0,INDEX('draws%'!$D$8:$AG$128,$C95+1,MATCH(R$4,'draws%'!$D$7:$AG$7,FALSE))*R$129)</f>
        <v>0</v>
      </c>
      <c r="S95" s="181">
        <f>IF(ROUND(SUM(S$5:S94),2)&gt;=ROUND(S$129,2),0,INDEX('draws%'!$D$8:$AG$128,$C95+1,MATCH(S$4,'draws%'!$D$7:$AG$7,FALSE))*S$129)</f>
        <v>0</v>
      </c>
      <c r="T95" s="181">
        <f>IF(ROUND(SUM(T$5:T94),2)&gt;=ROUND(T$129,2),0,INDEX('draws%'!$D$8:$AG$128,$C95+1,MATCH(T$4,'draws%'!$D$7:$AG$7,FALSE))*T$129)</f>
        <v>0</v>
      </c>
      <c r="U95" s="181">
        <f>IF(ROUND(SUM(U$5:U94),2)&gt;=ROUND(U$129,2),0,INDEX('draws%'!$D$8:$AG$128,$C95+1,MATCH(U$4,'draws%'!$D$7:$AG$7,FALSE))*U$129)</f>
        <v>0</v>
      </c>
      <c r="V95" s="181">
        <f>IF(ROUND(SUM(V$5:V94),2)&gt;=ROUND(V$129,2),0,INDEX('draws%'!$D$8:$AG$128,$C95+1,MATCH(V$4,'draws%'!$D$7:$AG$7,FALSE))*V$129)</f>
        <v>0</v>
      </c>
      <c r="W95" s="181">
        <f>IF(ROUND(SUM(W$5:W94),2)&gt;=ROUND(W$129,2),0,INDEX('draws%'!$D$8:$AG$128,$C95+1,MATCH(W$4,'draws%'!$D$7:$AG$7,FALSE))*W$129)</f>
        <v>0</v>
      </c>
      <c r="X95" s="181">
        <f>IF(ROUND(SUM(X$5:X94),2)&gt;=ROUND(X$129,2),0,INDEX('draws%'!$D$8:$AG$128,$C95+1,MATCH(X$4,'draws%'!$D$7:$AG$7,FALSE))*X$129)</f>
        <v>0</v>
      </c>
      <c r="Y95" s="181">
        <f>IF(ROUND(SUM(Y$5:Y94),2)&gt;=ROUND(Y$129,2),0,INDEX('draws%'!$D$8:$AG$128,$C95+1,MATCH(Y$4,'draws%'!$D$7:$AG$7,FALSE))*Y$129)</f>
        <v>0</v>
      </c>
      <c r="Z95" s="181">
        <f>IF(ROUND(SUM(Z$5:Z94),2)&gt;=ROUND(Z$129,2),0,INDEX('draws%'!$D$8:$AG$128,$C95+1,MATCH(Z$4,'draws%'!$D$7:$AG$7,FALSE))*Z$129)</f>
        <v>0</v>
      </c>
      <c r="AA95" s="181">
        <f>IF(ROUND(SUM(AA$5:AA94),2)&gt;=ROUND(AA$129,2),0,INDEX('draws%'!$D$8:$AG$128,$C95+1,MATCH(AA$4,'draws%'!$D$7:$AG$7,FALSE))*AA$129)</f>
        <v>0</v>
      </c>
      <c r="AB95" s="181">
        <f>IF(ROUND(SUM(AB$5:AB94),2)&gt;=ROUND(AB$129,2),0,INDEX('draws%'!$D$8:$AG$128,$C95+1,MATCH(AB$4,'draws%'!$D$7:$AG$7,FALSE))*AB$129)</f>
        <v>0</v>
      </c>
      <c r="AC95" s="181">
        <f>($C95&gt;=sales!$D$32)*($C95&lt;=sales!$F$32)*sales!$J$41/(sales!$E$32+1)+($C95&gt;=sales!$D$33)*($C95&lt;=sales!$F$33)*sales!$J$42/(sales!$E$33+1)+($C95&gt;=sales!$D$34)*($C95&lt;=sales!$F$34)*sales!$J$43/(sales!$E$34+1)+($C95&gt;=sales!$D$35)*($C95&lt;=sales!$F$35)*sales!$J$44/(sales!$E$35+1)+($C95&gt;=sales!$D$36)*($C95&lt;=sales!$F$36)*sales!$J$45/(sales!$E$36+1)</f>
        <v>0</v>
      </c>
      <c r="AD95" s="181">
        <f>IF(ROUND(SUM(AD$5:AD94),2)&gt;=ROUND(AD$129,2),0,INDEX('draws%'!$D$8:$AG$128,$C95+1,MATCH(AD$4,'draws%'!$D$7:$AG$7,FALSE))*AD$129)</f>
        <v>0</v>
      </c>
      <c r="AE95" s="181">
        <f>IF(ROUND(SUM(AE$5:AE94),2)&gt;=ROUND(AE$129,2),0,INDEX('draws%'!$D$8:$AG$128,$C95+1,MATCH(AE$4,'draws%'!$D$7:$AG$7,FALSE))*AE$129)</f>
        <v>0</v>
      </c>
      <c r="AF95" s="188">
        <f>($C95&gt;=sales!$D$32)*($C95&lt;=sales!$F$32)*sales!$D$41/(sales!$E$32+1)+($C95&gt;=sales!$D$33)*($C95&lt;=sales!$F$33)*sales!$D$42/(sales!$E$33+1)+($C95&gt;=sales!$D$34)*($C95&lt;=sales!$F$34)*sales!$D$43/(sales!$E$34+1)+($C95&gt;=sales!$D$35)*($C95&lt;=sales!$F$35)*sales!$D$44/(sales!$E$35+1)+($C95&gt;=sales!$D$36)*($C95&lt;=sales!$F$36)*sales!$D$45/(sales!$E$36+1)</f>
        <v>0</v>
      </c>
      <c r="AG95" s="188">
        <f>($C95&gt;=sales!$D$32)*($C95&lt;=sales!$F$32)*sales!$F$41/(sales!$E$32+1)+($C95&gt;=sales!$D$33)*($C95&lt;=sales!$F$33)*sales!$F$42/(sales!$E$33+1)+($C95&gt;=sales!$D$34)*($C95&lt;=sales!$F$34)*sales!$F$43/(sales!$E$34+1)+($C95&gt;=sales!$D$35)*($C95&lt;=sales!$F$35)*sales!$F$44/(sales!$E$35+1)+($C95&gt;=sales!$D$36)*($C95&lt;=sales!$F$36)*sales!$F$45/(sales!$E$36+1)</f>
        <v>0</v>
      </c>
      <c r="AH95" s="181">
        <f>IF(ROUND(SUM(AH$5:AH94),2)&gt;=ROUND(AH$129,2),0,INDEX('draws%'!$D$8:$AG$128,$C95+1,MATCH(AH$4,'draws%'!$D$7:$AG$7,FALSE))*AH$129)</f>
        <v>0</v>
      </c>
      <c r="AI95" s="181">
        <f>IF(ROUND(SUM(AI$5:AI94),2)&gt;=ROUND(AI$129,2),0,INDEX('draws%'!$D$8:$AG$128,$C95+1,MATCH(AI$4,'draws%'!$D$7:$AG$7,FALSE))*AI$129)</f>
        <v>0</v>
      </c>
      <c r="AJ95" s="181">
        <f>IF(ROUND(SUM(AJ$5:AJ94),2)&gt;=ROUND(AJ$129,2),0,INDEX('draws%'!$D$8:$AG$128,$C95+1,MATCH(AJ$4,'draws%'!$D$7:$AG$7,FALSE))*AJ$129)</f>
        <v>0</v>
      </c>
      <c r="AK95" s="181">
        <f>IF(ROUND(SUM(AK$5:AK94),2)&gt;=ROUND(AK$129,2),0,INDEX('draws%'!$D$8:$AG$128,$C95+1,MATCH(AK$4,'draws%'!$D$7:$AG$7,FALSE))*AK$129)</f>
        <v>0</v>
      </c>
      <c r="AL95" s="189">
        <f t="shared" si="2"/>
        <v>0</v>
      </c>
      <c r="AM95" s="194"/>
      <c r="AO95" s="171"/>
    </row>
    <row r="96" spans="1:41" s="192" customFormat="1" ht="16" hidden="1" outlineLevel="1">
      <c r="A96" s="185" t="str">
        <f>IF(MAX(C$5:C95)&gt;=general!$C$27,"post dev",IF(C96&lt;general!$C$23, "Pred", "Dev"))</f>
        <v>post dev</v>
      </c>
      <c r="B96" s="1398"/>
      <c r="C96" s="1388">
        <f>IF('Development Cash Flow'!D95&lt;general!$D$28,'Development Cash Flow'!C95+1,0)</f>
        <v>0</v>
      </c>
      <c r="D96" s="185">
        <f t="shared" si="0"/>
        <v>49003</v>
      </c>
      <c r="E96" s="186">
        <f>($C96&gt;=sales!$D$32)*($C96&lt;=sales!$F$32)*ResUnits/(sales!$E$32+1)</f>
        <v>0</v>
      </c>
      <c r="F96" s="181">
        <f>($C96&gt;=sales!$D$32)*($C96&lt;=sales!$F$32)*sales!$I$18/(sales!$E$32+1)</f>
        <v>0</v>
      </c>
      <c r="G96" s="181">
        <f>($C96&gt;=sales!$D$32)*($C96&lt;=sales!$F$32)*sales!$K$32/(sales!$E$32+1)</f>
        <v>0</v>
      </c>
      <c r="H96" s="187">
        <f>($C96&gt;=sales!$D$33)*($C96&lt;=sales!$F$33)*sales!$K$33/(sales!$E$33+1)</f>
        <v>0</v>
      </c>
      <c r="I96" s="181">
        <f>($C96&gt;=sales!$D$34)*($C96&lt;=sales!$F$34)*sales!$K$34/(sales!$E$34+1)</f>
        <v>0</v>
      </c>
      <c r="J96" s="181">
        <f>($C96&gt;=sales!$D$35)*($C96&lt;=sales!$F$35)*sales!$K$35/(sales!$E$35+1)</f>
        <v>0</v>
      </c>
      <c r="K96" s="189">
        <f>($C96&gt;=sales!$D$36)*($C96&lt;=sales!$F$36)*sales!$K$36*IFERROR(VLOOKUP(C96,sales!$C$50:$D$54,2,FALSE),0)</f>
        <v>0</v>
      </c>
      <c r="L96" s="1398"/>
      <c r="M96" s="1403">
        <f>+G96/$G$4*$M$4*sales!$J$32</f>
        <v>0</v>
      </c>
      <c r="N96" s="1398"/>
      <c r="O96" s="1464">
        <f>IF(ROUND(SUM(O$5:O95),2)&gt;=ROUND(O$129,2),0,INDEX('draws%'!$D$8:$AG$128,$C96+1,MATCH(O$4,'draws%'!$D$7:$AG$7,FALSE))*O$129)</f>
        <v>0</v>
      </c>
      <c r="P96" s="181">
        <f>IF(ROUND(SUM(P$5:P95),2)&gt;=ROUND(P$129,2),0,INDEX('draws%'!$D$8:$AG$128,$C96+1,MATCH(P$4,'draws%'!$D$7:$AG$7,FALSE))*P$129)</f>
        <v>0</v>
      </c>
      <c r="Q96" s="181">
        <f>IF(ROUND(SUM(Q$5:Q95),2)&gt;=ROUND(Q$129,2),0,INDEX('draws%'!$D$8:$AG$128,$C96+1,MATCH(Q$4,'draws%'!$D$7:$AG$7,FALSE))*Q$129)</f>
        <v>0</v>
      </c>
      <c r="R96" s="181">
        <f>IF(ROUND(SUM(R$5:R95),2)&gt;=ROUND(R$129,2),0,INDEX('draws%'!$D$8:$AG$128,$C96+1,MATCH(R$4,'draws%'!$D$7:$AG$7,FALSE))*R$129)</f>
        <v>0</v>
      </c>
      <c r="S96" s="181">
        <f>IF(ROUND(SUM(S$5:S95),2)&gt;=ROUND(S$129,2),0,INDEX('draws%'!$D$8:$AG$128,$C96+1,MATCH(S$4,'draws%'!$D$7:$AG$7,FALSE))*S$129)</f>
        <v>0</v>
      </c>
      <c r="T96" s="181">
        <f>IF(ROUND(SUM(T$5:T95),2)&gt;=ROUND(T$129,2),0,INDEX('draws%'!$D$8:$AG$128,$C96+1,MATCH(T$4,'draws%'!$D$7:$AG$7,FALSE))*T$129)</f>
        <v>0</v>
      </c>
      <c r="U96" s="181">
        <f>IF(ROUND(SUM(U$5:U95),2)&gt;=ROUND(U$129,2),0,INDEX('draws%'!$D$8:$AG$128,$C96+1,MATCH(U$4,'draws%'!$D$7:$AG$7,FALSE))*U$129)</f>
        <v>0</v>
      </c>
      <c r="V96" s="181">
        <f>IF(ROUND(SUM(V$5:V95),2)&gt;=ROUND(V$129,2),0,INDEX('draws%'!$D$8:$AG$128,$C96+1,MATCH(V$4,'draws%'!$D$7:$AG$7,FALSE))*V$129)</f>
        <v>0</v>
      </c>
      <c r="W96" s="181">
        <f>IF(ROUND(SUM(W$5:W95),2)&gt;=ROUND(W$129,2),0,INDEX('draws%'!$D$8:$AG$128,$C96+1,MATCH(W$4,'draws%'!$D$7:$AG$7,FALSE))*W$129)</f>
        <v>0</v>
      </c>
      <c r="X96" s="181">
        <f>IF(ROUND(SUM(X$5:X95),2)&gt;=ROUND(X$129,2),0,INDEX('draws%'!$D$8:$AG$128,$C96+1,MATCH(X$4,'draws%'!$D$7:$AG$7,FALSE))*X$129)</f>
        <v>0</v>
      </c>
      <c r="Y96" s="181">
        <f>IF(ROUND(SUM(Y$5:Y95),2)&gt;=ROUND(Y$129,2),0,INDEX('draws%'!$D$8:$AG$128,$C96+1,MATCH(Y$4,'draws%'!$D$7:$AG$7,FALSE))*Y$129)</f>
        <v>0</v>
      </c>
      <c r="Z96" s="181">
        <f>IF(ROUND(SUM(Z$5:Z95),2)&gt;=ROUND(Z$129,2),0,INDEX('draws%'!$D$8:$AG$128,$C96+1,MATCH(Z$4,'draws%'!$D$7:$AG$7,FALSE))*Z$129)</f>
        <v>0</v>
      </c>
      <c r="AA96" s="181">
        <f>IF(ROUND(SUM(AA$5:AA95),2)&gt;=ROUND(AA$129,2),0,INDEX('draws%'!$D$8:$AG$128,$C96+1,MATCH(AA$4,'draws%'!$D$7:$AG$7,FALSE))*AA$129)</f>
        <v>0</v>
      </c>
      <c r="AB96" s="181">
        <f>IF(ROUND(SUM(AB$5:AB95),2)&gt;=ROUND(AB$129,2),0,INDEX('draws%'!$D$8:$AG$128,$C96+1,MATCH(AB$4,'draws%'!$D$7:$AG$7,FALSE))*AB$129)</f>
        <v>0</v>
      </c>
      <c r="AC96" s="181">
        <f>($C96&gt;=sales!$D$32)*($C96&lt;=sales!$F$32)*sales!$J$41/(sales!$E$32+1)+($C96&gt;=sales!$D$33)*($C96&lt;=sales!$F$33)*sales!$J$42/(sales!$E$33+1)+($C96&gt;=sales!$D$34)*($C96&lt;=sales!$F$34)*sales!$J$43/(sales!$E$34+1)+($C96&gt;=sales!$D$35)*($C96&lt;=sales!$F$35)*sales!$J$44/(sales!$E$35+1)+($C96&gt;=sales!$D$36)*($C96&lt;=sales!$F$36)*sales!$J$45/(sales!$E$36+1)</f>
        <v>0</v>
      </c>
      <c r="AD96" s="181">
        <f>IF(ROUND(SUM(AD$5:AD95),2)&gt;=ROUND(AD$129,2),0,INDEX('draws%'!$D$8:$AG$128,$C96+1,MATCH(AD$4,'draws%'!$D$7:$AG$7,FALSE))*AD$129)</f>
        <v>0</v>
      </c>
      <c r="AE96" s="181">
        <f>IF(ROUND(SUM(AE$5:AE95),2)&gt;=ROUND(AE$129,2),0,INDEX('draws%'!$D$8:$AG$128,$C96+1,MATCH(AE$4,'draws%'!$D$7:$AG$7,FALSE))*AE$129)</f>
        <v>0</v>
      </c>
      <c r="AF96" s="188">
        <f>($C96&gt;=sales!$D$32)*($C96&lt;=sales!$F$32)*sales!$D$41/(sales!$E$32+1)+($C96&gt;=sales!$D$33)*($C96&lt;=sales!$F$33)*sales!$D$42/(sales!$E$33+1)+($C96&gt;=sales!$D$34)*($C96&lt;=sales!$F$34)*sales!$D$43/(sales!$E$34+1)+($C96&gt;=sales!$D$35)*($C96&lt;=sales!$F$35)*sales!$D$44/(sales!$E$35+1)+($C96&gt;=sales!$D$36)*($C96&lt;=sales!$F$36)*sales!$D$45/(sales!$E$36+1)</f>
        <v>0</v>
      </c>
      <c r="AG96" s="188">
        <f>($C96&gt;=sales!$D$32)*($C96&lt;=sales!$F$32)*sales!$F$41/(sales!$E$32+1)+($C96&gt;=sales!$D$33)*($C96&lt;=sales!$F$33)*sales!$F$42/(sales!$E$33+1)+($C96&gt;=sales!$D$34)*($C96&lt;=sales!$F$34)*sales!$F$43/(sales!$E$34+1)+($C96&gt;=sales!$D$35)*($C96&lt;=sales!$F$35)*sales!$F$44/(sales!$E$35+1)+($C96&gt;=sales!$D$36)*($C96&lt;=sales!$F$36)*sales!$F$45/(sales!$E$36+1)</f>
        <v>0</v>
      </c>
      <c r="AH96" s="181">
        <f>IF(ROUND(SUM(AH$5:AH95),2)&gt;=ROUND(AH$129,2),0,INDEX('draws%'!$D$8:$AG$128,$C96+1,MATCH(AH$4,'draws%'!$D$7:$AG$7,FALSE))*AH$129)</f>
        <v>0</v>
      </c>
      <c r="AI96" s="181">
        <f>IF(ROUND(SUM(AI$5:AI95),2)&gt;=ROUND(AI$129,2),0,INDEX('draws%'!$D$8:$AG$128,$C96+1,MATCH(AI$4,'draws%'!$D$7:$AG$7,FALSE))*AI$129)</f>
        <v>0</v>
      </c>
      <c r="AJ96" s="181">
        <f>IF(ROUND(SUM(AJ$5:AJ95),2)&gt;=ROUND(AJ$129,2),0,INDEX('draws%'!$D$8:$AG$128,$C96+1,MATCH(AJ$4,'draws%'!$D$7:$AG$7,FALSE))*AJ$129)</f>
        <v>0</v>
      </c>
      <c r="AK96" s="181">
        <f>IF(ROUND(SUM(AK$5:AK95),2)&gt;=ROUND(AK$129,2),0,INDEX('draws%'!$D$8:$AG$128,$C96+1,MATCH(AK$4,'draws%'!$D$7:$AG$7,FALSE))*AK$129)</f>
        <v>0</v>
      </c>
      <c r="AL96" s="189">
        <f t="shared" si="2"/>
        <v>0</v>
      </c>
      <c r="AM96" s="194"/>
      <c r="AO96" s="171"/>
    </row>
    <row r="97" spans="1:41" s="192" customFormat="1" ht="16" hidden="1" outlineLevel="1">
      <c r="A97" s="185" t="str">
        <f>IF(MAX(C$5:C96)&gt;=general!$C$27,"post dev",IF(C97&lt;general!$C$23, "Pred", "Dev"))</f>
        <v>post dev</v>
      </c>
      <c r="B97" s="1398"/>
      <c r="C97" s="1388">
        <f>IF('Development Cash Flow'!D96&lt;general!$D$28,'Development Cash Flow'!C96+1,0)</f>
        <v>0</v>
      </c>
      <c r="D97" s="185">
        <f t="shared" si="0"/>
        <v>49034</v>
      </c>
      <c r="E97" s="186">
        <f>($C97&gt;=sales!$D$32)*($C97&lt;=sales!$F$32)*ResUnits/(sales!$E$32+1)</f>
        <v>0</v>
      </c>
      <c r="F97" s="181">
        <f>($C97&gt;=sales!$D$32)*($C97&lt;=sales!$F$32)*sales!$I$18/(sales!$E$32+1)</f>
        <v>0</v>
      </c>
      <c r="G97" s="181">
        <f>($C97&gt;=sales!$D$32)*($C97&lt;=sales!$F$32)*sales!$K$32/(sales!$E$32+1)</f>
        <v>0</v>
      </c>
      <c r="H97" s="187">
        <f>($C97&gt;=sales!$D$33)*($C97&lt;=sales!$F$33)*sales!$K$33/(sales!$E$33+1)</f>
        <v>0</v>
      </c>
      <c r="I97" s="181">
        <f>($C97&gt;=sales!$D$34)*($C97&lt;=sales!$F$34)*sales!$K$34/(sales!$E$34+1)</f>
        <v>0</v>
      </c>
      <c r="J97" s="181">
        <f>($C97&gt;=sales!$D$35)*($C97&lt;=sales!$F$35)*sales!$K$35/(sales!$E$35+1)</f>
        <v>0</v>
      </c>
      <c r="K97" s="189">
        <f>($C97&gt;=sales!$D$36)*($C97&lt;=sales!$F$36)*sales!$K$36*IFERROR(VLOOKUP(C97,sales!$C$50:$D$54,2,FALSE),0)</f>
        <v>0</v>
      </c>
      <c r="L97" s="1398"/>
      <c r="M97" s="1403">
        <f>+G97/$G$4*$M$4*sales!$J$32</f>
        <v>0</v>
      </c>
      <c r="N97" s="1398"/>
      <c r="O97" s="1464">
        <f>IF(ROUND(SUM(O$5:O96),2)&gt;=ROUND(O$129,2),0,INDEX('draws%'!$D$8:$AG$128,$C97+1,MATCH(O$4,'draws%'!$D$7:$AG$7,FALSE))*O$129)</f>
        <v>0</v>
      </c>
      <c r="P97" s="181">
        <f>IF(ROUND(SUM(P$5:P96),2)&gt;=ROUND(P$129,2),0,INDEX('draws%'!$D$8:$AG$128,$C97+1,MATCH(P$4,'draws%'!$D$7:$AG$7,FALSE))*P$129)</f>
        <v>0</v>
      </c>
      <c r="Q97" s="181">
        <f>IF(ROUND(SUM(Q$5:Q96),2)&gt;=ROUND(Q$129,2),0,INDEX('draws%'!$D$8:$AG$128,$C97+1,MATCH(Q$4,'draws%'!$D$7:$AG$7,FALSE))*Q$129)</f>
        <v>0</v>
      </c>
      <c r="R97" s="181">
        <f>IF(ROUND(SUM(R$5:R96),2)&gt;=ROUND(R$129,2),0,INDEX('draws%'!$D$8:$AG$128,$C97+1,MATCH(R$4,'draws%'!$D$7:$AG$7,FALSE))*R$129)</f>
        <v>0</v>
      </c>
      <c r="S97" s="181">
        <f>IF(ROUND(SUM(S$5:S96),2)&gt;=ROUND(S$129,2),0,INDEX('draws%'!$D$8:$AG$128,$C97+1,MATCH(S$4,'draws%'!$D$7:$AG$7,FALSE))*S$129)</f>
        <v>0</v>
      </c>
      <c r="T97" s="181">
        <f>IF(ROUND(SUM(T$5:T96),2)&gt;=ROUND(T$129,2),0,INDEX('draws%'!$D$8:$AG$128,$C97+1,MATCH(T$4,'draws%'!$D$7:$AG$7,FALSE))*T$129)</f>
        <v>0</v>
      </c>
      <c r="U97" s="181">
        <f>IF(ROUND(SUM(U$5:U96),2)&gt;=ROUND(U$129,2),0,INDEX('draws%'!$D$8:$AG$128,$C97+1,MATCH(U$4,'draws%'!$D$7:$AG$7,FALSE))*U$129)</f>
        <v>0</v>
      </c>
      <c r="V97" s="181">
        <f>IF(ROUND(SUM(V$5:V96),2)&gt;=ROUND(V$129,2),0,INDEX('draws%'!$D$8:$AG$128,$C97+1,MATCH(V$4,'draws%'!$D$7:$AG$7,FALSE))*V$129)</f>
        <v>0</v>
      </c>
      <c r="W97" s="181">
        <f>IF(ROUND(SUM(W$5:W96),2)&gt;=ROUND(W$129,2),0,INDEX('draws%'!$D$8:$AG$128,$C97+1,MATCH(W$4,'draws%'!$D$7:$AG$7,FALSE))*W$129)</f>
        <v>0</v>
      </c>
      <c r="X97" s="181">
        <f>IF(ROUND(SUM(X$5:X96),2)&gt;=ROUND(X$129,2),0,INDEX('draws%'!$D$8:$AG$128,$C97+1,MATCH(X$4,'draws%'!$D$7:$AG$7,FALSE))*X$129)</f>
        <v>0</v>
      </c>
      <c r="Y97" s="181">
        <f>IF(ROUND(SUM(Y$5:Y96),2)&gt;=ROUND(Y$129,2),0,INDEX('draws%'!$D$8:$AG$128,$C97+1,MATCH(Y$4,'draws%'!$D$7:$AG$7,FALSE))*Y$129)</f>
        <v>0</v>
      </c>
      <c r="Z97" s="181">
        <f>IF(ROUND(SUM(Z$5:Z96),2)&gt;=ROUND(Z$129,2),0,INDEX('draws%'!$D$8:$AG$128,$C97+1,MATCH(Z$4,'draws%'!$D$7:$AG$7,FALSE))*Z$129)</f>
        <v>0</v>
      </c>
      <c r="AA97" s="181">
        <f>IF(ROUND(SUM(AA$5:AA96),2)&gt;=ROUND(AA$129,2),0,INDEX('draws%'!$D$8:$AG$128,$C97+1,MATCH(AA$4,'draws%'!$D$7:$AG$7,FALSE))*AA$129)</f>
        <v>0</v>
      </c>
      <c r="AB97" s="181">
        <f>IF(ROUND(SUM(AB$5:AB96),2)&gt;=ROUND(AB$129,2),0,INDEX('draws%'!$D$8:$AG$128,$C97+1,MATCH(AB$4,'draws%'!$D$7:$AG$7,FALSE))*AB$129)</f>
        <v>0</v>
      </c>
      <c r="AC97" s="181">
        <f>($C97&gt;=sales!$D$32)*($C97&lt;=sales!$F$32)*sales!$J$41/(sales!$E$32+1)+($C97&gt;=sales!$D$33)*($C97&lt;=sales!$F$33)*sales!$J$42/(sales!$E$33+1)+($C97&gt;=sales!$D$34)*($C97&lt;=sales!$F$34)*sales!$J$43/(sales!$E$34+1)+($C97&gt;=sales!$D$35)*($C97&lt;=sales!$F$35)*sales!$J$44/(sales!$E$35+1)+($C97&gt;=sales!$D$36)*($C97&lt;=sales!$F$36)*sales!$J$45/(sales!$E$36+1)</f>
        <v>0</v>
      </c>
      <c r="AD97" s="181">
        <f>IF(ROUND(SUM(AD$5:AD96),2)&gt;=ROUND(AD$129,2),0,INDEX('draws%'!$D$8:$AG$128,$C97+1,MATCH(AD$4,'draws%'!$D$7:$AG$7,FALSE))*AD$129)</f>
        <v>0</v>
      </c>
      <c r="AE97" s="181">
        <f>IF(ROUND(SUM(AE$5:AE96),2)&gt;=ROUND(AE$129,2),0,INDEX('draws%'!$D$8:$AG$128,$C97+1,MATCH(AE$4,'draws%'!$D$7:$AG$7,FALSE))*AE$129)</f>
        <v>0</v>
      </c>
      <c r="AF97" s="188">
        <f>($C97&gt;=sales!$D$32)*($C97&lt;=sales!$F$32)*sales!$D$41/(sales!$E$32+1)+($C97&gt;=sales!$D$33)*($C97&lt;=sales!$F$33)*sales!$D$42/(sales!$E$33+1)+($C97&gt;=sales!$D$34)*($C97&lt;=sales!$F$34)*sales!$D$43/(sales!$E$34+1)+($C97&gt;=sales!$D$35)*($C97&lt;=sales!$F$35)*sales!$D$44/(sales!$E$35+1)+($C97&gt;=sales!$D$36)*($C97&lt;=sales!$F$36)*sales!$D$45/(sales!$E$36+1)</f>
        <v>0</v>
      </c>
      <c r="AG97" s="188">
        <f>($C97&gt;=sales!$D$32)*($C97&lt;=sales!$F$32)*sales!$F$41/(sales!$E$32+1)+($C97&gt;=sales!$D$33)*($C97&lt;=sales!$F$33)*sales!$F$42/(sales!$E$33+1)+($C97&gt;=sales!$D$34)*($C97&lt;=sales!$F$34)*sales!$F$43/(sales!$E$34+1)+($C97&gt;=sales!$D$35)*($C97&lt;=sales!$F$35)*sales!$F$44/(sales!$E$35+1)+($C97&gt;=sales!$D$36)*($C97&lt;=sales!$F$36)*sales!$F$45/(sales!$E$36+1)</f>
        <v>0</v>
      </c>
      <c r="AH97" s="181">
        <f>IF(ROUND(SUM(AH$5:AH96),2)&gt;=ROUND(AH$129,2),0,INDEX('draws%'!$D$8:$AG$128,$C97+1,MATCH(AH$4,'draws%'!$D$7:$AG$7,FALSE))*AH$129)</f>
        <v>0</v>
      </c>
      <c r="AI97" s="181">
        <f>IF(ROUND(SUM(AI$5:AI96),2)&gt;=ROUND(AI$129,2),0,INDEX('draws%'!$D$8:$AG$128,$C97+1,MATCH(AI$4,'draws%'!$D$7:$AG$7,FALSE))*AI$129)</f>
        <v>0</v>
      </c>
      <c r="AJ97" s="181">
        <f>IF(ROUND(SUM(AJ$5:AJ96),2)&gt;=ROUND(AJ$129,2),0,INDEX('draws%'!$D$8:$AG$128,$C97+1,MATCH(AJ$4,'draws%'!$D$7:$AG$7,FALSE))*AJ$129)</f>
        <v>0</v>
      </c>
      <c r="AK97" s="181">
        <f>IF(ROUND(SUM(AK$5:AK96),2)&gt;=ROUND(AK$129,2),0,INDEX('draws%'!$D$8:$AG$128,$C97+1,MATCH(AK$4,'draws%'!$D$7:$AG$7,FALSE))*AK$129)</f>
        <v>0</v>
      </c>
      <c r="AL97" s="189">
        <f t="shared" si="2"/>
        <v>0</v>
      </c>
      <c r="AM97" s="194"/>
      <c r="AO97" s="171"/>
    </row>
    <row r="98" spans="1:41" s="192" customFormat="1" ht="16" hidden="1" outlineLevel="1">
      <c r="A98" s="185" t="str">
        <f>IF(MAX(C$5:C97)&gt;=general!$C$27,"post dev",IF(C98&lt;general!$C$23, "Pred", "Dev"))</f>
        <v>post dev</v>
      </c>
      <c r="B98" s="1398"/>
      <c r="C98" s="1388">
        <f>IF('Development Cash Flow'!D97&lt;general!$D$28,'Development Cash Flow'!C97+1,0)</f>
        <v>0</v>
      </c>
      <c r="D98" s="185">
        <f t="shared" si="0"/>
        <v>49064</v>
      </c>
      <c r="E98" s="186">
        <f>($C98&gt;=sales!$D$32)*($C98&lt;=sales!$F$32)*ResUnits/(sales!$E$32+1)</f>
        <v>0</v>
      </c>
      <c r="F98" s="181">
        <f>($C98&gt;=sales!$D$32)*($C98&lt;=sales!$F$32)*sales!$I$18/(sales!$E$32+1)</f>
        <v>0</v>
      </c>
      <c r="G98" s="181">
        <f>($C98&gt;=sales!$D$32)*($C98&lt;=sales!$F$32)*sales!$K$32/(sales!$E$32+1)</f>
        <v>0</v>
      </c>
      <c r="H98" s="187">
        <f>($C98&gt;=sales!$D$33)*($C98&lt;=sales!$F$33)*sales!$K$33/(sales!$E$33+1)</f>
        <v>0</v>
      </c>
      <c r="I98" s="181">
        <f>($C98&gt;=sales!$D$34)*($C98&lt;=sales!$F$34)*sales!$K$34/(sales!$E$34+1)</f>
        <v>0</v>
      </c>
      <c r="J98" s="181">
        <f>($C98&gt;=sales!$D$35)*($C98&lt;=sales!$F$35)*sales!$K$35/(sales!$E$35+1)</f>
        <v>0</v>
      </c>
      <c r="K98" s="189">
        <f>($C98&gt;=sales!$D$36)*($C98&lt;=sales!$F$36)*sales!$K$36*IFERROR(VLOOKUP(C98,sales!$C$50:$D$54,2,FALSE),0)</f>
        <v>0</v>
      </c>
      <c r="L98" s="1398"/>
      <c r="M98" s="1403">
        <f>+G98/$G$4*$M$4*sales!$J$32</f>
        <v>0</v>
      </c>
      <c r="N98" s="1398"/>
      <c r="O98" s="1464">
        <f>IF(ROUND(SUM(O$5:O97),2)&gt;=ROUND(O$129,2),0,INDEX('draws%'!$D$8:$AG$128,$C98+1,MATCH(O$4,'draws%'!$D$7:$AG$7,FALSE))*O$129)</f>
        <v>0</v>
      </c>
      <c r="P98" s="181">
        <f>IF(ROUND(SUM(P$5:P97),2)&gt;=ROUND(P$129,2),0,INDEX('draws%'!$D$8:$AG$128,$C98+1,MATCH(P$4,'draws%'!$D$7:$AG$7,FALSE))*P$129)</f>
        <v>0</v>
      </c>
      <c r="Q98" s="181">
        <f>IF(ROUND(SUM(Q$5:Q97),2)&gt;=ROUND(Q$129,2),0,INDEX('draws%'!$D$8:$AG$128,$C98+1,MATCH(Q$4,'draws%'!$D$7:$AG$7,FALSE))*Q$129)</f>
        <v>0</v>
      </c>
      <c r="R98" s="181">
        <f>IF(ROUND(SUM(R$5:R97),2)&gt;=ROUND(R$129,2),0,INDEX('draws%'!$D$8:$AG$128,$C98+1,MATCH(R$4,'draws%'!$D$7:$AG$7,FALSE))*R$129)</f>
        <v>0</v>
      </c>
      <c r="S98" s="181">
        <f>IF(ROUND(SUM(S$5:S97),2)&gt;=ROUND(S$129,2),0,INDEX('draws%'!$D$8:$AG$128,$C98+1,MATCH(S$4,'draws%'!$D$7:$AG$7,FALSE))*S$129)</f>
        <v>0</v>
      </c>
      <c r="T98" s="181">
        <f>IF(ROUND(SUM(T$5:T97),2)&gt;=ROUND(T$129,2),0,INDEX('draws%'!$D$8:$AG$128,$C98+1,MATCH(T$4,'draws%'!$D$7:$AG$7,FALSE))*T$129)</f>
        <v>0</v>
      </c>
      <c r="U98" s="181">
        <f>IF(ROUND(SUM(U$5:U97),2)&gt;=ROUND(U$129,2),0,INDEX('draws%'!$D$8:$AG$128,$C98+1,MATCH(U$4,'draws%'!$D$7:$AG$7,FALSE))*U$129)</f>
        <v>0</v>
      </c>
      <c r="V98" s="181">
        <f>IF(ROUND(SUM(V$5:V97),2)&gt;=ROUND(V$129,2),0,INDEX('draws%'!$D$8:$AG$128,$C98+1,MATCH(V$4,'draws%'!$D$7:$AG$7,FALSE))*V$129)</f>
        <v>0</v>
      </c>
      <c r="W98" s="181">
        <f>IF(ROUND(SUM(W$5:W97),2)&gt;=ROUND(W$129,2),0,INDEX('draws%'!$D$8:$AG$128,$C98+1,MATCH(W$4,'draws%'!$D$7:$AG$7,FALSE))*W$129)</f>
        <v>0</v>
      </c>
      <c r="X98" s="181">
        <f>IF(ROUND(SUM(X$5:X97),2)&gt;=ROUND(X$129,2),0,INDEX('draws%'!$D$8:$AG$128,$C98+1,MATCH(X$4,'draws%'!$D$7:$AG$7,FALSE))*X$129)</f>
        <v>0</v>
      </c>
      <c r="Y98" s="181">
        <f>IF(ROUND(SUM(Y$5:Y97),2)&gt;=ROUND(Y$129,2),0,INDEX('draws%'!$D$8:$AG$128,$C98+1,MATCH(Y$4,'draws%'!$D$7:$AG$7,FALSE))*Y$129)</f>
        <v>0</v>
      </c>
      <c r="Z98" s="181">
        <f>IF(ROUND(SUM(Z$5:Z97),2)&gt;=ROUND(Z$129,2),0,INDEX('draws%'!$D$8:$AG$128,$C98+1,MATCH(Z$4,'draws%'!$D$7:$AG$7,FALSE))*Z$129)</f>
        <v>0</v>
      </c>
      <c r="AA98" s="181">
        <f>IF(ROUND(SUM(AA$5:AA97),2)&gt;=ROUND(AA$129,2),0,INDEX('draws%'!$D$8:$AG$128,$C98+1,MATCH(AA$4,'draws%'!$D$7:$AG$7,FALSE))*AA$129)</f>
        <v>0</v>
      </c>
      <c r="AB98" s="181">
        <f>IF(ROUND(SUM(AB$5:AB97),2)&gt;=ROUND(AB$129,2),0,INDEX('draws%'!$D$8:$AG$128,$C98+1,MATCH(AB$4,'draws%'!$D$7:$AG$7,FALSE))*AB$129)</f>
        <v>0</v>
      </c>
      <c r="AC98" s="181">
        <f>($C98&gt;=sales!$D$32)*($C98&lt;=sales!$F$32)*sales!$J$41/(sales!$E$32+1)+($C98&gt;=sales!$D$33)*($C98&lt;=sales!$F$33)*sales!$J$42/(sales!$E$33+1)+($C98&gt;=sales!$D$34)*($C98&lt;=sales!$F$34)*sales!$J$43/(sales!$E$34+1)+($C98&gt;=sales!$D$35)*($C98&lt;=sales!$F$35)*sales!$J$44/(sales!$E$35+1)+($C98&gt;=sales!$D$36)*($C98&lt;=sales!$F$36)*sales!$J$45/(sales!$E$36+1)</f>
        <v>0</v>
      </c>
      <c r="AD98" s="181">
        <f>IF(ROUND(SUM(AD$5:AD97),2)&gt;=ROUND(AD$129,2),0,INDEX('draws%'!$D$8:$AG$128,$C98+1,MATCH(AD$4,'draws%'!$D$7:$AG$7,FALSE))*AD$129)</f>
        <v>0</v>
      </c>
      <c r="AE98" s="181">
        <f>IF(ROUND(SUM(AE$5:AE97),2)&gt;=ROUND(AE$129,2),0,INDEX('draws%'!$D$8:$AG$128,$C98+1,MATCH(AE$4,'draws%'!$D$7:$AG$7,FALSE))*AE$129)</f>
        <v>0</v>
      </c>
      <c r="AF98" s="188">
        <f>($C98&gt;=sales!$D$32)*($C98&lt;=sales!$F$32)*sales!$D$41/(sales!$E$32+1)+($C98&gt;=sales!$D$33)*($C98&lt;=sales!$F$33)*sales!$D$42/(sales!$E$33+1)+($C98&gt;=sales!$D$34)*($C98&lt;=sales!$F$34)*sales!$D$43/(sales!$E$34+1)+($C98&gt;=sales!$D$35)*($C98&lt;=sales!$F$35)*sales!$D$44/(sales!$E$35+1)+($C98&gt;=sales!$D$36)*($C98&lt;=sales!$F$36)*sales!$D$45/(sales!$E$36+1)</f>
        <v>0</v>
      </c>
      <c r="AG98" s="188">
        <f>($C98&gt;=sales!$D$32)*($C98&lt;=sales!$F$32)*sales!$F$41/(sales!$E$32+1)+($C98&gt;=sales!$D$33)*($C98&lt;=sales!$F$33)*sales!$F$42/(sales!$E$33+1)+($C98&gt;=sales!$D$34)*($C98&lt;=sales!$F$34)*sales!$F$43/(sales!$E$34+1)+($C98&gt;=sales!$D$35)*($C98&lt;=sales!$F$35)*sales!$F$44/(sales!$E$35+1)+($C98&gt;=sales!$D$36)*($C98&lt;=sales!$F$36)*sales!$F$45/(sales!$E$36+1)</f>
        <v>0</v>
      </c>
      <c r="AH98" s="181">
        <f>IF(ROUND(SUM(AH$5:AH97),2)&gt;=ROUND(AH$129,2),0,INDEX('draws%'!$D$8:$AG$128,$C98+1,MATCH(AH$4,'draws%'!$D$7:$AG$7,FALSE))*AH$129)</f>
        <v>0</v>
      </c>
      <c r="AI98" s="181">
        <f>IF(ROUND(SUM(AI$5:AI97),2)&gt;=ROUND(AI$129,2),0,INDEX('draws%'!$D$8:$AG$128,$C98+1,MATCH(AI$4,'draws%'!$D$7:$AG$7,FALSE))*AI$129)</f>
        <v>0</v>
      </c>
      <c r="AJ98" s="181">
        <f>IF(ROUND(SUM(AJ$5:AJ97),2)&gt;=ROUND(AJ$129,2),0,INDEX('draws%'!$D$8:$AG$128,$C98+1,MATCH(AJ$4,'draws%'!$D$7:$AG$7,FALSE))*AJ$129)</f>
        <v>0</v>
      </c>
      <c r="AK98" s="181">
        <f>IF(ROUND(SUM(AK$5:AK97),2)&gt;=ROUND(AK$129,2),0,INDEX('draws%'!$D$8:$AG$128,$C98+1,MATCH(AK$4,'draws%'!$D$7:$AG$7,FALSE))*AK$129)</f>
        <v>0</v>
      </c>
      <c r="AL98" s="189">
        <f t="shared" si="2"/>
        <v>0</v>
      </c>
      <c r="AM98" s="194"/>
      <c r="AO98" s="171"/>
    </row>
    <row r="99" spans="1:41" s="192" customFormat="1" ht="16" hidden="1" outlineLevel="1">
      <c r="A99" s="185" t="str">
        <f>IF(MAX(C$5:C98)&gt;=general!$C$27,"post dev",IF(C99&lt;general!$C$23, "Pred", "Dev"))</f>
        <v>post dev</v>
      </c>
      <c r="B99" s="1398"/>
      <c r="C99" s="1388">
        <f>IF('Development Cash Flow'!D98&lt;general!$D$28,'Development Cash Flow'!C98+1,0)</f>
        <v>0</v>
      </c>
      <c r="D99" s="185">
        <f t="shared" si="0"/>
        <v>49095</v>
      </c>
      <c r="E99" s="186">
        <f>($C99&gt;=sales!$D$32)*($C99&lt;=sales!$F$32)*ResUnits/(sales!$E$32+1)</f>
        <v>0</v>
      </c>
      <c r="F99" s="181">
        <f>($C99&gt;=sales!$D$32)*($C99&lt;=sales!$F$32)*sales!$I$18/(sales!$E$32+1)</f>
        <v>0</v>
      </c>
      <c r="G99" s="181">
        <f>($C99&gt;=sales!$D$32)*($C99&lt;=sales!$F$32)*sales!$K$32/(sales!$E$32+1)</f>
        <v>0</v>
      </c>
      <c r="H99" s="187">
        <f>($C99&gt;=sales!$D$33)*($C99&lt;=sales!$F$33)*sales!$K$33/(sales!$E$33+1)</f>
        <v>0</v>
      </c>
      <c r="I99" s="181">
        <f>($C99&gt;=sales!$D$34)*($C99&lt;=sales!$F$34)*sales!$K$34/(sales!$E$34+1)</f>
        <v>0</v>
      </c>
      <c r="J99" s="181">
        <f>($C99&gt;=sales!$D$35)*($C99&lt;=sales!$F$35)*sales!$K$35/(sales!$E$35+1)</f>
        <v>0</v>
      </c>
      <c r="K99" s="189">
        <f>($C99&gt;=sales!$D$36)*($C99&lt;=sales!$F$36)*sales!$K$36*IFERROR(VLOOKUP(C99,sales!$C$50:$D$54,2,FALSE),0)</f>
        <v>0</v>
      </c>
      <c r="L99" s="1398"/>
      <c r="M99" s="1403">
        <f>+G99/$G$4*$M$4*sales!$J$32</f>
        <v>0</v>
      </c>
      <c r="N99" s="1398"/>
      <c r="O99" s="1464">
        <f>IF(ROUND(SUM(O$5:O98),2)&gt;=ROUND(O$129,2),0,INDEX('draws%'!$D$8:$AG$128,$C99+1,MATCH(O$4,'draws%'!$D$7:$AG$7,FALSE))*O$129)</f>
        <v>0</v>
      </c>
      <c r="P99" s="181">
        <f>IF(ROUND(SUM(P$5:P98),2)&gt;=ROUND(P$129,2),0,INDEX('draws%'!$D$8:$AG$128,$C99+1,MATCH(P$4,'draws%'!$D$7:$AG$7,FALSE))*P$129)</f>
        <v>0</v>
      </c>
      <c r="Q99" s="181">
        <f>IF(ROUND(SUM(Q$5:Q98),2)&gt;=ROUND(Q$129,2),0,INDEX('draws%'!$D$8:$AG$128,$C99+1,MATCH(Q$4,'draws%'!$D$7:$AG$7,FALSE))*Q$129)</f>
        <v>0</v>
      </c>
      <c r="R99" s="181">
        <f>IF(ROUND(SUM(R$5:R98),2)&gt;=ROUND(R$129,2),0,INDEX('draws%'!$D$8:$AG$128,$C99+1,MATCH(R$4,'draws%'!$D$7:$AG$7,FALSE))*R$129)</f>
        <v>0</v>
      </c>
      <c r="S99" s="181">
        <f>IF(ROUND(SUM(S$5:S98),2)&gt;=ROUND(S$129,2),0,INDEX('draws%'!$D$8:$AG$128,$C99+1,MATCH(S$4,'draws%'!$D$7:$AG$7,FALSE))*S$129)</f>
        <v>0</v>
      </c>
      <c r="T99" s="181">
        <f>IF(ROUND(SUM(T$5:T98),2)&gt;=ROUND(T$129,2),0,INDEX('draws%'!$D$8:$AG$128,$C99+1,MATCH(T$4,'draws%'!$D$7:$AG$7,FALSE))*T$129)</f>
        <v>0</v>
      </c>
      <c r="U99" s="181">
        <f>IF(ROUND(SUM(U$5:U98),2)&gt;=ROUND(U$129,2),0,INDEX('draws%'!$D$8:$AG$128,$C99+1,MATCH(U$4,'draws%'!$D$7:$AG$7,FALSE))*U$129)</f>
        <v>0</v>
      </c>
      <c r="V99" s="181">
        <f>IF(ROUND(SUM(V$5:V98),2)&gt;=ROUND(V$129,2),0,INDEX('draws%'!$D$8:$AG$128,$C99+1,MATCH(V$4,'draws%'!$D$7:$AG$7,FALSE))*V$129)</f>
        <v>0</v>
      </c>
      <c r="W99" s="181">
        <f>IF(ROUND(SUM(W$5:W98),2)&gt;=ROUND(W$129,2),0,INDEX('draws%'!$D$8:$AG$128,$C99+1,MATCH(W$4,'draws%'!$D$7:$AG$7,FALSE))*W$129)</f>
        <v>0</v>
      </c>
      <c r="X99" s="181">
        <f>IF(ROUND(SUM(X$5:X98),2)&gt;=ROUND(X$129,2),0,INDEX('draws%'!$D$8:$AG$128,$C99+1,MATCH(X$4,'draws%'!$D$7:$AG$7,FALSE))*X$129)</f>
        <v>0</v>
      </c>
      <c r="Y99" s="181">
        <f>IF(ROUND(SUM(Y$5:Y98),2)&gt;=ROUND(Y$129,2),0,INDEX('draws%'!$D$8:$AG$128,$C99+1,MATCH(Y$4,'draws%'!$D$7:$AG$7,FALSE))*Y$129)</f>
        <v>0</v>
      </c>
      <c r="Z99" s="181">
        <f>IF(ROUND(SUM(Z$5:Z98),2)&gt;=ROUND(Z$129,2),0,INDEX('draws%'!$D$8:$AG$128,$C99+1,MATCH(Z$4,'draws%'!$D$7:$AG$7,FALSE))*Z$129)</f>
        <v>0</v>
      </c>
      <c r="AA99" s="181">
        <f>IF(ROUND(SUM(AA$5:AA98),2)&gt;=ROUND(AA$129,2),0,INDEX('draws%'!$D$8:$AG$128,$C99+1,MATCH(AA$4,'draws%'!$D$7:$AG$7,FALSE))*AA$129)</f>
        <v>0</v>
      </c>
      <c r="AB99" s="181">
        <f>IF(ROUND(SUM(AB$5:AB98),2)&gt;=ROUND(AB$129,2),0,INDEX('draws%'!$D$8:$AG$128,$C99+1,MATCH(AB$4,'draws%'!$D$7:$AG$7,FALSE))*AB$129)</f>
        <v>0</v>
      </c>
      <c r="AC99" s="181">
        <f>($C99&gt;=sales!$D$32)*($C99&lt;=sales!$F$32)*sales!$J$41/(sales!$E$32+1)+($C99&gt;=sales!$D$33)*($C99&lt;=sales!$F$33)*sales!$J$42/(sales!$E$33+1)+($C99&gt;=sales!$D$34)*($C99&lt;=sales!$F$34)*sales!$J$43/(sales!$E$34+1)+($C99&gt;=sales!$D$35)*($C99&lt;=sales!$F$35)*sales!$J$44/(sales!$E$35+1)+($C99&gt;=sales!$D$36)*($C99&lt;=sales!$F$36)*sales!$J$45/(sales!$E$36+1)</f>
        <v>0</v>
      </c>
      <c r="AD99" s="181">
        <f>IF(ROUND(SUM(AD$5:AD98),2)&gt;=ROUND(AD$129,2),0,INDEX('draws%'!$D$8:$AG$128,$C99+1,MATCH(AD$4,'draws%'!$D$7:$AG$7,FALSE))*AD$129)</f>
        <v>0</v>
      </c>
      <c r="AE99" s="181">
        <f>IF(ROUND(SUM(AE$5:AE98),2)&gt;=ROUND(AE$129,2),0,INDEX('draws%'!$D$8:$AG$128,$C99+1,MATCH(AE$4,'draws%'!$D$7:$AG$7,FALSE))*AE$129)</f>
        <v>0</v>
      </c>
      <c r="AF99" s="188">
        <f>($C99&gt;=sales!$D$32)*($C99&lt;=sales!$F$32)*sales!$D$41/(sales!$E$32+1)+($C99&gt;=sales!$D$33)*($C99&lt;=sales!$F$33)*sales!$D$42/(sales!$E$33+1)+($C99&gt;=sales!$D$34)*($C99&lt;=sales!$F$34)*sales!$D$43/(sales!$E$34+1)+($C99&gt;=sales!$D$35)*($C99&lt;=sales!$F$35)*sales!$D$44/(sales!$E$35+1)+($C99&gt;=sales!$D$36)*($C99&lt;=sales!$F$36)*sales!$D$45/(sales!$E$36+1)</f>
        <v>0</v>
      </c>
      <c r="AG99" s="188">
        <f>($C99&gt;=sales!$D$32)*($C99&lt;=sales!$F$32)*sales!$F$41/(sales!$E$32+1)+($C99&gt;=sales!$D$33)*($C99&lt;=sales!$F$33)*sales!$F$42/(sales!$E$33+1)+($C99&gt;=sales!$D$34)*($C99&lt;=sales!$F$34)*sales!$F$43/(sales!$E$34+1)+($C99&gt;=sales!$D$35)*($C99&lt;=sales!$F$35)*sales!$F$44/(sales!$E$35+1)+($C99&gt;=sales!$D$36)*($C99&lt;=sales!$F$36)*sales!$F$45/(sales!$E$36+1)</f>
        <v>0</v>
      </c>
      <c r="AH99" s="181">
        <f>IF(ROUND(SUM(AH$5:AH98),2)&gt;=ROUND(AH$129,2),0,INDEX('draws%'!$D$8:$AG$128,$C99+1,MATCH(AH$4,'draws%'!$D$7:$AG$7,FALSE))*AH$129)</f>
        <v>0</v>
      </c>
      <c r="AI99" s="181">
        <f>IF(ROUND(SUM(AI$5:AI98),2)&gt;=ROUND(AI$129,2),0,INDEX('draws%'!$D$8:$AG$128,$C99+1,MATCH(AI$4,'draws%'!$D$7:$AG$7,FALSE))*AI$129)</f>
        <v>0</v>
      </c>
      <c r="AJ99" s="181">
        <f>IF(ROUND(SUM(AJ$5:AJ98),2)&gt;=ROUND(AJ$129,2),0,INDEX('draws%'!$D$8:$AG$128,$C99+1,MATCH(AJ$4,'draws%'!$D$7:$AG$7,FALSE))*AJ$129)</f>
        <v>0</v>
      </c>
      <c r="AK99" s="181">
        <f>IF(ROUND(SUM(AK$5:AK98),2)&gt;=ROUND(AK$129,2),0,INDEX('draws%'!$D$8:$AG$128,$C99+1,MATCH(AK$4,'draws%'!$D$7:$AG$7,FALSE))*AK$129)</f>
        <v>0</v>
      </c>
      <c r="AL99" s="189">
        <f t="shared" si="2"/>
        <v>0</v>
      </c>
      <c r="AM99" s="194"/>
      <c r="AO99" s="171"/>
    </row>
    <row r="100" spans="1:41" s="192" customFormat="1" ht="16" hidden="1" outlineLevel="1">
      <c r="A100" s="185" t="str">
        <f>IF(MAX(C$5:C99)&gt;=general!$C$27,"post dev",IF(C100&lt;general!$C$23, "Pred", "Dev"))</f>
        <v>post dev</v>
      </c>
      <c r="B100" s="1398"/>
      <c r="C100" s="1388">
        <f>IF('Development Cash Flow'!D99&lt;general!$D$28,'Development Cash Flow'!C99+1,0)</f>
        <v>0</v>
      </c>
      <c r="D100" s="185">
        <f t="shared" si="0"/>
        <v>49125</v>
      </c>
      <c r="E100" s="186">
        <f>($C100&gt;=sales!$D$32)*($C100&lt;=sales!$F$32)*ResUnits/(sales!$E$32+1)</f>
        <v>0</v>
      </c>
      <c r="F100" s="181">
        <f>($C100&gt;=sales!$D$32)*($C100&lt;=sales!$F$32)*sales!$I$18/(sales!$E$32+1)</f>
        <v>0</v>
      </c>
      <c r="G100" s="181">
        <f>($C100&gt;=sales!$D$32)*($C100&lt;=sales!$F$32)*sales!$K$32/(sales!$E$32+1)</f>
        <v>0</v>
      </c>
      <c r="H100" s="187">
        <f>($C100&gt;=sales!$D$33)*($C100&lt;=sales!$F$33)*sales!$K$33/(sales!$E$33+1)</f>
        <v>0</v>
      </c>
      <c r="I100" s="181">
        <f>($C100&gt;=sales!$D$34)*($C100&lt;=sales!$F$34)*sales!$K$34/(sales!$E$34+1)</f>
        <v>0</v>
      </c>
      <c r="J100" s="181">
        <f>($C100&gt;=sales!$D$35)*($C100&lt;=sales!$F$35)*sales!$K$35/(sales!$E$35+1)</f>
        <v>0</v>
      </c>
      <c r="K100" s="189">
        <f>($C100&gt;=sales!$D$36)*($C100&lt;=sales!$F$36)*sales!$K$36*IFERROR(VLOOKUP(C100,sales!$C$50:$D$54,2,FALSE),0)</f>
        <v>0</v>
      </c>
      <c r="L100" s="1398"/>
      <c r="M100" s="1403">
        <f>+G100/$G$4*$M$4*sales!$J$32</f>
        <v>0</v>
      </c>
      <c r="N100" s="1398"/>
      <c r="O100" s="1464">
        <f>IF(ROUND(SUM(O$5:O99),2)&gt;=ROUND(O$129,2),0,INDEX('draws%'!$D$8:$AG$128,$C100+1,MATCH(O$4,'draws%'!$D$7:$AG$7,FALSE))*O$129)</f>
        <v>0</v>
      </c>
      <c r="P100" s="181">
        <f>IF(ROUND(SUM(P$5:P99),2)&gt;=ROUND(P$129,2),0,INDEX('draws%'!$D$8:$AG$128,$C100+1,MATCH(P$4,'draws%'!$D$7:$AG$7,FALSE))*P$129)</f>
        <v>0</v>
      </c>
      <c r="Q100" s="181">
        <f>IF(ROUND(SUM(Q$5:Q99),2)&gt;=ROUND(Q$129,2),0,INDEX('draws%'!$D$8:$AG$128,$C100+1,MATCH(Q$4,'draws%'!$D$7:$AG$7,FALSE))*Q$129)</f>
        <v>0</v>
      </c>
      <c r="R100" s="181">
        <f>IF(ROUND(SUM(R$5:R99),2)&gt;=ROUND(R$129,2),0,INDEX('draws%'!$D$8:$AG$128,$C100+1,MATCH(R$4,'draws%'!$D$7:$AG$7,FALSE))*R$129)</f>
        <v>0</v>
      </c>
      <c r="S100" s="181">
        <f>IF(ROUND(SUM(S$5:S99),2)&gt;=ROUND(S$129,2),0,INDEX('draws%'!$D$8:$AG$128,$C100+1,MATCH(S$4,'draws%'!$D$7:$AG$7,FALSE))*S$129)</f>
        <v>0</v>
      </c>
      <c r="T100" s="181">
        <f>IF(ROUND(SUM(T$5:T99),2)&gt;=ROUND(T$129,2),0,INDEX('draws%'!$D$8:$AG$128,$C100+1,MATCH(T$4,'draws%'!$D$7:$AG$7,FALSE))*T$129)</f>
        <v>0</v>
      </c>
      <c r="U100" s="181">
        <f>IF(ROUND(SUM(U$5:U99),2)&gt;=ROUND(U$129,2),0,INDEX('draws%'!$D$8:$AG$128,$C100+1,MATCH(U$4,'draws%'!$D$7:$AG$7,FALSE))*U$129)</f>
        <v>0</v>
      </c>
      <c r="V100" s="181">
        <f>IF(ROUND(SUM(V$5:V99),2)&gt;=ROUND(V$129,2),0,INDEX('draws%'!$D$8:$AG$128,$C100+1,MATCH(V$4,'draws%'!$D$7:$AG$7,FALSE))*V$129)</f>
        <v>0</v>
      </c>
      <c r="W100" s="181">
        <f>IF(ROUND(SUM(W$5:W99),2)&gt;=ROUND(W$129,2),0,INDEX('draws%'!$D$8:$AG$128,$C100+1,MATCH(W$4,'draws%'!$D$7:$AG$7,FALSE))*W$129)</f>
        <v>0</v>
      </c>
      <c r="X100" s="181">
        <f>IF(ROUND(SUM(X$5:X99),2)&gt;=ROUND(X$129,2),0,INDEX('draws%'!$D$8:$AG$128,$C100+1,MATCH(X$4,'draws%'!$D$7:$AG$7,FALSE))*X$129)</f>
        <v>0</v>
      </c>
      <c r="Y100" s="181">
        <f>IF(ROUND(SUM(Y$5:Y99),2)&gt;=ROUND(Y$129,2),0,INDEX('draws%'!$D$8:$AG$128,$C100+1,MATCH(Y$4,'draws%'!$D$7:$AG$7,FALSE))*Y$129)</f>
        <v>0</v>
      </c>
      <c r="Z100" s="181">
        <f>IF(ROUND(SUM(Z$5:Z99),2)&gt;=ROUND(Z$129,2),0,INDEX('draws%'!$D$8:$AG$128,$C100+1,MATCH(Z$4,'draws%'!$D$7:$AG$7,FALSE))*Z$129)</f>
        <v>0</v>
      </c>
      <c r="AA100" s="181">
        <f>IF(ROUND(SUM(AA$5:AA99),2)&gt;=ROUND(AA$129,2),0,INDEX('draws%'!$D$8:$AG$128,$C100+1,MATCH(AA$4,'draws%'!$D$7:$AG$7,FALSE))*AA$129)</f>
        <v>0</v>
      </c>
      <c r="AB100" s="181">
        <f>IF(ROUND(SUM(AB$5:AB99),2)&gt;=ROUND(AB$129,2),0,INDEX('draws%'!$D$8:$AG$128,$C100+1,MATCH(AB$4,'draws%'!$D$7:$AG$7,FALSE))*AB$129)</f>
        <v>0</v>
      </c>
      <c r="AC100" s="181">
        <f>($C100&gt;=sales!$D$32)*($C100&lt;=sales!$F$32)*sales!$J$41/(sales!$E$32+1)+($C100&gt;=sales!$D$33)*($C100&lt;=sales!$F$33)*sales!$J$42/(sales!$E$33+1)+($C100&gt;=sales!$D$34)*($C100&lt;=sales!$F$34)*sales!$J$43/(sales!$E$34+1)+($C100&gt;=sales!$D$35)*($C100&lt;=sales!$F$35)*sales!$J$44/(sales!$E$35+1)+($C100&gt;=sales!$D$36)*($C100&lt;=sales!$F$36)*sales!$J$45/(sales!$E$36+1)</f>
        <v>0</v>
      </c>
      <c r="AD100" s="181">
        <f>IF(ROUND(SUM(AD$5:AD99),2)&gt;=ROUND(AD$129,2),0,INDEX('draws%'!$D$8:$AG$128,$C100+1,MATCH(AD$4,'draws%'!$D$7:$AG$7,FALSE))*AD$129)</f>
        <v>0</v>
      </c>
      <c r="AE100" s="181">
        <f>IF(ROUND(SUM(AE$5:AE99),2)&gt;=ROUND(AE$129,2),0,INDEX('draws%'!$D$8:$AG$128,$C100+1,MATCH(AE$4,'draws%'!$D$7:$AG$7,FALSE))*AE$129)</f>
        <v>0</v>
      </c>
      <c r="AF100" s="188">
        <f>($C100&gt;=sales!$D$32)*($C100&lt;=sales!$F$32)*sales!$D$41/(sales!$E$32+1)+($C100&gt;=sales!$D$33)*($C100&lt;=sales!$F$33)*sales!$D$42/(sales!$E$33+1)+($C100&gt;=sales!$D$34)*($C100&lt;=sales!$F$34)*sales!$D$43/(sales!$E$34+1)+($C100&gt;=sales!$D$35)*($C100&lt;=sales!$F$35)*sales!$D$44/(sales!$E$35+1)+($C100&gt;=sales!$D$36)*($C100&lt;=sales!$F$36)*sales!$D$45/(sales!$E$36+1)</f>
        <v>0</v>
      </c>
      <c r="AG100" s="188">
        <f>($C100&gt;=sales!$D$32)*($C100&lt;=sales!$F$32)*sales!$F$41/(sales!$E$32+1)+($C100&gt;=sales!$D$33)*($C100&lt;=sales!$F$33)*sales!$F$42/(sales!$E$33+1)+($C100&gt;=sales!$D$34)*($C100&lt;=sales!$F$34)*sales!$F$43/(sales!$E$34+1)+($C100&gt;=sales!$D$35)*($C100&lt;=sales!$F$35)*sales!$F$44/(sales!$E$35+1)+($C100&gt;=sales!$D$36)*($C100&lt;=sales!$F$36)*sales!$F$45/(sales!$E$36+1)</f>
        <v>0</v>
      </c>
      <c r="AH100" s="181">
        <f>IF(ROUND(SUM(AH$5:AH99),2)&gt;=ROUND(AH$129,2),0,INDEX('draws%'!$D$8:$AG$128,$C100+1,MATCH(AH$4,'draws%'!$D$7:$AG$7,FALSE))*AH$129)</f>
        <v>0</v>
      </c>
      <c r="AI100" s="181">
        <f>IF(ROUND(SUM(AI$5:AI99),2)&gt;=ROUND(AI$129,2),0,INDEX('draws%'!$D$8:$AG$128,$C100+1,MATCH(AI$4,'draws%'!$D$7:$AG$7,FALSE))*AI$129)</f>
        <v>0</v>
      </c>
      <c r="AJ100" s="181">
        <f>IF(ROUND(SUM(AJ$5:AJ99),2)&gt;=ROUND(AJ$129,2),0,INDEX('draws%'!$D$8:$AG$128,$C100+1,MATCH(AJ$4,'draws%'!$D$7:$AG$7,FALSE))*AJ$129)</f>
        <v>0</v>
      </c>
      <c r="AK100" s="181">
        <f>IF(ROUND(SUM(AK$5:AK99),2)&gt;=ROUND(AK$129,2),0,INDEX('draws%'!$D$8:$AG$128,$C100+1,MATCH(AK$4,'draws%'!$D$7:$AG$7,FALSE))*AK$129)</f>
        <v>0</v>
      </c>
      <c r="AL100" s="189">
        <f t="shared" si="2"/>
        <v>0</v>
      </c>
      <c r="AM100" s="194"/>
      <c r="AO100" s="171"/>
    </row>
    <row r="101" spans="1:41" s="168" customFormat="1" ht="16" hidden="1" outlineLevel="1">
      <c r="A101" s="185" t="str">
        <f>IF(MAX(C$5:C100)&gt;=general!$C$27,"post dev",IF(C101&lt;general!$C$23, "Pred", "Dev"))</f>
        <v>post dev</v>
      </c>
      <c r="B101" s="1398"/>
      <c r="C101" s="1388">
        <f>IF('Development Cash Flow'!D100&lt;general!$D$28,'Development Cash Flow'!C100+1,0)</f>
        <v>0</v>
      </c>
      <c r="D101" s="185">
        <f t="shared" si="0"/>
        <v>49156</v>
      </c>
      <c r="E101" s="186">
        <f>($C101&gt;=sales!$D$32)*($C101&lt;=sales!$F$32)*ResUnits/(sales!$E$32+1)</f>
        <v>0</v>
      </c>
      <c r="F101" s="181">
        <f>($C101&gt;=sales!$D$32)*($C101&lt;=sales!$F$32)*sales!$I$18/(sales!$E$32+1)</f>
        <v>0</v>
      </c>
      <c r="G101" s="181">
        <f>($C101&gt;=sales!$D$32)*($C101&lt;=sales!$F$32)*sales!$K$32/(sales!$E$32+1)</f>
        <v>0</v>
      </c>
      <c r="H101" s="187">
        <f>($C101&gt;=sales!$D$33)*($C101&lt;=sales!$F$33)*sales!$K$33/(sales!$E$33+1)</f>
        <v>0</v>
      </c>
      <c r="I101" s="181">
        <f>($C101&gt;=sales!$D$34)*($C101&lt;=sales!$F$34)*sales!$K$34/(sales!$E$34+1)</f>
        <v>0</v>
      </c>
      <c r="J101" s="181">
        <f>($C101&gt;=sales!$D$35)*($C101&lt;=sales!$F$35)*sales!$K$35/(sales!$E$35+1)</f>
        <v>0</v>
      </c>
      <c r="K101" s="189">
        <f>($C101&gt;=sales!$D$36)*($C101&lt;=sales!$F$36)*sales!$K$36*IFERROR(VLOOKUP(C101,sales!$C$50:$D$54,2,FALSE),0)</f>
        <v>0</v>
      </c>
      <c r="L101" s="1398"/>
      <c r="M101" s="1403">
        <f>+G101/$G$4*$M$4*sales!$J$32</f>
        <v>0</v>
      </c>
      <c r="N101" s="1398"/>
      <c r="O101" s="1464">
        <f>IF(ROUND(SUM(O$5:O100),2)&gt;=ROUND(O$129,2),0,INDEX('draws%'!$D$8:$AG$128,$C101+1,MATCH(O$4,'draws%'!$D$7:$AG$7,FALSE))*O$129)</f>
        <v>0</v>
      </c>
      <c r="P101" s="181">
        <f>IF(ROUND(SUM(P$5:P100),2)&gt;=ROUND(P$129,2),0,INDEX('draws%'!$D$8:$AG$128,$C101+1,MATCH(P$4,'draws%'!$D$7:$AG$7,FALSE))*P$129)</f>
        <v>0</v>
      </c>
      <c r="Q101" s="181">
        <f>IF(ROUND(SUM(Q$5:Q100),2)&gt;=ROUND(Q$129,2),0,INDEX('draws%'!$D$8:$AG$128,$C101+1,MATCH(Q$4,'draws%'!$D$7:$AG$7,FALSE))*Q$129)</f>
        <v>0</v>
      </c>
      <c r="R101" s="181">
        <f>IF(ROUND(SUM(R$5:R100),2)&gt;=ROUND(R$129,2),0,INDEX('draws%'!$D$8:$AG$128,$C101+1,MATCH(R$4,'draws%'!$D$7:$AG$7,FALSE))*R$129)</f>
        <v>0</v>
      </c>
      <c r="S101" s="181">
        <f>IF(ROUND(SUM(S$5:S100),2)&gt;=ROUND(S$129,2),0,INDEX('draws%'!$D$8:$AG$128,$C101+1,MATCH(S$4,'draws%'!$D$7:$AG$7,FALSE))*S$129)</f>
        <v>0</v>
      </c>
      <c r="T101" s="181">
        <f>IF(ROUND(SUM(T$5:T100),2)&gt;=ROUND(T$129,2),0,INDEX('draws%'!$D$8:$AG$128,$C101+1,MATCH(T$4,'draws%'!$D$7:$AG$7,FALSE))*T$129)</f>
        <v>0</v>
      </c>
      <c r="U101" s="181">
        <f>IF(ROUND(SUM(U$5:U100),2)&gt;=ROUND(U$129,2),0,INDEX('draws%'!$D$8:$AG$128,$C101+1,MATCH(U$4,'draws%'!$D$7:$AG$7,FALSE))*U$129)</f>
        <v>0</v>
      </c>
      <c r="V101" s="181">
        <f>IF(ROUND(SUM(V$5:V100),2)&gt;=ROUND(V$129,2),0,INDEX('draws%'!$D$8:$AG$128,$C101+1,MATCH(V$4,'draws%'!$D$7:$AG$7,FALSE))*V$129)</f>
        <v>0</v>
      </c>
      <c r="W101" s="181">
        <f>IF(ROUND(SUM(W$5:W100),2)&gt;=ROUND(W$129,2),0,INDEX('draws%'!$D$8:$AG$128,$C101+1,MATCH(W$4,'draws%'!$D$7:$AG$7,FALSE))*W$129)</f>
        <v>0</v>
      </c>
      <c r="X101" s="181">
        <f>IF(ROUND(SUM(X$5:X100),2)&gt;=ROUND(X$129,2),0,INDEX('draws%'!$D$8:$AG$128,$C101+1,MATCH(X$4,'draws%'!$D$7:$AG$7,FALSE))*X$129)</f>
        <v>0</v>
      </c>
      <c r="Y101" s="181">
        <f>IF(ROUND(SUM(Y$5:Y100),2)&gt;=ROUND(Y$129,2),0,INDEX('draws%'!$D$8:$AG$128,$C101+1,MATCH(Y$4,'draws%'!$D$7:$AG$7,FALSE))*Y$129)</f>
        <v>0</v>
      </c>
      <c r="Z101" s="181">
        <f>IF(ROUND(SUM(Z$5:Z100),2)&gt;=ROUND(Z$129,2),0,INDEX('draws%'!$D$8:$AG$128,$C101+1,MATCH(Z$4,'draws%'!$D$7:$AG$7,FALSE))*Z$129)</f>
        <v>0</v>
      </c>
      <c r="AA101" s="181">
        <f>IF(ROUND(SUM(AA$5:AA100),2)&gt;=ROUND(AA$129,2),0,INDEX('draws%'!$D$8:$AG$128,$C101+1,MATCH(AA$4,'draws%'!$D$7:$AG$7,FALSE))*AA$129)</f>
        <v>0</v>
      </c>
      <c r="AB101" s="181">
        <f>IF(ROUND(SUM(AB$5:AB100),2)&gt;=ROUND(AB$129,2),0,INDEX('draws%'!$D$8:$AG$128,$C101+1,MATCH(AB$4,'draws%'!$D$7:$AG$7,FALSE))*AB$129)</f>
        <v>0</v>
      </c>
      <c r="AC101" s="181">
        <f>($C101&gt;=sales!$D$32)*($C101&lt;=sales!$F$32)*sales!$J$41/(sales!$E$32+1)+($C101&gt;=sales!$D$33)*($C101&lt;=sales!$F$33)*sales!$J$42/(sales!$E$33+1)+($C101&gt;=sales!$D$34)*($C101&lt;=sales!$F$34)*sales!$J$43/(sales!$E$34+1)+($C101&gt;=sales!$D$35)*($C101&lt;=sales!$F$35)*sales!$J$44/(sales!$E$35+1)+($C101&gt;=sales!$D$36)*($C101&lt;=sales!$F$36)*sales!$J$45/(sales!$E$36+1)</f>
        <v>0</v>
      </c>
      <c r="AD101" s="181">
        <f>IF(ROUND(SUM(AD$5:AD100),2)&gt;=ROUND(AD$129,2),0,INDEX('draws%'!$D$8:$AG$128,$C101+1,MATCH(AD$4,'draws%'!$D$7:$AG$7,FALSE))*AD$129)</f>
        <v>0</v>
      </c>
      <c r="AE101" s="181">
        <f>IF(ROUND(SUM(AE$5:AE100),2)&gt;=ROUND(AE$129,2),0,INDEX('draws%'!$D$8:$AG$128,$C101+1,MATCH(AE$4,'draws%'!$D$7:$AG$7,FALSE))*AE$129)</f>
        <v>0</v>
      </c>
      <c r="AF101" s="188">
        <f>($C101&gt;=sales!$D$32)*($C101&lt;=sales!$F$32)*sales!$D$41/(sales!$E$32+1)+($C101&gt;=sales!$D$33)*($C101&lt;=sales!$F$33)*sales!$D$42/(sales!$E$33+1)+($C101&gt;=sales!$D$34)*($C101&lt;=sales!$F$34)*sales!$D$43/(sales!$E$34+1)+($C101&gt;=sales!$D$35)*($C101&lt;=sales!$F$35)*sales!$D$44/(sales!$E$35+1)+($C101&gt;=sales!$D$36)*($C101&lt;=sales!$F$36)*sales!$D$45/(sales!$E$36+1)</f>
        <v>0</v>
      </c>
      <c r="AG101" s="188">
        <f>($C101&gt;=sales!$D$32)*($C101&lt;=sales!$F$32)*sales!$F$41/(sales!$E$32+1)+($C101&gt;=sales!$D$33)*($C101&lt;=sales!$F$33)*sales!$F$42/(sales!$E$33+1)+($C101&gt;=sales!$D$34)*($C101&lt;=sales!$F$34)*sales!$F$43/(sales!$E$34+1)+($C101&gt;=sales!$D$35)*($C101&lt;=sales!$F$35)*sales!$F$44/(sales!$E$35+1)+($C101&gt;=sales!$D$36)*($C101&lt;=sales!$F$36)*sales!$F$45/(sales!$E$36+1)</f>
        <v>0</v>
      </c>
      <c r="AH101" s="181">
        <f>IF(ROUND(SUM(AH$5:AH100),2)&gt;=ROUND(AH$129,2),0,INDEX('draws%'!$D$8:$AG$128,$C101+1,MATCH(AH$4,'draws%'!$D$7:$AG$7,FALSE))*AH$129)</f>
        <v>0</v>
      </c>
      <c r="AI101" s="181">
        <f>IF(ROUND(SUM(AI$5:AI100),2)&gt;=ROUND(AI$129,2),0,INDEX('draws%'!$D$8:$AG$128,$C101+1,MATCH(AI$4,'draws%'!$D$7:$AG$7,FALSE))*AI$129)</f>
        <v>0</v>
      </c>
      <c r="AJ101" s="181">
        <f>IF(ROUND(SUM(AJ$5:AJ100),2)&gt;=ROUND(AJ$129,2),0,INDEX('draws%'!$D$8:$AG$128,$C101+1,MATCH(AJ$4,'draws%'!$D$7:$AG$7,FALSE))*AJ$129)</f>
        <v>0</v>
      </c>
      <c r="AK101" s="181">
        <f>IF(ROUND(SUM(AK$5:AK100),2)&gt;=ROUND(AK$129,2),0,INDEX('draws%'!$D$8:$AG$128,$C101+1,MATCH(AK$4,'draws%'!$D$7:$AG$7,FALSE))*AK$129)</f>
        <v>0</v>
      </c>
      <c r="AL101" s="189">
        <f t="shared" si="2"/>
        <v>0</v>
      </c>
      <c r="AM101" s="195"/>
      <c r="AO101" s="171"/>
    </row>
    <row r="102" spans="1:41" ht="16" hidden="1" outlineLevel="1">
      <c r="A102" s="185" t="str">
        <f>IF(MAX(C$5:C101)&gt;=general!$C$27,"post dev",IF(C102&lt;general!$C$23, "Pred", "Dev"))</f>
        <v>post dev</v>
      </c>
      <c r="B102" s="1398"/>
      <c r="C102" s="1388">
        <f>IF('Development Cash Flow'!D101&lt;general!$D$28,'Development Cash Flow'!C101+1,0)</f>
        <v>0</v>
      </c>
      <c r="D102" s="185">
        <f t="shared" si="0"/>
        <v>49187</v>
      </c>
      <c r="E102" s="186">
        <f>($C102&gt;=sales!$D$32)*($C102&lt;=sales!$F$32)*ResUnits/(sales!$E$32+1)</f>
        <v>0</v>
      </c>
      <c r="F102" s="181">
        <f>($C102&gt;=sales!$D$32)*($C102&lt;=sales!$F$32)*sales!$I$18/(sales!$E$32+1)</f>
        <v>0</v>
      </c>
      <c r="G102" s="181">
        <f>($C102&gt;=sales!$D$32)*($C102&lt;=sales!$F$32)*sales!$K$32/(sales!$E$32+1)</f>
        <v>0</v>
      </c>
      <c r="H102" s="187">
        <f>($C102&gt;=sales!$D$33)*($C102&lt;=sales!$F$33)*sales!$K$33/(sales!$E$33+1)</f>
        <v>0</v>
      </c>
      <c r="I102" s="181">
        <f>($C102&gt;=sales!$D$34)*($C102&lt;=sales!$F$34)*sales!$K$34/(sales!$E$34+1)</f>
        <v>0</v>
      </c>
      <c r="J102" s="181">
        <f>($C102&gt;=sales!$D$35)*($C102&lt;=sales!$F$35)*sales!$K$35/(sales!$E$35+1)</f>
        <v>0</v>
      </c>
      <c r="K102" s="189">
        <f>($C102&gt;=sales!$D$36)*($C102&lt;=sales!$F$36)*sales!$K$36*IFERROR(VLOOKUP(C102,sales!$C$50:$D$54,2,FALSE),0)</f>
        <v>0</v>
      </c>
      <c r="L102" s="1398"/>
      <c r="M102" s="1403">
        <f>+G102/$G$4*$M$4*sales!$J$32</f>
        <v>0</v>
      </c>
      <c r="N102" s="1398"/>
      <c r="O102" s="1464">
        <f>IF(ROUND(SUM(O$5:O101),2)&gt;=ROUND(O$129,2),0,INDEX('draws%'!$D$8:$AG$128,$C102+1,MATCH(O$4,'draws%'!$D$7:$AG$7,FALSE))*O$129)</f>
        <v>0</v>
      </c>
      <c r="P102" s="181">
        <f>IF(ROUND(SUM(P$5:P101),2)&gt;=ROUND(P$129,2),0,INDEX('draws%'!$D$8:$AG$128,$C102+1,MATCH(P$4,'draws%'!$D$7:$AG$7,FALSE))*P$129)</f>
        <v>0</v>
      </c>
      <c r="Q102" s="181">
        <f>IF(ROUND(SUM(Q$5:Q101),2)&gt;=ROUND(Q$129,2),0,INDEX('draws%'!$D$8:$AG$128,$C102+1,MATCH(Q$4,'draws%'!$D$7:$AG$7,FALSE))*Q$129)</f>
        <v>0</v>
      </c>
      <c r="R102" s="181">
        <f>IF(ROUND(SUM(R$5:R101),2)&gt;=ROUND(R$129,2),0,INDEX('draws%'!$D$8:$AG$128,$C102+1,MATCH(R$4,'draws%'!$D$7:$AG$7,FALSE))*R$129)</f>
        <v>0</v>
      </c>
      <c r="S102" s="181">
        <f>IF(ROUND(SUM(S$5:S101),2)&gt;=ROUND(S$129,2),0,INDEX('draws%'!$D$8:$AG$128,$C102+1,MATCH(S$4,'draws%'!$D$7:$AG$7,FALSE))*S$129)</f>
        <v>0</v>
      </c>
      <c r="T102" s="181">
        <f>IF(ROUND(SUM(T$5:T101),2)&gt;=ROUND(T$129,2),0,INDEX('draws%'!$D$8:$AG$128,$C102+1,MATCH(T$4,'draws%'!$D$7:$AG$7,FALSE))*T$129)</f>
        <v>0</v>
      </c>
      <c r="U102" s="181">
        <f>IF(ROUND(SUM(U$5:U101),2)&gt;=ROUND(U$129,2),0,INDEX('draws%'!$D$8:$AG$128,$C102+1,MATCH(U$4,'draws%'!$D$7:$AG$7,FALSE))*U$129)</f>
        <v>0</v>
      </c>
      <c r="V102" s="181">
        <f>IF(ROUND(SUM(V$5:V101),2)&gt;=ROUND(V$129,2),0,INDEX('draws%'!$D$8:$AG$128,$C102+1,MATCH(V$4,'draws%'!$D$7:$AG$7,FALSE))*V$129)</f>
        <v>0</v>
      </c>
      <c r="W102" s="181">
        <f>IF(ROUND(SUM(W$5:W101),2)&gt;=ROUND(W$129,2),0,INDEX('draws%'!$D$8:$AG$128,$C102+1,MATCH(W$4,'draws%'!$D$7:$AG$7,FALSE))*W$129)</f>
        <v>0</v>
      </c>
      <c r="X102" s="181">
        <f>IF(ROUND(SUM(X$5:X101),2)&gt;=ROUND(X$129,2),0,INDEX('draws%'!$D$8:$AG$128,$C102+1,MATCH(X$4,'draws%'!$D$7:$AG$7,FALSE))*X$129)</f>
        <v>0</v>
      </c>
      <c r="Y102" s="181">
        <f>IF(ROUND(SUM(Y$5:Y101),2)&gt;=ROUND(Y$129,2),0,INDEX('draws%'!$D$8:$AG$128,$C102+1,MATCH(Y$4,'draws%'!$D$7:$AG$7,FALSE))*Y$129)</f>
        <v>0</v>
      </c>
      <c r="Z102" s="181">
        <f>IF(ROUND(SUM(Z$5:Z101),2)&gt;=ROUND(Z$129,2),0,INDEX('draws%'!$D$8:$AG$128,$C102+1,MATCH(Z$4,'draws%'!$D$7:$AG$7,FALSE))*Z$129)</f>
        <v>0</v>
      </c>
      <c r="AA102" s="181">
        <f>IF(ROUND(SUM(AA$5:AA101),2)&gt;=ROUND(AA$129,2),0,INDEX('draws%'!$D$8:$AG$128,$C102+1,MATCH(AA$4,'draws%'!$D$7:$AG$7,FALSE))*AA$129)</f>
        <v>0</v>
      </c>
      <c r="AB102" s="181">
        <f>IF(ROUND(SUM(AB$5:AB101),2)&gt;=ROUND(AB$129,2),0,INDEX('draws%'!$D$8:$AG$128,$C102+1,MATCH(AB$4,'draws%'!$D$7:$AG$7,FALSE))*AB$129)</f>
        <v>0</v>
      </c>
      <c r="AC102" s="181">
        <f>($C102&gt;=sales!$D$32)*($C102&lt;=sales!$F$32)*sales!$J$41/(sales!$E$32+1)+($C102&gt;=sales!$D$33)*($C102&lt;=sales!$F$33)*sales!$J$42/(sales!$E$33+1)+($C102&gt;=sales!$D$34)*($C102&lt;=sales!$F$34)*sales!$J$43/(sales!$E$34+1)+($C102&gt;=sales!$D$35)*($C102&lt;=sales!$F$35)*sales!$J$44/(sales!$E$35+1)+($C102&gt;=sales!$D$36)*($C102&lt;=sales!$F$36)*sales!$J$45/(sales!$E$36+1)</f>
        <v>0</v>
      </c>
      <c r="AD102" s="181">
        <f>IF(ROUND(SUM(AD$5:AD101),2)&gt;=ROUND(AD$129,2),0,INDEX('draws%'!$D$8:$AG$128,$C102+1,MATCH(AD$4,'draws%'!$D$7:$AG$7,FALSE))*AD$129)</f>
        <v>0</v>
      </c>
      <c r="AE102" s="181">
        <f>IF(ROUND(SUM(AE$5:AE101),2)&gt;=ROUND(AE$129,2),0,INDEX('draws%'!$D$8:$AG$128,$C102+1,MATCH(AE$4,'draws%'!$D$7:$AG$7,FALSE))*AE$129)</f>
        <v>0</v>
      </c>
      <c r="AF102" s="188">
        <f>($C102&gt;=sales!$D$32)*($C102&lt;=sales!$F$32)*sales!$D$41/(sales!$E$32+1)+($C102&gt;=sales!$D$33)*($C102&lt;=sales!$F$33)*sales!$D$42/(sales!$E$33+1)+($C102&gt;=sales!$D$34)*($C102&lt;=sales!$F$34)*sales!$D$43/(sales!$E$34+1)+($C102&gt;=sales!$D$35)*($C102&lt;=sales!$F$35)*sales!$D$44/(sales!$E$35+1)+($C102&gt;=sales!$D$36)*($C102&lt;=sales!$F$36)*sales!$D$45/(sales!$E$36+1)</f>
        <v>0</v>
      </c>
      <c r="AG102" s="188">
        <f>($C102&gt;=sales!$D$32)*($C102&lt;=sales!$F$32)*sales!$F$41/(sales!$E$32+1)+($C102&gt;=sales!$D$33)*($C102&lt;=sales!$F$33)*sales!$F$42/(sales!$E$33+1)+($C102&gt;=sales!$D$34)*($C102&lt;=sales!$F$34)*sales!$F$43/(sales!$E$34+1)+($C102&gt;=sales!$D$35)*($C102&lt;=sales!$F$35)*sales!$F$44/(sales!$E$35+1)+($C102&gt;=sales!$D$36)*($C102&lt;=sales!$F$36)*sales!$F$45/(sales!$E$36+1)</f>
        <v>0</v>
      </c>
      <c r="AH102" s="181">
        <f>IF(ROUND(SUM(AH$5:AH101),2)&gt;=ROUND(AH$129,2),0,INDEX('draws%'!$D$8:$AG$128,$C102+1,MATCH(AH$4,'draws%'!$D$7:$AG$7,FALSE))*AH$129)</f>
        <v>0</v>
      </c>
      <c r="AI102" s="181">
        <f>IF(ROUND(SUM(AI$5:AI101),2)&gt;=ROUND(AI$129,2),0,INDEX('draws%'!$D$8:$AG$128,$C102+1,MATCH(AI$4,'draws%'!$D$7:$AG$7,FALSE))*AI$129)</f>
        <v>0</v>
      </c>
      <c r="AJ102" s="181">
        <f>IF(ROUND(SUM(AJ$5:AJ101),2)&gt;=ROUND(AJ$129,2),0,INDEX('draws%'!$D$8:$AG$128,$C102+1,MATCH(AJ$4,'draws%'!$D$7:$AG$7,FALSE))*AJ$129)</f>
        <v>0</v>
      </c>
      <c r="AK102" s="181">
        <f>IF(ROUND(SUM(AK$5:AK101),2)&gt;=ROUND(AK$129,2),0,INDEX('draws%'!$D$8:$AG$128,$C102+1,MATCH(AK$4,'draws%'!$D$7:$AG$7,FALSE))*AK$129)</f>
        <v>0</v>
      </c>
      <c r="AL102" s="189">
        <f t="shared" si="2"/>
        <v>0</v>
      </c>
      <c r="AO102" s="173"/>
    </row>
    <row r="103" spans="1:41" ht="16" hidden="1" outlineLevel="1">
      <c r="A103" s="185" t="str">
        <f>IF(MAX(C$5:C102)&gt;=general!$C$27,"post dev",IF(C103&lt;general!$C$23, "Pred", "Dev"))</f>
        <v>post dev</v>
      </c>
      <c r="B103" s="1398"/>
      <c r="C103" s="1388">
        <f>IF('Development Cash Flow'!D102&lt;general!$D$28,'Development Cash Flow'!C102+1,0)</f>
        <v>0</v>
      </c>
      <c r="D103" s="185">
        <f t="shared" si="0"/>
        <v>49217</v>
      </c>
      <c r="E103" s="186">
        <f>($C103&gt;=sales!$D$32)*($C103&lt;=sales!$F$32)*ResUnits/(sales!$E$32+1)</f>
        <v>0</v>
      </c>
      <c r="F103" s="181">
        <f>($C103&gt;=sales!$D$32)*($C103&lt;=sales!$F$32)*sales!$I$18/(sales!$E$32+1)</f>
        <v>0</v>
      </c>
      <c r="G103" s="181">
        <f>($C103&gt;=sales!$D$32)*($C103&lt;=sales!$F$32)*sales!$K$32/(sales!$E$32+1)</f>
        <v>0</v>
      </c>
      <c r="H103" s="187">
        <f>($C103&gt;=sales!$D$33)*($C103&lt;=sales!$F$33)*sales!$K$33/(sales!$E$33+1)</f>
        <v>0</v>
      </c>
      <c r="I103" s="181">
        <f>($C103&gt;=sales!$D$34)*($C103&lt;=sales!$F$34)*sales!$K$34/(sales!$E$34+1)</f>
        <v>0</v>
      </c>
      <c r="J103" s="181">
        <f>($C103&gt;=sales!$D$35)*($C103&lt;=sales!$F$35)*sales!$K$35/(sales!$E$35+1)</f>
        <v>0</v>
      </c>
      <c r="K103" s="189">
        <f>($C103&gt;=sales!$D$36)*($C103&lt;=sales!$F$36)*sales!$K$36*IFERROR(VLOOKUP(C103,sales!$C$50:$D$54,2,FALSE),0)</f>
        <v>0</v>
      </c>
      <c r="L103" s="1398"/>
      <c r="M103" s="1403">
        <f>+G103/$G$4*$M$4*sales!$J$32</f>
        <v>0</v>
      </c>
      <c r="N103" s="1398"/>
      <c r="O103" s="1464">
        <f>IF(ROUND(SUM(O$5:O102),2)&gt;=ROUND(O$129,2),0,INDEX('draws%'!$D$8:$AG$128,$C103+1,MATCH(O$4,'draws%'!$D$7:$AG$7,FALSE))*O$129)</f>
        <v>0</v>
      </c>
      <c r="P103" s="181">
        <f>IF(ROUND(SUM(P$5:P102),2)&gt;=ROUND(P$129,2),0,INDEX('draws%'!$D$8:$AG$128,$C103+1,MATCH(P$4,'draws%'!$D$7:$AG$7,FALSE))*P$129)</f>
        <v>0</v>
      </c>
      <c r="Q103" s="181">
        <f>IF(ROUND(SUM(Q$5:Q102),2)&gt;=ROUND(Q$129,2),0,INDEX('draws%'!$D$8:$AG$128,$C103+1,MATCH(Q$4,'draws%'!$D$7:$AG$7,FALSE))*Q$129)</f>
        <v>0</v>
      </c>
      <c r="R103" s="181">
        <f>IF(ROUND(SUM(R$5:R102),2)&gt;=ROUND(R$129,2),0,INDEX('draws%'!$D$8:$AG$128,$C103+1,MATCH(R$4,'draws%'!$D$7:$AG$7,FALSE))*R$129)</f>
        <v>0</v>
      </c>
      <c r="S103" s="181">
        <f>IF(ROUND(SUM(S$5:S102),2)&gt;=ROUND(S$129,2),0,INDEX('draws%'!$D$8:$AG$128,$C103+1,MATCH(S$4,'draws%'!$D$7:$AG$7,FALSE))*S$129)</f>
        <v>0</v>
      </c>
      <c r="T103" s="181">
        <f>IF(ROUND(SUM(T$5:T102),2)&gt;=ROUND(T$129,2),0,INDEX('draws%'!$D$8:$AG$128,$C103+1,MATCH(T$4,'draws%'!$D$7:$AG$7,FALSE))*T$129)</f>
        <v>0</v>
      </c>
      <c r="U103" s="181">
        <f>IF(ROUND(SUM(U$5:U102),2)&gt;=ROUND(U$129,2),0,INDEX('draws%'!$D$8:$AG$128,$C103+1,MATCH(U$4,'draws%'!$D$7:$AG$7,FALSE))*U$129)</f>
        <v>0</v>
      </c>
      <c r="V103" s="181">
        <f>IF(ROUND(SUM(V$5:V102),2)&gt;=ROUND(V$129,2),0,INDEX('draws%'!$D$8:$AG$128,$C103+1,MATCH(V$4,'draws%'!$D$7:$AG$7,FALSE))*V$129)</f>
        <v>0</v>
      </c>
      <c r="W103" s="181">
        <f>IF(ROUND(SUM(W$5:W102),2)&gt;=ROUND(W$129,2),0,INDEX('draws%'!$D$8:$AG$128,$C103+1,MATCH(W$4,'draws%'!$D$7:$AG$7,FALSE))*W$129)</f>
        <v>0</v>
      </c>
      <c r="X103" s="181">
        <f>IF(ROUND(SUM(X$5:X102),2)&gt;=ROUND(X$129,2),0,INDEX('draws%'!$D$8:$AG$128,$C103+1,MATCH(X$4,'draws%'!$D$7:$AG$7,FALSE))*X$129)</f>
        <v>0</v>
      </c>
      <c r="Y103" s="181">
        <f>IF(ROUND(SUM(Y$5:Y102),2)&gt;=ROUND(Y$129,2),0,INDEX('draws%'!$D$8:$AG$128,$C103+1,MATCH(Y$4,'draws%'!$D$7:$AG$7,FALSE))*Y$129)</f>
        <v>0</v>
      </c>
      <c r="Z103" s="181">
        <f>IF(ROUND(SUM(Z$5:Z102),2)&gt;=ROUND(Z$129,2),0,INDEX('draws%'!$D$8:$AG$128,$C103+1,MATCH(Z$4,'draws%'!$D$7:$AG$7,FALSE))*Z$129)</f>
        <v>0</v>
      </c>
      <c r="AA103" s="181">
        <f>IF(ROUND(SUM(AA$5:AA102),2)&gt;=ROUND(AA$129,2),0,INDEX('draws%'!$D$8:$AG$128,$C103+1,MATCH(AA$4,'draws%'!$D$7:$AG$7,FALSE))*AA$129)</f>
        <v>0</v>
      </c>
      <c r="AB103" s="181">
        <f>IF(ROUND(SUM(AB$5:AB102),2)&gt;=ROUND(AB$129,2),0,INDEX('draws%'!$D$8:$AG$128,$C103+1,MATCH(AB$4,'draws%'!$D$7:$AG$7,FALSE))*AB$129)</f>
        <v>0</v>
      </c>
      <c r="AC103" s="181">
        <f>($C103&gt;=sales!$D$32)*($C103&lt;=sales!$F$32)*sales!$J$41/(sales!$E$32+1)+($C103&gt;=sales!$D$33)*($C103&lt;=sales!$F$33)*sales!$J$42/(sales!$E$33+1)+($C103&gt;=sales!$D$34)*($C103&lt;=sales!$F$34)*sales!$J$43/(sales!$E$34+1)+($C103&gt;=sales!$D$35)*($C103&lt;=sales!$F$35)*sales!$J$44/(sales!$E$35+1)+($C103&gt;=sales!$D$36)*($C103&lt;=sales!$F$36)*sales!$J$45/(sales!$E$36+1)</f>
        <v>0</v>
      </c>
      <c r="AD103" s="181">
        <f>IF(ROUND(SUM(AD$5:AD102),2)&gt;=ROUND(AD$129,2),0,INDEX('draws%'!$D$8:$AG$128,$C103+1,MATCH(AD$4,'draws%'!$D$7:$AG$7,FALSE))*AD$129)</f>
        <v>0</v>
      </c>
      <c r="AE103" s="181">
        <f>IF(ROUND(SUM(AE$5:AE102),2)&gt;=ROUND(AE$129,2),0,INDEX('draws%'!$D$8:$AG$128,$C103+1,MATCH(AE$4,'draws%'!$D$7:$AG$7,FALSE))*AE$129)</f>
        <v>0</v>
      </c>
      <c r="AF103" s="188">
        <f>($C103&gt;=sales!$D$32)*($C103&lt;=sales!$F$32)*sales!$D$41/(sales!$E$32+1)+($C103&gt;=sales!$D$33)*($C103&lt;=sales!$F$33)*sales!$D$42/(sales!$E$33+1)+($C103&gt;=sales!$D$34)*($C103&lt;=sales!$F$34)*sales!$D$43/(sales!$E$34+1)+($C103&gt;=sales!$D$35)*($C103&lt;=sales!$F$35)*sales!$D$44/(sales!$E$35+1)+($C103&gt;=sales!$D$36)*($C103&lt;=sales!$F$36)*sales!$D$45/(sales!$E$36+1)</f>
        <v>0</v>
      </c>
      <c r="AG103" s="188">
        <f>($C103&gt;=sales!$D$32)*($C103&lt;=sales!$F$32)*sales!$F$41/(sales!$E$32+1)+($C103&gt;=sales!$D$33)*($C103&lt;=sales!$F$33)*sales!$F$42/(sales!$E$33+1)+($C103&gt;=sales!$D$34)*($C103&lt;=sales!$F$34)*sales!$F$43/(sales!$E$34+1)+($C103&gt;=sales!$D$35)*($C103&lt;=sales!$F$35)*sales!$F$44/(sales!$E$35+1)+($C103&gt;=sales!$D$36)*($C103&lt;=sales!$F$36)*sales!$F$45/(sales!$E$36+1)</f>
        <v>0</v>
      </c>
      <c r="AH103" s="181">
        <f>IF(ROUND(SUM(AH$5:AH102),2)&gt;=ROUND(AH$129,2),0,INDEX('draws%'!$D$8:$AG$128,$C103+1,MATCH(AH$4,'draws%'!$D$7:$AG$7,FALSE))*AH$129)</f>
        <v>0</v>
      </c>
      <c r="AI103" s="181">
        <f>IF(ROUND(SUM(AI$5:AI102),2)&gt;=ROUND(AI$129,2),0,INDEX('draws%'!$D$8:$AG$128,$C103+1,MATCH(AI$4,'draws%'!$D$7:$AG$7,FALSE))*AI$129)</f>
        <v>0</v>
      </c>
      <c r="AJ103" s="181">
        <f>IF(ROUND(SUM(AJ$5:AJ102),2)&gt;=ROUND(AJ$129,2),0,INDEX('draws%'!$D$8:$AG$128,$C103+1,MATCH(AJ$4,'draws%'!$D$7:$AG$7,FALSE))*AJ$129)</f>
        <v>0</v>
      </c>
      <c r="AK103" s="181">
        <f>IF(ROUND(SUM(AK$5:AK102),2)&gt;=ROUND(AK$129,2),0,INDEX('draws%'!$D$8:$AG$128,$C103+1,MATCH(AK$4,'draws%'!$D$7:$AG$7,FALSE))*AK$129)</f>
        <v>0</v>
      </c>
      <c r="AL103" s="189">
        <f t="shared" si="2"/>
        <v>0</v>
      </c>
      <c r="AO103" s="173"/>
    </row>
    <row r="104" spans="1:41" ht="16" hidden="1" outlineLevel="1">
      <c r="A104" s="185" t="str">
        <f>IF(MAX(C$5:C103)&gt;=general!$C$27,"post dev",IF(C104&lt;general!$C$23, "Pred", "Dev"))</f>
        <v>post dev</v>
      </c>
      <c r="B104" s="1398"/>
      <c r="C104" s="1388">
        <f>IF('Development Cash Flow'!D103&lt;general!$D$28,'Development Cash Flow'!C103+1,0)</f>
        <v>0</v>
      </c>
      <c r="D104" s="185">
        <f t="shared" si="0"/>
        <v>49248</v>
      </c>
      <c r="E104" s="186">
        <f>($C104&gt;=sales!$D$32)*($C104&lt;=sales!$F$32)*ResUnits/(sales!$E$32+1)</f>
        <v>0</v>
      </c>
      <c r="F104" s="181">
        <f>($C104&gt;=sales!$D$32)*($C104&lt;=sales!$F$32)*sales!$I$18/(sales!$E$32+1)</f>
        <v>0</v>
      </c>
      <c r="G104" s="181">
        <f>($C104&gt;=sales!$D$32)*($C104&lt;=sales!$F$32)*sales!$K$32/(sales!$E$32+1)</f>
        <v>0</v>
      </c>
      <c r="H104" s="187">
        <f>($C104&gt;=sales!$D$33)*($C104&lt;=sales!$F$33)*sales!$K$33/(sales!$E$33+1)</f>
        <v>0</v>
      </c>
      <c r="I104" s="181">
        <f>($C104&gt;=sales!$D$34)*($C104&lt;=sales!$F$34)*sales!$K$34/(sales!$E$34+1)</f>
        <v>0</v>
      </c>
      <c r="J104" s="181">
        <f>($C104&gt;=sales!$D$35)*($C104&lt;=sales!$F$35)*sales!$K$35/(sales!$E$35+1)</f>
        <v>0</v>
      </c>
      <c r="K104" s="189">
        <f>($C104&gt;=sales!$D$36)*($C104&lt;=sales!$F$36)*sales!$K$36*IFERROR(VLOOKUP(C104,sales!$C$50:$D$54,2,FALSE),0)</f>
        <v>0</v>
      </c>
      <c r="L104" s="1398"/>
      <c r="M104" s="1403">
        <f>+G104/$G$4*$M$4*sales!$J$32</f>
        <v>0</v>
      </c>
      <c r="N104" s="1398"/>
      <c r="O104" s="1464">
        <f>IF(ROUND(SUM(O$5:O103),2)&gt;=ROUND(O$129,2),0,INDEX('draws%'!$D$8:$AG$128,$C104+1,MATCH(O$4,'draws%'!$D$7:$AG$7,FALSE))*O$129)</f>
        <v>0</v>
      </c>
      <c r="P104" s="181">
        <f>IF(ROUND(SUM(P$5:P103),2)&gt;=ROUND(P$129,2),0,INDEX('draws%'!$D$8:$AG$128,$C104+1,MATCH(P$4,'draws%'!$D$7:$AG$7,FALSE))*P$129)</f>
        <v>0</v>
      </c>
      <c r="Q104" s="181">
        <f>IF(ROUND(SUM(Q$5:Q103),2)&gt;=ROUND(Q$129,2),0,INDEX('draws%'!$D$8:$AG$128,$C104+1,MATCH(Q$4,'draws%'!$D$7:$AG$7,FALSE))*Q$129)</f>
        <v>0</v>
      </c>
      <c r="R104" s="181">
        <f>IF(ROUND(SUM(R$5:R103),2)&gt;=ROUND(R$129,2),0,INDEX('draws%'!$D$8:$AG$128,$C104+1,MATCH(R$4,'draws%'!$D$7:$AG$7,FALSE))*R$129)</f>
        <v>0</v>
      </c>
      <c r="S104" s="181">
        <f>IF(ROUND(SUM(S$5:S103),2)&gt;=ROUND(S$129,2),0,INDEX('draws%'!$D$8:$AG$128,$C104+1,MATCH(S$4,'draws%'!$D$7:$AG$7,FALSE))*S$129)</f>
        <v>0</v>
      </c>
      <c r="T104" s="181">
        <f>IF(ROUND(SUM(T$5:T103),2)&gt;=ROUND(T$129,2),0,INDEX('draws%'!$D$8:$AG$128,$C104+1,MATCH(T$4,'draws%'!$D$7:$AG$7,FALSE))*T$129)</f>
        <v>0</v>
      </c>
      <c r="U104" s="181">
        <f>IF(ROUND(SUM(U$5:U103),2)&gt;=ROUND(U$129,2),0,INDEX('draws%'!$D$8:$AG$128,$C104+1,MATCH(U$4,'draws%'!$D$7:$AG$7,FALSE))*U$129)</f>
        <v>0</v>
      </c>
      <c r="V104" s="181">
        <f>IF(ROUND(SUM(V$5:V103),2)&gt;=ROUND(V$129,2),0,INDEX('draws%'!$D$8:$AG$128,$C104+1,MATCH(V$4,'draws%'!$D$7:$AG$7,FALSE))*V$129)</f>
        <v>0</v>
      </c>
      <c r="W104" s="181">
        <f>IF(ROUND(SUM(W$5:W103),2)&gt;=ROUND(W$129,2),0,INDEX('draws%'!$D$8:$AG$128,$C104+1,MATCH(W$4,'draws%'!$D$7:$AG$7,FALSE))*W$129)</f>
        <v>0</v>
      </c>
      <c r="X104" s="181">
        <f>IF(ROUND(SUM(X$5:X103),2)&gt;=ROUND(X$129,2),0,INDEX('draws%'!$D$8:$AG$128,$C104+1,MATCH(X$4,'draws%'!$D$7:$AG$7,FALSE))*X$129)</f>
        <v>0</v>
      </c>
      <c r="Y104" s="181">
        <f>IF(ROUND(SUM(Y$5:Y103),2)&gt;=ROUND(Y$129,2),0,INDEX('draws%'!$D$8:$AG$128,$C104+1,MATCH(Y$4,'draws%'!$D$7:$AG$7,FALSE))*Y$129)</f>
        <v>0</v>
      </c>
      <c r="Z104" s="181">
        <f>IF(ROUND(SUM(Z$5:Z103),2)&gt;=ROUND(Z$129,2),0,INDEX('draws%'!$D$8:$AG$128,$C104+1,MATCH(Z$4,'draws%'!$D$7:$AG$7,FALSE))*Z$129)</f>
        <v>0</v>
      </c>
      <c r="AA104" s="181">
        <f>IF(ROUND(SUM(AA$5:AA103),2)&gt;=ROUND(AA$129,2),0,INDEX('draws%'!$D$8:$AG$128,$C104+1,MATCH(AA$4,'draws%'!$D$7:$AG$7,FALSE))*AA$129)</f>
        <v>0</v>
      </c>
      <c r="AB104" s="181">
        <f>IF(ROUND(SUM(AB$5:AB103),2)&gt;=ROUND(AB$129,2),0,INDEX('draws%'!$D$8:$AG$128,$C104+1,MATCH(AB$4,'draws%'!$D$7:$AG$7,FALSE))*AB$129)</f>
        <v>0</v>
      </c>
      <c r="AC104" s="181">
        <f>($C104&gt;=sales!$D$32)*($C104&lt;=sales!$F$32)*sales!$J$41/(sales!$E$32+1)+($C104&gt;=sales!$D$33)*($C104&lt;=sales!$F$33)*sales!$J$42/(sales!$E$33+1)+($C104&gt;=sales!$D$34)*($C104&lt;=sales!$F$34)*sales!$J$43/(sales!$E$34+1)+($C104&gt;=sales!$D$35)*($C104&lt;=sales!$F$35)*sales!$J$44/(sales!$E$35+1)+($C104&gt;=sales!$D$36)*($C104&lt;=sales!$F$36)*sales!$J$45/(sales!$E$36+1)</f>
        <v>0</v>
      </c>
      <c r="AD104" s="181">
        <f>IF(ROUND(SUM(AD$5:AD103),2)&gt;=ROUND(AD$129,2),0,INDEX('draws%'!$D$8:$AG$128,$C104+1,MATCH(AD$4,'draws%'!$D$7:$AG$7,FALSE))*AD$129)</f>
        <v>0</v>
      </c>
      <c r="AE104" s="181">
        <f>IF(ROUND(SUM(AE$5:AE103),2)&gt;=ROUND(AE$129,2),0,INDEX('draws%'!$D$8:$AG$128,$C104+1,MATCH(AE$4,'draws%'!$D$7:$AG$7,FALSE))*AE$129)</f>
        <v>0</v>
      </c>
      <c r="AF104" s="188">
        <f>($C104&gt;=sales!$D$32)*($C104&lt;=sales!$F$32)*sales!$D$41/(sales!$E$32+1)+($C104&gt;=sales!$D$33)*($C104&lt;=sales!$F$33)*sales!$D$42/(sales!$E$33+1)+($C104&gt;=sales!$D$34)*($C104&lt;=sales!$F$34)*sales!$D$43/(sales!$E$34+1)+($C104&gt;=sales!$D$35)*($C104&lt;=sales!$F$35)*sales!$D$44/(sales!$E$35+1)+($C104&gt;=sales!$D$36)*($C104&lt;=sales!$F$36)*sales!$D$45/(sales!$E$36+1)</f>
        <v>0</v>
      </c>
      <c r="AG104" s="188">
        <f>($C104&gt;=sales!$D$32)*($C104&lt;=sales!$F$32)*sales!$F$41/(sales!$E$32+1)+($C104&gt;=sales!$D$33)*($C104&lt;=sales!$F$33)*sales!$F$42/(sales!$E$33+1)+($C104&gt;=sales!$D$34)*($C104&lt;=sales!$F$34)*sales!$F$43/(sales!$E$34+1)+($C104&gt;=sales!$D$35)*($C104&lt;=sales!$F$35)*sales!$F$44/(sales!$E$35+1)+($C104&gt;=sales!$D$36)*($C104&lt;=sales!$F$36)*sales!$F$45/(sales!$E$36+1)</f>
        <v>0</v>
      </c>
      <c r="AH104" s="181">
        <f>IF(ROUND(SUM(AH$5:AH103),2)&gt;=ROUND(AH$129,2),0,INDEX('draws%'!$D$8:$AG$128,$C104+1,MATCH(AH$4,'draws%'!$D$7:$AG$7,FALSE))*AH$129)</f>
        <v>0</v>
      </c>
      <c r="AI104" s="181">
        <f>IF(ROUND(SUM(AI$5:AI103),2)&gt;=ROUND(AI$129,2),0,INDEX('draws%'!$D$8:$AG$128,$C104+1,MATCH(AI$4,'draws%'!$D$7:$AG$7,FALSE))*AI$129)</f>
        <v>0</v>
      </c>
      <c r="AJ104" s="181">
        <f>IF(ROUND(SUM(AJ$5:AJ103),2)&gt;=ROUND(AJ$129,2),0,INDEX('draws%'!$D$8:$AG$128,$C104+1,MATCH(AJ$4,'draws%'!$D$7:$AG$7,FALSE))*AJ$129)</f>
        <v>0</v>
      </c>
      <c r="AK104" s="181">
        <f>IF(ROUND(SUM(AK$5:AK103),2)&gt;=ROUND(AK$129,2),0,INDEX('draws%'!$D$8:$AG$128,$C104+1,MATCH(AK$4,'draws%'!$D$7:$AG$7,FALSE))*AK$129)</f>
        <v>0</v>
      </c>
      <c r="AL104" s="189">
        <f t="shared" si="2"/>
        <v>0</v>
      </c>
      <c r="AO104" s="173"/>
    </row>
    <row r="105" spans="1:41" s="192" customFormat="1" ht="16" hidden="1" outlineLevel="1">
      <c r="A105" s="185" t="str">
        <f>IF(MAX(C$5:C104)&gt;=general!$C$27,"post dev",IF(C105&lt;general!$C$23, "Pred", "Dev"))</f>
        <v>post dev</v>
      </c>
      <c r="B105" s="1398"/>
      <c r="C105" s="1388">
        <f>IF('Development Cash Flow'!D104&lt;general!$D$28,'Development Cash Flow'!C104+1,0)</f>
        <v>0</v>
      </c>
      <c r="D105" s="185">
        <f t="shared" si="0"/>
        <v>49278</v>
      </c>
      <c r="E105" s="186">
        <f>($C105&gt;=sales!$D$32)*($C105&lt;=sales!$F$32)*ResUnits/(sales!$E$32+1)</f>
        <v>0</v>
      </c>
      <c r="F105" s="181">
        <f>($C105&gt;=sales!$D$32)*($C105&lt;=sales!$F$32)*sales!$I$18/(sales!$E$32+1)</f>
        <v>0</v>
      </c>
      <c r="G105" s="181">
        <f>($C105&gt;=sales!$D$32)*($C105&lt;=sales!$F$32)*sales!$K$32/(sales!$E$32+1)</f>
        <v>0</v>
      </c>
      <c r="H105" s="187">
        <f>($C105&gt;=sales!$D$33)*($C105&lt;=sales!$F$33)*sales!$K$33/(sales!$E$33+1)</f>
        <v>0</v>
      </c>
      <c r="I105" s="181">
        <f>($C105&gt;=sales!$D$34)*($C105&lt;=sales!$F$34)*sales!$K$34/(sales!$E$34+1)</f>
        <v>0</v>
      </c>
      <c r="J105" s="181">
        <f>($C105&gt;=sales!$D$35)*($C105&lt;=sales!$F$35)*sales!$K$35/(sales!$E$35+1)</f>
        <v>0</v>
      </c>
      <c r="K105" s="189">
        <f>($C105&gt;=sales!$D$36)*($C105&lt;=sales!$F$36)*sales!$K$36*IFERROR(VLOOKUP(C105,sales!$C$50:$D$54,2,FALSE),0)</f>
        <v>0</v>
      </c>
      <c r="L105" s="1398"/>
      <c r="M105" s="1403">
        <f>+G105/$G$4*$M$4*sales!$J$32</f>
        <v>0</v>
      </c>
      <c r="N105" s="1398"/>
      <c r="O105" s="1464">
        <f>IF(ROUND(SUM(O$5:O104),2)&gt;=ROUND(O$129,2),0,INDEX('draws%'!$D$8:$AG$128,$C105+1,MATCH(O$4,'draws%'!$D$7:$AG$7,FALSE))*O$129)</f>
        <v>0</v>
      </c>
      <c r="P105" s="181">
        <f>IF(ROUND(SUM(P$5:P104),2)&gt;=ROUND(P$129,2),0,INDEX('draws%'!$D$8:$AG$128,$C105+1,MATCH(P$4,'draws%'!$D$7:$AG$7,FALSE))*P$129)</f>
        <v>0</v>
      </c>
      <c r="Q105" s="181">
        <f>IF(ROUND(SUM(Q$5:Q104),2)&gt;=ROUND(Q$129,2),0,INDEX('draws%'!$D$8:$AG$128,$C105+1,MATCH(Q$4,'draws%'!$D$7:$AG$7,FALSE))*Q$129)</f>
        <v>0</v>
      </c>
      <c r="R105" s="181">
        <f>IF(ROUND(SUM(R$5:R104),2)&gt;=ROUND(R$129,2),0,INDEX('draws%'!$D$8:$AG$128,$C105+1,MATCH(R$4,'draws%'!$D$7:$AG$7,FALSE))*R$129)</f>
        <v>0</v>
      </c>
      <c r="S105" s="181">
        <f>IF(ROUND(SUM(S$5:S104),2)&gt;=ROUND(S$129,2),0,INDEX('draws%'!$D$8:$AG$128,$C105+1,MATCH(S$4,'draws%'!$D$7:$AG$7,FALSE))*S$129)</f>
        <v>0</v>
      </c>
      <c r="T105" s="181">
        <f>IF(ROUND(SUM(T$5:T104),2)&gt;=ROUND(T$129,2),0,INDEX('draws%'!$D$8:$AG$128,$C105+1,MATCH(T$4,'draws%'!$D$7:$AG$7,FALSE))*T$129)</f>
        <v>0</v>
      </c>
      <c r="U105" s="181">
        <f>IF(ROUND(SUM(U$5:U104),2)&gt;=ROUND(U$129,2),0,INDEX('draws%'!$D$8:$AG$128,$C105+1,MATCH(U$4,'draws%'!$D$7:$AG$7,FALSE))*U$129)</f>
        <v>0</v>
      </c>
      <c r="V105" s="181">
        <f>IF(ROUND(SUM(V$5:V104),2)&gt;=ROUND(V$129,2),0,INDEX('draws%'!$D$8:$AG$128,$C105+1,MATCH(V$4,'draws%'!$D$7:$AG$7,FALSE))*V$129)</f>
        <v>0</v>
      </c>
      <c r="W105" s="181">
        <f>IF(ROUND(SUM(W$5:W104),2)&gt;=ROUND(W$129,2),0,INDEX('draws%'!$D$8:$AG$128,$C105+1,MATCH(W$4,'draws%'!$D$7:$AG$7,FALSE))*W$129)</f>
        <v>0</v>
      </c>
      <c r="X105" s="181">
        <f>IF(ROUND(SUM(X$5:X104),2)&gt;=ROUND(X$129,2),0,INDEX('draws%'!$D$8:$AG$128,$C105+1,MATCH(X$4,'draws%'!$D$7:$AG$7,FALSE))*X$129)</f>
        <v>0</v>
      </c>
      <c r="Y105" s="181">
        <f>IF(ROUND(SUM(Y$5:Y104),2)&gt;=ROUND(Y$129,2),0,INDEX('draws%'!$D$8:$AG$128,$C105+1,MATCH(Y$4,'draws%'!$D$7:$AG$7,FALSE))*Y$129)</f>
        <v>0</v>
      </c>
      <c r="Z105" s="181">
        <f>IF(ROUND(SUM(Z$5:Z104),2)&gt;=ROUND(Z$129,2),0,INDEX('draws%'!$D$8:$AG$128,$C105+1,MATCH(Z$4,'draws%'!$D$7:$AG$7,FALSE))*Z$129)</f>
        <v>0</v>
      </c>
      <c r="AA105" s="181">
        <f>IF(ROUND(SUM(AA$5:AA104),2)&gt;=ROUND(AA$129,2),0,INDEX('draws%'!$D$8:$AG$128,$C105+1,MATCH(AA$4,'draws%'!$D$7:$AG$7,FALSE))*AA$129)</f>
        <v>0</v>
      </c>
      <c r="AB105" s="181">
        <f>IF(ROUND(SUM(AB$5:AB104),2)&gt;=ROUND(AB$129,2),0,INDEX('draws%'!$D$8:$AG$128,$C105+1,MATCH(AB$4,'draws%'!$D$7:$AG$7,FALSE))*AB$129)</f>
        <v>0</v>
      </c>
      <c r="AC105" s="181">
        <f>($C105&gt;=sales!$D$32)*($C105&lt;=sales!$F$32)*sales!$J$41/(sales!$E$32+1)+($C105&gt;=sales!$D$33)*($C105&lt;=sales!$F$33)*sales!$J$42/(sales!$E$33+1)+($C105&gt;=sales!$D$34)*($C105&lt;=sales!$F$34)*sales!$J$43/(sales!$E$34+1)+($C105&gt;=sales!$D$35)*($C105&lt;=sales!$F$35)*sales!$J$44/(sales!$E$35+1)+($C105&gt;=sales!$D$36)*($C105&lt;=sales!$F$36)*sales!$J$45/(sales!$E$36+1)</f>
        <v>0</v>
      </c>
      <c r="AD105" s="181">
        <f>IF(ROUND(SUM(AD$5:AD104),2)&gt;=ROUND(AD$129,2),0,INDEX('draws%'!$D$8:$AG$128,$C105+1,MATCH(AD$4,'draws%'!$D$7:$AG$7,FALSE))*AD$129)</f>
        <v>0</v>
      </c>
      <c r="AE105" s="181">
        <f>IF(ROUND(SUM(AE$5:AE104),2)&gt;=ROUND(AE$129,2),0,INDEX('draws%'!$D$8:$AG$128,$C105+1,MATCH(AE$4,'draws%'!$D$7:$AG$7,FALSE))*AE$129)</f>
        <v>0</v>
      </c>
      <c r="AF105" s="188">
        <f>($C105&gt;=sales!$D$32)*($C105&lt;=sales!$F$32)*sales!$D$41/(sales!$E$32+1)+($C105&gt;=sales!$D$33)*($C105&lt;=sales!$F$33)*sales!$D$42/(sales!$E$33+1)+($C105&gt;=sales!$D$34)*($C105&lt;=sales!$F$34)*sales!$D$43/(sales!$E$34+1)+($C105&gt;=sales!$D$35)*($C105&lt;=sales!$F$35)*sales!$D$44/(sales!$E$35+1)+($C105&gt;=sales!$D$36)*($C105&lt;=sales!$F$36)*sales!$D$45/(sales!$E$36+1)</f>
        <v>0</v>
      </c>
      <c r="AG105" s="188">
        <f>($C105&gt;=sales!$D$32)*($C105&lt;=sales!$F$32)*sales!$F$41/(sales!$E$32+1)+($C105&gt;=sales!$D$33)*($C105&lt;=sales!$F$33)*sales!$F$42/(sales!$E$33+1)+($C105&gt;=sales!$D$34)*($C105&lt;=sales!$F$34)*sales!$F$43/(sales!$E$34+1)+($C105&gt;=sales!$D$35)*($C105&lt;=sales!$F$35)*sales!$F$44/(sales!$E$35+1)+($C105&gt;=sales!$D$36)*($C105&lt;=sales!$F$36)*sales!$F$45/(sales!$E$36+1)</f>
        <v>0</v>
      </c>
      <c r="AH105" s="181">
        <f>IF(ROUND(SUM(AH$5:AH104),2)&gt;=ROUND(AH$129,2),0,INDEX('draws%'!$D$8:$AG$128,$C105+1,MATCH(AH$4,'draws%'!$D$7:$AG$7,FALSE))*AH$129)</f>
        <v>0</v>
      </c>
      <c r="AI105" s="181">
        <f>IF(ROUND(SUM(AI$5:AI104),2)&gt;=ROUND(AI$129,2),0,INDEX('draws%'!$D$8:$AG$128,$C105+1,MATCH(AI$4,'draws%'!$D$7:$AG$7,FALSE))*AI$129)</f>
        <v>0</v>
      </c>
      <c r="AJ105" s="181">
        <f>IF(ROUND(SUM(AJ$5:AJ104),2)&gt;=ROUND(AJ$129,2),0,INDEX('draws%'!$D$8:$AG$128,$C105+1,MATCH(AJ$4,'draws%'!$D$7:$AG$7,FALSE))*AJ$129)</f>
        <v>0</v>
      </c>
      <c r="AK105" s="181">
        <f>IF(ROUND(SUM(AK$5:AK104),2)&gt;=ROUND(AK$129,2),0,INDEX('draws%'!$D$8:$AG$128,$C105+1,MATCH(AK$4,'draws%'!$D$7:$AG$7,FALSE))*AK$129)</f>
        <v>0</v>
      </c>
      <c r="AL105" s="189">
        <f t="shared" si="2"/>
        <v>0</v>
      </c>
      <c r="AM105" s="194"/>
      <c r="AO105" s="171"/>
    </row>
    <row r="106" spans="1:41" s="192" customFormat="1" ht="16" hidden="1" outlineLevel="1">
      <c r="A106" s="185" t="str">
        <f>IF(MAX(C$5:C105)&gt;=general!$C$27,"post dev",IF(C106&lt;general!$C$23, "Pred", "Dev"))</f>
        <v>post dev</v>
      </c>
      <c r="B106" s="1398"/>
      <c r="C106" s="1388">
        <f>IF('Development Cash Flow'!D105&lt;general!$D$28,'Development Cash Flow'!C105+1,0)</f>
        <v>0</v>
      </c>
      <c r="D106" s="185">
        <f t="shared" si="0"/>
        <v>49309</v>
      </c>
      <c r="E106" s="186">
        <f>($C106&gt;=sales!$D$32)*($C106&lt;=sales!$F$32)*ResUnits/(sales!$E$32+1)</f>
        <v>0</v>
      </c>
      <c r="F106" s="181">
        <f>($C106&gt;=sales!$D$32)*($C106&lt;=sales!$F$32)*sales!$I$18/(sales!$E$32+1)</f>
        <v>0</v>
      </c>
      <c r="G106" s="181">
        <f>($C106&gt;=sales!$D$32)*($C106&lt;=sales!$F$32)*sales!$K$32/(sales!$E$32+1)</f>
        <v>0</v>
      </c>
      <c r="H106" s="187">
        <f>($C106&gt;=sales!$D$33)*($C106&lt;=sales!$F$33)*sales!$K$33/(sales!$E$33+1)</f>
        <v>0</v>
      </c>
      <c r="I106" s="181">
        <f>($C106&gt;=sales!$D$34)*($C106&lt;=sales!$F$34)*sales!$K$34/(sales!$E$34+1)</f>
        <v>0</v>
      </c>
      <c r="J106" s="181">
        <f>($C106&gt;=sales!$D$35)*($C106&lt;=sales!$F$35)*sales!$K$35/(sales!$E$35+1)</f>
        <v>0</v>
      </c>
      <c r="K106" s="189">
        <f>($C106&gt;=sales!$D$36)*($C106&lt;=sales!$F$36)*sales!$K$36*IFERROR(VLOOKUP(C106,sales!$C$50:$D$54,2,FALSE),0)</f>
        <v>0</v>
      </c>
      <c r="L106" s="1398"/>
      <c r="M106" s="1403">
        <f>+G106/$G$4*$M$4*sales!$J$32</f>
        <v>0</v>
      </c>
      <c r="N106" s="1398"/>
      <c r="O106" s="1464">
        <f>IF(ROUND(SUM(O$5:O105),2)&gt;=ROUND(O$129,2),0,INDEX('draws%'!$D$8:$AG$128,$C106+1,MATCH(O$4,'draws%'!$D$7:$AG$7,FALSE))*O$129)</f>
        <v>0</v>
      </c>
      <c r="P106" s="181">
        <f>IF(ROUND(SUM(P$5:P105),2)&gt;=ROUND(P$129,2),0,INDEX('draws%'!$D$8:$AG$128,$C106+1,MATCH(P$4,'draws%'!$D$7:$AG$7,FALSE))*P$129)</f>
        <v>0</v>
      </c>
      <c r="Q106" s="181">
        <f>IF(ROUND(SUM(Q$5:Q105),2)&gt;=ROUND(Q$129,2),0,INDEX('draws%'!$D$8:$AG$128,$C106+1,MATCH(Q$4,'draws%'!$D$7:$AG$7,FALSE))*Q$129)</f>
        <v>0</v>
      </c>
      <c r="R106" s="181">
        <f>IF(ROUND(SUM(R$5:R105),2)&gt;=ROUND(R$129,2),0,INDEX('draws%'!$D$8:$AG$128,$C106+1,MATCH(R$4,'draws%'!$D$7:$AG$7,FALSE))*R$129)</f>
        <v>0</v>
      </c>
      <c r="S106" s="181">
        <f>IF(ROUND(SUM(S$5:S105),2)&gt;=ROUND(S$129,2),0,INDEX('draws%'!$D$8:$AG$128,$C106+1,MATCH(S$4,'draws%'!$D$7:$AG$7,FALSE))*S$129)</f>
        <v>0</v>
      </c>
      <c r="T106" s="181">
        <f>IF(ROUND(SUM(T$5:T105),2)&gt;=ROUND(T$129,2),0,INDEX('draws%'!$D$8:$AG$128,$C106+1,MATCH(T$4,'draws%'!$D$7:$AG$7,FALSE))*T$129)</f>
        <v>0</v>
      </c>
      <c r="U106" s="181">
        <f>IF(ROUND(SUM(U$5:U105),2)&gt;=ROUND(U$129,2),0,INDEX('draws%'!$D$8:$AG$128,$C106+1,MATCH(U$4,'draws%'!$D$7:$AG$7,FALSE))*U$129)</f>
        <v>0</v>
      </c>
      <c r="V106" s="181">
        <f>IF(ROUND(SUM(V$5:V105),2)&gt;=ROUND(V$129,2),0,INDEX('draws%'!$D$8:$AG$128,$C106+1,MATCH(V$4,'draws%'!$D$7:$AG$7,FALSE))*V$129)</f>
        <v>0</v>
      </c>
      <c r="W106" s="181">
        <f>IF(ROUND(SUM(W$5:W105),2)&gt;=ROUND(W$129,2),0,INDEX('draws%'!$D$8:$AG$128,$C106+1,MATCH(W$4,'draws%'!$D$7:$AG$7,FALSE))*W$129)</f>
        <v>0</v>
      </c>
      <c r="X106" s="181">
        <f>IF(ROUND(SUM(X$5:X105),2)&gt;=ROUND(X$129,2),0,INDEX('draws%'!$D$8:$AG$128,$C106+1,MATCH(X$4,'draws%'!$D$7:$AG$7,FALSE))*X$129)</f>
        <v>0</v>
      </c>
      <c r="Y106" s="181">
        <f>IF(ROUND(SUM(Y$5:Y105),2)&gt;=ROUND(Y$129,2),0,INDEX('draws%'!$D$8:$AG$128,$C106+1,MATCH(Y$4,'draws%'!$D$7:$AG$7,FALSE))*Y$129)</f>
        <v>0</v>
      </c>
      <c r="Z106" s="181">
        <f>IF(ROUND(SUM(Z$5:Z105),2)&gt;=ROUND(Z$129,2),0,INDEX('draws%'!$D$8:$AG$128,$C106+1,MATCH(Z$4,'draws%'!$D$7:$AG$7,FALSE))*Z$129)</f>
        <v>0</v>
      </c>
      <c r="AA106" s="181">
        <f>IF(ROUND(SUM(AA$5:AA105),2)&gt;=ROUND(AA$129,2),0,INDEX('draws%'!$D$8:$AG$128,$C106+1,MATCH(AA$4,'draws%'!$D$7:$AG$7,FALSE))*AA$129)</f>
        <v>0</v>
      </c>
      <c r="AB106" s="181">
        <f>IF(ROUND(SUM(AB$5:AB105),2)&gt;=ROUND(AB$129,2),0,INDEX('draws%'!$D$8:$AG$128,$C106+1,MATCH(AB$4,'draws%'!$D$7:$AG$7,FALSE))*AB$129)</f>
        <v>0</v>
      </c>
      <c r="AC106" s="181">
        <f>($C106&gt;=sales!$D$32)*($C106&lt;=sales!$F$32)*sales!$J$41/(sales!$E$32+1)+($C106&gt;=sales!$D$33)*($C106&lt;=sales!$F$33)*sales!$J$42/(sales!$E$33+1)+($C106&gt;=sales!$D$34)*($C106&lt;=sales!$F$34)*sales!$J$43/(sales!$E$34+1)+($C106&gt;=sales!$D$35)*($C106&lt;=sales!$F$35)*sales!$J$44/(sales!$E$35+1)+($C106&gt;=sales!$D$36)*($C106&lt;=sales!$F$36)*sales!$J$45/(sales!$E$36+1)</f>
        <v>0</v>
      </c>
      <c r="AD106" s="181">
        <f>IF(ROUND(SUM(AD$5:AD105),2)&gt;=ROUND(AD$129,2),0,INDEX('draws%'!$D$8:$AG$128,$C106+1,MATCH(AD$4,'draws%'!$D$7:$AG$7,FALSE))*AD$129)</f>
        <v>0</v>
      </c>
      <c r="AE106" s="181">
        <f>IF(ROUND(SUM(AE$5:AE105),2)&gt;=ROUND(AE$129,2),0,INDEX('draws%'!$D$8:$AG$128,$C106+1,MATCH(AE$4,'draws%'!$D$7:$AG$7,FALSE))*AE$129)</f>
        <v>0</v>
      </c>
      <c r="AF106" s="188">
        <f>($C106&gt;=sales!$D$32)*($C106&lt;=sales!$F$32)*sales!$D$41/(sales!$E$32+1)+($C106&gt;=sales!$D$33)*($C106&lt;=sales!$F$33)*sales!$D$42/(sales!$E$33+1)+($C106&gt;=sales!$D$34)*($C106&lt;=sales!$F$34)*sales!$D$43/(sales!$E$34+1)+($C106&gt;=sales!$D$35)*($C106&lt;=sales!$F$35)*sales!$D$44/(sales!$E$35+1)+($C106&gt;=sales!$D$36)*($C106&lt;=sales!$F$36)*sales!$D$45/(sales!$E$36+1)</f>
        <v>0</v>
      </c>
      <c r="AG106" s="188">
        <f>($C106&gt;=sales!$D$32)*($C106&lt;=sales!$F$32)*sales!$F$41/(sales!$E$32+1)+($C106&gt;=sales!$D$33)*($C106&lt;=sales!$F$33)*sales!$F$42/(sales!$E$33+1)+($C106&gt;=sales!$D$34)*($C106&lt;=sales!$F$34)*sales!$F$43/(sales!$E$34+1)+($C106&gt;=sales!$D$35)*($C106&lt;=sales!$F$35)*sales!$F$44/(sales!$E$35+1)+($C106&gt;=sales!$D$36)*($C106&lt;=sales!$F$36)*sales!$F$45/(sales!$E$36+1)</f>
        <v>0</v>
      </c>
      <c r="AH106" s="181">
        <f>IF(ROUND(SUM(AH$5:AH105),2)&gt;=ROUND(AH$129,2),0,INDEX('draws%'!$D$8:$AG$128,$C106+1,MATCH(AH$4,'draws%'!$D$7:$AG$7,FALSE))*AH$129)</f>
        <v>0</v>
      </c>
      <c r="AI106" s="181">
        <f>IF(ROUND(SUM(AI$5:AI105),2)&gt;=ROUND(AI$129,2),0,INDEX('draws%'!$D$8:$AG$128,$C106+1,MATCH(AI$4,'draws%'!$D$7:$AG$7,FALSE))*AI$129)</f>
        <v>0</v>
      </c>
      <c r="AJ106" s="181">
        <f>IF(ROUND(SUM(AJ$5:AJ105),2)&gt;=ROUND(AJ$129,2),0,INDEX('draws%'!$D$8:$AG$128,$C106+1,MATCH(AJ$4,'draws%'!$D$7:$AG$7,FALSE))*AJ$129)</f>
        <v>0</v>
      </c>
      <c r="AK106" s="181">
        <f>IF(ROUND(SUM(AK$5:AK105),2)&gt;=ROUND(AK$129,2),0,INDEX('draws%'!$D$8:$AG$128,$C106+1,MATCH(AK$4,'draws%'!$D$7:$AG$7,FALSE))*AK$129)</f>
        <v>0</v>
      </c>
      <c r="AL106" s="189">
        <f t="shared" si="2"/>
        <v>0</v>
      </c>
      <c r="AM106" s="194"/>
      <c r="AO106" s="171"/>
    </row>
    <row r="107" spans="1:41" s="192" customFormat="1" ht="16" hidden="1" outlineLevel="1">
      <c r="A107" s="185" t="str">
        <f>IF(MAX(C$5:C106)&gt;=general!$C$27,"post dev",IF(C107&lt;general!$C$23, "Pred", "Dev"))</f>
        <v>post dev</v>
      </c>
      <c r="B107" s="1398"/>
      <c r="C107" s="1388">
        <f>IF('Development Cash Flow'!D106&lt;general!$D$28,'Development Cash Flow'!C106+1,0)</f>
        <v>0</v>
      </c>
      <c r="D107" s="185">
        <f t="shared" si="0"/>
        <v>49340</v>
      </c>
      <c r="E107" s="186">
        <f>($C107&gt;=sales!$D$32)*($C107&lt;=sales!$F$32)*ResUnits/(sales!$E$32+1)</f>
        <v>0</v>
      </c>
      <c r="F107" s="181">
        <f>($C107&gt;=sales!$D$32)*($C107&lt;=sales!$F$32)*sales!$I$18/(sales!$E$32+1)</f>
        <v>0</v>
      </c>
      <c r="G107" s="181">
        <f>($C107&gt;=sales!$D$32)*($C107&lt;=sales!$F$32)*sales!$K$32/(sales!$E$32+1)</f>
        <v>0</v>
      </c>
      <c r="H107" s="187">
        <f>($C107&gt;=sales!$D$33)*($C107&lt;=sales!$F$33)*sales!$K$33/(sales!$E$33+1)</f>
        <v>0</v>
      </c>
      <c r="I107" s="181">
        <f>($C107&gt;=sales!$D$34)*($C107&lt;=sales!$F$34)*sales!$K$34/(sales!$E$34+1)</f>
        <v>0</v>
      </c>
      <c r="J107" s="181">
        <f>($C107&gt;=sales!$D$35)*($C107&lt;=sales!$F$35)*sales!$K$35/(sales!$E$35+1)</f>
        <v>0</v>
      </c>
      <c r="K107" s="189">
        <f>($C107&gt;=sales!$D$36)*($C107&lt;=sales!$F$36)*sales!$K$36*IFERROR(VLOOKUP(C107,sales!$C$50:$D$54,2,FALSE),0)</f>
        <v>0</v>
      </c>
      <c r="L107" s="1398"/>
      <c r="M107" s="1403">
        <f>+G107/$G$4*$M$4*sales!$J$32</f>
        <v>0</v>
      </c>
      <c r="N107" s="1398"/>
      <c r="O107" s="1464">
        <f>IF(ROUND(SUM(O$5:O106),2)&gt;=ROUND(O$129,2),0,INDEX('draws%'!$D$8:$AG$128,$C107+1,MATCH(O$4,'draws%'!$D$7:$AG$7,FALSE))*O$129)</f>
        <v>0</v>
      </c>
      <c r="P107" s="181">
        <f>IF(ROUND(SUM(P$5:P106),2)&gt;=ROUND(P$129,2),0,INDEX('draws%'!$D$8:$AG$128,$C107+1,MATCH(P$4,'draws%'!$D$7:$AG$7,FALSE))*P$129)</f>
        <v>0</v>
      </c>
      <c r="Q107" s="181">
        <f>IF(ROUND(SUM(Q$5:Q106),2)&gt;=ROUND(Q$129,2),0,INDEX('draws%'!$D$8:$AG$128,$C107+1,MATCH(Q$4,'draws%'!$D$7:$AG$7,FALSE))*Q$129)</f>
        <v>0</v>
      </c>
      <c r="R107" s="181">
        <f>IF(ROUND(SUM(R$5:R106),2)&gt;=ROUND(R$129,2),0,INDEX('draws%'!$D$8:$AG$128,$C107+1,MATCH(R$4,'draws%'!$D$7:$AG$7,FALSE))*R$129)</f>
        <v>0</v>
      </c>
      <c r="S107" s="181">
        <f>IF(ROUND(SUM(S$5:S106),2)&gt;=ROUND(S$129,2),0,INDEX('draws%'!$D$8:$AG$128,$C107+1,MATCH(S$4,'draws%'!$D$7:$AG$7,FALSE))*S$129)</f>
        <v>0</v>
      </c>
      <c r="T107" s="181">
        <f>IF(ROUND(SUM(T$5:T106),2)&gt;=ROUND(T$129,2),0,INDEX('draws%'!$D$8:$AG$128,$C107+1,MATCH(T$4,'draws%'!$D$7:$AG$7,FALSE))*T$129)</f>
        <v>0</v>
      </c>
      <c r="U107" s="181">
        <f>IF(ROUND(SUM(U$5:U106),2)&gt;=ROUND(U$129,2),0,INDEX('draws%'!$D$8:$AG$128,$C107+1,MATCH(U$4,'draws%'!$D$7:$AG$7,FALSE))*U$129)</f>
        <v>0</v>
      </c>
      <c r="V107" s="181">
        <f>IF(ROUND(SUM(V$5:V106),2)&gt;=ROUND(V$129,2),0,INDEX('draws%'!$D$8:$AG$128,$C107+1,MATCH(V$4,'draws%'!$D$7:$AG$7,FALSE))*V$129)</f>
        <v>0</v>
      </c>
      <c r="W107" s="181">
        <f>IF(ROUND(SUM(W$5:W106),2)&gt;=ROUND(W$129,2),0,INDEX('draws%'!$D$8:$AG$128,$C107+1,MATCH(W$4,'draws%'!$D$7:$AG$7,FALSE))*W$129)</f>
        <v>0</v>
      </c>
      <c r="X107" s="181">
        <f>IF(ROUND(SUM(X$5:X106),2)&gt;=ROUND(X$129,2),0,INDEX('draws%'!$D$8:$AG$128,$C107+1,MATCH(X$4,'draws%'!$D$7:$AG$7,FALSE))*X$129)</f>
        <v>0</v>
      </c>
      <c r="Y107" s="181">
        <f>IF(ROUND(SUM(Y$5:Y106),2)&gt;=ROUND(Y$129,2),0,INDEX('draws%'!$D$8:$AG$128,$C107+1,MATCH(Y$4,'draws%'!$D$7:$AG$7,FALSE))*Y$129)</f>
        <v>0</v>
      </c>
      <c r="Z107" s="181">
        <f>IF(ROUND(SUM(Z$5:Z106),2)&gt;=ROUND(Z$129,2),0,INDEX('draws%'!$D$8:$AG$128,$C107+1,MATCH(Z$4,'draws%'!$D$7:$AG$7,FALSE))*Z$129)</f>
        <v>0</v>
      </c>
      <c r="AA107" s="181">
        <f>IF(ROUND(SUM(AA$5:AA106),2)&gt;=ROUND(AA$129,2),0,INDEX('draws%'!$D$8:$AG$128,$C107+1,MATCH(AA$4,'draws%'!$D$7:$AG$7,FALSE))*AA$129)</f>
        <v>0</v>
      </c>
      <c r="AB107" s="181">
        <f>IF(ROUND(SUM(AB$5:AB106),2)&gt;=ROUND(AB$129,2),0,INDEX('draws%'!$D$8:$AG$128,$C107+1,MATCH(AB$4,'draws%'!$D$7:$AG$7,FALSE))*AB$129)</f>
        <v>0</v>
      </c>
      <c r="AC107" s="181">
        <f>($C107&gt;=sales!$D$32)*($C107&lt;=sales!$F$32)*sales!$J$41/(sales!$E$32+1)+($C107&gt;=sales!$D$33)*($C107&lt;=sales!$F$33)*sales!$J$42/(sales!$E$33+1)+($C107&gt;=sales!$D$34)*($C107&lt;=sales!$F$34)*sales!$J$43/(sales!$E$34+1)+($C107&gt;=sales!$D$35)*($C107&lt;=sales!$F$35)*sales!$J$44/(sales!$E$35+1)+($C107&gt;=sales!$D$36)*($C107&lt;=sales!$F$36)*sales!$J$45/(sales!$E$36+1)</f>
        <v>0</v>
      </c>
      <c r="AD107" s="181">
        <f>IF(ROUND(SUM(AD$5:AD106),2)&gt;=ROUND(AD$129,2),0,INDEX('draws%'!$D$8:$AG$128,$C107+1,MATCH(AD$4,'draws%'!$D$7:$AG$7,FALSE))*AD$129)</f>
        <v>0</v>
      </c>
      <c r="AE107" s="181">
        <f>IF(ROUND(SUM(AE$5:AE106),2)&gt;=ROUND(AE$129,2),0,INDEX('draws%'!$D$8:$AG$128,$C107+1,MATCH(AE$4,'draws%'!$D$7:$AG$7,FALSE))*AE$129)</f>
        <v>0</v>
      </c>
      <c r="AF107" s="188">
        <f>($C107&gt;=sales!$D$32)*($C107&lt;=sales!$F$32)*sales!$D$41/(sales!$E$32+1)+($C107&gt;=sales!$D$33)*($C107&lt;=sales!$F$33)*sales!$D$42/(sales!$E$33+1)+($C107&gt;=sales!$D$34)*($C107&lt;=sales!$F$34)*sales!$D$43/(sales!$E$34+1)+($C107&gt;=sales!$D$35)*($C107&lt;=sales!$F$35)*sales!$D$44/(sales!$E$35+1)+($C107&gt;=sales!$D$36)*($C107&lt;=sales!$F$36)*sales!$D$45/(sales!$E$36+1)</f>
        <v>0</v>
      </c>
      <c r="AG107" s="188">
        <f>($C107&gt;=sales!$D$32)*($C107&lt;=sales!$F$32)*sales!$F$41/(sales!$E$32+1)+($C107&gt;=sales!$D$33)*($C107&lt;=sales!$F$33)*sales!$F$42/(sales!$E$33+1)+($C107&gt;=sales!$D$34)*($C107&lt;=sales!$F$34)*sales!$F$43/(sales!$E$34+1)+($C107&gt;=sales!$D$35)*($C107&lt;=sales!$F$35)*sales!$F$44/(sales!$E$35+1)+($C107&gt;=sales!$D$36)*($C107&lt;=sales!$F$36)*sales!$F$45/(sales!$E$36+1)</f>
        <v>0</v>
      </c>
      <c r="AH107" s="181">
        <f>IF(ROUND(SUM(AH$5:AH106),2)&gt;=ROUND(AH$129,2),0,INDEX('draws%'!$D$8:$AG$128,$C107+1,MATCH(AH$4,'draws%'!$D$7:$AG$7,FALSE))*AH$129)</f>
        <v>0</v>
      </c>
      <c r="AI107" s="181">
        <f>IF(ROUND(SUM(AI$5:AI106),2)&gt;=ROUND(AI$129,2),0,INDEX('draws%'!$D$8:$AG$128,$C107+1,MATCH(AI$4,'draws%'!$D$7:$AG$7,FALSE))*AI$129)</f>
        <v>0</v>
      </c>
      <c r="AJ107" s="181">
        <f>IF(ROUND(SUM(AJ$5:AJ106),2)&gt;=ROUND(AJ$129,2),0,INDEX('draws%'!$D$8:$AG$128,$C107+1,MATCH(AJ$4,'draws%'!$D$7:$AG$7,FALSE))*AJ$129)</f>
        <v>0</v>
      </c>
      <c r="AK107" s="181">
        <f>IF(ROUND(SUM(AK$5:AK106),2)&gt;=ROUND(AK$129,2),0,INDEX('draws%'!$D$8:$AG$128,$C107+1,MATCH(AK$4,'draws%'!$D$7:$AG$7,FALSE))*AK$129)</f>
        <v>0</v>
      </c>
      <c r="AL107" s="189">
        <f t="shared" si="2"/>
        <v>0</v>
      </c>
      <c r="AM107" s="194"/>
      <c r="AO107" s="171"/>
    </row>
    <row r="108" spans="1:41" s="192" customFormat="1" ht="16" hidden="1" outlineLevel="1">
      <c r="A108" s="185" t="str">
        <f>IF(MAX(C$5:C107)&gt;=general!$C$27,"post dev",IF(C108&lt;general!$C$23, "Pred", "Dev"))</f>
        <v>post dev</v>
      </c>
      <c r="B108" s="1398"/>
      <c r="C108" s="1388">
        <f>IF('Development Cash Flow'!D107&lt;general!$D$28,'Development Cash Flow'!C107+1,0)</f>
        <v>0</v>
      </c>
      <c r="D108" s="185">
        <f t="shared" si="0"/>
        <v>49368</v>
      </c>
      <c r="E108" s="186">
        <f>($C108&gt;=sales!$D$32)*($C108&lt;=sales!$F$32)*ResUnits/(sales!$E$32+1)</f>
        <v>0</v>
      </c>
      <c r="F108" s="181">
        <f>($C108&gt;=sales!$D$32)*($C108&lt;=sales!$F$32)*sales!$I$18/(sales!$E$32+1)</f>
        <v>0</v>
      </c>
      <c r="G108" s="181">
        <f>($C108&gt;=sales!$D$32)*($C108&lt;=sales!$F$32)*sales!$K$32/(sales!$E$32+1)</f>
        <v>0</v>
      </c>
      <c r="H108" s="187">
        <f>($C108&gt;=sales!$D$33)*($C108&lt;=sales!$F$33)*sales!$K$33/(sales!$E$33+1)</f>
        <v>0</v>
      </c>
      <c r="I108" s="181">
        <f>($C108&gt;=sales!$D$34)*($C108&lt;=sales!$F$34)*sales!$K$34/(sales!$E$34+1)</f>
        <v>0</v>
      </c>
      <c r="J108" s="181">
        <f>($C108&gt;=sales!$D$35)*($C108&lt;=sales!$F$35)*sales!$K$35/(sales!$E$35+1)</f>
        <v>0</v>
      </c>
      <c r="K108" s="189">
        <f>($C108&gt;=sales!$D$36)*($C108&lt;=sales!$F$36)*sales!$K$36*IFERROR(VLOOKUP(C108,sales!$C$50:$D$54,2,FALSE),0)</f>
        <v>0</v>
      </c>
      <c r="L108" s="1398"/>
      <c r="M108" s="1403">
        <f>+G108/$G$4*$M$4*sales!$J$32</f>
        <v>0</v>
      </c>
      <c r="N108" s="1398"/>
      <c r="O108" s="1464">
        <f>IF(ROUND(SUM(O$5:O107),2)&gt;=ROUND(O$129,2),0,INDEX('draws%'!$D$8:$AG$128,$C108+1,MATCH(O$4,'draws%'!$D$7:$AG$7,FALSE))*O$129)</f>
        <v>0</v>
      </c>
      <c r="P108" s="181">
        <f>IF(ROUND(SUM(P$5:P107),2)&gt;=ROUND(P$129,2),0,INDEX('draws%'!$D$8:$AG$128,$C108+1,MATCH(P$4,'draws%'!$D$7:$AG$7,FALSE))*P$129)</f>
        <v>0</v>
      </c>
      <c r="Q108" s="181">
        <f>IF(ROUND(SUM(Q$5:Q107),2)&gt;=ROUND(Q$129,2),0,INDEX('draws%'!$D$8:$AG$128,$C108+1,MATCH(Q$4,'draws%'!$D$7:$AG$7,FALSE))*Q$129)</f>
        <v>0</v>
      </c>
      <c r="R108" s="181">
        <f>IF(ROUND(SUM(R$5:R107),2)&gt;=ROUND(R$129,2),0,INDEX('draws%'!$D$8:$AG$128,$C108+1,MATCH(R$4,'draws%'!$D$7:$AG$7,FALSE))*R$129)</f>
        <v>0</v>
      </c>
      <c r="S108" s="181">
        <f>IF(ROUND(SUM(S$5:S107),2)&gt;=ROUND(S$129,2),0,INDEX('draws%'!$D$8:$AG$128,$C108+1,MATCH(S$4,'draws%'!$D$7:$AG$7,FALSE))*S$129)</f>
        <v>0</v>
      </c>
      <c r="T108" s="181">
        <f>IF(ROUND(SUM(T$5:T107),2)&gt;=ROUND(T$129,2),0,INDEX('draws%'!$D$8:$AG$128,$C108+1,MATCH(T$4,'draws%'!$D$7:$AG$7,FALSE))*T$129)</f>
        <v>0</v>
      </c>
      <c r="U108" s="181">
        <f>IF(ROUND(SUM(U$5:U107),2)&gt;=ROUND(U$129,2),0,INDEX('draws%'!$D$8:$AG$128,$C108+1,MATCH(U$4,'draws%'!$D$7:$AG$7,FALSE))*U$129)</f>
        <v>0</v>
      </c>
      <c r="V108" s="181">
        <f>IF(ROUND(SUM(V$5:V107),2)&gt;=ROUND(V$129,2),0,INDEX('draws%'!$D$8:$AG$128,$C108+1,MATCH(V$4,'draws%'!$D$7:$AG$7,FALSE))*V$129)</f>
        <v>0</v>
      </c>
      <c r="W108" s="181">
        <f>IF(ROUND(SUM(W$5:W107),2)&gt;=ROUND(W$129,2),0,INDEX('draws%'!$D$8:$AG$128,$C108+1,MATCH(W$4,'draws%'!$D$7:$AG$7,FALSE))*W$129)</f>
        <v>0</v>
      </c>
      <c r="X108" s="181">
        <f>IF(ROUND(SUM(X$5:X107),2)&gt;=ROUND(X$129,2),0,INDEX('draws%'!$D$8:$AG$128,$C108+1,MATCH(X$4,'draws%'!$D$7:$AG$7,FALSE))*X$129)</f>
        <v>0</v>
      </c>
      <c r="Y108" s="181">
        <f>IF(ROUND(SUM(Y$5:Y107),2)&gt;=ROUND(Y$129,2),0,INDEX('draws%'!$D$8:$AG$128,$C108+1,MATCH(Y$4,'draws%'!$D$7:$AG$7,FALSE))*Y$129)</f>
        <v>0</v>
      </c>
      <c r="Z108" s="181">
        <f>IF(ROUND(SUM(Z$5:Z107),2)&gt;=ROUND(Z$129,2),0,INDEX('draws%'!$D$8:$AG$128,$C108+1,MATCH(Z$4,'draws%'!$D$7:$AG$7,FALSE))*Z$129)</f>
        <v>0</v>
      </c>
      <c r="AA108" s="181">
        <f>IF(ROUND(SUM(AA$5:AA107),2)&gt;=ROUND(AA$129,2),0,INDEX('draws%'!$D$8:$AG$128,$C108+1,MATCH(AA$4,'draws%'!$D$7:$AG$7,FALSE))*AA$129)</f>
        <v>0</v>
      </c>
      <c r="AB108" s="181">
        <f>IF(ROUND(SUM(AB$5:AB107),2)&gt;=ROUND(AB$129,2),0,INDEX('draws%'!$D$8:$AG$128,$C108+1,MATCH(AB$4,'draws%'!$D$7:$AG$7,FALSE))*AB$129)</f>
        <v>0</v>
      </c>
      <c r="AC108" s="181">
        <f>($C108&gt;=sales!$D$32)*($C108&lt;=sales!$F$32)*sales!$J$41/(sales!$E$32+1)+($C108&gt;=sales!$D$33)*($C108&lt;=sales!$F$33)*sales!$J$42/(sales!$E$33+1)+($C108&gt;=sales!$D$34)*($C108&lt;=sales!$F$34)*sales!$J$43/(sales!$E$34+1)+($C108&gt;=sales!$D$35)*($C108&lt;=sales!$F$35)*sales!$J$44/(sales!$E$35+1)+($C108&gt;=sales!$D$36)*($C108&lt;=sales!$F$36)*sales!$J$45/(sales!$E$36+1)</f>
        <v>0</v>
      </c>
      <c r="AD108" s="181">
        <f>IF(ROUND(SUM(AD$5:AD107),2)&gt;=ROUND(AD$129,2),0,INDEX('draws%'!$D$8:$AG$128,$C108+1,MATCH(AD$4,'draws%'!$D$7:$AG$7,FALSE))*AD$129)</f>
        <v>0</v>
      </c>
      <c r="AE108" s="181">
        <f>IF(ROUND(SUM(AE$5:AE107),2)&gt;=ROUND(AE$129,2),0,INDEX('draws%'!$D$8:$AG$128,$C108+1,MATCH(AE$4,'draws%'!$D$7:$AG$7,FALSE))*AE$129)</f>
        <v>0</v>
      </c>
      <c r="AF108" s="188">
        <f>($C108&gt;=sales!$D$32)*($C108&lt;=sales!$F$32)*sales!$D$41/(sales!$E$32+1)+($C108&gt;=sales!$D$33)*($C108&lt;=sales!$F$33)*sales!$D$42/(sales!$E$33+1)+($C108&gt;=sales!$D$34)*($C108&lt;=sales!$F$34)*sales!$D$43/(sales!$E$34+1)+($C108&gt;=sales!$D$35)*($C108&lt;=sales!$F$35)*sales!$D$44/(sales!$E$35+1)+($C108&gt;=sales!$D$36)*($C108&lt;=sales!$F$36)*sales!$D$45/(sales!$E$36+1)</f>
        <v>0</v>
      </c>
      <c r="AG108" s="188">
        <f>($C108&gt;=sales!$D$32)*($C108&lt;=sales!$F$32)*sales!$F$41/(sales!$E$32+1)+($C108&gt;=sales!$D$33)*($C108&lt;=sales!$F$33)*sales!$F$42/(sales!$E$33+1)+($C108&gt;=sales!$D$34)*($C108&lt;=sales!$F$34)*sales!$F$43/(sales!$E$34+1)+($C108&gt;=sales!$D$35)*($C108&lt;=sales!$F$35)*sales!$F$44/(sales!$E$35+1)+($C108&gt;=sales!$D$36)*($C108&lt;=sales!$F$36)*sales!$F$45/(sales!$E$36+1)</f>
        <v>0</v>
      </c>
      <c r="AH108" s="181">
        <f>IF(ROUND(SUM(AH$5:AH107),2)&gt;=ROUND(AH$129,2),0,INDEX('draws%'!$D$8:$AG$128,$C108+1,MATCH(AH$4,'draws%'!$D$7:$AG$7,FALSE))*AH$129)</f>
        <v>0</v>
      </c>
      <c r="AI108" s="181">
        <f>IF(ROUND(SUM(AI$5:AI107),2)&gt;=ROUND(AI$129,2),0,INDEX('draws%'!$D$8:$AG$128,$C108+1,MATCH(AI$4,'draws%'!$D$7:$AG$7,FALSE))*AI$129)</f>
        <v>0</v>
      </c>
      <c r="AJ108" s="181">
        <f>IF(ROUND(SUM(AJ$5:AJ107),2)&gt;=ROUND(AJ$129,2),0,INDEX('draws%'!$D$8:$AG$128,$C108+1,MATCH(AJ$4,'draws%'!$D$7:$AG$7,FALSE))*AJ$129)</f>
        <v>0</v>
      </c>
      <c r="AK108" s="181">
        <f>IF(ROUND(SUM(AK$5:AK107),2)&gt;=ROUND(AK$129,2),0,INDEX('draws%'!$D$8:$AG$128,$C108+1,MATCH(AK$4,'draws%'!$D$7:$AG$7,FALSE))*AK$129)</f>
        <v>0</v>
      </c>
      <c r="AL108" s="189">
        <f t="shared" si="2"/>
        <v>0</v>
      </c>
      <c r="AM108" s="194"/>
      <c r="AO108" s="171"/>
    </row>
    <row r="109" spans="1:41" s="192" customFormat="1" ht="16" hidden="1" outlineLevel="1">
      <c r="A109" s="185" t="str">
        <f>IF(MAX(C$5:C108)&gt;=general!$C$27,"post dev",IF(C109&lt;general!$C$23, "Pred", "Dev"))</f>
        <v>post dev</v>
      </c>
      <c r="B109" s="1398"/>
      <c r="C109" s="1388">
        <f>IF('Development Cash Flow'!D108&lt;general!$D$28,'Development Cash Flow'!C108+1,0)</f>
        <v>0</v>
      </c>
      <c r="D109" s="185">
        <f t="shared" si="0"/>
        <v>49399</v>
      </c>
      <c r="E109" s="186">
        <f>($C109&gt;=sales!$D$32)*($C109&lt;=sales!$F$32)*ResUnits/(sales!$E$32+1)</f>
        <v>0</v>
      </c>
      <c r="F109" s="181">
        <f>($C109&gt;=sales!$D$32)*($C109&lt;=sales!$F$32)*sales!$I$18/(sales!$E$32+1)</f>
        <v>0</v>
      </c>
      <c r="G109" s="181">
        <f>($C109&gt;=sales!$D$32)*($C109&lt;=sales!$F$32)*sales!$K$32/(sales!$E$32+1)</f>
        <v>0</v>
      </c>
      <c r="H109" s="187">
        <f>($C109&gt;=sales!$D$33)*($C109&lt;=sales!$F$33)*sales!$K$33/(sales!$E$33+1)</f>
        <v>0</v>
      </c>
      <c r="I109" s="181">
        <f>($C109&gt;=sales!$D$34)*($C109&lt;=sales!$F$34)*sales!$K$34/(sales!$E$34+1)</f>
        <v>0</v>
      </c>
      <c r="J109" s="181">
        <f>($C109&gt;=sales!$D$35)*($C109&lt;=sales!$F$35)*sales!$K$35/(sales!$E$35+1)</f>
        <v>0</v>
      </c>
      <c r="K109" s="189">
        <f>($C109&gt;=sales!$D$36)*($C109&lt;=sales!$F$36)*sales!$K$36*IFERROR(VLOOKUP(C109,sales!$C$50:$D$54,2,FALSE),0)</f>
        <v>0</v>
      </c>
      <c r="L109" s="1398"/>
      <c r="M109" s="1403">
        <f>+G109/$G$4*$M$4*sales!$J$32</f>
        <v>0</v>
      </c>
      <c r="N109" s="1398"/>
      <c r="O109" s="1464">
        <f>IF(ROUND(SUM(O$5:O108),2)&gt;=ROUND(O$129,2),0,INDEX('draws%'!$D$8:$AG$128,$C109+1,MATCH(O$4,'draws%'!$D$7:$AG$7,FALSE))*O$129)</f>
        <v>0</v>
      </c>
      <c r="P109" s="181">
        <f>IF(ROUND(SUM(P$5:P108),2)&gt;=ROUND(P$129,2),0,INDEX('draws%'!$D$8:$AG$128,$C109+1,MATCH(P$4,'draws%'!$D$7:$AG$7,FALSE))*P$129)</f>
        <v>0</v>
      </c>
      <c r="Q109" s="181">
        <f>IF(ROUND(SUM(Q$5:Q108),2)&gt;=ROUND(Q$129,2),0,INDEX('draws%'!$D$8:$AG$128,$C109+1,MATCH(Q$4,'draws%'!$D$7:$AG$7,FALSE))*Q$129)</f>
        <v>0</v>
      </c>
      <c r="R109" s="181">
        <f>IF(ROUND(SUM(R$5:R108),2)&gt;=ROUND(R$129,2),0,INDEX('draws%'!$D$8:$AG$128,$C109+1,MATCH(R$4,'draws%'!$D$7:$AG$7,FALSE))*R$129)</f>
        <v>0</v>
      </c>
      <c r="S109" s="181">
        <f>IF(ROUND(SUM(S$5:S108),2)&gt;=ROUND(S$129,2),0,INDEX('draws%'!$D$8:$AG$128,$C109+1,MATCH(S$4,'draws%'!$D$7:$AG$7,FALSE))*S$129)</f>
        <v>0</v>
      </c>
      <c r="T109" s="181">
        <f>IF(ROUND(SUM(T$5:T108),2)&gt;=ROUND(T$129,2),0,INDEX('draws%'!$D$8:$AG$128,$C109+1,MATCH(T$4,'draws%'!$D$7:$AG$7,FALSE))*T$129)</f>
        <v>0</v>
      </c>
      <c r="U109" s="181">
        <f>IF(ROUND(SUM(U$5:U108),2)&gt;=ROUND(U$129,2),0,INDEX('draws%'!$D$8:$AG$128,$C109+1,MATCH(U$4,'draws%'!$D$7:$AG$7,FALSE))*U$129)</f>
        <v>0</v>
      </c>
      <c r="V109" s="181">
        <f>IF(ROUND(SUM(V$5:V108),2)&gt;=ROUND(V$129,2),0,INDEX('draws%'!$D$8:$AG$128,$C109+1,MATCH(V$4,'draws%'!$D$7:$AG$7,FALSE))*V$129)</f>
        <v>0</v>
      </c>
      <c r="W109" s="181">
        <f>IF(ROUND(SUM(W$5:W108),2)&gt;=ROUND(W$129,2),0,INDEX('draws%'!$D$8:$AG$128,$C109+1,MATCH(W$4,'draws%'!$D$7:$AG$7,FALSE))*W$129)</f>
        <v>0</v>
      </c>
      <c r="X109" s="181">
        <f>IF(ROUND(SUM(X$5:X108),2)&gt;=ROUND(X$129,2),0,INDEX('draws%'!$D$8:$AG$128,$C109+1,MATCH(X$4,'draws%'!$D$7:$AG$7,FALSE))*X$129)</f>
        <v>0</v>
      </c>
      <c r="Y109" s="181">
        <f>IF(ROUND(SUM(Y$5:Y108),2)&gt;=ROUND(Y$129,2),0,INDEX('draws%'!$D$8:$AG$128,$C109+1,MATCH(Y$4,'draws%'!$D$7:$AG$7,FALSE))*Y$129)</f>
        <v>0</v>
      </c>
      <c r="Z109" s="181">
        <f>IF(ROUND(SUM(Z$5:Z108),2)&gt;=ROUND(Z$129,2),0,INDEX('draws%'!$D$8:$AG$128,$C109+1,MATCH(Z$4,'draws%'!$D$7:$AG$7,FALSE))*Z$129)</f>
        <v>0</v>
      </c>
      <c r="AA109" s="181">
        <f>IF(ROUND(SUM(AA$5:AA108),2)&gt;=ROUND(AA$129,2),0,INDEX('draws%'!$D$8:$AG$128,$C109+1,MATCH(AA$4,'draws%'!$D$7:$AG$7,FALSE))*AA$129)</f>
        <v>0</v>
      </c>
      <c r="AB109" s="181">
        <f>IF(ROUND(SUM(AB$5:AB108),2)&gt;=ROUND(AB$129,2),0,INDEX('draws%'!$D$8:$AG$128,$C109+1,MATCH(AB$4,'draws%'!$D$7:$AG$7,FALSE))*AB$129)</f>
        <v>0</v>
      </c>
      <c r="AC109" s="181">
        <f>($C109&gt;=sales!$D$32)*($C109&lt;=sales!$F$32)*sales!$J$41/(sales!$E$32+1)+($C109&gt;=sales!$D$33)*($C109&lt;=sales!$F$33)*sales!$J$42/(sales!$E$33+1)+($C109&gt;=sales!$D$34)*($C109&lt;=sales!$F$34)*sales!$J$43/(sales!$E$34+1)+($C109&gt;=sales!$D$35)*($C109&lt;=sales!$F$35)*sales!$J$44/(sales!$E$35+1)+($C109&gt;=sales!$D$36)*($C109&lt;=sales!$F$36)*sales!$J$45/(sales!$E$36+1)</f>
        <v>0</v>
      </c>
      <c r="AD109" s="181">
        <f>IF(ROUND(SUM(AD$5:AD108),2)&gt;=ROUND(AD$129,2),0,INDEX('draws%'!$D$8:$AG$128,$C109+1,MATCH(AD$4,'draws%'!$D$7:$AG$7,FALSE))*AD$129)</f>
        <v>0</v>
      </c>
      <c r="AE109" s="181">
        <f>IF(ROUND(SUM(AE$5:AE108),2)&gt;=ROUND(AE$129,2),0,INDEX('draws%'!$D$8:$AG$128,$C109+1,MATCH(AE$4,'draws%'!$D$7:$AG$7,FALSE))*AE$129)</f>
        <v>0</v>
      </c>
      <c r="AF109" s="188">
        <f>($C109&gt;=sales!$D$32)*($C109&lt;=sales!$F$32)*sales!$D$41/(sales!$E$32+1)+($C109&gt;=sales!$D$33)*($C109&lt;=sales!$F$33)*sales!$D$42/(sales!$E$33+1)+($C109&gt;=sales!$D$34)*($C109&lt;=sales!$F$34)*sales!$D$43/(sales!$E$34+1)+($C109&gt;=sales!$D$35)*($C109&lt;=sales!$F$35)*sales!$D$44/(sales!$E$35+1)+($C109&gt;=sales!$D$36)*($C109&lt;=sales!$F$36)*sales!$D$45/(sales!$E$36+1)</f>
        <v>0</v>
      </c>
      <c r="AG109" s="188">
        <f>($C109&gt;=sales!$D$32)*($C109&lt;=sales!$F$32)*sales!$F$41/(sales!$E$32+1)+($C109&gt;=sales!$D$33)*($C109&lt;=sales!$F$33)*sales!$F$42/(sales!$E$33+1)+($C109&gt;=sales!$D$34)*($C109&lt;=sales!$F$34)*sales!$F$43/(sales!$E$34+1)+($C109&gt;=sales!$D$35)*($C109&lt;=sales!$F$35)*sales!$F$44/(sales!$E$35+1)+($C109&gt;=sales!$D$36)*($C109&lt;=sales!$F$36)*sales!$F$45/(sales!$E$36+1)</f>
        <v>0</v>
      </c>
      <c r="AH109" s="181">
        <f>IF(ROUND(SUM(AH$5:AH108),2)&gt;=ROUND(AH$129,2),0,INDEX('draws%'!$D$8:$AG$128,$C109+1,MATCH(AH$4,'draws%'!$D$7:$AG$7,FALSE))*AH$129)</f>
        <v>0</v>
      </c>
      <c r="AI109" s="181">
        <f>IF(ROUND(SUM(AI$5:AI108),2)&gt;=ROUND(AI$129,2),0,INDEX('draws%'!$D$8:$AG$128,$C109+1,MATCH(AI$4,'draws%'!$D$7:$AG$7,FALSE))*AI$129)</f>
        <v>0</v>
      </c>
      <c r="AJ109" s="181">
        <f>IF(ROUND(SUM(AJ$5:AJ108),2)&gt;=ROUND(AJ$129,2),0,INDEX('draws%'!$D$8:$AG$128,$C109+1,MATCH(AJ$4,'draws%'!$D$7:$AG$7,FALSE))*AJ$129)</f>
        <v>0</v>
      </c>
      <c r="AK109" s="181">
        <f>IF(ROUND(SUM(AK$5:AK108),2)&gt;=ROUND(AK$129,2),0,INDEX('draws%'!$D$8:$AG$128,$C109+1,MATCH(AK$4,'draws%'!$D$7:$AG$7,FALSE))*AK$129)</f>
        <v>0</v>
      </c>
      <c r="AL109" s="189">
        <f t="shared" ref="AL109:AL126" si="3">SUM(N109:AK109)</f>
        <v>0</v>
      </c>
      <c r="AM109" s="194"/>
      <c r="AO109" s="171"/>
    </row>
    <row r="110" spans="1:41" s="168" customFormat="1" ht="16" hidden="1" outlineLevel="1">
      <c r="A110" s="185" t="str">
        <f>IF(MAX(C$5:C109)&gt;=general!$C$27,"post dev",IF(C110&lt;general!$C$23, "Pred", "Dev"))</f>
        <v>post dev</v>
      </c>
      <c r="B110" s="1398"/>
      <c r="C110" s="1388">
        <f>IF('Development Cash Flow'!D109&lt;general!$D$28,'Development Cash Flow'!C109+1,0)</f>
        <v>0</v>
      </c>
      <c r="D110" s="185">
        <f t="shared" si="0"/>
        <v>49429</v>
      </c>
      <c r="E110" s="186">
        <f>($C110&gt;=sales!$D$32)*($C110&lt;=sales!$F$32)*ResUnits/(sales!$E$32+1)</f>
        <v>0</v>
      </c>
      <c r="F110" s="181">
        <f>($C110&gt;=sales!$D$32)*($C110&lt;=sales!$F$32)*sales!$I$18/(sales!$E$32+1)</f>
        <v>0</v>
      </c>
      <c r="G110" s="181">
        <f>($C110&gt;=sales!$D$32)*($C110&lt;=sales!$F$32)*sales!$K$32/(sales!$E$32+1)</f>
        <v>0</v>
      </c>
      <c r="H110" s="187">
        <f>($C110&gt;=sales!$D$33)*($C110&lt;=sales!$F$33)*sales!$K$33/(sales!$E$33+1)</f>
        <v>0</v>
      </c>
      <c r="I110" s="181">
        <f>($C110&gt;=sales!$D$34)*($C110&lt;=sales!$F$34)*sales!$K$34/(sales!$E$34+1)</f>
        <v>0</v>
      </c>
      <c r="J110" s="181">
        <f>($C110&gt;=sales!$D$35)*($C110&lt;=sales!$F$35)*sales!$K$35/(sales!$E$35+1)</f>
        <v>0</v>
      </c>
      <c r="K110" s="189">
        <f>($C110&gt;=sales!$D$36)*($C110&lt;=sales!$F$36)*sales!$K$36*IFERROR(VLOOKUP(C110,sales!$C$50:$D$54,2,FALSE),0)</f>
        <v>0</v>
      </c>
      <c r="L110" s="1398"/>
      <c r="M110" s="1403">
        <f>+G110/$G$4*$M$4*sales!$J$32</f>
        <v>0</v>
      </c>
      <c r="N110" s="1398"/>
      <c r="O110" s="1464">
        <f>IF(ROUND(SUM(O$5:O109),2)&gt;=ROUND(O$129,2),0,INDEX('draws%'!$D$8:$AG$128,$C110+1,MATCH(O$4,'draws%'!$D$7:$AG$7,FALSE))*O$129)</f>
        <v>0</v>
      </c>
      <c r="P110" s="181">
        <f>IF(ROUND(SUM(P$5:P109),2)&gt;=ROUND(P$129,2),0,INDEX('draws%'!$D$8:$AG$128,$C110+1,MATCH(P$4,'draws%'!$D$7:$AG$7,FALSE))*P$129)</f>
        <v>0</v>
      </c>
      <c r="Q110" s="181">
        <f>IF(ROUND(SUM(Q$5:Q109),2)&gt;=ROUND(Q$129,2),0,INDEX('draws%'!$D$8:$AG$128,$C110+1,MATCH(Q$4,'draws%'!$D$7:$AG$7,FALSE))*Q$129)</f>
        <v>0</v>
      </c>
      <c r="R110" s="181">
        <f>IF(ROUND(SUM(R$5:R109),2)&gt;=ROUND(R$129,2),0,INDEX('draws%'!$D$8:$AG$128,$C110+1,MATCH(R$4,'draws%'!$D$7:$AG$7,FALSE))*R$129)</f>
        <v>0</v>
      </c>
      <c r="S110" s="181">
        <f>IF(ROUND(SUM(S$5:S109),2)&gt;=ROUND(S$129,2),0,INDEX('draws%'!$D$8:$AG$128,$C110+1,MATCH(S$4,'draws%'!$D$7:$AG$7,FALSE))*S$129)</f>
        <v>0</v>
      </c>
      <c r="T110" s="181">
        <f>IF(ROUND(SUM(T$5:T109),2)&gt;=ROUND(T$129,2),0,INDEX('draws%'!$D$8:$AG$128,$C110+1,MATCH(T$4,'draws%'!$D$7:$AG$7,FALSE))*T$129)</f>
        <v>0</v>
      </c>
      <c r="U110" s="181">
        <f>IF(ROUND(SUM(U$5:U109),2)&gt;=ROUND(U$129,2),0,INDEX('draws%'!$D$8:$AG$128,$C110+1,MATCH(U$4,'draws%'!$D$7:$AG$7,FALSE))*U$129)</f>
        <v>0</v>
      </c>
      <c r="V110" s="181">
        <f>IF(ROUND(SUM(V$5:V109),2)&gt;=ROUND(V$129,2),0,INDEX('draws%'!$D$8:$AG$128,$C110+1,MATCH(V$4,'draws%'!$D$7:$AG$7,FALSE))*V$129)</f>
        <v>0</v>
      </c>
      <c r="W110" s="181">
        <f>IF(ROUND(SUM(W$5:W109),2)&gt;=ROUND(W$129,2),0,INDEX('draws%'!$D$8:$AG$128,$C110+1,MATCH(W$4,'draws%'!$D$7:$AG$7,FALSE))*W$129)</f>
        <v>0</v>
      </c>
      <c r="X110" s="181">
        <f>IF(ROUND(SUM(X$5:X109),2)&gt;=ROUND(X$129,2),0,INDEX('draws%'!$D$8:$AG$128,$C110+1,MATCH(X$4,'draws%'!$D$7:$AG$7,FALSE))*X$129)</f>
        <v>0</v>
      </c>
      <c r="Y110" s="181">
        <f>IF(ROUND(SUM(Y$5:Y109),2)&gt;=ROUND(Y$129,2),0,INDEX('draws%'!$D$8:$AG$128,$C110+1,MATCH(Y$4,'draws%'!$D$7:$AG$7,FALSE))*Y$129)</f>
        <v>0</v>
      </c>
      <c r="Z110" s="181">
        <f>IF(ROUND(SUM(Z$5:Z109),2)&gt;=ROUND(Z$129,2),0,INDEX('draws%'!$D$8:$AG$128,$C110+1,MATCH(Z$4,'draws%'!$D$7:$AG$7,FALSE))*Z$129)</f>
        <v>0</v>
      </c>
      <c r="AA110" s="181">
        <f>IF(ROUND(SUM(AA$5:AA109),2)&gt;=ROUND(AA$129,2),0,INDEX('draws%'!$D$8:$AG$128,$C110+1,MATCH(AA$4,'draws%'!$D$7:$AG$7,FALSE))*AA$129)</f>
        <v>0</v>
      </c>
      <c r="AB110" s="181">
        <f>IF(ROUND(SUM(AB$5:AB109),2)&gt;=ROUND(AB$129,2),0,INDEX('draws%'!$D$8:$AG$128,$C110+1,MATCH(AB$4,'draws%'!$D$7:$AG$7,FALSE))*AB$129)</f>
        <v>0</v>
      </c>
      <c r="AC110" s="181">
        <f>($C110&gt;=sales!$D$32)*($C110&lt;=sales!$F$32)*sales!$J$41/(sales!$E$32+1)+($C110&gt;=sales!$D$33)*($C110&lt;=sales!$F$33)*sales!$J$42/(sales!$E$33+1)+($C110&gt;=sales!$D$34)*($C110&lt;=sales!$F$34)*sales!$J$43/(sales!$E$34+1)+($C110&gt;=sales!$D$35)*($C110&lt;=sales!$F$35)*sales!$J$44/(sales!$E$35+1)+($C110&gt;=sales!$D$36)*($C110&lt;=sales!$F$36)*sales!$J$45/(sales!$E$36+1)</f>
        <v>0</v>
      </c>
      <c r="AD110" s="181">
        <f>IF(ROUND(SUM(AD$5:AD109),2)&gt;=ROUND(AD$129,2),0,INDEX('draws%'!$D$8:$AG$128,$C110+1,MATCH(AD$4,'draws%'!$D$7:$AG$7,FALSE))*AD$129)</f>
        <v>0</v>
      </c>
      <c r="AE110" s="181">
        <f>IF(ROUND(SUM(AE$5:AE109),2)&gt;=ROUND(AE$129,2),0,INDEX('draws%'!$D$8:$AG$128,$C110+1,MATCH(AE$4,'draws%'!$D$7:$AG$7,FALSE))*AE$129)</f>
        <v>0</v>
      </c>
      <c r="AF110" s="188">
        <f>($C110&gt;=sales!$D$32)*($C110&lt;=sales!$F$32)*sales!$D$41/(sales!$E$32+1)+($C110&gt;=sales!$D$33)*($C110&lt;=sales!$F$33)*sales!$D$42/(sales!$E$33+1)+($C110&gt;=sales!$D$34)*($C110&lt;=sales!$F$34)*sales!$D$43/(sales!$E$34+1)+($C110&gt;=sales!$D$35)*($C110&lt;=sales!$F$35)*sales!$D$44/(sales!$E$35+1)+($C110&gt;=sales!$D$36)*($C110&lt;=sales!$F$36)*sales!$D$45/(sales!$E$36+1)</f>
        <v>0</v>
      </c>
      <c r="AG110" s="188">
        <f>($C110&gt;=sales!$D$32)*($C110&lt;=sales!$F$32)*sales!$F$41/(sales!$E$32+1)+($C110&gt;=sales!$D$33)*($C110&lt;=sales!$F$33)*sales!$F$42/(sales!$E$33+1)+($C110&gt;=sales!$D$34)*($C110&lt;=sales!$F$34)*sales!$F$43/(sales!$E$34+1)+($C110&gt;=sales!$D$35)*($C110&lt;=sales!$F$35)*sales!$F$44/(sales!$E$35+1)+($C110&gt;=sales!$D$36)*($C110&lt;=sales!$F$36)*sales!$F$45/(sales!$E$36+1)</f>
        <v>0</v>
      </c>
      <c r="AH110" s="181">
        <f>IF(ROUND(SUM(AH$5:AH109),2)&gt;=ROUND(AH$129,2),0,INDEX('draws%'!$D$8:$AG$128,$C110+1,MATCH(AH$4,'draws%'!$D$7:$AG$7,FALSE))*AH$129)</f>
        <v>0</v>
      </c>
      <c r="AI110" s="181">
        <f>IF(ROUND(SUM(AI$5:AI109),2)&gt;=ROUND(AI$129,2),0,INDEX('draws%'!$D$8:$AG$128,$C110+1,MATCH(AI$4,'draws%'!$D$7:$AG$7,FALSE))*AI$129)</f>
        <v>0</v>
      </c>
      <c r="AJ110" s="181">
        <f>IF(ROUND(SUM(AJ$5:AJ109),2)&gt;=ROUND(AJ$129,2),0,INDEX('draws%'!$D$8:$AG$128,$C110+1,MATCH(AJ$4,'draws%'!$D$7:$AG$7,FALSE))*AJ$129)</f>
        <v>0</v>
      </c>
      <c r="AK110" s="181">
        <f>IF(ROUND(SUM(AK$5:AK109),2)&gt;=ROUND(AK$129,2),0,INDEX('draws%'!$D$8:$AG$128,$C110+1,MATCH(AK$4,'draws%'!$D$7:$AG$7,FALSE))*AK$129)</f>
        <v>0</v>
      </c>
      <c r="AL110" s="189">
        <f t="shared" si="3"/>
        <v>0</v>
      </c>
      <c r="AM110" s="195"/>
      <c r="AO110" s="171"/>
    </row>
    <row r="111" spans="1:41" ht="16" hidden="1" outlineLevel="1">
      <c r="A111" s="185" t="str">
        <f>IF(MAX(C$5:C110)&gt;=general!$C$27,"post dev",IF(C111&lt;general!$C$23, "Pred", "Dev"))</f>
        <v>post dev</v>
      </c>
      <c r="B111" s="1398"/>
      <c r="C111" s="1388">
        <f>IF('Development Cash Flow'!D110&lt;general!$D$28,'Development Cash Flow'!C110+1,0)</f>
        <v>0</v>
      </c>
      <c r="D111" s="185">
        <f t="shared" si="0"/>
        <v>49460</v>
      </c>
      <c r="E111" s="186">
        <f>($C111&gt;=sales!$D$32)*($C111&lt;=sales!$F$32)*ResUnits/(sales!$E$32+1)</f>
        <v>0</v>
      </c>
      <c r="F111" s="181">
        <f>($C111&gt;=sales!$D$32)*($C111&lt;=sales!$F$32)*sales!$I$18/(sales!$E$32+1)</f>
        <v>0</v>
      </c>
      <c r="G111" s="181">
        <f>($C111&gt;=sales!$D$32)*($C111&lt;=sales!$F$32)*sales!$K$32/(sales!$E$32+1)</f>
        <v>0</v>
      </c>
      <c r="H111" s="187">
        <f>($C111&gt;=sales!$D$33)*($C111&lt;=sales!$F$33)*sales!$K$33/(sales!$E$33+1)</f>
        <v>0</v>
      </c>
      <c r="I111" s="181">
        <f>($C111&gt;=sales!$D$34)*($C111&lt;=sales!$F$34)*sales!$K$34/(sales!$E$34+1)</f>
        <v>0</v>
      </c>
      <c r="J111" s="181">
        <f>($C111&gt;=sales!$D$35)*($C111&lt;=sales!$F$35)*sales!$K$35/(sales!$E$35+1)</f>
        <v>0</v>
      </c>
      <c r="K111" s="189">
        <f>($C111&gt;=sales!$D$36)*($C111&lt;=sales!$F$36)*sales!$K$36*IFERROR(VLOOKUP(C111,sales!$C$50:$D$54,2,FALSE),0)</f>
        <v>0</v>
      </c>
      <c r="L111" s="1398"/>
      <c r="M111" s="1403">
        <f>+G111/$G$4*$M$4*sales!$J$32</f>
        <v>0</v>
      </c>
      <c r="N111" s="1398"/>
      <c r="O111" s="1464">
        <f>IF(ROUND(SUM(O$5:O110),2)&gt;=ROUND(O$129,2),0,INDEX('draws%'!$D$8:$AG$128,$C111+1,MATCH(O$4,'draws%'!$D$7:$AG$7,FALSE))*O$129)</f>
        <v>0</v>
      </c>
      <c r="P111" s="181">
        <f>IF(ROUND(SUM(P$5:P110),2)&gt;=ROUND(P$129,2),0,INDEX('draws%'!$D$8:$AG$128,$C111+1,MATCH(P$4,'draws%'!$D$7:$AG$7,FALSE))*P$129)</f>
        <v>0</v>
      </c>
      <c r="Q111" s="181">
        <f>IF(ROUND(SUM(Q$5:Q110),2)&gt;=ROUND(Q$129,2),0,INDEX('draws%'!$D$8:$AG$128,$C111+1,MATCH(Q$4,'draws%'!$D$7:$AG$7,FALSE))*Q$129)</f>
        <v>0</v>
      </c>
      <c r="R111" s="181">
        <f>IF(ROUND(SUM(R$5:R110),2)&gt;=ROUND(R$129,2),0,INDEX('draws%'!$D$8:$AG$128,$C111+1,MATCH(R$4,'draws%'!$D$7:$AG$7,FALSE))*R$129)</f>
        <v>0</v>
      </c>
      <c r="S111" s="181">
        <f>IF(ROUND(SUM(S$5:S110),2)&gt;=ROUND(S$129,2),0,INDEX('draws%'!$D$8:$AG$128,$C111+1,MATCH(S$4,'draws%'!$D$7:$AG$7,FALSE))*S$129)</f>
        <v>0</v>
      </c>
      <c r="T111" s="181">
        <f>IF(ROUND(SUM(T$5:T110),2)&gt;=ROUND(T$129,2),0,INDEX('draws%'!$D$8:$AG$128,$C111+1,MATCH(T$4,'draws%'!$D$7:$AG$7,FALSE))*T$129)</f>
        <v>0</v>
      </c>
      <c r="U111" s="181">
        <f>IF(ROUND(SUM(U$5:U110),2)&gt;=ROUND(U$129,2),0,INDEX('draws%'!$D$8:$AG$128,$C111+1,MATCH(U$4,'draws%'!$D$7:$AG$7,FALSE))*U$129)</f>
        <v>0</v>
      </c>
      <c r="V111" s="181">
        <f>IF(ROUND(SUM(V$5:V110),2)&gt;=ROUND(V$129,2),0,INDEX('draws%'!$D$8:$AG$128,$C111+1,MATCH(V$4,'draws%'!$D$7:$AG$7,FALSE))*V$129)</f>
        <v>0</v>
      </c>
      <c r="W111" s="181">
        <f>IF(ROUND(SUM(W$5:W110),2)&gt;=ROUND(W$129,2),0,INDEX('draws%'!$D$8:$AG$128,$C111+1,MATCH(W$4,'draws%'!$D$7:$AG$7,FALSE))*W$129)</f>
        <v>0</v>
      </c>
      <c r="X111" s="181">
        <f>IF(ROUND(SUM(X$5:X110),2)&gt;=ROUND(X$129,2),0,INDEX('draws%'!$D$8:$AG$128,$C111+1,MATCH(X$4,'draws%'!$D$7:$AG$7,FALSE))*X$129)</f>
        <v>0</v>
      </c>
      <c r="Y111" s="181">
        <f>IF(ROUND(SUM(Y$5:Y110),2)&gt;=ROUND(Y$129,2),0,INDEX('draws%'!$D$8:$AG$128,$C111+1,MATCH(Y$4,'draws%'!$D$7:$AG$7,FALSE))*Y$129)</f>
        <v>0</v>
      </c>
      <c r="Z111" s="181">
        <f>IF(ROUND(SUM(Z$5:Z110),2)&gt;=ROUND(Z$129,2),0,INDEX('draws%'!$D$8:$AG$128,$C111+1,MATCH(Z$4,'draws%'!$D$7:$AG$7,FALSE))*Z$129)</f>
        <v>0</v>
      </c>
      <c r="AA111" s="181">
        <f>IF(ROUND(SUM(AA$5:AA110),2)&gt;=ROUND(AA$129,2),0,INDEX('draws%'!$D$8:$AG$128,$C111+1,MATCH(AA$4,'draws%'!$D$7:$AG$7,FALSE))*AA$129)</f>
        <v>0</v>
      </c>
      <c r="AB111" s="181">
        <f>IF(ROUND(SUM(AB$5:AB110),2)&gt;=ROUND(AB$129,2),0,INDEX('draws%'!$D$8:$AG$128,$C111+1,MATCH(AB$4,'draws%'!$D$7:$AG$7,FALSE))*AB$129)</f>
        <v>0</v>
      </c>
      <c r="AC111" s="181">
        <f>($C111&gt;=sales!$D$32)*($C111&lt;=sales!$F$32)*sales!$J$41/(sales!$E$32+1)+($C111&gt;=sales!$D$33)*($C111&lt;=sales!$F$33)*sales!$J$42/(sales!$E$33+1)+($C111&gt;=sales!$D$34)*($C111&lt;=sales!$F$34)*sales!$J$43/(sales!$E$34+1)+($C111&gt;=sales!$D$35)*($C111&lt;=sales!$F$35)*sales!$J$44/(sales!$E$35+1)+($C111&gt;=sales!$D$36)*($C111&lt;=sales!$F$36)*sales!$J$45/(sales!$E$36+1)</f>
        <v>0</v>
      </c>
      <c r="AD111" s="181">
        <f>IF(ROUND(SUM(AD$5:AD110),2)&gt;=ROUND(AD$129,2),0,INDEX('draws%'!$D$8:$AG$128,$C111+1,MATCH(AD$4,'draws%'!$D$7:$AG$7,FALSE))*AD$129)</f>
        <v>0</v>
      </c>
      <c r="AE111" s="181">
        <f>IF(ROUND(SUM(AE$5:AE110),2)&gt;=ROUND(AE$129,2),0,INDEX('draws%'!$D$8:$AG$128,$C111+1,MATCH(AE$4,'draws%'!$D$7:$AG$7,FALSE))*AE$129)</f>
        <v>0</v>
      </c>
      <c r="AF111" s="188">
        <f>($C111&gt;=sales!$D$32)*($C111&lt;=sales!$F$32)*sales!$D$41/(sales!$E$32+1)+($C111&gt;=sales!$D$33)*($C111&lt;=sales!$F$33)*sales!$D$42/(sales!$E$33+1)+($C111&gt;=sales!$D$34)*($C111&lt;=sales!$F$34)*sales!$D$43/(sales!$E$34+1)+($C111&gt;=sales!$D$35)*($C111&lt;=sales!$F$35)*sales!$D$44/(sales!$E$35+1)+($C111&gt;=sales!$D$36)*($C111&lt;=sales!$F$36)*sales!$D$45/(sales!$E$36+1)</f>
        <v>0</v>
      </c>
      <c r="AG111" s="188">
        <f>($C111&gt;=sales!$D$32)*($C111&lt;=sales!$F$32)*sales!$F$41/(sales!$E$32+1)+($C111&gt;=sales!$D$33)*($C111&lt;=sales!$F$33)*sales!$F$42/(sales!$E$33+1)+($C111&gt;=sales!$D$34)*($C111&lt;=sales!$F$34)*sales!$F$43/(sales!$E$34+1)+($C111&gt;=sales!$D$35)*($C111&lt;=sales!$F$35)*sales!$F$44/(sales!$E$35+1)+($C111&gt;=sales!$D$36)*($C111&lt;=sales!$F$36)*sales!$F$45/(sales!$E$36+1)</f>
        <v>0</v>
      </c>
      <c r="AH111" s="181">
        <f>IF(ROUND(SUM(AH$5:AH110),2)&gt;=ROUND(AH$129,2),0,INDEX('draws%'!$D$8:$AG$128,$C111+1,MATCH(AH$4,'draws%'!$D$7:$AG$7,FALSE))*AH$129)</f>
        <v>0</v>
      </c>
      <c r="AI111" s="181">
        <f>IF(ROUND(SUM(AI$5:AI110),2)&gt;=ROUND(AI$129,2),0,INDEX('draws%'!$D$8:$AG$128,$C111+1,MATCH(AI$4,'draws%'!$D$7:$AG$7,FALSE))*AI$129)</f>
        <v>0</v>
      </c>
      <c r="AJ111" s="181">
        <f>IF(ROUND(SUM(AJ$5:AJ110),2)&gt;=ROUND(AJ$129,2),0,INDEX('draws%'!$D$8:$AG$128,$C111+1,MATCH(AJ$4,'draws%'!$D$7:$AG$7,FALSE))*AJ$129)</f>
        <v>0</v>
      </c>
      <c r="AK111" s="181">
        <f>IF(ROUND(SUM(AK$5:AK110),2)&gt;=ROUND(AK$129,2),0,INDEX('draws%'!$D$8:$AG$128,$C111+1,MATCH(AK$4,'draws%'!$D$7:$AG$7,FALSE))*AK$129)</f>
        <v>0</v>
      </c>
      <c r="AL111" s="189">
        <f t="shared" si="3"/>
        <v>0</v>
      </c>
      <c r="AO111" s="173"/>
    </row>
    <row r="112" spans="1:41" s="192" customFormat="1" ht="16" hidden="1" outlineLevel="1">
      <c r="A112" s="185" t="str">
        <f>IF(MAX(C$5:C111)&gt;=general!$C$27,"post dev",IF(C112&lt;general!$C$23, "Pred", "Dev"))</f>
        <v>post dev</v>
      </c>
      <c r="B112" s="1398"/>
      <c r="C112" s="1388">
        <f>IF('Development Cash Flow'!D111&lt;general!$D$28,'Development Cash Flow'!C111+1,0)</f>
        <v>0</v>
      </c>
      <c r="D112" s="185">
        <f t="shared" si="0"/>
        <v>49490</v>
      </c>
      <c r="E112" s="186">
        <f>($C112&gt;=sales!$D$32)*($C112&lt;=sales!$F$32)*ResUnits/(sales!$E$32+1)</f>
        <v>0</v>
      </c>
      <c r="F112" s="181">
        <f>($C112&gt;=sales!$D$32)*($C112&lt;=sales!$F$32)*sales!$I$18/(sales!$E$32+1)</f>
        <v>0</v>
      </c>
      <c r="G112" s="181">
        <f>($C112&gt;=sales!$D$32)*($C112&lt;=sales!$F$32)*sales!$K$32/(sales!$E$32+1)</f>
        <v>0</v>
      </c>
      <c r="H112" s="187">
        <f>($C112&gt;=sales!$D$33)*($C112&lt;=sales!$F$33)*sales!$K$33/(sales!$E$33+1)</f>
        <v>0</v>
      </c>
      <c r="I112" s="181">
        <f>($C112&gt;=sales!$D$34)*($C112&lt;=sales!$F$34)*sales!$K$34/(sales!$E$34+1)</f>
        <v>0</v>
      </c>
      <c r="J112" s="181">
        <f>($C112&gt;=sales!$D$35)*($C112&lt;=sales!$F$35)*sales!$K$35/(sales!$E$35+1)</f>
        <v>0</v>
      </c>
      <c r="K112" s="189">
        <f>($C112&gt;=sales!$D$36)*($C112&lt;=sales!$F$36)*sales!$K$36*IFERROR(VLOOKUP(C112,sales!$C$50:$D$54,2,FALSE),0)</f>
        <v>0</v>
      </c>
      <c r="L112" s="1398"/>
      <c r="M112" s="1403">
        <f>+G112/$G$4*$M$4*sales!$J$32</f>
        <v>0</v>
      </c>
      <c r="N112" s="1398"/>
      <c r="O112" s="1464">
        <f>IF(ROUND(SUM(O$5:O111),2)&gt;=ROUND(O$129,2),0,INDEX('draws%'!$D$8:$AG$128,$C112+1,MATCH(O$4,'draws%'!$D$7:$AG$7,FALSE))*O$129)</f>
        <v>0</v>
      </c>
      <c r="P112" s="181">
        <f>IF(ROUND(SUM(P$5:P111),2)&gt;=ROUND(P$129,2),0,INDEX('draws%'!$D$8:$AG$128,$C112+1,MATCH(P$4,'draws%'!$D$7:$AG$7,FALSE))*P$129)</f>
        <v>0</v>
      </c>
      <c r="Q112" s="181">
        <f>IF(ROUND(SUM(Q$5:Q111),2)&gt;=ROUND(Q$129,2),0,INDEX('draws%'!$D$8:$AG$128,$C112+1,MATCH(Q$4,'draws%'!$D$7:$AG$7,FALSE))*Q$129)</f>
        <v>0</v>
      </c>
      <c r="R112" s="181">
        <f>IF(ROUND(SUM(R$5:R111),2)&gt;=ROUND(R$129,2),0,INDEX('draws%'!$D$8:$AG$128,$C112+1,MATCH(R$4,'draws%'!$D$7:$AG$7,FALSE))*R$129)</f>
        <v>0</v>
      </c>
      <c r="S112" s="181">
        <f>IF(ROUND(SUM(S$5:S111),2)&gt;=ROUND(S$129,2),0,INDEX('draws%'!$D$8:$AG$128,$C112+1,MATCH(S$4,'draws%'!$D$7:$AG$7,FALSE))*S$129)</f>
        <v>0</v>
      </c>
      <c r="T112" s="181">
        <f>IF(ROUND(SUM(T$5:T111),2)&gt;=ROUND(T$129,2),0,INDEX('draws%'!$D$8:$AG$128,$C112+1,MATCH(T$4,'draws%'!$D$7:$AG$7,FALSE))*T$129)</f>
        <v>0</v>
      </c>
      <c r="U112" s="181">
        <f>IF(ROUND(SUM(U$5:U111),2)&gt;=ROUND(U$129,2),0,INDEX('draws%'!$D$8:$AG$128,$C112+1,MATCH(U$4,'draws%'!$D$7:$AG$7,FALSE))*U$129)</f>
        <v>0</v>
      </c>
      <c r="V112" s="181">
        <f>IF(ROUND(SUM(V$5:V111),2)&gt;=ROUND(V$129,2),0,INDEX('draws%'!$D$8:$AG$128,$C112+1,MATCH(V$4,'draws%'!$D$7:$AG$7,FALSE))*V$129)</f>
        <v>0</v>
      </c>
      <c r="W112" s="181">
        <f>IF(ROUND(SUM(W$5:W111),2)&gt;=ROUND(W$129,2),0,INDEX('draws%'!$D$8:$AG$128,$C112+1,MATCH(W$4,'draws%'!$D$7:$AG$7,FALSE))*W$129)</f>
        <v>0</v>
      </c>
      <c r="X112" s="181">
        <f>IF(ROUND(SUM(X$5:X111),2)&gt;=ROUND(X$129,2),0,INDEX('draws%'!$D$8:$AG$128,$C112+1,MATCH(X$4,'draws%'!$D$7:$AG$7,FALSE))*X$129)</f>
        <v>0</v>
      </c>
      <c r="Y112" s="181">
        <f>IF(ROUND(SUM(Y$5:Y111),2)&gt;=ROUND(Y$129,2),0,INDEX('draws%'!$D$8:$AG$128,$C112+1,MATCH(Y$4,'draws%'!$D$7:$AG$7,FALSE))*Y$129)</f>
        <v>0</v>
      </c>
      <c r="Z112" s="181">
        <f>IF(ROUND(SUM(Z$5:Z111),2)&gt;=ROUND(Z$129,2),0,INDEX('draws%'!$D$8:$AG$128,$C112+1,MATCH(Z$4,'draws%'!$D$7:$AG$7,FALSE))*Z$129)</f>
        <v>0</v>
      </c>
      <c r="AA112" s="181">
        <f>IF(ROUND(SUM(AA$5:AA111),2)&gt;=ROUND(AA$129,2),0,INDEX('draws%'!$D$8:$AG$128,$C112+1,MATCH(AA$4,'draws%'!$D$7:$AG$7,FALSE))*AA$129)</f>
        <v>0</v>
      </c>
      <c r="AB112" s="181">
        <f>IF(ROUND(SUM(AB$5:AB111),2)&gt;=ROUND(AB$129,2),0,INDEX('draws%'!$D$8:$AG$128,$C112+1,MATCH(AB$4,'draws%'!$D$7:$AG$7,FALSE))*AB$129)</f>
        <v>0</v>
      </c>
      <c r="AC112" s="181">
        <f>($C112&gt;=sales!$D$32)*($C112&lt;=sales!$F$32)*sales!$J$41/(sales!$E$32+1)+($C112&gt;=sales!$D$33)*($C112&lt;=sales!$F$33)*sales!$J$42/(sales!$E$33+1)+($C112&gt;=sales!$D$34)*($C112&lt;=sales!$F$34)*sales!$J$43/(sales!$E$34+1)+($C112&gt;=sales!$D$35)*($C112&lt;=sales!$F$35)*sales!$J$44/(sales!$E$35+1)+($C112&gt;=sales!$D$36)*($C112&lt;=sales!$F$36)*sales!$J$45/(sales!$E$36+1)</f>
        <v>0</v>
      </c>
      <c r="AD112" s="181">
        <f>IF(ROUND(SUM(AD$5:AD111),2)&gt;=ROUND(AD$129,2),0,INDEX('draws%'!$D$8:$AG$128,$C112+1,MATCH(AD$4,'draws%'!$D$7:$AG$7,FALSE))*AD$129)</f>
        <v>0</v>
      </c>
      <c r="AE112" s="181">
        <f>IF(ROUND(SUM(AE$5:AE111),2)&gt;=ROUND(AE$129,2),0,INDEX('draws%'!$D$8:$AG$128,$C112+1,MATCH(AE$4,'draws%'!$D$7:$AG$7,FALSE))*AE$129)</f>
        <v>0</v>
      </c>
      <c r="AF112" s="188">
        <f>($C112&gt;=sales!$D$32)*($C112&lt;=sales!$F$32)*sales!$D$41/(sales!$E$32+1)+($C112&gt;=sales!$D$33)*($C112&lt;=sales!$F$33)*sales!$D$42/(sales!$E$33+1)+($C112&gt;=sales!$D$34)*($C112&lt;=sales!$F$34)*sales!$D$43/(sales!$E$34+1)+($C112&gt;=sales!$D$35)*($C112&lt;=sales!$F$35)*sales!$D$44/(sales!$E$35+1)+($C112&gt;=sales!$D$36)*($C112&lt;=sales!$F$36)*sales!$D$45/(sales!$E$36+1)</f>
        <v>0</v>
      </c>
      <c r="AG112" s="188">
        <f>($C112&gt;=sales!$D$32)*($C112&lt;=sales!$F$32)*sales!$F$41/(sales!$E$32+1)+($C112&gt;=sales!$D$33)*($C112&lt;=sales!$F$33)*sales!$F$42/(sales!$E$33+1)+($C112&gt;=sales!$D$34)*($C112&lt;=sales!$F$34)*sales!$F$43/(sales!$E$34+1)+($C112&gt;=sales!$D$35)*($C112&lt;=sales!$F$35)*sales!$F$44/(sales!$E$35+1)+($C112&gt;=sales!$D$36)*($C112&lt;=sales!$F$36)*sales!$F$45/(sales!$E$36+1)</f>
        <v>0</v>
      </c>
      <c r="AH112" s="181">
        <f>IF(ROUND(SUM(AH$5:AH111),2)&gt;=ROUND(AH$129,2),0,INDEX('draws%'!$D$8:$AG$128,$C112+1,MATCH(AH$4,'draws%'!$D$7:$AG$7,FALSE))*AH$129)</f>
        <v>0</v>
      </c>
      <c r="AI112" s="181">
        <f>IF(ROUND(SUM(AI$5:AI111),2)&gt;=ROUND(AI$129,2),0,INDEX('draws%'!$D$8:$AG$128,$C112+1,MATCH(AI$4,'draws%'!$D$7:$AG$7,FALSE))*AI$129)</f>
        <v>0</v>
      </c>
      <c r="AJ112" s="181">
        <f>IF(ROUND(SUM(AJ$5:AJ111),2)&gt;=ROUND(AJ$129,2),0,INDEX('draws%'!$D$8:$AG$128,$C112+1,MATCH(AJ$4,'draws%'!$D$7:$AG$7,FALSE))*AJ$129)</f>
        <v>0</v>
      </c>
      <c r="AK112" s="181">
        <f>IF(ROUND(SUM(AK$5:AK111),2)&gt;=ROUND(AK$129,2),0,INDEX('draws%'!$D$8:$AG$128,$C112+1,MATCH(AK$4,'draws%'!$D$7:$AG$7,FALSE))*AK$129)</f>
        <v>0</v>
      </c>
      <c r="AL112" s="189">
        <f t="shared" si="3"/>
        <v>0</v>
      </c>
      <c r="AM112" s="194"/>
      <c r="AO112" s="171"/>
    </row>
    <row r="113" spans="1:41" s="192" customFormat="1" ht="16" hidden="1" outlineLevel="1">
      <c r="A113" s="185" t="str">
        <f>IF(MAX(C$5:C112)&gt;=general!$C$27,"post dev",IF(C113&lt;general!$C$23, "Pred", "Dev"))</f>
        <v>post dev</v>
      </c>
      <c r="B113" s="1398"/>
      <c r="C113" s="1388">
        <f>IF('Development Cash Flow'!D112&lt;general!$D$28,'Development Cash Flow'!C112+1,0)</f>
        <v>0</v>
      </c>
      <c r="D113" s="185">
        <f t="shared" si="0"/>
        <v>49521</v>
      </c>
      <c r="E113" s="186">
        <f>($C113&gt;=sales!$D$32)*($C113&lt;=sales!$F$32)*ResUnits/(sales!$E$32+1)</f>
        <v>0</v>
      </c>
      <c r="F113" s="181">
        <f>($C113&gt;=sales!$D$32)*($C113&lt;=sales!$F$32)*sales!$I$18/(sales!$E$32+1)</f>
        <v>0</v>
      </c>
      <c r="G113" s="181">
        <f>($C113&gt;=sales!$D$32)*($C113&lt;=sales!$F$32)*sales!$K$32/(sales!$E$32+1)</f>
        <v>0</v>
      </c>
      <c r="H113" s="187">
        <f>($C113&gt;=sales!$D$33)*($C113&lt;=sales!$F$33)*sales!$K$33/(sales!$E$33+1)</f>
        <v>0</v>
      </c>
      <c r="I113" s="181">
        <f>($C113&gt;=sales!$D$34)*($C113&lt;=sales!$F$34)*sales!$K$34/(sales!$E$34+1)</f>
        <v>0</v>
      </c>
      <c r="J113" s="181">
        <f>($C113&gt;=sales!$D$35)*($C113&lt;=sales!$F$35)*sales!$K$35/(sales!$E$35+1)</f>
        <v>0</v>
      </c>
      <c r="K113" s="189">
        <f>($C113&gt;=sales!$D$36)*($C113&lt;=sales!$F$36)*sales!$K$36*IFERROR(VLOOKUP(C113,sales!$C$50:$D$54,2,FALSE),0)</f>
        <v>0</v>
      </c>
      <c r="L113" s="1398"/>
      <c r="M113" s="1403">
        <f>+G113/$G$4*$M$4*sales!$J$32</f>
        <v>0</v>
      </c>
      <c r="N113" s="1398"/>
      <c r="O113" s="1464">
        <f>IF(ROUND(SUM(O$5:O112),2)&gt;=ROUND(O$129,2),0,INDEX('draws%'!$D$8:$AG$128,$C113+1,MATCH(O$4,'draws%'!$D$7:$AG$7,FALSE))*O$129)</f>
        <v>0</v>
      </c>
      <c r="P113" s="181">
        <f>IF(ROUND(SUM(P$5:P112),2)&gt;=ROUND(P$129,2),0,INDEX('draws%'!$D$8:$AG$128,$C113+1,MATCH(P$4,'draws%'!$D$7:$AG$7,FALSE))*P$129)</f>
        <v>0</v>
      </c>
      <c r="Q113" s="181">
        <f>IF(ROUND(SUM(Q$5:Q112),2)&gt;=ROUND(Q$129,2),0,INDEX('draws%'!$D$8:$AG$128,$C113+1,MATCH(Q$4,'draws%'!$D$7:$AG$7,FALSE))*Q$129)</f>
        <v>0</v>
      </c>
      <c r="R113" s="181">
        <f>IF(ROUND(SUM(R$5:R112),2)&gt;=ROUND(R$129,2),0,INDEX('draws%'!$D$8:$AG$128,$C113+1,MATCH(R$4,'draws%'!$D$7:$AG$7,FALSE))*R$129)</f>
        <v>0</v>
      </c>
      <c r="S113" s="181">
        <f>IF(ROUND(SUM(S$5:S112),2)&gt;=ROUND(S$129,2),0,INDEX('draws%'!$D$8:$AG$128,$C113+1,MATCH(S$4,'draws%'!$D$7:$AG$7,FALSE))*S$129)</f>
        <v>0</v>
      </c>
      <c r="T113" s="181">
        <f>IF(ROUND(SUM(T$5:T112),2)&gt;=ROUND(T$129,2),0,INDEX('draws%'!$D$8:$AG$128,$C113+1,MATCH(T$4,'draws%'!$D$7:$AG$7,FALSE))*T$129)</f>
        <v>0</v>
      </c>
      <c r="U113" s="181">
        <f>IF(ROUND(SUM(U$5:U112),2)&gt;=ROUND(U$129,2),0,INDEX('draws%'!$D$8:$AG$128,$C113+1,MATCH(U$4,'draws%'!$D$7:$AG$7,FALSE))*U$129)</f>
        <v>0</v>
      </c>
      <c r="V113" s="181">
        <f>IF(ROUND(SUM(V$5:V112),2)&gt;=ROUND(V$129,2),0,INDEX('draws%'!$D$8:$AG$128,$C113+1,MATCH(V$4,'draws%'!$D$7:$AG$7,FALSE))*V$129)</f>
        <v>0</v>
      </c>
      <c r="W113" s="181">
        <f>IF(ROUND(SUM(W$5:W112),2)&gt;=ROUND(W$129,2),0,INDEX('draws%'!$D$8:$AG$128,$C113+1,MATCH(W$4,'draws%'!$D$7:$AG$7,FALSE))*W$129)</f>
        <v>0</v>
      </c>
      <c r="X113" s="181">
        <f>IF(ROUND(SUM(X$5:X112),2)&gt;=ROUND(X$129,2),0,INDEX('draws%'!$D$8:$AG$128,$C113+1,MATCH(X$4,'draws%'!$D$7:$AG$7,FALSE))*X$129)</f>
        <v>0</v>
      </c>
      <c r="Y113" s="181">
        <f>IF(ROUND(SUM(Y$5:Y112),2)&gt;=ROUND(Y$129,2),0,INDEX('draws%'!$D$8:$AG$128,$C113+1,MATCH(Y$4,'draws%'!$D$7:$AG$7,FALSE))*Y$129)</f>
        <v>0</v>
      </c>
      <c r="Z113" s="181">
        <f>IF(ROUND(SUM(Z$5:Z112),2)&gt;=ROUND(Z$129,2),0,INDEX('draws%'!$D$8:$AG$128,$C113+1,MATCH(Z$4,'draws%'!$D$7:$AG$7,FALSE))*Z$129)</f>
        <v>0</v>
      </c>
      <c r="AA113" s="181">
        <f>IF(ROUND(SUM(AA$5:AA112),2)&gt;=ROUND(AA$129,2),0,INDEX('draws%'!$D$8:$AG$128,$C113+1,MATCH(AA$4,'draws%'!$D$7:$AG$7,FALSE))*AA$129)</f>
        <v>0</v>
      </c>
      <c r="AB113" s="181">
        <f>IF(ROUND(SUM(AB$5:AB112),2)&gt;=ROUND(AB$129,2),0,INDEX('draws%'!$D$8:$AG$128,$C113+1,MATCH(AB$4,'draws%'!$D$7:$AG$7,FALSE))*AB$129)</f>
        <v>0</v>
      </c>
      <c r="AC113" s="181">
        <f>($C113&gt;=sales!$D$32)*($C113&lt;=sales!$F$32)*sales!$J$41/(sales!$E$32+1)+($C113&gt;=sales!$D$33)*($C113&lt;=sales!$F$33)*sales!$J$42/(sales!$E$33+1)+($C113&gt;=sales!$D$34)*($C113&lt;=sales!$F$34)*sales!$J$43/(sales!$E$34+1)+($C113&gt;=sales!$D$35)*($C113&lt;=sales!$F$35)*sales!$J$44/(sales!$E$35+1)+($C113&gt;=sales!$D$36)*($C113&lt;=sales!$F$36)*sales!$J$45/(sales!$E$36+1)</f>
        <v>0</v>
      </c>
      <c r="AD113" s="181">
        <f>IF(ROUND(SUM(AD$5:AD112),2)&gt;=ROUND(AD$129,2),0,INDEX('draws%'!$D$8:$AG$128,$C113+1,MATCH(AD$4,'draws%'!$D$7:$AG$7,FALSE))*AD$129)</f>
        <v>0</v>
      </c>
      <c r="AE113" s="181">
        <f>IF(ROUND(SUM(AE$5:AE112),2)&gt;=ROUND(AE$129,2),0,INDEX('draws%'!$D$8:$AG$128,$C113+1,MATCH(AE$4,'draws%'!$D$7:$AG$7,FALSE))*AE$129)</f>
        <v>0</v>
      </c>
      <c r="AF113" s="188">
        <f>($C113&gt;=sales!$D$32)*($C113&lt;=sales!$F$32)*sales!$D$41/(sales!$E$32+1)+($C113&gt;=sales!$D$33)*($C113&lt;=sales!$F$33)*sales!$D$42/(sales!$E$33+1)+($C113&gt;=sales!$D$34)*($C113&lt;=sales!$F$34)*sales!$D$43/(sales!$E$34+1)+($C113&gt;=sales!$D$35)*($C113&lt;=sales!$F$35)*sales!$D$44/(sales!$E$35+1)+($C113&gt;=sales!$D$36)*($C113&lt;=sales!$F$36)*sales!$D$45/(sales!$E$36+1)</f>
        <v>0</v>
      </c>
      <c r="AG113" s="188">
        <f>($C113&gt;=sales!$D$32)*($C113&lt;=sales!$F$32)*sales!$F$41/(sales!$E$32+1)+($C113&gt;=sales!$D$33)*($C113&lt;=sales!$F$33)*sales!$F$42/(sales!$E$33+1)+($C113&gt;=sales!$D$34)*($C113&lt;=sales!$F$34)*sales!$F$43/(sales!$E$34+1)+($C113&gt;=sales!$D$35)*($C113&lt;=sales!$F$35)*sales!$F$44/(sales!$E$35+1)+($C113&gt;=sales!$D$36)*($C113&lt;=sales!$F$36)*sales!$F$45/(sales!$E$36+1)</f>
        <v>0</v>
      </c>
      <c r="AH113" s="181">
        <f>IF(ROUND(SUM(AH$5:AH112),2)&gt;=ROUND(AH$129,2),0,INDEX('draws%'!$D$8:$AG$128,$C113+1,MATCH(AH$4,'draws%'!$D$7:$AG$7,FALSE))*AH$129)</f>
        <v>0</v>
      </c>
      <c r="AI113" s="181">
        <f>IF(ROUND(SUM(AI$5:AI112),2)&gt;=ROUND(AI$129,2),0,INDEX('draws%'!$D$8:$AG$128,$C113+1,MATCH(AI$4,'draws%'!$D$7:$AG$7,FALSE))*AI$129)</f>
        <v>0</v>
      </c>
      <c r="AJ113" s="181">
        <f>IF(ROUND(SUM(AJ$5:AJ112),2)&gt;=ROUND(AJ$129,2),0,INDEX('draws%'!$D$8:$AG$128,$C113+1,MATCH(AJ$4,'draws%'!$D$7:$AG$7,FALSE))*AJ$129)</f>
        <v>0</v>
      </c>
      <c r="AK113" s="181">
        <f>IF(ROUND(SUM(AK$5:AK112),2)&gt;=ROUND(AK$129,2),0,INDEX('draws%'!$D$8:$AG$128,$C113+1,MATCH(AK$4,'draws%'!$D$7:$AG$7,FALSE))*AK$129)</f>
        <v>0</v>
      </c>
      <c r="AL113" s="189">
        <f t="shared" si="3"/>
        <v>0</v>
      </c>
      <c r="AM113" s="194"/>
      <c r="AO113" s="171"/>
    </row>
    <row r="114" spans="1:41" s="192" customFormat="1" ht="16" hidden="1" outlineLevel="1">
      <c r="A114" s="185" t="str">
        <f>IF(MAX(C$5:C113)&gt;=general!$C$27,"post dev",IF(C114&lt;general!$C$23, "Pred", "Dev"))</f>
        <v>post dev</v>
      </c>
      <c r="B114" s="1398"/>
      <c r="C114" s="1388">
        <f>IF('Development Cash Flow'!D113&lt;general!$D$28,'Development Cash Flow'!C113+1,0)</f>
        <v>0</v>
      </c>
      <c r="D114" s="185">
        <f t="shared" si="0"/>
        <v>49552</v>
      </c>
      <c r="E114" s="186">
        <f>($C114&gt;=sales!$D$32)*($C114&lt;=sales!$F$32)*ResUnits/(sales!$E$32+1)</f>
        <v>0</v>
      </c>
      <c r="F114" s="181">
        <f>($C114&gt;=sales!$D$32)*($C114&lt;=sales!$F$32)*sales!$I$18/(sales!$E$32+1)</f>
        <v>0</v>
      </c>
      <c r="G114" s="181">
        <f>($C114&gt;=sales!$D$32)*($C114&lt;=sales!$F$32)*sales!$K$32/(sales!$E$32+1)</f>
        <v>0</v>
      </c>
      <c r="H114" s="187">
        <f>($C114&gt;=sales!$D$33)*($C114&lt;=sales!$F$33)*sales!$K$33/(sales!$E$33+1)</f>
        <v>0</v>
      </c>
      <c r="I114" s="181">
        <f>($C114&gt;=sales!$D$34)*($C114&lt;=sales!$F$34)*sales!$K$34/(sales!$E$34+1)</f>
        <v>0</v>
      </c>
      <c r="J114" s="181">
        <f>($C114&gt;=sales!$D$35)*($C114&lt;=sales!$F$35)*sales!$K$35/(sales!$E$35+1)</f>
        <v>0</v>
      </c>
      <c r="K114" s="189">
        <f>($C114&gt;=sales!$D$36)*($C114&lt;=sales!$F$36)*sales!$K$36*IFERROR(VLOOKUP(C114,sales!$C$50:$D$54,2,FALSE),0)</f>
        <v>0</v>
      </c>
      <c r="L114" s="1398"/>
      <c r="M114" s="1403">
        <f>+G114/$G$4*$M$4*sales!$J$32</f>
        <v>0</v>
      </c>
      <c r="N114" s="1398"/>
      <c r="O114" s="1464">
        <f>IF(ROUND(SUM(O$5:O113),2)&gt;=ROUND(O$129,2),0,INDEX('draws%'!$D$8:$AG$128,$C114+1,MATCH(O$4,'draws%'!$D$7:$AG$7,FALSE))*O$129)</f>
        <v>0</v>
      </c>
      <c r="P114" s="181">
        <f>IF(ROUND(SUM(P$5:P113),2)&gt;=ROUND(P$129,2),0,INDEX('draws%'!$D$8:$AG$128,$C114+1,MATCH(P$4,'draws%'!$D$7:$AG$7,FALSE))*P$129)</f>
        <v>0</v>
      </c>
      <c r="Q114" s="181">
        <f>IF(ROUND(SUM(Q$5:Q113),2)&gt;=ROUND(Q$129,2),0,INDEX('draws%'!$D$8:$AG$128,$C114+1,MATCH(Q$4,'draws%'!$D$7:$AG$7,FALSE))*Q$129)</f>
        <v>0</v>
      </c>
      <c r="R114" s="181">
        <f>IF(ROUND(SUM(R$5:R113),2)&gt;=ROUND(R$129,2),0,INDEX('draws%'!$D$8:$AG$128,$C114+1,MATCH(R$4,'draws%'!$D$7:$AG$7,FALSE))*R$129)</f>
        <v>0</v>
      </c>
      <c r="S114" s="181">
        <f>IF(ROUND(SUM(S$5:S113),2)&gt;=ROUND(S$129,2),0,INDEX('draws%'!$D$8:$AG$128,$C114+1,MATCH(S$4,'draws%'!$D$7:$AG$7,FALSE))*S$129)</f>
        <v>0</v>
      </c>
      <c r="T114" s="181">
        <f>IF(ROUND(SUM(T$5:T113),2)&gt;=ROUND(T$129,2),0,INDEX('draws%'!$D$8:$AG$128,$C114+1,MATCH(T$4,'draws%'!$D$7:$AG$7,FALSE))*T$129)</f>
        <v>0</v>
      </c>
      <c r="U114" s="181">
        <f>IF(ROUND(SUM(U$5:U113),2)&gt;=ROUND(U$129,2),0,INDEX('draws%'!$D$8:$AG$128,$C114+1,MATCH(U$4,'draws%'!$D$7:$AG$7,FALSE))*U$129)</f>
        <v>0</v>
      </c>
      <c r="V114" s="181">
        <f>IF(ROUND(SUM(V$5:V113),2)&gt;=ROUND(V$129,2),0,INDEX('draws%'!$D$8:$AG$128,$C114+1,MATCH(V$4,'draws%'!$D$7:$AG$7,FALSE))*V$129)</f>
        <v>0</v>
      </c>
      <c r="W114" s="181">
        <f>IF(ROUND(SUM(W$5:W113),2)&gt;=ROUND(W$129,2),0,INDEX('draws%'!$D$8:$AG$128,$C114+1,MATCH(W$4,'draws%'!$D$7:$AG$7,FALSE))*W$129)</f>
        <v>0</v>
      </c>
      <c r="X114" s="181">
        <f>IF(ROUND(SUM(X$5:X113),2)&gt;=ROUND(X$129,2),0,INDEX('draws%'!$D$8:$AG$128,$C114+1,MATCH(X$4,'draws%'!$D$7:$AG$7,FALSE))*X$129)</f>
        <v>0</v>
      </c>
      <c r="Y114" s="181">
        <f>IF(ROUND(SUM(Y$5:Y113),2)&gt;=ROUND(Y$129,2),0,INDEX('draws%'!$D$8:$AG$128,$C114+1,MATCH(Y$4,'draws%'!$D$7:$AG$7,FALSE))*Y$129)</f>
        <v>0</v>
      </c>
      <c r="Z114" s="181">
        <f>IF(ROUND(SUM(Z$5:Z113),2)&gt;=ROUND(Z$129,2),0,INDEX('draws%'!$D$8:$AG$128,$C114+1,MATCH(Z$4,'draws%'!$D$7:$AG$7,FALSE))*Z$129)</f>
        <v>0</v>
      </c>
      <c r="AA114" s="181">
        <f>IF(ROUND(SUM(AA$5:AA113),2)&gt;=ROUND(AA$129,2),0,INDEX('draws%'!$D$8:$AG$128,$C114+1,MATCH(AA$4,'draws%'!$D$7:$AG$7,FALSE))*AA$129)</f>
        <v>0</v>
      </c>
      <c r="AB114" s="181">
        <f>IF(ROUND(SUM(AB$5:AB113),2)&gt;=ROUND(AB$129,2),0,INDEX('draws%'!$D$8:$AG$128,$C114+1,MATCH(AB$4,'draws%'!$D$7:$AG$7,FALSE))*AB$129)</f>
        <v>0</v>
      </c>
      <c r="AC114" s="181">
        <f>($C114&gt;=sales!$D$32)*($C114&lt;=sales!$F$32)*sales!$J$41/(sales!$E$32+1)+($C114&gt;=sales!$D$33)*($C114&lt;=sales!$F$33)*sales!$J$42/(sales!$E$33+1)+($C114&gt;=sales!$D$34)*($C114&lt;=sales!$F$34)*sales!$J$43/(sales!$E$34+1)+($C114&gt;=sales!$D$35)*($C114&lt;=sales!$F$35)*sales!$J$44/(sales!$E$35+1)+($C114&gt;=sales!$D$36)*($C114&lt;=sales!$F$36)*sales!$J$45/(sales!$E$36+1)</f>
        <v>0</v>
      </c>
      <c r="AD114" s="181">
        <f>IF(ROUND(SUM(AD$5:AD113),2)&gt;=ROUND(AD$129,2),0,INDEX('draws%'!$D$8:$AG$128,$C114+1,MATCH(AD$4,'draws%'!$D$7:$AG$7,FALSE))*AD$129)</f>
        <v>0</v>
      </c>
      <c r="AE114" s="181">
        <f>IF(ROUND(SUM(AE$5:AE113),2)&gt;=ROUND(AE$129,2),0,INDEX('draws%'!$D$8:$AG$128,$C114+1,MATCH(AE$4,'draws%'!$D$7:$AG$7,FALSE))*AE$129)</f>
        <v>0</v>
      </c>
      <c r="AF114" s="188">
        <f>($C114&gt;=sales!$D$32)*($C114&lt;=sales!$F$32)*sales!$D$41/(sales!$E$32+1)+($C114&gt;=sales!$D$33)*($C114&lt;=sales!$F$33)*sales!$D$42/(sales!$E$33+1)+($C114&gt;=sales!$D$34)*($C114&lt;=sales!$F$34)*sales!$D$43/(sales!$E$34+1)+($C114&gt;=sales!$D$35)*($C114&lt;=sales!$F$35)*sales!$D$44/(sales!$E$35+1)+($C114&gt;=sales!$D$36)*($C114&lt;=sales!$F$36)*sales!$D$45/(sales!$E$36+1)</f>
        <v>0</v>
      </c>
      <c r="AG114" s="188">
        <f>($C114&gt;=sales!$D$32)*($C114&lt;=sales!$F$32)*sales!$F$41/(sales!$E$32+1)+($C114&gt;=sales!$D$33)*($C114&lt;=sales!$F$33)*sales!$F$42/(sales!$E$33+1)+($C114&gt;=sales!$D$34)*($C114&lt;=sales!$F$34)*sales!$F$43/(sales!$E$34+1)+($C114&gt;=sales!$D$35)*($C114&lt;=sales!$F$35)*sales!$F$44/(sales!$E$35+1)+($C114&gt;=sales!$D$36)*($C114&lt;=sales!$F$36)*sales!$F$45/(sales!$E$36+1)</f>
        <v>0</v>
      </c>
      <c r="AH114" s="181">
        <f>IF(ROUND(SUM(AH$5:AH113),2)&gt;=ROUND(AH$129,2),0,INDEX('draws%'!$D$8:$AG$128,$C114+1,MATCH(AH$4,'draws%'!$D$7:$AG$7,FALSE))*AH$129)</f>
        <v>0</v>
      </c>
      <c r="AI114" s="181">
        <f>IF(ROUND(SUM(AI$5:AI113),2)&gt;=ROUND(AI$129,2),0,INDEX('draws%'!$D$8:$AG$128,$C114+1,MATCH(AI$4,'draws%'!$D$7:$AG$7,FALSE))*AI$129)</f>
        <v>0</v>
      </c>
      <c r="AJ114" s="181">
        <f>IF(ROUND(SUM(AJ$5:AJ113),2)&gt;=ROUND(AJ$129,2),0,INDEX('draws%'!$D$8:$AG$128,$C114+1,MATCH(AJ$4,'draws%'!$D$7:$AG$7,FALSE))*AJ$129)</f>
        <v>0</v>
      </c>
      <c r="AK114" s="181">
        <f>IF(ROUND(SUM(AK$5:AK113),2)&gt;=ROUND(AK$129,2),0,INDEX('draws%'!$D$8:$AG$128,$C114+1,MATCH(AK$4,'draws%'!$D$7:$AG$7,FALSE))*AK$129)</f>
        <v>0</v>
      </c>
      <c r="AL114" s="189">
        <f t="shared" si="3"/>
        <v>0</v>
      </c>
      <c r="AM114" s="194"/>
      <c r="AO114" s="171"/>
    </row>
    <row r="115" spans="1:41" s="192" customFormat="1" ht="16" hidden="1" outlineLevel="1">
      <c r="A115" s="185" t="str">
        <f>IF(MAX(C$5:C114)&gt;=general!$C$27,"post dev",IF(C115&lt;general!$C$23, "Pred", "Dev"))</f>
        <v>post dev</v>
      </c>
      <c r="B115" s="1398"/>
      <c r="C115" s="1388">
        <f>IF('Development Cash Flow'!D114&lt;general!$D$28,'Development Cash Flow'!C114+1,0)</f>
        <v>0</v>
      </c>
      <c r="D115" s="185">
        <f t="shared" si="0"/>
        <v>49582</v>
      </c>
      <c r="E115" s="186">
        <f>($C115&gt;=sales!$D$32)*($C115&lt;=sales!$F$32)*ResUnits/(sales!$E$32+1)</f>
        <v>0</v>
      </c>
      <c r="F115" s="181">
        <f>($C115&gt;=sales!$D$32)*($C115&lt;=sales!$F$32)*sales!$I$18/(sales!$E$32+1)</f>
        <v>0</v>
      </c>
      <c r="G115" s="181">
        <f>($C115&gt;=sales!$D$32)*($C115&lt;=sales!$F$32)*sales!$K$32/(sales!$E$32+1)</f>
        <v>0</v>
      </c>
      <c r="H115" s="187">
        <f>($C115&gt;=sales!$D$33)*($C115&lt;=sales!$F$33)*sales!$K$33/(sales!$E$33+1)</f>
        <v>0</v>
      </c>
      <c r="I115" s="181">
        <f>($C115&gt;=sales!$D$34)*($C115&lt;=sales!$F$34)*sales!$K$34/(sales!$E$34+1)</f>
        <v>0</v>
      </c>
      <c r="J115" s="181">
        <f>($C115&gt;=sales!$D$35)*($C115&lt;=sales!$F$35)*sales!$K$35/(sales!$E$35+1)</f>
        <v>0</v>
      </c>
      <c r="K115" s="189">
        <f>($C115&gt;=sales!$D$36)*($C115&lt;=sales!$F$36)*sales!$K$36*IFERROR(VLOOKUP(C115,sales!$C$50:$D$54,2,FALSE),0)</f>
        <v>0</v>
      </c>
      <c r="L115" s="1398"/>
      <c r="M115" s="1403">
        <f>+G115/$G$4*$M$4*sales!$J$32</f>
        <v>0</v>
      </c>
      <c r="N115" s="1398"/>
      <c r="O115" s="1464">
        <f>IF(ROUND(SUM(O$5:O114),2)&gt;=ROUND(O$129,2),0,INDEX('draws%'!$D$8:$AG$128,$C115+1,MATCH(O$4,'draws%'!$D$7:$AG$7,FALSE))*O$129)</f>
        <v>0</v>
      </c>
      <c r="P115" s="181">
        <f>IF(ROUND(SUM(P$5:P114),2)&gt;=ROUND(P$129,2),0,INDEX('draws%'!$D$8:$AG$128,$C115+1,MATCH(P$4,'draws%'!$D$7:$AG$7,FALSE))*P$129)</f>
        <v>0</v>
      </c>
      <c r="Q115" s="181">
        <f>IF(ROUND(SUM(Q$5:Q114),2)&gt;=ROUND(Q$129,2),0,INDEX('draws%'!$D$8:$AG$128,$C115+1,MATCH(Q$4,'draws%'!$D$7:$AG$7,FALSE))*Q$129)</f>
        <v>0</v>
      </c>
      <c r="R115" s="181">
        <f>IF(ROUND(SUM(R$5:R114),2)&gt;=ROUND(R$129,2),0,INDEX('draws%'!$D$8:$AG$128,$C115+1,MATCH(R$4,'draws%'!$D$7:$AG$7,FALSE))*R$129)</f>
        <v>0</v>
      </c>
      <c r="S115" s="181">
        <f>IF(ROUND(SUM(S$5:S114),2)&gt;=ROUND(S$129,2),0,INDEX('draws%'!$D$8:$AG$128,$C115+1,MATCH(S$4,'draws%'!$D$7:$AG$7,FALSE))*S$129)</f>
        <v>0</v>
      </c>
      <c r="T115" s="181">
        <f>IF(ROUND(SUM(T$5:T114),2)&gt;=ROUND(T$129,2),0,INDEX('draws%'!$D$8:$AG$128,$C115+1,MATCH(T$4,'draws%'!$D$7:$AG$7,FALSE))*T$129)</f>
        <v>0</v>
      </c>
      <c r="U115" s="181">
        <f>IF(ROUND(SUM(U$5:U114),2)&gt;=ROUND(U$129,2),0,INDEX('draws%'!$D$8:$AG$128,$C115+1,MATCH(U$4,'draws%'!$D$7:$AG$7,FALSE))*U$129)</f>
        <v>0</v>
      </c>
      <c r="V115" s="181">
        <f>IF(ROUND(SUM(V$5:V114),2)&gt;=ROUND(V$129,2),0,INDEX('draws%'!$D$8:$AG$128,$C115+1,MATCH(V$4,'draws%'!$D$7:$AG$7,FALSE))*V$129)</f>
        <v>0</v>
      </c>
      <c r="W115" s="181">
        <f>IF(ROUND(SUM(W$5:W114),2)&gt;=ROUND(W$129,2),0,INDEX('draws%'!$D$8:$AG$128,$C115+1,MATCH(W$4,'draws%'!$D$7:$AG$7,FALSE))*W$129)</f>
        <v>0</v>
      </c>
      <c r="X115" s="181">
        <f>IF(ROUND(SUM(X$5:X114),2)&gt;=ROUND(X$129,2),0,INDEX('draws%'!$D$8:$AG$128,$C115+1,MATCH(X$4,'draws%'!$D$7:$AG$7,FALSE))*X$129)</f>
        <v>0</v>
      </c>
      <c r="Y115" s="181">
        <f>IF(ROUND(SUM(Y$5:Y114),2)&gt;=ROUND(Y$129,2),0,INDEX('draws%'!$D$8:$AG$128,$C115+1,MATCH(Y$4,'draws%'!$D$7:$AG$7,FALSE))*Y$129)</f>
        <v>0</v>
      </c>
      <c r="Z115" s="181">
        <f>IF(ROUND(SUM(Z$5:Z114),2)&gt;=ROUND(Z$129,2),0,INDEX('draws%'!$D$8:$AG$128,$C115+1,MATCH(Z$4,'draws%'!$D$7:$AG$7,FALSE))*Z$129)</f>
        <v>0</v>
      </c>
      <c r="AA115" s="181">
        <f>IF(ROUND(SUM(AA$5:AA114),2)&gt;=ROUND(AA$129,2),0,INDEX('draws%'!$D$8:$AG$128,$C115+1,MATCH(AA$4,'draws%'!$D$7:$AG$7,FALSE))*AA$129)</f>
        <v>0</v>
      </c>
      <c r="AB115" s="181">
        <f>IF(ROUND(SUM(AB$5:AB114),2)&gt;=ROUND(AB$129,2),0,INDEX('draws%'!$D$8:$AG$128,$C115+1,MATCH(AB$4,'draws%'!$D$7:$AG$7,FALSE))*AB$129)</f>
        <v>0</v>
      </c>
      <c r="AC115" s="181">
        <f>($C115&gt;=sales!$D$32)*($C115&lt;=sales!$F$32)*sales!$J$41/(sales!$E$32+1)+($C115&gt;=sales!$D$33)*($C115&lt;=sales!$F$33)*sales!$J$42/(sales!$E$33+1)+($C115&gt;=sales!$D$34)*($C115&lt;=sales!$F$34)*sales!$J$43/(sales!$E$34+1)+($C115&gt;=sales!$D$35)*($C115&lt;=sales!$F$35)*sales!$J$44/(sales!$E$35+1)+($C115&gt;=sales!$D$36)*($C115&lt;=sales!$F$36)*sales!$J$45/(sales!$E$36+1)</f>
        <v>0</v>
      </c>
      <c r="AD115" s="181">
        <f>IF(ROUND(SUM(AD$5:AD114),2)&gt;=ROUND(AD$129,2),0,INDEX('draws%'!$D$8:$AG$128,$C115+1,MATCH(AD$4,'draws%'!$D$7:$AG$7,FALSE))*AD$129)</f>
        <v>0</v>
      </c>
      <c r="AE115" s="181">
        <f>IF(ROUND(SUM(AE$5:AE114),2)&gt;=ROUND(AE$129,2),0,INDEX('draws%'!$D$8:$AG$128,$C115+1,MATCH(AE$4,'draws%'!$D$7:$AG$7,FALSE))*AE$129)</f>
        <v>0</v>
      </c>
      <c r="AF115" s="188">
        <f>($C115&gt;=sales!$D$32)*($C115&lt;=sales!$F$32)*sales!$D$41/(sales!$E$32+1)+($C115&gt;=sales!$D$33)*($C115&lt;=sales!$F$33)*sales!$D$42/(sales!$E$33+1)+($C115&gt;=sales!$D$34)*($C115&lt;=sales!$F$34)*sales!$D$43/(sales!$E$34+1)+($C115&gt;=sales!$D$35)*($C115&lt;=sales!$F$35)*sales!$D$44/(sales!$E$35+1)+($C115&gt;=sales!$D$36)*($C115&lt;=sales!$F$36)*sales!$D$45/(sales!$E$36+1)</f>
        <v>0</v>
      </c>
      <c r="AG115" s="188">
        <f>($C115&gt;=sales!$D$32)*($C115&lt;=sales!$F$32)*sales!$F$41/(sales!$E$32+1)+($C115&gt;=sales!$D$33)*($C115&lt;=sales!$F$33)*sales!$F$42/(sales!$E$33+1)+($C115&gt;=sales!$D$34)*($C115&lt;=sales!$F$34)*sales!$F$43/(sales!$E$34+1)+($C115&gt;=sales!$D$35)*($C115&lt;=sales!$F$35)*sales!$F$44/(sales!$E$35+1)+($C115&gt;=sales!$D$36)*($C115&lt;=sales!$F$36)*sales!$F$45/(sales!$E$36+1)</f>
        <v>0</v>
      </c>
      <c r="AH115" s="181">
        <f>IF(ROUND(SUM(AH$5:AH114),2)&gt;=ROUND(AH$129,2),0,INDEX('draws%'!$D$8:$AG$128,$C115+1,MATCH(AH$4,'draws%'!$D$7:$AG$7,FALSE))*AH$129)</f>
        <v>0</v>
      </c>
      <c r="AI115" s="181">
        <f>IF(ROUND(SUM(AI$5:AI114),2)&gt;=ROUND(AI$129,2),0,INDEX('draws%'!$D$8:$AG$128,$C115+1,MATCH(AI$4,'draws%'!$D$7:$AG$7,FALSE))*AI$129)</f>
        <v>0</v>
      </c>
      <c r="AJ115" s="181">
        <f>IF(ROUND(SUM(AJ$5:AJ114),2)&gt;=ROUND(AJ$129,2),0,INDEX('draws%'!$D$8:$AG$128,$C115+1,MATCH(AJ$4,'draws%'!$D$7:$AG$7,FALSE))*AJ$129)</f>
        <v>0</v>
      </c>
      <c r="AK115" s="181">
        <f>IF(ROUND(SUM(AK$5:AK114),2)&gt;=ROUND(AK$129,2),0,INDEX('draws%'!$D$8:$AG$128,$C115+1,MATCH(AK$4,'draws%'!$D$7:$AG$7,FALSE))*AK$129)</f>
        <v>0</v>
      </c>
      <c r="AL115" s="189">
        <f t="shared" si="3"/>
        <v>0</v>
      </c>
      <c r="AM115" s="194"/>
      <c r="AO115" s="171"/>
    </row>
    <row r="116" spans="1:41" s="192" customFormat="1" ht="16" hidden="1" outlineLevel="1">
      <c r="A116" s="185" t="str">
        <f>IF(MAX(C$5:C115)&gt;=general!$C$27,"post dev",IF(C116&lt;general!$C$23, "Pred", "Dev"))</f>
        <v>post dev</v>
      </c>
      <c r="B116" s="1398"/>
      <c r="C116" s="1388">
        <f>IF('Development Cash Flow'!D115&lt;general!$D$28,'Development Cash Flow'!C115+1,0)</f>
        <v>0</v>
      </c>
      <c r="D116" s="185">
        <f t="shared" si="0"/>
        <v>49613</v>
      </c>
      <c r="E116" s="186">
        <f>($C116&gt;=sales!$D$32)*($C116&lt;=sales!$F$32)*ResUnits/(sales!$E$32+1)</f>
        <v>0</v>
      </c>
      <c r="F116" s="181">
        <f>($C116&gt;=sales!$D$32)*($C116&lt;=sales!$F$32)*sales!$I$18/(sales!$E$32+1)</f>
        <v>0</v>
      </c>
      <c r="G116" s="181">
        <f>($C116&gt;=sales!$D$32)*($C116&lt;=sales!$F$32)*sales!$K$32/(sales!$E$32+1)</f>
        <v>0</v>
      </c>
      <c r="H116" s="187">
        <f>($C116&gt;=sales!$D$33)*($C116&lt;=sales!$F$33)*sales!$K$33/(sales!$E$33+1)</f>
        <v>0</v>
      </c>
      <c r="I116" s="181">
        <f>($C116&gt;=sales!$D$34)*($C116&lt;=sales!$F$34)*sales!$K$34/(sales!$E$34+1)</f>
        <v>0</v>
      </c>
      <c r="J116" s="181">
        <f>($C116&gt;=sales!$D$35)*($C116&lt;=sales!$F$35)*sales!$K$35/(sales!$E$35+1)</f>
        <v>0</v>
      </c>
      <c r="K116" s="189">
        <f>($C116&gt;=sales!$D$36)*($C116&lt;=sales!$F$36)*sales!$K$36*IFERROR(VLOOKUP(C116,sales!$C$50:$D$54,2,FALSE),0)</f>
        <v>0</v>
      </c>
      <c r="L116" s="1398"/>
      <c r="M116" s="1403">
        <f>+G116/$G$4*$M$4*sales!$J$32</f>
        <v>0</v>
      </c>
      <c r="N116" s="1398"/>
      <c r="O116" s="1464">
        <f>IF(ROUND(SUM(O$5:O115),2)&gt;=ROUND(O$129,2),0,INDEX('draws%'!$D$8:$AG$128,$C116+1,MATCH(O$4,'draws%'!$D$7:$AG$7,FALSE))*O$129)</f>
        <v>0</v>
      </c>
      <c r="P116" s="181">
        <f>IF(ROUND(SUM(P$5:P115),2)&gt;=ROUND(P$129,2),0,INDEX('draws%'!$D$8:$AG$128,$C116+1,MATCH(P$4,'draws%'!$D$7:$AG$7,FALSE))*P$129)</f>
        <v>0</v>
      </c>
      <c r="Q116" s="181">
        <f>IF(ROUND(SUM(Q$5:Q115),2)&gt;=ROUND(Q$129,2),0,INDEX('draws%'!$D$8:$AG$128,$C116+1,MATCH(Q$4,'draws%'!$D$7:$AG$7,FALSE))*Q$129)</f>
        <v>0</v>
      </c>
      <c r="R116" s="181">
        <f>IF(ROUND(SUM(R$5:R115),2)&gt;=ROUND(R$129,2),0,INDEX('draws%'!$D$8:$AG$128,$C116+1,MATCH(R$4,'draws%'!$D$7:$AG$7,FALSE))*R$129)</f>
        <v>0</v>
      </c>
      <c r="S116" s="181">
        <f>IF(ROUND(SUM(S$5:S115),2)&gt;=ROUND(S$129,2),0,INDEX('draws%'!$D$8:$AG$128,$C116+1,MATCH(S$4,'draws%'!$D$7:$AG$7,FALSE))*S$129)</f>
        <v>0</v>
      </c>
      <c r="T116" s="181">
        <f>IF(ROUND(SUM(T$5:T115),2)&gt;=ROUND(T$129,2),0,INDEX('draws%'!$D$8:$AG$128,$C116+1,MATCH(T$4,'draws%'!$D$7:$AG$7,FALSE))*T$129)</f>
        <v>0</v>
      </c>
      <c r="U116" s="181">
        <f>IF(ROUND(SUM(U$5:U115),2)&gt;=ROUND(U$129,2),0,INDEX('draws%'!$D$8:$AG$128,$C116+1,MATCH(U$4,'draws%'!$D$7:$AG$7,FALSE))*U$129)</f>
        <v>0</v>
      </c>
      <c r="V116" s="181">
        <f>IF(ROUND(SUM(V$5:V115),2)&gt;=ROUND(V$129,2),0,INDEX('draws%'!$D$8:$AG$128,$C116+1,MATCH(V$4,'draws%'!$D$7:$AG$7,FALSE))*V$129)</f>
        <v>0</v>
      </c>
      <c r="W116" s="181">
        <f>IF(ROUND(SUM(W$5:W115),2)&gt;=ROUND(W$129,2),0,INDEX('draws%'!$D$8:$AG$128,$C116+1,MATCH(W$4,'draws%'!$D$7:$AG$7,FALSE))*W$129)</f>
        <v>0</v>
      </c>
      <c r="X116" s="181">
        <f>IF(ROUND(SUM(X$5:X115),2)&gt;=ROUND(X$129,2),0,INDEX('draws%'!$D$8:$AG$128,$C116+1,MATCH(X$4,'draws%'!$D$7:$AG$7,FALSE))*X$129)</f>
        <v>0</v>
      </c>
      <c r="Y116" s="181">
        <f>IF(ROUND(SUM(Y$5:Y115),2)&gt;=ROUND(Y$129,2),0,INDEX('draws%'!$D$8:$AG$128,$C116+1,MATCH(Y$4,'draws%'!$D$7:$AG$7,FALSE))*Y$129)</f>
        <v>0</v>
      </c>
      <c r="Z116" s="181">
        <f>IF(ROUND(SUM(Z$5:Z115),2)&gt;=ROUND(Z$129,2),0,INDEX('draws%'!$D$8:$AG$128,$C116+1,MATCH(Z$4,'draws%'!$D$7:$AG$7,FALSE))*Z$129)</f>
        <v>0</v>
      </c>
      <c r="AA116" s="181">
        <f>IF(ROUND(SUM(AA$5:AA115),2)&gt;=ROUND(AA$129,2),0,INDEX('draws%'!$D$8:$AG$128,$C116+1,MATCH(AA$4,'draws%'!$D$7:$AG$7,FALSE))*AA$129)</f>
        <v>0</v>
      </c>
      <c r="AB116" s="181">
        <f>IF(ROUND(SUM(AB$5:AB115),2)&gt;=ROUND(AB$129,2),0,INDEX('draws%'!$D$8:$AG$128,$C116+1,MATCH(AB$4,'draws%'!$D$7:$AG$7,FALSE))*AB$129)</f>
        <v>0</v>
      </c>
      <c r="AC116" s="181">
        <f>($C116&gt;=sales!$D$32)*($C116&lt;=sales!$F$32)*sales!$J$41/(sales!$E$32+1)+($C116&gt;=sales!$D$33)*($C116&lt;=sales!$F$33)*sales!$J$42/(sales!$E$33+1)+($C116&gt;=sales!$D$34)*($C116&lt;=sales!$F$34)*sales!$J$43/(sales!$E$34+1)+($C116&gt;=sales!$D$35)*($C116&lt;=sales!$F$35)*sales!$J$44/(sales!$E$35+1)+($C116&gt;=sales!$D$36)*($C116&lt;=sales!$F$36)*sales!$J$45/(sales!$E$36+1)</f>
        <v>0</v>
      </c>
      <c r="AD116" s="181">
        <f>IF(ROUND(SUM(AD$5:AD115),2)&gt;=ROUND(AD$129,2),0,INDEX('draws%'!$D$8:$AG$128,$C116+1,MATCH(AD$4,'draws%'!$D$7:$AG$7,FALSE))*AD$129)</f>
        <v>0</v>
      </c>
      <c r="AE116" s="181">
        <f>IF(ROUND(SUM(AE$5:AE115),2)&gt;=ROUND(AE$129,2),0,INDEX('draws%'!$D$8:$AG$128,$C116+1,MATCH(AE$4,'draws%'!$D$7:$AG$7,FALSE))*AE$129)</f>
        <v>0</v>
      </c>
      <c r="AF116" s="188">
        <f>($C116&gt;=sales!$D$32)*($C116&lt;=sales!$F$32)*sales!$D$41/(sales!$E$32+1)+($C116&gt;=sales!$D$33)*($C116&lt;=sales!$F$33)*sales!$D$42/(sales!$E$33+1)+($C116&gt;=sales!$D$34)*($C116&lt;=sales!$F$34)*sales!$D$43/(sales!$E$34+1)+($C116&gt;=sales!$D$35)*($C116&lt;=sales!$F$35)*sales!$D$44/(sales!$E$35+1)+($C116&gt;=sales!$D$36)*($C116&lt;=sales!$F$36)*sales!$D$45/(sales!$E$36+1)</f>
        <v>0</v>
      </c>
      <c r="AG116" s="188">
        <f>($C116&gt;=sales!$D$32)*($C116&lt;=sales!$F$32)*sales!$F$41/(sales!$E$32+1)+($C116&gt;=sales!$D$33)*($C116&lt;=sales!$F$33)*sales!$F$42/(sales!$E$33+1)+($C116&gt;=sales!$D$34)*($C116&lt;=sales!$F$34)*sales!$F$43/(sales!$E$34+1)+($C116&gt;=sales!$D$35)*($C116&lt;=sales!$F$35)*sales!$F$44/(sales!$E$35+1)+($C116&gt;=sales!$D$36)*($C116&lt;=sales!$F$36)*sales!$F$45/(sales!$E$36+1)</f>
        <v>0</v>
      </c>
      <c r="AH116" s="181">
        <f>IF(ROUND(SUM(AH$5:AH115),2)&gt;=ROUND(AH$129,2),0,INDEX('draws%'!$D$8:$AG$128,$C116+1,MATCH(AH$4,'draws%'!$D$7:$AG$7,FALSE))*AH$129)</f>
        <v>0</v>
      </c>
      <c r="AI116" s="181">
        <f>IF(ROUND(SUM(AI$5:AI115),2)&gt;=ROUND(AI$129,2),0,INDEX('draws%'!$D$8:$AG$128,$C116+1,MATCH(AI$4,'draws%'!$D$7:$AG$7,FALSE))*AI$129)</f>
        <v>0</v>
      </c>
      <c r="AJ116" s="181">
        <f>IF(ROUND(SUM(AJ$5:AJ115),2)&gt;=ROUND(AJ$129,2),0,INDEX('draws%'!$D$8:$AG$128,$C116+1,MATCH(AJ$4,'draws%'!$D$7:$AG$7,FALSE))*AJ$129)</f>
        <v>0</v>
      </c>
      <c r="AK116" s="181">
        <f>IF(ROUND(SUM(AK$5:AK115),2)&gt;=ROUND(AK$129,2),0,INDEX('draws%'!$D$8:$AG$128,$C116+1,MATCH(AK$4,'draws%'!$D$7:$AG$7,FALSE))*AK$129)</f>
        <v>0</v>
      </c>
      <c r="AL116" s="189">
        <f t="shared" si="3"/>
        <v>0</v>
      </c>
      <c r="AM116" s="194"/>
      <c r="AO116" s="171"/>
    </row>
    <row r="117" spans="1:41" s="168" customFormat="1" ht="16" hidden="1" outlineLevel="1">
      <c r="A117" s="185" t="str">
        <f>IF(MAX(C$5:C116)&gt;=general!$C$27,"post dev",IF(C117&lt;general!$C$23, "Pred", "Dev"))</f>
        <v>post dev</v>
      </c>
      <c r="B117" s="1398"/>
      <c r="C117" s="1388">
        <f>IF('Development Cash Flow'!D116&lt;general!$D$28,'Development Cash Flow'!C116+1,0)</f>
        <v>0</v>
      </c>
      <c r="D117" s="185">
        <f t="shared" si="0"/>
        <v>49643</v>
      </c>
      <c r="E117" s="186">
        <f>($C117&gt;=sales!$D$32)*($C117&lt;=sales!$F$32)*ResUnits/(sales!$E$32+1)</f>
        <v>0</v>
      </c>
      <c r="F117" s="181">
        <f>($C117&gt;=sales!$D$32)*($C117&lt;=sales!$F$32)*sales!$I$18/(sales!$E$32+1)</f>
        <v>0</v>
      </c>
      <c r="G117" s="181">
        <f>($C117&gt;=sales!$D$32)*($C117&lt;=sales!$F$32)*sales!$K$32/(sales!$E$32+1)</f>
        <v>0</v>
      </c>
      <c r="H117" s="187">
        <f>($C117&gt;=sales!$D$33)*($C117&lt;=sales!$F$33)*sales!$K$33/(sales!$E$33+1)</f>
        <v>0</v>
      </c>
      <c r="I117" s="181">
        <f>($C117&gt;=sales!$D$34)*($C117&lt;=sales!$F$34)*sales!$K$34/(sales!$E$34+1)</f>
        <v>0</v>
      </c>
      <c r="J117" s="181">
        <f>($C117&gt;=sales!$D$35)*($C117&lt;=sales!$F$35)*sales!$K$35/(sales!$E$35+1)</f>
        <v>0</v>
      </c>
      <c r="K117" s="189">
        <f>($C117&gt;=sales!$D$36)*($C117&lt;=sales!$F$36)*sales!$K$36*IFERROR(VLOOKUP(C117,sales!$C$50:$D$54,2,FALSE),0)</f>
        <v>0</v>
      </c>
      <c r="L117" s="1398"/>
      <c r="M117" s="1403">
        <f>+G117/$G$4*$M$4*sales!$J$32</f>
        <v>0</v>
      </c>
      <c r="N117" s="1398"/>
      <c r="O117" s="1464">
        <f>IF(ROUND(SUM(O$5:O116),2)&gt;=ROUND(O$129,2),0,INDEX('draws%'!$D$8:$AG$128,$C117+1,MATCH(O$4,'draws%'!$D$7:$AG$7,FALSE))*O$129)</f>
        <v>0</v>
      </c>
      <c r="P117" s="181">
        <f>IF(ROUND(SUM(P$5:P116),2)&gt;=ROUND(P$129,2),0,INDEX('draws%'!$D$8:$AG$128,$C117+1,MATCH(P$4,'draws%'!$D$7:$AG$7,FALSE))*P$129)</f>
        <v>0</v>
      </c>
      <c r="Q117" s="181">
        <f>IF(ROUND(SUM(Q$5:Q116),2)&gt;=ROUND(Q$129,2),0,INDEX('draws%'!$D$8:$AG$128,$C117+1,MATCH(Q$4,'draws%'!$D$7:$AG$7,FALSE))*Q$129)</f>
        <v>0</v>
      </c>
      <c r="R117" s="181">
        <f>IF(ROUND(SUM(R$5:R116),2)&gt;=ROUND(R$129,2),0,INDEX('draws%'!$D$8:$AG$128,$C117+1,MATCH(R$4,'draws%'!$D$7:$AG$7,FALSE))*R$129)</f>
        <v>0</v>
      </c>
      <c r="S117" s="181">
        <f>IF(ROUND(SUM(S$5:S116),2)&gt;=ROUND(S$129,2),0,INDEX('draws%'!$D$8:$AG$128,$C117+1,MATCH(S$4,'draws%'!$D$7:$AG$7,FALSE))*S$129)</f>
        <v>0</v>
      </c>
      <c r="T117" s="181">
        <f>IF(ROUND(SUM(T$5:T116),2)&gt;=ROUND(T$129,2),0,INDEX('draws%'!$D$8:$AG$128,$C117+1,MATCH(T$4,'draws%'!$D$7:$AG$7,FALSE))*T$129)</f>
        <v>0</v>
      </c>
      <c r="U117" s="181">
        <f>IF(ROUND(SUM(U$5:U116),2)&gt;=ROUND(U$129,2),0,INDEX('draws%'!$D$8:$AG$128,$C117+1,MATCH(U$4,'draws%'!$D$7:$AG$7,FALSE))*U$129)</f>
        <v>0</v>
      </c>
      <c r="V117" s="181">
        <f>IF(ROUND(SUM(V$5:V116),2)&gt;=ROUND(V$129,2),0,INDEX('draws%'!$D$8:$AG$128,$C117+1,MATCH(V$4,'draws%'!$D$7:$AG$7,FALSE))*V$129)</f>
        <v>0</v>
      </c>
      <c r="W117" s="181">
        <f>IF(ROUND(SUM(W$5:W116),2)&gt;=ROUND(W$129,2),0,INDEX('draws%'!$D$8:$AG$128,$C117+1,MATCH(W$4,'draws%'!$D$7:$AG$7,FALSE))*W$129)</f>
        <v>0</v>
      </c>
      <c r="X117" s="181">
        <f>IF(ROUND(SUM(X$5:X116),2)&gt;=ROUND(X$129,2),0,INDEX('draws%'!$D$8:$AG$128,$C117+1,MATCH(X$4,'draws%'!$D$7:$AG$7,FALSE))*X$129)</f>
        <v>0</v>
      </c>
      <c r="Y117" s="181">
        <f>IF(ROUND(SUM(Y$5:Y116),2)&gt;=ROUND(Y$129,2),0,INDEX('draws%'!$D$8:$AG$128,$C117+1,MATCH(Y$4,'draws%'!$D$7:$AG$7,FALSE))*Y$129)</f>
        <v>0</v>
      </c>
      <c r="Z117" s="181">
        <f>IF(ROUND(SUM(Z$5:Z116),2)&gt;=ROUND(Z$129,2),0,INDEX('draws%'!$D$8:$AG$128,$C117+1,MATCH(Z$4,'draws%'!$D$7:$AG$7,FALSE))*Z$129)</f>
        <v>0</v>
      </c>
      <c r="AA117" s="181">
        <f>IF(ROUND(SUM(AA$5:AA116),2)&gt;=ROUND(AA$129,2),0,INDEX('draws%'!$D$8:$AG$128,$C117+1,MATCH(AA$4,'draws%'!$D$7:$AG$7,FALSE))*AA$129)</f>
        <v>0</v>
      </c>
      <c r="AB117" s="181">
        <f>IF(ROUND(SUM(AB$5:AB116),2)&gt;=ROUND(AB$129,2),0,INDEX('draws%'!$D$8:$AG$128,$C117+1,MATCH(AB$4,'draws%'!$D$7:$AG$7,FALSE))*AB$129)</f>
        <v>0</v>
      </c>
      <c r="AC117" s="181">
        <f>($C117&gt;=sales!$D$32)*($C117&lt;=sales!$F$32)*sales!$J$41/(sales!$E$32+1)+($C117&gt;=sales!$D$33)*($C117&lt;=sales!$F$33)*sales!$J$42/(sales!$E$33+1)+($C117&gt;=sales!$D$34)*($C117&lt;=sales!$F$34)*sales!$J$43/(sales!$E$34+1)+($C117&gt;=sales!$D$35)*($C117&lt;=sales!$F$35)*sales!$J$44/(sales!$E$35+1)+($C117&gt;=sales!$D$36)*($C117&lt;=sales!$F$36)*sales!$J$45/(sales!$E$36+1)</f>
        <v>0</v>
      </c>
      <c r="AD117" s="181">
        <f>IF(ROUND(SUM(AD$5:AD116),2)&gt;=ROUND(AD$129,2),0,INDEX('draws%'!$D$8:$AG$128,$C117+1,MATCH(AD$4,'draws%'!$D$7:$AG$7,FALSE))*AD$129)</f>
        <v>0</v>
      </c>
      <c r="AE117" s="181">
        <f>IF(ROUND(SUM(AE$5:AE116),2)&gt;=ROUND(AE$129,2),0,INDEX('draws%'!$D$8:$AG$128,$C117+1,MATCH(AE$4,'draws%'!$D$7:$AG$7,FALSE))*AE$129)</f>
        <v>0</v>
      </c>
      <c r="AF117" s="188">
        <f>($C117&gt;=sales!$D$32)*($C117&lt;=sales!$F$32)*sales!$D$41/(sales!$E$32+1)+($C117&gt;=sales!$D$33)*($C117&lt;=sales!$F$33)*sales!$D$42/(sales!$E$33+1)+($C117&gt;=sales!$D$34)*($C117&lt;=sales!$F$34)*sales!$D$43/(sales!$E$34+1)+($C117&gt;=sales!$D$35)*($C117&lt;=sales!$F$35)*sales!$D$44/(sales!$E$35+1)+($C117&gt;=sales!$D$36)*($C117&lt;=sales!$F$36)*sales!$D$45/(sales!$E$36+1)</f>
        <v>0</v>
      </c>
      <c r="AG117" s="188">
        <f>($C117&gt;=sales!$D$32)*($C117&lt;=sales!$F$32)*sales!$F$41/(sales!$E$32+1)+($C117&gt;=sales!$D$33)*($C117&lt;=sales!$F$33)*sales!$F$42/(sales!$E$33+1)+($C117&gt;=sales!$D$34)*($C117&lt;=sales!$F$34)*sales!$F$43/(sales!$E$34+1)+($C117&gt;=sales!$D$35)*($C117&lt;=sales!$F$35)*sales!$F$44/(sales!$E$35+1)+($C117&gt;=sales!$D$36)*($C117&lt;=sales!$F$36)*sales!$F$45/(sales!$E$36+1)</f>
        <v>0</v>
      </c>
      <c r="AH117" s="181">
        <f>IF(ROUND(SUM(AH$5:AH116),2)&gt;=ROUND(AH$129,2),0,INDEX('draws%'!$D$8:$AG$128,$C117+1,MATCH(AH$4,'draws%'!$D$7:$AG$7,FALSE))*AH$129)</f>
        <v>0</v>
      </c>
      <c r="AI117" s="181">
        <f>IF(ROUND(SUM(AI$5:AI116),2)&gt;=ROUND(AI$129,2),0,INDEX('draws%'!$D$8:$AG$128,$C117+1,MATCH(AI$4,'draws%'!$D$7:$AG$7,FALSE))*AI$129)</f>
        <v>0</v>
      </c>
      <c r="AJ117" s="181">
        <f>IF(ROUND(SUM(AJ$5:AJ116),2)&gt;=ROUND(AJ$129,2),0,INDEX('draws%'!$D$8:$AG$128,$C117+1,MATCH(AJ$4,'draws%'!$D$7:$AG$7,FALSE))*AJ$129)</f>
        <v>0</v>
      </c>
      <c r="AK117" s="181">
        <f>IF(ROUND(SUM(AK$5:AK116),2)&gt;=ROUND(AK$129,2),0,INDEX('draws%'!$D$8:$AG$128,$C117+1,MATCH(AK$4,'draws%'!$D$7:$AG$7,FALSE))*AK$129)</f>
        <v>0</v>
      </c>
      <c r="AL117" s="189">
        <f t="shared" si="3"/>
        <v>0</v>
      </c>
      <c r="AM117" s="195"/>
      <c r="AO117" s="171"/>
    </row>
    <row r="118" spans="1:41" ht="16" hidden="1" outlineLevel="1">
      <c r="A118" s="185" t="str">
        <f>IF(MAX(C$5:C117)&gt;=general!$C$27,"post dev",IF(C118&lt;general!$C$23, "Pred", "Dev"))</f>
        <v>post dev</v>
      </c>
      <c r="B118" s="1398"/>
      <c r="C118" s="1388">
        <f>IF('Development Cash Flow'!D117&lt;general!$D$28,'Development Cash Flow'!C117+1,0)</f>
        <v>0</v>
      </c>
      <c r="D118" s="185">
        <f t="shared" si="0"/>
        <v>49674</v>
      </c>
      <c r="E118" s="186">
        <f>($C118&gt;=sales!$D$32)*($C118&lt;=sales!$F$32)*ResUnits/(sales!$E$32+1)</f>
        <v>0</v>
      </c>
      <c r="F118" s="181">
        <f>($C118&gt;=sales!$D$32)*($C118&lt;=sales!$F$32)*sales!$I$18/(sales!$E$32+1)</f>
        <v>0</v>
      </c>
      <c r="G118" s="181">
        <f>($C118&gt;=sales!$D$32)*($C118&lt;=sales!$F$32)*sales!$K$32/(sales!$E$32+1)</f>
        <v>0</v>
      </c>
      <c r="H118" s="187">
        <f>($C118&gt;=sales!$D$33)*($C118&lt;=sales!$F$33)*sales!$K$33/(sales!$E$33+1)</f>
        <v>0</v>
      </c>
      <c r="I118" s="181">
        <f>($C118&gt;=sales!$D$34)*($C118&lt;=sales!$F$34)*sales!$K$34/(sales!$E$34+1)</f>
        <v>0</v>
      </c>
      <c r="J118" s="181">
        <f>($C118&gt;=sales!$D$35)*($C118&lt;=sales!$F$35)*sales!$K$35/(sales!$E$35+1)</f>
        <v>0</v>
      </c>
      <c r="K118" s="189">
        <f>($C118&gt;=sales!$D$36)*($C118&lt;=sales!$F$36)*sales!$K$36*IFERROR(VLOOKUP(C118,sales!$C$50:$D$54,2,FALSE),0)</f>
        <v>0</v>
      </c>
      <c r="L118" s="1398"/>
      <c r="M118" s="1403">
        <f>+G118/$G$4*$M$4*sales!$J$32</f>
        <v>0</v>
      </c>
      <c r="N118" s="1398"/>
      <c r="O118" s="1464">
        <f>IF(ROUND(SUM(O$5:O117),2)&gt;=ROUND(O$129,2),0,INDEX('draws%'!$D$8:$AG$128,$C118+1,MATCH(O$4,'draws%'!$D$7:$AG$7,FALSE))*O$129)</f>
        <v>0</v>
      </c>
      <c r="P118" s="181">
        <f>IF(ROUND(SUM(P$5:P117),2)&gt;=ROUND(P$129,2),0,INDEX('draws%'!$D$8:$AG$128,$C118+1,MATCH(P$4,'draws%'!$D$7:$AG$7,FALSE))*P$129)</f>
        <v>0</v>
      </c>
      <c r="Q118" s="181">
        <f>IF(ROUND(SUM(Q$5:Q117),2)&gt;=ROUND(Q$129,2),0,INDEX('draws%'!$D$8:$AG$128,$C118+1,MATCH(Q$4,'draws%'!$D$7:$AG$7,FALSE))*Q$129)</f>
        <v>0</v>
      </c>
      <c r="R118" s="181">
        <f>IF(ROUND(SUM(R$5:R117),2)&gt;=ROUND(R$129,2),0,INDEX('draws%'!$D$8:$AG$128,$C118+1,MATCH(R$4,'draws%'!$D$7:$AG$7,FALSE))*R$129)</f>
        <v>0</v>
      </c>
      <c r="S118" s="181">
        <f>IF(ROUND(SUM(S$5:S117),2)&gt;=ROUND(S$129,2),0,INDEX('draws%'!$D$8:$AG$128,$C118+1,MATCH(S$4,'draws%'!$D$7:$AG$7,FALSE))*S$129)</f>
        <v>0</v>
      </c>
      <c r="T118" s="181">
        <f>IF(ROUND(SUM(T$5:T117),2)&gt;=ROUND(T$129,2),0,INDEX('draws%'!$D$8:$AG$128,$C118+1,MATCH(T$4,'draws%'!$D$7:$AG$7,FALSE))*T$129)</f>
        <v>0</v>
      </c>
      <c r="U118" s="181">
        <f>IF(ROUND(SUM(U$5:U117),2)&gt;=ROUND(U$129,2),0,INDEX('draws%'!$D$8:$AG$128,$C118+1,MATCH(U$4,'draws%'!$D$7:$AG$7,FALSE))*U$129)</f>
        <v>0</v>
      </c>
      <c r="V118" s="181">
        <f>IF(ROUND(SUM(V$5:V117),2)&gt;=ROUND(V$129,2),0,INDEX('draws%'!$D$8:$AG$128,$C118+1,MATCH(V$4,'draws%'!$D$7:$AG$7,FALSE))*V$129)</f>
        <v>0</v>
      </c>
      <c r="W118" s="181">
        <f>IF(ROUND(SUM(W$5:W117),2)&gt;=ROUND(W$129,2),0,INDEX('draws%'!$D$8:$AG$128,$C118+1,MATCH(W$4,'draws%'!$D$7:$AG$7,FALSE))*W$129)</f>
        <v>0</v>
      </c>
      <c r="X118" s="181">
        <f>IF(ROUND(SUM(X$5:X117),2)&gt;=ROUND(X$129,2),0,INDEX('draws%'!$D$8:$AG$128,$C118+1,MATCH(X$4,'draws%'!$D$7:$AG$7,FALSE))*X$129)</f>
        <v>0</v>
      </c>
      <c r="Y118" s="181">
        <f>IF(ROUND(SUM(Y$5:Y117),2)&gt;=ROUND(Y$129,2),0,INDEX('draws%'!$D$8:$AG$128,$C118+1,MATCH(Y$4,'draws%'!$D$7:$AG$7,FALSE))*Y$129)</f>
        <v>0</v>
      </c>
      <c r="Z118" s="181">
        <f>IF(ROUND(SUM(Z$5:Z117),2)&gt;=ROUND(Z$129,2),0,INDEX('draws%'!$D$8:$AG$128,$C118+1,MATCH(Z$4,'draws%'!$D$7:$AG$7,FALSE))*Z$129)</f>
        <v>0</v>
      </c>
      <c r="AA118" s="181">
        <f>IF(ROUND(SUM(AA$5:AA117),2)&gt;=ROUND(AA$129,2),0,INDEX('draws%'!$D$8:$AG$128,$C118+1,MATCH(AA$4,'draws%'!$D$7:$AG$7,FALSE))*AA$129)</f>
        <v>0</v>
      </c>
      <c r="AB118" s="181">
        <f>IF(ROUND(SUM(AB$5:AB117),2)&gt;=ROUND(AB$129,2),0,INDEX('draws%'!$D$8:$AG$128,$C118+1,MATCH(AB$4,'draws%'!$D$7:$AG$7,FALSE))*AB$129)</f>
        <v>0</v>
      </c>
      <c r="AC118" s="181">
        <f>($C118&gt;=sales!$D$32)*($C118&lt;=sales!$F$32)*sales!$J$41/(sales!$E$32+1)+($C118&gt;=sales!$D$33)*($C118&lt;=sales!$F$33)*sales!$J$42/(sales!$E$33+1)+($C118&gt;=sales!$D$34)*($C118&lt;=sales!$F$34)*sales!$J$43/(sales!$E$34+1)+($C118&gt;=sales!$D$35)*($C118&lt;=sales!$F$35)*sales!$J$44/(sales!$E$35+1)+($C118&gt;=sales!$D$36)*($C118&lt;=sales!$F$36)*sales!$J$45/(sales!$E$36+1)</f>
        <v>0</v>
      </c>
      <c r="AD118" s="181">
        <f>IF(ROUND(SUM(AD$5:AD117),2)&gt;=ROUND(AD$129,2),0,INDEX('draws%'!$D$8:$AG$128,$C118+1,MATCH(AD$4,'draws%'!$D$7:$AG$7,FALSE))*AD$129)</f>
        <v>0</v>
      </c>
      <c r="AE118" s="181">
        <f>IF(ROUND(SUM(AE$5:AE117),2)&gt;=ROUND(AE$129,2),0,INDEX('draws%'!$D$8:$AG$128,$C118+1,MATCH(AE$4,'draws%'!$D$7:$AG$7,FALSE))*AE$129)</f>
        <v>0</v>
      </c>
      <c r="AF118" s="188">
        <f>($C118&gt;=sales!$D$32)*($C118&lt;=sales!$F$32)*sales!$D$41/(sales!$E$32+1)+($C118&gt;=sales!$D$33)*($C118&lt;=sales!$F$33)*sales!$D$42/(sales!$E$33+1)+($C118&gt;=sales!$D$34)*($C118&lt;=sales!$F$34)*sales!$D$43/(sales!$E$34+1)+($C118&gt;=sales!$D$35)*($C118&lt;=sales!$F$35)*sales!$D$44/(sales!$E$35+1)+($C118&gt;=sales!$D$36)*($C118&lt;=sales!$F$36)*sales!$D$45/(sales!$E$36+1)</f>
        <v>0</v>
      </c>
      <c r="AG118" s="188">
        <f>($C118&gt;=sales!$D$32)*($C118&lt;=sales!$F$32)*sales!$F$41/(sales!$E$32+1)+($C118&gt;=sales!$D$33)*($C118&lt;=sales!$F$33)*sales!$F$42/(sales!$E$33+1)+($C118&gt;=sales!$D$34)*($C118&lt;=sales!$F$34)*sales!$F$43/(sales!$E$34+1)+($C118&gt;=sales!$D$35)*($C118&lt;=sales!$F$35)*sales!$F$44/(sales!$E$35+1)+($C118&gt;=sales!$D$36)*($C118&lt;=sales!$F$36)*sales!$F$45/(sales!$E$36+1)</f>
        <v>0</v>
      </c>
      <c r="AH118" s="181">
        <f>IF(ROUND(SUM(AH$5:AH117),2)&gt;=ROUND(AH$129,2),0,INDEX('draws%'!$D$8:$AG$128,$C118+1,MATCH(AH$4,'draws%'!$D$7:$AG$7,FALSE))*AH$129)</f>
        <v>0</v>
      </c>
      <c r="AI118" s="181">
        <f>IF(ROUND(SUM(AI$5:AI117),2)&gt;=ROUND(AI$129,2),0,INDEX('draws%'!$D$8:$AG$128,$C118+1,MATCH(AI$4,'draws%'!$D$7:$AG$7,FALSE))*AI$129)</f>
        <v>0</v>
      </c>
      <c r="AJ118" s="181">
        <f>IF(ROUND(SUM(AJ$5:AJ117),2)&gt;=ROUND(AJ$129,2),0,INDEX('draws%'!$D$8:$AG$128,$C118+1,MATCH(AJ$4,'draws%'!$D$7:$AG$7,FALSE))*AJ$129)</f>
        <v>0</v>
      </c>
      <c r="AK118" s="181">
        <f>IF(ROUND(SUM(AK$5:AK117),2)&gt;=ROUND(AK$129,2),0,INDEX('draws%'!$D$8:$AG$128,$C118+1,MATCH(AK$4,'draws%'!$D$7:$AG$7,FALSE))*AK$129)</f>
        <v>0</v>
      </c>
      <c r="AL118" s="189">
        <f t="shared" si="3"/>
        <v>0</v>
      </c>
      <c r="AO118" s="173"/>
    </row>
    <row r="119" spans="1:41" ht="16" hidden="1" outlineLevel="1">
      <c r="A119" s="185" t="str">
        <f>IF(MAX(C$5:C118)&gt;=general!$C$27,"post dev",IF(C119&lt;general!$C$23, "Pred", "Dev"))</f>
        <v>post dev</v>
      </c>
      <c r="B119" s="1398"/>
      <c r="C119" s="1388">
        <f>IF('Development Cash Flow'!D118&lt;general!$D$28,'Development Cash Flow'!C118+1,0)</f>
        <v>0</v>
      </c>
      <c r="D119" s="185">
        <f t="shared" si="0"/>
        <v>49705</v>
      </c>
      <c r="E119" s="186">
        <f>($C119&gt;=sales!$D$32)*($C119&lt;=sales!$F$32)*ResUnits/(sales!$E$32+1)</f>
        <v>0</v>
      </c>
      <c r="F119" s="181">
        <f>($C119&gt;=sales!$D$32)*($C119&lt;=sales!$F$32)*sales!$I$18/(sales!$E$32+1)</f>
        <v>0</v>
      </c>
      <c r="G119" s="181">
        <f>($C119&gt;=sales!$D$32)*($C119&lt;=sales!$F$32)*sales!$K$32/(sales!$E$32+1)</f>
        <v>0</v>
      </c>
      <c r="H119" s="187">
        <f>($C119&gt;=sales!$D$33)*($C119&lt;=sales!$F$33)*sales!$K$33/(sales!$E$33+1)</f>
        <v>0</v>
      </c>
      <c r="I119" s="181">
        <f>($C119&gt;=sales!$D$34)*($C119&lt;=sales!$F$34)*sales!$K$34/(sales!$E$34+1)</f>
        <v>0</v>
      </c>
      <c r="J119" s="181">
        <f>($C119&gt;=sales!$D$35)*($C119&lt;=sales!$F$35)*sales!$K$35/(sales!$E$35+1)</f>
        <v>0</v>
      </c>
      <c r="K119" s="189">
        <f>($C119&gt;=sales!$D$36)*($C119&lt;=sales!$F$36)*sales!$K$36*IFERROR(VLOOKUP(C119,sales!$C$50:$D$54,2,FALSE),0)</f>
        <v>0</v>
      </c>
      <c r="L119" s="1398"/>
      <c r="M119" s="1403">
        <f>+G119/$G$4*$M$4*sales!$J$32</f>
        <v>0</v>
      </c>
      <c r="N119" s="1398"/>
      <c r="O119" s="1464">
        <f>IF(ROUND(SUM(O$5:O118),2)&gt;=ROUND(O$129,2),0,INDEX('draws%'!$D$8:$AG$128,$C119+1,MATCH(O$4,'draws%'!$D$7:$AG$7,FALSE))*O$129)</f>
        <v>0</v>
      </c>
      <c r="P119" s="181">
        <f>IF(ROUND(SUM(P$5:P118),2)&gt;=ROUND(P$129,2),0,INDEX('draws%'!$D$8:$AG$128,$C119+1,MATCH(P$4,'draws%'!$D$7:$AG$7,FALSE))*P$129)</f>
        <v>0</v>
      </c>
      <c r="Q119" s="181">
        <f>IF(ROUND(SUM(Q$5:Q118),2)&gt;=ROUND(Q$129,2),0,INDEX('draws%'!$D$8:$AG$128,$C119+1,MATCH(Q$4,'draws%'!$D$7:$AG$7,FALSE))*Q$129)</f>
        <v>0</v>
      </c>
      <c r="R119" s="181">
        <f>IF(ROUND(SUM(R$5:R118),2)&gt;=ROUND(R$129,2),0,INDEX('draws%'!$D$8:$AG$128,$C119+1,MATCH(R$4,'draws%'!$D$7:$AG$7,FALSE))*R$129)</f>
        <v>0</v>
      </c>
      <c r="S119" s="181">
        <f>IF(ROUND(SUM(S$5:S118),2)&gt;=ROUND(S$129,2),0,INDEX('draws%'!$D$8:$AG$128,$C119+1,MATCH(S$4,'draws%'!$D$7:$AG$7,FALSE))*S$129)</f>
        <v>0</v>
      </c>
      <c r="T119" s="181">
        <f>IF(ROUND(SUM(T$5:T118),2)&gt;=ROUND(T$129,2),0,INDEX('draws%'!$D$8:$AG$128,$C119+1,MATCH(T$4,'draws%'!$D$7:$AG$7,FALSE))*T$129)</f>
        <v>0</v>
      </c>
      <c r="U119" s="181">
        <f>IF(ROUND(SUM(U$5:U118),2)&gt;=ROUND(U$129,2),0,INDEX('draws%'!$D$8:$AG$128,$C119+1,MATCH(U$4,'draws%'!$D$7:$AG$7,FALSE))*U$129)</f>
        <v>0</v>
      </c>
      <c r="V119" s="181">
        <f>IF(ROUND(SUM(V$5:V118),2)&gt;=ROUND(V$129,2),0,INDEX('draws%'!$D$8:$AG$128,$C119+1,MATCH(V$4,'draws%'!$D$7:$AG$7,FALSE))*V$129)</f>
        <v>0</v>
      </c>
      <c r="W119" s="181">
        <f>IF(ROUND(SUM(W$5:W118),2)&gt;=ROUND(W$129,2),0,INDEX('draws%'!$D$8:$AG$128,$C119+1,MATCH(W$4,'draws%'!$D$7:$AG$7,FALSE))*W$129)</f>
        <v>0</v>
      </c>
      <c r="X119" s="181">
        <f>IF(ROUND(SUM(X$5:X118),2)&gt;=ROUND(X$129,2),0,INDEX('draws%'!$D$8:$AG$128,$C119+1,MATCH(X$4,'draws%'!$D$7:$AG$7,FALSE))*X$129)</f>
        <v>0</v>
      </c>
      <c r="Y119" s="181">
        <f>IF(ROUND(SUM(Y$5:Y118),2)&gt;=ROUND(Y$129,2),0,INDEX('draws%'!$D$8:$AG$128,$C119+1,MATCH(Y$4,'draws%'!$D$7:$AG$7,FALSE))*Y$129)</f>
        <v>0</v>
      </c>
      <c r="Z119" s="181">
        <f>IF(ROUND(SUM(Z$5:Z118),2)&gt;=ROUND(Z$129,2),0,INDEX('draws%'!$D$8:$AG$128,$C119+1,MATCH(Z$4,'draws%'!$D$7:$AG$7,FALSE))*Z$129)</f>
        <v>0</v>
      </c>
      <c r="AA119" s="181">
        <f>IF(ROUND(SUM(AA$5:AA118),2)&gt;=ROUND(AA$129,2),0,INDEX('draws%'!$D$8:$AG$128,$C119+1,MATCH(AA$4,'draws%'!$D$7:$AG$7,FALSE))*AA$129)</f>
        <v>0</v>
      </c>
      <c r="AB119" s="181">
        <f>IF(ROUND(SUM(AB$5:AB118),2)&gt;=ROUND(AB$129,2),0,INDEX('draws%'!$D$8:$AG$128,$C119+1,MATCH(AB$4,'draws%'!$D$7:$AG$7,FALSE))*AB$129)</f>
        <v>0</v>
      </c>
      <c r="AC119" s="181">
        <f>($C119&gt;=sales!$D$32)*($C119&lt;=sales!$F$32)*sales!$J$41/(sales!$E$32+1)+($C119&gt;=sales!$D$33)*($C119&lt;=sales!$F$33)*sales!$J$42/(sales!$E$33+1)+($C119&gt;=sales!$D$34)*($C119&lt;=sales!$F$34)*sales!$J$43/(sales!$E$34+1)+($C119&gt;=sales!$D$35)*($C119&lt;=sales!$F$35)*sales!$J$44/(sales!$E$35+1)+($C119&gt;=sales!$D$36)*($C119&lt;=sales!$F$36)*sales!$J$45/(sales!$E$36+1)</f>
        <v>0</v>
      </c>
      <c r="AD119" s="181">
        <f>IF(ROUND(SUM(AD$5:AD118),2)&gt;=ROUND(AD$129,2),0,INDEX('draws%'!$D$8:$AG$128,$C119+1,MATCH(AD$4,'draws%'!$D$7:$AG$7,FALSE))*AD$129)</f>
        <v>0</v>
      </c>
      <c r="AE119" s="181">
        <f>IF(ROUND(SUM(AE$5:AE118),2)&gt;=ROUND(AE$129,2),0,INDEX('draws%'!$D$8:$AG$128,$C119+1,MATCH(AE$4,'draws%'!$D$7:$AG$7,FALSE))*AE$129)</f>
        <v>0</v>
      </c>
      <c r="AF119" s="188">
        <f>($C119&gt;=sales!$D$32)*($C119&lt;=sales!$F$32)*sales!$D$41/(sales!$E$32+1)+($C119&gt;=sales!$D$33)*($C119&lt;=sales!$F$33)*sales!$D$42/(sales!$E$33+1)+($C119&gt;=sales!$D$34)*($C119&lt;=sales!$F$34)*sales!$D$43/(sales!$E$34+1)+($C119&gt;=sales!$D$35)*($C119&lt;=sales!$F$35)*sales!$D$44/(sales!$E$35+1)+($C119&gt;=sales!$D$36)*($C119&lt;=sales!$F$36)*sales!$D$45/(sales!$E$36+1)</f>
        <v>0</v>
      </c>
      <c r="AG119" s="188">
        <f>($C119&gt;=sales!$D$32)*($C119&lt;=sales!$F$32)*sales!$F$41/(sales!$E$32+1)+($C119&gt;=sales!$D$33)*($C119&lt;=sales!$F$33)*sales!$F$42/(sales!$E$33+1)+($C119&gt;=sales!$D$34)*($C119&lt;=sales!$F$34)*sales!$F$43/(sales!$E$34+1)+($C119&gt;=sales!$D$35)*($C119&lt;=sales!$F$35)*sales!$F$44/(sales!$E$35+1)+($C119&gt;=sales!$D$36)*($C119&lt;=sales!$F$36)*sales!$F$45/(sales!$E$36+1)</f>
        <v>0</v>
      </c>
      <c r="AH119" s="181">
        <f>IF(ROUND(SUM(AH$5:AH118),2)&gt;=ROUND(AH$129,2),0,INDEX('draws%'!$D$8:$AG$128,$C119+1,MATCH(AH$4,'draws%'!$D$7:$AG$7,FALSE))*AH$129)</f>
        <v>0</v>
      </c>
      <c r="AI119" s="181">
        <f>IF(ROUND(SUM(AI$5:AI118),2)&gt;=ROUND(AI$129,2),0,INDEX('draws%'!$D$8:$AG$128,$C119+1,MATCH(AI$4,'draws%'!$D$7:$AG$7,FALSE))*AI$129)</f>
        <v>0</v>
      </c>
      <c r="AJ119" s="181">
        <f>IF(ROUND(SUM(AJ$5:AJ118),2)&gt;=ROUND(AJ$129,2),0,INDEX('draws%'!$D$8:$AG$128,$C119+1,MATCH(AJ$4,'draws%'!$D$7:$AG$7,FALSE))*AJ$129)</f>
        <v>0</v>
      </c>
      <c r="AK119" s="181">
        <f>IF(ROUND(SUM(AK$5:AK118),2)&gt;=ROUND(AK$129,2),0,INDEX('draws%'!$D$8:$AG$128,$C119+1,MATCH(AK$4,'draws%'!$D$7:$AG$7,FALSE))*AK$129)</f>
        <v>0</v>
      </c>
      <c r="AL119" s="189">
        <f t="shared" si="3"/>
        <v>0</v>
      </c>
      <c r="AO119" s="173"/>
    </row>
    <row r="120" spans="1:41" ht="16" hidden="1" outlineLevel="1">
      <c r="A120" s="185" t="str">
        <f>IF(MAX(C$5:C119)&gt;=general!$C$27,"post dev",IF(C120&lt;general!$C$23, "Pred", "Dev"))</f>
        <v>post dev</v>
      </c>
      <c r="B120" s="1398"/>
      <c r="C120" s="1388">
        <f>IF('Development Cash Flow'!D119&lt;general!$D$28,'Development Cash Flow'!C119+1,0)</f>
        <v>0</v>
      </c>
      <c r="D120" s="185">
        <f t="shared" si="0"/>
        <v>49734</v>
      </c>
      <c r="E120" s="186">
        <f>($C120&gt;=sales!$D$32)*($C120&lt;=sales!$F$32)*ResUnits/(sales!$E$32+1)</f>
        <v>0</v>
      </c>
      <c r="F120" s="181">
        <f>($C120&gt;=sales!$D$32)*($C120&lt;=sales!$F$32)*sales!$I$18/(sales!$E$32+1)</f>
        <v>0</v>
      </c>
      <c r="G120" s="181">
        <f>($C120&gt;=sales!$D$32)*($C120&lt;=sales!$F$32)*sales!$K$32/(sales!$E$32+1)</f>
        <v>0</v>
      </c>
      <c r="H120" s="187">
        <f>($C120&gt;=sales!$D$33)*($C120&lt;=sales!$F$33)*sales!$K$33/(sales!$E$33+1)</f>
        <v>0</v>
      </c>
      <c r="I120" s="181">
        <f>($C120&gt;=sales!$D$34)*($C120&lt;=sales!$F$34)*sales!$K$34/(sales!$E$34+1)</f>
        <v>0</v>
      </c>
      <c r="J120" s="181">
        <f>($C120&gt;=sales!$D$35)*($C120&lt;=sales!$F$35)*sales!$K$35/(sales!$E$35+1)</f>
        <v>0</v>
      </c>
      <c r="K120" s="189">
        <f>($C120&gt;=sales!$D$36)*($C120&lt;=sales!$F$36)*sales!$K$36*IFERROR(VLOOKUP(C120,sales!$C$50:$D$54,2,FALSE),0)</f>
        <v>0</v>
      </c>
      <c r="L120" s="1398"/>
      <c r="M120" s="1403">
        <f>+G120/$G$4*$M$4*sales!$J$32</f>
        <v>0</v>
      </c>
      <c r="N120" s="1398"/>
      <c r="O120" s="1464">
        <f>IF(ROUND(SUM(O$5:O119),2)&gt;=ROUND(O$129,2),0,INDEX('draws%'!$D$8:$AG$128,$C120+1,MATCH(O$4,'draws%'!$D$7:$AG$7,FALSE))*O$129)</f>
        <v>0</v>
      </c>
      <c r="P120" s="181">
        <f>IF(ROUND(SUM(P$5:P119),2)&gt;=ROUND(P$129,2),0,INDEX('draws%'!$D$8:$AG$128,$C120+1,MATCH(P$4,'draws%'!$D$7:$AG$7,FALSE))*P$129)</f>
        <v>0</v>
      </c>
      <c r="Q120" s="181">
        <f>IF(ROUND(SUM(Q$5:Q119),2)&gt;=ROUND(Q$129,2),0,INDEX('draws%'!$D$8:$AG$128,$C120+1,MATCH(Q$4,'draws%'!$D$7:$AG$7,FALSE))*Q$129)</f>
        <v>0</v>
      </c>
      <c r="R120" s="181">
        <f>IF(ROUND(SUM(R$5:R119),2)&gt;=ROUND(R$129,2),0,INDEX('draws%'!$D$8:$AG$128,$C120+1,MATCH(R$4,'draws%'!$D$7:$AG$7,FALSE))*R$129)</f>
        <v>0</v>
      </c>
      <c r="S120" s="181">
        <f>IF(ROUND(SUM(S$5:S119),2)&gt;=ROUND(S$129,2),0,INDEX('draws%'!$D$8:$AG$128,$C120+1,MATCH(S$4,'draws%'!$D$7:$AG$7,FALSE))*S$129)</f>
        <v>0</v>
      </c>
      <c r="T120" s="181">
        <f>IF(ROUND(SUM(T$5:T119),2)&gt;=ROUND(T$129,2),0,INDEX('draws%'!$D$8:$AG$128,$C120+1,MATCH(T$4,'draws%'!$D$7:$AG$7,FALSE))*T$129)</f>
        <v>0</v>
      </c>
      <c r="U120" s="181">
        <f>IF(ROUND(SUM(U$5:U119),2)&gt;=ROUND(U$129,2),0,INDEX('draws%'!$D$8:$AG$128,$C120+1,MATCH(U$4,'draws%'!$D$7:$AG$7,FALSE))*U$129)</f>
        <v>0</v>
      </c>
      <c r="V120" s="181">
        <f>IF(ROUND(SUM(V$5:V119),2)&gt;=ROUND(V$129,2),0,INDEX('draws%'!$D$8:$AG$128,$C120+1,MATCH(V$4,'draws%'!$D$7:$AG$7,FALSE))*V$129)</f>
        <v>0</v>
      </c>
      <c r="W120" s="181">
        <f>IF(ROUND(SUM(W$5:W119),2)&gt;=ROUND(W$129,2),0,INDEX('draws%'!$D$8:$AG$128,$C120+1,MATCH(W$4,'draws%'!$D$7:$AG$7,FALSE))*W$129)</f>
        <v>0</v>
      </c>
      <c r="X120" s="181">
        <f>IF(ROUND(SUM(X$5:X119),2)&gt;=ROUND(X$129,2),0,INDEX('draws%'!$D$8:$AG$128,$C120+1,MATCH(X$4,'draws%'!$D$7:$AG$7,FALSE))*X$129)</f>
        <v>0</v>
      </c>
      <c r="Y120" s="181">
        <f>IF(ROUND(SUM(Y$5:Y119),2)&gt;=ROUND(Y$129,2),0,INDEX('draws%'!$D$8:$AG$128,$C120+1,MATCH(Y$4,'draws%'!$D$7:$AG$7,FALSE))*Y$129)</f>
        <v>0</v>
      </c>
      <c r="Z120" s="181">
        <f>IF(ROUND(SUM(Z$5:Z119),2)&gt;=ROUND(Z$129,2),0,INDEX('draws%'!$D$8:$AG$128,$C120+1,MATCH(Z$4,'draws%'!$D$7:$AG$7,FALSE))*Z$129)</f>
        <v>0</v>
      </c>
      <c r="AA120" s="181">
        <f>IF(ROUND(SUM(AA$5:AA119),2)&gt;=ROUND(AA$129,2),0,INDEX('draws%'!$D$8:$AG$128,$C120+1,MATCH(AA$4,'draws%'!$D$7:$AG$7,FALSE))*AA$129)</f>
        <v>0</v>
      </c>
      <c r="AB120" s="181">
        <f>IF(ROUND(SUM(AB$5:AB119),2)&gt;=ROUND(AB$129,2),0,INDEX('draws%'!$D$8:$AG$128,$C120+1,MATCH(AB$4,'draws%'!$D$7:$AG$7,FALSE))*AB$129)</f>
        <v>0</v>
      </c>
      <c r="AC120" s="181">
        <f>($C120&gt;=sales!$D$32)*($C120&lt;=sales!$F$32)*sales!$J$41/(sales!$E$32+1)+($C120&gt;=sales!$D$33)*($C120&lt;=sales!$F$33)*sales!$J$42/(sales!$E$33+1)+($C120&gt;=sales!$D$34)*($C120&lt;=sales!$F$34)*sales!$J$43/(sales!$E$34+1)+($C120&gt;=sales!$D$35)*($C120&lt;=sales!$F$35)*sales!$J$44/(sales!$E$35+1)+($C120&gt;=sales!$D$36)*($C120&lt;=sales!$F$36)*sales!$J$45/(sales!$E$36+1)</f>
        <v>0</v>
      </c>
      <c r="AD120" s="181">
        <f>IF(ROUND(SUM(AD$5:AD119),2)&gt;=ROUND(AD$129,2),0,INDEX('draws%'!$D$8:$AG$128,$C120+1,MATCH(AD$4,'draws%'!$D$7:$AG$7,FALSE))*AD$129)</f>
        <v>0</v>
      </c>
      <c r="AE120" s="181">
        <f>IF(ROUND(SUM(AE$5:AE119),2)&gt;=ROUND(AE$129,2),0,INDEX('draws%'!$D$8:$AG$128,$C120+1,MATCH(AE$4,'draws%'!$D$7:$AG$7,FALSE))*AE$129)</f>
        <v>0</v>
      </c>
      <c r="AF120" s="188">
        <f>($C120&gt;=sales!$D$32)*($C120&lt;=sales!$F$32)*sales!$D$41/(sales!$E$32+1)+($C120&gt;=sales!$D$33)*($C120&lt;=sales!$F$33)*sales!$D$42/(sales!$E$33+1)+($C120&gt;=sales!$D$34)*($C120&lt;=sales!$F$34)*sales!$D$43/(sales!$E$34+1)+($C120&gt;=sales!$D$35)*($C120&lt;=sales!$F$35)*sales!$D$44/(sales!$E$35+1)+($C120&gt;=sales!$D$36)*($C120&lt;=sales!$F$36)*sales!$D$45/(sales!$E$36+1)</f>
        <v>0</v>
      </c>
      <c r="AG120" s="188">
        <f>($C120&gt;=sales!$D$32)*($C120&lt;=sales!$F$32)*sales!$F$41/(sales!$E$32+1)+($C120&gt;=sales!$D$33)*($C120&lt;=sales!$F$33)*sales!$F$42/(sales!$E$33+1)+($C120&gt;=sales!$D$34)*($C120&lt;=sales!$F$34)*sales!$F$43/(sales!$E$34+1)+($C120&gt;=sales!$D$35)*($C120&lt;=sales!$F$35)*sales!$F$44/(sales!$E$35+1)+($C120&gt;=sales!$D$36)*($C120&lt;=sales!$F$36)*sales!$F$45/(sales!$E$36+1)</f>
        <v>0</v>
      </c>
      <c r="AH120" s="181">
        <f>IF(ROUND(SUM(AH$5:AH119),2)&gt;=ROUND(AH$129,2),0,INDEX('draws%'!$D$8:$AG$128,$C120+1,MATCH(AH$4,'draws%'!$D$7:$AG$7,FALSE))*AH$129)</f>
        <v>0</v>
      </c>
      <c r="AI120" s="181">
        <f>IF(ROUND(SUM(AI$5:AI119),2)&gt;=ROUND(AI$129,2),0,INDEX('draws%'!$D$8:$AG$128,$C120+1,MATCH(AI$4,'draws%'!$D$7:$AG$7,FALSE))*AI$129)</f>
        <v>0</v>
      </c>
      <c r="AJ120" s="181">
        <f>IF(ROUND(SUM(AJ$5:AJ119),2)&gt;=ROUND(AJ$129,2),0,INDEX('draws%'!$D$8:$AG$128,$C120+1,MATCH(AJ$4,'draws%'!$D$7:$AG$7,FALSE))*AJ$129)</f>
        <v>0</v>
      </c>
      <c r="AK120" s="181">
        <f>IF(ROUND(SUM(AK$5:AK119),2)&gt;=ROUND(AK$129,2),0,INDEX('draws%'!$D$8:$AG$128,$C120+1,MATCH(AK$4,'draws%'!$D$7:$AG$7,FALSE))*AK$129)</f>
        <v>0</v>
      </c>
      <c r="AL120" s="189">
        <f t="shared" si="3"/>
        <v>0</v>
      </c>
      <c r="AO120" s="173"/>
    </row>
    <row r="121" spans="1:41" s="192" customFormat="1" ht="16" hidden="1" outlineLevel="1">
      <c r="A121" s="185" t="str">
        <f>IF(MAX(C$5:C120)&gt;=general!$C$27,"post dev",IF(C121&lt;general!$C$23, "Pred", "Dev"))</f>
        <v>post dev</v>
      </c>
      <c r="B121" s="1398"/>
      <c r="C121" s="1388">
        <f>IF('Development Cash Flow'!D120&lt;general!$D$28,'Development Cash Flow'!C120+1,0)</f>
        <v>0</v>
      </c>
      <c r="D121" s="185">
        <f t="shared" si="0"/>
        <v>49765</v>
      </c>
      <c r="E121" s="186">
        <f>($C121&gt;=sales!$D$32)*($C121&lt;=sales!$F$32)*ResUnits/(sales!$E$32+1)</f>
        <v>0</v>
      </c>
      <c r="F121" s="181">
        <f>($C121&gt;=sales!$D$32)*($C121&lt;=sales!$F$32)*sales!$I$18/(sales!$E$32+1)</f>
        <v>0</v>
      </c>
      <c r="G121" s="181">
        <f>($C121&gt;=sales!$D$32)*($C121&lt;=sales!$F$32)*sales!$K$32/(sales!$E$32+1)</f>
        <v>0</v>
      </c>
      <c r="H121" s="187">
        <f>($C121&gt;=sales!$D$33)*($C121&lt;=sales!$F$33)*sales!$K$33/(sales!$E$33+1)</f>
        <v>0</v>
      </c>
      <c r="I121" s="181">
        <f>($C121&gt;=sales!$D$34)*($C121&lt;=sales!$F$34)*sales!$K$34/(sales!$E$34+1)</f>
        <v>0</v>
      </c>
      <c r="J121" s="181">
        <f>($C121&gt;=sales!$D$35)*($C121&lt;=sales!$F$35)*sales!$K$35/(sales!$E$35+1)</f>
        <v>0</v>
      </c>
      <c r="K121" s="189">
        <f>($C121&gt;=sales!$D$36)*($C121&lt;=sales!$F$36)*sales!$K$36*IFERROR(VLOOKUP(C121,sales!$C$50:$D$54,2,FALSE),0)</f>
        <v>0</v>
      </c>
      <c r="L121" s="1398"/>
      <c r="M121" s="1403">
        <f>+G121/$G$4*$M$4*sales!$J$32</f>
        <v>0</v>
      </c>
      <c r="N121" s="1398"/>
      <c r="O121" s="1464">
        <f>IF(ROUND(SUM(O$5:O120),2)&gt;=ROUND(O$129,2),0,INDEX('draws%'!$D$8:$AG$128,$C121+1,MATCH(O$4,'draws%'!$D$7:$AG$7,FALSE))*O$129)</f>
        <v>0</v>
      </c>
      <c r="P121" s="181">
        <f>IF(ROUND(SUM(P$5:P120),2)&gt;=ROUND(P$129,2),0,INDEX('draws%'!$D$8:$AG$128,$C121+1,MATCH(P$4,'draws%'!$D$7:$AG$7,FALSE))*P$129)</f>
        <v>0</v>
      </c>
      <c r="Q121" s="181">
        <f>IF(ROUND(SUM(Q$5:Q120),2)&gt;=ROUND(Q$129,2),0,INDEX('draws%'!$D$8:$AG$128,$C121+1,MATCH(Q$4,'draws%'!$D$7:$AG$7,FALSE))*Q$129)</f>
        <v>0</v>
      </c>
      <c r="R121" s="181">
        <f>IF(ROUND(SUM(R$5:R120),2)&gt;=ROUND(R$129,2),0,INDEX('draws%'!$D$8:$AG$128,$C121+1,MATCH(R$4,'draws%'!$D$7:$AG$7,FALSE))*R$129)</f>
        <v>0</v>
      </c>
      <c r="S121" s="181">
        <f>IF(ROUND(SUM(S$5:S120),2)&gt;=ROUND(S$129,2),0,INDEX('draws%'!$D$8:$AG$128,$C121+1,MATCH(S$4,'draws%'!$D$7:$AG$7,FALSE))*S$129)</f>
        <v>0</v>
      </c>
      <c r="T121" s="181">
        <f>IF(ROUND(SUM(T$5:T120),2)&gt;=ROUND(T$129,2),0,INDEX('draws%'!$D$8:$AG$128,$C121+1,MATCH(T$4,'draws%'!$D$7:$AG$7,FALSE))*T$129)</f>
        <v>0</v>
      </c>
      <c r="U121" s="181">
        <f>IF(ROUND(SUM(U$5:U120),2)&gt;=ROUND(U$129,2),0,INDEX('draws%'!$D$8:$AG$128,$C121+1,MATCH(U$4,'draws%'!$D$7:$AG$7,FALSE))*U$129)</f>
        <v>0</v>
      </c>
      <c r="V121" s="181">
        <f>IF(ROUND(SUM(V$5:V120),2)&gt;=ROUND(V$129,2),0,INDEX('draws%'!$D$8:$AG$128,$C121+1,MATCH(V$4,'draws%'!$D$7:$AG$7,FALSE))*V$129)</f>
        <v>0</v>
      </c>
      <c r="W121" s="181">
        <f>IF(ROUND(SUM(W$5:W120),2)&gt;=ROUND(W$129,2),0,INDEX('draws%'!$D$8:$AG$128,$C121+1,MATCH(W$4,'draws%'!$D$7:$AG$7,FALSE))*W$129)</f>
        <v>0</v>
      </c>
      <c r="X121" s="181">
        <f>IF(ROUND(SUM(X$5:X120),2)&gt;=ROUND(X$129,2),0,INDEX('draws%'!$D$8:$AG$128,$C121+1,MATCH(X$4,'draws%'!$D$7:$AG$7,FALSE))*X$129)</f>
        <v>0</v>
      </c>
      <c r="Y121" s="181">
        <f>IF(ROUND(SUM(Y$5:Y120),2)&gt;=ROUND(Y$129,2),0,INDEX('draws%'!$D$8:$AG$128,$C121+1,MATCH(Y$4,'draws%'!$D$7:$AG$7,FALSE))*Y$129)</f>
        <v>0</v>
      </c>
      <c r="Z121" s="181">
        <f>IF(ROUND(SUM(Z$5:Z120),2)&gt;=ROUND(Z$129,2),0,INDEX('draws%'!$D$8:$AG$128,$C121+1,MATCH(Z$4,'draws%'!$D$7:$AG$7,FALSE))*Z$129)</f>
        <v>0</v>
      </c>
      <c r="AA121" s="181">
        <f>IF(ROUND(SUM(AA$5:AA120),2)&gt;=ROUND(AA$129,2),0,INDEX('draws%'!$D$8:$AG$128,$C121+1,MATCH(AA$4,'draws%'!$D$7:$AG$7,FALSE))*AA$129)</f>
        <v>0</v>
      </c>
      <c r="AB121" s="181">
        <f>IF(ROUND(SUM(AB$5:AB120),2)&gt;=ROUND(AB$129,2),0,INDEX('draws%'!$D$8:$AG$128,$C121+1,MATCH(AB$4,'draws%'!$D$7:$AG$7,FALSE))*AB$129)</f>
        <v>0</v>
      </c>
      <c r="AC121" s="181">
        <f>($C121&gt;=sales!$D$32)*($C121&lt;=sales!$F$32)*sales!$J$41/(sales!$E$32+1)+($C121&gt;=sales!$D$33)*($C121&lt;=sales!$F$33)*sales!$J$42/(sales!$E$33+1)+($C121&gt;=sales!$D$34)*($C121&lt;=sales!$F$34)*sales!$J$43/(sales!$E$34+1)+($C121&gt;=sales!$D$35)*($C121&lt;=sales!$F$35)*sales!$J$44/(sales!$E$35+1)+($C121&gt;=sales!$D$36)*($C121&lt;=sales!$F$36)*sales!$J$45/(sales!$E$36+1)</f>
        <v>0</v>
      </c>
      <c r="AD121" s="181">
        <f>IF(ROUND(SUM(AD$5:AD120),2)&gt;=ROUND(AD$129,2),0,INDEX('draws%'!$D$8:$AG$128,$C121+1,MATCH(AD$4,'draws%'!$D$7:$AG$7,FALSE))*AD$129)</f>
        <v>0</v>
      </c>
      <c r="AE121" s="181">
        <f>IF(ROUND(SUM(AE$5:AE120),2)&gt;=ROUND(AE$129,2),0,INDEX('draws%'!$D$8:$AG$128,$C121+1,MATCH(AE$4,'draws%'!$D$7:$AG$7,FALSE))*AE$129)</f>
        <v>0</v>
      </c>
      <c r="AF121" s="188">
        <f>($C121&gt;=sales!$D$32)*($C121&lt;=sales!$F$32)*sales!$D$41/(sales!$E$32+1)+($C121&gt;=sales!$D$33)*($C121&lt;=sales!$F$33)*sales!$D$42/(sales!$E$33+1)+($C121&gt;=sales!$D$34)*($C121&lt;=sales!$F$34)*sales!$D$43/(sales!$E$34+1)+($C121&gt;=sales!$D$35)*($C121&lt;=sales!$F$35)*sales!$D$44/(sales!$E$35+1)+($C121&gt;=sales!$D$36)*($C121&lt;=sales!$F$36)*sales!$D$45/(sales!$E$36+1)</f>
        <v>0</v>
      </c>
      <c r="AG121" s="188">
        <f>($C121&gt;=sales!$D$32)*($C121&lt;=sales!$F$32)*sales!$F$41/(sales!$E$32+1)+($C121&gt;=sales!$D$33)*($C121&lt;=sales!$F$33)*sales!$F$42/(sales!$E$33+1)+($C121&gt;=sales!$D$34)*($C121&lt;=sales!$F$34)*sales!$F$43/(sales!$E$34+1)+($C121&gt;=sales!$D$35)*($C121&lt;=sales!$F$35)*sales!$F$44/(sales!$E$35+1)+($C121&gt;=sales!$D$36)*($C121&lt;=sales!$F$36)*sales!$F$45/(sales!$E$36+1)</f>
        <v>0</v>
      </c>
      <c r="AH121" s="181">
        <f>IF(ROUND(SUM(AH$5:AH120),2)&gt;=ROUND(AH$129,2),0,INDEX('draws%'!$D$8:$AG$128,$C121+1,MATCH(AH$4,'draws%'!$D$7:$AG$7,FALSE))*AH$129)</f>
        <v>0</v>
      </c>
      <c r="AI121" s="181">
        <f>IF(ROUND(SUM(AI$5:AI120),2)&gt;=ROUND(AI$129,2),0,INDEX('draws%'!$D$8:$AG$128,$C121+1,MATCH(AI$4,'draws%'!$D$7:$AG$7,FALSE))*AI$129)</f>
        <v>0</v>
      </c>
      <c r="AJ121" s="181">
        <f>IF(ROUND(SUM(AJ$5:AJ120),2)&gt;=ROUND(AJ$129,2),0,INDEX('draws%'!$D$8:$AG$128,$C121+1,MATCH(AJ$4,'draws%'!$D$7:$AG$7,FALSE))*AJ$129)</f>
        <v>0</v>
      </c>
      <c r="AK121" s="181">
        <f>IF(ROUND(SUM(AK$5:AK120),2)&gt;=ROUND(AK$129,2),0,INDEX('draws%'!$D$8:$AG$128,$C121+1,MATCH(AK$4,'draws%'!$D$7:$AG$7,FALSE))*AK$129)</f>
        <v>0</v>
      </c>
      <c r="AL121" s="189">
        <f t="shared" si="3"/>
        <v>0</v>
      </c>
      <c r="AM121" s="194"/>
      <c r="AO121" s="171"/>
    </row>
    <row r="122" spans="1:41" s="192" customFormat="1" ht="16" hidden="1" outlineLevel="1">
      <c r="A122" s="185" t="str">
        <f>IF(MAX(C$5:C121)&gt;=general!$C$27,"post dev",IF(C122&lt;general!$C$23, "Pred", "Dev"))</f>
        <v>post dev</v>
      </c>
      <c r="B122" s="1398"/>
      <c r="C122" s="1388">
        <f>IF('Development Cash Flow'!D121&lt;general!$D$28,'Development Cash Flow'!C121+1,0)</f>
        <v>0</v>
      </c>
      <c r="D122" s="185">
        <f t="shared" si="0"/>
        <v>49795</v>
      </c>
      <c r="E122" s="186">
        <f>($C122&gt;=sales!$D$32)*($C122&lt;=sales!$F$32)*ResUnits/(sales!$E$32+1)</f>
        <v>0</v>
      </c>
      <c r="F122" s="181">
        <f>($C122&gt;=sales!$D$32)*($C122&lt;=sales!$F$32)*sales!$I$18/(sales!$E$32+1)</f>
        <v>0</v>
      </c>
      <c r="G122" s="181">
        <f>($C122&gt;=sales!$D$32)*($C122&lt;=sales!$F$32)*sales!$K$32/(sales!$E$32+1)</f>
        <v>0</v>
      </c>
      <c r="H122" s="187">
        <f>($C122&gt;=sales!$D$33)*($C122&lt;=sales!$F$33)*sales!$K$33/(sales!$E$33+1)</f>
        <v>0</v>
      </c>
      <c r="I122" s="181">
        <f>($C122&gt;=sales!$D$34)*($C122&lt;=sales!$F$34)*sales!$K$34/(sales!$E$34+1)</f>
        <v>0</v>
      </c>
      <c r="J122" s="181">
        <f>($C122&gt;=sales!$D$35)*($C122&lt;=sales!$F$35)*sales!$K$35/(sales!$E$35+1)</f>
        <v>0</v>
      </c>
      <c r="K122" s="189">
        <f>($C122&gt;=sales!$D$36)*($C122&lt;=sales!$F$36)*sales!$K$36*IFERROR(VLOOKUP(C122,sales!$C$50:$D$54,2,FALSE),0)</f>
        <v>0</v>
      </c>
      <c r="L122" s="1398"/>
      <c r="M122" s="1403">
        <f>+G122/$G$4*$M$4*sales!$J$32</f>
        <v>0</v>
      </c>
      <c r="N122" s="1398"/>
      <c r="O122" s="1464">
        <f>IF(ROUND(SUM(O$5:O121),2)&gt;=ROUND(O$129,2),0,INDEX('draws%'!$D$8:$AG$128,$C122+1,MATCH(O$4,'draws%'!$D$7:$AG$7,FALSE))*O$129)</f>
        <v>0</v>
      </c>
      <c r="P122" s="181">
        <f>IF(ROUND(SUM(P$5:P121),2)&gt;=ROUND(P$129,2),0,INDEX('draws%'!$D$8:$AG$128,$C122+1,MATCH(P$4,'draws%'!$D$7:$AG$7,FALSE))*P$129)</f>
        <v>0</v>
      </c>
      <c r="Q122" s="181">
        <f>IF(ROUND(SUM(Q$5:Q121),2)&gt;=ROUND(Q$129,2),0,INDEX('draws%'!$D$8:$AG$128,$C122+1,MATCH(Q$4,'draws%'!$D$7:$AG$7,FALSE))*Q$129)</f>
        <v>0</v>
      </c>
      <c r="R122" s="181">
        <f>IF(ROUND(SUM(R$5:R121),2)&gt;=ROUND(R$129,2),0,INDEX('draws%'!$D$8:$AG$128,$C122+1,MATCH(R$4,'draws%'!$D$7:$AG$7,FALSE))*R$129)</f>
        <v>0</v>
      </c>
      <c r="S122" s="181">
        <f>IF(ROUND(SUM(S$5:S121),2)&gt;=ROUND(S$129,2),0,INDEX('draws%'!$D$8:$AG$128,$C122+1,MATCH(S$4,'draws%'!$D$7:$AG$7,FALSE))*S$129)</f>
        <v>0</v>
      </c>
      <c r="T122" s="181">
        <f>IF(ROUND(SUM(T$5:T121),2)&gt;=ROUND(T$129,2),0,INDEX('draws%'!$D$8:$AG$128,$C122+1,MATCH(T$4,'draws%'!$D$7:$AG$7,FALSE))*T$129)</f>
        <v>0</v>
      </c>
      <c r="U122" s="181">
        <f>IF(ROUND(SUM(U$5:U121),2)&gt;=ROUND(U$129,2),0,INDEX('draws%'!$D$8:$AG$128,$C122+1,MATCH(U$4,'draws%'!$D$7:$AG$7,FALSE))*U$129)</f>
        <v>0</v>
      </c>
      <c r="V122" s="181">
        <f>IF(ROUND(SUM(V$5:V121),2)&gt;=ROUND(V$129,2),0,INDEX('draws%'!$D$8:$AG$128,$C122+1,MATCH(V$4,'draws%'!$D$7:$AG$7,FALSE))*V$129)</f>
        <v>0</v>
      </c>
      <c r="W122" s="181">
        <f>IF(ROUND(SUM(W$5:W121),2)&gt;=ROUND(W$129,2),0,INDEX('draws%'!$D$8:$AG$128,$C122+1,MATCH(W$4,'draws%'!$D$7:$AG$7,FALSE))*W$129)</f>
        <v>0</v>
      </c>
      <c r="X122" s="181">
        <f>IF(ROUND(SUM(X$5:X121),2)&gt;=ROUND(X$129,2),0,INDEX('draws%'!$D$8:$AG$128,$C122+1,MATCH(X$4,'draws%'!$D$7:$AG$7,FALSE))*X$129)</f>
        <v>0</v>
      </c>
      <c r="Y122" s="181">
        <f>IF(ROUND(SUM(Y$5:Y121),2)&gt;=ROUND(Y$129,2),0,INDEX('draws%'!$D$8:$AG$128,$C122+1,MATCH(Y$4,'draws%'!$D$7:$AG$7,FALSE))*Y$129)</f>
        <v>0</v>
      </c>
      <c r="Z122" s="181">
        <f>IF(ROUND(SUM(Z$5:Z121),2)&gt;=ROUND(Z$129,2),0,INDEX('draws%'!$D$8:$AG$128,$C122+1,MATCH(Z$4,'draws%'!$D$7:$AG$7,FALSE))*Z$129)</f>
        <v>0</v>
      </c>
      <c r="AA122" s="181">
        <f>IF(ROUND(SUM(AA$5:AA121),2)&gt;=ROUND(AA$129,2),0,INDEX('draws%'!$D$8:$AG$128,$C122+1,MATCH(AA$4,'draws%'!$D$7:$AG$7,FALSE))*AA$129)</f>
        <v>0</v>
      </c>
      <c r="AB122" s="181">
        <f>IF(ROUND(SUM(AB$5:AB121),2)&gt;=ROUND(AB$129,2),0,INDEX('draws%'!$D$8:$AG$128,$C122+1,MATCH(AB$4,'draws%'!$D$7:$AG$7,FALSE))*AB$129)</f>
        <v>0</v>
      </c>
      <c r="AC122" s="181">
        <f>($C122&gt;=sales!$D$32)*($C122&lt;=sales!$F$32)*sales!$J$41/(sales!$E$32+1)+($C122&gt;=sales!$D$33)*($C122&lt;=sales!$F$33)*sales!$J$42/(sales!$E$33+1)+($C122&gt;=sales!$D$34)*($C122&lt;=sales!$F$34)*sales!$J$43/(sales!$E$34+1)+($C122&gt;=sales!$D$35)*($C122&lt;=sales!$F$35)*sales!$J$44/(sales!$E$35+1)+($C122&gt;=sales!$D$36)*($C122&lt;=sales!$F$36)*sales!$J$45/(sales!$E$36+1)</f>
        <v>0</v>
      </c>
      <c r="AD122" s="181">
        <f>IF(ROUND(SUM(AD$5:AD121),2)&gt;=ROUND(AD$129,2),0,INDEX('draws%'!$D$8:$AG$128,$C122+1,MATCH(AD$4,'draws%'!$D$7:$AG$7,FALSE))*AD$129)</f>
        <v>0</v>
      </c>
      <c r="AE122" s="181">
        <f>IF(ROUND(SUM(AE$5:AE121),2)&gt;=ROUND(AE$129,2),0,INDEX('draws%'!$D$8:$AG$128,$C122+1,MATCH(AE$4,'draws%'!$D$7:$AG$7,FALSE))*AE$129)</f>
        <v>0</v>
      </c>
      <c r="AF122" s="188">
        <f>($C122&gt;=sales!$D$32)*($C122&lt;=sales!$F$32)*sales!$D$41/(sales!$E$32+1)+($C122&gt;=sales!$D$33)*($C122&lt;=sales!$F$33)*sales!$D$42/(sales!$E$33+1)+($C122&gt;=sales!$D$34)*($C122&lt;=sales!$F$34)*sales!$D$43/(sales!$E$34+1)+($C122&gt;=sales!$D$35)*($C122&lt;=sales!$F$35)*sales!$D$44/(sales!$E$35+1)+($C122&gt;=sales!$D$36)*($C122&lt;=sales!$F$36)*sales!$D$45/(sales!$E$36+1)</f>
        <v>0</v>
      </c>
      <c r="AG122" s="188">
        <f>($C122&gt;=sales!$D$32)*($C122&lt;=sales!$F$32)*sales!$F$41/(sales!$E$32+1)+($C122&gt;=sales!$D$33)*($C122&lt;=sales!$F$33)*sales!$F$42/(sales!$E$33+1)+($C122&gt;=sales!$D$34)*($C122&lt;=sales!$F$34)*sales!$F$43/(sales!$E$34+1)+($C122&gt;=sales!$D$35)*($C122&lt;=sales!$F$35)*sales!$F$44/(sales!$E$35+1)+($C122&gt;=sales!$D$36)*($C122&lt;=sales!$F$36)*sales!$F$45/(sales!$E$36+1)</f>
        <v>0</v>
      </c>
      <c r="AH122" s="181">
        <f>IF(ROUND(SUM(AH$5:AH121),2)&gt;=ROUND(AH$129,2),0,INDEX('draws%'!$D$8:$AG$128,$C122+1,MATCH(AH$4,'draws%'!$D$7:$AG$7,FALSE))*AH$129)</f>
        <v>0</v>
      </c>
      <c r="AI122" s="181">
        <f>IF(ROUND(SUM(AI$5:AI121),2)&gt;=ROUND(AI$129,2),0,INDEX('draws%'!$D$8:$AG$128,$C122+1,MATCH(AI$4,'draws%'!$D$7:$AG$7,FALSE))*AI$129)</f>
        <v>0</v>
      </c>
      <c r="AJ122" s="181">
        <f>IF(ROUND(SUM(AJ$5:AJ121),2)&gt;=ROUND(AJ$129,2),0,INDEX('draws%'!$D$8:$AG$128,$C122+1,MATCH(AJ$4,'draws%'!$D$7:$AG$7,FALSE))*AJ$129)</f>
        <v>0</v>
      </c>
      <c r="AK122" s="181">
        <f>IF(ROUND(SUM(AK$5:AK121),2)&gt;=ROUND(AK$129,2),0,INDEX('draws%'!$D$8:$AG$128,$C122+1,MATCH(AK$4,'draws%'!$D$7:$AG$7,FALSE))*AK$129)</f>
        <v>0</v>
      </c>
      <c r="AL122" s="189">
        <f t="shared" si="3"/>
        <v>0</v>
      </c>
      <c r="AM122" s="194"/>
      <c r="AO122" s="171"/>
    </row>
    <row r="123" spans="1:41" s="192" customFormat="1" ht="16" hidden="1" outlineLevel="1">
      <c r="A123" s="185" t="str">
        <f>IF(MAX(C$5:C122)&gt;=general!$C$27,"post dev",IF(C123&lt;general!$C$23, "Pred", "Dev"))</f>
        <v>post dev</v>
      </c>
      <c r="B123" s="1398"/>
      <c r="C123" s="1388">
        <f>IF('Development Cash Flow'!D122&lt;general!$D$28,'Development Cash Flow'!C122+1,0)</f>
        <v>0</v>
      </c>
      <c r="D123" s="185">
        <f t="shared" si="0"/>
        <v>49826</v>
      </c>
      <c r="E123" s="186">
        <f>($C123&gt;=sales!$D$32)*($C123&lt;=sales!$F$32)*ResUnits/(sales!$E$32+1)</f>
        <v>0</v>
      </c>
      <c r="F123" s="181">
        <f>($C123&gt;=sales!$D$32)*($C123&lt;=sales!$F$32)*sales!$I$18/(sales!$E$32+1)</f>
        <v>0</v>
      </c>
      <c r="G123" s="181">
        <f>($C123&gt;=sales!$D$32)*($C123&lt;=sales!$F$32)*sales!$K$32/(sales!$E$32+1)</f>
        <v>0</v>
      </c>
      <c r="H123" s="187">
        <f>($C123&gt;=sales!$D$33)*($C123&lt;=sales!$F$33)*sales!$K$33/(sales!$E$33+1)</f>
        <v>0</v>
      </c>
      <c r="I123" s="181">
        <f>($C123&gt;=sales!$D$34)*($C123&lt;=sales!$F$34)*sales!$K$34/(sales!$E$34+1)</f>
        <v>0</v>
      </c>
      <c r="J123" s="181">
        <f>($C123&gt;=sales!$D$35)*($C123&lt;=sales!$F$35)*sales!$K$35/(sales!$E$35+1)</f>
        <v>0</v>
      </c>
      <c r="K123" s="189">
        <f>($C123&gt;=sales!$D$36)*($C123&lt;=sales!$F$36)*sales!$K$36*IFERROR(VLOOKUP(C123,sales!$C$50:$D$54,2,FALSE),0)</f>
        <v>0</v>
      </c>
      <c r="L123" s="1398"/>
      <c r="M123" s="1403">
        <f>+G123/$G$4*$M$4*sales!$J$32</f>
        <v>0</v>
      </c>
      <c r="N123" s="1398"/>
      <c r="O123" s="1464">
        <f>IF(ROUND(SUM(O$5:O122),2)&gt;=ROUND(O$129,2),0,INDEX('draws%'!$D$8:$AG$128,$C123+1,MATCH(O$4,'draws%'!$D$7:$AG$7,FALSE))*O$129)</f>
        <v>0</v>
      </c>
      <c r="P123" s="181">
        <f>IF(ROUND(SUM(P$5:P122),2)&gt;=ROUND(P$129,2),0,INDEX('draws%'!$D$8:$AG$128,$C123+1,MATCH(P$4,'draws%'!$D$7:$AG$7,FALSE))*P$129)</f>
        <v>0</v>
      </c>
      <c r="Q123" s="181">
        <f>IF(ROUND(SUM(Q$5:Q122),2)&gt;=ROUND(Q$129,2),0,INDEX('draws%'!$D$8:$AG$128,$C123+1,MATCH(Q$4,'draws%'!$D$7:$AG$7,FALSE))*Q$129)</f>
        <v>0</v>
      </c>
      <c r="R123" s="181">
        <f>IF(ROUND(SUM(R$5:R122),2)&gt;=ROUND(R$129,2),0,INDEX('draws%'!$D$8:$AG$128,$C123+1,MATCH(R$4,'draws%'!$D$7:$AG$7,FALSE))*R$129)</f>
        <v>0</v>
      </c>
      <c r="S123" s="181">
        <f>IF(ROUND(SUM(S$5:S122),2)&gt;=ROUND(S$129,2),0,INDEX('draws%'!$D$8:$AG$128,$C123+1,MATCH(S$4,'draws%'!$D$7:$AG$7,FALSE))*S$129)</f>
        <v>0</v>
      </c>
      <c r="T123" s="181">
        <f>IF(ROUND(SUM(T$5:T122),2)&gt;=ROUND(T$129,2),0,INDEX('draws%'!$D$8:$AG$128,$C123+1,MATCH(T$4,'draws%'!$D$7:$AG$7,FALSE))*T$129)</f>
        <v>0</v>
      </c>
      <c r="U123" s="181">
        <f>IF(ROUND(SUM(U$5:U122),2)&gt;=ROUND(U$129,2),0,INDEX('draws%'!$D$8:$AG$128,$C123+1,MATCH(U$4,'draws%'!$D$7:$AG$7,FALSE))*U$129)</f>
        <v>0</v>
      </c>
      <c r="V123" s="181">
        <f>IF(ROUND(SUM(V$5:V122),2)&gt;=ROUND(V$129,2),0,INDEX('draws%'!$D$8:$AG$128,$C123+1,MATCH(V$4,'draws%'!$D$7:$AG$7,FALSE))*V$129)</f>
        <v>0</v>
      </c>
      <c r="W123" s="181">
        <f>IF(ROUND(SUM(W$5:W122),2)&gt;=ROUND(W$129,2),0,INDEX('draws%'!$D$8:$AG$128,$C123+1,MATCH(W$4,'draws%'!$D$7:$AG$7,FALSE))*W$129)</f>
        <v>0</v>
      </c>
      <c r="X123" s="181">
        <f>IF(ROUND(SUM(X$5:X122),2)&gt;=ROUND(X$129,2),0,INDEX('draws%'!$D$8:$AG$128,$C123+1,MATCH(X$4,'draws%'!$D$7:$AG$7,FALSE))*X$129)</f>
        <v>0</v>
      </c>
      <c r="Y123" s="181">
        <f>IF(ROUND(SUM(Y$5:Y122),2)&gt;=ROUND(Y$129,2),0,INDEX('draws%'!$D$8:$AG$128,$C123+1,MATCH(Y$4,'draws%'!$D$7:$AG$7,FALSE))*Y$129)</f>
        <v>0</v>
      </c>
      <c r="Z123" s="181">
        <f>IF(ROUND(SUM(Z$5:Z122),2)&gt;=ROUND(Z$129,2),0,INDEX('draws%'!$D$8:$AG$128,$C123+1,MATCH(Z$4,'draws%'!$D$7:$AG$7,FALSE))*Z$129)</f>
        <v>0</v>
      </c>
      <c r="AA123" s="181">
        <f>IF(ROUND(SUM(AA$5:AA122),2)&gt;=ROUND(AA$129,2),0,INDEX('draws%'!$D$8:$AG$128,$C123+1,MATCH(AA$4,'draws%'!$D$7:$AG$7,FALSE))*AA$129)</f>
        <v>0</v>
      </c>
      <c r="AB123" s="181">
        <f>IF(ROUND(SUM(AB$5:AB122),2)&gt;=ROUND(AB$129,2),0,INDEX('draws%'!$D$8:$AG$128,$C123+1,MATCH(AB$4,'draws%'!$D$7:$AG$7,FALSE))*AB$129)</f>
        <v>0</v>
      </c>
      <c r="AC123" s="181">
        <f>($C123&gt;=sales!$D$32)*($C123&lt;=sales!$F$32)*sales!$J$41/(sales!$E$32+1)+($C123&gt;=sales!$D$33)*($C123&lt;=sales!$F$33)*sales!$J$42/(sales!$E$33+1)+($C123&gt;=sales!$D$34)*($C123&lt;=sales!$F$34)*sales!$J$43/(sales!$E$34+1)+($C123&gt;=sales!$D$35)*($C123&lt;=sales!$F$35)*sales!$J$44/(sales!$E$35+1)+($C123&gt;=sales!$D$36)*($C123&lt;=sales!$F$36)*sales!$J$45/(sales!$E$36+1)</f>
        <v>0</v>
      </c>
      <c r="AD123" s="181">
        <f>IF(ROUND(SUM(AD$5:AD122),2)&gt;=ROUND(AD$129,2),0,INDEX('draws%'!$D$8:$AG$128,$C123+1,MATCH(AD$4,'draws%'!$D$7:$AG$7,FALSE))*AD$129)</f>
        <v>0</v>
      </c>
      <c r="AE123" s="181">
        <f>IF(ROUND(SUM(AE$5:AE122),2)&gt;=ROUND(AE$129,2),0,INDEX('draws%'!$D$8:$AG$128,$C123+1,MATCH(AE$4,'draws%'!$D$7:$AG$7,FALSE))*AE$129)</f>
        <v>0</v>
      </c>
      <c r="AF123" s="188">
        <f>($C123&gt;=sales!$D$32)*($C123&lt;=sales!$F$32)*sales!$D$41/(sales!$E$32+1)+($C123&gt;=sales!$D$33)*($C123&lt;=sales!$F$33)*sales!$D$42/(sales!$E$33+1)+($C123&gt;=sales!$D$34)*($C123&lt;=sales!$F$34)*sales!$D$43/(sales!$E$34+1)+($C123&gt;=sales!$D$35)*($C123&lt;=sales!$F$35)*sales!$D$44/(sales!$E$35+1)+($C123&gt;=sales!$D$36)*($C123&lt;=sales!$F$36)*sales!$D$45/(sales!$E$36+1)</f>
        <v>0</v>
      </c>
      <c r="AG123" s="188">
        <f>($C123&gt;=sales!$D$32)*($C123&lt;=sales!$F$32)*sales!$F$41/(sales!$E$32+1)+($C123&gt;=sales!$D$33)*($C123&lt;=sales!$F$33)*sales!$F$42/(sales!$E$33+1)+($C123&gt;=sales!$D$34)*($C123&lt;=sales!$F$34)*sales!$F$43/(sales!$E$34+1)+($C123&gt;=sales!$D$35)*($C123&lt;=sales!$F$35)*sales!$F$44/(sales!$E$35+1)+($C123&gt;=sales!$D$36)*($C123&lt;=sales!$F$36)*sales!$F$45/(sales!$E$36+1)</f>
        <v>0</v>
      </c>
      <c r="AH123" s="181">
        <f>IF(ROUND(SUM(AH$5:AH122),2)&gt;=ROUND(AH$129,2),0,INDEX('draws%'!$D$8:$AG$128,$C123+1,MATCH(AH$4,'draws%'!$D$7:$AG$7,FALSE))*AH$129)</f>
        <v>0</v>
      </c>
      <c r="AI123" s="181">
        <f>IF(ROUND(SUM(AI$5:AI122),2)&gt;=ROUND(AI$129,2),0,INDEX('draws%'!$D$8:$AG$128,$C123+1,MATCH(AI$4,'draws%'!$D$7:$AG$7,FALSE))*AI$129)</f>
        <v>0</v>
      </c>
      <c r="AJ123" s="181">
        <f>IF(ROUND(SUM(AJ$5:AJ122),2)&gt;=ROUND(AJ$129,2),0,INDEX('draws%'!$D$8:$AG$128,$C123+1,MATCH(AJ$4,'draws%'!$D$7:$AG$7,FALSE))*AJ$129)</f>
        <v>0</v>
      </c>
      <c r="AK123" s="181">
        <f>IF(ROUND(SUM(AK$5:AK122),2)&gt;=ROUND(AK$129,2),0,INDEX('draws%'!$D$8:$AG$128,$C123+1,MATCH(AK$4,'draws%'!$D$7:$AG$7,FALSE))*AK$129)</f>
        <v>0</v>
      </c>
      <c r="AL123" s="189">
        <f t="shared" si="3"/>
        <v>0</v>
      </c>
      <c r="AM123" s="194"/>
      <c r="AO123" s="171"/>
    </row>
    <row r="124" spans="1:41" s="192" customFormat="1" ht="16" hidden="1" outlineLevel="1">
      <c r="A124" s="185" t="str">
        <f>IF(MAX(C$5:C123)&gt;=general!$C$27,"post dev",IF(C124&lt;general!$C$23, "Pred", "Dev"))</f>
        <v>post dev</v>
      </c>
      <c r="B124" s="1398"/>
      <c r="C124" s="1388">
        <f>IF('Development Cash Flow'!D123&lt;general!$D$28,'Development Cash Flow'!C123+1,0)</f>
        <v>0</v>
      </c>
      <c r="D124" s="185">
        <f t="shared" si="0"/>
        <v>49856</v>
      </c>
      <c r="E124" s="186">
        <f>($C124&gt;=sales!$D$32)*($C124&lt;=sales!$F$32)*ResUnits/(sales!$E$32+1)</f>
        <v>0</v>
      </c>
      <c r="F124" s="181">
        <f>($C124&gt;=sales!$D$32)*($C124&lt;=sales!$F$32)*sales!$I$18/(sales!$E$32+1)</f>
        <v>0</v>
      </c>
      <c r="G124" s="181">
        <f>($C124&gt;=sales!$D$32)*($C124&lt;=sales!$F$32)*sales!$K$32/(sales!$E$32+1)</f>
        <v>0</v>
      </c>
      <c r="H124" s="187">
        <f>($C124&gt;=sales!$D$33)*($C124&lt;=sales!$F$33)*sales!$K$33/(sales!$E$33+1)</f>
        <v>0</v>
      </c>
      <c r="I124" s="181">
        <f>($C124&gt;=sales!$D$34)*($C124&lt;=sales!$F$34)*sales!$K$34/(sales!$E$34+1)</f>
        <v>0</v>
      </c>
      <c r="J124" s="181">
        <f>($C124&gt;=sales!$D$35)*($C124&lt;=sales!$F$35)*sales!$K$35/(sales!$E$35+1)</f>
        <v>0</v>
      </c>
      <c r="K124" s="189">
        <f>($C124&gt;=sales!$D$36)*($C124&lt;=sales!$F$36)*sales!$K$36*IFERROR(VLOOKUP(C124,sales!$C$50:$D$54,2,FALSE),0)</f>
        <v>0</v>
      </c>
      <c r="L124" s="1398"/>
      <c r="M124" s="1403">
        <f>+G124/$G$4*$M$4*sales!$J$32</f>
        <v>0</v>
      </c>
      <c r="N124" s="1398"/>
      <c r="O124" s="1464">
        <f>IF(ROUND(SUM(O$5:O123),2)&gt;=ROUND(O$129,2),0,INDEX('draws%'!$D$8:$AG$128,$C124+1,MATCH(O$4,'draws%'!$D$7:$AG$7,FALSE))*O$129)</f>
        <v>0</v>
      </c>
      <c r="P124" s="181">
        <f>IF(ROUND(SUM(P$5:P123),2)&gt;=ROUND(P$129,2),0,INDEX('draws%'!$D$8:$AG$128,$C124+1,MATCH(P$4,'draws%'!$D$7:$AG$7,FALSE))*P$129)</f>
        <v>0</v>
      </c>
      <c r="Q124" s="181">
        <f>IF(ROUND(SUM(Q$5:Q123),2)&gt;=ROUND(Q$129,2),0,INDEX('draws%'!$D$8:$AG$128,$C124+1,MATCH(Q$4,'draws%'!$D$7:$AG$7,FALSE))*Q$129)</f>
        <v>0</v>
      </c>
      <c r="R124" s="181">
        <f>IF(ROUND(SUM(R$5:R123),2)&gt;=ROUND(R$129,2),0,INDEX('draws%'!$D$8:$AG$128,$C124+1,MATCH(R$4,'draws%'!$D$7:$AG$7,FALSE))*R$129)</f>
        <v>0</v>
      </c>
      <c r="S124" s="181">
        <f>IF(ROUND(SUM(S$5:S123),2)&gt;=ROUND(S$129,2),0,INDEX('draws%'!$D$8:$AG$128,$C124+1,MATCH(S$4,'draws%'!$D$7:$AG$7,FALSE))*S$129)</f>
        <v>0</v>
      </c>
      <c r="T124" s="181">
        <f>IF(ROUND(SUM(T$5:T123),2)&gt;=ROUND(T$129,2),0,INDEX('draws%'!$D$8:$AG$128,$C124+1,MATCH(T$4,'draws%'!$D$7:$AG$7,FALSE))*T$129)</f>
        <v>0</v>
      </c>
      <c r="U124" s="181">
        <f>IF(ROUND(SUM(U$5:U123),2)&gt;=ROUND(U$129,2),0,INDEX('draws%'!$D$8:$AG$128,$C124+1,MATCH(U$4,'draws%'!$D$7:$AG$7,FALSE))*U$129)</f>
        <v>0</v>
      </c>
      <c r="V124" s="181">
        <f>IF(ROUND(SUM(V$5:V123),2)&gt;=ROUND(V$129,2),0,INDEX('draws%'!$D$8:$AG$128,$C124+1,MATCH(V$4,'draws%'!$D$7:$AG$7,FALSE))*V$129)</f>
        <v>0</v>
      </c>
      <c r="W124" s="181">
        <f>IF(ROUND(SUM(W$5:W123),2)&gt;=ROUND(W$129,2),0,INDEX('draws%'!$D$8:$AG$128,$C124+1,MATCH(W$4,'draws%'!$D$7:$AG$7,FALSE))*W$129)</f>
        <v>0</v>
      </c>
      <c r="X124" s="181">
        <f>IF(ROUND(SUM(X$5:X123),2)&gt;=ROUND(X$129,2),0,INDEX('draws%'!$D$8:$AG$128,$C124+1,MATCH(X$4,'draws%'!$D$7:$AG$7,FALSE))*X$129)</f>
        <v>0</v>
      </c>
      <c r="Y124" s="181">
        <f>IF(ROUND(SUM(Y$5:Y123),2)&gt;=ROUND(Y$129,2),0,INDEX('draws%'!$D$8:$AG$128,$C124+1,MATCH(Y$4,'draws%'!$D$7:$AG$7,FALSE))*Y$129)</f>
        <v>0</v>
      </c>
      <c r="Z124" s="181">
        <f>IF(ROUND(SUM(Z$5:Z123),2)&gt;=ROUND(Z$129,2),0,INDEX('draws%'!$D$8:$AG$128,$C124+1,MATCH(Z$4,'draws%'!$D$7:$AG$7,FALSE))*Z$129)</f>
        <v>0</v>
      </c>
      <c r="AA124" s="181">
        <f>IF(ROUND(SUM(AA$5:AA123),2)&gt;=ROUND(AA$129,2),0,INDEX('draws%'!$D$8:$AG$128,$C124+1,MATCH(AA$4,'draws%'!$D$7:$AG$7,FALSE))*AA$129)</f>
        <v>0</v>
      </c>
      <c r="AB124" s="181">
        <f>IF(ROUND(SUM(AB$5:AB123),2)&gt;=ROUND(AB$129,2),0,INDEX('draws%'!$D$8:$AG$128,$C124+1,MATCH(AB$4,'draws%'!$D$7:$AG$7,FALSE))*AB$129)</f>
        <v>0</v>
      </c>
      <c r="AC124" s="181">
        <f>($C124&gt;=sales!$D$32)*($C124&lt;=sales!$F$32)*sales!$J$41/(sales!$E$32+1)+($C124&gt;=sales!$D$33)*($C124&lt;=sales!$F$33)*sales!$J$42/(sales!$E$33+1)+($C124&gt;=sales!$D$34)*($C124&lt;=sales!$F$34)*sales!$J$43/(sales!$E$34+1)+($C124&gt;=sales!$D$35)*($C124&lt;=sales!$F$35)*sales!$J$44/(sales!$E$35+1)+($C124&gt;=sales!$D$36)*($C124&lt;=sales!$F$36)*sales!$J$45/(sales!$E$36+1)</f>
        <v>0</v>
      </c>
      <c r="AD124" s="181">
        <f>IF(ROUND(SUM(AD$5:AD123),2)&gt;=ROUND(AD$129,2),0,INDEX('draws%'!$D$8:$AG$128,$C124+1,MATCH(AD$4,'draws%'!$D$7:$AG$7,FALSE))*AD$129)</f>
        <v>0</v>
      </c>
      <c r="AE124" s="181">
        <f>IF(ROUND(SUM(AE$5:AE123),2)&gt;=ROUND(AE$129,2),0,INDEX('draws%'!$D$8:$AG$128,$C124+1,MATCH(AE$4,'draws%'!$D$7:$AG$7,FALSE))*AE$129)</f>
        <v>0</v>
      </c>
      <c r="AF124" s="188">
        <f>($C124&gt;=sales!$D$32)*($C124&lt;=sales!$F$32)*sales!$D$41/(sales!$E$32+1)+($C124&gt;=sales!$D$33)*($C124&lt;=sales!$F$33)*sales!$D$42/(sales!$E$33+1)+($C124&gt;=sales!$D$34)*($C124&lt;=sales!$F$34)*sales!$D$43/(sales!$E$34+1)+($C124&gt;=sales!$D$35)*($C124&lt;=sales!$F$35)*sales!$D$44/(sales!$E$35+1)+($C124&gt;=sales!$D$36)*($C124&lt;=sales!$F$36)*sales!$D$45/(sales!$E$36+1)</f>
        <v>0</v>
      </c>
      <c r="AG124" s="188">
        <f>($C124&gt;=sales!$D$32)*($C124&lt;=sales!$F$32)*sales!$F$41/(sales!$E$32+1)+($C124&gt;=sales!$D$33)*($C124&lt;=sales!$F$33)*sales!$F$42/(sales!$E$33+1)+($C124&gt;=sales!$D$34)*($C124&lt;=sales!$F$34)*sales!$F$43/(sales!$E$34+1)+($C124&gt;=sales!$D$35)*($C124&lt;=sales!$F$35)*sales!$F$44/(sales!$E$35+1)+($C124&gt;=sales!$D$36)*($C124&lt;=sales!$F$36)*sales!$F$45/(sales!$E$36+1)</f>
        <v>0</v>
      </c>
      <c r="AH124" s="181">
        <f>IF(ROUND(SUM(AH$5:AH123),2)&gt;=ROUND(AH$129,2),0,INDEX('draws%'!$D$8:$AG$128,$C124+1,MATCH(AH$4,'draws%'!$D$7:$AG$7,FALSE))*AH$129)</f>
        <v>0</v>
      </c>
      <c r="AI124" s="181">
        <f>IF(ROUND(SUM(AI$5:AI123),2)&gt;=ROUND(AI$129,2),0,INDEX('draws%'!$D$8:$AG$128,$C124+1,MATCH(AI$4,'draws%'!$D$7:$AG$7,FALSE))*AI$129)</f>
        <v>0</v>
      </c>
      <c r="AJ124" s="181">
        <f>IF(ROUND(SUM(AJ$5:AJ123),2)&gt;=ROUND(AJ$129,2),0,INDEX('draws%'!$D$8:$AG$128,$C124+1,MATCH(AJ$4,'draws%'!$D$7:$AG$7,FALSE))*AJ$129)</f>
        <v>0</v>
      </c>
      <c r="AK124" s="181">
        <f>IF(ROUND(SUM(AK$5:AK123),2)&gt;=ROUND(AK$129,2),0,INDEX('draws%'!$D$8:$AG$128,$C124+1,MATCH(AK$4,'draws%'!$D$7:$AG$7,FALSE))*AK$129)</f>
        <v>0</v>
      </c>
      <c r="AL124" s="189">
        <f t="shared" si="3"/>
        <v>0</v>
      </c>
      <c r="AM124" s="194"/>
      <c r="AO124" s="171"/>
    </row>
    <row r="125" spans="1:41" s="168" customFormat="1" ht="16" hidden="1" outlineLevel="1">
      <c r="A125" s="185" t="str">
        <f>IF(MAX(C$5:C124)&gt;=general!$C$27,"post dev",IF(C125&lt;general!$C$23, "Pred", "Dev"))</f>
        <v>post dev</v>
      </c>
      <c r="B125" s="1398"/>
      <c r="C125" s="1388">
        <f>IF('Development Cash Flow'!D124&lt;general!$D$28,'Development Cash Flow'!C124+1,0)</f>
        <v>0</v>
      </c>
      <c r="D125" s="185">
        <f t="shared" si="0"/>
        <v>49887</v>
      </c>
      <c r="E125" s="186">
        <f>($C125&gt;=sales!$D$32)*($C125&lt;=sales!$F$32)*ResUnits/(sales!$E$32+1)</f>
        <v>0</v>
      </c>
      <c r="F125" s="181">
        <f>($C125&gt;=sales!$D$32)*($C125&lt;=sales!$F$32)*sales!$I$18/(sales!$E$32+1)</f>
        <v>0</v>
      </c>
      <c r="G125" s="181">
        <f>($C125&gt;=sales!$D$32)*($C125&lt;=sales!$F$32)*sales!$K$32/(sales!$E$32+1)</f>
        <v>0</v>
      </c>
      <c r="H125" s="187">
        <f>($C125&gt;=sales!$D$33)*($C125&lt;=sales!$F$33)*sales!$K$33/(sales!$E$33+1)</f>
        <v>0</v>
      </c>
      <c r="I125" s="181">
        <f>($C125&gt;=sales!$D$34)*($C125&lt;=sales!$F$34)*sales!$K$34/(sales!$E$34+1)</f>
        <v>0</v>
      </c>
      <c r="J125" s="181">
        <f>($C125&gt;=sales!$D$35)*($C125&lt;=sales!$F$35)*sales!$K$35/(sales!$E$35+1)</f>
        <v>0</v>
      </c>
      <c r="K125" s="189">
        <f>($C125&gt;=sales!$D$36)*($C125&lt;=sales!$F$36)*sales!$K$36*IFERROR(VLOOKUP(C125,sales!$C$50:$D$54,2,FALSE),0)</f>
        <v>0</v>
      </c>
      <c r="L125" s="1398"/>
      <c r="M125" s="1403">
        <f>+G125/$G$4*$M$4*sales!$J$32</f>
        <v>0</v>
      </c>
      <c r="N125" s="1398"/>
      <c r="O125" s="1464">
        <f>IF(ROUND(SUM(O$5:O124),2)&gt;=ROUND(O$129,2),0,INDEX('draws%'!$D$8:$AG$128,$C125+1,MATCH(O$4,'draws%'!$D$7:$AG$7,FALSE))*O$129)</f>
        <v>0</v>
      </c>
      <c r="P125" s="181">
        <f>IF(ROUND(SUM(P$5:P124),2)&gt;=ROUND(P$129,2),0,INDEX('draws%'!$D$8:$AG$128,$C125+1,MATCH(P$4,'draws%'!$D$7:$AG$7,FALSE))*P$129)</f>
        <v>0</v>
      </c>
      <c r="Q125" s="181">
        <f>IF(ROUND(SUM(Q$5:Q124),2)&gt;=ROUND(Q$129,2),0,INDEX('draws%'!$D$8:$AG$128,$C125+1,MATCH(Q$4,'draws%'!$D$7:$AG$7,FALSE))*Q$129)</f>
        <v>0</v>
      </c>
      <c r="R125" s="181">
        <f>IF(ROUND(SUM(R$5:R124),2)&gt;=ROUND(R$129,2),0,INDEX('draws%'!$D$8:$AG$128,$C125+1,MATCH(R$4,'draws%'!$D$7:$AG$7,FALSE))*R$129)</f>
        <v>0</v>
      </c>
      <c r="S125" s="181">
        <f>IF(ROUND(SUM(S$5:S124),2)&gt;=ROUND(S$129,2),0,INDEX('draws%'!$D$8:$AG$128,$C125+1,MATCH(S$4,'draws%'!$D$7:$AG$7,FALSE))*S$129)</f>
        <v>0</v>
      </c>
      <c r="T125" s="181">
        <f>IF(ROUND(SUM(T$5:T124),2)&gt;=ROUND(T$129,2),0,INDEX('draws%'!$D$8:$AG$128,$C125+1,MATCH(T$4,'draws%'!$D$7:$AG$7,FALSE))*T$129)</f>
        <v>0</v>
      </c>
      <c r="U125" s="181">
        <f>IF(ROUND(SUM(U$5:U124),2)&gt;=ROUND(U$129,2),0,INDEX('draws%'!$D$8:$AG$128,$C125+1,MATCH(U$4,'draws%'!$D$7:$AG$7,FALSE))*U$129)</f>
        <v>0</v>
      </c>
      <c r="V125" s="181">
        <f>IF(ROUND(SUM(V$5:V124),2)&gt;=ROUND(V$129,2),0,INDEX('draws%'!$D$8:$AG$128,$C125+1,MATCH(V$4,'draws%'!$D$7:$AG$7,FALSE))*V$129)</f>
        <v>0</v>
      </c>
      <c r="W125" s="181">
        <f>IF(ROUND(SUM(W$5:W124),2)&gt;=ROUND(W$129,2),0,INDEX('draws%'!$D$8:$AG$128,$C125+1,MATCH(W$4,'draws%'!$D$7:$AG$7,FALSE))*W$129)</f>
        <v>0</v>
      </c>
      <c r="X125" s="181">
        <f>IF(ROUND(SUM(X$5:X124),2)&gt;=ROUND(X$129,2),0,INDEX('draws%'!$D$8:$AG$128,$C125+1,MATCH(X$4,'draws%'!$D$7:$AG$7,FALSE))*X$129)</f>
        <v>0</v>
      </c>
      <c r="Y125" s="181">
        <f>IF(ROUND(SUM(Y$5:Y124),2)&gt;=ROUND(Y$129,2),0,INDEX('draws%'!$D$8:$AG$128,$C125+1,MATCH(Y$4,'draws%'!$D$7:$AG$7,FALSE))*Y$129)</f>
        <v>0</v>
      </c>
      <c r="Z125" s="181">
        <f>IF(ROUND(SUM(Z$5:Z124),2)&gt;=ROUND(Z$129,2),0,INDEX('draws%'!$D$8:$AG$128,$C125+1,MATCH(Z$4,'draws%'!$D$7:$AG$7,FALSE))*Z$129)</f>
        <v>0</v>
      </c>
      <c r="AA125" s="181">
        <f>IF(ROUND(SUM(AA$5:AA124),2)&gt;=ROUND(AA$129,2),0,INDEX('draws%'!$D$8:$AG$128,$C125+1,MATCH(AA$4,'draws%'!$D$7:$AG$7,FALSE))*AA$129)</f>
        <v>0</v>
      </c>
      <c r="AB125" s="181">
        <f>IF(ROUND(SUM(AB$5:AB124),2)&gt;=ROUND(AB$129,2),0,INDEX('draws%'!$D$8:$AG$128,$C125+1,MATCH(AB$4,'draws%'!$D$7:$AG$7,FALSE))*AB$129)</f>
        <v>0</v>
      </c>
      <c r="AC125" s="181">
        <f>($C125&gt;=sales!$D$32)*($C125&lt;=sales!$F$32)*sales!$J$41/(sales!$E$32+1)+($C125&gt;=sales!$D$33)*($C125&lt;=sales!$F$33)*sales!$J$42/(sales!$E$33+1)+($C125&gt;=sales!$D$34)*($C125&lt;=sales!$F$34)*sales!$J$43/(sales!$E$34+1)+($C125&gt;=sales!$D$35)*($C125&lt;=sales!$F$35)*sales!$J$44/(sales!$E$35+1)+($C125&gt;=sales!$D$36)*($C125&lt;=sales!$F$36)*sales!$J$45/(sales!$E$36+1)</f>
        <v>0</v>
      </c>
      <c r="AD125" s="181">
        <f>IF(ROUND(SUM(AD$5:AD124),2)&gt;=ROUND(AD$129,2),0,INDEX('draws%'!$D$8:$AG$128,$C125+1,MATCH(AD$4,'draws%'!$D$7:$AG$7,FALSE))*AD$129)</f>
        <v>0</v>
      </c>
      <c r="AE125" s="181">
        <f>IF(ROUND(SUM(AE$5:AE124),2)&gt;=ROUND(AE$129,2),0,INDEX('draws%'!$D$8:$AG$128,$C125+1,MATCH(AE$4,'draws%'!$D$7:$AG$7,FALSE))*AE$129)</f>
        <v>0</v>
      </c>
      <c r="AF125" s="188">
        <f>($C125&gt;=sales!$D$32)*($C125&lt;=sales!$F$32)*sales!$D$41/(sales!$E$32+1)+($C125&gt;=sales!$D$33)*($C125&lt;=sales!$F$33)*sales!$D$42/(sales!$E$33+1)+($C125&gt;=sales!$D$34)*($C125&lt;=sales!$F$34)*sales!$D$43/(sales!$E$34+1)+($C125&gt;=sales!$D$35)*($C125&lt;=sales!$F$35)*sales!$D$44/(sales!$E$35+1)+($C125&gt;=sales!$D$36)*($C125&lt;=sales!$F$36)*sales!$D$45/(sales!$E$36+1)</f>
        <v>0</v>
      </c>
      <c r="AG125" s="188">
        <f>($C125&gt;=sales!$D$32)*($C125&lt;=sales!$F$32)*sales!$F$41/(sales!$E$32+1)+($C125&gt;=sales!$D$33)*($C125&lt;=sales!$F$33)*sales!$F$42/(sales!$E$33+1)+($C125&gt;=sales!$D$34)*($C125&lt;=sales!$F$34)*sales!$F$43/(sales!$E$34+1)+($C125&gt;=sales!$D$35)*($C125&lt;=sales!$F$35)*sales!$F$44/(sales!$E$35+1)+($C125&gt;=sales!$D$36)*($C125&lt;=sales!$F$36)*sales!$F$45/(sales!$E$36+1)</f>
        <v>0</v>
      </c>
      <c r="AH125" s="181">
        <f>IF(ROUND(SUM(AH$5:AH124),2)&gt;=ROUND(AH$129,2),0,INDEX('draws%'!$D$8:$AG$128,$C125+1,MATCH(AH$4,'draws%'!$D$7:$AG$7,FALSE))*AH$129)</f>
        <v>0</v>
      </c>
      <c r="AI125" s="181">
        <f>IF(ROUND(SUM(AI$5:AI124),2)&gt;=ROUND(AI$129,2),0,INDEX('draws%'!$D$8:$AG$128,$C125+1,MATCH(AI$4,'draws%'!$D$7:$AG$7,FALSE))*AI$129)</f>
        <v>0</v>
      </c>
      <c r="AJ125" s="181">
        <f>IF(ROUND(SUM(AJ$5:AJ124),2)&gt;=ROUND(AJ$129,2),0,INDEX('draws%'!$D$8:$AG$128,$C125+1,MATCH(AJ$4,'draws%'!$D$7:$AG$7,FALSE))*AJ$129)</f>
        <v>0</v>
      </c>
      <c r="AK125" s="181">
        <f>IF(ROUND(SUM(AK$5:AK124),2)&gt;=ROUND(AK$129,2),0,INDEX('draws%'!$D$8:$AG$128,$C125+1,MATCH(AK$4,'draws%'!$D$7:$AG$7,FALSE))*AK$129)</f>
        <v>0</v>
      </c>
      <c r="AL125" s="189">
        <f t="shared" si="3"/>
        <v>0</v>
      </c>
      <c r="AM125" s="195"/>
      <c r="AO125" s="171"/>
    </row>
    <row r="126" spans="1:41" s="168" customFormat="1" ht="16" hidden="1" outlineLevel="1">
      <c r="A126" s="1420" t="str">
        <f>IF(MAX(C$5:C125)&gt;=general!$C$27,"post dev",IF(C126&lt;general!$C$23, "Pred", "Dev"))</f>
        <v>post dev</v>
      </c>
      <c r="B126" s="1398"/>
      <c r="C126" s="1421">
        <f>IF('Development Cash Flow'!D125&lt;general!$D$28,'Development Cash Flow'!C125+1,0)</f>
        <v>0</v>
      </c>
      <c r="D126" s="1420">
        <f t="shared" si="0"/>
        <v>49918</v>
      </c>
      <c r="E126" s="1422">
        <f>($C126&gt;=sales!$D$32)*($C126&lt;=sales!$F$32)*ResUnits/(sales!$E$32+1)</f>
        <v>0</v>
      </c>
      <c r="F126" s="1423">
        <f>($C126&gt;=sales!$D$32)*($C126&lt;=sales!$F$32)*sales!$I$18/(sales!$E$32+1)</f>
        <v>0</v>
      </c>
      <c r="G126" s="1423">
        <f>($C126&gt;=sales!$D$32)*($C126&lt;=sales!$F$32)*sales!$K$32/(sales!$E$32+1)</f>
        <v>0</v>
      </c>
      <c r="H126" s="1424">
        <f>($C126&gt;=sales!$D$33)*($C126&lt;=sales!$F$33)*sales!$K$33/(sales!$E$33+1)</f>
        <v>0</v>
      </c>
      <c r="I126" s="1423">
        <f>($C126&gt;=sales!$D$34)*($C126&lt;=sales!$F$34)*sales!$K$34/(sales!$E$34+1)</f>
        <v>0</v>
      </c>
      <c r="J126" s="1423">
        <f>($C126&gt;=sales!$D$35)*($C126&lt;=sales!$F$35)*sales!$K$35/(sales!$E$35+1)</f>
        <v>0</v>
      </c>
      <c r="K126" s="1425">
        <f>($C126&gt;=sales!$D$36)*($C126&lt;=sales!$F$36)*sales!$K$36*IFERROR(VLOOKUP(C126,sales!$C$50:$D$54,2,FALSE),0)</f>
        <v>0</v>
      </c>
      <c r="L126" s="1398"/>
      <c r="M126" s="1426">
        <f>+G126/$G$4*$M$4*sales!$J$32</f>
        <v>0</v>
      </c>
      <c r="N126" s="1398"/>
      <c r="O126" s="1465">
        <f>IF(ROUND(SUM(O$5:O125),2)&gt;=ROUND(O$129,2),0,INDEX('draws%'!$D$8:$AG$128,$C126+1,MATCH(O$4,'draws%'!$D$7:$AG$7,FALSE))*O$129)</f>
        <v>0</v>
      </c>
      <c r="P126" s="196">
        <f>IF(ROUND(SUM(P$5:P125),2)&gt;=ROUND(P$129,2),0,INDEX('draws%'!$D$8:$AG$128,$C126+1,MATCH(P$4,'draws%'!$D$7:$AG$7,FALSE))*P$129)</f>
        <v>0</v>
      </c>
      <c r="Q126" s="196">
        <f>IF(ROUND(SUM(Q$5:Q125),2)&gt;=ROUND(Q$129,2),0,INDEX('draws%'!$D$8:$AG$128,$C126+1,MATCH(Q$4,'draws%'!$D$7:$AG$7,FALSE))*Q$129)</f>
        <v>0</v>
      </c>
      <c r="R126" s="196">
        <f>IF(ROUND(SUM(R$5:R125),2)&gt;=ROUND(R$129,2),0,INDEX('draws%'!$D$8:$AG$128,$C126+1,MATCH(R$4,'draws%'!$D$7:$AG$7,FALSE))*R$129)</f>
        <v>0</v>
      </c>
      <c r="S126" s="196">
        <f>IF(ROUND(SUM(S$5:S125),2)&gt;=ROUND(S$129,2),0,INDEX('draws%'!$D$8:$AG$128,$C126+1,MATCH(S$4,'draws%'!$D$7:$AG$7,FALSE))*S$129)</f>
        <v>0</v>
      </c>
      <c r="T126" s="196">
        <f>IF(ROUND(SUM(T$5:T125),2)&gt;=ROUND(T$129,2),0,INDEX('draws%'!$D$8:$AG$128,$C126+1,MATCH(T$4,'draws%'!$D$7:$AG$7,FALSE))*T$129)</f>
        <v>0</v>
      </c>
      <c r="U126" s="196">
        <f>IF(ROUND(SUM(U$5:U125),2)&gt;=ROUND(U$129,2),0,INDEX('draws%'!$D$8:$AG$128,$C126+1,MATCH(U$4,'draws%'!$D$7:$AG$7,FALSE))*U$129)</f>
        <v>0</v>
      </c>
      <c r="V126" s="196">
        <f>IF(ROUND(SUM(V$5:V125),2)&gt;=ROUND(V$129,2),0,INDEX('draws%'!$D$8:$AG$128,$C126+1,MATCH(V$4,'draws%'!$D$7:$AG$7,FALSE))*V$129)</f>
        <v>0</v>
      </c>
      <c r="W126" s="196">
        <f>IF(ROUND(SUM(W$5:W125),2)&gt;=ROUND(W$129,2),0,INDEX('draws%'!$D$8:$AG$128,$C126+1,MATCH(W$4,'draws%'!$D$7:$AG$7,FALSE))*W$129)</f>
        <v>0</v>
      </c>
      <c r="X126" s="196">
        <f>IF(ROUND(SUM(X$5:X125),2)&gt;=ROUND(X$129,2),0,INDEX('draws%'!$D$8:$AG$128,$C126+1,MATCH(X$4,'draws%'!$D$7:$AG$7,FALSE))*X$129)</f>
        <v>0</v>
      </c>
      <c r="Y126" s="196">
        <f>IF(ROUND(SUM(Y$5:Y125),2)&gt;=ROUND(Y$129,2),0,INDEX('draws%'!$D$8:$AG$128,$C126+1,MATCH(Y$4,'draws%'!$D$7:$AG$7,FALSE))*Y$129)</f>
        <v>0</v>
      </c>
      <c r="Z126" s="196">
        <f>IF(ROUND(SUM(Z$5:Z125),2)&gt;=ROUND(Z$129,2),0,INDEX('draws%'!$D$8:$AG$128,$C126+1,MATCH(Z$4,'draws%'!$D$7:$AG$7,FALSE))*Z$129)</f>
        <v>0</v>
      </c>
      <c r="AA126" s="196">
        <f>IF(ROUND(SUM(AA$5:AA125),2)&gt;=ROUND(AA$129,2),0,INDEX('draws%'!$D$8:$AG$128,$C126+1,MATCH(AA$4,'draws%'!$D$7:$AG$7,FALSE))*AA$129)</f>
        <v>0</v>
      </c>
      <c r="AB126" s="196">
        <f>IF(ROUND(SUM(AB$5:AB125),2)&gt;=ROUND(AB$129,2),0,INDEX('draws%'!$D$8:$AG$128,$C126+1,MATCH(AB$4,'draws%'!$D$7:$AG$7,FALSE))*AB$129)</f>
        <v>0</v>
      </c>
      <c r="AC126" s="196">
        <f>($C126&gt;=sales!$D$32)*($C126&lt;=sales!$F$32)*sales!$J$41/(sales!$E$32+1)+($C126&gt;=sales!$D$33)*($C126&lt;=sales!$F$33)*sales!$J$42/(sales!$E$33+1)+($C126&gt;=sales!$D$34)*($C126&lt;=sales!$F$34)*sales!$J$43/(sales!$E$34+1)+($C126&gt;=sales!$D$35)*($C126&lt;=sales!$F$35)*sales!$J$44/(sales!$E$35+1)+($C126&gt;=sales!$D$36)*($C126&lt;=sales!$F$36)*sales!$J$45/(sales!$E$36+1)</f>
        <v>0</v>
      </c>
      <c r="AD126" s="196">
        <f>IF(ROUND(SUM(AD$5:AD125),2)&gt;=ROUND(AD$129,2),0,INDEX('draws%'!$D$8:$AG$128,$C126+1,MATCH(AD$4,'draws%'!$D$7:$AG$7,FALSE))*AD$129)</f>
        <v>0</v>
      </c>
      <c r="AE126" s="196">
        <f>IF(ROUND(SUM(AE$5:AE125),2)&gt;=ROUND(AE$129,2),0,INDEX('draws%'!$D$8:$AG$128,$C126+1,MATCH(AE$4,'draws%'!$D$7:$AG$7,FALSE))*AE$129)</f>
        <v>0</v>
      </c>
      <c r="AF126" s="197">
        <f>($C126&gt;=sales!$D$32)*($C126&lt;=sales!$F$32)*sales!$D$41/(sales!$E$32+1)+($C126&gt;=sales!$D$33)*($C126&lt;=sales!$F$33)*sales!$D$42/(sales!$E$33+1)+($C126&gt;=sales!$D$34)*($C126&lt;=sales!$F$34)*sales!$D$43/(sales!$E$34+1)+($C126&gt;=sales!$D$35)*($C126&lt;=sales!$F$35)*sales!$D$44/(sales!$E$35+1)+($C126&gt;=sales!$D$36)*($C126&lt;=sales!$F$36)*sales!$D$45/(sales!$E$36+1)</f>
        <v>0</v>
      </c>
      <c r="AG126" s="197">
        <f>($C126&gt;=sales!$D$32)*($C126&lt;=sales!$F$32)*sales!$F$41/(sales!$E$32+1)+($C126&gt;=sales!$D$33)*($C126&lt;=sales!$F$33)*sales!$F$42/(sales!$E$33+1)+($C126&gt;=sales!$D$34)*($C126&lt;=sales!$F$34)*sales!$F$43/(sales!$E$34+1)+($C126&gt;=sales!$D$35)*($C126&lt;=sales!$F$35)*sales!$F$44/(sales!$E$35+1)+($C126&gt;=sales!$D$36)*($C126&lt;=sales!$F$36)*sales!$F$45/(sales!$E$36+1)</f>
        <v>0</v>
      </c>
      <c r="AH126" s="196">
        <f>IF(ROUND(SUM(AH$5:AH125),2)&gt;=ROUND(AH$129,2),0,INDEX('draws%'!$D$8:$AG$128,$C126+1,MATCH(AH$4,'draws%'!$D$7:$AG$7,FALSE))*AH$129)</f>
        <v>0</v>
      </c>
      <c r="AI126" s="196">
        <f>IF(ROUND(SUM(AI$5:AI125),2)&gt;=ROUND(AI$129,2),0,INDEX('draws%'!$D$8:$AG$128,$C126+1,MATCH(AI$4,'draws%'!$D$7:$AG$7,FALSE))*AI$129)</f>
        <v>0</v>
      </c>
      <c r="AJ126" s="196">
        <f>IF(ROUND(SUM(AJ$5:AJ125),2)&gt;=ROUND(AJ$129,2),0,INDEX('draws%'!$D$8:$AG$128,$C126+1,MATCH(AJ$4,'draws%'!$D$7:$AG$7,FALSE))*AJ$129)</f>
        <v>0</v>
      </c>
      <c r="AK126" s="196">
        <f>IF(ROUND(SUM(AK$5:AK125),2)&gt;=ROUND(AK$129,2),0,INDEX('draws%'!$D$8:$AG$128,$C126+1,MATCH(AK$4,'draws%'!$D$7:$AG$7,FALSE))*AK$129)</f>
        <v>0</v>
      </c>
      <c r="AL126" s="198">
        <f t="shared" si="3"/>
        <v>0</v>
      </c>
      <c r="AM126" s="195"/>
      <c r="AO126" s="171"/>
    </row>
    <row r="127" spans="1:41" s="168" customFormat="1" collapsed="1">
      <c r="A127" s="1427"/>
      <c r="B127" s="1399"/>
      <c r="C127" s="1429"/>
      <c r="D127" s="1430"/>
      <c r="E127" s="1431"/>
      <c r="F127" s="1432"/>
      <c r="G127" s="1432"/>
      <c r="H127" s="1432"/>
      <c r="I127" s="1432"/>
      <c r="J127" s="1432"/>
      <c r="K127" s="1433"/>
      <c r="L127" s="1399"/>
      <c r="M127" s="1434"/>
      <c r="N127" s="1399"/>
      <c r="O127" s="1466"/>
      <c r="P127" s="1395"/>
      <c r="Q127" s="1395"/>
      <c r="R127" s="1395"/>
      <c r="S127" s="1395"/>
      <c r="T127" s="1395"/>
      <c r="U127" s="1395"/>
      <c r="V127" s="1395"/>
      <c r="W127" s="1395"/>
      <c r="X127" s="1395"/>
      <c r="Y127" s="1395"/>
      <c r="Z127" s="1395"/>
      <c r="AA127" s="1395"/>
      <c r="AB127" s="1395"/>
      <c r="AC127" s="1395"/>
      <c r="AD127" s="1395"/>
      <c r="AE127" s="1395"/>
      <c r="AF127" s="1428"/>
      <c r="AG127" s="1428"/>
      <c r="AH127" s="1395"/>
      <c r="AI127" s="1395"/>
      <c r="AJ127" s="1395"/>
      <c r="AK127" s="1395"/>
      <c r="AL127" s="1428"/>
      <c r="AM127" s="195"/>
      <c r="AO127" s="171"/>
    </row>
    <row r="128" spans="1:41" s="171" customFormat="1">
      <c r="A128" s="155"/>
      <c r="B128" s="780"/>
      <c r="C128" s="200" t="s">
        <v>416</v>
      </c>
      <c r="D128" s="200"/>
      <c r="E128" s="201">
        <f t="shared" ref="E128:K128" si="4">SUM(E6:E126)</f>
        <v>9</v>
      </c>
      <c r="F128" s="201">
        <f t="shared" si="4"/>
        <v>27319600</v>
      </c>
      <c r="G128" s="201">
        <f t="shared" si="4"/>
        <v>819588</v>
      </c>
      <c r="H128" s="201">
        <f t="shared" si="4"/>
        <v>819588</v>
      </c>
      <c r="I128" s="201">
        <f t="shared" si="4"/>
        <v>819588</v>
      </c>
      <c r="J128" s="201">
        <f t="shared" si="4"/>
        <v>819588</v>
      </c>
      <c r="K128" s="201">
        <f t="shared" si="4"/>
        <v>24041248</v>
      </c>
      <c r="L128" s="780"/>
      <c r="M128" s="201">
        <f>SUM(M6:M126)</f>
        <v>819588</v>
      </c>
      <c r="N128" s="780"/>
      <c r="O128" s="797">
        <f>SUM(O6:O126)</f>
        <v>2929000</v>
      </c>
      <c r="P128" s="201">
        <f t="shared" ref="P128:AG128" si="5">SUM(P6:P126)</f>
        <v>9959400.0000000019</v>
      </c>
      <c r="Q128" s="201">
        <f t="shared" si="5"/>
        <v>459465.99999999953</v>
      </c>
      <c r="R128" s="201">
        <f t="shared" si="5"/>
        <v>150000.00000000003</v>
      </c>
      <c r="S128" s="201">
        <f t="shared" si="5"/>
        <v>100000</v>
      </c>
      <c r="T128" s="201">
        <f t="shared" si="5"/>
        <v>284628.57142857148</v>
      </c>
      <c r="U128" s="201">
        <f t="shared" si="5"/>
        <v>138830.26</v>
      </c>
      <c r="V128" s="201">
        <f t="shared" si="5"/>
        <v>50000</v>
      </c>
      <c r="W128" s="201">
        <f t="shared" si="5"/>
        <v>286000</v>
      </c>
      <c r="X128" s="201">
        <f t="shared" si="5"/>
        <v>400000</v>
      </c>
      <c r="Y128" s="201">
        <f t="shared" si="5"/>
        <v>346377.62945574586</v>
      </c>
      <c r="Z128" s="201">
        <f t="shared" si="5"/>
        <v>96435.000000000015</v>
      </c>
      <c r="AA128" s="201">
        <f t="shared" si="5"/>
        <v>0</v>
      </c>
      <c r="AB128" s="201">
        <f t="shared" si="5"/>
        <v>154073.82342159419</v>
      </c>
      <c r="AC128" s="201">
        <f t="shared" si="5"/>
        <v>0</v>
      </c>
      <c r="AD128" s="201">
        <f t="shared" si="5"/>
        <v>221681.756468432</v>
      </c>
      <c r="AE128" s="201">
        <f t="shared" si="5"/>
        <v>149999.99999999997</v>
      </c>
      <c r="AF128" s="201">
        <f t="shared" si="5"/>
        <v>820000</v>
      </c>
      <c r="AG128" s="201">
        <f t="shared" si="5"/>
        <v>1366000</v>
      </c>
      <c r="AH128" s="201">
        <f>bud_detail!$F$320-bud_detail!$F$312-bud_detail!$F$313</f>
        <v>0</v>
      </c>
      <c r="AI128" s="201">
        <f>SUM(AI6:AI126)</f>
        <v>546391.99999999988</v>
      </c>
      <c r="AJ128" s="201">
        <f>SUM(AJ6:AJ126)</f>
        <v>271000</v>
      </c>
      <c r="AK128" s="201">
        <f>SUM(AK6:AK126)</f>
        <v>406999.99999999994</v>
      </c>
      <c r="AL128" s="201">
        <f>SUM(AL6:AL126)</f>
        <v>19136285.040774342</v>
      </c>
      <c r="AM128" s="173"/>
    </row>
    <row r="129" spans="1:41" s="171" customFormat="1">
      <c r="A129" s="155"/>
      <c r="B129" s="203"/>
      <c r="C129" s="202" t="s">
        <v>167</v>
      </c>
      <c r="E129" s="162">
        <f>ResUnits</f>
        <v>9</v>
      </c>
      <c r="F129" s="162">
        <f>sales!$I$65</f>
        <v>27319600</v>
      </c>
      <c r="G129" s="203">
        <f>+sales!K32</f>
        <v>819588</v>
      </c>
      <c r="H129" s="203">
        <f>+sales!K33</f>
        <v>819588</v>
      </c>
      <c r="I129" s="203">
        <f>+sales!K34</f>
        <v>819588</v>
      </c>
      <c r="J129" s="203">
        <f>+sales!K35</f>
        <v>819588</v>
      </c>
      <c r="K129" s="203">
        <f>+sales!K36</f>
        <v>24041248</v>
      </c>
      <c r="L129" s="203"/>
      <c r="M129" s="204">
        <f>SUM(G129:K129)*$M$4*sales!J32</f>
        <v>819588</v>
      </c>
      <c r="N129" s="203"/>
      <c r="O129" s="203">
        <f>bud_detail!$F$14</f>
        <v>2929000</v>
      </c>
      <c r="P129" s="203">
        <f>bud_detail!$F$63</f>
        <v>9959400</v>
      </c>
      <c r="Q129" s="203">
        <f>bud_detail!$F$78</f>
        <v>459466</v>
      </c>
      <c r="R129" s="203">
        <f>SUM(bud_detail!$F$86)</f>
        <v>150000</v>
      </c>
      <c r="S129" s="203">
        <f>bud_detail!$F$118</f>
        <v>100000</v>
      </c>
      <c r="T129" s="203">
        <f>bud_detail!$F$137</f>
        <v>284628.57142857148</v>
      </c>
      <c r="U129" s="203">
        <f>bud_detail!$F$150</f>
        <v>138830.26</v>
      </c>
      <c r="V129" s="203">
        <f>SUM(bud_detail!$F$157)</f>
        <v>50000</v>
      </c>
      <c r="W129" s="203">
        <f>bud_detail!$F$163</f>
        <v>286000</v>
      </c>
      <c r="X129" s="203">
        <f>bud_detail!$F$171</f>
        <v>400000</v>
      </c>
      <c r="Y129" s="203">
        <f>bud_detail!$F$194</f>
        <v>346377.62945574586</v>
      </c>
      <c r="Z129" s="203">
        <f>bud_detail!$F$217</f>
        <v>96435</v>
      </c>
      <c r="AA129" s="203">
        <f>bud_detail!$F$241</f>
        <v>0</v>
      </c>
      <c r="AB129" s="203">
        <f>bud_detail!$F$272-bud_detail!F267</f>
        <v>154073.82342159434</v>
      </c>
      <c r="AC129" s="203">
        <f>+bud_detail!F267</f>
        <v>0</v>
      </c>
      <c r="AD129" s="203">
        <f>bud_detail!$F$297</f>
        <v>221681.75646843188</v>
      </c>
      <c r="AE129" s="203">
        <f>bud_detail!$F$307</f>
        <v>150000</v>
      </c>
      <c r="AF129" s="203">
        <f>bud_detail!$F$312</f>
        <v>820000</v>
      </c>
      <c r="AG129" s="203">
        <f>bud_detail!$F$313</f>
        <v>1366000</v>
      </c>
      <c r="AH129" s="203">
        <f>bud_detail!$F$320-bud_detail!$F$312-bud_detail!$F$313</f>
        <v>0</v>
      </c>
      <c r="AI129" s="203">
        <f>bud_detail!$F$325</f>
        <v>546392</v>
      </c>
      <c r="AJ129" s="203">
        <f>hard_budget!F327</f>
        <v>271000</v>
      </c>
      <c r="AK129" s="203">
        <f>hard_budget!$F$64</f>
        <v>407000</v>
      </c>
      <c r="AL129" s="203">
        <f>SUM(N129:AK129)</f>
        <v>19136285.040774342</v>
      </c>
      <c r="AM129" s="205"/>
    </row>
    <row r="130" spans="1:41" s="171" customFormat="1">
      <c r="A130" s="155"/>
      <c r="B130" s="162"/>
      <c r="C130" s="202" t="s">
        <v>40</v>
      </c>
      <c r="E130" s="162">
        <f>E129-E128</f>
        <v>0</v>
      </c>
      <c r="F130" s="162">
        <f t="shared" ref="F130:AL130" si="6">F129-F128</f>
        <v>0</v>
      </c>
      <c r="G130" s="162">
        <f t="shared" si="6"/>
        <v>0</v>
      </c>
      <c r="H130" s="162">
        <f t="shared" si="6"/>
        <v>0</v>
      </c>
      <c r="I130" s="162">
        <f t="shared" si="6"/>
        <v>0</v>
      </c>
      <c r="J130" s="162">
        <f t="shared" si="6"/>
        <v>0</v>
      </c>
      <c r="K130" s="162">
        <f t="shared" si="6"/>
        <v>0</v>
      </c>
      <c r="L130" s="162"/>
      <c r="M130" s="162">
        <f t="shared" si="6"/>
        <v>0</v>
      </c>
      <c r="N130" s="162"/>
      <c r="O130" s="162">
        <f t="shared" si="6"/>
        <v>0</v>
      </c>
      <c r="P130" s="162">
        <f t="shared" si="6"/>
        <v>0</v>
      </c>
      <c r="Q130" s="162">
        <f t="shared" si="6"/>
        <v>4.6566128730773926E-10</v>
      </c>
      <c r="R130" s="162">
        <f t="shared" si="6"/>
        <v>0</v>
      </c>
      <c r="S130" s="162">
        <f t="shared" si="6"/>
        <v>0</v>
      </c>
      <c r="T130" s="162">
        <f t="shared" si="6"/>
        <v>0</v>
      </c>
      <c r="U130" s="162">
        <f t="shared" si="6"/>
        <v>0</v>
      </c>
      <c r="V130" s="162">
        <f t="shared" si="6"/>
        <v>0</v>
      </c>
      <c r="W130" s="162">
        <f t="shared" si="6"/>
        <v>0</v>
      </c>
      <c r="X130" s="162">
        <f t="shared" si="6"/>
        <v>0</v>
      </c>
      <c r="Y130" s="162">
        <f t="shared" si="6"/>
        <v>0</v>
      </c>
      <c r="Z130" s="162">
        <f t="shared" si="6"/>
        <v>0</v>
      </c>
      <c r="AA130" s="162">
        <f t="shared" si="6"/>
        <v>0</v>
      </c>
      <c r="AB130" s="162">
        <f t="shared" si="6"/>
        <v>0</v>
      </c>
      <c r="AC130" s="162">
        <f>AC129-AC128</f>
        <v>0</v>
      </c>
      <c r="AD130" s="162">
        <f t="shared" si="6"/>
        <v>0</v>
      </c>
      <c r="AE130" s="162">
        <f t="shared" si="6"/>
        <v>0</v>
      </c>
      <c r="AF130" s="162">
        <f t="shared" si="6"/>
        <v>0</v>
      </c>
      <c r="AG130" s="162">
        <f t="shared" si="6"/>
        <v>0</v>
      </c>
      <c r="AH130" s="162">
        <f t="shared" si="6"/>
        <v>0</v>
      </c>
      <c r="AI130" s="162">
        <f t="shared" si="6"/>
        <v>0</v>
      </c>
      <c r="AJ130" s="162">
        <f t="shared" si="6"/>
        <v>0</v>
      </c>
      <c r="AK130" s="162">
        <f t="shared" si="6"/>
        <v>0</v>
      </c>
      <c r="AL130" s="162">
        <f t="shared" si="6"/>
        <v>0</v>
      </c>
      <c r="AM130" s="205"/>
    </row>
    <row r="131" spans="1:41" s="168" customFormat="1">
      <c r="A131" s="155"/>
      <c r="B131" s="1400"/>
      <c r="C131" s="206"/>
      <c r="E131" s="207"/>
      <c r="F131" s="207"/>
      <c r="G131" s="207"/>
      <c r="H131" s="207"/>
      <c r="I131" s="207"/>
      <c r="J131" s="207"/>
      <c r="K131" s="207"/>
      <c r="L131" s="1400"/>
      <c r="M131" s="207"/>
      <c r="N131" s="1400"/>
      <c r="O131" s="207"/>
      <c r="P131" s="207"/>
      <c r="Q131" s="207"/>
      <c r="R131" s="207"/>
      <c r="S131" s="207"/>
      <c r="T131" s="207"/>
      <c r="U131" s="207"/>
      <c r="V131" s="207"/>
      <c r="W131" s="207"/>
      <c r="X131" s="207"/>
      <c r="Y131" s="207"/>
      <c r="Z131" s="207"/>
      <c r="AA131" s="207"/>
      <c r="AB131" s="207"/>
      <c r="AC131" s="207"/>
      <c r="AD131" s="207"/>
      <c r="AE131" s="207"/>
      <c r="AF131" s="207"/>
      <c r="AG131" s="207"/>
      <c r="AH131" s="207"/>
      <c r="AI131" s="207"/>
      <c r="AJ131" s="207"/>
      <c r="AK131" s="207"/>
      <c r="AL131" s="207"/>
      <c r="AM131" s="173"/>
    </row>
    <row r="132" spans="1:41">
      <c r="B132" s="168"/>
      <c r="C132" s="202" t="s">
        <v>185</v>
      </c>
      <c r="E132" s="168">
        <f>+IF(ROUND(E128,3)=ROUND(E129,3),0,1)</f>
        <v>0</v>
      </c>
      <c r="F132" s="168">
        <f t="shared" ref="F132:K132" si="7">+IF(ROUND(F128,3)=ROUND(F129,3),0,1)</f>
        <v>0</v>
      </c>
      <c r="G132" s="168">
        <f t="shared" si="7"/>
        <v>0</v>
      </c>
      <c r="H132" s="168">
        <f t="shared" si="7"/>
        <v>0</v>
      </c>
      <c r="I132" s="168">
        <f t="shared" si="7"/>
        <v>0</v>
      </c>
      <c r="J132" s="168">
        <f t="shared" si="7"/>
        <v>0</v>
      </c>
      <c r="K132" s="168">
        <f t="shared" si="7"/>
        <v>0</v>
      </c>
      <c r="L132" s="168"/>
      <c r="M132" s="168">
        <f>+IF(ROUND(M128,3)=ROUND(M129,3),0,1)</f>
        <v>0</v>
      </c>
      <c r="N132" s="168"/>
      <c r="O132" s="171">
        <f t="shared" ref="O132:AL132" si="8">+IF(ROUND(O128,3)=ROUND(O129,3),0,1)</f>
        <v>0</v>
      </c>
      <c r="P132" s="168">
        <f t="shared" si="8"/>
        <v>0</v>
      </c>
      <c r="Q132" s="168">
        <f t="shared" si="8"/>
        <v>0</v>
      </c>
      <c r="R132" s="168">
        <f t="shared" si="8"/>
        <v>0</v>
      </c>
      <c r="S132" s="168">
        <f t="shared" si="8"/>
        <v>0</v>
      </c>
      <c r="T132" s="168">
        <f t="shared" si="8"/>
        <v>0</v>
      </c>
      <c r="U132" s="168">
        <f t="shared" si="8"/>
        <v>0</v>
      </c>
      <c r="V132" s="168">
        <f t="shared" si="8"/>
        <v>0</v>
      </c>
      <c r="W132" s="168">
        <f t="shared" si="8"/>
        <v>0</v>
      </c>
      <c r="X132" s="168">
        <f t="shared" si="8"/>
        <v>0</v>
      </c>
      <c r="Y132" s="168">
        <f t="shared" si="8"/>
        <v>0</v>
      </c>
      <c r="Z132" s="168">
        <f t="shared" si="8"/>
        <v>0</v>
      </c>
      <c r="AA132" s="168">
        <f t="shared" si="8"/>
        <v>0</v>
      </c>
      <c r="AB132" s="168">
        <f t="shared" si="8"/>
        <v>0</v>
      </c>
      <c r="AC132" s="168">
        <f>+IF(ROUND(AC128,3)=ROUND(AC129,3),0,1)</f>
        <v>0</v>
      </c>
      <c r="AD132" s="168">
        <f t="shared" si="8"/>
        <v>0</v>
      </c>
      <c r="AE132" s="168">
        <f t="shared" si="8"/>
        <v>0</v>
      </c>
      <c r="AF132" s="168">
        <f t="shared" si="8"/>
        <v>0</v>
      </c>
      <c r="AG132" s="168">
        <f t="shared" si="8"/>
        <v>0</v>
      </c>
      <c r="AH132" s="168">
        <f t="shared" si="8"/>
        <v>0</v>
      </c>
      <c r="AI132" s="168">
        <f t="shared" si="8"/>
        <v>0</v>
      </c>
      <c r="AJ132" s="168">
        <f t="shared" si="8"/>
        <v>0</v>
      </c>
      <c r="AK132" s="168">
        <f t="shared" si="8"/>
        <v>0</v>
      </c>
      <c r="AL132" s="168">
        <f t="shared" si="8"/>
        <v>0</v>
      </c>
      <c r="AO132" s="171"/>
    </row>
    <row r="133" spans="1:41">
      <c r="AO133" s="171"/>
    </row>
  </sheetData>
  <dataValidations count="2">
    <dataValidation type="list" allowBlank="1" showInputMessage="1" showErrorMessage="1" sqref="AH4:AK4" xr:uid="{00000000-0002-0000-0A00-000000000000}">
      <formula1>$AN$6:$AN$31</formula1>
    </dataValidation>
    <dataValidation type="list" allowBlank="1" showInputMessage="1" showErrorMessage="1" sqref="AD4:AE4 O4:AB4" xr:uid="{00000000-0002-0000-0A00-000001000000}">
      <formula1>$AN$6:$AN$39</formula1>
    </dataValidation>
  </dataValidations>
  <printOptions horizontalCentered="1"/>
  <pageMargins left="0.25" right="0.25" top="0.5" bottom="0.25" header="0.24" footer="0.11"/>
  <pageSetup paperSize="3" scale="48" fitToHeight="0" pageOrder="overThenDown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published="0" codeName="Sheet5">
    <tabColor theme="1"/>
  </sheetPr>
  <dimension ref="B1:L357"/>
  <sheetViews>
    <sheetView topLeftCell="A175" workbookViewId="0">
      <selection activeCell="F207" sqref="F207"/>
    </sheetView>
  </sheetViews>
  <sheetFormatPr baseColWidth="10" defaultColWidth="10" defaultRowHeight="15"/>
  <cols>
    <col min="1" max="1" width="10" style="6"/>
    <col min="2" max="2" width="22" style="6" customWidth="1"/>
    <col min="3" max="3" width="33.5" style="6" customWidth="1"/>
    <col min="4" max="4" width="14" style="6" bestFit="1" customWidth="1"/>
    <col min="5" max="5" width="11.5" style="6" customWidth="1"/>
    <col min="6" max="6" width="15.5" style="6" customWidth="1"/>
    <col min="7" max="10" width="13.5" style="6" customWidth="1"/>
    <col min="11" max="16384" width="10" style="6"/>
  </cols>
  <sheetData>
    <row r="1" spans="2:10" ht="29">
      <c r="B1" s="3"/>
      <c r="C1" s="4"/>
      <c r="D1" s="4"/>
      <c r="E1" s="4"/>
      <c r="F1" s="4"/>
      <c r="G1" s="5">
        <v>9</v>
      </c>
      <c r="H1" s="5">
        <v>24644</v>
      </c>
      <c r="I1" s="5">
        <v>21538207.96714142</v>
      </c>
      <c r="J1" s="5">
        <v>27108400</v>
      </c>
    </row>
    <row r="2" spans="2:10" ht="19">
      <c r="B2" s="7" t="s">
        <v>295</v>
      </c>
      <c r="C2" s="4"/>
      <c r="D2" s="4"/>
      <c r="E2" s="4"/>
      <c r="F2" s="4"/>
      <c r="G2" s="5"/>
      <c r="H2" s="5"/>
      <c r="I2" s="8"/>
      <c r="J2" s="8"/>
    </row>
    <row r="3" spans="2:10">
      <c r="B3" s="4" t="s">
        <v>5162</v>
      </c>
      <c r="C3" s="9"/>
      <c r="D3" s="9"/>
      <c r="E3" s="9"/>
      <c r="F3" s="9"/>
      <c r="G3" s="5"/>
      <c r="H3" s="5"/>
      <c r="I3" s="5"/>
      <c r="J3" s="5"/>
    </row>
    <row r="4" spans="2:10">
      <c r="B4" s="10"/>
      <c r="C4" s="9"/>
      <c r="D4" s="11"/>
      <c r="E4" s="8"/>
      <c r="F4" s="12"/>
      <c r="G4" s="8"/>
      <c r="H4" s="8"/>
      <c r="I4" s="8"/>
      <c r="J4" s="8"/>
    </row>
    <row r="5" spans="2:10">
      <c r="B5" s="13" t="s">
        <v>0</v>
      </c>
      <c r="C5" s="13"/>
      <c r="D5" s="14"/>
      <c r="E5" s="15" t="s">
        <v>134</v>
      </c>
      <c r="F5" s="16" t="s">
        <v>21</v>
      </c>
      <c r="G5" s="16" t="s">
        <v>182</v>
      </c>
      <c r="H5" s="17" t="s">
        <v>292</v>
      </c>
      <c r="I5" s="18" t="s">
        <v>262</v>
      </c>
      <c r="J5" s="18" t="s">
        <v>293</v>
      </c>
    </row>
    <row r="6" spans="2:10">
      <c r="B6" s="5" t="s">
        <v>548</v>
      </c>
      <c r="C6" s="5"/>
      <c r="D6" s="19"/>
      <c r="E6" s="20" t="s">
        <v>21</v>
      </c>
      <c r="F6" s="21">
        <v>2900000</v>
      </c>
      <c r="G6" s="22">
        <v>322222.22222222225</v>
      </c>
      <c r="H6" s="23">
        <v>117.67570199642915</v>
      </c>
      <c r="I6" s="24">
        <v>0.13464444230570274</v>
      </c>
      <c r="J6" s="24">
        <v>0.10697791090584469</v>
      </c>
    </row>
    <row r="7" spans="2:10">
      <c r="B7" s="5" t="s">
        <v>549</v>
      </c>
      <c r="C7" s="5"/>
      <c r="D7" s="25"/>
      <c r="E7" s="26" t="s">
        <v>21</v>
      </c>
      <c r="F7" s="21">
        <v>0</v>
      </c>
      <c r="G7" s="22">
        <v>0</v>
      </c>
      <c r="H7" s="23">
        <v>0</v>
      </c>
      <c r="I7" s="24">
        <v>0</v>
      </c>
      <c r="J7" s="24">
        <v>0</v>
      </c>
    </row>
    <row r="8" spans="2:10">
      <c r="B8" s="5" t="s">
        <v>550</v>
      </c>
      <c r="C8" s="5">
        <v>0</v>
      </c>
      <c r="D8" s="27">
        <v>0</v>
      </c>
      <c r="E8" s="26" t="s">
        <v>21</v>
      </c>
      <c r="F8" s="21">
        <v>0</v>
      </c>
      <c r="G8" s="22">
        <v>0</v>
      </c>
      <c r="H8" s="23">
        <v>0</v>
      </c>
      <c r="I8" s="24">
        <v>0</v>
      </c>
      <c r="J8" s="24">
        <v>0</v>
      </c>
    </row>
    <row r="9" spans="2:10">
      <c r="B9" s="5" t="s">
        <v>136</v>
      </c>
      <c r="C9" s="5"/>
      <c r="D9" s="27">
        <v>0.01</v>
      </c>
      <c r="E9" s="26" t="s">
        <v>21</v>
      </c>
      <c r="F9" s="21">
        <v>29000</v>
      </c>
      <c r="G9" s="22">
        <v>3222.2222222222222</v>
      </c>
      <c r="H9" s="23">
        <v>1.1767570199642916</v>
      </c>
      <c r="I9" s="24">
        <v>1.3464444230570274E-3</v>
      </c>
      <c r="J9" s="24">
        <v>1.0697791090584468E-3</v>
      </c>
    </row>
    <row r="10" spans="2:10">
      <c r="B10" s="5" t="s">
        <v>5012</v>
      </c>
      <c r="C10" s="5"/>
      <c r="D10" s="27"/>
      <c r="E10" s="26" t="s">
        <v>21</v>
      </c>
      <c r="F10" s="21">
        <v>0</v>
      </c>
      <c r="G10" s="22">
        <v>0</v>
      </c>
      <c r="H10" s="23">
        <v>0</v>
      </c>
      <c r="I10" s="24">
        <v>0</v>
      </c>
      <c r="J10" s="24">
        <v>0</v>
      </c>
    </row>
    <row r="11" spans="2:10">
      <c r="B11" s="5" t="s">
        <v>4462</v>
      </c>
      <c r="C11" s="5"/>
      <c r="D11" s="27"/>
      <c r="E11" s="26" t="s">
        <v>21</v>
      </c>
      <c r="F11" s="21">
        <v>0</v>
      </c>
      <c r="G11" s="22">
        <v>0</v>
      </c>
      <c r="H11" s="23">
        <v>0</v>
      </c>
      <c r="I11" s="24">
        <v>0</v>
      </c>
      <c r="J11" s="24">
        <v>0</v>
      </c>
    </row>
    <row r="12" spans="2:10">
      <c r="B12" s="5" t="s">
        <v>4461</v>
      </c>
      <c r="C12" s="5"/>
      <c r="D12" s="27"/>
      <c r="E12" s="26" t="s">
        <v>21</v>
      </c>
      <c r="F12" s="21">
        <v>0</v>
      </c>
      <c r="G12" s="22">
        <v>0</v>
      </c>
      <c r="H12" s="23">
        <v>0</v>
      </c>
      <c r="I12" s="24">
        <v>0</v>
      </c>
      <c r="J12" s="24">
        <v>0</v>
      </c>
    </row>
    <row r="13" spans="2:10">
      <c r="B13" s="28" t="s">
        <v>4466</v>
      </c>
      <c r="C13" s="28"/>
      <c r="D13" s="29"/>
      <c r="E13" s="28" t="s">
        <v>21</v>
      </c>
      <c r="F13" s="30">
        <v>0</v>
      </c>
      <c r="G13" s="31">
        <v>0</v>
      </c>
      <c r="H13" s="32">
        <v>0</v>
      </c>
      <c r="I13" s="33">
        <v>0</v>
      </c>
      <c r="J13" s="33">
        <v>0</v>
      </c>
    </row>
    <row r="14" spans="2:10">
      <c r="B14" s="34" t="s">
        <v>212</v>
      </c>
      <c r="C14" s="10"/>
      <c r="D14" s="35"/>
      <c r="E14" s="36"/>
      <c r="F14" s="35">
        <v>2929000</v>
      </c>
      <c r="G14" s="37">
        <v>325444.44444444444</v>
      </c>
      <c r="H14" s="37">
        <v>118.85245901639344</v>
      </c>
      <c r="I14" s="38">
        <v>0.13599088672875978</v>
      </c>
      <c r="J14" s="38">
        <v>0.10804769001490314</v>
      </c>
    </row>
    <row r="15" spans="2:10">
      <c r="B15" s="10"/>
      <c r="C15" s="9"/>
      <c r="D15" s="11"/>
      <c r="E15" s="8"/>
      <c r="F15" s="12"/>
      <c r="G15" s="8"/>
      <c r="H15" s="8"/>
      <c r="I15" s="8"/>
      <c r="J15" s="8"/>
    </row>
    <row r="16" spans="2:10">
      <c r="B16" s="13" t="s">
        <v>84</v>
      </c>
      <c r="C16" s="13"/>
      <c r="D16" s="14"/>
      <c r="E16" s="15" t="s">
        <v>134</v>
      </c>
      <c r="F16" s="16" t="s">
        <v>21</v>
      </c>
      <c r="G16" s="16" t="s">
        <v>182</v>
      </c>
      <c r="H16" s="17" t="s">
        <v>292</v>
      </c>
      <c r="I16" s="18" t="s">
        <v>262</v>
      </c>
      <c r="J16" s="18" t="s">
        <v>293</v>
      </c>
    </row>
    <row r="17" spans="2:10">
      <c r="B17" s="5" t="s">
        <v>85</v>
      </c>
      <c r="C17" s="5"/>
      <c r="D17" s="19"/>
      <c r="E17" s="20" t="s">
        <v>21</v>
      </c>
      <c r="F17" s="21">
        <v>0</v>
      </c>
      <c r="G17" s="22">
        <v>0</v>
      </c>
      <c r="H17" s="23">
        <v>0</v>
      </c>
      <c r="I17" s="24">
        <v>0</v>
      </c>
      <c r="J17" s="24">
        <v>0</v>
      </c>
    </row>
    <row r="18" spans="2:10">
      <c r="B18" s="5" t="s">
        <v>86</v>
      </c>
      <c r="C18" s="5"/>
      <c r="D18" s="25"/>
      <c r="E18" s="20" t="s">
        <v>21</v>
      </c>
      <c r="F18" s="21">
        <v>0</v>
      </c>
      <c r="G18" s="22">
        <v>0</v>
      </c>
      <c r="H18" s="23">
        <v>0</v>
      </c>
      <c r="I18" s="24">
        <v>0</v>
      </c>
      <c r="J18" s="24">
        <v>0</v>
      </c>
    </row>
    <row r="19" spans="2:10">
      <c r="B19" s="5" t="s">
        <v>624</v>
      </c>
      <c r="C19" s="5"/>
      <c r="D19" s="27"/>
      <c r="E19" s="20" t="s">
        <v>21</v>
      </c>
      <c r="F19" s="21">
        <v>0</v>
      </c>
      <c r="G19" s="22">
        <v>0</v>
      </c>
      <c r="H19" s="23">
        <v>0</v>
      </c>
      <c r="I19" s="24">
        <v>0</v>
      </c>
      <c r="J19" s="24">
        <v>0</v>
      </c>
    </row>
    <row r="20" spans="2:10">
      <c r="B20" s="5" t="s">
        <v>5117</v>
      </c>
      <c r="C20" s="39">
        <v>24644</v>
      </c>
      <c r="D20" s="40">
        <v>400</v>
      </c>
      <c r="E20" s="20" t="s">
        <v>21</v>
      </c>
      <c r="F20" s="21">
        <v>9857600</v>
      </c>
      <c r="G20" s="22">
        <v>1095288.888888889</v>
      </c>
      <c r="H20" s="23">
        <v>400</v>
      </c>
      <c r="I20" s="24">
        <v>0.45767967395610182</v>
      </c>
      <c r="J20" s="24">
        <v>0.36363636363636365</v>
      </c>
    </row>
    <row r="21" spans="2:10">
      <c r="B21" s="5" t="s">
        <v>5011</v>
      </c>
      <c r="C21" s="5"/>
      <c r="D21" s="41"/>
      <c r="E21" s="20" t="s">
        <v>21</v>
      </c>
      <c r="F21" s="21">
        <v>0</v>
      </c>
      <c r="G21" s="22">
        <v>0</v>
      </c>
      <c r="H21" s="23">
        <v>0</v>
      </c>
      <c r="I21" s="24">
        <v>0</v>
      </c>
      <c r="J21" s="24">
        <v>0</v>
      </c>
    </row>
    <row r="22" spans="2:10">
      <c r="B22" s="5" t="s">
        <v>87</v>
      </c>
      <c r="C22" s="5"/>
      <c r="D22" s="41"/>
      <c r="E22" s="20" t="s">
        <v>21</v>
      </c>
      <c r="F22" s="21">
        <v>0</v>
      </c>
      <c r="G22" s="22">
        <v>0</v>
      </c>
      <c r="H22" s="23">
        <v>0</v>
      </c>
      <c r="I22" s="24">
        <v>0</v>
      </c>
      <c r="J22" s="24">
        <v>0</v>
      </c>
    </row>
    <row r="23" spans="2:10">
      <c r="B23" s="5" t="s">
        <v>5163</v>
      </c>
      <c r="C23" s="5"/>
      <c r="D23" s="41"/>
      <c r="E23" s="20" t="s">
        <v>21</v>
      </c>
      <c r="F23" s="21">
        <v>0</v>
      </c>
      <c r="G23" s="22">
        <v>0</v>
      </c>
      <c r="H23" s="23">
        <v>0</v>
      </c>
      <c r="I23" s="24">
        <v>0</v>
      </c>
      <c r="J23" s="24">
        <v>0</v>
      </c>
    </row>
    <row r="24" spans="2:10">
      <c r="B24" s="5" t="s">
        <v>1901</v>
      </c>
      <c r="C24" s="5"/>
      <c r="D24" s="41"/>
      <c r="E24" s="20" t="s">
        <v>21</v>
      </c>
      <c r="F24" s="21">
        <v>0</v>
      </c>
      <c r="G24" s="22">
        <v>0</v>
      </c>
      <c r="H24" s="23">
        <v>0</v>
      </c>
      <c r="I24" s="24">
        <v>0</v>
      </c>
      <c r="J24" s="24">
        <v>0</v>
      </c>
    </row>
    <row r="25" spans="2:10">
      <c r="B25" s="5" t="s">
        <v>296</v>
      </c>
      <c r="C25" s="5"/>
      <c r="D25" s="41"/>
      <c r="E25" s="20" t="s">
        <v>21</v>
      </c>
      <c r="F25" s="21">
        <v>0</v>
      </c>
      <c r="G25" s="22">
        <v>0</v>
      </c>
      <c r="H25" s="23">
        <v>0</v>
      </c>
      <c r="I25" s="24">
        <v>0</v>
      </c>
      <c r="J25" s="24">
        <v>0</v>
      </c>
    </row>
    <row r="26" spans="2:10">
      <c r="B26" s="5" t="s">
        <v>296</v>
      </c>
      <c r="C26" s="5"/>
      <c r="D26" s="41"/>
      <c r="E26" s="20" t="s">
        <v>21</v>
      </c>
      <c r="F26" s="21">
        <v>0</v>
      </c>
      <c r="G26" s="22">
        <v>0</v>
      </c>
      <c r="H26" s="23">
        <v>0</v>
      </c>
      <c r="I26" s="24">
        <v>0</v>
      </c>
      <c r="J26" s="24">
        <v>0</v>
      </c>
    </row>
    <row r="27" spans="2:10">
      <c r="B27" s="5" t="s">
        <v>5143</v>
      </c>
      <c r="C27" s="5">
        <v>0</v>
      </c>
      <c r="D27" s="41">
        <v>0</v>
      </c>
      <c r="E27" s="20" t="s">
        <v>21</v>
      </c>
      <c r="F27" s="21">
        <v>0</v>
      </c>
      <c r="G27" s="22">
        <v>0</v>
      </c>
      <c r="H27" s="23">
        <v>0</v>
      </c>
      <c r="I27" s="24">
        <v>0</v>
      </c>
      <c r="J27" s="24">
        <v>0</v>
      </c>
    </row>
    <row r="28" spans="2:10">
      <c r="B28" s="28" t="s">
        <v>296</v>
      </c>
      <c r="C28" s="42"/>
      <c r="D28" s="43"/>
      <c r="E28" s="42" t="s">
        <v>21</v>
      </c>
      <c r="F28" s="30">
        <v>0</v>
      </c>
      <c r="G28" s="31">
        <v>0</v>
      </c>
      <c r="H28" s="32">
        <v>0</v>
      </c>
      <c r="I28" s="33">
        <v>0</v>
      </c>
      <c r="J28" s="33">
        <v>0</v>
      </c>
    </row>
    <row r="29" spans="2:10">
      <c r="B29" s="34" t="s">
        <v>21</v>
      </c>
      <c r="C29" s="10"/>
      <c r="D29" s="44"/>
      <c r="E29" s="36"/>
      <c r="F29" s="45">
        <v>9857600</v>
      </c>
      <c r="G29" s="37">
        <v>1095288.888888889</v>
      </c>
      <c r="H29" s="37">
        <v>400</v>
      </c>
      <c r="I29" s="38">
        <v>0.45767967395610182</v>
      </c>
      <c r="J29" s="38">
        <v>0.36363636363636365</v>
      </c>
    </row>
    <row r="30" spans="2:10">
      <c r="B30" s="10"/>
      <c r="C30" s="9"/>
      <c r="D30" s="11"/>
      <c r="E30" s="8"/>
      <c r="F30" s="12"/>
      <c r="G30" s="8"/>
      <c r="H30" s="8"/>
      <c r="I30" s="8"/>
      <c r="J30" s="8"/>
    </row>
    <row r="31" spans="2:10">
      <c r="B31" s="46" t="s">
        <v>297</v>
      </c>
      <c r="C31" s="14"/>
      <c r="D31" s="47"/>
      <c r="E31" s="15" t="s">
        <v>134</v>
      </c>
      <c r="F31" s="48" t="s">
        <v>21</v>
      </c>
      <c r="G31" s="16" t="s">
        <v>182</v>
      </c>
      <c r="H31" s="17" t="s">
        <v>292</v>
      </c>
      <c r="I31" s="18" t="s">
        <v>262</v>
      </c>
      <c r="J31" s="18" t="s">
        <v>293</v>
      </c>
    </row>
    <row r="32" spans="2:10">
      <c r="B32" s="49" t="s">
        <v>532</v>
      </c>
      <c r="C32" s="50"/>
      <c r="D32" s="41"/>
      <c r="E32" s="20" t="s">
        <v>21</v>
      </c>
      <c r="F32" s="21">
        <v>25000</v>
      </c>
      <c r="G32" s="22">
        <v>2777.7777777777778</v>
      </c>
      <c r="H32" s="23">
        <v>1.0144457068657686</v>
      </c>
      <c r="I32" s="24">
        <v>1.1607279509112305E-3</v>
      </c>
      <c r="J32" s="24">
        <v>9.2222336987797136E-4</v>
      </c>
    </row>
    <row r="33" spans="2:10">
      <c r="B33" s="49" t="s">
        <v>625</v>
      </c>
      <c r="C33" s="51"/>
      <c r="D33" s="41"/>
      <c r="E33" s="20" t="s">
        <v>21</v>
      </c>
      <c r="F33" s="21"/>
      <c r="G33" s="22">
        <v>0</v>
      </c>
      <c r="H33" s="23">
        <v>0</v>
      </c>
      <c r="I33" s="24">
        <v>0</v>
      </c>
      <c r="J33" s="24">
        <v>0</v>
      </c>
    </row>
    <row r="34" spans="2:10">
      <c r="B34" s="49" t="s">
        <v>626</v>
      </c>
      <c r="C34" s="5"/>
      <c r="D34" s="41"/>
      <c r="E34" s="20" t="s">
        <v>21</v>
      </c>
      <c r="F34" s="21"/>
      <c r="G34" s="22">
        <v>0</v>
      </c>
      <c r="H34" s="23">
        <v>0</v>
      </c>
      <c r="I34" s="24">
        <v>0</v>
      </c>
      <c r="J34" s="24">
        <v>0</v>
      </c>
    </row>
    <row r="35" spans="2:10">
      <c r="B35" s="49" t="s">
        <v>627</v>
      </c>
      <c r="C35" s="5"/>
      <c r="D35" s="41"/>
      <c r="E35" s="20" t="s">
        <v>21</v>
      </c>
      <c r="F35" s="21"/>
      <c r="G35" s="22">
        <v>0</v>
      </c>
      <c r="H35" s="23">
        <v>0</v>
      </c>
      <c r="I35" s="24">
        <v>0</v>
      </c>
      <c r="J35" s="24">
        <v>0</v>
      </c>
    </row>
    <row r="36" spans="2:10">
      <c r="B36" s="49" t="s">
        <v>628</v>
      </c>
      <c r="C36" s="5"/>
      <c r="D36" s="41"/>
      <c r="E36" s="20" t="s">
        <v>21</v>
      </c>
      <c r="F36" s="21"/>
      <c r="G36" s="22">
        <v>0</v>
      </c>
      <c r="H36" s="23">
        <v>0</v>
      </c>
      <c r="I36" s="24">
        <v>0</v>
      </c>
      <c r="J36" s="24">
        <v>0</v>
      </c>
    </row>
    <row r="37" spans="2:10">
      <c r="B37" s="49" t="s">
        <v>5020</v>
      </c>
      <c r="C37" s="5"/>
      <c r="D37" s="41"/>
      <c r="E37" s="20" t="s">
        <v>21</v>
      </c>
      <c r="F37" s="21"/>
      <c r="G37" s="22">
        <v>0</v>
      </c>
      <c r="H37" s="23">
        <v>0</v>
      </c>
      <c r="I37" s="24">
        <v>0</v>
      </c>
      <c r="J37" s="24">
        <v>0</v>
      </c>
    </row>
    <row r="38" spans="2:10">
      <c r="B38" s="49" t="s">
        <v>53</v>
      </c>
      <c r="C38" s="5"/>
      <c r="D38" s="41"/>
      <c r="E38" s="20" t="s">
        <v>21</v>
      </c>
      <c r="F38" s="21"/>
      <c r="G38" s="22">
        <v>0</v>
      </c>
      <c r="H38" s="23">
        <v>0</v>
      </c>
      <c r="I38" s="24">
        <v>0</v>
      </c>
      <c r="J38" s="24">
        <v>0</v>
      </c>
    </row>
    <row r="39" spans="2:10">
      <c r="B39" s="49" t="s">
        <v>5013</v>
      </c>
      <c r="C39" s="5"/>
      <c r="D39" s="41"/>
      <c r="E39" s="20" t="s">
        <v>21</v>
      </c>
      <c r="F39" s="21"/>
      <c r="G39" s="22">
        <v>0</v>
      </c>
      <c r="H39" s="23">
        <v>0</v>
      </c>
      <c r="I39" s="24">
        <v>0</v>
      </c>
      <c r="J39" s="24">
        <v>0</v>
      </c>
    </row>
    <row r="40" spans="2:10">
      <c r="B40" s="49" t="s">
        <v>4</v>
      </c>
      <c r="C40" s="5"/>
      <c r="D40" s="41"/>
      <c r="E40" s="20" t="s">
        <v>21</v>
      </c>
      <c r="F40" s="21"/>
      <c r="G40" s="22">
        <v>0</v>
      </c>
      <c r="H40" s="23">
        <v>0</v>
      </c>
      <c r="I40" s="24">
        <v>0</v>
      </c>
      <c r="J40" s="24">
        <v>0</v>
      </c>
    </row>
    <row r="41" spans="2:10">
      <c r="B41" s="49" t="s">
        <v>5019</v>
      </c>
      <c r="C41" s="5"/>
      <c r="D41" s="41"/>
      <c r="E41" s="20" t="s">
        <v>21</v>
      </c>
      <c r="F41" s="21"/>
      <c r="G41" s="22">
        <v>0</v>
      </c>
      <c r="H41" s="23">
        <v>0</v>
      </c>
      <c r="I41" s="24">
        <v>0</v>
      </c>
      <c r="J41" s="24">
        <v>0</v>
      </c>
    </row>
    <row r="42" spans="2:10">
      <c r="B42" s="49" t="s">
        <v>477</v>
      </c>
      <c r="C42" s="5"/>
      <c r="D42" s="41"/>
      <c r="E42" s="20" t="s">
        <v>21</v>
      </c>
      <c r="F42" s="21"/>
      <c r="G42" s="22">
        <v>0</v>
      </c>
      <c r="H42" s="23">
        <v>0</v>
      </c>
      <c r="I42" s="24">
        <v>0</v>
      </c>
      <c r="J42" s="24">
        <v>0</v>
      </c>
    </row>
    <row r="43" spans="2:10">
      <c r="B43" s="49" t="s">
        <v>28</v>
      </c>
      <c r="C43" s="5"/>
      <c r="D43" s="41"/>
      <c r="E43" s="20" t="s">
        <v>21</v>
      </c>
      <c r="F43" s="21"/>
      <c r="G43" s="22">
        <v>0</v>
      </c>
      <c r="H43" s="23">
        <v>0</v>
      </c>
      <c r="I43" s="24">
        <v>0</v>
      </c>
      <c r="J43" s="24">
        <v>0</v>
      </c>
    </row>
    <row r="44" spans="2:10">
      <c r="B44" s="49" t="s">
        <v>4349</v>
      </c>
      <c r="C44" s="5"/>
      <c r="D44" s="41"/>
      <c r="E44" s="20" t="s">
        <v>21</v>
      </c>
      <c r="F44" s="21"/>
      <c r="G44" s="22">
        <v>0</v>
      </c>
      <c r="H44" s="23">
        <v>0</v>
      </c>
      <c r="I44" s="24">
        <v>0</v>
      </c>
      <c r="J44" s="24">
        <v>0</v>
      </c>
    </row>
    <row r="45" spans="2:10">
      <c r="B45" s="49" t="s">
        <v>4343</v>
      </c>
      <c r="C45" s="5"/>
      <c r="D45" s="41"/>
      <c r="E45" s="20" t="s">
        <v>21</v>
      </c>
      <c r="F45" s="21"/>
      <c r="G45" s="22">
        <v>0</v>
      </c>
      <c r="H45" s="23">
        <v>0</v>
      </c>
      <c r="I45" s="24">
        <v>0</v>
      </c>
      <c r="J45" s="24">
        <v>0</v>
      </c>
    </row>
    <row r="46" spans="2:10">
      <c r="B46" s="49" t="s">
        <v>4337</v>
      </c>
      <c r="C46" s="5"/>
      <c r="D46" s="41"/>
      <c r="E46" s="20" t="s">
        <v>21</v>
      </c>
      <c r="F46" s="21"/>
      <c r="G46" s="22">
        <v>0</v>
      </c>
      <c r="H46" s="23">
        <v>0</v>
      </c>
      <c r="I46" s="24">
        <v>0</v>
      </c>
      <c r="J46" s="24">
        <v>0</v>
      </c>
    </row>
    <row r="47" spans="2:10">
      <c r="B47" s="49" t="s">
        <v>4332</v>
      </c>
      <c r="C47" s="5"/>
      <c r="D47" s="41"/>
      <c r="E47" s="20" t="s">
        <v>21</v>
      </c>
      <c r="F47" s="21"/>
      <c r="G47" s="22">
        <v>0</v>
      </c>
      <c r="H47" s="23">
        <v>0</v>
      </c>
      <c r="I47" s="24">
        <v>0</v>
      </c>
      <c r="J47" s="24">
        <v>0</v>
      </c>
    </row>
    <row r="48" spans="2:10">
      <c r="B48" s="49" t="s">
        <v>107</v>
      </c>
      <c r="C48" s="5"/>
      <c r="D48" s="41"/>
      <c r="E48" s="20" t="s">
        <v>21</v>
      </c>
      <c r="F48" s="21"/>
      <c r="G48" s="22">
        <v>0</v>
      </c>
      <c r="H48" s="23">
        <v>0</v>
      </c>
      <c r="I48" s="24">
        <v>0</v>
      </c>
      <c r="J48" s="24">
        <v>0</v>
      </c>
    </row>
    <row r="49" spans="2:10">
      <c r="B49" s="49" t="s">
        <v>5014</v>
      </c>
      <c r="C49" s="5"/>
      <c r="D49" s="41"/>
      <c r="E49" s="20" t="s">
        <v>21</v>
      </c>
      <c r="F49" s="21"/>
      <c r="G49" s="22">
        <v>0</v>
      </c>
      <c r="H49" s="23">
        <v>0</v>
      </c>
      <c r="I49" s="24">
        <v>0</v>
      </c>
      <c r="J49" s="24">
        <v>0</v>
      </c>
    </row>
    <row r="50" spans="2:10">
      <c r="B50" s="5" t="s">
        <v>5015</v>
      </c>
      <c r="C50" s="5"/>
      <c r="D50" s="41"/>
      <c r="E50" s="20" t="s">
        <v>21</v>
      </c>
      <c r="F50" s="21"/>
      <c r="G50" s="22">
        <v>0</v>
      </c>
      <c r="H50" s="23">
        <v>0</v>
      </c>
      <c r="I50" s="24">
        <v>0</v>
      </c>
      <c r="J50" s="24">
        <v>0</v>
      </c>
    </row>
    <row r="51" spans="2:10">
      <c r="B51" s="5" t="s">
        <v>5018</v>
      </c>
      <c r="C51" s="5"/>
      <c r="D51" s="41"/>
      <c r="E51" s="20" t="s">
        <v>21</v>
      </c>
      <c r="F51" s="21"/>
      <c r="G51" s="22">
        <v>0</v>
      </c>
      <c r="H51" s="23">
        <v>0</v>
      </c>
      <c r="I51" s="24">
        <v>0</v>
      </c>
      <c r="J51" s="24">
        <v>0</v>
      </c>
    </row>
    <row r="52" spans="2:10">
      <c r="B52" s="5" t="s">
        <v>5016</v>
      </c>
      <c r="C52" s="5"/>
      <c r="D52" s="41"/>
      <c r="E52" s="20" t="s">
        <v>21</v>
      </c>
      <c r="F52" s="21"/>
      <c r="G52" s="22">
        <v>0</v>
      </c>
      <c r="H52" s="23">
        <v>0</v>
      </c>
      <c r="I52" s="24">
        <v>0</v>
      </c>
      <c r="J52" s="24">
        <v>0</v>
      </c>
    </row>
    <row r="53" spans="2:10">
      <c r="B53" s="5" t="s">
        <v>5017</v>
      </c>
      <c r="C53" s="5"/>
      <c r="D53" s="41"/>
      <c r="E53" s="20" t="s">
        <v>21</v>
      </c>
      <c r="F53" s="21"/>
      <c r="G53" s="22">
        <v>0</v>
      </c>
      <c r="H53" s="23">
        <v>0</v>
      </c>
      <c r="I53" s="24">
        <v>0</v>
      </c>
      <c r="J53" s="24">
        <v>0</v>
      </c>
    </row>
    <row r="54" spans="2:10">
      <c r="B54" s="5" t="s">
        <v>4142</v>
      </c>
      <c r="C54" s="5"/>
      <c r="D54" s="41"/>
      <c r="E54" s="20" t="s">
        <v>21</v>
      </c>
      <c r="F54" s="21"/>
      <c r="G54" s="22">
        <v>0</v>
      </c>
      <c r="H54" s="23">
        <v>0</v>
      </c>
      <c r="I54" s="24">
        <v>0</v>
      </c>
      <c r="J54" s="24">
        <v>0</v>
      </c>
    </row>
    <row r="55" spans="2:10">
      <c r="B55" s="5" t="s">
        <v>5021</v>
      </c>
      <c r="C55" s="5"/>
      <c r="D55" s="41"/>
      <c r="E55" s="20" t="s">
        <v>21</v>
      </c>
      <c r="F55" s="21"/>
      <c r="G55" s="22">
        <v>0</v>
      </c>
      <c r="H55" s="23">
        <v>0</v>
      </c>
      <c r="I55" s="24">
        <v>0</v>
      </c>
      <c r="J55" s="24">
        <v>0</v>
      </c>
    </row>
    <row r="56" spans="2:10">
      <c r="B56" s="5" t="s">
        <v>5021</v>
      </c>
      <c r="C56" s="5"/>
      <c r="D56" s="41"/>
      <c r="E56" s="20" t="s">
        <v>21</v>
      </c>
      <c r="F56" s="21"/>
      <c r="G56" s="22">
        <v>0</v>
      </c>
      <c r="H56" s="23">
        <v>0</v>
      </c>
      <c r="I56" s="24">
        <v>0</v>
      </c>
      <c r="J56" s="24">
        <v>0</v>
      </c>
    </row>
    <row r="57" spans="2:10">
      <c r="B57" s="5" t="s">
        <v>5021</v>
      </c>
      <c r="C57" s="5"/>
      <c r="D57" s="41"/>
      <c r="E57" s="20" t="s">
        <v>21</v>
      </c>
      <c r="F57" s="21">
        <v>0</v>
      </c>
      <c r="G57" s="22">
        <v>0</v>
      </c>
      <c r="H57" s="23">
        <v>0</v>
      </c>
      <c r="I57" s="24">
        <v>0</v>
      </c>
      <c r="J57" s="24">
        <v>0</v>
      </c>
    </row>
    <row r="58" spans="2:10">
      <c r="B58" s="5" t="s">
        <v>5021</v>
      </c>
      <c r="C58" s="5"/>
      <c r="D58" s="41"/>
      <c r="E58" s="20" t="s">
        <v>21</v>
      </c>
      <c r="F58" s="21">
        <v>0</v>
      </c>
      <c r="G58" s="22">
        <v>0</v>
      </c>
      <c r="H58" s="23">
        <v>0</v>
      </c>
      <c r="I58" s="24">
        <v>0</v>
      </c>
      <c r="J58" s="24">
        <v>0</v>
      </c>
    </row>
    <row r="59" spans="2:10">
      <c r="B59" s="5" t="s">
        <v>5118</v>
      </c>
      <c r="C59" s="5"/>
      <c r="D59" s="41"/>
      <c r="E59" s="20" t="s">
        <v>21</v>
      </c>
      <c r="F59" s="21">
        <v>0</v>
      </c>
      <c r="G59" s="22">
        <v>0</v>
      </c>
      <c r="H59" s="23">
        <v>0</v>
      </c>
      <c r="I59" s="24">
        <v>0</v>
      </c>
      <c r="J59" s="24">
        <v>0</v>
      </c>
    </row>
    <row r="60" spans="2:10">
      <c r="B60" s="10" t="s">
        <v>5119</v>
      </c>
      <c r="C60" s="8">
        <v>9</v>
      </c>
      <c r="D60" s="41"/>
      <c r="E60" s="36" t="s">
        <v>4981</v>
      </c>
      <c r="F60" s="35">
        <v>0</v>
      </c>
      <c r="G60" s="52">
        <v>0</v>
      </c>
      <c r="H60" s="53">
        <v>0</v>
      </c>
      <c r="I60" s="38">
        <v>0</v>
      </c>
      <c r="J60" s="38">
        <v>0</v>
      </c>
    </row>
    <row r="61" spans="2:10">
      <c r="B61" s="10" t="s">
        <v>21</v>
      </c>
      <c r="C61" s="8"/>
      <c r="D61" s="35"/>
      <c r="E61" s="36"/>
      <c r="F61" s="35">
        <v>25000</v>
      </c>
      <c r="G61" s="5">
        <v>2777.7777777777778</v>
      </c>
      <c r="H61" s="5">
        <v>1.0144457068657686</v>
      </c>
      <c r="I61" s="5">
        <v>1.1607279509112305E-3</v>
      </c>
      <c r="J61" s="5">
        <v>9.2222336987797136E-4</v>
      </c>
    </row>
    <row r="62" spans="2:10">
      <c r="B62" s="5"/>
      <c r="C62" s="5"/>
      <c r="D62" s="27"/>
      <c r="E62" s="54"/>
      <c r="F62" s="55"/>
      <c r="G62" s="22"/>
      <c r="H62" s="23"/>
      <c r="I62" s="24"/>
      <c r="J62" s="24"/>
    </row>
    <row r="63" spans="2:10" ht="12" customHeight="1">
      <c r="B63" s="34" t="s">
        <v>214</v>
      </c>
      <c r="C63" s="10"/>
      <c r="D63" s="56"/>
      <c r="E63" s="57"/>
      <c r="F63" s="58">
        <v>9882600</v>
      </c>
      <c r="G63" s="52">
        <v>1098066.6666666667</v>
      </c>
      <c r="H63" s="53">
        <v>401.01444570686579</v>
      </c>
      <c r="I63" s="38">
        <v>0.45884040190701308</v>
      </c>
      <c r="J63" s="38">
        <v>0.36455858700624161</v>
      </c>
    </row>
    <row r="64" spans="2:10">
      <c r="B64" s="13" t="s">
        <v>73</v>
      </c>
      <c r="C64" s="13"/>
      <c r="D64" s="59"/>
      <c r="E64" s="18">
        <v>1.4999999999999999E-2</v>
      </c>
      <c r="F64" s="60">
        <v>407000</v>
      </c>
      <c r="G64" s="13">
        <v>45222.222222222219</v>
      </c>
      <c r="H64" s="13">
        <v>16.51517610777471</v>
      </c>
      <c r="I64" s="13">
        <v>1.8896651040834832E-2</v>
      </c>
      <c r="J64" s="13">
        <v>1.5013796461613374E-2</v>
      </c>
    </row>
    <row r="65" spans="2:10">
      <c r="B65" s="10"/>
      <c r="C65" s="10"/>
      <c r="D65" s="61"/>
      <c r="E65" s="36"/>
      <c r="F65" s="62"/>
      <c r="G65" s="52"/>
      <c r="H65" s="53"/>
      <c r="I65" s="38"/>
      <c r="J65" s="38"/>
    </row>
    <row r="66" spans="2:10">
      <c r="B66" s="10" t="s">
        <v>638</v>
      </c>
      <c r="C66" s="10"/>
      <c r="D66" s="44"/>
      <c r="E66" s="10"/>
      <c r="F66" s="35">
        <v>10289600</v>
      </c>
      <c r="G66" s="5">
        <v>1143288.888888889</v>
      </c>
      <c r="H66" s="5">
        <v>417.52962181464051</v>
      </c>
      <c r="I66" s="5">
        <v>0.47773705294784791</v>
      </c>
      <c r="J66" s="5">
        <v>0.37957238346785499</v>
      </c>
    </row>
    <row r="67" spans="2:10">
      <c r="B67" s="4"/>
      <c r="C67" s="4"/>
      <c r="D67" s="4"/>
      <c r="E67" s="4"/>
      <c r="F67" s="4"/>
      <c r="G67" s="5"/>
      <c r="H67" s="5"/>
      <c r="I67" s="5"/>
      <c r="J67" s="5"/>
    </row>
    <row r="68" spans="2:10">
      <c r="B68" s="10"/>
      <c r="C68" s="9"/>
      <c r="D68" s="11"/>
      <c r="E68" s="8"/>
      <c r="F68" s="12"/>
      <c r="G68" s="8"/>
      <c r="H68" s="8"/>
      <c r="I68" s="8"/>
      <c r="J68" s="8"/>
    </row>
    <row r="69" spans="2:10">
      <c r="B69" s="5" t="s">
        <v>298</v>
      </c>
      <c r="C69" s="5"/>
      <c r="D69" s="63"/>
      <c r="E69" s="20" t="s">
        <v>134</v>
      </c>
      <c r="F69" s="21" t="s">
        <v>21</v>
      </c>
      <c r="G69" s="22" t="s">
        <v>182</v>
      </c>
      <c r="H69" s="23" t="s">
        <v>292</v>
      </c>
      <c r="I69" s="24" t="s">
        <v>262</v>
      </c>
      <c r="J69" s="24" t="s">
        <v>293</v>
      </c>
    </row>
    <row r="70" spans="2:10">
      <c r="B70" s="5" t="s">
        <v>629</v>
      </c>
      <c r="C70" s="5"/>
      <c r="D70" s="63"/>
      <c r="E70" s="20" t="s">
        <v>5156</v>
      </c>
      <c r="F70" s="21">
        <v>455914</v>
      </c>
      <c r="G70" s="22">
        <v>50657.111111111109</v>
      </c>
      <c r="H70" s="23">
        <v>18.5</v>
      </c>
      <c r="I70" s="24">
        <v>2.116768492046971E-2</v>
      </c>
      <c r="J70" s="24">
        <v>1.6818181818181819E-2</v>
      </c>
    </row>
    <row r="71" spans="2:10">
      <c r="B71" s="5" t="s">
        <v>630</v>
      </c>
      <c r="C71" s="5"/>
      <c r="D71" s="63"/>
      <c r="E71" s="20" t="s">
        <v>5156</v>
      </c>
      <c r="F71" s="21">
        <v>0</v>
      </c>
      <c r="G71" s="22">
        <v>0</v>
      </c>
      <c r="H71" s="23">
        <v>0</v>
      </c>
      <c r="I71" s="24">
        <v>0</v>
      </c>
      <c r="J71" s="24">
        <v>0</v>
      </c>
    </row>
    <row r="72" spans="2:10">
      <c r="B72" s="5" t="s">
        <v>631</v>
      </c>
      <c r="C72" s="5"/>
      <c r="D72" s="63"/>
      <c r="E72" s="20" t="s">
        <v>21</v>
      </c>
      <c r="F72" s="21">
        <v>0</v>
      </c>
      <c r="G72" s="22">
        <v>0</v>
      </c>
      <c r="H72" s="23">
        <v>0</v>
      </c>
      <c r="I72" s="24">
        <v>0</v>
      </c>
      <c r="J72" s="24">
        <v>0</v>
      </c>
    </row>
    <row r="73" spans="2:10">
      <c r="B73" s="5" t="s">
        <v>632</v>
      </c>
      <c r="C73" s="5"/>
      <c r="D73" s="63"/>
      <c r="E73" s="20" t="s">
        <v>5156</v>
      </c>
      <c r="F73" s="21">
        <v>0</v>
      </c>
      <c r="G73" s="22">
        <v>0</v>
      </c>
      <c r="H73" s="23">
        <v>0</v>
      </c>
      <c r="I73" s="24">
        <v>0</v>
      </c>
      <c r="J73" s="24">
        <v>0</v>
      </c>
    </row>
    <row r="74" spans="2:10">
      <c r="B74" s="5" t="s">
        <v>296</v>
      </c>
      <c r="C74" s="5"/>
      <c r="D74" s="63"/>
      <c r="E74" s="20" t="s">
        <v>21</v>
      </c>
      <c r="F74" s="21">
        <v>0</v>
      </c>
      <c r="G74" s="22">
        <v>0</v>
      </c>
      <c r="H74" s="23">
        <v>0</v>
      </c>
      <c r="I74" s="24">
        <v>0</v>
      </c>
      <c r="J74" s="24">
        <v>0</v>
      </c>
    </row>
    <row r="75" spans="2:10">
      <c r="B75" s="5" t="s">
        <v>296</v>
      </c>
      <c r="C75" s="5"/>
      <c r="D75" s="63"/>
      <c r="E75" s="20" t="s">
        <v>21</v>
      </c>
      <c r="F75" s="21">
        <v>0</v>
      </c>
      <c r="G75" s="22">
        <v>0</v>
      </c>
      <c r="H75" s="23">
        <v>0</v>
      </c>
      <c r="I75" s="24">
        <v>0</v>
      </c>
      <c r="J75" s="24">
        <v>0</v>
      </c>
    </row>
    <row r="76" spans="2:10">
      <c r="B76" s="5" t="s">
        <v>296</v>
      </c>
      <c r="C76" s="5"/>
      <c r="D76" s="63"/>
      <c r="E76" s="20" t="s">
        <v>21</v>
      </c>
      <c r="F76" s="21">
        <v>0</v>
      </c>
      <c r="G76" s="22">
        <v>0</v>
      </c>
      <c r="H76" s="23">
        <v>0</v>
      </c>
      <c r="I76" s="24">
        <v>0</v>
      </c>
      <c r="J76" s="24">
        <v>0</v>
      </c>
    </row>
    <row r="77" spans="2:10">
      <c r="B77" s="5" t="s">
        <v>296</v>
      </c>
      <c r="C77" s="5"/>
      <c r="D77" s="64"/>
      <c r="E77" s="42" t="s">
        <v>21</v>
      </c>
      <c r="F77" s="30">
        <v>0</v>
      </c>
      <c r="G77" s="31">
        <v>0</v>
      </c>
      <c r="H77" s="32">
        <v>0</v>
      </c>
      <c r="I77" s="33">
        <v>0</v>
      </c>
      <c r="J77" s="33">
        <v>0</v>
      </c>
    </row>
    <row r="78" spans="2:10">
      <c r="B78" s="65" t="s">
        <v>225</v>
      </c>
      <c r="C78" s="65"/>
      <c r="D78" s="66"/>
      <c r="E78" s="67"/>
      <c r="F78" s="68">
        <v>455914</v>
      </c>
      <c r="G78" s="65">
        <v>50657.111111111109</v>
      </c>
      <c r="H78" s="65">
        <v>18.5</v>
      </c>
      <c r="I78" s="69">
        <v>2.116768492046971E-2</v>
      </c>
      <c r="J78" s="69">
        <v>1.6818181818181819E-2</v>
      </c>
    </row>
    <row r="79" spans="2:10">
      <c r="B79" s="10"/>
      <c r="C79" s="9"/>
      <c r="D79" s="11"/>
      <c r="E79" s="8"/>
      <c r="F79" s="12"/>
      <c r="G79" s="8"/>
      <c r="H79" s="8"/>
      <c r="I79" s="8"/>
      <c r="J79" s="8"/>
    </row>
    <row r="80" spans="2:10">
      <c r="B80" s="5" t="s">
        <v>32</v>
      </c>
      <c r="C80" s="5"/>
      <c r="D80" s="64"/>
      <c r="E80" s="20" t="s">
        <v>134</v>
      </c>
      <c r="F80" s="21" t="s">
        <v>21</v>
      </c>
      <c r="G80" s="22" t="s">
        <v>182</v>
      </c>
      <c r="H80" s="23" t="s">
        <v>292</v>
      </c>
      <c r="I80" s="24" t="s">
        <v>262</v>
      </c>
      <c r="J80" s="24" t="s">
        <v>293</v>
      </c>
    </row>
    <row r="81" spans="2:10">
      <c r="B81" s="5" t="s">
        <v>633</v>
      </c>
      <c r="C81" s="5"/>
      <c r="D81" s="64"/>
      <c r="E81" s="20" t="s">
        <v>21</v>
      </c>
      <c r="F81" s="21">
        <v>75000</v>
      </c>
      <c r="G81" s="22">
        <v>8333.3333333333339</v>
      </c>
      <c r="H81" s="23">
        <v>3.0433371205973057</v>
      </c>
      <c r="I81" s="24">
        <v>3.4821838527336916E-3</v>
      </c>
      <c r="J81" s="24">
        <v>2.7666701096339141E-3</v>
      </c>
    </row>
    <row r="82" spans="2:10">
      <c r="B82" s="5" t="s">
        <v>5022</v>
      </c>
      <c r="C82" s="5"/>
      <c r="D82" s="64"/>
      <c r="E82" s="20" t="s">
        <v>21</v>
      </c>
      <c r="F82" s="21">
        <v>75000</v>
      </c>
      <c r="G82" s="22">
        <v>8333.3333333333339</v>
      </c>
      <c r="H82" s="23">
        <v>3.0433371205973057</v>
      </c>
      <c r="I82" s="24">
        <v>3.4821838527336916E-3</v>
      </c>
      <c r="J82" s="24">
        <v>2.7666701096339141E-3</v>
      </c>
    </row>
    <row r="83" spans="2:10">
      <c r="B83" s="5" t="s">
        <v>296</v>
      </c>
      <c r="C83" s="5"/>
      <c r="D83" s="64"/>
      <c r="E83" s="20" t="s">
        <v>21</v>
      </c>
      <c r="F83" s="21">
        <v>0</v>
      </c>
      <c r="G83" s="22">
        <v>0</v>
      </c>
      <c r="H83" s="23">
        <v>0</v>
      </c>
      <c r="I83" s="24">
        <v>0</v>
      </c>
      <c r="J83" s="24">
        <v>0</v>
      </c>
    </row>
    <row r="84" spans="2:10">
      <c r="B84" s="5" t="s">
        <v>296</v>
      </c>
      <c r="C84" s="5"/>
      <c r="D84" s="64"/>
      <c r="E84" s="20" t="s">
        <v>21</v>
      </c>
      <c r="F84" s="21">
        <v>0</v>
      </c>
      <c r="G84" s="22">
        <v>0</v>
      </c>
      <c r="H84" s="23">
        <v>0</v>
      </c>
      <c r="I84" s="24">
        <v>0</v>
      </c>
      <c r="J84" s="24">
        <v>0</v>
      </c>
    </row>
    <row r="85" spans="2:10">
      <c r="B85" s="5" t="s">
        <v>296</v>
      </c>
      <c r="C85" s="5"/>
      <c r="D85" s="64"/>
      <c r="E85" s="42" t="s">
        <v>21</v>
      </c>
      <c r="F85" s="30">
        <v>0</v>
      </c>
      <c r="G85" s="31">
        <v>0</v>
      </c>
      <c r="H85" s="32">
        <v>0</v>
      </c>
      <c r="I85" s="33">
        <v>0</v>
      </c>
      <c r="J85" s="33">
        <v>0</v>
      </c>
    </row>
    <row r="86" spans="2:10">
      <c r="B86" s="65" t="s">
        <v>226</v>
      </c>
      <c r="C86" s="65"/>
      <c r="D86" s="70"/>
      <c r="E86" s="67"/>
      <c r="F86" s="68">
        <v>150000</v>
      </c>
      <c r="G86" s="65">
        <v>16666.666666666668</v>
      </c>
      <c r="H86" s="65">
        <v>6.0866742411946113</v>
      </c>
      <c r="I86" s="71">
        <v>6.9643677054673832E-3</v>
      </c>
      <c r="J86" s="71">
        <v>5.5333402192678282E-3</v>
      </c>
    </row>
    <row r="87" spans="2:10">
      <c r="B87" s="10"/>
      <c r="C87" s="9"/>
      <c r="D87" s="11"/>
      <c r="E87" s="8"/>
      <c r="F87" s="12"/>
      <c r="G87" s="8"/>
      <c r="H87" s="8"/>
      <c r="I87" s="8"/>
      <c r="J87" s="8"/>
    </row>
    <row r="88" spans="2:10">
      <c r="B88" s="13" t="s">
        <v>215</v>
      </c>
      <c r="C88" s="13"/>
      <c r="D88" s="72"/>
      <c r="E88" s="15" t="s">
        <v>134</v>
      </c>
      <c r="F88" s="48" t="s">
        <v>21</v>
      </c>
      <c r="G88" s="16" t="s">
        <v>182</v>
      </c>
      <c r="H88" s="17" t="s">
        <v>292</v>
      </c>
      <c r="I88" s="18" t="s">
        <v>262</v>
      </c>
      <c r="J88" s="18" t="s">
        <v>293</v>
      </c>
    </row>
    <row r="89" spans="2:10">
      <c r="B89" s="5" t="s">
        <v>634</v>
      </c>
      <c r="C89" s="5"/>
      <c r="D89" s="63"/>
      <c r="E89" s="20" t="s">
        <v>21</v>
      </c>
      <c r="F89" s="21">
        <v>100000</v>
      </c>
      <c r="G89" s="22">
        <v>11111.111111111111</v>
      </c>
      <c r="H89" s="23">
        <v>4.0577828274630745</v>
      </c>
      <c r="I89" s="24">
        <v>4.6429118036449219E-3</v>
      </c>
      <c r="J89" s="24">
        <v>3.6888934795118854E-3</v>
      </c>
    </row>
    <row r="90" spans="2:10">
      <c r="B90" s="5" t="s">
        <v>635</v>
      </c>
      <c r="C90" s="5"/>
      <c r="D90" s="63"/>
      <c r="E90" s="20" t="s">
        <v>21</v>
      </c>
      <c r="F90" s="21"/>
      <c r="G90" s="22">
        <v>0</v>
      </c>
      <c r="H90" s="23">
        <v>0</v>
      </c>
      <c r="I90" s="24">
        <v>0</v>
      </c>
      <c r="J90" s="24">
        <v>0</v>
      </c>
    </row>
    <row r="91" spans="2:10">
      <c r="B91" s="5" t="s">
        <v>54</v>
      </c>
      <c r="C91" s="5"/>
      <c r="D91" s="63"/>
      <c r="E91" s="20" t="s">
        <v>21</v>
      </c>
      <c r="F91" s="21"/>
      <c r="G91" s="22">
        <v>0</v>
      </c>
      <c r="H91" s="23">
        <v>0</v>
      </c>
      <c r="I91" s="24">
        <v>0</v>
      </c>
      <c r="J91" s="24">
        <v>0</v>
      </c>
    </row>
    <row r="92" spans="2:10">
      <c r="B92" s="5" t="s">
        <v>88</v>
      </c>
      <c r="C92" s="5"/>
      <c r="D92" s="19"/>
      <c r="E92" s="20" t="s">
        <v>21</v>
      </c>
      <c r="F92" s="21"/>
      <c r="G92" s="22">
        <v>0</v>
      </c>
      <c r="H92" s="23">
        <v>0</v>
      </c>
      <c r="I92" s="24">
        <v>0</v>
      </c>
      <c r="J92" s="24">
        <v>0</v>
      </c>
    </row>
    <row r="93" spans="2:10">
      <c r="B93" s="5" t="s">
        <v>89</v>
      </c>
      <c r="C93" s="5"/>
      <c r="D93" s="63"/>
      <c r="E93" s="20" t="s">
        <v>21</v>
      </c>
      <c r="F93" s="21"/>
      <c r="G93" s="22">
        <v>0</v>
      </c>
      <c r="H93" s="23">
        <v>0</v>
      </c>
      <c r="I93" s="24">
        <v>0</v>
      </c>
      <c r="J93" s="24">
        <v>0</v>
      </c>
    </row>
    <row r="94" spans="2:10">
      <c r="B94" s="5" t="s">
        <v>90</v>
      </c>
      <c r="C94" s="5"/>
      <c r="D94" s="5"/>
      <c r="E94" s="20" t="s">
        <v>21</v>
      </c>
      <c r="F94" s="21"/>
      <c r="G94" s="22">
        <v>0</v>
      </c>
      <c r="H94" s="23">
        <v>0</v>
      </c>
      <c r="I94" s="24">
        <v>0</v>
      </c>
      <c r="J94" s="24">
        <v>0</v>
      </c>
    </row>
    <row r="95" spans="2:10">
      <c r="B95" s="5" t="s">
        <v>91</v>
      </c>
      <c r="C95" s="5"/>
      <c r="D95" s="5"/>
      <c r="E95" s="20" t="s">
        <v>21</v>
      </c>
      <c r="F95" s="21"/>
      <c r="G95" s="22">
        <v>0</v>
      </c>
      <c r="H95" s="23">
        <v>0</v>
      </c>
      <c r="I95" s="24">
        <v>0</v>
      </c>
      <c r="J95" s="24">
        <v>0</v>
      </c>
    </row>
    <row r="96" spans="2:10">
      <c r="B96" s="5" t="s">
        <v>55</v>
      </c>
      <c r="C96" s="5"/>
      <c r="D96" s="63"/>
      <c r="E96" s="20" t="s">
        <v>21</v>
      </c>
      <c r="F96" s="21"/>
      <c r="G96" s="22">
        <v>0</v>
      </c>
      <c r="H96" s="23">
        <v>0</v>
      </c>
      <c r="I96" s="24">
        <v>0</v>
      </c>
      <c r="J96" s="24">
        <v>0</v>
      </c>
    </row>
    <row r="97" spans="2:10">
      <c r="B97" s="5" t="s">
        <v>92</v>
      </c>
      <c r="C97" s="5"/>
      <c r="D97" s="63"/>
      <c r="E97" s="20" t="s">
        <v>21</v>
      </c>
      <c r="F97" s="21"/>
      <c r="G97" s="22">
        <v>0</v>
      </c>
      <c r="H97" s="23">
        <v>0</v>
      </c>
      <c r="I97" s="24">
        <v>0</v>
      </c>
      <c r="J97" s="24">
        <v>0</v>
      </c>
    </row>
    <row r="98" spans="2:10">
      <c r="B98" s="5" t="s">
        <v>93</v>
      </c>
      <c r="C98" s="5"/>
      <c r="D98" s="63"/>
      <c r="E98" s="20" t="s">
        <v>21</v>
      </c>
      <c r="F98" s="21"/>
      <c r="G98" s="22">
        <v>0</v>
      </c>
      <c r="H98" s="23">
        <v>0</v>
      </c>
      <c r="I98" s="24">
        <v>0</v>
      </c>
      <c r="J98" s="24">
        <v>0</v>
      </c>
    </row>
    <row r="99" spans="2:10">
      <c r="B99" s="5" t="s">
        <v>56</v>
      </c>
      <c r="C99" s="5"/>
      <c r="D99" s="63"/>
      <c r="E99" s="20" t="s">
        <v>21</v>
      </c>
      <c r="F99" s="21"/>
      <c r="G99" s="22">
        <v>0</v>
      </c>
      <c r="H99" s="23">
        <v>0</v>
      </c>
      <c r="I99" s="24">
        <v>0</v>
      </c>
      <c r="J99" s="24">
        <v>0</v>
      </c>
    </row>
    <row r="100" spans="2:10">
      <c r="B100" s="5" t="s">
        <v>57</v>
      </c>
      <c r="C100" s="5"/>
      <c r="D100" s="63"/>
      <c r="E100" s="20" t="s">
        <v>21</v>
      </c>
      <c r="F100" s="21"/>
      <c r="G100" s="22">
        <v>0</v>
      </c>
      <c r="H100" s="23">
        <v>0</v>
      </c>
      <c r="I100" s="24">
        <v>0</v>
      </c>
      <c r="J100" s="24">
        <v>0</v>
      </c>
    </row>
    <row r="101" spans="2:10">
      <c r="B101" s="5" t="s">
        <v>65</v>
      </c>
      <c r="C101" s="5"/>
      <c r="D101" s="63"/>
      <c r="E101" s="20" t="s">
        <v>21</v>
      </c>
      <c r="F101" s="21"/>
      <c r="G101" s="22">
        <v>0</v>
      </c>
      <c r="H101" s="23">
        <v>0</v>
      </c>
      <c r="I101" s="24">
        <v>0</v>
      </c>
      <c r="J101" s="24">
        <v>0</v>
      </c>
    </row>
    <row r="102" spans="2:10">
      <c r="B102" s="5" t="s">
        <v>94</v>
      </c>
      <c r="C102" s="5"/>
      <c r="D102" s="63"/>
      <c r="E102" s="20" t="s">
        <v>21</v>
      </c>
      <c r="F102" s="21"/>
      <c r="G102" s="22">
        <v>0</v>
      </c>
      <c r="H102" s="23">
        <v>0</v>
      </c>
      <c r="I102" s="24">
        <v>0</v>
      </c>
      <c r="J102" s="24">
        <v>0</v>
      </c>
    </row>
    <row r="103" spans="2:10">
      <c r="B103" s="5" t="s">
        <v>95</v>
      </c>
      <c r="C103" s="5"/>
      <c r="D103" s="63"/>
      <c r="E103" s="20" t="s">
        <v>21</v>
      </c>
      <c r="F103" s="21"/>
      <c r="G103" s="22">
        <v>0</v>
      </c>
      <c r="H103" s="23">
        <v>0</v>
      </c>
      <c r="I103" s="24">
        <v>0</v>
      </c>
      <c r="J103" s="24">
        <v>0</v>
      </c>
    </row>
    <row r="104" spans="2:10">
      <c r="B104" s="5" t="s">
        <v>58</v>
      </c>
      <c r="C104" s="5"/>
      <c r="D104" s="63"/>
      <c r="E104" s="20" t="s">
        <v>21</v>
      </c>
      <c r="F104" s="21"/>
      <c r="G104" s="22">
        <v>0</v>
      </c>
      <c r="H104" s="23">
        <v>0</v>
      </c>
      <c r="I104" s="24">
        <v>0</v>
      </c>
      <c r="J104" s="24">
        <v>0</v>
      </c>
    </row>
    <row r="105" spans="2:10">
      <c r="B105" s="5" t="s">
        <v>59</v>
      </c>
      <c r="C105" s="5"/>
      <c r="D105" s="63"/>
      <c r="E105" s="20" t="s">
        <v>21</v>
      </c>
      <c r="F105" s="21"/>
      <c r="G105" s="22">
        <v>0</v>
      </c>
      <c r="H105" s="23">
        <v>0</v>
      </c>
      <c r="I105" s="24">
        <v>0</v>
      </c>
      <c r="J105" s="24">
        <v>0</v>
      </c>
    </row>
    <row r="106" spans="2:10">
      <c r="B106" s="5" t="s">
        <v>637</v>
      </c>
      <c r="C106" s="5"/>
      <c r="D106" s="63"/>
      <c r="E106" s="20" t="s">
        <v>21</v>
      </c>
      <c r="F106" s="21"/>
      <c r="G106" s="22">
        <v>0</v>
      </c>
      <c r="H106" s="23">
        <v>0</v>
      </c>
      <c r="I106" s="24">
        <v>0</v>
      </c>
      <c r="J106" s="24">
        <v>0</v>
      </c>
    </row>
    <row r="107" spans="2:10">
      <c r="B107" s="5" t="s">
        <v>60</v>
      </c>
      <c r="C107" s="5"/>
      <c r="D107" s="63"/>
      <c r="E107" s="20" t="s">
        <v>21</v>
      </c>
      <c r="F107" s="21"/>
      <c r="G107" s="22">
        <v>0</v>
      </c>
      <c r="H107" s="23">
        <v>0</v>
      </c>
      <c r="I107" s="24">
        <v>0</v>
      </c>
      <c r="J107" s="24">
        <v>0</v>
      </c>
    </row>
    <row r="108" spans="2:10">
      <c r="B108" s="5" t="s">
        <v>61</v>
      </c>
      <c r="C108" s="5"/>
      <c r="D108" s="63"/>
      <c r="E108" s="20" t="s">
        <v>21</v>
      </c>
      <c r="F108" s="21"/>
      <c r="G108" s="22">
        <v>0</v>
      </c>
      <c r="H108" s="23">
        <v>0</v>
      </c>
      <c r="I108" s="24">
        <v>0</v>
      </c>
      <c r="J108" s="24">
        <v>0</v>
      </c>
    </row>
    <row r="109" spans="2:10">
      <c r="B109" s="5" t="s">
        <v>122</v>
      </c>
      <c r="C109" s="5"/>
      <c r="D109" s="63"/>
      <c r="E109" s="20" t="s">
        <v>21</v>
      </c>
      <c r="F109" s="21"/>
      <c r="G109" s="22">
        <v>0</v>
      </c>
      <c r="H109" s="23">
        <v>0</v>
      </c>
      <c r="I109" s="24">
        <v>0</v>
      </c>
      <c r="J109" s="24">
        <v>0</v>
      </c>
    </row>
    <row r="110" spans="2:10">
      <c r="B110" s="5" t="s">
        <v>636</v>
      </c>
      <c r="C110" s="5"/>
      <c r="D110" s="63"/>
      <c r="E110" s="20" t="s">
        <v>21</v>
      </c>
      <c r="F110" s="21"/>
      <c r="G110" s="22">
        <v>0</v>
      </c>
      <c r="H110" s="23">
        <v>0</v>
      </c>
      <c r="I110" s="24">
        <v>0</v>
      </c>
      <c r="J110" s="24">
        <v>0</v>
      </c>
    </row>
    <row r="111" spans="2:10">
      <c r="B111" s="5" t="s">
        <v>4999</v>
      </c>
      <c r="C111" s="5"/>
      <c r="D111" s="63"/>
      <c r="E111" s="20" t="s">
        <v>21</v>
      </c>
      <c r="F111" s="21"/>
      <c r="G111" s="22">
        <v>0</v>
      </c>
      <c r="H111" s="23">
        <v>0</v>
      </c>
      <c r="I111" s="24">
        <v>0</v>
      </c>
      <c r="J111" s="24">
        <v>0</v>
      </c>
    </row>
    <row r="112" spans="2:10">
      <c r="B112" s="5" t="s">
        <v>5130</v>
      </c>
      <c r="C112" s="5"/>
      <c r="D112" s="63"/>
      <c r="E112" s="20" t="s">
        <v>21</v>
      </c>
      <c r="F112" s="21"/>
      <c r="G112" s="22">
        <v>0</v>
      </c>
      <c r="H112" s="23">
        <v>0</v>
      </c>
      <c r="I112" s="24">
        <v>0</v>
      </c>
      <c r="J112" s="24">
        <v>0</v>
      </c>
    </row>
    <row r="113" spans="2:10">
      <c r="B113" s="5" t="s">
        <v>3966</v>
      </c>
      <c r="C113" s="5"/>
      <c r="D113" s="63"/>
      <c r="E113" s="20" t="s">
        <v>21</v>
      </c>
      <c r="F113" s="21"/>
      <c r="G113" s="22">
        <v>0</v>
      </c>
      <c r="H113" s="23">
        <v>0</v>
      </c>
      <c r="I113" s="24">
        <v>0</v>
      </c>
      <c r="J113" s="24">
        <v>0</v>
      </c>
    </row>
    <row r="114" spans="2:10">
      <c r="B114" s="5" t="s">
        <v>3984</v>
      </c>
      <c r="C114" s="5"/>
      <c r="D114" s="63"/>
      <c r="E114" s="20" t="s">
        <v>21</v>
      </c>
      <c r="F114" s="21"/>
      <c r="G114" s="22">
        <v>0</v>
      </c>
      <c r="H114" s="23">
        <v>0</v>
      </c>
      <c r="I114" s="24">
        <v>0</v>
      </c>
      <c r="J114" s="24">
        <v>0</v>
      </c>
    </row>
    <row r="115" spans="2:10">
      <c r="B115" s="5" t="s">
        <v>5129</v>
      </c>
      <c r="C115" s="5"/>
      <c r="D115" s="63"/>
      <c r="E115" s="20" t="s">
        <v>21</v>
      </c>
      <c r="F115" s="21"/>
      <c r="G115" s="22">
        <v>0</v>
      </c>
      <c r="H115" s="23">
        <v>0</v>
      </c>
      <c r="I115" s="24">
        <v>0</v>
      </c>
      <c r="J115" s="24">
        <v>0</v>
      </c>
    </row>
    <row r="116" spans="2:10">
      <c r="B116" s="5" t="s">
        <v>5127</v>
      </c>
      <c r="C116" s="5"/>
      <c r="D116" s="63"/>
      <c r="E116" s="20" t="s">
        <v>21</v>
      </c>
      <c r="F116" s="21"/>
      <c r="G116" s="22">
        <v>0</v>
      </c>
      <c r="H116" s="23">
        <v>0</v>
      </c>
      <c r="I116" s="24">
        <v>0</v>
      </c>
      <c r="J116" s="24">
        <v>0</v>
      </c>
    </row>
    <row r="117" spans="2:10">
      <c r="B117" s="28" t="s">
        <v>5128</v>
      </c>
      <c r="C117" s="28"/>
      <c r="D117" s="73"/>
      <c r="E117" s="42" t="s">
        <v>21</v>
      </c>
      <c r="F117" s="30"/>
      <c r="G117" s="31">
        <v>0</v>
      </c>
      <c r="H117" s="32">
        <v>0</v>
      </c>
      <c r="I117" s="33">
        <v>0</v>
      </c>
      <c r="J117" s="33">
        <v>0</v>
      </c>
    </row>
    <row r="118" spans="2:10">
      <c r="B118" s="5" t="s">
        <v>223</v>
      </c>
      <c r="C118" s="5"/>
      <c r="D118" s="5"/>
      <c r="E118" s="54"/>
      <c r="F118" s="54">
        <v>100000</v>
      </c>
      <c r="G118" s="5">
        <v>11111.111111111111</v>
      </c>
      <c r="H118" s="5">
        <v>4.0577828274630745</v>
      </c>
      <c r="I118" s="5">
        <v>4.6429118036449219E-3</v>
      </c>
      <c r="J118" s="5">
        <v>3.6888934795118854E-3</v>
      </c>
    </row>
    <row r="119" spans="2:10">
      <c r="B119" s="10"/>
      <c r="C119" s="9"/>
      <c r="D119" s="11"/>
      <c r="E119" s="8"/>
      <c r="F119" s="12"/>
      <c r="G119" s="8"/>
      <c r="H119" s="8"/>
      <c r="I119" s="8"/>
      <c r="J119" s="8"/>
    </row>
    <row r="120" spans="2:10">
      <c r="B120" s="46" t="s">
        <v>18</v>
      </c>
      <c r="C120" s="13"/>
      <c r="D120" s="13"/>
      <c r="E120" s="74" t="s">
        <v>134</v>
      </c>
      <c r="F120" s="48" t="s">
        <v>21</v>
      </c>
      <c r="G120" s="16" t="s">
        <v>182</v>
      </c>
      <c r="H120" s="17" t="s">
        <v>292</v>
      </c>
      <c r="I120" s="18" t="s">
        <v>262</v>
      </c>
      <c r="J120" s="18" t="s">
        <v>293</v>
      </c>
    </row>
    <row r="121" spans="2:10">
      <c r="B121" s="49" t="s">
        <v>33</v>
      </c>
      <c r="C121" s="75"/>
      <c r="D121" s="55">
        <v>0.02</v>
      </c>
      <c r="E121" s="20" t="s">
        <v>21</v>
      </c>
      <c r="F121" s="21">
        <v>197000</v>
      </c>
      <c r="G121" s="22">
        <v>21888.888888888891</v>
      </c>
      <c r="H121" s="23">
        <v>7.9938321701022561</v>
      </c>
      <c r="I121" s="24">
        <v>9.1465362531804959E-3</v>
      </c>
      <c r="J121" s="24">
        <v>7.2671201546384142E-3</v>
      </c>
    </row>
    <row r="122" spans="2:10">
      <c r="B122" s="49" t="s">
        <v>143</v>
      </c>
      <c r="C122" s="5"/>
      <c r="D122" s="76"/>
      <c r="E122" s="20" t="s">
        <v>21</v>
      </c>
      <c r="F122" s="21">
        <v>0</v>
      </c>
      <c r="G122" s="22">
        <v>0</v>
      </c>
      <c r="H122" s="23">
        <v>0</v>
      </c>
      <c r="I122" s="24">
        <v>0</v>
      </c>
      <c r="J122" s="24">
        <v>0</v>
      </c>
    </row>
    <row r="123" spans="2:10">
      <c r="B123" s="49" t="s">
        <v>99</v>
      </c>
      <c r="C123" s="5"/>
      <c r="D123" s="19"/>
      <c r="E123" s="20" t="s">
        <v>4981</v>
      </c>
      <c r="F123" s="21">
        <v>1620</v>
      </c>
      <c r="G123" s="22">
        <v>180</v>
      </c>
      <c r="H123" s="23">
        <v>6.57360818049018E-2</v>
      </c>
      <c r="I123" s="24">
        <v>7.5215171219047733E-5</v>
      </c>
      <c r="J123" s="24">
        <v>5.9760074368092546E-5</v>
      </c>
    </row>
    <row r="124" spans="2:10">
      <c r="B124" s="49" t="s">
        <v>96</v>
      </c>
      <c r="C124" s="5"/>
      <c r="D124" s="19"/>
      <c r="E124" s="20" t="s">
        <v>4981</v>
      </c>
      <c r="F124" s="21">
        <v>9000</v>
      </c>
      <c r="G124" s="22">
        <v>1000</v>
      </c>
      <c r="H124" s="23">
        <v>0.36520045447167665</v>
      </c>
      <c r="I124" s="24">
        <v>4.1786206232804297E-4</v>
      </c>
      <c r="J124" s="24">
        <v>3.3200041315606968E-4</v>
      </c>
    </row>
    <row r="125" spans="2:10">
      <c r="B125" s="49" t="s">
        <v>5120</v>
      </c>
      <c r="C125" s="5"/>
      <c r="D125" s="19"/>
      <c r="E125" s="20" t="s">
        <v>4981</v>
      </c>
      <c r="F125" s="21">
        <v>18000</v>
      </c>
      <c r="G125" s="22">
        <v>2000</v>
      </c>
      <c r="H125" s="23">
        <v>0.7304009089433533</v>
      </c>
      <c r="I125" s="24">
        <v>8.3572412465608595E-4</v>
      </c>
      <c r="J125" s="24">
        <v>6.6400082631213936E-4</v>
      </c>
    </row>
    <row r="126" spans="2:10">
      <c r="B126" s="49" t="s">
        <v>97</v>
      </c>
      <c r="C126" s="5"/>
      <c r="D126" s="19"/>
      <c r="E126" s="20" t="s">
        <v>4981</v>
      </c>
      <c r="F126" s="21">
        <v>9000</v>
      </c>
      <c r="G126" s="22">
        <v>1000</v>
      </c>
      <c r="H126" s="23">
        <v>0.36520045447167665</v>
      </c>
      <c r="I126" s="24">
        <v>4.1786206232804297E-4</v>
      </c>
      <c r="J126" s="24">
        <v>3.3200041315606968E-4</v>
      </c>
    </row>
    <row r="127" spans="2:10">
      <c r="B127" s="5" t="s">
        <v>98</v>
      </c>
      <c r="C127" s="5"/>
      <c r="D127" s="19"/>
      <c r="E127" s="20" t="s">
        <v>4981</v>
      </c>
      <c r="F127" s="21">
        <v>9000</v>
      </c>
      <c r="G127" s="22">
        <v>1000</v>
      </c>
      <c r="H127" s="23">
        <v>0.36520045447167665</v>
      </c>
      <c r="I127" s="24">
        <v>4.1786206232804297E-4</v>
      </c>
      <c r="J127" s="24">
        <v>3.3200041315606968E-4</v>
      </c>
    </row>
    <row r="128" spans="2:10">
      <c r="B128" s="5" t="s">
        <v>27</v>
      </c>
      <c r="C128" s="5"/>
      <c r="D128" s="19"/>
      <c r="E128" s="20" t="s">
        <v>21</v>
      </c>
      <c r="F128" s="21">
        <v>0</v>
      </c>
      <c r="G128" s="22">
        <v>0</v>
      </c>
      <c r="H128" s="23">
        <v>0</v>
      </c>
      <c r="I128" s="24">
        <v>0</v>
      </c>
      <c r="J128" s="24">
        <v>0</v>
      </c>
    </row>
    <row r="129" spans="2:10">
      <c r="B129" s="5" t="s">
        <v>540</v>
      </c>
      <c r="C129" s="5">
        <v>2.3E-2</v>
      </c>
      <c r="D129" s="19">
        <v>1734</v>
      </c>
      <c r="E129" s="20" t="s">
        <v>4981</v>
      </c>
      <c r="F129" s="21">
        <v>13500</v>
      </c>
      <c r="G129" s="22">
        <v>1500</v>
      </c>
      <c r="H129" s="23">
        <v>0.54780068170751506</v>
      </c>
      <c r="I129" s="24">
        <v>6.2679309349206451E-4</v>
      </c>
      <c r="J129" s="24">
        <v>4.980006197341046E-4</v>
      </c>
    </row>
    <row r="130" spans="2:10">
      <c r="B130" s="5" t="s">
        <v>541</v>
      </c>
      <c r="C130" s="5">
        <v>2.3E-2</v>
      </c>
      <c r="D130" s="19">
        <v>1685</v>
      </c>
      <c r="E130" s="20" t="s">
        <v>4981</v>
      </c>
      <c r="F130" s="21">
        <v>13500</v>
      </c>
      <c r="G130" s="22">
        <v>1500</v>
      </c>
      <c r="H130" s="23">
        <v>0.54780068170751506</v>
      </c>
      <c r="I130" s="24">
        <v>6.2679309349206451E-4</v>
      </c>
      <c r="J130" s="24">
        <v>4.980006197341046E-4</v>
      </c>
    </row>
    <row r="131" spans="2:10">
      <c r="B131" s="5" t="s">
        <v>542</v>
      </c>
      <c r="C131" s="5">
        <v>3.0000000000000001E-3</v>
      </c>
      <c r="D131" s="19">
        <v>2592</v>
      </c>
      <c r="E131" s="20" t="s">
        <v>4981</v>
      </c>
      <c r="F131" s="21">
        <v>4500</v>
      </c>
      <c r="G131" s="22">
        <v>500</v>
      </c>
      <c r="H131" s="23">
        <v>0.18260022723583832</v>
      </c>
      <c r="I131" s="24">
        <v>2.0893103116402149E-4</v>
      </c>
      <c r="J131" s="24">
        <v>1.6600020657803484E-4</v>
      </c>
    </row>
    <row r="132" spans="2:10">
      <c r="B132" s="5" t="s">
        <v>543</v>
      </c>
      <c r="C132" s="5">
        <v>3.0000000000000001E-3</v>
      </c>
      <c r="D132" s="19">
        <v>257</v>
      </c>
      <c r="E132" s="20" t="s">
        <v>4981</v>
      </c>
      <c r="F132" s="21">
        <v>2313</v>
      </c>
      <c r="G132" s="22">
        <v>257</v>
      </c>
      <c r="H132" s="23">
        <v>9.3856516799220913E-2</v>
      </c>
      <c r="I132" s="24">
        <v>1.0739055001830705E-4</v>
      </c>
      <c r="J132" s="24">
        <v>8.532410618110991E-5</v>
      </c>
    </row>
    <row r="133" spans="2:10">
      <c r="B133" s="5" t="s">
        <v>5000</v>
      </c>
      <c r="C133" s="5">
        <v>3.0000000000000001E-3</v>
      </c>
      <c r="D133" s="19">
        <v>42</v>
      </c>
      <c r="E133" s="20" t="s">
        <v>4981</v>
      </c>
      <c r="F133" s="21">
        <v>0</v>
      </c>
      <c r="G133" s="22">
        <v>0</v>
      </c>
      <c r="H133" s="23">
        <v>0</v>
      </c>
      <c r="I133" s="24">
        <v>0</v>
      </c>
      <c r="J133" s="24">
        <v>0</v>
      </c>
    </row>
    <row r="134" spans="2:10">
      <c r="B134" s="5" t="s">
        <v>5000</v>
      </c>
      <c r="C134" s="5">
        <v>3.0000000000000001E-3</v>
      </c>
      <c r="D134" s="19">
        <v>955.35</v>
      </c>
      <c r="E134" s="20" t="s">
        <v>4981</v>
      </c>
      <c r="F134" s="21">
        <v>0</v>
      </c>
      <c r="G134" s="22">
        <v>0</v>
      </c>
      <c r="H134" s="23">
        <v>0</v>
      </c>
      <c r="I134" s="24">
        <v>0</v>
      </c>
      <c r="J134" s="24">
        <v>0</v>
      </c>
    </row>
    <row r="135" spans="2:10">
      <c r="B135" s="5" t="s">
        <v>296</v>
      </c>
      <c r="C135" s="5">
        <v>3.0000000000000001E-3</v>
      </c>
      <c r="D135" s="19">
        <v>221.85</v>
      </c>
      <c r="E135" s="20" t="s">
        <v>4981</v>
      </c>
      <c r="F135" s="21">
        <v>1996.6499999999999</v>
      </c>
      <c r="G135" s="22">
        <v>221.85</v>
      </c>
      <c r="H135" s="23">
        <v>8.1019720824541466E-2</v>
      </c>
      <c r="I135" s="24">
        <v>9.2702698527476334E-5</v>
      </c>
      <c r="J135" s="24">
        <v>7.3654291658674056E-5</v>
      </c>
    </row>
    <row r="136" spans="2:10">
      <c r="B136" s="77" t="s">
        <v>296</v>
      </c>
      <c r="C136" s="28">
        <v>3.0000000000000001E-3</v>
      </c>
      <c r="D136" s="43">
        <v>581</v>
      </c>
      <c r="E136" s="42" t="s">
        <v>4981</v>
      </c>
      <c r="F136" s="30">
        <v>3198.9214285714352</v>
      </c>
      <c r="G136" s="31">
        <v>355.43571428571499</v>
      </c>
      <c r="H136" s="32">
        <v>0.12980528439260813</v>
      </c>
      <c r="I136" s="33">
        <v>1.4852310059646992E-4</v>
      </c>
      <c r="J136" s="33">
        <v>1.1800480399328013E-4</v>
      </c>
    </row>
    <row r="137" spans="2:10">
      <c r="B137" s="10" t="s">
        <v>71</v>
      </c>
      <c r="C137" s="10"/>
      <c r="D137" s="10"/>
      <c r="E137" s="36"/>
      <c r="F137" s="37">
        <v>282628.57142857148</v>
      </c>
      <c r="G137" s="37">
        <v>31403.174603174608</v>
      </c>
      <c r="H137" s="78">
        <v>11.468453636932782</v>
      </c>
      <c r="I137" s="38">
        <v>1.3122195303330164E-2</v>
      </c>
      <c r="J137" s="38">
        <v>1.0425866942666166E-2</v>
      </c>
    </row>
    <row r="138" spans="2:10">
      <c r="B138" s="10"/>
      <c r="C138" s="9"/>
      <c r="D138" s="11"/>
      <c r="E138" s="8"/>
      <c r="F138" s="12"/>
      <c r="G138" s="8"/>
      <c r="H138" s="8"/>
      <c r="I138" s="8"/>
      <c r="J138" s="8"/>
    </row>
    <row r="139" spans="2:10">
      <c r="B139" s="13" t="s">
        <v>299</v>
      </c>
      <c r="C139" s="13"/>
      <c r="D139" s="79" t="s">
        <v>419</v>
      </c>
      <c r="E139" s="15" t="s">
        <v>134</v>
      </c>
      <c r="F139" s="48" t="s">
        <v>21</v>
      </c>
      <c r="G139" s="16" t="s">
        <v>182</v>
      </c>
      <c r="H139" s="17" t="s">
        <v>292</v>
      </c>
      <c r="I139" s="18" t="s">
        <v>262</v>
      </c>
      <c r="J139" s="18" t="s">
        <v>293</v>
      </c>
    </row>
    <row r="140" spans="2:10">
      <c r="B140" s="5" t="s">
        <v>257</v>
      </c>
      <c r="C140" s="5"/>
      <c r="D140" s="80">
        <v>1.05</v>
      </c>
      <c r="E140" s="20" t="s">
        <v>21</v>
      </c>
      <c r="F140" s="21">
        <v>43989.540000000008</v>
      </c>
      <c r="G140" s="22">
        <v>4887.7266666666674</v>
      </c>
      <c r="H140" s="23">
        <v>1.7850000000000004</v>
      </c>
      <c r="I140" s="24">
        <v>2.042395545029105E-3</v>
      </c>
      <c r="J140" s="24">
        <v>1.6227272727272731E-3</v>
      </c>
    </row>
    <row r="141" spans="2:10">
      <c r="B141" s="5" t="s">
        <v>100</v>
      </c>
      <c r="C141" s="5"/>
      <c r="D141" s="80"/>
      <c r="E141" s="20" t="s">
        <v>21</v>
      </c>
      <c r="F141" s="21">
        <v>50000</v>
      </c>
      <c r="G141" s="22">
        <v>5555.5555555555557</v>
      </c>
      <c r="H141" s="23">
        <v>2.0288914137315373</v>
      </c>
      <c r="I141" s="24">
        <v>2.3214559018224609E-3</v>
      </c>
      <c r="J141" s="24">
        <v>1.8444467397559427E-3</v>
      </c>
    </row>
    <row r="142" spans="2:10">
      <c r="B142" s="5" t="s">
        <v>101</v>
      </c>
      <c r="C142" s="5"/>
      <c r="D142" s="80"/>
      <c r="E142" s="20" t="s">
        <v>21</v>
      </c>
      <c r="F142" s="21">
        <v>44498</v>
      </c>
      <c r="G142" s="22">
        <v>4944.2222222222226</v>
      </c>
      <c r="H142" s="23">
        <v>1.8056322025645188</v>
      </c>
      <c r="I142" s="24">
        <v>2.0660028943859173E-3</v>
      </c>
      <c r="J142" s="24">
        <v>1.6414838205131988E-3</v>
      </c>
    </row>
    <row r="143" spans="2:10">
      <c r="B143" s="5" t="s">
        <v>35</v>
      </c>
      <c r="C143" s="5"/>
      <c r="D143" s="41"/>
      <c r="E143" s="20" t="s">
        <v>21</v>
      </c>
      <c r="F143" s="21">
        <v>0</v>
      </c>
      <c r="G143" s="22">
        <v>0</v>
      </c>
      <c r="H143" s="23">
        <v>0</v>
      </c>
      <c r="I143" s="24">
        <v>0</v>
      </c>
      <c r="J143" s="24">
        <v>0</v>
      </c>
    </row>
    <row r="144" spans="2:10">
      <c r="B144" s="5" t="s">
        <v>27</v>
      </c>
      <c r="C144" s="5"/>
      <c r="D144" s="41"/>
      <c r="E144" s="20" t="s">
        <v>21</v>
      </c>
      <c r="F144" s="21">
        <v>0</v>
      </c>
      <c r="G144" s="22">
        <v>0</v>
      </c>
      <c r="H144" s="23">
        <v>0</v>
      </c>
      <c r="I144" s="24">
        <v>0</v>
      </c>
      <c r="J144" s="24">
        <v>0</v>
      </c>
    </row>
    <row r="145" spans="2:10">
      <c r="B145" s="5" t="s">
        <v>5001</v>
      </c>
      <c r="C145" s="5"/>
      <c r="D145" s="41"/>
      <c r="E145" s="20" t="s">
        <v>21</v>
      </c>
      <c r="F145" s="21">
        <v>0</v>
      </c>
      <c r="G145" s="22">
        <v>0</v>
      </c>
      <c r="H145" s="23">
        <v>0</v>
      </c>
      <c r="I145" s="24">
        <v>0</v>
      </c>
      <c r="J145" s="24">
        <v>0</v>
      </c>
    </row>
    <row r="146" spans="2:10">
      <c r="B146" s="5" t="s">
        <v>5001</v>
      </c>
      <c r="C146" s="5"/>
      <c r="D146" s="41"/>
      <c r="E146" s="20" t="s">
        <v>21</v>
      </c>
      <c r="F146" s="21">
        <v>0</v>
      </c>
      <c r="G146" s="22">
        <v>0</v>
      </c>
      <c r="H146" s="23">
        <v>0</v>
      </c>
      <c r="I146" s="24">
        <v>0</v>
      </c>
      <c r="J146" s="24">
        <v>0</v>
      </c>
    </row>
    <row r="147" spans="2:10">
      <c r="B147" s="5" t="s">
        <v>5001</v>
      </c>
      <c r="C147" s="5"/>
      <c r="D147" s="41"/>
      <c r="E147" s="20" t="s">
        <v>21</v>
      </c>
      <c r="F147" s="21">
        <v>0</v>
      </c>
      <c r="G147" s="22">
        <v>0</v>
      </c>
      <c r="H147" s="23">
        <v>0</v>
      </c>
      <c r="I147" s="24">
        <v>0</v>
      </c>
      <c r="J147" s="24">
        <v>0</v>
      </c>
    </row>
    <row r="148" spans="2:10">
      <c r="B148" s="5" t="s">
        <v>5121</v>
      </c>
      <c r="C148" s="5"/>
      <c r="D148" s="41"/>
      <c r="E148" s="20" t="s">
        <v>21</v>
      </c>
      <c r="F148" s="21"/>
      <c r="G148" s="22">
        <v>0</v>
      </c>
      <c r="H148" s="23">
        <v>0</v>
      </c>
      <c r="I148" s="24">
        <v>0</v>
      </c>
      <c r="J148" s="24">
        <v>0</v>
      </c>
    </row>
    <row r="149" spans="2:10">
      <c r="B149" s="28" t="s">
        <v>5122</v>
      </c>
      <c r="C149" s="42"/>
      <c r="D149" s="43"/>
      <c r="E149" s="42" t="s">
        <v>21</v>
      </c>
      <c r="F149" s="30"/>
      <c r="G149" s="31">
        <v>0</v>
      </c>
      <c r="H149" s="32">
        <v>0</v>
      </c>
      <c r="I149" s="33">
        <v>0</v>
      </c>
      <c r="J149" s="33">
        <v>0</v>
      </c>
    </row>
    <row r="150" spans="2:10">
      <c r="B150" s="10" t="s">
        <v>300</v>
      </c>
      <c r="C150" s="10"/>
      <c r="D150" s="10"/>
      <c r="E150" s="10"/>
      <c r="F150" s="37">
        <v>138487.54</v>
      </c>
      <c r="G150" s="37">
        <v>15387.504444444445</v>
      </c>
      <c r="H150" s="10">
        <v>5.619523616296056</v>
      </c>
      <c r="I150" s="38">
        <v>6.4298543412374832E-3</v>
      </c>
      <c r="J150" s="38">
        <v>5.1086578329964149E-3</v>
      </c>
    </row>
    <row r="151" spans="2:10">
      <c r="B151" s="10"/>
      <c r="C151" s="9"/>
      <c r="D151" s="11"/>
      <c r="E151" s="8"/>
      <c r="F151" s="12"/>
      <c r="G151" s="8"/>
      <c r="H151" s="8"/>
      <c r="I151" s="8"/>
      <c r="J151" s="8"/>
    </row>
    <row r="152" spans="2:10">
      <c r="B152" s="81" t="s">
        <v>301</v>
      </c>
      <c r="C152" s="81"/>
      <c r="D152" s="82"/>
      <c r="E152" s="83" t="s">
        <v>134</v>
      </c>
      <c r="F152" s="84" t="s">
        <v>21</v>
      </c>
      <c r="G152" s="85" t="s">
        <v>182</v>
      </c>
      <c r="H152" s="86" t="s">
        <v>292</v>
      </c>
      <c r="I152" s="87" t="s">
        <v>262</v>
      </c>
      <c r="J152" s="87" t="s">
        <v>293</v>
      </c>
    </row>
    <row r="153" spans="2:10">
      <c r="B153" s="5" t="s">
        <v>258</v>
      </c>
      <c r="C153" s="5"/>
      <c r="D153" s="19"/>
      <c r="E153" s="20" t="s">
        <v>21</v>
      </c>
      <c r="F153" s="21">
        <v>50000</v>
      </c>
      <c r="G153" s="22">
        <v>5555.5555555555557</v>
      </c>
      <c r="H153" s="23">
        <v>2.0288914137315373</v>
      </c>
      <c r="I153" s="24">
        <v>2.3214559018224609E-3</v>
      </c>
      <c r="J153" s="24">
        <v>1.8444467397559427E-3</v>
      </c>
    </row>
    <row r="154" spans="2:10">
      <c r="B154" s="5" t="s">
        <v>5001</v>
      </c>
      <c r="C154" s="5"/>
      <c r="D154" s="19"/>
      <c r="E154" s="20" t="s">
        <v>21</v>
      </c>
      <c r="F154" s="21">
        <v>0</v>
      </c>
      <c r="G154" s="22">
        <v>0</v>
      </c>
      <c r="H154" s="23">
        <v>0</v>
      </c>
      <c r="I154" s="24">
        <v>0</v>
      </c>
      <c r="J154" s="24">
        <v>0</v>
      </c>
    </row>
    <row r="155" spans="2:10">
      <c r="B155" s="5" t="s">
        <v>5001</v>
      </c>
      <c r="C155" s="5"/>
      <c r="D155" s="19"/>
      <c r="E155" s="20" t="s">
        <v>21</v>
      </c>
      <c r="F155" s="21">
        <v>0</v>
      </c>
      <c r="G155" s="22">
        <v>0</v>
      </c>
      <c r="H155" s="23">
        <v>0</v>
      </c>
      <c r="I155" s="24">
        <v>0</v>
      </c>
      <c r="J155" s="24">
        <v>0</v>
      </c>
    </row>
    <row r="156" spans="2:10">
      <c r="B156" s="28" t="s">
        <v>296</v>
      </c>
      <c r="C156" s="42"/>
      <c r="D156" s="43"/>
      <c r="E156" s="88" t="s">
        <v>21</v>
      </c>
      <c r="F156" s="89">
        <v>0</v>
      </c>
      <c r="G156" s="31">
        <v>0</v>
      </c>
      <c r="H156" s="32">
        <v>0</v>
      </c>
      <c r="I156" s="33">
        <v>0</v>
      </c>
      <c r="J156" s="33">
        <v>0</v>
      </c>
    </row>
    <row r="157" spans="2:10">
      <c r="B157" s="10" t="s">
        <v>227</v>
      </c>
      <c r="C157" s="10"/>
      <c r="D157" s="5"/>
      <c r="E157" s="5"/>
      <c r="F157" s="37">
        <v>50000</v>
      </c>
      <c r="G157" s="37">
        <v>5555.5555555555557</v>
      </c>
      <c r="H157" s="78">
        <v>2.0288914137315373</v>
      </c>
      <c r="I157" s="38">
        <v>2.3214559018224609E-3</v>
      </c>
      <c r="J157" s="38">
        <v>1.8444467397559427E-3</v>
      </c>
    </row>
    <row r="158" spans="2:10">
      <c r="B158" s="10"/>
      <c r="C158" s="9"/>
      <c r="D158" s="11"/>
      <c r="E158" s="8"/>
      <c r="F158" s="12"/>
      <c r="G158" s="8"/>
      <c r="H158" s="8"/>
      <c r="I158" s="8"/>
      <c r="J158" s="8"/>
    </row>
    <row r="159" spans="2:10">
      <c r="B159" s="13" t="s">
        <v>26</v>
      </c>
      <c r="C159" s="13" t="s">
        <v>415</v>
      </c>
      <c r="D159" s="13" t="s">
        <v>414</v>
      </c>
      <c r="E159" s="74" t="s">
        <v>134</v>
      </c>
      <c r="F159" s="90" t="s">
        <v>21</v>
      </c>
      <c r="G159" s="16" t="s">
        <v>182</v>
      </c>
      <c r="H159" s="17" t="s">
        <v>292</v>
      </c>
      <c r="I159" s="18" t="s">
        <v>262</v>
      </c>
      <c r="J159" s="18" t="s">
        <v>293</v>
      </c>
    </row>
    <row r="160" spans="2:10">
      <c r="B160" s="5" t="s">
        <v>5003</v>
      </c>
      <c r="C160" s="91">
        <v>0.8</v>
      </c>
      <c r="D160" s="92">
        <v>0.04</v>
      </c>
      <c r="E160" s="93">
        <v>3.5000000000000003E-2</v>
      </c>
      <c r="F160" s="21">
        <v>286000</v>
      </c>
      <c r="G160" s="22">
        <v>31777.777777777777</v>
      </c>
      <c r="H160" s="23">
        <v>11.605258886544393</v>
      </c>
      <c r="I160" s="24">
        <v>1.3278727758424477E-2</v>
      </c>
      <c r="J160" s="24">
        <v>1.0550235351403993E-2</v>
      </c>
    </row>
    <row r="161" spans="2:10">
      <c r="B161" s="5" t="s">
        <v>5002</v>
      </c>
      <c r="C161" s="5"/>
      <c r="D161" s="92"/>
      <c r="E161" s="20" t="s">
        <v>21</v>
      </c>
      <c r="F161" s="21">
        <v>0</v>
      </c>
      <c r="G161" s="22">
        <v>0</v>
      </c>
      <c r="H161" s="23">
        <v>0</v>
      </c>
      <c r="I161" s="24">
        <v>0</v>
      </c>
      <c r="J161" s="24">
        <v>0</v>
      </c>
    </row>
    <row r="162" spans="2:10">
      <c r="B162" s="28" t="s">
        <v>5002</v>
      </c>
      <c r="C162" s="42"/>
      <c r="D162" s="43"/>
      <c r="E162" s="94" t="s">
        <v>21</v>
      </c>
      <c r="F162" s="89">
        <v>0</v>
      </c>
      <c r="G162" s="31">
        <v>0</v>
      </c>
      <c r="H162" s="32">
        <v>0</v>
      </c>
      <c r="I162" s="33">
        <v>0</v>
      </c>
      <c r="J162" s="33">
        <v>0</v>
      </c>
    </row>
    <row r="163" spans="2:10">
      <c r="B163" s="10" t="s">
        <v>222</v>
      </c>
      <c r="C163" s="10"/>
      <c r="D163" s="95"/>
      <c r="E163" s="96"/>
      <c r="F163" s="97">
        <v>286000</v>
      </c>
      <c r="G163" s="37">
        <v>31777.777777777777</v>
      </c>
      <c r="H163" s="78">
        <v>11.605258886544393</v>
      </c>
      <c r="I163" s="38">
        <v>1.3278727758424477E-2</v>
      </c>
      <c r="J163" s="38">
        <v>1.0550235351403993E-2</v>
      </c>
    </row>
    <row r="164" spans="2:10">
      <c r="B164" s="10"/>
      <c r="C164" s="9"/>
      <c r="D164" s="11"/>
      <c r="E164" s="8"/>
      <c r="F164" s="12"/>
      <c r="G164" s="8"/>
      <c r="H164" s="8"/>
      <c r="I164" s="8"/>
      <c r="J164" s="8"/>
    </row>
    <row r="165" spans="2:10">
      <c r="B165" s="13" t="s">
        <v>29</v>
      </c>
      <c r="C165" s="13"/>
      <c r="D165" s="47"/>
      <c r="E165" s="15" t="s">
        <v>134</v>
      </c>
      <c r="F165" s="48" t="s">
        <v>21</v>
      </c>
      <c r="G165" s="16" t="s">
        <v>182</v>
      </c>
      <c r="H165" s="17" t="s">
        <v>292</v>
      </c>
      <c r="I165" s="18" t="s">
        <v>262</v>
      </c>
      <c r="J165" s="18" t="s">
        <v>293</v>
      </c>
    </row>
    <row r="166" spans="2:10">
      <c r="B166" s="5" t="s">
        <v>5004</v>
      </c>
      <c r="C166" s="5"/>
      <c r="D166" s="41"/>
      <c r="E166" s="20" t="s">
        <v>21</v>
      </c>
      <c r="F166" s="21">
        <v>400000</v>
      </c>
      <c r="G166" s="22">
        <v>44444.444444444445</v>
      </c>
      <c r="H166" s="23">
        <v>16.231131309852298</v>
      </c>
      <c r="I166" s="24">
        <v>1.8571647214579688E-2</v>
      </c>
      <c r="J166" s="24">
        <v>1.4755573918047542E-2</v>
      </c>
    </row>
    <row r="167" spans="2:10">
      <c r="B167" s="5" t="s">
        <v>3867</v>
      </c>
      <c r="C167" s="5"/>
      <c r="D167" s="41"/>
      <c r="E167" s="20" t="s">
        <v>21</v>
      </c>
      <c r="F167" s="21">
        <v>0</v>
      </c>
      <c r="G167" s="22">
        <v>0</v>
      </c>
      <c r="H167" s="23">
        <v>0</v>
      </c>
      <c r="I167" s="24">
        <v>0</v>
      </c>
      <c r="J167" s="24">
        <v>0</v>
      </c>
    </row>
    <row r="168" spans="2:10">
      <c r="B168" s="5" t="s">
        <v>3869</v>
      </c>
      <c r="C168" s="5"/>
      <c r="D168" s="41"/>
      <c r="E168" s="20" t="s">
        <v>21</v>
      </c>
      <c r="F168" s="21">
        <v>0</v>
      </c>
      <c r="G168" s="22">
        <v>0</v>
      </c>
      <c r="H168" s="23">
        <v>0</v>
      </c>
      <c r="I168" s="24">
        <v>0</v>
      </c>
      <c r="J168" s="24">
        <v>0</v>
      </c>
    </row>
    <row r="169" spans="2:10">
      <c r="B169" s="5" t="s">
        <v>3871</v>
      </c>
      <c r="C169" s="5"/>
      <c r="D169" s="41"/>
      <c r="E169" s="20" t="s">
        <v>21</v>
      </c>
      <c r="F169" s="21">
        <v>0</v>
      </c>
      <c r="G169" s="22">
        <v>0</v>
      </c>
      <c r="H169" s="23">
        <v>0</v>
      </c>
      <c r="I169" s="24">
        <v>0</v>
      </c>
      <c r="J169" s="24">
        <v>0</v>
      </c>
    </row>
    <row r="170" spans="2:10">
      <c r="B170" s="28" t="s">
        <v>3865</v>
      </c>
      <c r="C170" s="28"/>
      <c r="D170" s="98"/>
      <c r="E170" s="42" t="s">
        <v>21</v>
      </c>
      <c r="F170" s="30">
        <v>0</v>
      </c>
      <c r="G170" s="31">
        <v>0</v>
      </c>
      <c r="H170" s="32">
        <v>0</v>
      </c>
      <c r="I170" s="33">
        <v>0</v>
      </c>
      <c r="J170" s="33">
        <v>0</v>
      </c>
    </row>
    <row r="171" spans="2:10">
      <c r="B171" s="10" t="s">
        <v>228</v>
      </c>
      <c r="C171" s="20"/>
      <c r="D171" s="5"/>
      <c r="E171" s="36"/>
      <c r="F171" s="62">
        <v>400000</v>
      </c>
      <c r="G171" s="52">
        <v>44444.444444444445</v>
      </c>
      <c r="H171" s="53">
        <v>16.231131309852298</v>
      </c>
      <c r="I171" s="38">
        <v>1.8571647214579688E-2</v>
      </c>
      <c r="J171" s="38">
        <v>1.4755573918047542E-2</v>
      </c>
    </row>
    <row r="172" spans="2:10">
      <c r="B172" s="10"/>
      <c r="C172" s="9"/>
      <c r="D172" s="11"/>
      <c r="E172" s="8"/>
      <c r="F172" s="12"/>
      <c r="G172" s="8"/>
      <c r="H172" s="8"/>
      <c r="I172" s="8"/>
      <c r="J172" s="8"/>
    </row>
    <row r="173" spans="2:10">
      <c r="B173" s="13" t="s">
        <v>216</v>
      </c>
      <c r="C173" s="13"/>
      <c r="D173" s="99"/>
      <c r="E173" s="15" t="s">
        <v>134</v>
      </c>
      <c r="F173" s="48" t="s">
        <v>21</v>
      </c>
      <c r="G173" s="16" t="s">
        <v>182</v>
      </c>
      <c r="H173" s="17" t="s">
        <v>292</v>
      </c>
      <c r="I173" s="18" t="s">
        <v>262</v>
      </c>
      <c r="J173" s="18" t="s">
        <v>293</v>
      </c>
    </row>
    <row r="174" spans="2:10">
      <c r="B174" s="5" t="s">
        <v>5023</v>
      </c>
      <c r="C174" s="5"/>
      <c r="D174" s="92"/>
      <c r="E174" s="20" t="s">
        <v>21</v>
      </c>
      <c r="F174" s="21">
        <v>15000</v>
      </c>
      <c r="G174" s="22">
        <v>1666.6666666666667</v>
      </c>
      <c r="H174" s="23">
        <v>0.60866742411946118</v>
      </c>
      <c r="I174" s="24">
        <v>6.9643677054673832E-4</v>
      </c>
      <c r="J174" s="24">
        <v>5.5333402192678282E-4</v>
      </c>
    </row>
    <row r="175" spans="2:10">
      <c r="B175" s="5" t="s">
        <v>639</v>
      </c>
      <c r="C175" s="5"/>
      <c r="D175" s="92"/>
      <c r="E175" s="20" t="s">
        <v>21</v>
      </c>
      <c r="F175" s="21">
        <v>50000</v>
      </c>
      <c r="G175" s="22">
        <v>5555.5555555555557</v>
      </c>
      <c r="H175" s="23">
        <v>2.0288914137315373</v>
      </c>
      <c r="I175" s="24">
        <v>2.3214559018224609E-3</v>
      </c>
      <c r="J175" s="24">
        <v>1.8444467397559427E-3</v>
      </c>
    </row>
    <row r="176" spans="2:10">
      <c r="B176" s="5" t="s">
        <v>488</v>
      </c>
      <c r="C176" s="5"/>
      <c r="D176" s="80"/>
      <c r="E176" s="20" t="s">
        <v>21</v>
      </c>
      <c r="F176" s="21">
        <v>0</v>
      </c>
      <c r="G176" s="22">
        <v>0</v>
      </c>
      <c r="H176" s="23">
        <v>0</v>
      </c>
      <c r="I176" s="24">
        <v>0</v>
      </c>
      <c r="J176" s="24">
        <v>0</v>
      </c>
    </row>
    <row r="177" spans="2:10">
      <c r="B177" s="5" t="s">
        <v>640</v>
      </c>
      <c r="C177" s="5"/>
      <c r="D177" s="80"/>
      <c r="E177" s="100"/>
      <c r="F177" s="21">
        <v>44938.643534282841</v>
      </c>
      <c r="G177" s="22">
        <v>4993.1826149203152</v>
      </c>
      <c r="H177" s="23">
        <v>1.8235125602289741</v>
      </c>
      <c r="I177" s="24">
        <v>2.0864615850511338E-3</v>
      </c>
      <c r="J177" s="24">
        <v>1.6577386911172493E-3</v>
      </c>
    </row>
    <row r="178" spans="2:10">
      <c r="B178" s="5" t="s">
        <v>641</v>
      </c>
      <c r="C178" s="5"/>
      <c r="D178" s="80"/>
      <c r="E178" s="100">
        <v>0.01</v>
      </c>
      <c r="F178" s="21">
        <v>21750</v>
      </c>
      <c r="G178" s="22">
        <v>2416.6666666666665</v>
      </c>
      <c r="H178" s="23">
        <v>0.88256776497321865</v>
      </c>
      <c r="I178" s="24">
        <v>1.0098333172927705E-3</v>
      </c>
      <c r="J178" s="24">
        <v>8.0233433179383517E-4</v>
      </c>
    </row>
    <row r="179" spans="2:10">
      <c r="B179" s="5" t="s">
        <v>642</v>
      </c>
      <c r="C179" s="5"/>
      <c r="D179" s="80"/>
      <c r="E179" s="100">
        <v>3.5000000000000001E-3</v>
      </c>
      <c r="F179" s="21">
        <v>7612.5</v>
      </c>
      <c r="G179" s="22">
        <v>845.83333333333337</v>
      </c>
      <c r="H179" s="23">
        <v>0.30889871774062649</v>
      </c>
      <c r="I179" s="24">
        <v>3.5344166105246967E-4</v>
      </c>
      <c r="J179" s="24">
        <v>2.8081701612784227E-4</v>
      </c>
    </row>
    <row r="180" spans="2:10">
      <c r="B180" s="5" t="s">
        <v>643</v>
      </c>
      <c r="C180" s="5"/>
      <c r="D180" s="80"/>
      <c r="E180" s="100">
        <v>2E-3</v>
      </c>
      <c r="F180" s="21">
        <v>4350</v>
      </c>
      <c r="G180" s="22">
        <v>483.33333333333331</v>
      </c>
      <c r="H180" s="23">
        <v>0.17651355299464372</v>
      </c>
      <c r="I180" s="24">
        <v>2.0196666345855411E-4</v>
      </c>
      <c r="J180" s="24">
        <v>1.6046686635876701E-4</v>
      </c>
    </row>
    <row r="181" spans="2:10">
      <c r="B181" s="5" t="s">
        <v>305</v>
      </c>
      <c r="C181" s="5"/>
      <c r="D181" s="80"/>
      <c r="E181" s="100" t="s">
        <v>21</v>
      </c>
      <c r="F181" s="21">
        <v>0</v>
      </c>
      <c r="G181" s="22">
        <v>0</v>
      </c>
      <c r="H181" s="23">
        <v>0</v>
      </c>
      <c r="I181" s="24">
        <v>0</v>
      </c>
      <c r="J181" s="24">
        <v>0</v>
      </c>
    </row>
    <row r="182" spans="2:10">
      <c r="B182" s="5" t="s">
        <v>307</v>
      </c>
      <c r="C182" s="5"/>
      <c r="D182" s="80"/>
      <c r="E182" s="100" t="s">
        <v>21</v>
      </c>
      <c r="F182" s="21">
        <v>0</v>
      </c>
      <c r="G182" s="22">
        <v>0</v>
      </c>
      <c r="H182" s="23">
        <v>0</v>
      </c>
      <c r="I182" s="24">
        <v>0</v>
      </c>
      <c r="J182" s="24">
        <v>0</v>
      </c>
    </row>
    <row r="183" spans="2:10">
      <c r="B183" s="5" t="s">
        <v>5024</v>
      </c>
      <c r="C183" s="5"/>
      <c r="D183" s="92"/>
      <c r="E183" s="20">
        <v>5.0000000000000001E-3</v>
      </c>
      <c r="F183" s="21">
        <v>60269.068835707112</v>
      </c>
      <c r="G183" s="22">
        <v>6696.5632039674565</v>
      </c>
      <c r="H183" s="23">
        <v>2.4455879254872226</v>
      </c>
      <c r="I183" s="24">
        <v>2.7982397109199289E-3</v>
      </c>
      <c r="J183" s="24">
        <v>2.2232617504429294E-3</v>
      </c>
    </row>
    <row r="184" spans="2:10">
      <c r="B184" s="5" t="s">
        <v>644</v>
      </c>
      <c r="C184" s="5"/>
      <c r="D184" s="92"/>
      <c r="E184" s="20">
        <v>3.5000000000000001E-3</v>
      </c>
      <c r="F184" s="21">
        <v>42188.348184994982</v>
      </c>
      <c r="G184" s="22">
        <v>4687.5942427772206</v>
      </c>
      <c r="H184" s="23">
        <v>1.7119115478410558</v>
      </c>
      <c r="I184" s="24">
        <v>1.9587677976439502E-3</v>
      </c>
      <c r="J184" s="24">
        <v>1.5562832253100509E-3</v>
      </c>
    </row>
    <row r="185" spans="2:10">
      <c r="B185" s="5" t="s">
        <v>645</v>
      </c>
      <c r="C185" s="5"/>
      <c r="D185" s="92"/>
      <c r="E185" s="20">
        <v>2E-3</v>
      </c>
      <c r="F185" s="21">
        <v>24107.627534282845</v>
      </c>
      <c r="G185" s="22">
        <v>2678.625281586983</v>
      </c>
      <c r="H185" s="23">
        <v>0.97823517019488904</v>
      </c>
      <c r="I185" s="24">
        <v>1.1192958843679714E-3</v>
      </c>
      <c r="J185" s="24">
        <v>8.8930470017717183E-4</v>
      </c>
    </row>
    <row r="186" spans="2:10">
      <c r="B186" s="5" t="s">
        <v>306</v>
      </c>
      <c r="C186" s="5"/>
      <c r="D186" s="92"/>
      <c r="E186" s="20" t="s">
        <v>21</v>
      </c>
      <c r="F186" s="21">
        <v>5000</v>
      </c>
      <c r="G186" s="22">
        <v>555.55555555555554</v>
      </c>
      <c r="H186" s="23">
        <v>0.2028891413731537</v>
      </c>
      <c r="I186" s="24">
        <v>2.321455901822461E-4</v>
      </c>
      <c r="J186" s="24">
        <v>1.8444467397559427E-4</v>
      </c>
    </row>
    <row r="187" spans="2:10">
      <c r="B187" s="5" t="s">
        <v>521</v>
      </c>
      <c r="C187" s="5"/>
      <c r="D187" s="41">
        <v>0.01</v>
      </c>
      <c r="E187" s="20" t="s">
        <v>21</v>
      </c>
      <c r="F187" s="21">
        <v>0</v>
      </c>
      <c r="G187" s="22">
        <v>0</v>
      </c>
      <c r="H187" s="23">
        <v>0</v>
      </c>
      <c r="I187" s="24">
        <v>0</v>
      </c>
      <c r="J187" s="24">
        <v>0</v>
      </c>
    </row>
    <row r="188" spans="2:10">
      <c r="B188" s="5" t="s">
        <v>523</v>
      </c>
      <c r="C188" s="5"/>
      <c r="D188" s="41">
        <v>2500</v>
      </c>
      <c r="E188" s="20" t="s">
        <v>21</v>
      </c>
      <c r="F188" s="21">
        <v>15000</v>
      </c>
      <c r="G188" s="22">
        <v>1666.6666666666667</v>
      </c>
      <c r="H188" s="23">
        <v>0.60866742411946118</v>
      </c>
      <c r="I188" s="24">
        <v>6.9643677054673832E-4</v>
      </c>
      <c r="J188" s="24">
        <v>5.5333402192678282E-4</v>
      </c>
    </row>
    <row r="189" spans="2:10">
      <c r="B189" s="5" t="s">
        <v>534</v>
      </c>
      <c r="C189" s="5"/>
      <c r="D189" s="41">
        <v>2</v>
      </c>
      <c r="E189" s="20" t="s">
        <v>21</v>
      </c>
      <c r="F189" s="21">
        <v>20000</v>
      </c>
      <c r="G189" s="22">
        <v>2222.2222222222222</v>
      </c>
      <c r="H189" s="23">
        <v>0.81155656549261479</v>
      </c>
      <c r="I189" s="24">
        <v>9.285823607289844E-4</v>
      </c>
      <c r="J189" s="24">
        <v>7.3777869590237709E-4</v>
      </c>
    </row>
    <row r="190" spans="2:10">
      <c r="B190" s="5" t="s">
        <v>5009</v>
      </c>
      <c r="C190" s="5"/>
      <c r="D190" s="41"/>
      <c r="E190" s="20" t="s">
        <v>21</v>
      </c>
      <c r="F190" s="21">
        <v>0</v>
      </c>
      <c r="G190" s="22">
        <v>0</v>
      </c>
      <c r="H190" s="23">
        <v>0</v>
      </c>
      <c r="I190" s="24">
        <v>0</v>
      </c>
      <c r="J190" s="24">
        <v>0</v>
      </c>
    </row>
    <row r="191" spans="2:10">
      <c r="B191" s="5" t="s">
        <v>5009</v>
      </c>
      <c r="C191" s="5"/>
      <c r="D191" s="41">
        <v>0</v>
      </c>
      <c r="E191" s="20" t="s">
        <v>21</v>
      </c>
      <c r="F191" s="21">
        <v>0</v>
      </c>
      <c r="G191" s="22">
        <v>0</v>
      </c>
      <c r="H191" s="23">
        <v>0</v>
      </c>
      <c r="I191" s="24">
        <v>0</v>
      </c>
      <c r="J191" s="24">
        <v>0</v>
      </c>
    </row>
    <row r="192" spans="2:10">
      <c r="B192" s="5" t="s">
        <v>296</v>
      </c>
      <c r="C192" s="5"/>
      <c r="D192" s="41">
        <v>1.5E-3</v>
      </c>
      <c r="E192" s="20" t="s">
        <v>21</v>
      </c>
      <c r="F192" s="21">
        <v>18080.720650712134</v>
      </c>
      <c r="G192" s="22">
        <v>2008.968961190237</v>
      </c>
      <c r="H192" s="23">
        <v>0.73367637764616678</v>
      </c>
      <c r="I192" s="24">
        <v>8.3947191327597866E-4</v>
      </c>
      <c r="J192" s="24">
        <v>6.6697852513287884E-4</v>
      </c>
    </row>
    <row r="193" spans="2:10">
      <c r="B193" s="28" t="s">
        <v>478</v>
      </c>
      <c r="C193" s="42"/>
      <c r="D193" s="59"/>
      <c r="E193" s="42" t="s">
        <v>21</v>
      </c>
      <c r="F193" s="30">
        <v>18080.720650712134</v>
      </c>
      <c r="G193" s="31">
        <v>2008.968961190237</v>
      </c>
      <c r="H193" s="32">
        <v>0.73367637764616678</v>
      </c>
      <c r="I193" s="33">
        <v>8.3947191327597866E-4</v>
      </c>
      <c r="J193" s="33">
        <v>6.6697852513287884E-4</v>
      </c>
    </row>
    <row r="194" spans="2:10">
      <c r="B194" s="10" t="s">
        <v>72</v>
      </c>
      <c r="C194" s="10"/>
      <c r="D194" s="5"/>
      <c r="E194" s="5"/>
      <c r="F194" s="62">
        <v>346377.62939069205</v>
      </c>
      <c r="G194" s="52">
        <v>38486.403265632449</v>
      </c>
      <c r="H194" s="53">
        <v>14.055251963589193</v>
      </c>
      <c r="I194" s="38">
        <v>1.6082007840165904E-2</v>
      </c>
      <c r="J194" s="38">
        <v>1.2777501785081084E-2</v>
      </c>
    </row>
    <row r="195" spans="2:10">
      <c r="B195" s="10">
        <v>28200</v>
      </c>
      <c r="C195" s="9"/>
      <c r="D195" s="11"/>
      <c r="E195" s="8"/>
      <c r="F195" s="12"/>
      <c r="G195" s="8"/>
      <c r="H195" s="8"/>
      <c r="I195" s="8"/>
      <c r="J195" s="8"/>
    </row>
    <row r="196" spans="2:10">
      <c r="B196" s="13" t="s">
        <v>321</v>
      </c>
      <c r="C196" s="13"/>
      <c r="D196" s="47"/>
      <c r="E196" s="47" t="s">
        <v>134</v>
      </c>
      <c r="F196" s="48" t="s">
        <v>21</v>
      </c>
      <c r="G196" s="16" t="s">
        <v>182</v>
      </c>
      <c r="H196" s="17" t="s">
        <v>292</v>
      </c>
      <c r="I196" s="18" t="s">
        <v>262</v>
      </c>
      <c r="J196" s="18" t="s">
        <v>293</v>
      </c>
    </row>
    <row r="197" spans="2:10">
      <c r="B197" s="5" t="s">
        <v>302</v>
      </c>
      <c r="C197" s="5"/>
      <c r="D197" s="41"/>
      <c r="E197" s="41"/>
      <c r="F197" s="21">
        <v>388252.61441019975</v>
      </c>
      <c r="G197" s="22">
        <v>43139.179378911082</v>
      </c>
      <c r="H197" s="23">
        <v>15.754447914713511</v>
      </c>
      <c r="I197" s="24">
        <v>1.8026226462411171E-2</v>
      </c>
      <c r="J197" s="24">
        <v>1.4322225377012282E-2</v>
      </c>
    </row>
    <row r="198" spans="2:10">
      <c r="B198" s="5" t="s">
        <v>438</v>
      </c>
      <c r="C198" s="5"/>
      <c r="D198" s="41"/>
      <c r="E198" s="41"/>
      <c r="F198" s="21">
        <v>0</v>
      </c>
      <c r="G198" s="22">
        <v>0</v>
      </c>
      <c r="H198" s="23">
        <v>0</v>
      </c>
      <c r="I198" s="24">
        <v>0</v>
      </c>
      <c r="J198" s="24">
        <v>0</v>
      </c>
    </row>
    <row r="199" spans="2:10">
      <c r="B199" s="5" t="s">
        <v>303</v>
      </c>
      <c r="C199" s="5"/>
      <c r="D199" s="41"/>
      <c r="E199" s="41"/>
      <c r="F199" s="21">
        <v>1553406.3988143357</v>
      </c>
      <c r="G199" s="22">
        <v>172600.71097937063</v>
      </c>
      <c r="H199" s="23">
        <v>63.033858091800667</v>
      </c>
      <c r="I199" s="24">
        <v>7.2123289049126307E-2</v>
      </c>
      <c r="J199" s="24">
        <v>5.7303507356182427E-2</v>
      </c>
    </row>
    <row r="200" spans="2:10">
      <c r="B200" s="28" t="s">
        <v>304</v>
      </c>
      <c r="C200" s="42"/>
      <c r="D200" s="59"/>
      <c r="E200" s="101"/>
      <c r="F200" s="30">
        <v>24397.56</v>
      </c>
      <c r="G200" s="31">
        <v>2710.84</v>
      </c>
      <c r="H200" s="32">
        <v>0.9900000000000001</v>
      </c>
      <c r="I200" s="33">
        <v>1.1327571930413521E-3</v>
      </c>
      <c r="J200" s="33">
        <v>9.0000000000000008E-4</v>
      </c>
    </row>
    <row r="201" spans="2:10">
      <c r="B201" s="10" t="s">
        <v>446</v>
      </c>
      <c r="C201" s="10"/>
      <c r="D201" s="5"/>
      <c r="E201" s="5"/>
      <c r="F201" s="62">
        <v>1966056.5732245354</v>
      </c>
      <c r="G201" s="52">
        <v>218450.73035828173</v>
      </c>
      <c r="H201" s="53">
        <v>79.778306006514185</v>
      </c>
      <c r="I201" s="38">
        <v>9.1282272704578823E-2</v>
      </c>
      <c r="J201" s="38">
        <v>7.2525732733194709E-2</v>
      </c>
    </row>
    <row r="202" spans="2:10">
      <c r="B202" s="10"/>
      <c r="C202" s="9"/>
      <c r="D202" s="11"/>
      <c r="E202" s="8"/>
      <c r="F202" s="12"/>
      <c r="G202" s="8"/>
      <c r="H202" s="8"/>
      <c r="I202" s="8"/>
      <c r="J202" s="8"/>
    </row>
    <row r="203" spans="2:10">
      <c r="B203" s="13" t="s">
        <v>23</v>
      </c>
      <c r="C203" s="13"/>
      <c r="D203" s="47"/>
      <c r="E203" s="15" t="s">
        <v>134</v>
      </c>
      <c r="F203" s="48" t="s">
        <v>21</v>
      </c>
      <c r="G203" s="16" t="s">
        <v>182</v>
      </c>
      <c r="H203" s="17" t="s">
        <v>292</v>
      </c>
      <c r="I203" s="18" t="s">
        <v>262</v>
      </c>
      <c r="J203" s="18" t="s">
        <v>293</v>
      </c>
    </row>
    <row r="204" spans="2:10">
      <c r="B204" s="5" t="s">
        <v>487</v>
      </c>
      <c r="C204" s="5"/>
      <c r="D204" s="41"/>
      <c r="E204" s="20" t="s">
        <v>21</v>
      </c>
      <c r="F204" s="21">
        <v>42855</v>
      </c>
      <c r="G204" s="22">
        <v>4761.666666666667</v>
      </c>
      <c r="H204" s="23">
        <v>1.7389628307093004</v>
      </c>
      <c r="I204" s="24">
        <v>1.9897198534520313E-3</v>
      </c>
      <c r="J204" s="24">
        <v>1.5808753006448185E-3</v>
      </c>
    </row>
    <row r="205" spans="2:10">
      <c r="B205" s="5" t="s">
        <v>488</v>
      </c>
      <c r="C205" s="5"/>
      <c r="D205" s="41"/>
      <c r="E205" s="20" t="s">
        <v>21</v>
      </c>
      <c r="F205" s="21">
        <v>32145</v>
      </c>
      <c r="G205" s="22">
        <v>3571.6666666666665</v>
      </c>
      <c r="H205" s="23">
        <v>1.3043742898880053</v>
      </c>
      <c r="I205" s="24">
        <v>1.4924639992816603E-3</v>
      </c>
      <c r="J205" s="24">
        <v>1.1857948089890955E-3</v>
      </c>
    </row>
    <row r="206" spans="2:10">
      <c r="B206" s="5" t="s">
        <v>489</v>
      </c>
      <c r="C206" s="5"/>
      <c r="D206" s="41"/>
      <c r="E206" s="20" t="s">
        <v>21</v>
      </c>
      <c r="F206" s="21">
        <v>21435</v>
      </c>
      <c r="G206" s="22">
        <v>2381.6666666666665</v>
      </c>
      <c r="H206" s="23">
        <v>0.86978574906670991</v>
      </c>
      <c r="I206" s="24">
        <v>9.9520814511128912E-4</v>
      </c>
      <c r="J206" s="24">
        <v>7.9071431733337267E-4</v>
      </c>
    </row>
    <row r="207" spans="2:10">
      <c r="B207" s="5" t="s">
        <v>490</v>
      </c>
      <c r="C207" s="5"/>
      <c r="D207" s="76"/>
      <c r="E207" s="20" t="s">
        <v>21</v>
      </c>
      <c r="F207" s="21"/>
      <c r="G207" s="22">
        <v>0</v>
      </c>
      <c r="H207" s="23">
        <v>0</v>
      </c>
      <c r="I207" s="24">
        <v>0</v>
      </c>
      <c r="J207" s="24">
        <v>0</v>
      </c>
    </row>
    <row r="208" spans="2:10">
      <c r="B208" s="5" t="s">
        <v>491</v>
      </c>
      <c r="C208" s="5"/>
      <c r="D208" s="41"/>
      <c r="E208" s="20" t="s">
        <v>21</v>
      </c>
      <c r="F208" s="21"/>
      <c r="G208" s="22">
        <v>0</v>
      </c>
      <c r="H208" s="23">
        <v>0</v>
      </c>
      <c r="I208" s="24">
        <v>0</v>
      </c>
      <c r="J208" s="24">
        <v>0</v>
      </c>
    </row>
    <row r="209" spans="2:10">
      <c r="B209" s="5" t="s">
        <v>492</v>
      </c>
      <c r="C209" s="5"/>
      <c r="D209" s="41"/>
      <c r="E209" s="20" t="s">
        <v>21</v>
      </c>
      <c r="F209" s="21"/>
      <c r="G209" s="22">
        <v>0</v>
      </c>
      <c r="H209" s="23">
        <v>0</v>
      </c>
      <c r="I209" s="24">
        <v>0</v>
      </c>
      <c r="J209" s="24">
        <v>0</v>
      </c>
    </row>
    <row r="210" spans="2:10">
      <c r="B210" s="5" t="s">
        <v>479</v>
      </c>
      <c r="C210" s="5"/>
      <c r="D210" s="41"/>
      <c r="E210" s="20" t="s">
        <v>21</v>
      </c>
      <c r="F210" s="21">
        <v>0</v>
      </c>
      <c r="G210" s="22">
        <v>0</v>
      </c>
      <c r="H210" s="23">
        <v>0</v>
      </c>
      <c r="I210" s="24">
        <v>0</v>
      </c>
      <c r="J210" s="24">
        <v>0</v>
      </c>
    </row>
    <row r="211" spans="2:10">
      <c r="B211" s="5" t="s">
        <v>480</v>
      </c>
      <c r="C211" s="5"/>
      <c r="D211" s="41"/>
      <c r="E211" s="20" t="s">
        <v>21</v>
      </c>
      <c r="F211" s="21">
        <v>0</v>
      </c>
      <c r="G211" s="22">
        <v>0</v>
      </c>
      <c r="H211" s="23">
        <v>0</v>
      </c>
      <c r="I211" s="24">
        <v>0</v>
      </c>
      <c r="J211" s="24">
        <v>0</v>
      </c>
    </row>
    <row r="212" spans="2:10">
      <c r="B212" s="5" t="s">
        <v>3853</v>
      </c>
      <c r="C212" s="5"/>
      <c r="D212" s="41"/>
      <c r="E212" s="20" t="s">
        <v>21</v>
      </c>
      <c r="F212" s="21">
        <v>0</v>
      </c>
      <c r="G212" s="22">
        <v>0</v>
      </c>
      <c r="H212" s="23">
        <v>0</v>
      </c>
      <c r="I212" s="24">
        <v>0</v>
      </c>
      <c r="J212" s="24">
        <v>0</v>
      </c>
    </row>
    <row r="213" spans="2:10">
      <c r="B213" s="5" t="s">
        <v>5005</v>
      </c>
      <c r="C213" s="5"/>
      <c r="D213" s="41"/>
      <c r="E213" s="20" t="s">
        <v>21</v>
      </c>
      <c r="F213" s="21">
        <v>0</v>
      </c>
      <c r="G213" s="22">
        <v>0</v>
      </c>
      <c r="H213" s="23">
        <v>0</v>
      </c>
      <c r="I213" s="24">
        <v>0</v>
      </c>
      <c r="J213" s="24">
        <v>0</v>
      </c>
    </row>
    <row r="214" spans="2:10">
      <c r="B214" s="5" t="s">
        <v>5005</v>
      </c>
      <c r="C214" s="5"/>
      <c r="D214" s="41"/>
      <c r="E214" s="20" t="s">
        <v>21</v>
      </c>
      <c r="F214" s="21">
        <v>0</v>
      </c>
      <c r="G214" s="22">
        <v>0</v>
      </c>
      <c r="H214" s="23">
        <v>0</v>
      </c>
      <c r="I214" s="24">
        <v>0</v>
      </c>
      <c r="J214" s="24">
        <v>0</v>
      </c>
    </row>
    <row r="215" spans="2:10">
      <c r="B215" s="5" t="s">
        <v>5005</v>
      </c>
      <c r="C215" s="5"/>
      <c r="D215" s="41"/>
      <c r="E215" s="20" t="s">
        <v>21</v>
      </c>
      <c r="F215" s="21">
        <v>0</v>
      </c>
      <c r="G215" s="22">
        <v>0</v>
      </c>
      <c r="H215" s="23">
        <v>0</v>
      </c>
      <c r="I215" s="24">
        <v>0</v>
      </c>
      <c r="J215" s="24">
        <v>0</v>
      </c>
    </row>
    <row r="216" spans="2:10">
      <c r="B216" s="28" t="s">
        <v>296</v>
      </c>
      <c r="C216" s="42"/>
      <c r="D216" s="43"/>
      <c r="E216" s="42" t="s">
        <v>21</v>
      </c>
      <c r="F216" s="89">
        <v>0</v>
      </c>
      <c r="G216" s="31">
        <v>0</v>
      </c>
      <c r="H216" s="32">
        <v>0</v>
      </c>
      <c r="I216" s="33">
        <v>0</v>
      </c>
      <c r="J216" s="33">
        <v>0</v>
      </c>
    </row>
    <row r="217" spans="2:10">
      <c r="B217" s="10" t="s">
        <v>229</v>
      </c>
      <c r="C217" s="8"/>
      <c r="D217" s="10"/>
      <c r="E217" s="36"/>
      <c r="F217" s="35">
        <v>96435</v>
      </c>
      <c r="G217" s="10">
        <v>10715</v>
      </c>
      <c r="H217" s="10">
        <v>3.9131228696640155</v>
      </c>
      <c r="I217" s="38">
        <v>4.477391997844981E-3</v>
      </c>
      <c r="J217" s="38">
        <v>3.5573844269672869E-3</v>
      </c>
    </row>
    <row r="218" spans="2:10">
      <c r="B218" s="10"/>
      <c r="C218" s="9"/>
      <c r="D218" s="8"/>
      <c r="E218" s="8"/>
      <c r="F218" s="12"/>
      <c r="G218" s="8"/>
      <c r="H218" s="8"/>
      <c r="I218" s="8"/>
      <c r="J218" s="8"/>
    </row>
    <row r="219" spans="2:10">
      <c r="B219" s="13" t="s">
        <v>217</v>
      </c>
      <c r="C219" s="13"/>
      <c r="D219" s="102" t="s">
        <v>309</v>
      </c>
      <c r="E219" s="103" t="s">
        <v>308</v>
      </c>
      <c r="F219" s="48" t="s">
        <v>21</v>
      </c>
      <c r="G219" s="16" t="s">
        <v>182</v>
      </c>
      <c r="H219" s="17" t="s">
        <v>292</v>
      </c>
      <c r="I219" s="18" t="s">
        <v>262</v>
      </c>
      <c r="J219" s="18" t="s">
        <v>293</v>
      </c>
    </row>
    <row r="220" spans="2:10">
      <c r="B220" s="5" t="s">
        <v>5149</v>
      </c>
      <c r="C220" s="5"/>
      <c r="D220" s="104"/>
      <c r="E220" s="105">
        <v>3.6666666666666665</v>
      </c>
      <c r="F220" s="21">
        <v>0</v>
      </c>
      <c r="G220" s="22">
        <v>0</v>
      </c>
      <c r="H220" s="23">
        <v>0</v>
      </c>
      <c r="I220" s="24">
        <v>0</v>
      </c>
      <c r="J220" s="24">
        <v>0</v>
      </c>
    </row>
    <row r="221" spans="2:10">
      <c r="B221" s="5" t="s">
        <v>5158</v>
      </c>
      <c r="C221" s="5"/>
      <c r="D221" s="104"/>
      <c r="E221" s="105">
        <v>3.6666666666666665</v>
      </c>
      <c r="F221" s="21">
        <v>0</v>
      </c>
      <c r="G221" s="22">
        <v>0</v>
      </c>
      <c r="H221" s="23">
        <v>0</v>
      </c>
      <c r="I221" s="24">
        <v>0</v>
      </c>
      <c r="J221" s="24">
        <v>0</v>
      </c>
    </row>
    <row r="222" spans="2:10">
      <c r="B222" s="5" t="s">
        <v>5159</v>
      </c>
      <c r="C222" s="5"/>
      <c r="D222" s="104"/>
      <c r="E222" s="105">
        <v>3.6666666666666665</v>
      </c>
      <c r="F222" s="21">
        <v>0</v>
      </c>
      <c r="G222" s="22">
        <v>0</v>
      </c>
      <c r="H222" s="23">
        <v>0</v>
      </c>
      <c r="I222" s="24">
        <v>0</v>
      </c>
      <c r="J222" s="24">
        <v>0</v>
      </c>
    </row>
    <row r="223" spans="2:10">
      <c r="B223" s="5" t="s">
        <v>5160</v>
      </c>
      <c r="C223" s="5"/>
      <c r="D223" s="104"/>
      <c r="E223" s="105">
        <v>1.5</v>
      </c>
      <c r="F223" s="21">
        <v>0</v>
      </c>
      <c r="G223" s="22">
        <v>0</v>
      </c>
      <c r="H223" s="23">
        <v>0</v>
      </c>
      <c r="I223" s="24">
        <v>0</v>
      </c>
      <c r="J223" s="24">
        <v>0</v>
      </c>
    </row>
    <row r="224" spans="2:10">
      <c r="B224" s="5" t="s">
        <v>5154</v>
      </c>
      <c r="C224" s="5"/>
      <c r="D224" s="104"/>
      <c r="E224" s="105">
        <v>1.5</v>
      </c>
      <c r="F224" s="21">
        <v>0</v>
      </c>
      <c r="G224" s="22">
        <v>0</v>
      </c>
      <c r="H224" s="23">
        <v>0</v>
      </c>
      <c r="I224" s="24">
        <v>0</v>
      </c>
      <c r="J224" s="24">
        <v>0</v>
      </c>
    </row>
    <row r="225" spans="2:10">
      <c r="B225" s="5" t="s">
        <v>62</v>
      </c>
      <c r="C225" s="5"/>
      <c r="D225" s="104"/>
      <c r="E225" s="105">
        <v>2.6666666666666665</v>
      </c>
      <c r="F225" s="21">
        <v>0</v>
      </c>
      <c r="G225" s="22">
        <v>0</v>
      </c>
      <c r="H225" s="23">
        <v>0</v>
      </c>
      <c r="I225" s="24">
        <v>0</v>
      </c>
      <c r="J225" s="24">
        <v>0</v>
      </c>
    </row>
    <row r="226" spans="2:10">
      <c r="B226" s="5" t="s">
        <v>5157</v>
      </c>
      <c r="C226" s="5"/>
      <c r="D226" s="104"/>
      <c r="E226" s="105">
        <v>3.6666666666666665</v>
      </c>
      <c r="F226" s="21">
        <v>0</v>
      </c>
      <c r="G226" s="22">
        <v>0</v>
      </c>
      <c r="H226" s="23">
        <v>0</v>
      </c>
      <c r="I226" s="24">
        <v>0</v>
      </c>
      <c r="J226" s="24">
        <v>0</v>
      </c>
    </row>
    <row r="227" spans="2:10">
      <c r="B227" s="5" t="s">
        <v>63</v>
      </c>
      <c r="C227" s="5"/>
      <c r="D227" s="104"/>
      <c r="E227" s="105">
        <v>3.6666666666666665</v>
      </c>
      <c r="F227" s="21">
        <v>0</v>
      </c>
      <c r="G227" s="22">
        <v>0</v>
      </c>
      <c r="H227" s="23">
        <v>0</v>
      </c>
      <c r="I227" s="24">
        <v>0</v>
      </c>
      <c r="J227" s="24">
        <v>0</v>
      </c>
    </row>
    <row r="228" spans="2:10">
      <c r="B228" s="5" t="s">
        <v>5141</v>
      </c>
      <c r="C228" s="5"/>
      <c r="D228" s="104"/>
      <c r="E228" s="105">
        <v>3.6666666666666665</v>
      </c>
      <c r="F228" s="21">
        <v>0</v>
      </c>
      <c r="G228" s="22">
        <v>0</v>
      </c>
      <c r="H228" s="23">
        <v>0</v>
      </c>
      <c r="I228" s="24">
        <v>0</v>
      </c>
      <c r="J228" s="24">
        <v>0</v>
      </c>
    </row>
    <row r="229" spans="2:10">
      <c r="B229" s="5" t="s">
        <v>5155</v>
      </c>
      <c r="C229" s="5"/>
      <c r="D229" s="104"/>
      <c r="E229" s="105">
        <v>3.6666666666666665</v>
      </c>
      <c r="F229" s="21">
        <v>0</v>
      </c>
      <c r="G229" s="22">
        <v>0</v>
      </c>
      <c r="H229" s="23">
        <v>0</v>
      </c>
      <c r="I229" s="24">
        <v>0</v>
      </c>
      <c r="J229" s="24">
        <v>0</v>
      </c>
    </row>
    <row r="230" spans="2:10">
      <c r="B230" s="5" t="s">
        <v>5140</v>
      </c>
      <c r="C230" s="5"/>
      <c r="D230" s="104"/>
      <c r="E230" s="105">
        <v>2</v>
      </c>
      <c r="F230" s="21">
        <v>0</v>
      </c>
      <c r="G230" s="22">
        <v>0</v>
      </c>
      <c r="H230" s="23">
        <v>0</v>
      </c>
      <c r="I230" s="24">
        <v>0</v>
      </c>
      <c r="J230" s="24">
        <v>0</v>
      </c>
    </row>
    <row r="231" spans="2:10">
      <c r="B231" s="5" t="s">
        <v>3785</v>
      </c>
      <c r="C231" s="5"/>
      <c r="D231" s="104"/>
      <c r="E231" s="105">
        <v>1</v>
      </c>
      <c r="F231" s="21">
        <v>0</v>
      </c>
      <c r="G231" s="22">
        <v>0</v>
      </c>
      <c r="H231" s="23">
        <v>0</v>
      </c>
      <c r="I231" s="24">
        <v>0</v>
      </c>
      <c r="J231" s="24">
        <v>0</v>
      </c>
    </row>
    <row r="232" spans="2:10">
      <c r="B232" s="5" t="s">
        <v>5006</v>
      </c>
      <c r="C232" s="5"/>
      <c r="D232" s="104"/>
      <c r="E232" s="105">
        <v>0</v>
      </c>
      <c r="F232" s="21">
        <v>0</v>
      </c>
      <c r="G232" s="22">
        <v>0</v>
      </c>
      <c r="H232" s="23">
        <v>0</v>
      </c>
      <c r="I232" s="24">
        <v>0</v>
      </c>
      <c r="J232" s="24">
        <v>0</v>
      </c>
    </row>
    <row r="233" spans="2:10">
      <c r="B233" s="5" t="s">
        <v>5007</v>
      </c>
      <c r="C233" s="5"/>
      <c r="D233" s="104"/>
      <c r="E233" s="105">
        <v>0</v>
      </c>
      <c r="F233" s="21">
        <v>0</v>
      </c>
      <c r="G233" s="22">
        <v>0</v>
      </c>
      <c r="H233" s="23">
        <v>0</v>
      </c>
      <c r="I233" s="24">
        <v>0</v>
      </c>
      <c r="J233" s="24">
        <v>0</v>
      </c>
    </row>
    <row r="234" spans="2:10">
      <c r="B234" s="5" t="s">
        <v>5007</v>
      </c>
      <c r="C234" s="5"/>
      <c r="D234" s="104"/>
      <c r="E234" s="105">
        <v>0</v>
      </c>
      <c r="F234" s="21">
        <v>0</v>
      </c>
      <c r="G234" s="22">
        <v>0</v>
      </c>
      <c r="H234" s="23">
        <v>0</v>
      </c>
      <c r="I234" s="24">
        <v>0</v>
      </c>
      <c r="J234" s="24">
        <v>0</v>
      </c>
    </row>
    <row r="235" spans="2:10">
      <c r="B235" s="5" t="s">
        <v>296</v>
      </c>
      <c r="C235" s="5"/>
      <c r="D235" s="104"/>
      <c r="E235" s="105">
        <v>0</v>
      </c>
      <c r="F235" s="21">
        <v>0</v>
      </c>
      <c r="G235" s="22">
        <v>0</v>
      </c>
      <c r="H235" s="23">
        <v>0</v>
      </c>
      <c r="I235" s="24">
        <v>0</v>
      </c>
      <c r="J235" s="24">
        <v>0</v>
      </c>
    </row>
    <row r="236" spans="2:10">
      <c r="B236" s="28" t="s">
        <v>296</v>
      </c>
      <c r="C236" s="28"/>
      <c r="D236" s="106"/>
      <c r="E236" s="107">
        <v>0</v>
      </c>
      <c r="F236" s="89">
        <v>0</v>
      </c>
      <c r="G236" s="31">
        <v>0</v>
      </c>
      <c r="H236" s="32">
        <v>0</v>
      </c>
      <c r="I236" s="33">
        <v>0</v>
      </c>
      <c r="J236" s="33">
        <v>0</v>
      </c>
    </row>
    <row r="237" spans="2:10">
      <c r="B237" s="10" t="s">
        <v>310</v>
      </c>
      <c r="C237" s="10"/>
      <c r="D237" s="108"/>
      <c r="E237" s="109"/>
      <c r="F237" s="62">
        <v>0</v>
      </c>
      <c r="G237" s="52">
        <v>0</v>
      </c>
      <c r="H237" s="53">
        <v>0</v>
      </c>
      <c r="I237" s="38">
        <v>0</v>
      </c>
      <c r="J237" s="38">
        <v>0</v>
      </c>
    </row>
    <row r="238" spans="2:10">
      <c r="B238" s="5" t="s">
        <v>102</v>
      </c>
      <c r="C238" s="5"/>
      <c r="D238" s="80"/>
      <c r="E238" s="110">
        <v>0.18</v>
      </c>
      <c r="F238" s="111">
        <v>0</v>
      </c>
      <c r="G238" s="22">
        <v>0</v>
      </c>
      <c r="H238" s="23">
        <v>0</v>
      </c>
      <c r="I238" s="24">
        <v>0</v>
      </c>
      <c r="J238" s="24">
        <v>0</v>
      </c>
    </row>
    <row r="239" spans="2:10">
      <c r="B239" s="5" t="s">
        <v>27</v>
      </c>
      <c r="C239" s="5"/>
      <c r="D239" s="112"/>
      <c r="E239" s="20">
        <v>0.1</v>
      </c>
      <c r="F239" s="21">
        <v>0</v>
      </c>
      <c r="G239" s="22">
        <v>0</v>
      </c>
      <c r="H239" s="23">
        <v>0</v>
      </c>
      <c r="I239" s="24">
        <v>0</v>
      </c>
      <c r="J239" s="24">
        <v>0</v>
      </c>
    </row>
    <row r="240" spans="2:10">
      <c r="B240" s="28" t="s">
        <v>9</v>
      </c>
      <c r="C240" s="42"/>
      <c r="D240" s="43">
        <v>0</v>
      </c>
      <c r="E240" s="94" t="s">
        <v>21</v>
      </c>
      <c r="F240" s="89">
        <v>0</v>
      </c>
      <c r="G240" s="31">
        <v>0</v>
      </c>
      <c r="H240" s="32">
        <v>0</v>
      </c>
      <c r="I240" s="33">
        <v>0</v>
      </c>
      <c r="J240" s="33">
        <v>0</v>
      </c>
    </row>
    <row r="241" spans="2:10">
      <c r="B241" s="34" t="s">
        <v>224</v>
      </c>
      <c r="C241" s="19"/>
      <c r="D241" s="5"/>
      <c r="E241" s="113"/>
      <c r="F241" s="62">
        <v>0</v>
      </c>
      <c r="G241" s="52">
        <v>0</v>
      </c>
      <c r="H241" s="53">
        <v>0</v>
      </c>
      <c r="I241" s="38">
        <v>0</v>
      </c>
      <c r="J241" s="38">
        <v>0</v>
      </c>
    </row>
    <row r="242" spans="2:10">
      <c r="B242" s="10"/>
      <c r="C242" s="9"/>
      <c r="D242" s="11"/>
      <c r="E242" s="8"/>
      <c r="F242" s="12"/>
      <c r="G242" s="8"/>
      <c r="H242" s="8"/>
      <c r="I242" s="8"/>
      <c r="J242" s="8"/>
    </row>
    <row r="243" spans="2:10">
      <c r="B243" s="13" t="s">
        <v>218</v>
      </c>
      <c r="C243" s="15"/>
      <c r="D243" s="114"/>
      <c r="E243" s="15" t="s">
        <v>134</v>
      </c>
      <c r="F243" s="48" t="s">
        <v>21</v>
      </c>
      <c r="G243" s="16" t="s">
        <v>182</v>
      </c>
      <c r="H243" s="17" t="s">
        <v>292</v>
      </c>
      <c r="I243" s="18" t="s">
        <v>262</v>
      </c>
      <c r="J243" s="18" t="s">
        <v>293</v>
      </c>
    </row>
    <row r="244" spans="2:10">
      <c r="B244" s="5" t="s">
        <v>512</v>
      </c>
      <c r="C244" s="20"/>
      <c r="D244" s="115"/>
      <c r="E244" s="20" t="s">
        <v>5148</v>
      </c>
      <c r="F244" s="21">
        <v>0</v>
      </c>
      <c r="G244" s="22">
        <v>0</v>
      </c>
      <c r="H244" s="23">
        <v>0</v>
      </c>
      <c r="I244" s="24">
        <v>0</v>
      </c>
      <c r="J244" s="24"/>
    </row>
    <row r="245" spans="2:10">
      <c r="B245" s="5" t="s">
        <v>112</v>
      </c>
      <c r="C245" s="20"/>
      <c r="D245" s="115"/>
      <c r="E245" s="20" t="s">
        <v>21</v>
      </c>
      <c r="F245" s="21">
        <v>0</v>
      </c>
      <c r="G245" s="22">
        <v>0</v>
      </c>
      <c r="H245" s="23">
        <v>0</v>
      </c>
      <c r="I245" s="24">
        <v>0</v>
      </c>
      <c r="J245" s="24">
        <v>0</v>
      </c>
    </row>
    <row r="246" spans="2:10">
      <c r="B246" s="1659" t="s">
        <v>113</v>
      </c>
      <c r="C246" s="1659"/>
      <c r="D246" s="116"/>
      <c r="E246" s="20" t="s">
        <v>5148</v>
      </c>
      <c r="F246" s="21">
        <v>61153.089135154951</v>
      </c>
      <c r="G246" s="22">
        <v>6794.7876816838834</v>
      </c>
      <c r="H246" s="23">
        <v>2.4814595493895046</v>
      </c>
      <c r="I246" s="24">
        <v>2.8392839937496097E-3</v>
      </c>
      <c r="J246" s="24">
        <v>2.2558723176268223E-3</v>
      </c>
    </row>
    <row r="247" spans="2:10">
      <c r="B247" s="5">
        <v>10000</v>
      </c>
      <c r="C247" s="20"/>
      <c r="D247" s="115"/>
      <c r="E247" s="20" t="s">
        <v>5148</v>
      </c>
      <c r="F247" s="21">
        <v>61153.089135154951</v>
      </c>
      <c r="G247" s="22">
        <v>6794.7876816838834</v>
      </c>
      <c r="H247" s="23">
        <v>2.4814595493895046</v>
      </c>
      <c r="I247" s="24">
        <v>2.8392839937496097E-3</v>
      </c>
      <c r="J247" s="24">
        <v>2.2558723176268223E-3</v>
      </c>
    </row>
    <row r="248" spans="2:10">
      <c r="B248" s="5" t="s">
        <v>114</v>
      </c>
      <c r="C248" s="20"/>
      <c r="D248" s="116"/>
      <c r="E248" s="20" t="s">
        <v>5148</v>
      </c>
      <c r="F248" s="21">
        <v>30576.544567577475</v>
      </c>
      <c r="G248" s="22">
        <v>3397.3938408419417</v>
      </c>
      <c r="H248" s="23">
        <v>1.2407297746947523</v>
      </c>
      <c r="I248" s="24">
        <v>1.4196419968748048E-3</v>
      </c>
      <c r="J248" s="24">
        <v>1.1279361588134112E-3</v>
      </c>
    </row>
    <row r="249" spans="2:10">
      <c r="B249" s="5" t="s">
        <v>404</v>
      </c>
      <c r="C249" s="20"/>
      <c r="D249" s="115"/>
      <c r="E249" s="20" t="s">
        <v>21</v>
      </c>
      <c r="F249" s="21">
        <v>0</v>
      </c>
      <c r="G249" s="22">
        <v>0</v>
      </c>
      <c r="H249" s="23">
        <v>0</v>
      </c>
      <c r="I249" s="24">
        <v>0</v>
      </c>
      <c r="J249" s="24">
        <v>0</v>
      </c>
    </row>
    <row r="250" spans="2:10">
      <c r="B250" s="5" t="s">
        <v>115</v>
      </c>
      <c r="C250" s="20"/>
      <c r="D250" s="115"/>
      <c r="E250" s="20" t="s">
        <v>5148</v>
      </c>
      <c r="F250" s="21">
        <v>0</v>
      </c>
      <c r="G250" s="22">
        <v>0</v>
      </c>
      <c r="H250" s="23">
        <v>0</v>
      </c>
      <c r="I250" s="24">
        <v>0</v>
      </c>
      <c r="J250" s="24">
        <v>0</v>
      </c>
    </row>
    <row r="251" spans="2:10">
      <c r="B251" s="117" t="s">
        <v>116</v>
      </c>
      <c r="C251" s="20"/>
      <c r="D251" s="115"/>
      <c r="E251" s="20" t="s">
        <v>5148</v>
      </c>
      <c r="F251" s="21">
        <v>0</v>
      </c>
      <c r="G251" s="22">
        <v>0</v>
      </c>
      <c r="H251" s="23">
        <v>0</v>
      </c>
      <c r="I251" s="24">
        <v>0</v>
      </c>
      <c r="J251" s="24">
        <v>0</v>
      </c>
    </row>
    <row r="252" spans="2:10">
      <c r="B252" s="117" t="s">
        <v>12</v>
      </c>
      <c r="C252" s="20"/>
      <c r="D252" s="115"/>
      <c r="E252" s="20" t="s">
        <v>21</v>
      </c>
      <c r="F252" s="21"/>
      <c r="G252" s="22">
        <v>0</v>
      </c>
      <c r="H252" s="23">
        <v>0</v>
      </c>
      <c r="I252" s="24">
        <v>0</v>
      </c>
      <c r="J252" s="24">
        <v>0</v>
      </c>
    </row>
    <row r="253" spans="2:10">
      <c r="B253" s="117" t="s">
        <v>1</v>
      </c>
      <c r="C253" s="20"/>
      <c r="D253" s="115"/>
      <c r="E253" s="20" t="s">
        <v>21</v>
      </c>
      <c r="F253" s="21"/>
      <c r="G253" s="22">
        <v>0</v>
      </c>
      <c r="H253" s="23">
        <v>0</v>
      </c>
      <c r="I253" s="24">
        <v>0</v>
      </c>
      <c r="J253" s="24">
        <v>0</v>
      </c>
    </row>
    <row r="254" spans="2:10">
      <c r="B254" s="117" t="s">
        <v>13</v>
      </c>
      <c r="C254" s="20"/>
      <c r="D254" s="115"/>
      <c r="E254" s="20" t="s">
        <v>21</v>
      </c>
      <c r="F254" s="21"/>
      <c r="G254" s="22">
        <v>0</v>
      </c>
      <c r="H254" s="23">
        <v>0</v>
      </c>
      <c r="I254" s="24">
        <v>0</v>
      </c>
      <c r="J254" s="24">
        <v>0</v>
      </c>
    </row>
    <row r="255" spans="2:10">
      <c r="B255" s="5" t="s">
        <v>2</v>
      </c>
      <c r="C255" s="20"/>
      <c r="D255" s="115"/>
      <c r="E255" s="20" t="s">
        <v>21</v>
      </c>
      <c r="F255" s="21"/>
      <c r="G255" s="22">
        <v>0</v>
      </c>
      <c r="H255" s="23">
        <v>0</v>
      </c>
      <c r="I255" s="24">
        <v>0</v>
      </c>
      <c r="J255" s="24">
        <v>0</v>
      </c>
    </row>
    <row r="256" spans="2:10">
      <c r="B256" s="5" t="s">
        <v>28</v>
      </c>
      <c r="C256" s="20"/>
      <c r="D256" s="115"/>
      <c r="E256" s="20" t="s">
        <v>21</v>
      </c>
      <c r="F256" s="21"/>
      <c r="G256" s="22">
        <v>0</v>
      </c>
      <c r="H256" s="23">
        <v>0</v>
      </c>
      <c r="I256" s="24">
        <v>0</v>
      </c>
      <c r="J256" s="24">
        <v>0</v>
      </c>
    </row>
    <row r="257" spans="2:10">
      <c r="B257" s="5" t="s">
        <v>14</v>
      </c>
      <c r="C257" s="20"/>
      <c r="D257" s="115"/>
      <c r="E257" s="20" t="s">
        <v>21</v>
      </c>
      <c r="F257" s="21"/>
      <c r="G257" s="22">
        <v>0</v>
      </c>
      <c r="H257" s="23">
        <v>0</v>
      </c>
      <c r="I257" s="24">
        <v>0</v>
      </c>
      <c r="J257" s="24">
        <v>0</v>
      </c>
    </row>
    <row r="258" spans="2:10">
      <c r="B258" s="5" t="s">
        <v>117</v>
      </c>
      <c r="C258" s="20"/>
      <c r="D258" s="115"/>
      <c r="E258" s="20" t="s">
        <v>21</v>
      </c>
      <c r="F258" s="21"/>
      <c r="G258" s="22">
        <v>0</v>
      </c>
      <c r="H258" s="23">
        <v>0</v>
      </c>
      <c r="I258" s="24">
        <v>0</v>
      </c>
      <c r="J258" s="24">
        <v>0</v>
      </c>
    </row>
    <row r="259" spans="2:10">
      <c r="B259" s="5" t="s">
        <v>118</v>
      </c>
      <c r="C259" s="20"/>
      <c r="D259" s="115"/>
      <c r="E259" s="20" t="s">
        <v>21</v>
      </c>
      <c r="F259" s="21"/>
      <c r="G259" s="22">
        <v>0</v>
      </c>
      <c r="H259" s="23">
        <v>0</v>
      </c>
      <c r="I259" s="24">
        <v>0</v>
      </c>
      <c r="J259" s="24">
        <v>0</v>
      </c>
    </row>
    <row r="260" spans="2:10">
      <c r="B260" s="5" t="s">
        <v>119</v>
      </c>
      <c r="C260" s="118"/>
      <c r="D260" s="115"/>
      <c r="E260" s="20" t="s">
        <v>21</v>
      </c>
      <c r="F260" s="21"/>
      <c r="G260" s="22">
        <v>0</v>
      </c>
      <c r="H260" s="23">
        <v>0</v>
      </c>
      <c r="I260" s="24">
        <v>0</v>
      </c>
      <c r="J260" s="24">
        <v>0</v>
      </c>
    </row>
    <row r="261" spans="2:10">
      <c r="B261" s="5" t="s">
        <v>120</v>
      </c>
      <c r="C261" s="20"/>
      <c r="D261" s="115"/>
      <c r="E261" s="20" t="s">
        <v>21</v>
      </c>
      <c r="F261" s="21"/>
      <c r="G261" s="22">
        <v>0</v>
      </c>
      <c r="H261" s="23">
        <v>0</v>
      </c>
      <c r="I261" s="24">
        <v>0</v>
      </c>
      <c r="J261" s="24">
        <v>0</v>
      </c>
    </row>
    <row r="262" spans="2:10">
      <c r="B262" s="1660" t="s">
        <v>15</v>
      </c>
      <c r="C262" s="1660"/>
      <c r="D262" s="116"/>
      <c r="E262" s="20" t="s">
        <v>21</v>
      </c>
      <c r="F262" s="21"/>
      <c r="G262" s="22">
        <v>0</v>
      </c>
      <c r="H262" s="23">
        <v>0</v>
      </c>
      <c r="I262" s="24">
        <v>0</v>
      </c>
      <c r="J262" s="24">
        <v>0</v>
      </c>
    </row>
    <row r="263" spans="2:10">
      <c r="B263" s="5" t="s">
        <v>422</v>
      </c>
      <c r="C263" s="20"/>
      <c r="D263" s="115"/>
      <c r="E263" s="20" t="s">
        <v>21</v>
      </c>
      <c r="F263" s="21"/>
      <c r="G263" s="22">
        <v>0</v>
      </c>
      <c r="H263" s="23">
        <v>0</v>
      </c>
      <c r="I263" s="24">
        <v>0</v>
      </c>
      <c r="J263" s="24">
        <v>0</v>
      </c>
    </row>
    <row r="264" spans="2:10">
      <c r="B264" s="5" t="s">
        <v>16</v>
      </c>
      <c r="C264" s="20"/>
      <c r="D264" s="115"/>
      <c r="E264" s="20" t="s">
        <v>21</v>
      </c>
      <c r="F264" s="21"/>
      <c r="G264" s="22">
        <v>0</v>
      </c>
      <c r="H264" s="23">
        <v>0</v>
      </c>
      <c r="I264" s="24">
        <v>0</v>
      </c>
      <c r="J264" s="24">
        <v>0</v>
      </c>
    </row>
    <row r="265" spans="2:10">
      <c r="B265" s="5" t="s">
        <v>121</v>
      </c>
      <c r="C265" s="20"/>
      <c r="D265" s="115"/>
      <c r="E265" s="20" t="s">
        <v>21</v>
      </c>
      <c r="F265" s="21"/>
      <c r="G265" s="22">
        <v>0</v>
      </c>
      <c r="H265" s="23">
        <v>0</v>
      </c>
      <c r="I265" s="24">
        <v>0</v>
      </c>
      <c r="J265" s="24">
        <v>0</v>
      </c>
    </row>
    <row r="266" spans="2:10">
      <c r="B266" s="5" t="s">
        <v>122</v>
      </c>
      <c r="C266" s="20"/>
      <c r="D266" s="115"/>
      <c r="E266" s="20" t="s">
        <v>21</v>
      </c>
      <c r="F266" s="21">
        <v>0</v>
      </c>
      <c r="G266" s="22">
        <v>0</v>
      </c>
      <c r="H266" s="23">
        <v>0</v>
      </c>
      <c r="I266" s="24">
        <v>0</v>
      </c>
      <c r="J266" s="24">
        <v>0</v>
      </c>
    </row>
    <row r="267" spans="2:10">
      <c r="B267" s="5" t="s">
        <v>513</v>
      </c>
      <c r="C267" s="20"/>
      <c r="D267" s="115">
        <v>0</v>
      </c>
      <c r="E267" s="20" t="s">
        <v>21</v>
      </c>
      <c r="F267" s="21">
        <v>0</v>
      </c>
      <c r="G267" s="22">
        <v>0</v>
      </c>
      <c r="H267" s="23">
        <v>0</v>
      </c>
      <c r="I267" s="24">
        <v>0</v>
      </c>
      <c r="J267" s="24">
        <v>0</v>
      </c>
    </row>
    <row r="268" spans="2:10">
      <c r="B268" s="5" t="s">
        <v>3671</v>
      </c>
      <c r="C268" s="20"/>
      <c r="D268" s="115"/>
      <c r="E268" s="20" t="s">
        <v>21</v>
      </c>
      <c r="F268" s="21">
        <v>0</v>
      </c>
      <c r="G268" s="22">
        <v>0</v>
      </c>
      <c r="H268" s="23">
        <v>0</v>
      </c>
      <c r="I268" s="24">
        <v>0</v>
      </c>
      <c r="J268" s="24">
        <v>0</v>
      </c>
    </row>
    <row r="269" spans="2:10">
      <c r="B269" s="5" t="s">
        <v>5123</v>
      </c>
      <c r="C269" s="20"/>
      <c r="D269" s="115"/>
      <c r="E269" s="20" t="s">
        <v>21</v>
      </c>
      <c r="F269" s="21">
        <v>0</v>
      </c>
      <c r="G269" s="22">
        <v>0</v>
      </c>
      <c r="H269" s="23">
        <v>0</v>
      </c>
      <c r="I269" s="24">
        <v>0</v>
      </c>
      <c r="J269" s="24">
        <v>0</v>
      </c>
    </row>
    <row r="270" spans="2:10">
      <c r="B270" s="5" t="s">
        <v>5124</v>
      </c>
      <c r="C270" s="20"/>
      <c r="D270" s="115"/>
      <c r="E270" s="20" t="s">
        <v>21</v>
      </c>
      <c r="F270" s="21">
        <v>0</v>
      </c>
      <c r="G270" s="22">
        <v>0</v>
      </c>
      <c r="H270" s="23">
        <v>0</v>
      </c>
      <c r="I270" s="24">
        <v>0</v>
      </c>
      <c r="J270" s="24">
        <v>0</v>
      </c>
    </row>
    <row r="271" spans="2:10">
      <c r="B271" s="28"/>
      <c r="C271" s="42"/>
      <c r="D271" s="43"/>
      <c r="E271" s="42" t="s">
        <v>21</v>
      </c>
      <c r="F271" s="89">
        <v>0</v>
      </c>
      <c r="G271" s="31">
        <v>0</v>
      </c>
      <c r="H271" s="32">
        <v>0</v>
      </c>
      <c r="I271" s="33">
        <v>0</v>
      </c>
      <c r="J271" s="33">
        <v>0</v>
      </c>
    </row>
    <row r="272" spans="2:10">
      <c r="B272" s="10" t="s">
        <v>230</v>
      </c>
      <c r="C272" s="8"/>
      <c r="D272" s="10"/>
      <c r="E272" s="36"/>
      <c r="F272" s="35">
        <v>152882.72283788738</v>
      </c>
      <c r="G272" s="78">
        <v>16986.969204209709</v>
      </c>
      <c r="H272" s="78">
        <v>6.203648873473762</v>
      </c>
      <c r="I272" s="119">
        <v>7.0982099843740244E-3</v>
      </c>
      <c r="J272" s="119">
        <v>5.6396807940670562E-3</v>
      </c>
    </row>
    <row r="273" spans="2:10">
      <c r="B273" s="10"/>
      <c r="C273" s="9"/>
      <c r="D273" s="11"/>
      <c r="E273" s="8"/>
      <c r="F273" s="12"/>
      <c r="G273" s="8"/>
      <c r="H273" s="8"/>
      <c r="I273" s="8"/>
      <c r="J273" s="8"/>
    </row>
    <row r="274" spans="2:10">
      <c r="B274" s="13" t="s">
        <v>219</v>
      </c>
      <c r="C274" s="13"/>
      <c r="D274" s="102"/>
      <c r="E274" s="103" t="s">
        <v>134</v>
      </c>
      <c r="F274" s="48" t="s">
        <v>21</v>
      </c>
      <c r="G274" s="16" t="s">
        <v>182</v>
      </c>
      <c r="H274" s="17" t="s">
        <v>292</v>
      </c>
      <c r="I274" s="18" t="s">
        <v>262</v>
      </c>
      <c r="J274" s="18" t="s">
        <v>293</v>
      </c>
    </row>
    <row r="275" spans="2:10">
      <c r="B275" s="5" t="s">
        <v>514</v>
      </c>
      <c r="C275" s="5"/>
      <c r="D275" s="104">
        <v>20000</v>
      </c>
      <c r="E275" s="105">
        <v>1</v>
      </c>
      <c r="F275" s="21">
        <v>20000</v>
      </c>
      <c r="G275" s="22">
        <v>2222.2222222222222</v>
      </c>
      <c r="H275" s="23">
        <v>0.81155656549261479</v>
      </c>
      <c r="I275" s="24">
        <v>9.285823607289844E-4</v>
      </c>
      <c r="J275" s="24">
        <v>7.3777869590237709E-4</v>
      </c>
    </row>
    <row r="276" spans="2:10">
      <c r="B276" s="5" t="s">
        <v>10</v>
      </c>
      <c r="C276" s="5"/>
      <c r="D276" s="104">
        <v>10000</v>
      </c>
      <c r="E276" s="105">
        <v>1</v>
      </c>
      <c r="F276" s="21">
        <v>10000</v>
      </c>
      <c r="G276" s="22">
        <v>1111.1111111111111</v>
      </c>
      <c r="H276" s="23">
        <v>0.40577828274630739</v>
      </c>
      <c r="I276" s="24">
        <v>4.642911803644922E-4</v>
      </c>
      <c r="J276" s="24">
        <v>3.6888934795118854E-4</v>
      </c>
    </row>
    <row r="277" spans="2:10">
      <c r="B277" s="5" t="s">
        <v>103</v>
      </c>
      <c r="C277" s="5"/>
      <c r="D277" s="104">
        <v>10000</v>
      </c>
      <c r="E277" s="105">
        <v>1</v>
      </c>
      <c r="F277" s="21">
        <v>10000</v>
      </c>
      <c r="G277" s="22">
        <v>1111.1111111111111</v>
      </c>
      <c r="H277" s="23">
        <v>0.40577828274630739</v>
      </c>
      <c r="I277" s="24">
        <v>4.642911803644922E-4</v>
      </c>
      <c r="J277" s="24">
        <v>3.6888934795118854E-4</v>
      </c>
    </row>
    <row r="278" spans="2:10">
      <c r="B278" s="5" t="s">
        <v>66</v>
      </c>
      <c r="C278" s="5"/>
      <c r="D278" s="104">
        <v>10000</v>
      </c>
      <c r="E278" s="105">
        <v>1</v>
      </c>
      <c r="F278" s="21">
        <v>10000</v>
      </c>
      <c r="G278" s="22">
        <v>1111.1111111111111</v>
      </c>
      <c r="H278" s="23">
        <v>0.40577828274630739</v>
      </c>
      <c r="I278" s="24">
        <v>4.642911803644922E-4</v>
      </c>
      <c r="J278" s="24">
        <v>3.6888934795118854E-4</v>
      </c>
    </row>
    <row r="279" spans="2:10">
      <c r="B279" s="5" t="s">
        <v>104</v>
      </c>
      <c r="C279" s="5"/>
      <c r="D279" s="104">
        <v>10000</v>
      </c>
      <c r="E279" s="105">
        <v>1</v>
      </c>
      <c r="F279" s="21">
        <v>10000</v>
      </c>
      <c r="G279" s="22">
        <v>1111.1111111111111</v>
      </c>
      <c r="H279" s="23">
        <v>0.40577828274630739</v>
      </c>
      <c r="I279" s="24">
        <v>4.642911803644922E-4</v>
      </c>
      <c r="J279" s="24">
        <v>3.6888934795118854E-4</v>
      </c>
    </row>
    <row r="280" spans="2:10">
      <c r="B280" s="5" t="s">
        <v>11</v>
      </c>
      <c r="C280" s="5"/>
      <c r="D280" s="104">
        <v>10000</v>
      </c>
      <c r="E280" s="105">
        <v>1</v>
      </c>
      <c r="F280" s="21">
        <v>10000</v>
      </c>
      <c r="G280" s="22">
        <v>1111.1111111111111</v>
      </c>
      <c r="H280" s="23">
        <v>0.40577828274630739</v>
      </c>
      <c r="I280" s="24">
        <v>4.642911803644922E-4</v>
      </c>
      <c r="J280" s="24">
        <v>3.6888934795118854E-4</v>
      </c>
    </row>
    <row r="281" spans="2:10">
      <c r="B281" s="5" t="s">
        <v>105</v>
      </c>
      <c r="C281" s="5"/>
      <c r="D281" s="104">
        <v>0</v>
      </c>
      <c r="E281" s="105">
        <v>1</v>
      </c>
      <c r="F281" s="21">
        <v>0</v>
      </c>
      <c r="G281" s="22">
        <v>0</v>
      </c>
      <c r="H281" s="23">
        <v>0</v>
      </c>
      <c r="I281" s="24">
        <v>0</v>
      </c>
      <c r="J281" s="24">
        <v>0</v>
      </c>
    </row>
    <row r="282" spans="2:10">
      <c r="B282" s="5" t="s">
        <v>106</v>
      </c>
      <c r="C282" s="5"/>
      <c r="D282" s="104">
        <v>20000</v>
      </c>
      <c r="E282" s="105">
        <v>1</v>
      </c>
      <c r="F282" s="21">
        <v>20000</v>
      </c>
      <c r="G282" s="22">
        <v>2222.2222222222222</v>
      </c>
      <c r="H282" s="23">
        <v>0.81155656549261479</v>
      </c>
      <c r="I282" s="24">
        <v>9.285823607289844E-4</v>
      </c>
      <c r="J282" s="24">
        <v>7.3777869590237709E-4</v>
      </c>
    </row>
    <row r="283" spans="2:10">
      <c r="B283" s="5" t="s">
        <v>107</v>
      </c>
      <c r="C283" s="5"/>
      <c r="D283" s="104">
        <v>10000</v>
      </c>
      <c r="E283" s="105">
        <v>1</v>
      </c>
      <c r="F283" s="21">
        <v>10000</v>
      </c>
      <c r="G283" s="22">
        <v>1111.1111111111111</v>
      </c>
      <c r="H283" s="23">
        <v>0.40577828274630739</v>
      </c>
      <c r="I283" s="24">
        <v>4.642911803644922E-4</v>
      </c>
      <c r="J283" s="24">
        <v>3.6888934795118854E-4</v>
      </c>
    </row>
    <row r="284" spans="2:10">
      <c r="B284" s="5" t="s">
        <v>108</v>
      </c>
      <c r="C284" s="5"/>
      <c r="D284" s="104">
        <v>10000</v>
      </c>
      <c r="E284" s="105">
        <v>1</v>
      </c>
      <c r="F284" s="21">
        <v>10000</v>
      </c>
      <c r="G284" s="22">
        <v>1111.1111111111111</v>
      </c>
      <c r="H284" s="23">
        <v>0.40577828274630739</v>
      </c>
      <c r="I284" s="24">
        <v>4.642911803644922E-4</v>
      </c>
      <c r="J284" s="24">
        <v>3.6888934795118854E-4</v>
      </c>
    </row>
    <row r="285" spans="2:10">
      <c r="B285" s="5" t="s">
        <v>5</v>
      </c>
      <c r="C285" s="5"/>
      <c r="D285" s="104">
        <v>10000</v>
      </c>
      <c r="E285" s="105">
        <v>1</v>
      </c>
      <c r="F285" s="21">
        <v>10000</v>
      </c>
      <c r="G285" s="22">
        <v>1111.1111111111111</v>
      </c>
      <c r="H285" s="23">
        <v>0.40577828274630739</v>
      </c>
      <c r="I285" s="24">
        <v>4.642911803644922E-4</v>
      </c>
      <c r="J285" s="24">
        <v>3.6888934795118854E-4</v>
      </c>
    </row>
    <row r="286" spans="2:10">
      <c r="B286" s="5" t="s">
        <v>109</v>
      </c>
      <c r="C286" s="5"/>
      <c r="D286" s="104">
        <v>20000</v>
      </c>
      <c r="E286" s="105">
        <v>0.5</v>
      </c>
      <c r="F286" s="21">
        <v>10000</v>
      </c>
      <c r="G286" s="22">
        <v>1111.1111111111111</v>
      </c>
      <c r="H286" s="23">
        <v>0.40577828274630739</v>
      </c>
      <c r="I286" s="24">
        <v>4.642911803644922E-4</v>
      </c>
      <c r="J286" s="24">
        <v>3.6888934795118854E-4</v>
      </c>
    </row>
    <row r="287" spans="2:10">
      <c r="B287" s="5" t="s">
        <v>27</v>
      </c>
      <c r="C287" s="5"/>
      <c r="D287" s="104">
        <v>20000</v>
      </c>
      <c r="E287" s="105">
        <v>1</v>
      </c>
      <c r="F287" s="21">
        <v>20000</v>
      </c>
      <c r="G287" s="22">
        <v>2222.2222222222222</v>
      </c>
      <c r="H287" s="23">
        <v>0.81155656549261479</v>
      </c>
      <c r="I287" s="24">
        <v>9.285823607289844E-4</v>
      </c>
      <c r="J287" s="24">
        <v>7.3777869590237709E-4</v>
      </c>
    </row>
    <row r="288" spans="2:10">
      <c r="B288" s="5" t="s">
        <v>110</v>
      </c>
      <c r="C288" s="5"/>
      <c r="D288" s="20">
        <v>10000</v>
      </c>
      <c r="E288" s="20">
        <v>2</v>
      </c>
      <c r="F288" s="21">
        <v>20000</v>
      </c>
      <c r="G288" s="22">
        <v>2222.2222222222222</v>
      </c>
      <c r="H288" s="23">
        <v>0.81155656549261479</v>
      </c>
      <c r="I288" s="24">
        <v>9.285823607289844E-4</v>
      </c>
      <c r="J288" s="24">
        <v>7.3777869590237709E-4</v>
      </c>
    </row>
    <row r="289" spans="2:10">
      <c r="B289" s="5" t="s">
        <v>524</v>
      </c>
      <c r="C289" s="5"/>
      <c r="D289" s="20"/>
      <c r="E289" s="20" t="s">
        <v>21</v>
      </c>
      <c r="F289" s="21">
        <v>44314</v>
      </c>
      <c r="G289" s="22">
        <v>4923.7777777777774</v>
      </c>
      <c r="H289" s="23">
        <v>1.7981658821619866</v>
      </c>
      <c r="I289" s="24">
        <v>2.0574599366672106E-3</v>
      </c>
      <c r="J289" s="24">
        <v>1.6346962565108971E-3</v>
      </c>
    </row>
    <row r="290" spans="2:10">
      <c r="B290" s="5" t="s">
        <v>525</v>
      </c>
      <c r="C290" s="5"/>
      <c r="D290" s="20"/>
      <c r="E290" s="20" t="s">
        <v>21</v>
      </c>
      <c r="F290" s="21">
        <v>0</v>
      </c>
      <c r="G290" s="22">
        <v>0</v>
      </c>
      <c r="H290" s="23">
        <v>0</v>
      </c>
      <c r="I290" s="24">
        <v>0</v>
      </c>
      <c r="J290" s="24">
        <v>0</v>
      </c>
    </row>
    <row r="291" spans="2:10">
      <c r="B291" s="5" t="s">
        <v>5027</v>
      </c>
      <c r="C291" s="20"/>
      <c r="D291" s="20">
        <v>0.02</v>
      </c>
      <c r="E291" s="20" t="s">
        <v>21</v>
      </c>
      <c r="F291" s="21">
        <v>7343.9344567577473</v>
      </c>
      <c r="G291" s="22">
        <v>815.9927174175275</v>
      </c>
      <c r="H291" s="23">
        <v>0.2980009112464595</v>
      </c>
      <c r="I291" s="24">
        <v>3.4097239974475204E-4</v>
      </c>
      <c r="J291" s="24">
        <v>2.7090991931496313E-4</v>
      </c>
    </row>
    <row r="292" spans="2:10">
      <c r="B292" s="5" t="s">
        <v>5007</v>
      </c>
      <c r="C292" s="20"/>
      <c r="D292" s="20"/>
      <c r="E292" s="20" t="s">
        <v>21</v>
      </c>
      <c r="F292" s="21">
        <v>0</v>
      </c>
      <c r="G292" s="22">
        <v>0</v>
      </c>
      <c r="H292" s="23">
        <v>0</v>
      </c>
      <c r="I292" s="24">
        <v>0</v>
      </c>
      <c r="J292" s="24">
        <v>0</v>
      </c>
    </row>
    <row r="293" spans="2:10">
      <c r="B293" s="5" t="s">
        <v>5007</v>
      </c>
      <c r="C293" s="9"/>
      <c r="D293" s="20"/>
      <c r="E293" s="20" t="s">
        <v>21</v>
      </c>
      <c r="F293" s="21">
        <v>0</v>
      </c>
      <c r="G293" s="22">
        <v>0</v>
      </c>
      <c r="H293" s="23">
        <v>0</v>
      </c>
      <c r="I293" s="24">
        <v>0</v>
      </c>
      <c r="J293" s="24">
        <v>0</v>
      </c>
    </row>
    <row r="294" spans="2:10">
      <c r="B294" s="49" t="s">
        <v>5007</v>
      </c>
      <c r="C294" s="5"/>
      <c r="D294" s="5"/>
      <c r="E294" s="20" t="s">
        <v>21</v>
      </c>
      <c r="F294" s="21">
        <v>0</v>
      </c>
      <c r="G294" s="22">
        <v>0</v>
      </c>
      <c r="H294" s="23">
        <v>0</v>
      </c>
      <c r="I294" s="24">
        <v>0</v>
      </c>
      <c r="J294" s="24">
        <v>0</v>
      </c>
    </row>
    <row r="295" spans="2:10">
      <c r="B295" s="49" t="s">
        <v>5007</v>
      </c>
      <c r="C295" s="5"/>
      <c r="D295" s="5"/>
      <c r="E295" s="20" t="s">
        <v>21</v>
      </c>
      <c r="F295" s="21">
        <v>0</v>
      </c>
      <c r="G295" s="22">
        <v>0</v>
      </c>
      <c r="H295" s="23">
        <v>0</v>
      </c>
      <c r="I295" s="24">
        <v>0</v>
      </c>
      <c r="J295" s="24">
        <v>0</v>
      </c>
    </row>
    <row r="296" spans="2:10">
      <c r="B296" s="77"/>
      <c r="C296" s="120"/>
      <c r="D296" s="28"/>
      <c r="E296" s="42" t="s">
        <v>21</v>
      </c>
      <c r="F296" s="30">
        <v>0</v>
      </c>
      <c r="G296" s="31">
        <v>0</v>
      </c>
      <c r="H296" s="32">
        <v>0</v>
      </c>
      <c r="I296" s="33">
        <v>0</v>
      </c>
      <c r="J296" s="33">
        <v>0</v>
      </c>
    </row>
    <row r="297" spans="2:10">
      <c r="B297" s="34" t="s">
        <v>231</v>
      </c>
      <c r="C297" s="35"/>
      <c r="D297" s="10"/>
      <c r="E297" s="8"/>
      <c r="F297" s="121">
        <v>221657.93445675774</v>
      </c>
      <c r="G297" s="52">
        <v>24628.659384084192</v>
      </c>
      <c r="H297" s="53">
        <v>8.994397600095672</v>
      </c>
      <c r="I297" s="38">
        <v>1.029138240260833E-2</v>
      </c>
      <c r="J297" s="38">
        <v>8.1767250909960659E-3</v>
      </c>
    </row>
    <row r="298" spans="2:10">
      <c r="B298" s="5"/>
      <c r="C298" s="19"/>
      <c r="D298" s="5"/>
      <c r="E298" s="20"/>
      <c r="F298" s="21"/>
      <c r="G298" s="22"/>
      <c r="H298" s="23"/>
      <c r="I298" s="24"/>
      <c r="J298" s="24"/>
    </row>
    <row r="299" spans="2:10">
      <c r="B299" s="13" t="s">
        <v>220</v>
      </c>
      <c r="C299" s="14"/>
      <c r="D299" s="13"/>
      <c r="E299" s="15" t="s">
        <v>134</v>
      </c>
      <c r="F299" s="48" t="s">
        <v>21</v>
      </c>
      <c r="G299" s="16" t="s">
        <v>182</v>
      </c>
      <c r="H299" s="17" t="s">
        <v>292</v>
      </c>
      <c r="I299" s="18" t="s">
        <v>262</v>
      </c>
      <c r="J299" s="18" t="s">
        <v>293</v>
      </c>
    </row>
    <row r="300" spans="2:10">
      <c r="B300" s="5" t="s">
        <v>5192</v>
      </c>
      <c r="C300" s="19"/>
      <c r="D300" s="5"/>
      <c r="E300" s="20" t="s">
        <v>21</v>
      </c>
      <c r="F300" s="21">
        <v>150000</v>
      </c>
      <c r="G300" s="22">
        <v>16666.666666666668</v>
      </c>
      <c r="H300" s="23">
        <v>6.0866742411946113</v>
      </c>
      <c r="I300" s="24">
        <v>6.9643677054673832E-3</v>
      </c>
      <c r="J300" s="24">
        <v>5.5333402192678282E-3</v>
      </c>
    </row>
    <row r="301" spans="2:10">
      <c r="B301" s="49" t="s">
        <v>111</v>
      </c>
      <c r="C301" s="35"/>
      <c r="D301" s="61"/>
      <c r="E301" s="20" t="s">
        <v>21</v>
      </c>
      <c r="F301" s="21">
        <v>0</v>
      </c>
      <c r="G301" s="22">
        <v>0</v>
      </c>
      <c r="H301" s="23">
        <v>0</v>
      </c>
      <c r="I301" s="24">
        <v>0</v>
      </c>
      <c r="J301" s="24">
        <v>0</v>
      </c>
    </row>
    <row r="302" spans="2:10">
      <c r="B302" s="49" t="s">
        <v>5008</v>
      </c>
      <c r="C302" s="35"/>
      <c r="D302" s="61"/>
      <c r="E302" s="20" t="s">
        <v>21</v>
      </c>
      <c r="F302" s="21">
        <v>0</v>
      </c>
      <c r="G302" s="22">
        <v>0</v>
      </c>
      <c r="H302" s="23">
        <v>0</v>
      </c>
      <c r="I302" s="24">
        <v>0</v>
      </c>
      <c r="J302" s="24">
        <v>0</v>
      </c>
    </row>
    <row r="303" spans="2:10">
      <c r="B303" s="5" t="s">
        <v>5008</v>
      </c>
      <c r="C303" s="9"/>
      <c r="D303" s="11"/>
      <c r="E303" s="20" t="s">
        <v>21</v>
      </c>
      <c r="F303" s="21">
        <v>0</v>
      </c>
      <c r="G303" s="22">
        <v>0</v>
      </c>
      <c r="H303" s="23">
        <v>0</v>
      </c>
      <c r="I303" s="24">
        <v>0</v>
      </c>
      <c r="J303" s="24">
        <v>0</v>
      </c>
    </row>
    <row r="304" spans="2:10">
      <c r="B304" s="5" t="s">
        <v>5008</v>
      </c>
      <c r="C304" s="122"/>
      <c r="D304" s="5"/>
      <c r="E304" s="123" t="s">
        <v>21</v>
      </c>
      <c r="F304" s="124">
        <v>0</v>
      </c>
      <c r="G304" s="22">
        <v>0</v>
      </c>
      <c r="H304" s="23">
        <v>0</v>
      </c>
      <c r="I304" s="24">
        <v>0</v>
      </c>
      <c r="J304" s="24">
        <v>0</v>
      </c>
    </row>
    <row r="305" spans="2:10">
      <c r="B305" s="125" t="s">
        <v>296</v>
      </c>
      <c r="C305" s="5"/>
      <c r="D305" s="21"/>
      <c r="E305" s="126" t="s">
        <v>21</v>
      </c>
      <c r="F305" s="111">
        <v>0</v>
      </c>
      <c r="G305" s="22">
        <v>0</v>
      </c>
      <c r="H305" s="23">
        <v>0</v>
      </c>
      <c r="I305" s="24">
        <v>0</v>
      </c>
      <c r="J305" s="24">
        <v>0</v>
      </c>
    </row>
    <row r="306" spans="2:10">
      <c r="B306" s="5" t="s">
        <v>296</v>
      </c>
      <c r="C306" s="20"/>
      <c r="D306" s="5"/>
      <c r="E306" s="20" t="s">
        <v>21</v>
      </c>
      <c r="F306" s="19">
        <v>0</v>
      </c>
      <c r="G306" s="22">
        <v>0</v>
      </c>
      <c r="H306" s="23">
        <v>0</v>
      </c>
      <c r="I306" s="24">
        <v>0</v>
      </c>
      <c r="J306" s="123">
        <v>0</v>
      </c>
    </row>
    <row r="307" spans="2:10">
      <c r="B307" s="127" t="s">
        <v>232</v>
      </c>
      <c r="C307" s="128"/>
      <c r="D307" s="65"/>
      <c r="E307" s="67"/>
      <c r="F307" s="68">
        <v>150000</v>
      </c>
      <c r="G307" s="129">
        <v>16666.666666666668</v>
      </c>
      <c r="H307" s="130">
        <v>6.0866742411946113</v>
      </c>
      <c r="I307" s="71">
        <v>6.9643677054673832E-3</v>
      </c>
      <c r="J307" s="71">
        <v>5.5333402192678282E-3</v>
      </c>
    </row>
    <row r="308" spans="2:10">
      <c r="B308" s="5"/>
      <c r="C308" s="122"/>
      <c r="D308" s="131"/>
      <c r="E308" s="20"/>
      <c r="F308" s="21"/>
      <c r="G308" s="22"/>
      <c r="H308" s="23"/>
      <c r="I308" s="24"/>
      <c r="J308" s="24"/>
    </row>
    <row r="309" spans="2:10">
      <c r="B309" s="13" t="s">
        <v>20</v>
      </c>
      <c r="C309" s="14"/>
      <c r="D309" s="13"/>
      <c r="E309" s="15" t="s">
        <v>134</v>
      </c>
      <c r="F309" s="48" t="s">
        <v>21</v>
      </c>
      <c r="G309" s="16" t="s">
        <v>182</v>
      </c>
      <c r="H309" s="17" t="s">
        <v>292</v>
      </c>
      <c r="I309" s="18" t="s">
        <v>262</v>
      </c>
      <c r="J309" s="18" t="s">
        <v>293</v>
      </c>
    </row>
    <row r="310" spans="2:10">
      <c r="B310" s="5" t="s">
        <v>5010</v>
      </c>
      <c r="C310" s="19"/>
      <c r="D310" s="5"/>
      <c r="E310" s="20">
        <v>0</v>
      </c>
      <c r="F310" s="21">
        <v>0</v>
      </c>
      <c r="G310" s="22">
        <v>0</v>
      </c>
      <c r="H310" s="23">
        <v>0</v>
      </c>
      <c r="I310" s="24">
        <v>0</v>
      </c>
      <c r="J310" s="24">
        <v>0</v>
      </c>
    </row>
    <row r="311" spans="2:10">
      <c r="B311" s="5" t="s">
        <v>124</v>
      </c>
      <c r="C311" s="19"/>
      <c r="D311" s="5">
        <v>100000</v>
      </c>
      <c r="E311" s="20">
        <v>0</v>
      </c>
      <c r="F311" s="21">
        <v>0</v>
      </c>
      <c r="G311" s="22">
        <v>0</v>
      </c>
      <c r="H311" s="23">
        <v>0</v>
      </c>
      <c r="I311" s="24">
        <v>0</v>
      </c>
      <c r="J311" s="24">
        <v>0</v>
      </c>
    </row>
    <row r="312" spans="2:10">
      <c r="B312" s="5" t="s">
        <v>5025</v>
      </c>
      <c r="C312" s="19"/>
      <c r="D312" s="5">
        <v>0.05</v>
      </c>
      <c r="E312" s="20" t="s">
        <v>21</v>
      </c>
      <c r="F312" s="21">
        <v>1355000</v>
      </c>
      <c r="G312" s="22">
        <v>150555.55555555556</v>
      </c>
      <c r="H312" s="23">
        <v>54.982957312124654</v>
      </c>
      <c r="I312" s="24">
        <v>6.2911454939388697E-2</v>
      </c>
      <c r="J312" s="24">
        <v>4.9984506647386052E-2</v>
      </c>
    </row>
    <row r="313" spans="2:10">
      <c r="B313" s="5" t="s">
        <v>177</v>
      </c>
      <c r="C313" s="19"/>
      <c r="D313" s="5">
        <v>0.05</v>
      </c>
      <c r="E313" s="20" t="s">
        <v>21</v>
      </c>
      <c r="F313" s="21">
        <v>1355000</v>
      </c>
      <c r="G313" s="22">
        <v>150555.55555555556</v>
      </c>
      <c r="H313" s="23">
        <v>54.982957312124654</v>
      </c>
      <c r="I313" s="24">
        <v>6.2911454939388697E-2</v>
      </c>
      <c r="J313" s="24">
        <v>4.9984506647386052E-2</v>
      </c>
    </row>
    <row r="314" spans="2:10">
      <c r="B314" s="49" t="s">
        <v>3</v>
      </c>
      <c r="C314" s="19"/>
      <c r="D314" s="132"/>
      <c r="E314" s="93" t="s">
        <v>21</v>
      </c>
      <c r="F314" s="19">
        <v>0</v>
      </c>
      <c r="G314" s="22">
        <v>0</v>
      </c>
      <c r="H314" s="23">
        <v>0</v>
      </c>
      <c r="I314" s="24">
        <v>0</v>
      </c>
      <c r="J314" s="24">
        <v>0</v>
      </c>
    </row>
    <row r="315" spans="2:10">
      <c r="B315" s="5" t="s">
        <v>123</v>
      </c>
      <c r="C315" s="5"/>
      <c r="D315" s="5"/>
      <c r="E315" s="54" t="s">
        <v>21</v>
      </c>
      <c r="F315" s="19">
        <v>0</v>
      </c>
      <c r="G315" s="5">
        <v>0</v>
      </c>
      <c r="H315" s="5">
        <v>0</v>
      </c>
      <c r="I315" s="5">
        <v>0</v>
      </c>
      <c r="J315" s="5">
        <v>0</v>
      </c>
    </row>
    <row r="316" spans="2:10">
      <c r="B316" s="5" t="s">
        <v>5179</v>
      </c>
      <c r="C316" s="9"/>
      <c r="D316" s="11">
        <v>0</v>
      </c>
      <c r="E316" s="20" t="s">
        <v>21</v>
      </c>
      <c r="F316" s="124">
        <v>0</v>
      </c>
      <c r="G316" s="20">
        <v>0</v>
      </c>
      <c r="H316" s="20">
        <v>0</v>
      </c>
      <c r="I316" s="20">
        <v>0</v>
      </c>
      <c r="J316" s="20">
        <v>0</v>
      </c>
    </row>
    <row r="317" spans="2:10">
      <c r="B317" s="5" t="s">
        <v>296</v>
      </c>
      <c r="C317" s="5"/>
      <c r="D317" s="110"/>
      <c r="E317" s="20" t="s">
        <v>21</v>
      </c>
      <c r="F317" s="21">
        <v>0</v>
      </c>
      <c r="G317" s="22">
        <v>0</v>
      </c>
      <c r="H317" s="23">
        <v>0</v>
      </c>
      <c r="I317" s="24">
        <v>0</v>
      </c>
      <c r="J317" s="24">
        <v>0</v>
      </c>
    </row>
    <row r="318" spans="2:10">
      <c r="B318" s="5" t="s">
        <v>296</v>
      </c>
      <c r="C318" s="5"/>
      <c r="D318" s="110"/>
      <c r="E318" s="20" t="s">
        <v>21</v>
      </c>
      <c r="F318" s="21">
        <v>0</v>
      </c>
      <c r="G318" s="22">
        <v>0</v>
      </c>
      <c r="H318" s="23">
        <v>0</v>
      </c>
      <c r="I318" s="24">
        <v>0</v>
      </c>
      <c r="J318" s="24">
        <v>0</v>
      </c>
    </row>
    <row r="319" spans="2:10">
      <c r="B319" s="5" t="s">
        <v>296</v>
      </c>
      <c r="C319" s="20"/>
      <c r="D319" s="5"/>
      <c r="E319" s="54" t="s">
        <v>21</v>
      </c>
      <c r="F319" s="111">
        <v>0</v>
      </c>
      <c r="G319" s="22">
        <v>0</v>
      </c>
      <c r="H319" s="23">
        <v>0</v>
      </c>
      <c r="I319" s="24">
        <v>0</v>
      </c>
      <c r="J319" s="24">
        <v>0</v>
      </c>
    </row>
    <row r="320" spans="2:10">
      <c r="B320" s="65" t="s">
        <v>233</v>
      </c>
      <c r="C320" s="133"/>
      <c r="D320" s="65"/>
      <c r="E320" s="67"/>
      <c r="F320" s="68">
        <v>2710000</v>
      </c>
      <c r="G320" s="65">
        <v>301111.11111111112</v>
      </c>
      <c r="H320" s="65">
        <v>109.96591462424931</v>
      </c>
      <c r="I320" s="65">
        <v>0.12582290987877739</v>
      </c>
      <c r="J320" s="65">
        <v>9.9969013294772105E-2</v>
      </c>
    </row>
    <row r="321" spans="2:12">
      <c r="B321" s="10"/>
      <c r="C321" s="62"/>
      <c r="D321" s="61"/>
      <c r="E321" s="134"/>
      <c r="F321" s="62"/>
      <c r="G321" s="5"/>
      <c r="H321" s="5"/>
      <c r="I321" s="5"/>
      <c r="J321" s="5"/>
    </row>
    <row r="322" spans="2:12">
      <c r="B322" s="13" t="s">
        <v>221</v>
      </c>
      <c r="C322" s="13"/>
      <c r="D322" s="135"/>
      <c r="E322" s="13" t="s">
        <v>134</v>
      </c>
      <c r="F322" s="14" t="s">
        <v>21</v>
      </c>
      <c r="G322" s="28" t="s">
        <v>182</v>
      </c>
      <c r="H322" s="28" t="s">
        <v>292</v>
      </c>
      <c r="I322" s="28" t="s">
        <v>262</v>
      </c>
      <c r="J322" s="28" t="s">
        <v>293</v>
      </c>
    </row>
    <row r="323" spans="2:12">
      <c r="B323" s="5" t="s">
        <v>221</v>
      </c>
      <c r="C323" s="5"/>
      <c r="D323" s="64">
        <v>0.02</v>
      </c>
      <c r="E323" s="54" t="s">
        <v>21</v>
      </c>
      <c r="F323" s="111">
        <v>542168</v>
      </c>
      <c r="G323" s="22">
        <v>60240.888888888891</v>
      </c>
      <c r="H323" s="23">
        <v>22</v>
      </c>
      <c r="I323" s="24">
        <v>2.51723820675856E-2</v>
      </c>
      <c r="J323" s="24">
        <v>0.02</v>
      </c>
    </row>
    <row r="324" spans="2:12">
      <c r="B324" s="28" t="s">
        <v>5026</v>
      </c>
      <c r="C324" s="42"/>
      <c r="D324" s="28"/>
      <c r="E324" s="94" t="s">
        <v>21</v>
      </c>
      <c r="F324" s="120">
        <v>0</v>
      </c>
      <c r="G324" s="28">
        <v>0</v>
      </c>
      <c r="H324" s="28">
        <v>0</v>
      </c>
      <c r="I324" s="28"/>
      <c r="J324" s="28">
        <v>0</v>
      </c>
    </row>
    <row r="325" spans="2:12">
      <c r="B325" s="10" t="s">
        <v>234</v>
      </c>
      <c r="C325" s="20"/>
      <c r="D325" s="5"/>
      <c r="E325" s="54"/>
      <c r="F325" s="62">
        <v>542168</v>
      </c>
      <c r="G325" s="52">
        <v>60240.888888888891</v>
      </c>
      <c r="H325" s="53">
        <v>22</v>
      </c>
      <c r="I325" s="38">
        <v>2.51723820675856E-2</v>
      </c>
      <c r="J325" s="38">
        <v>0.02</v>
      </c>
    </row>
    <row r="326" spans="2:12">
      <c r="B326" s="136"/>
      <c r="C326" s="136"/>
      <c r="D326" s="5"/>
      <c r="E326" s="54"/>
      <c r="F326" s="137"/>
      <c r="G326" s="22"/>
      <c r="H326" s="23"/>
      <c r="I326" s="24"/>
      <c r="J326" s="24"/>
    </row>
    <row r="327" spans="2:12">
      <c r="B327" s="138" t="s">
        <v>235</v>
      </c>
      <c r="C327" s="138"/>
      <c r="D327" s="10"/>
      <c r="E327" s="119">
        <v>0.01</v>
      </c>
      <c r="F327" s="139">
        <v>271000</v>
      </c>
      <c r="G327" s="52">
        <v>30111.111111111109</v>
      </c>
      <c r="H327" s="53">
        <v>10.996591462424931</v>
      </c>
      <c r="I327" s="38">
        <v>1.2582290987877739E-2</v>
      </c>
      <c r="J327" s="38">
        <v>9.9969013294772101E-3</v>
      </c>
    </row>
    <row r="328" spans="2:12">
      <c r="B328" s="136"/>
      <c r="C328" s="136"/>
      <c r="D328" s="5"/>
      <c r="E328" s="54"/>
      <c r="F328" s="137"/>
      <c r="G328" s="22"/>
      <c r="H328" s="23"/>
      <c r="I328" s="24"/>
      <c r="J328" s="24"/>
    </row>
    <row r="329" spans="2:12">
      <c r="B329" s="138" t="s">
        <v>311</v>
      </c>
      <c r="C329" s="138"/>
      <c r="D329" s="10"/>
      <c r="E329" s="36"/>
      <c r="F329" s="45">
        <v>21538207.971338443</v>
      </c>
      <c r="G329" s="52">
        <v>2393134.219037605</v>
      </c>
      <c r="H329" s="53">
        <v>873.97370440425436</v>
      </c>
      <c r="I329" s="38">
        <v>1.0000000001948641</v>
      </c>
      <c r="J329" s="38">
        <v>0.79452154945841302</v>
      </c>
    </row>
    <row r="330" spans="2:12">
      <c r="B330" s="140"/>
      <c r="C330" s="136"/>
      <c r="D330" s="5"/>
      <c r="E330" s="54"/>
      <c r="F330" s="141"/>
      <c r="G330" s="22"/>
      <c r="H330" s="23"/>
      <c r="I330" s="24"/>
      <c r="J330" s="24"/>
    </row>
    <row r="331" spans="2:12">
      <c r="B331" s="142" t="s">
        <v>312</v>
      </c>
      <c r="C331" s="142"/>
      <c r="D331" s="13"/>
      <c r="E331" s="101"/>
      <c r="F331" s="143"/>
      <c r="G331" s="16"/>
      <c r="H331" s="17"/>
      <c r="I331" s="18"/>
      <c r="J331" s="18"/>
    </row>
    <row r="332" spans="2:12">
      <c r="B332" s="140" t="s">
        <v>152</v>
      </c>
      <c r="C332" s="136"/>
      <c r="D332" s="5"/>
      <c r="E332" s="54"/>
      <c r="F332" s="141">
        <v>12053813.771338444</v>
      </c>
      <c r="G332" s="22">
        <v>1339312.6412598272</v>
      </c>
      <c r="H332" s="23">
        <v>489.11758526775054</v>
      </c>
      <c r="I332" s="24">
        <v>0.55964794237884974</v>
      </c>
      <c r="J332" s="24">
        <v>0.55964794237884974</v>
      </c>
      <c r="L332" s="144">
        <f>F332-bud_detail!F332</f>
        <v>34787.789977390319</v>
      </c>
    </row>
    <row r="333" spans="2:12">
      <c r="B333" s="140" t="s">
        <v>430</v>
      </c>
      <c r="C333" s="136"/>
      <c r="D333" s="5"/>
      <c r="E333" s="54"/>
      <c r="F333" s="141">
        <v>0</v>
      </c>
      <c r="G333" s="22">
        <v>0</v>
      </c>
      <c r="H333" s="23">
        <v>0</v>
      </c>
      <c r="I333" s="24">
        <v>0</v>
      </c>
      <c r="J333" s="24">
        <v>0</v>
      </c>
      <c r="L333" s="6">
        <f>F333-bud_detail!F333</f>
        <v>0</v>
      </c>
    </row>
    <row r="334" spans="2:12">
      <c r="B334" s="140" t="s">
        <v>173</v>
      </c>
      <c r="C334" s="136"/>
      <c r="D334" s="5"/>
      <c r="E334" s="54"/>
      <c r="F334" s="141">
        <v>813252.00000000012</v>
      </c>
      <c r="G334" s="22">
        <v>90361.333333333343</v>
      </c>
      <c r="H334" s="23">
        <v>33.000000000000007</v>
      </c>
      <c r="I334" s="24">
        <v>3.7758573101378409E-2</v>
      </c>
      <c r="J334" s="24">
        <v>3.0000000000000006E-2</v>
      </c>
      <c r="L334" s="6">
        <f>F334-bud_detail!F334</f>
        <v>-6335.9999999998836</v>
      </c>
    </row>
    <row r="335" spans="2:12">
      <c r="B335" s="5" t="s">
        <v>174</v>
      </c>
      <c r="C335" s="5"/>
      <c r="D335" s="64"/>
      <c r="E335" s="54"/>
      <c r="F335" s="145">
        <v>2439756</v>
      </c>
      <c r="G335" s="22">
        <v>271084</v>
      </c>
      <c r="H335" s="23">
        <v>99</v>
      </c>
      <c r="I335" s="24">
        <v>0.1132757193041352</v>
      </c>
      <c r="J335" s="24">
        <v>0.09</v>
      </c>
      <c r="L335" s="6">
        <f>F335-bud_detail!F335</f>
        <v>-19008</v>
      </c>
    </row>
    <row r="336" spans="2:12">
      <c r="B336" s="5" t="s">
        <v>400</v>
      </c>
      <c r="C336" s="20"/>
      <c r="D336" s="5"/>
      <c r="E336" s="54"/>
      <c r="F336" s="141">
        <v>2231386.2000000002</v>
      </c>
      <c r="G336" s="22">
        <v>247931.80000000002</v>
      </c>
      <c r="H336" s="23">
        <v>90.544806037980848</v>
      </c>
      <c r="I336" s="24">
        <v>0.10360129326470389</v>
      </c>
      <c r="J336" s="24">
        <v>8.2313460034528052E-2</v>
      </c>
      <c r="L336" s="6">
        <f>F336-bud_detail!F336</f>
        <v>446159.60000000009</v>
      </c>
    </row>
    <row r="337" spans="2:12">
      <c r="B337" s="5" t="s">
        <v>187</v>
      </c>
      <c r="C337" s="20"/>
      <c r="D337" s="5"/>
      <c r="E337" s="54"/>
      <c r="F337" s="141">
        <v>4000000</v>
      </c>
      <c r="G337" s="22">
        <v>444444.44444444444</v>
      </c>
      <c r="H337" s="23">
        <v>162.31131309852296</v>
      </c>
      <c r="I337" s="24">
        <v>0.1857164721457969</v>
      </c>
      <c r="J337" s="24">
        <v>0.14755573918047543</v>
      </c>
      <c r="L337" s="6">
        <f>F337-bud_detail!F337</f>
        <v>0</v>
      </c>
    </row>
    <row r="338" spans="2:12">
      <c r="B338" s="5" t="s">
        <v>5165</v>
      </c>
      <c r="C338" s="20"/>
      <c r="D338" s="5"/>
      <c r="E338" s="54"/>
      <c r="F338" s="141">
        <v>400000</v>
      </c>
      <c r="G338" s="22">
        <v>44444.444444444445</v>
      </c>
      <c r="H338" s="23">
        <v>16.231131309852298</v>
      </c>
      <c r="I338" s="24">
        <v>1.8571647214579688E-2</v>
      </c>
      <c r="J338" s="24">
        <v>1.4755573918047542E-2</v>
      </c>
      <c r="L338" s="6">
        <f>F338-bud_detail!F338</f>
        <v>0</v>
      </c>
    </row>
    <row r="339" spans="2:12">
      <c r="B339" s="5" t="s">
        <v>5147</v>
      </c>
      <c r="C339" s="5"/>
      <c r="D339" s="5"/>
      <c r="E339" s="54"/>
      <c r="F339" s="141">
        <v>3600000</v>
      </c>
      <c r="G339" s="22">
        <v>400000</v>
      </c>
      <c r="H339" s="23">
        <v>146.08018178867067</v>
      </c>
      <c r="I339" s="24">
        <v>0.16714482493121718</v>
      </c>
      <c r="J339" s="24">
        <v>0.13280016526242788</v>
      </c>
      <c r="L339" s="6">
        <f>F339-bud_detail!F339</f>
        <v>0</v>
      </c>
    </row>
    <row r="340" spans="2:12">
      <c r="B340" s="146" t="s">
        <v>5147</v>
      </c>
      <c r="C340" s="147"/>
      <c r="D340" s="147"/>
      <c r="E340" s="147"/>
      <c r="F340" s="143">
        <v>0</v>
      </c>
      <c r="G340" s="147">
        <v>0</v>
      </c>
      <c r="H340" s="148">
        <v>0</v>
      </c>
      <c r="I340" s="18">
        <v>0</v>
      </c>
      <c r="J340" s="18">
        <v>0</v>
      </c>
      <c r="L340" s="6">
        <f>F340-bud_detail!F340</f>
        <v>0</v>
      </c>
    </row>
    <row r="341" spans="2:12">
      <c r="B341" s="34" t="s">
        <v>313</v>
      </c>
      <c r="C341" s="10"/>
      <c r="D341" s="10"/>
      <c r="E341" s="36"/>
      <c r="F341" s="45">
        <v>21538207.971338443</v>
      </c>
      <c r="G341" s="37">
        <v>2393134.219037605</v>
      </c>
      <c r="H341" s="78">
        <v>873.97370440425436</v>
      </c>
      <c r="I341" s="38">
        <v>1.0000000001948641</v>
      </c>
      <c r="J341" s="38">
        <v>0.79452154945841302</v>
      </c>
    </row>
    <row r="342" spans="2:12">
      <c r="B342" s="149"/>
      <c r="E342" s="150"/>
    </row>
    <row r="343" spans="2:12">
      <c r="B343" s="149" t="e">
        <v>#N/A</v>
      </c>
      <c r="C343" s="6" t="e">
        <v>#N/A</v>
      </c>
      <c r="D343" s="6" t="e">
        <v>#N/A</v>
      </c>
      <c r="E343" s="150" t="e">
        <v>#N/A</v>
      </c>
      <c r="F343" s="6" t="e">
        <v>#N/A</v>
      </c>
      <c r="G343" s="6" t="e">
        <v>#N/A</v>
      </c>
      <c r="H343" s="6" t="e">
        <v>#N/A</v>
      </c>
      <c r="I343" s="6" t="e">
        <v>#N/A</v>
      </c>
      <c r="J343" s="6" t="e">
        <v>#N/A</v>
      </c>
    </row>
    <row r="344" spans="2:12">
      <c r="B344" s="149" t="e">
        <v>#N/A</v>
      </c>
      <c r="C344" s="6" t="e">
        <v>#N/A</v>
      </c>
      <c r="D344" s="6" t="e">
        <v>#N/A</v>
      </c>
      <c r="E344" s="150" t="e">
        <v>#N/A</v>
      </c>
      <c r="F344" s="6" t="e">
        <v>#N/A</v>
      </c>
      <c r="G344" s="6" t="e">
        <v>#N/A</v>
      </c>
      <c r="H344" s="6" t="e">
        <v>#N/A</v>
      </c>
      <c r="I344" s="6" t="e">
        <v>#N/A</v>
      </c>
      <c r="J344" s="6" t="e">
        <v>#N/A</v>
      </c>
    </row>
    <row r="345" spans="2:12">
      <c r="B345" s="6" t="e">
        <v>#N/A</v>
      </c>
      <c r="C345" s="151" t="e">
        <v>#N/A</v>
      </c>
      <c r="D345" s="6" t="e">
        <v>#N/A</v>
      </c>
      <c r="E345" s="150" t="e">
        <v>#N/A</v>
      </c>
      <c r="F345" s="6" t="e">
        <v>#N/A</v>
      </c>
      <c r="G345" s="6" t="e">
        <v>#N/A</v>
      </c>
      <c r="H345" s="6" t="e">
        <v>#N/A</v>
      </c>
      <c r="I345" s="6" t="e">
        <v>#N/A</v>
      </c>
      <c r="J345" s="6" t="e">
        <v>#N/A</v>
      </c>
    </row>
    <row r="346" spans="2:12">
      <c r="B346" s="6" t="e">
        <v>#N/A</v>
      </c>
      <c r="C346" s="6" t="e">
        <v>#N/A</v>
      </c>
      <c r="D346" s="6" t="e">
        <v>#N/A</v>
      </c>
      <c r="E346" s="6" t="e">
        <v>#N/A</v>
      </c>
      <c r="F346" s="6" t="e">
        <v>#N/A</v>
      </c>
      <c r="G346" s="6" t="e">
        <v>#N/A</v>
      </c>
      <c r="H346" s="6" t="e">
        <v>#N/A</v>
      </c>
      <c r="I346" s="6" t="e">
        <v>#N/A</v>
      </c>
      <c r="J346" s="6" t="e">
        <v>#N/A</v>
      </c>
    </row>
    <row r="347" spans="2:12">
      <c r="B347" s="6" t="e">
        <v>#N/A</v>
      </c>
      <c r="C347" s="6" t="e">
        <v>#N/A</v>
      </c>
      <c r="D347" s="6" t="e">
        <v>#N/A</v>
      </c>
      <c r="E347" s="6" t="e">
        <v>#N/A</v>
      </c>
      <c r="F347" s="6" t="e">
        <v>#N/A</v>
      </c>
      <c r="G347" s="6" t="e">
        <v>#N/A</v>
      </c>
      <c r="H347" s="6" t="e">
        <v>#N/A</v>
      </c>
      <c r="I347" s="6" t="e">
        <v>#N/A</v>
      </c>
      <c r="J347" s="6" t="e">
        <v>#N/A</v>
      </c>
    </row>
    <row r="348" spans="2:12">
      <c r="B348" s="6" t="e">
        <v>#N/A</v>
      </c>
      <c r="C348" s="152" t="e">
        <v>#N/A</v>
      </c>
      <c r="D348" s="6" t="e">
        <v>#N/A</v>
      </c>
      <c r="E348" s="153" t="e">
        <v>#N/A</v>
      </c>
      <c r="F348" s="150" t="e">
        <v>#N/A</v>
      </c>
      <c r="G348" s="6" t="e">
        <v>#N/A</v>
      </c>
      <c r="H348" s="6" t="e">
        <v>#N/A</v>
      </c>
      <c r="I348" s="6" t="e">
        <v>#N/A</v>
      </c>
      <c r="J348" s="6" t="e">
        <v>#N/A</v>
      </c>
    </row>
    <row r="349" spans="2:12">
      <c r="B349" s="6" t="e">
        <v>#N/A</v>
      </c>
      <c r="C349" s="6" t="e">
        <v>#N/A</v>
      </c>
      <c r="D349" s="6" t="e">
        <v>#N/A</v>
      </c>
      <c r="E349" s="6" t="e">
        <v>#N/A</v>
      </c>
      <c r="F349" s="6" t="e">
        <v>#N/A</v>
      </c>
      <c r="G349" s="6" t="e">
        <v>#N/A</v>
      </c>
      <c r="H349" s="6" t="e">
        <v>#N/A</v>
      </c>
      <c r="I349" s="6" t="e">
        <v>#N/A</v>
      </c>
      <c r="J349" s="6" t="e">
        <v>#N/A</v>
      </c>
    </row>
    <row r="350" spans="2:12">
      <c r="B350" s="6" t="e">
        <v>#N/A</v>
      </c>
      <c r="C350" s="6" t="e">
        <v>#N/A</v>
      </c>
      <c r="D350" s="6" t="e">
        <v>#N/A</v>
      </c>
      <c r="E350" s="6" t="e">
        <v>#N/A</v>
      </c>
      <c r="F350" s="6" t="e">
        <v>#N/A</v>
      </c>
      <c r="G350" s="6" t="e">
        <v>#N/A</v>
      </c>
      <c r="H350" s="6" t="e">
        <v>#N/A</v>
      </c>
      <c r="I350" s="6" t="e">
        <v>#N/A</v>
      </c>
      <c r="J350" s="6" t="e">
        <v>#N/A</v>
      </c>
    </row>
    <row r="351" spans="2:12">
      <c r="B351" s="6" t="e">
        <v>#N/A</v>
      </c>
      <c r="C351" s="6" t="e">
        <v>#N/A</v>
      </c>
      <c r="D351" s="6" t="e">
        <v>#N/A</v>
      </c>
      <c r="E351" s="6" t="e">
        <v>#N/A</v>
      </c>
      <c r="F351" s="6" t="e">
        <v>#N/A</v>
      </c>
      <c r="G351" s="6" t="e">
        <v>#N/A</v>
      </c>
      <c r="H351" s="6" t="e">
        <v>#N/A</v>
      </c>
      <c r="I351" s="6" t="e">
        <v>#N/A</v>
      </c>
      <c r="J351" s="6" t="e">
        <v>#N/A</v>
      </c>
    </row>
    <row r="352" spans="2:12">
      <c r="B352" s="154" t="e">
        <v>#N/A</v>
      </c>
      <c r="C352" s="152" t="e">
        <v>#N/A</v>
      </c>
      <c r="D352" s="6" t="e">
        <v>#N/A</v>
      </c>
      <c r="E352" s="149" t="e">
        <v>#N/A</v>
      </c>
      <c r="F352" s="6" t="e">
        <v>#N/A</v>
      </c>
      <c r="G352" s="6" t="e">
        <v>#N/A</v>
      </c>
      <c r="H352" s="6" t="e">
        <v>#N/A</v>
      </c>
      <c r="I352" s="6" t="e">
        <v>#N/A</v>
      </c>
      <c r="J352" s="6" t="e">
        <v>#N/A</v>
      </c>
    </row>
    <row r="353" spans="2:10">
      <c r="B353" s="6" t="e">
        <v>#N/A</v>
      </c>
      <c r="C353" s="6" t="e">
        <v>#N/A</v>
      </c>
      <c r="D353" s="6" t="e">
        <v>#N/A</v>
      </c>
      <c r="E353" s="149" t="e">
        <v>#N/A</v>
      </c>
      <c r="F353" s="6" t="e">
        <v>#N/A</v>
      </c>
      <c r="G353" s="6" t="e">
        <v>#N/A</v>
      </c>
      <c r="H353" s="6" t="e">
        <v>#N/A</v>
      </c>
      <c r="I353" s="6" t="e">
        <v>#N/A</v>
      </c>
      <c r="J353" s="6" t="e">
        <v>#N/A</v>
      </c>
    </row>
    <row r="354" spans="2:10">
      <c r="B354" s="6" t="e">
        <v>#N/A</v>
      </c>
      <c r="C354" s="6" t="e">
        <v>#N/A</v>
      </c>
      <c r="D354" s="6" t="e">
        <v>#N/A</v>
      </c>
      <c r="E354" s="6" t="e">
        <v>#N/A</v>
      </c>
      <c r="F354" s="6" t="e">
        <v>#N/A</v>
      </c>
      <c r="G354" s="6" t="e">
        <v>#N/A</v>
      </c>
      <c r="H354" s="6" t="e">
        <v>#N/A</v>
      </c>
      <c r="I354" s="6" t="e">
        <v>#N/A</v>
      </c>
      <c r="J354" s="6" t="e">
        <v>#N/A</v>
      </c>
    </row>
    <row r="355" spans="2:10">
      <c r="B355" s="6" t="e">
        <v>#N/A</v>
      </c>
      <c r="C355" s="6" t="e">
        <v>#N/A</v>
      </c>
      <c r="D355" s="6" t="e">
        <v>#N/A</v>
      </c>
      <c r="E355" s="6" t="e">
        <v>#N/A</v>
      </c>
      <c r="F355" s="6" t="e">
        <v>#N/A</v>
      </c>
      <c r="G355" s="6" t="e">
        <v>#N/A</v>
      </c>
      <c r="H355" s="6" t="e">
        <v>#N/A</v>
      </c>
      <c r="I355" s="6" t="e">
        <v>#N/A</v>
      </c>
      <c r="J355" s="6" t="e">
        <v>#N/A</v>
      </c>
    </row>
    <row r="356" spans="2:10">
      <c r="B356" s="6" t="e">
        <v>#N/A</v>
      </c>
      <c r="C356" s="6" t="e">
        <v>#N/A</v>
      </c>
      <c r="D356" s="6" t="e">
        <v>#N/A</v>
      </c>
      <c r="E356" s="6" t="e">
        <v>#N/A</v>
      </c>
      <c r="F356" s="6" t="e">
        <v>#N/A</v>
      </c>
      <c r="G356" s="6" t="e">
        <v>#N/A</v>
      </c>
      <c r="H356" s="6" t="e">
        <v>#N/A</v>
      </c>
      <c r="I356" s="6" t="e">
        <v>#N/A</v>
      </c>
      <c r="J356" s="6" t="e">
        <v>#N/A</v>
      </c>
    </row>
    <row r="357" spans="2:10">
      <c r="B357" s="6" t="e">
        <v>#N/A</v>
      </c>
      <c r="C357" s="6" t="e">
        <v>#N/A</v>
      </c>
      <c r="D357" s="6" t="e">
        <v>#N/A</v>
      </c>
      <c r="E357" s="6" t="e">
        <v>#N/A</v>
      </c>
      <c r="F357" s="6" t="e">
        <v>#N/A</v>
      </c>
      <c r="G357" s="6" t="e">
        <v>#N/A</v>
      </c>
      <c r="H357" s="6" t="e">
        <v>#N/A</v>
      </c>
      <c r="I357" s="6" t="e">
        <v>#N/A</v>
      </c>
      <c r="J357" s="6" t="e">
        <v>#N/A</v>
      </c>
    </row>
  </sheetData>
  <mergeCells count="2">
    <mergeCell ref="B246:C246"/>
    <mergeCell ref="B262:C26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27D2C52837B5489C8B9630F9C57EF8" ma:contentTypeVersion="8" ma:contentTypeDescription="Create a new document." ma:contentTypeScope="" ma:versionID="7b7257a20776d2d6806cd3e19bd77fcd">
  <xsd:schema xmlns:xsd="http://www.w3.org/2001/XMLSchema" xmlns:xs="http://www.w3.org/2001/XMLSchema" xmlns:p="http://schemas.microsoft.com/office/2006/metadata/properties" xmlns:ns3="3c95ccf6-a5cc-4c74-bd52-1d8853bba354" targetNamespace="http://schemas.microsoft.com/office/2006/metadata/properties" ma:root="true" ma:fieldsID="cbe6ebe95595a787e398c12111248cf8" ns3:_="">
    <xsd:import namespace="3c95ccf6-a5cc-4c74-bd52-1d8853bba35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95ccf6-a5cc-4c74-bd52-1d8853bba3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277596-9346-4259-A8E7-BD4DC296DEAA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3c95ccf6-a5cc-4c74-bd52-1d8853bba354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544B0A-5136-4DD5-9A5F-E87D4CDB8A63}">
  <ds:schemaRefs>
    <ds:schemaRef ds:uri="http://schemas.microsoft.com/office/2006/metadata/properties"/>
    <ds:schemaRef ds:uri="http://www.w3.org/2000/xmlns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69F165C-9BD4-4BA8-9B61-505FF8654DD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35</vt:i4>
      </vt:variant>
    </vt:vector>
  </HeadingPairs>
  <TitlesOfParts>
    <vt:vector size="49" baseType="lpstr">
      <vt:lpstr>Sensitivity</vt:lpstr>
      <vt:lpstr>general</vt:lpstr>
      <vt:lpstr>bud_detail</vt:lpstr>
      <vt:lpstr>sales</vt:lpstr>
      <vt:lpstr>Job Cost COA</vt:lpstr>
      <vt:lpstr>financing</vt:lpstr>
      <vt:lpstr>LIBOR</vt:lpstr>
      <vt:lpstr>Budget Presentation</vt:lpstr>
      <vt:lpstr>New Waterfall</vt:lpstr>
      <vt:lpstr>Sensitivity.</vt:lpstr>
      <vt:lpstr>reserves</vt:lpstr>
      <vt:lpstr>draws%</vt:lpstr>
      <vt:lpstr>Development Cash Flow</vt:lpstr>
      <vt:lpstr>hard_budget</vt:lpstr>
      <vt:lpstr>AvgPrice</vt:lpstr>
      <vt:lpstr>BudPaste</vt:lpstr>
      <vt:lpstr>BudRange</vt:lpstr>
      <vt:lpstr>ConstLoan</vt:lpstr>
      <vt:lpstr>Cost</vt:lpstr>
      <vt:lpstr>costpsf</vt:lpstr>
      <vt:lpstr>Delta</vt:lpstr>
      <vt:lpstr>DevBud1</vt:lpstr>
      <vt:lpstr>DevBud2</vt:lpstr>
      <vt:lpstr>hardbud</vt:lpstr>
      <vt:lpstr>LastUpdate</vt:lpstr>
      <vt:lpstr>PredevBud1</vt:lpstr>
      <vt:lpstr>PredevBud2</vt:lpstr>
      <vt:lpstr>bud_detail!Print_Area</vt:lpstr>
      <vt:lpstr>'Budget Presentation'!Print_Area</vt:lpstr>
      <vt:lpstr>'Development Cash Flow'!Print_Area</vt:lpstr>
      <vt:lpstr>'draws%'!Print_Area</vt:lpstr>
      <vt:lpstr>financing!Print_Area</vt:lpstr>
      <vt:lpstr>general!Print_Area</vt:lpstr>
      <vt:lpstr>'Job Cost COA'!Print_Area</vt:lpstr>
      <vt:lpstr>'New Waterfall'!Print_Area</vt:lpstr>
      <vt:lpstr>reserves!Print_Area</vt:lpstr>
      <vt:lpstr>sales!Print_Area</vt:lpstr>
      <vt:lpstr>bud_detail!Print_Titles</vt:lpstr>
      <vt:lpstr>'Job Cost COA'!Print_Titles</vt:lpstr>
      <vt:lpstr>ResSales</vt:lpstr>
      <vt:lpstr>ResSF</vt:lpstr>
      <vt:lpstr>Results1</vt:lpstr>
      <vt:lpstr>ResUnits</vt:lpstr>
      <vt:lpstr>RoundBud</vt:lpstr>
      <vt:lpstr>SATable1</vt:lpstr>
      <vt:lpstr>SATable2</vt:lpstr>
      <vt:lpstr>SelectType</vt:lpstr>
      <vt:lpstr>TimeStamp</vt:lpstr>
      <vt:lpstr>Version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 Alers</dc:creator>
  <cp:lastModifiedBy>amir weil</cp:lastModifiedBy>
  <cp:lastPrinted>2022-01-12T20:23:18Z</cp:lastPrinted>
  <dcterms:created xsi:type="dcterms:W3CDTF">2009-01-24T05:08:42Z</dcterms:created>
  <dcterms:modified xsi:type="dcterms:W3CDTF">2026-05-08T18:18:27Z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0x010100FA27D2C52837B5489C8B9630F9C57EF8</vt:lpwstr>
  </property>
</Properties>
</file>